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takezawa/Downloads/"/>
    </mc:Choice>
  </mc:AlternateContent>
  <xr:revisionPtr revIDLastSave="0" documentId="13_ncr:1_{53F4F655-C0C0-3E4A-8145-E690D7994D44}" xr6:coauthVersionLast="45" xr6:coauthVersionMax="45" xr10:uidLastSave="{00000000-0000-0000-0000-000000000000}"/>
  <bookViews>
    <workbookView xWindow="-6220" yWindow="-21600" windowWidth="38400" windowHeight="21600" activeTab="1" xr2:uid="{00000000-000D-0000-FFFF-FFFF00000000}"/>
  </bookViews>
  <sheets>
    <sheet name="受注報告シート" sheetId="1" r:id="rId1"/>
    <sheet name="失注報告シート" sheetId="2" r:id="rId2"/>
    <sheet name="Sのみ物件数_Data" sheetId="3" r:id="rId3"/>
  </sheets>
  <definedNames>
    <definedName name="Z_04ABBFFC_4789_4733_ADD7_5EB6358E600B_.wvu.FilterData" localSheetId="0" hidden="1">受注報告シート!$A$6:$AF$2381</definedName>
    <definedName name="Z_05A03F09_7A4F_42B9_9B92_F3C19FC0FA89_.wvu.FilterData" localSheetId="0" hidden="1">受注報告シート!$A$6:$AF$2381</definedName>
    <definedName name="Z_12CBE8CD_D396_4247_8578_B4B776D1EB8A_.wvu.FilterData" localSheetId="0" hidden="1">受注報告シート!$A$6:$AF$2381</definedName>
    <definedName name="Z_2A83487C_E9A2_4553_8F71_6EB5DAA7839A_.wvu.FilterData" localSheetId="0" hidden="1">受注報告シート!$A$6:$AF$2381</definedName>
    <definedName name="Z_30128F4C_6E53_4628_99DA_BCD0C5878C0D_.wvu.FilterData" localSheetId="0" hidden="1">受注報告シート!$A$6:$M$2381</definedName>
    <definedName name="Z_3664E1BC_AB98_4C58_984C_7B09747EC4AC_.wvu.FilterData" localSheetId="0" hidden="1">受注報告シート!$A$6:$AF$2381</definedName>
    <definedName name="Z_3CC63D3F_E4E3_4E1E_BB1C_AEF38C947216_.wvu.FilterData" localSheetId="0" hidden="1">受注報告シート!$A$6:$AF$2381</definedName>
    <definedName name="Z_3E7694CB_B55E_406A_9337_BA7A45E2A2E4_.wvu.FilterData" localSheetId="0" hidden="1">受注報告シート!$A$6:$AF$2381</definedName>
    <definedName name="Z_41B8FF29_11BB_423C_ABE9_E9C08DE8B6D9_.wvu.FilterData" localSheetId="0" hidden="1">受注報告シート!$A$6:$AF$2381</definedName>
    <definedName name="Z_44933AF3_7F4A_4FE5_B775_70507980EDB9_.wvu.FilterData" localSheetId="0" hidden="1">受注報告シート!$A$6:$AF$2381</definedName>
    <definedName name="Z_479340DD_ED64_4B01_B8FF_A9FB4223527C_.wvu.FilterData" localSheetId="0" hidden="1">受注報告シート!$A$6:$AF$2381</definedName>
    <definedName name="Z_48EA4D9F_C5F4_4E22_8B8F_CA94D9BABB66_.wvu.FilterData" localSheetId="0" hidden="1">受注報告シート!$A$6:$AF$2381</definedName>
    <definedName name="Z_581B1818_0B7F_41C8_8C70_65F0AC471CE3_.wvu.FilterData" localSheetId="0" hidden="1">受注報告シート!$A$6:$S$2381</definedName>
    <definedName name="Z_5EFC1763_94F5_418C_BFD2_AE86701462EB_.wvu.FilterData" localSheetId="0" hidden="1">受注報告シート!$A$6:$AF$2381</definedName>
    <definedName name="Z_663F1E66_ED4F_4887_A46B_B04FB241E9AE_.wvu.FilterData" localSheetId="0" hidden="1">受注報告シート!$A$6:$AF$2381</definedName>
    <definedName name="Z_72042A9A_1D92_4DBF_9687_F152E88DC5A3_.wvu.FilterData" localSheetId="0" hidden="1">受注報告シート!$A$6:$AF$2381</definedName>
    <definedName name="Z_74B73AD7_6AD0_4F76_91A3_62B368CE602A_.wvu.FilterData" localSheetId="0" hidden="1">受注報告シート!$A$6:$J$1429</definedName>
    <definedName name="Z_75B890F1_DE67_455F_8E39_38461F3DA242_.wvu.FilterData" localSheetId="0" hidden="1">受注報告シート!$A$6:$AF$2381</definedName>
    <definedName name="Z_854F60C9_1AFD_48A0_B014_3AB46927456F_.wvu.FilterData" localSheetId="0" hidden="1">受注報告シート!$A$6:$AF$2381</definedName>
    <definedName name="Z_860866E9_6DE3_4F30_B720_CB62CEC5779F_.wvu.FilterData" localSheetId="0" hidden="1">受注報告シート!$A$6:$AF$2381</definedName>
    <definedName name="Z_8636AB95_2261_423A_8B7A_0C09D833E125_.wvu.FilterData" localSheetId="0" hidden="1">受注報告シート!$A$6:$AF$2381</definedName>
    <definedName name="Z_8A41D51C_BF7C_4590_83E1_09277B7D998B_.wvu.FilterData" localSheetId="0" hidden="1">受注報告シート!$A$6:$AF$2381</definedName>
    <definedName name="Z_8EC43FA3_2CD2_4DC0_8BF6_36B8405B5936_.wvu.FilterData" localSheetId="0" hidden="1">受注報告シート!$A$1</definedName>
    <definedName name="Z_90AE177F_2220_4BFE_9E87_94A7EAFA9894_.wvu.FilterData" localSheetId="0" hidden="1">受注報告シート!$A$6:$AF$1415</definedName>
    <definedName name="Z_997F3B0A_0DEB_46AC_990C_D47DB78CDC14_.wvu.FilterData" localSheetId="0" hidden="1">受注報告シート!$A$6:$AF$2381</definedName>
    <definedName name="Z_A2B391B8_E0F8_46E8_9499_9F3C96955CD8_.wvu.FilterData" localSheetId="0" hidden="1">受注報告シート!$A$1:$T$2381</definedName>
    <definedName name="Z_A9C7EBE6_8457_4DA7_9917_93FE66352F67_.wvu.FilterData" localSheetId="0" hidden="1">受注報告シート!$A$6:$AF$1979</definedName>
    <definedName name="Z_AD355DC0_FD6E_4952_B80E_C3A5C2674E04_.wvu.FilterData" localSheetId="0" hidden="1">受注報告シート!$A$6:$AF$2381</definedName>
    <definedName name="Z_B8DA77DD_2322_4443_8D3F_69F6AEA81130_.wvu.FilterData" localSheetId="0" hidden="1">受注報告シート!$A$6:$AF$2381</definedName>
    <definedName name="Z_C51AA086_4568_423F_8390_B132AE294A8F_.wvu.FilterData" localSheetId="0" hidden="1">受注報告シート!$A$6:$AF$2381</definedName>
    <definedName name="Z_CB6501F0_D330_434A_B2A3_7078257C3F72_.wvu.FilterData" localSheetId="0" hidden="1">受注報告シート!$A$6:$AF$2381</definedName>
    <definedName name="Z_CD15E21E_006A_4781_B005_547293224C98_.wvu.FilterData" localSheetId="0" hidden="1">受注報告シート!$A$6:$AF$2381</definedName>
    <definedName name="Z_D167BC6F_AFE1_47E2_9969_CB7AF0E607B0_.wvu.FilterData" localSheetId="0" hidden="1">受注報告シート!$A$6:$AF$2381</definedName>
    <definedName name="Z_D7980260_FD91_45CD_9566_68E91FFD9751_.wvu.FilterData" localSheetId="0" hidden="1">受注報告シート!$A$6:$AF$2381</definedName>
    <definedName name="Z_EE508814_A1C4_48AF_8DF4_A79E51C43E8B_.wvu.FilterData" localSheetId="0" hidden="1">受注報告シート!$A$6:$AF$2381</definedName>
    <definedName name="Z_EF6682A6_CC1A_41AB_ADC8_FA86ED68654F_.wvu.FilterData" localSheetId="0" hidden="1">受注報告シート!$A$1:$T$2381</definedName>
    <definedName name="Z_F6634E3B_E82A_47A5_8A03_3E4643B43EC3_.wvu.FilterData" localSheetId="0" hidden="1">受注報告シート!$A$6:$AF$2381</definedName>
    <definedName name="Z_FFBED692_B24E_470B_80B5_585C55DE90E2_.wvu.FilterData" localSheetId="0" hidden="1">受注報告シート!$A$6:$AF$2381</definedName>
  </definedNames>
  <calcPr calcId="191029"/>
  <customWorkbookViews>
    <customWorkbookView name="長谷川" guid="{CB6501F0-D330-434A-B2A3-7078257C3F72}" maximized="1" windowWidth="0" windowHeight="0" activeSheetId="0"/>
    <customWorkbookView name="はが" guid="{12CBE8CD-D396-4247-8578-B4B776D1EB8A}" maximized="1" windowWidth="0" windowHeight="0" activeSheetId="0"/>
    <customWorkbookView name="小関" guid="{8636AB95-2261-423A-8B7A-0C09D833E125}" maximized="1" windowWidth="0" windowHeight="0" activeSheetId="0"/>
    <customWorkbookView name="川島" guid="{72042A9A-1D92-4DBF-9687-F152E88DC5A3}" maximized="1" windowWidth="0" windowHeight="0" activeSheetId="0"/>
    <customWorkbookView name="荻曽" guid="{D167BC6F-AFE1-47E2-9969-CB7AF0E607B0}" maximized="1" windowWidth="0" windowHeight="0" activeSheetId="0"/>
    <customWorkbookView name="大木" guid="{90AE177F-2220-4BFE-9E87-94A7EAFA9894}" maximized="1" windowWidth="0" windowHeight="0" activeSheetId="0"/>
    <customWorkbookView name="辻村" guid="{44933AF3-7F4A-4FE5-B775-70507980EDB9}" maximized="1" windowWidth="0" windowHeight="0" activeSheetId="0"/>
    <customWorkbookView name="小川" guid="{EE508814-A1C4-48AF-8DF4-A79E51C43E8B}" maximized="1" windowWidth="0" windowHeight="0" activeSheetId="0"/>
    <customWorkbookView name="木村" guid="{8A41D51C-BF7C-4590-83E1-09277B7D998B}" maximized="1" windowWidth="0" windowHeight="0" activeSheetId="0"/>
    <customWorkbookView name="栗原" guid="{D7980260-FD91-45CD-9566-68E91FFD9751}" maximized="1" windowWidth="0" windowHeight="0" activeSheetId="0"/>
    <customWorkbookView name="確認用" guid="{581B1818-0B7F-41C8-8C70-65F0AC471CE3}" maximized="1" windowWidth="0" windowHeight="0" activeSheetId="0"/>
    <customWorkbookView name="柿崎" guid="{B8DA77DD-2322-4443-8D3F-69F6AEA81130}" maximized="1" windowWidth="0" windowHeight="0" activeSheetId="0"/>
    <customWorkbookView name="池崎" guid="{3E7694CB-B55E-406A-9337-BA7A45E2A2E4}" maximized="1" windowWidth="0" windowHeight="0" activeSheetId="0"/>
    <customWorkbookView name="桑原" guid="{F6634E3B-E82A-47A5-8A03-3E4643B43EC3}" maximized="1" windowWidth="0" windowHeight="0" activeSheetId="0"/>
    <customWorkbookView name="なるせ" guid="{30128F4C-6E53-4628-99DA-BCD0C5878C0D}" maximized="1" windowWidth="0" windowHeight="0" activeSheetId="0"/>
    <customWorkbookView name="フィルタ 3" guid="{EF6682A6-CC1A-41AB-ADC8-FA86ED68654F}" maximized="1" windowWidth="0" windowHeight="0" activeSheetId="0"/>
    <customWorkbookView name="フィルタ 2" guid="{74B73AD7-6AD0-4F76-91A3-62B368CE602A}" maximized="1" windowWidth="0" windowHeight="0" activeSheetId="0"/>
    <customWorkbookView name="なるし　ま" guid="{04ABBFFC-4789-4733-ADD7-5EB6358E600B}" maximized="1" windowWidth="0" windowHeight="0" activeSheetId="0"/>
    <customWorkbookView name="フィルタ 5" guid="{75B890F1-DE67-455F-8E39-38461F3DA242}" maximized="1" windowWidth="0" windowHeight="0" activeSheetId="0"/>
    <customWorkbookView name="フィルタ 4" guid="{CD15E21E-006A-4781-B005-547293224C98}" maximized="1" windowWidth="0" windowHeight="0" activeSheetId="0"/>
    <customWorkbookView name="01_高宮" guid="{860866E9-6DE3-4F30-B720-CB62CEC5779F}" maximized="1" windowWidth="0" windowHeight="0" activeSheetId="0"/>
    <customWorkbookView name="フィルタ 1" guid="{A9C7EBE6-8457-4DA7-9917-93FE66352F67}" maximized="1" windowWidth="0" windowHeight="0" activeSheetId="0"/>
    <customWorkbookView name="村上" guid="{A2B391B8-E0F8-46E8-9499-9F3C96955CD8}" maximized="1" windowWidth="0" windowHeight="0" activeSheetId="0"/>
    <customWorkbookView name="田嶋" guid="{8EC43FA3-2CD2-4DC0-8BF6-36B8405B5936}" maximized="1" windowWidth="0" windowHeight="0" activeSheetId="0"/>
    <customWorkbookView name="フィルタ 6" guid="{479340DD-ED64-4B01-B8FF-A9FB4223527C}" maximized="1" windowWidth="0" windowHeight="0" activeSheetId="0"/>
    <customWorkbookView name="柳井" guid="{663F1E66-ED4F-4887-A46B-B04FB241E9AE}" maximized="1" windowWidth="0" windowHeight="0" activeSheetId="0"/>
    <customWorkbookView name="稲場" guid="{41B8FF29-11BB-423C-ABE9-E9C08DE8B6D9}" maximized="1" windowWidth="0" windowHeight="0" activeSheetId="0"/>
    <customWorkbookView name="太田" guid="{5EFC1763-94F5-418C-BFD2-AE86701462EB}" maximized="1" windowWidth="0" windowHeight="0" activeSheetId="0"/>
    <customWorkbookView name="松尾" guid="{48EA4D9F-C5F4-4E22-8B8F-CA94D9BABB66}" maximized="1" windowWidth="0" windowHeight="0" activeSheetId="0"/>
    <customWorkbookView name="石塚" guid="{854F60C9-1AFD-48A0-B014-3AB46927456F}" maximized="1" windowWidth="0" windowHeight="0" activeSheetId="0"/>
    <customWorkbookView name="きの" guid="{2A83487C-E9A2-4553-8F71-6EB5DAA7839A}" maximized="1" windowWidth="0" windowHeight="0" activeSheetId="0"/>
    <customWorkbookView name="桐山 勝気 [LIFULL] - 個人用ビュー" guid="{C51AA086-4568-423F-8390-B132AE294A8F}" maximized="1" windowWidth="0" windowHeight="0" activeSheetId="0"/>
    <customWorkbookView name="うちまる" guid="{3CC63D3F-E4E3-4E1E-BB1C-AEF38C947216}" maximized="1" windowWidth="0" windowHeight="0" activeSheetId="0"/>
    <customWorkbookView name="鹿島" guid="{AD355DC0-FD6E-4952-B80E-C3A5C2674E04}" maximized="1" windowWidth="0" windowHeight="0" activeSheetId="0"/>
    <customWorkbookView name="げんだあきお" guid="{05A03F09-7A4F-42B9-9B92-F3C19FC0FA89}" maximized="1" windowWidth="0" windowHeight="0" activeSheetId="0"/>
    <customWorkbookView name="奥野" guid="{997F3B0A-0DEB-46AC-990C-D47DB78CDC14}" maximized="1" windowWidth="0" windowHeight="0" activeSheetId="0"/>
    <customWorkbookView name="渋谷" guid="{3664E1BC-AB98-4C58-984C-7B09747EC4AC}" maximized="1" windowWidth="0" windowHeight="0" activeSheetId="0"/>
    <customWorkbookView name="老田" guid="{FFBED692-B24E-470B-80B5-585C55DE90E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4546" i="3" l="1"/>
  <c r="C24546" i="3"/>
  <c r="B24546" i="3"/>
  <c r="D24545" i="3"/>
  <c r="C24545" i="3"/>
  <c r="B24545" i="3"/>
  <c r="D24544" i="3"/>
  <c r="C24544" i="3"/>
  <c r="B24544" i="3"/>
  <c r="D24543" i="3"/>
  <c r="C24543" i="3"/>
  <c r="B24543" i="3"/>
  <c r="D24542" i="3"/>
  <c r="C24542" i="3"/>
  <c r="B24542" i="3"/>
  <c r="D24541" i="3"/>
  <c r="C24541" i="3"/>
  <c r="B24541" i="3"/>
  <c r="D24540" i="3"/>
  <c r="C24540" i="3"/>
  <c r="B24540" i="3"/>
  <c r="D24539" i="3"/>
  <c r="C24539" i="3"/>
  <c r="B24539" i="3"/>
  <c r="D24538" i="3"/>
  <c r="C24538" i="3"/>
  <c r="B24538" i="3"/>
  <c r="D24537" i="3"/>
  <c r="C24537" i="3"/>
  <c r="B24537" i="3"/>
  <c r="D24536" i="3"/>
  <c r="C24536" i="3"/>
  <c r="B24536" i="3"/>
  <c r="D24535" i="3"/>
  <c r="C24535" i="3"/>
  <c r="B24535" i="3"/>
  <c r="D24534" i="3"/>
  <c r="C24534" i="3"/>
  <c r="B24534" i="3"/>
  <c r="D24533" i="3"/>
  <c r="C24533" i="3"/>
  <c r="B24533" i="3"/>
  <c r="D24532" i="3"/>
  <c r="C24532" i="3"/>
  <c r="B24532" i="3"/>
  <c r="D24531" i="3"/>
  <c r="C24531" i="3"/>
  <c r="B24531" i="3"/>
  <c r="D24530" i="3"/>
  <c r="C24530" i="3"/>
  <c r="B24530" i="3"/>
  <c r="D24529" i="3"/>
  <c r="C24529" i="3"/>
  <c r="B24529" i="3"/>
  <c r="D24528" i="3"/>
  <c r="C24528" i="3"/>
  <c r="B24528" i="3"/>
  <c r="D24527" i="3"/>
  <c r="C24527" i="3"/>
  <c r="B24527" i="3"/>
  <c r="D24526" i="3"/>
  <c r="C24526" i="3"/>
  <c r="B24526" i="3"/>
  <c r="D24525" i="3"/>
  <c r="C24525" i="3"/>
  <c r="B24525" i="3"/>
  <c r="D24524" i="3"/>
  <c r="C24524" i="3"/>
  <c r="B24524" i="3"/>
  <c r="D24523" i="3"/>
  <c r="C24523" i="3"/>
  <c r="B24523" i="3"/>
  <c r="D24522" i="3"/>
  <c r="C24522" i="3"/>
  <c r="B24522" i="3"/>
  <c r="D24521" i="3"/>
  <c r="C24521" i="3"/>
  <c r="B24521" i="3"/>
  <c r="D24520" i="3"/>
  <c r="C24520" i="3"/>
  <c r="B24520" i="3"/>
  <c r="D24519" i="3"/>
  <c r="C24519" i="3"/>
  <c r="B24519" i="3"/>
  <c r="D24518" i="3"/>
  <c r="C24518" i="3"/>
  <c r="B24518" i="3"/>
  <c r="D24517" i="3"/>
  <c r="C24517" i="3"/>
  <c r="B24517" i="3"/>
  <c r="D24516" i="3"/>
  <c r="C24516" i="3"/>
  <c r="B24516" i="3"/>
  <c r="D24515" i="3"/>
  <c r="C24515" i="3"/>
  <c r="B24515" i="3"/>
  <c r="D24514" i="3"/>
  <c r="C24514" i="3"/>
  <c r="B24514" i="3"/>
  <c r="D24513" i="3"/>
  <c r="C24513" i="3"/>
  <c r="B24513" i="3"/>
  <c r="D24512" i="3"/>
  <c r="C24512" i="3"/>
  <c r="B24512" i="3"/>
  <c r="D24511" i="3"/>
  <c r="C24511" i="3"/>
  <c r="B24511" i="3"/>
  <c r="D24510" i="3"/>
  <c r="C24510" i="3"/>
  <c r="B24510" i="3"/>
  <c r="D24509" i="3"/>
  <c r="C24509" i="3"/>
  <c r="B24509" i="3"/>
  <c r="D24508" i="3"/>
  <c r="C24508" i="3"/>
  <c r="B24508" i="3"/>
  <c r="D24507" i="3"/>
  <c r="C24507" i="3"/>
  <c r="B24507" i="3"/>
  <c r="D24506" i="3"/>
  <c r="C24506" i="3"/>
  <c r="B24506" i="3"/>
  <c r="D24505" i="3"/>
  <c r="C24505" i="3"/>
  <c r="B24505" i="3"/>
  <c r="D24504" i="3"/>
  <c r="C24504" i="3"/>
  <c r="B24504" i="3"/>
  <c r="D24503" i="3"/>
  <c r="C24503" i="3"/>
  <c r="B24503" i="3"/>
  <c r="D24502" i="3"/>
  <c r="C24502" i="3"/>
  <c r="B24502" i="3"/>
  <c r="D24501" i="3"/>
  <c r="C24501" i="3"/>
  <c r="B24501" i="3"/>
  <c r="D24500" i="3"/>
  <c r="C24500" i="3"/>
  <c r="B24500" i="3"/>
  <c r="D24499" i="3"/>
  <c r="C24499" i="3"/>
  <c r="B24499" i="3"/>
  <c r="D24498" i="3"/>
  <c r="C24498" i="3"/>
  <c r="B24498" i="3"/>
  <c r="D24497" i="3"/>
  <c r="C24497" i="3"/>
  <c r="B24497" i="3"/>
  <c r="D24496" i="3"/>
  <c r="C24496" i="3"/>
  <c r="B24496" i="3"/>
  <c r="D24495" i="3"/>
  <c r="C24495" i="3"/>
  <c r="B24495" i="3"/>
  <c r="D24494" i="3"/>
  <c r="C24494" i="3"/>
  <c r="B24494" i="3"/>
  <c r="D24493" i="3"/>
  <c r="C24493" i="3"/>
  <c r="B24493" i="3"/>
  <c r="D24492" i="3"/>
  <c r="C24492" i="3"/>
  <c r="B24492" i="3"/>
  <c r="D24491" i="3"/>
  <c r="C24491" i="3"/>
  <c r="B24491" i="3"/>
  <c r="D24490" i="3"/>
  <c r="C24490" i="3"/>
  <c r="B24490" i="3"/>
  <c r="D24489" i="3"/>
  <c r="C24489" i="3"/>
  <c r="B24489" i="3"/>
  <c r="D24488" i="3"/>
  <c r="C24488" i="3"/>
  <c r="B24488" i="3"/>
  <c r="D24487" i="3"/>
  <c r="C24487" i="3"/>
  <c r="B24487" i="3"/>
  <c r="D24486" i="3"/>
  <c r="C24486" i="3"/>
  <c r="B24486" i="3"/>
  <c r="D24485" i="3"/>
  <c r="C24485" i="3"/>
  <c r="B24485" i="3"/>
  <c r="D24484" i="3"/>
  <c r="C24484" i="3"/>
  <c r="B24484" i="3"/>
  <c r="D24483" i="3"/>
  <c r="C24483" i="3"/>
  <c r="B24483" i="3"/>
  <c r="D24482" i="3"/>
  <c r="C24482" i="3"/>
  <c r="B24482" i="3"/>
  <c r="D24481" i="3"/>
  <c r="C24481" i="3"/>
  <c r="B24481" i="3"/>
  <c r="D24480" i="3"/>
  <c r="C24480" i="3"/>
  <c r="B24480" i="3"/>
  <c r="D24479" i="3"/>
  <c r="C24479" i="3"/>
  <c r="B24479" i="3"/>
  <c r="D24478" i="3"/>
  <c r="C24478" i="3"/>
  <c r="B24478" i="3"/>
  <c r="D24477" i="3"/>
  <c r="C24477" i="3"/>
  <c r="B24477" i="3"/>
  <c r="D24476" i="3"/>
  <c r="C24476" i="3"/>
  <c r="B24476" i="3"/>
  <c r="D24475" i="3"/>
  <c r="C24475" i="3"/>
  <c r="B24475" i="3"/>
  <c r="D24474" i="3"/>
  <c r="C24474" i="3"/>
  <c r="B24474" i="3"/>
  <c r="D24473" i="3"/>
  <c r="C24473" i="3"/>
  <c r="B24473" i="3"/>
  <c r="D24472" i="3"/>
  <c r="C24472" i="3"/>
  <c r="B24472" i="3"/>
  <c r="D24471" i="3"/>
  <c r="C24471" i="3"/>
  <c r="B24471" i="3"/>
  <c r="D24470" i="3"/>
  <c r="C24470" i="3"/>
  <c r="B24470" i="3"/>
  <c r="D24469" i="3"/>
  <c r="C24469" i="3"/>
  <c r="B24469" i="3"/>
  <c r="D24468" i="3"/>
  <c r="C24468" i="3"/>
  <c r="B24468" i="3"/>
  <c r="D24467" i="3"/>
  <c r="C24467" i="3"/>
  <c r="B24467" i="3"/>
  <c r="D24466" i="3"/>
  <c r="C24466" i="3"/>
  <c r="B24466" i="3"/>
  <c r="D24465" i="3"/>
  <c r="C24465" i="3"/>
  <c r="B24465" i="3"/>
  <c r="D24464" i="3"/>
  <c r="C24464" i="3"/>
  <c r="B24464" i="3"/>
  <c r="D24463" i="3"/>
  <c r="C24463" i="3"/>
  <c r="B24463" i="3"/>
  <c r="D24462" i="3"/>
  <c r="C24462" i="3"/>
  <c r="B24462" i="3"/>
  <c r="D24461" i="3"/>
  <c r="C24461" i="3"/>
  <c r="B24461" i="3"/>
  <c r="D24460" i="3"/>
  <c r="C24460" i="3"/>
  <c r="B24460" i="3"/>
  <c r="D24459" i="3"/>
  <c r="C24459" i="3"/>
  <c r="B24459" i="3"/>
  <c r="D24458" i="3"/>
  <c r="C24458" i="3"/>
  <c r="B24458" i="3"/>
  <c r="D24457" i="3"/>
  <c r="C24457" i="3"/>
  <c r="B24457" i="3"/>
  <c r="D24456" i="3"/>
  <c r="C24456" i="3"/>
  <c r="B24456" i="3"/>
  <c r="D24455" i="3"/>
  <c r="C24455" i="3"/>
  <c r="B24455" i="3"/>
  <c r="D24454" i="3"/>
  <c r="C24454" i="3"/>
  <c r="B24454" i="3"/>
  <c r="D24453" i="3"/>
  <c r="C24453" i="3"/>
  <c r="B24453" i="3"/>
  <c r="D24452" i="3"/>
  <c r="C24452" i="3"/>
  <c r="B24452" i="3"/>
  <c r="D24451" i="3"/>
  <c r="C24451" i="3"/>
  <c r="B24451" i="3"/>
  <c r="D24450" i="3"/>
  <c r="C24450" i="3"/>
  <c r="B24450" i="3"/>
  <c r="D24449" i="3"/>
  <c r="C24449" i="3"/>
  <c r="B24449" i="3"/>
  <c r="D24448" i="3"/>
  <c r="C24448" i="3"/>
  <c r="B24448" i="3"/>
  <c r="D24447" i="3"/>
  <c r="C24447" i="3"/>
  <c r="B24447" i="3"/>
  <c r="D24446" i="3"/>
  <c r="C24446" i="3"/>
  <c r="B24446" i="3"/>
  <c r="D24445" i="3"/>
  <c r="C24445" i="3"/>
  <c r="B24445" i="3"/>
  <c r="D24444" i="3"/>
  <c r="C24444" i="3"/>
  <c r="B24444" i="3"/>
  <c r="D24443" i="3"/>
  <c r="C24443" i="3"/>
  <c r="B24443" i="3"/>
  <c r="D24442" i="3"/>
  <c r="C24442" i="3"/>
  <c r="B24442" i="3"/>
  <c r="D24441" i="3"/>
  <c r="C24441" i="3"/>
  <c r="B24441" i="3"/>
  <c r="D24440" i="3"/>
  <c r="C24440" i="3"/>
  <c r="B24440" i="3"/>
  <c r="D24439" i="3"/>
  <c r="C24439" i="3"/>
  <c r="B24439" i="3"/>
  <c r="D24438" i="3"/>
  <c r="C24438" i="3"/>
  <c r="B24438" i="3"/>
  <c r="D24437" i="3"/>
  <c r="C24437" i="3"/>
  <c r="B24437" i="3"/>
  <c r="D24436" i="3"/>
  <c r="C24436" i="3"/>
  <c r="B24436" i="3"/>
  <c r="D24435" i="3"/>
  <c r="C24435" i="3"/>
  <c r="B24435" i="3"/>
  <c r="D24434" i="3"/>
  <c r="C24434" i="3"/>
  <c r="B24434" i="3"/>
  <c r="D24433" i="3"/>
  <c r="C24433" i="3"/>
  <c r="B24433" i="3"/>
  <c r="D24432" i="3"/>
  <c r="C24432" i="3"/>
  <c r="B24432" i="3"/>
  <c r="D24431" i="3"/>
  <c r="C24431" i="3"/>
  <c r="B24431" i="3"/>
  <c r="D24430" i="3"/>
  <c r="C24430" i="3"/>
  <c r="B24430" i="3"/>
  <c r="D24429" i="3"/>
  <c r="C24429" i="3"/>
  <c r="B24429" i="3"/>
  <c r="D24428" i="3"/>
  <c r="C24428" i="3"/>
  <c r="B24428" i="3"/>
  <c r="D24427" i="3"/>
  <c r="C24427" i="3"/>
  <c r="B24427" i="3"/>
  <c r="D24426" i="3"/>
  <c r="C24426" i="3"/>
  <c r="B24426" i="3"/>
  <c r="D24425" i="3"/>
  <c r="C24425" i="3"/>
  <c r="B24425" i="3"/>
  <c r="D24424" i="3"/>
  <c r="C24424" i="3"/>
  <c r="B24424" i="3"/>
  <c r="D24423" i="3"/>
  <c r="C24423" i="3"/>
  <c r="B24423" i="3"/>
  <c r="D24422" i="3"/>
  <c r="C24422" i="3"/>
  <c r="B24422" i="3"/>
  <c r="D24421" i="3"/>
  <c r="C24421" i="3"/>
  <c r="B24421" i="3"/>
  <c r="D24420" i="3"/>
  <c r="C24420" i="3"/>
  <c r="B24420" i="3"/>
  <c r="D24419" i="3"/>
  <c r="C24419" i="3"/>
  <c r="B24419" i="3"/>
  <c r="D24418" i="3"/>
  <c r="C24418" i="3"/>
  <c r="B24418" i="3"/>
  <c r="D24417" i="3"/>
  <c r="C24417" i="3"/>
  <c r="B24417" i="3"/>
  <c r="D24416" i="3"/>
  <c r="C24416" i="3"/>
  <c r="B24416" i="3"/>
  <c r="D24415" i="3"/>
  <c r="C24415" i="3"/>
  <c r="B24415" i="3"/>
  <c r="D24414" i="3"/>
  <c r="C24414" i="3"/>
  <c r="B24414" i="3"/>
  <c r="D24413" i="3"/>
  <c r="C24413" i="3"/>
  <c r="B24413" i="3"/>
  <c r="D24412" i="3"/>
  <c r="C24412" i="3"/>
  <c r="B24412" i="3"/>
  <c r="D24411" i="3"/>
  <c r="C24411" i="3"/>
  <c r="B24411" i="3"/>
  <c r="D24410" i="3"/>
  <c r="C24410" i="3"/>
  <c r="B24410" i="3"/>
  <c r="D24409" i="3"/>
  <c r="C24409" i="3"/>
  <c r="B24409" i="3"/>
  <c r="D24408" i="3"/>
  <c r="C24408" i="3"/>
  <c r="B24408" i="3"/>
  <c r="D24407" i="3"/>
  <c r="C24407" i="3"/>
  <c r="B24407" i="3"/>
  <c r="D24406" i="3"/>
  <c r="C24406" i="3"/>
  <c r="B24406" i="3"/>
  <c r="D24405" i="3"/>
  <c r="C24405" i="3"/>
  <c r="B24405" i="3"/>
  <c r="D24404" i="3"/>
  <c r="C24404" i="3"/>
  <c r="B24404" i="3"/>
  <c r="D24403" i="3"/>
  <c r="C24403" i="3"/>
  <c r="B24403" i="3"/>
  <c r="D24402" i="3"/>
  <c r="C24402" i="3"/>
  <c r="B24402" i="3"/>
  <c r="D24401" i="3"/>
  <c r="C24401" i="3"/>
  <c r="B24401" i="3"/>
  <c r="D24400" i="3"/>
  <c r="C24400" i="3"/>
  <c r="B24400" i="3"/>
  <c r="D24399" i="3"/>
  <c r="C24399" i="3"/>
  <c r="B24399" i="3"/>
  <c r="D24398" i="3"/>
  <c r="C24398" i="3"/>
  <c r="B24398" i="3"/>
  <c r="D24397" i="3"/>
  <c r="C24397" i="3"/>
  <c r="B24397" i="3"/>
  <c r="D24396" i="3"/>
  <c r="C24396" i="3"/>
  <c r="B24396" i="3"/>
  <c r="D24395" i="3"/>
  <c r="C24395" i="3"/>
  <c r="B24395" i="3"/>
  <c r="D24394" i="3"/>
  <c r="C24394" i="3"/>
  <c r="B24394" i="3"/>
  <c r="D24393" i="3"/>
  <c r="C24393" i="3"/>
  <c r="B24393" i="3"/>
  <c r="D24392" i="3"/>
  <c r="C24392" i="3"/>
  <c r="B24392" i="3"/>
  <c r="D24391" i="3"/>
  <c r="C24391" i="3"/>
  <c r="B24391" i="3"/>
  <c r="D24390" i="3"/>
  <c r="C24390" i="3"/>
  <c r="B24390" i="3"/>
  <c r="D24389" i="3"/>
  <c r="C24389" i="3"/>
  <c r="B24389" i="3"/>
  <c r="D24388" i="3"/>
  <c r="C24388" i="3"/>
  <c r="B24388" i="3"/>
  <c r="D24387" i="3"/>
  <c r="C24387" i="3"/>
  <c r="B24387" i="3"/>
  <c r="D24386" i="3"/>
  <c r="C24386" i="3"/>
  <c r="B24386" i="3"/>
  <c r="D24385" i="3"/>
  <c r="C24385" i="3"/>
  <c r="B24385" i="3"/>
  <c r="D24384" i="3"/>
  <c r="C24384" i="3"/>
  <c r="B24384" i="3"/>
  <c r="D24383" i="3"/>
  <c r="C24383" i="3"/>
  <c r="B24383" i="3"/>
  <c r="D24382" i="3"/>
  <c r="C24382" i="3"/>
  <c r="B24382" i="3"/>
  <c r="D24381" i="3"/>
  <c r="C24381" i="3"/>
  <c r="B24381" i="3"/>
  <c r="D24380" i="3"/>
  <c r="C24380" i="3"/>
  <c r="B24380" i="3"/>
  <c r="D24379" i="3"/>
  <c r="C24379" i="3"/>
  <c r="B24379" i="3"/>
  <c r="D24378" i="3"/>
  <c r="C24378" i="3"/>
  <c r="B24378" i="3"/>
  <c r="D24377" i="3"/>
  <c r="C24377" i="3"/>
  <c r="B24377" i="3"/>
  <c r="D24376" i="3"/>
  <c r="C24376" i="3"/>
  <c r="B24376" i="3"/>
  <c r="D24375" i="3"/>
  <c r="C24375" i="3"/>
  <c r="B24375" i="3"/>
  <c r="D24374" i="3"/>
  <c r="C24374" i="3"/>
  <c r="B24374" i="3"/>
  <c r="D24373" i="3"/>
  <c r="C24373" i="3"/>
  <c r="B24373" i="3"/>
  <c r="D24372" i="3"/>
  <c r="C24372" i="3"/>
  <c r="B24372" i="3"/>
  <c r="D24371" i="3"/>
  <c r="C24371" i="3"/>
  <c r="B24371" i="3"/>
  <c r="D24370" i="3"/>
  <c r="C24370" i="3"/>
  <c r="B24370" i="3"/>
  <c r="D24369" i="3"/>
  <c r="C24369" i="3"/>
  <c r="B24369" i="3"/>
  <c r="D24368" i="3"/>
  <c r="C24368" i="3"/>
  <c r="B24368" i="3"/>
  <c r="D24367" i="3"/>
  <c r="C24367" i="3"/>
  <c r="B24367" i="3"/>
  <c r="D24366" i="3"/>
  <c r="C24366" i="3"/>
  <c r="B24366" i="3"/>
  <c r="D24365" i="3"/>
  <c r="C24365" i="3"/>
  <c r="B24365" i="3"/>
  <c r="D24364" i="3"/>
  <c r="C24364" i="3"/>
  <c r="B24364" i="3"/>
  <c r="D24363" i="3"/>
  <c r="C24363" i="3"/>
  <c r="B24363" i="3"/>
  <c r="D24362" i="3"/>
  <c r="C24362" i="3"/>
  <c r="B24362" i="3"/>
  <c r="D24361" i="3"/>
  <c r="C24361" i="3"/>
  <c r="B24361" i="3"/>
  <c r="D24360" i="3"/>
  <c r="C24360" i="3"/>
  <c r="B24360" i="3"/>
  <c r="D24359" i="3"/>
  <c r="C24359" i="3"/>
  <c r="B24359" i="3"/>
  <c r="D24358" i="3"/>
  <c r="C24358" i="3"/>
  <c r="B24358" i="3"/>
  <c r="D24357" i="3"/>
  <c r="C24357" i="3"/>
  <c r="B24357" i="3"/>
  <c r="D24356" i="3"/>
  <c r="C24356" i="3"/>
  <c r="B24356" i="3"/>
  <c r="D24355" i="3"/>
  <c r="C24355" i="3"/>
  <c r="B24355" i="3"/>
  <c r="D24354" i="3"/>
  <c r="C24354" i="3"/>
  <c r="B24354" i="3"/>
  <c r="D24353" i="3"/>
  <c r="C24353" i="3"/>
  <c r="B24353" i="3"/>
  <c r="D24352" i="3"/>
  <c r="C24352" i="3"/>
  <c r="B24352" i="3"/>
  <c r="D24351" i="3"/>
  <c r="C24351" i="3"/>
  <c r="B24351" i="3"/>
  <c r="D24350" i="3"/>
  <c r="C24350" i="3"/>
  <c r="B24350" i="3"/>
  <c r="D24349" i="3"/>
  <c r="C24349" i="3"/>
  <c r="B24349" i="3"/>
  <c r="D24348" i="3"/>
  <c r="C24348" i="3"/>
  <c r="B24348" i="3"/>
  <c r="D24347" i="3"/>
  <c r="C24347" i="3"/>
  <c r="B24347" i="3"/>
  <c r="D24346" i="3"/>
  <c r="C24346" i="3"/>
  <c r="B24346" i="3"/>
  <c r="D24345" i="3"/>
  <c r="C24345" i="3"/>
  <c r="B24345" i="3"/>
  <c r="D24344" i="3"/>
  <c r="C24344" i="3"/>
  <c r="B24344" i="3"/>
  <c r="D24343" i="3"/>
  <c r="C24343" i="3"/>
  <c r="B24343" i="3"/>
  <c r="D24342" i="3"/>
  <c r="C24342" i="3"/>
  <c r="B24342" i="3"/>
  <c r="D24341" i="3"/>
  <c r="C24341" i="3"/>
  <c r="B24341" i="3"/>
  <c r="D24340" i="3"/>
  <c r="C24340" i="3"/>
  <c r="B24340" i="3"/>
  <c r="D24339" i="3"/>
  <c r="C24339" i="3"/>
  <c r="B24339" i="3"/>
  <c r="D24338" i="3"/>
  <c r="C24338" i="3"/>
  <c r="B24338" i="3"/>
  <c r="D24337" i="3"/>
  <c r="C24337" i="3"/>
  <c r="B24337" i="3"/>
  <c r="D24336" i="3"/>
  <c r="C24336" i="3"/>
  <c r="B24336" i="3"/>
  <c r="D24335" i="3"/>
  <c r="C24335" i="3"/>
  <c r="B24335" i="3"/>
  <c r="D24334" i="3"/>
  <c r="C24334" i="3"/>
  <c r="B24334" i="3"/>
  <c r="D24333" i="3"/>
  <c r="C24333" i="3"/>
  <c r="B24333" i="3"/>
  <c r="D24332" i="3"/>
  <c r="C24332" i="3"/>
  <c r="B24332" i="3"/>
  <c r="D24331" i="3"/>
  <c r="C24331" i="3"/>
  <c r="B24331" i="3"/>
  <c r="D24330" i="3"/>
  <c r="C24330" i="3"/>
  <c r="B24330" i="3"/>
  <c r="D24329" i="3"/>
  <c r="C24329" i="3"/>
  <c r="B24329" i="3"/>
  <c r="D24328" i="3"/>
  <c r="C24328" i="3"/>
  <c r="B24328" i="3"/>
  <c r="D24327" i="3"/>
  <c r="C24327" i="3"/>
  <c r="B24327" i="3"/>
  <c r="D24326" i="3"/>
  <c r="C24326" i="3"/>
  <c r="B24326" i="3"/>
  <c r="D24325" i="3"/>
  <c r="C24325" i="3"/>
  <c r="B24325" i="3"/>
  <c r="D24324" i="3"/>
  <c r="C24324" i="3"/>
  <c r="B24324" i="3"/>
  <c r="D24323" i="3"/>
  <c r="C24323" i="3"/>
  <c r="B24323" i="3"/>
  <c r="D24322" i="3"/>
  <c r="C24322" i="3"/>
  <c r="B24322" i="3"/>
  <c r="D24321" i="3"/>
  <c r="C24321" i="3"/>
  <c r="B24321" i="3"/>
  <c r="D24320" i="3"/>
  <c r="C24320" i="3"/>
  <c r="B24320" i="3"/>
  <c r="D24319" i="3"/>
  <c r="C24319" i="3"/>
  <c r="B24319" i="3"/>
  <c r="D24318" i="3"/>
  <c r="C24318" i="3"/>
  <c r="B24318" i="3"/>
  <c r="D24317" i="3"/>
  <c r="C24317" i="3"/>
  <c r="B24317" i="3"/>
  <c r="D24316" i="3"/>
  <c r="C24316" i="3"/>
  <c r="B24316" i="3"/>
  <c r="D24315" i="3"/>
  <c r="C24315" i="3"/>
  <c r="B24315" i="3"/>
  <c r="D24314" i="3"/>
  <c r="C24314" i="3"/>
  <c r="B24314" i="3"/>
  <c r="D24313" i="3"/>
  <c r="C24313" i="3"/>
  <c r="B24313" i="3"/>
  <c r="D24312" i="3"/>
  <c r="C24312" i="3"/>
  <c r="B24312" i="3"/>
  <c r="D24311" i="3"/>
  <c r="C24311" i="3"/>
  <c r="B24311" i="3"/>
  <c r="D24310" i="3"/>
  <c r="C24310" i="3"/>
  <c r="B24310" i="3"/>
  <c r="D24309" i="3"/>
  <c r="C24309" i="3"/>
  <c r="B24309" i="3"/>
  <c r="D24308" i="3"/>
  <c r="C24308" i="3"/>
  <c r="B24308" i="3"/>
  <c r="D24307" i="3"/>
  <c r="C24307" i="3"/>
  <c r="B24307" i="3"/>
  <c r="D24306" i="3"/>
  <c r="C24306" i="3"/>
  <c r="B24306" i="3"/>
  <c r="D24305" i="3"/>
  <c r="C24305" i="3"/>
  <c r="B24305" i="3"/>
  <c r="D24304" i="3"/>
  <c r="C24304" i="3"/>
  <c r="B24304" i="3"/>
  <c r="D24303" i="3"/>
  <c r="C24303" i="3"/>
  <c r="B24303" i="3"/>
  <c r="D24302" i="3"/>
  <c r="C24302" i="3"/>
  <c r="B24302" i="3"/>
  <c r="D24301" i="3"/>
  <c r="C24301" i="3"/>
  <c r="B24301" i="3"/>
  <c r="D24300" i="3"/>
  <c r="C24300" i="3"/>
  <c r="B24300" i="3"/>
  <c r="D24299" i="3"/>
  <c r="C24299" i="3"/>
  <c r="B24299" i="3"/>
  <c r="D24298" i="3"/>
  <c r="C24298" i="3"/>
  <c r="B24298" i="3"/>
  <c r="D24297" i="3"/>
  <c r="C24297" i="3"/>
  <c r="B24297" i="3"/>
  <c r="D24296" i="3"/>
  <c r="C24296" i="3"/>
  <c r="B24296" i="3"/>
  <c r="D24295" i="3"/>
  <c r="C24295" i="3"/>
  <c r="B24295" i="3"/>
  <c r="D24294" i="3"/>
  <c r="C24294" i="3"/>
  <c r="B24294" i="3"/>
  <c r="D24293" i="3"/>
  <c r="C24293" i="3"/>
  <c r="B24293" i="3"/>
  <c r="D24292" i="3"/>
  <c r="C24292" i="3"/>
  <c r="B24292" i="3"/>
  <c r="D24291" i="3"/>
  <c r="C24291" i="3"/>
  <c r="B24291" i="3"/>
  <c r="D24290" i="3"/>
  <c r="C24290" i="3"/>
  <c r="B24290" i="3"/>
  <c r="D24289" i="3"/>
  <c r="C24289" i="3"/>
  <c r="B24289" i="3"/>
  <c r="D24288" i="3"/>
  <c r="C24288" i="3"/>
  <c r="B24288" i="3"/>
  <c r="D24287" i="3"/>
  <c r="C24287" i="3"/>
  <c r="B24287" i="3"/>
  <c r="D24286" i="3"/>
  <c r="C24286" i="3"/>
  <c r="B24286" i="3"/>
  <c r="D24285" i="3"/>
  <c r="C24285" i="3"/>
  <c r="B24285" i="3"/>
  <c r="D24284" i="3"/>
  <c r="C24284" i="3"/>
  <c r="B24284" i="3"/>
  <c r="D24283" i="3"/>
  <c r="C24283" i="3"/>
  <c r="B24283" i="3"/>
  <c r="D24282" i="3"/>
  <c r="C24282" i="3"/>
  <c r="B24282" i="3"/>
  <c r="D24281" i="3"/>
  <c r="C24281" i="3"/>
  <c r="B24281" i="3"/>
  <c r="D24280" i="3"/>
  <c r="C24280" i="3"/>
  <c r="B24280" i="3"/>
  <c r="D24279" i="3"/>
  <c r="C24279" i="3"/>
  <c r="B24279" i="3"/>
  <c r="D24278" i="3"/>
  <c r="C24278" i="3"/>
  <c r="B24278" i="3"/>
  <c r="D24277" i="3"/>
  <c r="C24277" i="3"/>
  <c r="B24277" i="3"/>
  <c r="D24276" i="3"/>
  <c r="C24276" i="3"/>
  <c r="B24276" i="3"/>
  <c r="D24275" i="3"/>
  <c r="C24275" i="3"/>
  <c r="B24275" i="3"/>
  <c r="D24274" i="3"/>
  <c r="C24274" i="3"/>
  <c r="B24274" i="3"/>
  <c r="D24273" i="3"/>
  <c r="C24273" i="3"/>
  <c r="B24273" i="3"/>
  <c r="D24272" i="3"/>
  <c r="C24272" i="3"/>
  <c r="B24272" i="3"/>
  <c r="D24271" i="3"/>
  <c r="C24271" i="3"/>
  <c r="B24271" i="3"/>
  <c r="D24270" i="3"/>
  <c r="C24270" i="3"/>
  <c r="B24270" i="3"/>
  <c r="D24269" i="3"/>
  <c r="C24269" i="3"/>
  <c r="B24269" i="3"/>
  <c r="D24268" i="3"/>
  <c r="C24268" i="3"/>
  <c r="B24268" i="3"/>
  <c r="D24267" i="3"/>
  <c r="C24267" i="3"/>
  <c r="B24267" i="3"/>
  <c r="D24266" i="3"/>
  <c r="C24266" i="3"/>
  <c r="B24266" i="3"/>
  <c r="D24265" i="3"/>
  <c r="C24265" i="3"/>
  <c r="B24265" i="3"/>
  <c r="D24264" i="3"/>
  <c r="C24264" i="3"/>
  <c r="B24264" i="3"/>
  <c r="D24263" i="3"/>
  <c r="C24263" i="3"/>
  <c r="B24263" i="3"/>
  <c r="D24262" i="3"/>
  <c r="C24262" i="3"/>
  <c r="B24262" i="3"/>
  <c r="D24261" i="3"/>
  <c r="C24261" i="3"/>
  <c r="B24261" i="3"/>
  <c r="D24260" i="3"/>
  <c r="C24260" i="3"/>
  <c r="B24260" i="3"/>
  <c r="D24259" i="3"/>
  <c r="C24259" i="3"/>
  <c r="B24259" i="3"/>
  <c r="D24258" i="3"/>
  <c r="C24258" i="3"/>
  <c r="B24258" i="3"/>
  <c r="D24257" i="3"/>
  <c r="C24257" i="3"/>
  <c r="B24257" i="3"/>
  <c r="D24256" i="3"/>
  <c r="C24256" i="3"/>
  <c r="B24256" i="3"/>
  <c r="D24255" i="3"/>
  <c r="C24255" i="3"/>
  <c r="B24255" i="3"/>
  <c r="D24254" i="3"/>
  <c r="C24254" i="3"/>
  <c r="B24254" i="3"/>
  <c r="D24253" i="3"/>
  <c r="C24253" i="3"/>
  <c r="B24253" i="3"/>
  <c r="D24252" i="3"/>
  <c r="C24252" i="3"/>
  <c r="B24252" i="3"/>
  <c r="D24251" i="3"/>
  <c r="C24251" i="3"/>
  <c r="B24251" i="3"/>
  <c r="D24250" i="3"/>
  <c r="C24250" i="3"/>
  <c r="B24250" i="3"/>
  <c r="D24249" i="3"/>
  <c r="C24249" i="3"/>
  <c r="B24249" i="3"/>
  <c r="D24248" i="3"/>
  <c r="C24248" i="3"/>
  <c r="B24248" i="3"/>
  <c r="D24247" i="3"/>
  <c r="C24247" i="3"/>
  <c r="B24247" i="3"/>
  <c r="D24246" i="3"/>
  <c r="C24246" i="3"/>
  <c r="B24246" i="3"/>
  <c r="D24245" i="3"/>
  <c r="C24245" i="3"/>
  <c r="B24245" i="3"/>
  <c r="D24244" i="3"/>
  <c r="C24244" i="3"/>
  <c r="B24244" i="3"/>
  <c r="D24243" i="3"/>
  <c r="C24243" i="3"/>
  <c r="B24243" i="3"/>
  <c r="D24242" i="3"/>
  <c r="C24242" i="3"/>
  <c r="B24242" i="3"/>
  <c r="D24241" i="3"/>
  <c r="C24241" i="3"/>
  <c r="B24241" i="3"/>
  <c r="D24240" i="3"/>
  <c r="C24240" i="3"/>
  <c r="B24240" i="3"/>
  <c r="D24239" i="3"/>
  <c r="C24239" i="3"/>
  <c r="B24239" i="3"/>
  <c r="D24238" i="3"/>
  <c r="C24238" i="3"/>
  <c r="B24238" i="3"/>
  <c r="D24237" i="3"/>
  <c r="C24237" i="3"/>
  <c r="B24237" i="3"/>
  <c r="D24236" i="3"/>
  <c r="C24236" i="3"/>
  <c r="B24236" i="3"/>
  <c r="D24235" i="3"/>
  <c r="C24235" i="3"/>
  <c r="B24235" i="3"/>
  <c r="D24234" i="3"/>
  <c r="C24234" i="3"/>
  <c r="B24234" i="3"/>
  <c r="D24233" i="3"/>
  <c r="C24233" i="3"/>
  <c r="B24233" i="3"/>
  <c r="D24232" i="3"/>
  <c r="C24232" i="3"/>
  <c r="B24232" i="3"/>
  <c r="D24231" i="3"/>
  <c r="C24231" i="3"/>
  <c r="B24231" i="3"/>
  <c r="D24230" i="3"/>
  <c r="C24230" i="3"/>
  <c r="B24230" i="3"/>
  <c r="D24229" i="3"/>
  <c r="C24229" i="3"/>
  <c r="B24229" i="3"/>
  <c r="D24228" i="3"/>
  <c r="C24228" i="3"/>
  <c r="B24228" i="3"/>
  <c r="D24227" i="3"/>
  <c r="C24227" i="3"/>
  <c r="B24227" i="3"/>
  <c r="D24226" i="3"/>
  <c r="C24226" i="3"/>
  <c r="B24226" i="3"/>
  <c r="D24225" i="3"/>
  <c r="C24225" i="3"/>
  <c r="B24225" i="3"/>
  <c r="D24224" i="3"/>
  <c r="C24224" i="3"/>
  <c r="B24224" i="3"/>
  <c r="D24223" i="3"/>
  <c r="C24223" i="3"/>
  <c r="B24223" i="3"/>
  <c r="D24222" i="3"/>
  <c r="C24222" i="3"/>
  <c r="B24222" i="3"/>
  <c r="D24221" i="3"/>
  <c r="C24221" i="3"/>
  <c r="B24221" i="3"/>
  <c r="D24220" i="3"/>
  <c r="C24220" i="3"/>
  <c r="B24220" i="3"/>
  <c r="D24219" i="3"/>
  <c r="C24219" i="3"/>
  <c r="B24219" i="3"/>
  <c r="D24218" i="3"/>
  <c r="C24218" i="3"/>
  <c r="B24218" i="3"/>
  <c r="D24217" i="3"/>
  <c r="C24217" i="3"/>
  <c r="B24217" i="3"/>
  <c r="D24216" i="3"/>
  <c r="C24216" i="3"/>
  <c r="B24216" i="3"/>
  <c r="D24215" i="3"/>
  <c r="C24215" i="3"/>
  <c r="B24215" i="3"/>
  <c r="D24214" i="3"/>
  <c r="C24214" i="3"/>
  <c r="B24214" i="3"/>
  <c r="D24213" i="3"/>
  <c r="C24213" i="3"/>
  <c r="B24213" i="3"/>
  <c r="D24212" i="3"/>
  <c r="C24212" i="3"/>
  <c r="B24212" i="3"/>
  <c r="D24211" i="3"/>
  <c r="C24211" i="3"/>
  <c r="B24211" i="3"/>
  <c r="D24210" i="3"/>
  <c r="C24210" i="3"/>
  <c r="B24210" i="3"/>
  <c r="D24209" i="3"/>
  <c r="C24209" i="3"/>
  <c r="B24209" i="3"/>
  <c r="D24208" i="3"/>
  <c r="C24208" i="3"/>
  <c r="B24208" i="3"/>
  <c r="D24207" i="3"/>
  <c r="C24207" i="3"/>
  <c r="B24207" i="3"/>
  <c r="D24206" i="3"/>
  <c r="C24206" i="3"/>
  <c r="B24206" i="3"/>
  <c r="D24205" i="3"/>
  <c r="C24205" i="3"/>
  <c r="B24205" i="3"/>
  <c r="D24204" i="3"/>
  <c r="C24204" i="3"/>
  <c r="B24204" i="3"/>
  <c r="D24203" i="3"/>
  <c r="C24203" i="3"/>
  <c r="B24203" i="3"/>
  <c r="D24202" i="3"/>
  <c r="C24202" i="3"/>
  <c r="B24202" i="3"/>
  <c r="D24201" i="3"/>
  <c r="C24201" i="3"/>
  <c r="B24201" i="3"/>
  <c r="D24200" i="3"/>
  <c r="C24200" i="3"/>
  <c r="B24200" i="3"/>
  <c r="D24199" i="3"/>
  <c r="C24199" i="3"/>
  <c r="B24199" i="3"/>
  <c r="D24198" i="3"/>
  <c r="C24198" i="3"/>
  <c r="B24198" i="3"/>
  <c r="D24197" i="3"/>
  <c r="C24197" i="3"/>
  <c r="B24197" i="3"/>
  <c r="D24196" i="3"/>
  <c r="C24196" i="3"/>
  <c r="B24196" i="3"/>
  <c r="D24195" i="3"/>
  <c r="C24195" i="3"/>
  <c r="B24195" i="3"/>
  <c r="D24194" i="3"/>
  <c r="C24194" i="3"/>
  <c r="B24194" i="3"/>
  <c r="D24193" i="3"/>
  <c r="C24193" i="3"/>
  <c r="B24193" i="3"/>
  <c r="D24192" i="3"/>
  <c r="C24192" i="3"/>
  <c r="B24192" i="3"/>
  <c r="D24191" i="3"/>
  <c r="C24191" i="3"/>
  <c r="B24191" i="3"/>
  <c r="D24190" i="3"/>
  <c r="C24190" i="3"/>
  <c r="B24190" i="3"/>
  <c r="D24189" i="3"/>
  <c r="C24189" i="3"/>
  <c r="B24189" i="3"/>
  <c r="D24188" i="3"/>
  <c r="C24188" i="3"/>
  <c r="B24188" i="3"/>
  <c r="D24187" i="3"/>
  <c r="C24187" i="3"/>
  <c r="B24187" i="3"/>
  <c r="D24186" i="3"/>
  <c r="C24186" i="3"/>
  <c r="B24186" i="3"/>
  <c r="D24185" i="3"/>
  <c r="C24185" i="3"/>
  <c r="B24185" i="3"/>
  <c r="D24184" i="3"/>
  <c r="C24184" i="3"/>
  <c r="B24184" i="3"/>
  <c r="D24183" i="3"/>
  <c r="C24183" i="3"/>
  <c r="B24183" i="3"/>
  <c r="D24182" i="3"/>
  <c r="C24182" i="3"/>
  <c r="B24182" i="3"/>
  <c r="D24181" i="3"/>
  <c r="C24181" i="3"/>
  <c r="B24181" i="3"/>
  <c r="D24180" i="3"/>
  <c r="C24180" i="3"/>
  <c r="B24180" i="3"/>
  <c r="D24179" i="3"/>
  <c r="C24179" i="3"/>
  <c r="B24179" i="3"/>
  <c r="D24178" i="3"/>
  <c r="C24178" i="3"/>
  <c r="B24178" i="3"/>
  <c r="D24177" i="3"/>
  <c r="C24177" i="3"/>
  <c r="B24177" i="3"/>
  <c r="D24176" i="3"/>
  <c r="C24176" i="3"/>
  <c r="B24176" i="3"/>
  <c r="D24175" i="3"/>
  <c r="C24175" i="3"/>
  <c r="B24175" i="3"/>
  <c r="D24174" i="3"/>
  <c r="C24174" i="3"/>
  <c r="B24174" i="3"/>
  <c r="D24173" i="3"/>
  <c r="C24173" i="3"/>
  <c r="B24173" i="3"/>
  <c r="D24172" i="3"/>
  <c r="C24172" i="3"/>
  <c r="B24172" i="3"/>
  <c r="D24171" i="3"/>
  <c r="C24171" i="3"/>
  <c r="B24171" i="3"/>
  <c r="D24170" i="3"/>
  <c r="C24170" i="3"/>
  <c r="B24170" i="3"/>
  <c r="D24169" i="3"/>
  <c r="C24169" i="3"/>
  <c r="B24169" i="3"/>
  <c r="D24168" i="3"/>
  <c r="C24168" i="3"/>
  <c r="B24168" i="3"/>
  <c r="D24167" i="3"/>
  <c r="C24167" i="3"/>
  <c r="B24167" i="3"/>
  <c r="D24166" i="3"/>
  <c r="C24166" i="3"/>
  <c r="B24166" i="3"/>
  <c r="D24165" i="3"/>
  <c r="C24165" i="3"/>
  <c r="B24165" i="3"/>
  <c r="D24164" i="3"/>
  <c r="C24164" i="3"/>
  <c r="B24164" i="3"/>
  <c r="D24163" i="3"/>
  <c r="C24163" i="3"/>
  <c r="B24163" i="3"/>
  <c r="D24162" i="3"/>
  <c r="C24162" i="3"/>
  <c r="B24162" i="3"/>
  <c r="D24161" i="3"/>
  <c r="C24161" i="3"/>
  <c r="B24161" i="3"/>
  <c r="D24160" i="3"/>
  <c r="C24160" i="3"/>
  <c r="B24160" i="3"/>
  <c r="D24159" i="3"/>
  <c r="C24159" i="3"/>
  <c r="B24159" i="3"/>
  <c r="D24158" i="3"/>
  <c r="C24158" i="3"/>
  <c r="B24158" i="3"/>
  <c r="D24157" i="3"/>
  <c r="C24157" i="3"/>
  <c r="B24157" i="3"/>
  <c r="D24156" i="3"/>
  <c r="C24156" i="3"/>
  <c r="B24156" i="3"/>
  <c r="D24155" i="3"/>
  <c r="C24155" i="3"/>
  <c r="B24155" i="3"/>
  <c r="D24154" i="3"/>
  <c r="C24154" i="3"/>
  <c r="B24154" i="3"/>
  <c r="D24153" i="3"/>
  <c r="C24153" i="3"/>
  <c r="B24153" i="3"/>
  <c r="D24152" i="3"/>
  <c r="C24152" i="3"/>
  <c r="B24152" i="3"/>
  <c r="D24151" i="3"/>
  <c r="C24151" i="3"/>
  <c r="B24151" i="3"/>
  <c r="D24150" i="3"/>
  <c r="C24150" i="3"/>
  <c r="B24150" i="3"/>
  <c r="D24149" i="3"/>
  <c r="C24149" i="3"/>
  <c r="B24149" i="3"/>
  <c r="D24148" i="3"/>
  <c r="C24148" i="3"/>
  <c r="B24148" i="3"/>
  <c r="D24147" i="3"/>
  <c r="C24147" i="3"/>
  <c r="B24147" i="3"/>
  <c r="D24146" i="3"/>
  <c r="C24146" i="3"/>
  <c r="B24146" i="3"/>
  <c r="D24145" i="3"/>
  <c r="C24145" i="3"/>
  <c r="B24145" i="3"/>
  <c r="D24144" i="3"/>
  <c r="C24144" i="3"/>
  <c r="B24144" i="3"/>
  <c r="D24143" i="3"/>
  <c r="C24143" i="3"/>
  <c r="B24143" i="3"/>
  <c r="D24142" i="3"/>
  <c r="C24142" i="3"/>
  <c r="B24142" i="3"/>
  <c r="D24141" i="3"/>
  <c r="C24141" i="3"/>
  <c r="B24141" i="3"/>
  <c r="D24140" i="3"/>
  <c r="C24140" i="3"/>
  <c r="B24140" i="3"/>
  <c r="D24139" i="3"/>
  <c r="C24139" i="3"/>
  <c r="B24139" i="3"/>
  <c r="D24138" i="3"/>
  <c r="C24138" i="3"/>
  <c r="B24138" i="3"/>
  <c r="D24137" i="3"/>
  <c r="C24137" i="3"/>
  <c r="B24137" i="3"/>
  <c r="D24136" i="3"/>
  <c r="C24136" i="3"/>
  <c r="B24136" i="3"/>
  <c r="D24135" i="3"/>
  <c r="C24135" i="3"/>
  <c r="B24135" i="3"/>
  <c r="D24134" i="3"/>
  <c r="C24134" i="3"/>
  <c r="B24134" i="3"/>
  <c r="D24133" i="3"/>
  <c r="C24133" i="3"/>
  <c r="B24133" i="3"/>
  <c r="D24132" i="3"/>
  <c r="C24132" i="3"/>
  <c r="B24132" i="3"/>
  <c r="D24131" i="3"/>
  <c r="C24131" i="3"/>
  <c r="B24131" i="3"/>
  <c r="D24130" i="3"/>
  <c r="C24130" i="3"/>
  <c r="B24130" i="3"/>
  <c r="D24129" i="3"/>
  <c r="C24129" i="3"/>
  <c r="B24129" i="3"/>
  <c r="D24128" i="3"/>
  <c r="C24128" i="3"/>
  <c r="B24128" i="3"/>
  <c r="D24127" i="3"/>
  <c r="C24127" i="3"/>
  <c r="B24127" i="3"/>
  <c r="D24126" i="3"/>
  <c r="C24126" i="3"/>
  <c r="B24126" i="3"/>
  <c r="D24125" i="3"/>
  <c r="C24125" i="3"/>
  <c r="B24125" i="3"/>
  <c r="D24124" i="3"/>
  <c r="C24124" i="3"/>
  <c r="B24124" i="3"/>
  <c r="D24123" i="3"/>
  <c r="C24123" i="3"/>
  <c r="B24123" i="3"/>
  <c r="D24122" i="3"/>
  <c r="C24122" i="3"/>
  <c r="B24122" i="3"/>
  <c r="D24121" i="3"/>
  <c r="C24121" i="3"/>
  <c r="B24121" i="3"/>
  <c r="D24120" i="3"/>
  <c r="C24120" i="3"/>
  <c r="B24120" i="3"/>
  <c r="D24119" i="3"/>
  <c r="C24119" i="3"/>
  <c r="B24119" i="3"/>
  <c r="D24118" i="3"/>
  <c r="C24118" i="3"/>
  <c r="B24118" i="3"/>
  <c r="D24117" i="3"/>
  <c r="C24117" i="3"/>
  <c r="B24117" i="3"/>
  <c r="D24116" i="3"/>
  <c r="C24116" i="3"/>
  <c r="B24116" i="3"/>
  <c r="D24115" i="3"/>
  <c r="C24115" i="3"/>
  <c r="B24115" i="3"/>
  <c r="D24114" i="3"/>
  <c r="C24114" i="3"/>
  <c r="B24114" i="3"/>
  <c r="D24113" i="3"/>
  <c r="C24113" i="3"/>
  <c r="B24113" i="3"/>
  <c r="D24112" i="3"/>
  <c r="C24112" i="3"/>
  <c r="B24112" i="3"/>
  <c r="D24111" i="3"/>
  <c r="C24111" i="3"/>
  <c r="B24111" i="3"/>
  <c r="D24110" i="3"/>
  <c r="C24110" i="3"/>
  <c r="B24110" i="3"/>
  <c r="D24109" i="3"/>
  <c r="C24109" i="3"/>
  <c r="B24109" i="3"/>
  <c r="D24108" i="3"/>
  <c r="C24108" i="3"/>
  <c r="B24108" i="3"/>
  <c r="D24107" i="3"/>
  <c r="C24107" i="3"/>
  <c r="B24107" i="3"/>
  <c r="D24106" i="3"/>
  <c r="C24106" i="3"/>
  <c r="B24106" i="3"/>
  <c r="D24105" i="3"/>
  <c r="C24105" i="3"/>
  <c r="B24105" i="3"/>
  <c r="D24104" i="3"/>
  <c r="C24104" i="3"/>
  <c r="B24104" i="3"/>
  <c r="D24103" i="3"/>
  <c r="C24103" i="3"/>
  <c r="B24103" i="3"/>
  <c r="D24102" i="3"/>
  <c r="C24102" i="3"/>
  <c r="B24102" i="3"/>
  <c r="D24101" i="3"/>
  <c r="C24101" i="3"/>
  <c r="B24101" i="3"/>
  <c r="D24100" i="3"/>
  <c r="C24100" i="3"/>
  <c r="B24100" i="3"/>
  <c r="D24099" i="3"/>
  <c r="C24099" i="3"/>
  <c r="B24099" i="3"/>
  <c r="D24098" i="3"/>
  <c r="C24098" i="3"/>
  <c r="B24098" i="3"/>
  <c r="D24097" i="3"/>
  <c r="C24097" i="3"/>
  <c r="B24097" i="3"/>
  <c r="D24096" i="3"/>
  <c r="C24096" i="3"/>
  <c r="B24096" i="3"/>
  <c r="D24095" i="3"/>
  <c r="C24095" i="3"/>
  <c r="B24095" i="3"/>
  <c r="D24094" i="3"/>
  <c r="C24094" i="3"/>
  <c r="B24094" i="3"/>
  <c r="D24093" i="3"/>
  <c r="C24093" i="3"/>
  <c r="B24093" i="3"/>
  <c r="D24092" i="3"/>
  <c r="C24092" i="3"/>
  <c r="B24092" i="3"/>
  <c r="D24091" i="3"/>
  <c r="C24091" i="3"/>
  <c r="B24091" i="3"/>
  <c r="D24090" i="3"/>
  <c r="C24090" i="3"/>
  <c r="B24090" i="3"/>
  <c r="D24089" i="3"/>
  <c r="C24089" i="3"/>
  <c r="B24089" i="3"/>
  <c r="D24088" i="3"/>
  <c r="C24088" i="3"/>
  <c r="B24088" i="3"/>
  <c r="D24087" i="3"/>
  <c r="C24087" i="3"/>
  <c r="B24087" i="3"/>
  <c r="D24086" i="3"/>
  <c r="C24086" i="3"/>
  <c r="B24086" i="3"/>
  <c r="D24085" i="3"/>
  <c r="C24085" i="3"/>
  <c r="B24085" i="3"/>
  <c r="D24084" i="3"/>
  <c r="C24084" i="3"/>
  <c r="B24084" i="3"/>
  <c r="D24083" i="3"/>
  <c r="C24083" i="3"/>
  <c r="B24083" i="3"/>
  <c r="D24082" i="3"/>
  <c r="C24082" i="3"/>
  <c r="B24082" i="3"/>
  <c r="D24081" i="3"/>
  <c r="C24081" i="3"/>
  <c r="B24081" i="3"/>
  <c r="D24080" i="3"/>
  <c r="C24080" i="3"/>
  <c r="B24080" i="3"/>
  <c r="D24079" i="3"/>
  <c r="C24079" i="3"/>
  <c r="B24079" i="3"/>
  <c r="D24078" i="3"/>
  <c r="C24078" i="3"/>
  <c r="B24078" i="3"/>
  <c r="D24077" i="3"/>
  <c r="C24077" i="3"/>
  <c r="B24077" i="3"/>
  <c r="D24076" i="3"/>
  <c r="C24076" i="3"/>
  <c r="B24076" i="3"/>
  <c r="D24075" i="3"/>
  <c r="C24075" i="3"/>
  <c r="B24075" i="3"/>
  <c r="D24074" i="3"/>
  <c r="C24074" i="3"/>
  <c r="B24074" i="3"/>
  <c r="D24073" i="3"/>
  <c r="C24073" i="3"/>
  <c r="B24073" i="3"/>
  <c r="D24072" i="3"/>
  <c r="C24072" i="3"/>
  <c r="B24072" i="3"/>
  <c r="D24071" i="3"/>
  <c r="C24071" i="3"/>
  <c r="B24071" i="3"/>
  <c r="D24070" i="3"/>
  <c r="C24070" i="3"/>
  <c r="B24070" i="3"/>
  <c r="D24069" i="3"/>
  <c r="C24069" i="3"/>
  <c r="B24069" i="3"/>
  <c r="D24068" i="3"/>
  <c r="C24068" i="3"/>
  <c r="B24068" i="3"/>
  <c r="D24067" i="3"/>
  <c r="C24067" i="3"/>
  <c r="B24067" i="3"/>
  <c r="D24066" i="3"/>
  <c r="C24066" i="3"/>
  <c r="B24066" i="3"/>
  <c r="D24065" i="3"/>
  <c r="C24065" i="3"/>
  <c r="B24065" i="3"/>
  <c r="D24064" i="3"/>
  <c r="C24064" i="3"/>
  <c r="B24064" i="3"/>
  <c r="D24063" i="3"/>
  <c r="C24063" i="3"/>
  <c r="B24063" i="3"/>
  <c r="D24062" i="3"/>
  <c r="C24062" i="3"/>
  <c r="B24062" i="3"/>
  <c r="D24061" i="3"/>
  <c r="C24061" i="3"/>
  <c r="B24061" i="3"/>
  <c r="D24060" i="3"/>
  <c r="C24060" i="3"/>
  <c r="B24060" i="3"/>
  <c r="D24059" i="3"/>
  <c r="C24059" i="3"/>
  <c r="B24059" i="3"/>
  <c r="D24058" i="3"/>
  <c r="C24058" i="3"/>
  <c r="B24058" i="3"/>
  <c r="D24057" i="3"/>
  <c r="C24057" i="3"/>
  <c r="B24057" i="3"/>
  <c r="D24056" i="3"/>
  <c r="C24056" i="3"/>
  <c r="B24056" i="3"/>
  <c r="D24055" i="3"/>
  <c r="C24055" i="3"/>
  <c r="B24055" i="3"/>
  <c r="D24054" i="3"/>
  <c r="C24054" i="3"/>
  <c r="B24054" i="3"/>
  <c r="D24053" i="3"/>
  <c r="C24053" i="3"/>
  <c r="B24053" i="3"/>
  <c r="D24052" i="3"/>
  <c r="C24052" i="3"/>
  <c r="B24052" i="3"/>
  <c r="D24051" i="3"/>
  <c r="C24051" i="3"/>
  <c r="B24051" i="3"/>
  <c r="D24050" i="3"/>
  <c r="C24050" i="3"/>
  <c r="B24050" i="3"/>
  <c r="D24049" i="3"/>
  <c r="C24049" i="3"/>
  <c r="B24049" i="3"/>
  <c r="D24048" i="3"/>
  <c r="C24048" i="3"/>
  <c r="B24048" i="3"/>
  <c r="D24047" i="3"/>
  <c r="C24047" i="3"/>
  <c r="B24047" i="3"/>
  <c r="D24046" i="3"/>
  <c r="C24046" i="3"/>
  <c r="B24046" i="3"/>
  <c r="D24045" i="3"/>
  <c r="C24045" i="3"/>
  <c r="B24045" i="3"/>
  <c r="D24044" i="3"/>
  <c r="C24044" i="3"/>
  <c r="B24044" i="3"/>
  <c r="D24043" i="3"/>
  <c r="C24043" i="3"/>
  <c r="B24043" i="3"/>
  <c r="D24042" i="3"/>
  <c r="C24042" i="3"/>
  <c r="B24042" i="3"/>
  <c r="D24041" i="3"/>
  <c r="C24041" i="3"/>
  <c r="B24041" i="3"/>
  <c r="D24040" i="3"/>
  <c r="C24040" i="3"/>
  <c r="B24040" i="3"/>
  <c r="D24039" i="3"/>
  <c r="C24039" i="3"/>
  <c r="B24039" i="3"/>
  <c r="D24038" i="3"/>
  <c r="C24038" i="3"/>
  <c r="B24038" i="3"/>
  <c r="D24037" i="3"/>
  <c r="C24037" i="3"/>
  <c r="B24037" i="3"/>
  <c r="D24036" i="3"/>
  <c r="C24036" i="3"/>
  <c r="B24036" i="3"/>
  <c r="D24035" i="3"/>
  <c r="C24035" i="3"/>
  <c r="B24035" i="3"/>
  <c r="D24034" i="3"/>
  <c r="C24034" i="3"/>
  <c r="B24034" i="3"/>
  <c r="D24033" i="3"/>
  <c r="C24033" i="3"/>
  <c r="B24033" i="3"/>
  <c r="D24032" i="3"/>
  <c r="C24032" i="3"/>
  <c r="B24032" i="3"/>
  <c r="D24031" i="3"/>
  <c r="C24031" i="3"/>
  <c r="B24031" i="3"/>
  <c r="D24030" i="3"/>
  <c r="C24030" i="3"/>
  <c r="B24030" i="3"/>
  <c r="D24029" i="3"/>
  <c r="C24029" i="3"/>
  <c r="B24029" i="3"/>
  <c r="D24028" i="3"/>
  <c r="C24028" i="3"/>
  <c r="B24028" i="3"/>
  <c r="D24027" i="3"/>
  <c r="C24027" i="3"/>
  <c r="B24027" i="3"/>
  <c r="D24026" i="3"/>
  <c r="C24026" i="3"/>
  <c r="B24026" i="3"/>
  <c r="D24025" i="3"/>
  <c r="C24025" i="3"/>
  <c r="B24025" i="3"/>
  <c r="D24024" i="3"/>
  <c r="C24024" i="3"/>
  <c r="B24024" i="3"/>
  <c r="D24023" i="3"/>
  <c r="C24023" i="3"/>
  <c r="B24023" i="3"/>
  <c r="D24022" i="3"/>
  <c r="C24022" i="3"/>
  <c r="B24022" i="3"/>
  <c r="D24021" i="3"/>
  <c r="C24021" i="3"/>
  <c r="B24021" i="3"/>
  <c r="D24020" i="3"/>
  <c r="C24020" i="3"/>
  <c r="B24020" i="3"/>
  <c r="D24019" i="3"/>
  <c r="C24019" i="3"/>
  <c r="B24019" i="3"/>
  <c r="D24018" i="3"/>
  <c r="C24018" i="3"/>
  <c r="B24018" i="3"/>
  <c r="D24017" i="3"/>
  <c r="C24017" i="3"/>
  <c r="B24017" i="3"/>
  <c r="D24016" i="3"/>
  <c r="C24016" i="3"/>
  <c r="B24016" i="3"/>
  <c r="D24015" i="3"/>
  <c r="C24015" i="3"/>
  <c r="B24015" i="3"/>
  <c r="D24014" i="3"/>
  <c r="C24014" i="3"/>
  <c r="B24014" i="3"/>
  <c r="D24013" i="3"/>
  <c r="C24013" i="3"/>
  <c r="B24013" i="3"/>
  <c r="D24012" i="3"/>
  <c r="C24012" i="3"/>
  <c r="B24012" i="3"/>
  <c r="D24011" i="3"/>
  <c r="C24011" i="3"/>
  <c r="B24011" i="3"/>
  <c r="D24010" i="3"/>
  <c r="C24010" i="3"/>
  <c r="B24010" i="3"/>
  <c r="D24009" i="3"/>
  <c r="C24009" i="3"/>
  <c r="B24009" i="3"/>
  <c r="D24008" i="3"/>
  <c r="C24008" i="3"/>
  <c r="B24008" i="3"/>
  <c r="D24007" i="3"/>
  <c r="C24007" i="3"/>
  <c r="B24007" i="3"/>
  <c r="D24006" i="3"/>
  <c r="C24006" i="3"/>
  <c r="B24006" i="3"/>
  <c r="D24005" i="3"/>
  <c r="C24005" i="3"/>
  <c r="B24005" i="3"/>
  <c r="D24004" i="3"/>
  <c r="C24004" i="3"/>
  <c r="B24004" i="3"/>
  <c r="D24003" i="3"/>
  <c r="C24003" i="3"/>
  <c r="B24003" i="3"/>
  <c r="D24002" i="3"/>
  <c r="C24002" i="3"/>
  <c r="B24002" i="3"/>
  <c r="D24001" i="3"/>
  <c r="C24001" i="3"/>
  <c r="B24001" i="3"/>
  <c r="D24000" i="3"/>
  <c r="C24000" i="3"/>
  <c r="B24000" i="3"/>
  <c r="D23999" i="3"/>
  <c r="C23999" i="3"/>
  <c r="B23999" i="3"/>
  <c r="D23998" i="3"/>
  <c r="C23998" i="3"/>
  <c r="B23998" i="3"/>
  <c r="D23997" i="3"/>
  <c r="C23997" i="3"/>
  <c r="B23997" i="3"/>
  <c r="D23996" i="3"/>
  <c r="C23996" i="3"/>
  <c r="B23996" i="3"/>
  <c r="D23995" i="3"/>
  <c r="C23995" i="3"/>
  <c r="B23995" i="3"/>
  <c r="D23994" i="3"/>
  <c r="C23994" i="3"/>
  <c r="B23994" i="3"/>
  <c r="D23993" i="3"/>
  <c r="C23993" i="3"/>
  <c r="B23993" i="3"/>
  <c r="D23992" i="3"/>
  <c r="C23992" i="3"/>
  <c r="B23992" i="3"/>
  <c r="D23991" i="3"/>
  <c r="C23991" i="3"/>
  <c r="B23991" i="3"/>
  <c r="D23990" i="3"/>
  <c r="C23990" i="3"/>
  <c r="B23990" i="3"/>
  <c r="D23989" i="3"/>
  <c r="C23989" i="3"/>
  <c r="B23989" i="3"/>
  <c r="D23988" i="3"/>
  <c r="C23988" i="3"/>
  <c r="B23988" i="3"/>
  <c r="D23987" i="3"/>
  <c r="C23987" i="3"/>
  <c r="B23987" i="3"/>
  <c r="D23986" i="3"/>
  <c r="C23986" i="3"/>
  <c r="B23986" i="3"/>
  <c r="D23985" i="3"/>
  <c r="C23985" i="3"/>
  <c r="B23985" i="3"/>
  <c r="D23984" i="3"/>
  <c r="C23984" i="3"/>
  <c r="B23984" i="3"/>
  <c r="D23983" i="3"/>
  <c r="C23983" i="3"/>
  <c r="B23983" i="3"/>
  <c r="D23982" i="3"/>
  <c r="C23982" i="3"/>
  <c r="B23982" i="3"/>
  <c r="D23981" i="3"/>
  <c r="C23981" i="3"/>
  <c r="B23981" i="3"/>
  <c r="D23980" i="3"/>
  <c r="C23980" i="3"/>
  <c r="B23980" i="3"/>
  <c r="D23979" i="3"/>
  <c r="C23979" i="3"/>
  <c r="B23979" i="3"/>
  <c r="D23978" i="3"/>
  <c r="C23978" i="3"/>
  <c r="B23978" i="3"/>
  <c r="D23977" i="3"/>
  <c r="C23977" i="3"/>
  <c r="B23977" i="3"/>
  <c r="D23976" i="3"/>
  <c r="C23976" i="3"/>
  <c r="B23976" i="3"/>
  <c r="D23975" i="3"/>
  <c r="C23975" i="3"/>
  <c r="B23975" i="3"/>
  <c r="D23974" i="3"/>
  <c r="C23974" i="3"/>
  <c r="B23974" i="3"/>
  <c r="D23973" i="3"/>
  <c r="C23973" i="3"/>
  <c r="B23973" i="3"/>
  <c r="D23972" i="3"/>
  <c r="C23972" i="3"/>
  <c r="B23972" i="3"/>
  <c r="D23971" i="3"/>
  <c r="C23971" i="3"/>
  <c r="B23971" i="3"/>
  <c r="D23970" i="3"/>
  <c r="C23970" i="3"/>
  <c r="B23970" i="3"/>
  <c r="D23969" i="3"/>
  <c r="C23969" i="3"/>
  <c r="B23969" i="3"/>
  <c r="D23968" i="3"/>
  <c r="C23968" i="3"/>
  <c r="B23968" i="3"/>
  <c r="D23967" i="3"/>
  <c r="C23967" i="3"/>
  <c r="B23967" i="3"/>
  <c r="D23966" i="3"/>
  <c r="C23966" i="3"/>
  <c r="B23966" i="3"/>
  <c r="D23965" i="3"/>
  <c r="C23965" i="3"/>
  <c r="B23965" i="3"/>
  <c r="D23964" i="3"/>
  <c r="C23964" i="3"/>
  <c r="B23964" i="3"/>
  <c r="D23963" i="3"/>
  <c r="C23963" i="3"/>
  <c r="B23963" i="3"/>
  <c r="D23962" i="3"/>
  <c r="C23962" i="3"/>
  <c r="B23962" i="3"/>
  <c r="D23961" i="3"/>
  <c r="C23961" i="3"/>
  <c r="B23961" i="3"/>
  <c r="D23960" i="3"/>
  <c r="C23960" i="3"/>
  <c r="B23960" i="3"/>
  <c r="D23959" i="3"/>
  <c r="C23959" i="3"/>
  <c r="B23959" i="3"/>
  <c r="D23958" i="3"/>
  <c r="C23958" i="3"/>
  <c r="B23958" i="3"/>
  <c r="D23957" i="3"/>
  <c r="C23957" i="3"/>
  <c r="B23957" i="3"/>
  <c r="D23956" i="3"/>
  <c r="C23956" i="3"/>
  <c r="B23956" i="3"/>
  <c r="D23955" i="3"/>
  <c r="C23955" i="3"/>
  <c r="B23955" i="3"/>
  <c r="D23954" i="3"/>
  <c r="C23954" i="3"/>
  <c r="B23954" i="3"/>
  <c r="D23953" i="3"/>
  <c r="C23953" i="3"/>
  <c r="B23953" i="3"/>
  <c r="D23952" i="3"/>
  <c r="C23952" i="3"/>
  <c r="B23952" i="3"/>
  <c r="D23951" i="3"/>
  <c r="C23951" i="3"/>
  <c r="B23951" i="3"/>
  <c r="D23950" i="3"/>
  <c r="C23950" i="3"/>
  <c r="B23950" i="3"/>
  <c r="D23949" i="3"/>
  <c r="C23949" i="3"/>
  <c r="B23949" i="3"/>
  <c r="D23948" i="3"/>
  <c r="C23948" i="3"/>
  <c r="B23948" i="3"/>
  <c r="D23947" i="3"/>
  <c r="C23947" i="3"/>
  <c r="B23947" i="3"/>
  <c r="D23946" i="3"/>
  <c r="C23946" i="3"/>
  <c r="B23946" i="3"/>
  <c r="D23945" i="3"/>
  <c r="C23945" i="3"/>
  <c r="B23945" i="3"/>
  <c r="D23944" i="3"/>
  <c r="C23944" i="3"/>
  <c r="B23944" i="3"/>
  <c r="D23943" i="3"/>
  <c r="C23943" i="3"/>
  <c r="B23943" i="3"/>
  <c r="D23942" i="3"/>
  <c r="C23942" i="3"/>
  <c r="B23942" i="3"/>
  <c r="D23941" i="3"/>
  <c r="C23941" i="3"/>
  <c r="B23941" i="3"/>
  <c r="D23940" i="3"/>
  <c r="C23940" i="3"/>
  <c r="B23940" i="3"/>
  <c r="D23939" i="3"/>
  <c r="C23939" i="3"/>
  <c r="B23939" i="3"/>
  <c r="D23938" i="3"/>
  <c r="C23938" i="3"/>
  <c r="B23938" i="3"/>
  <c r="D23937" i="3"/>
  <c r="C23937" i="3"/>
  <c r="B23937" i="3"/>
  <c r="D23936" i="3"/>
  <c r="C23936" i="3"/>
  <c r="B23936" i="3"/>
  <c r="D23935" i="3"/>
  <c r="C23935" i="3"/>
  <c r="B23935" i="3"/>
  <c r="D23934" i="3"/>
  <c r="C23934" i="3"/>
  <c r="B23934" i="3"/>
  <c r="D23933" i="3"/>
  <c r="C23933" i="3"/>
  <c r="B23933" i="3"/>
  <c r="D23932" i="3"/>
  <c r="C23932" i="3"/>
  <c r="B23932" i="3"/>
  <c r="D23931" i="3"/>
  <c r="C23931" i="3"/>
  <c r="B23931" i="3"/>
  <c r="D23930" i="3"/>
  <c r="C23930" i="3"/>
  <c r="B23930" i="3"/>
  <c r="D23929" i="3"/>
  <c r="C23929" i="3"/>
  <c r="B23929" i="3"/>
  <c r="D23928" i="3"/>
  <c r="C23928" i="3"/>
  <c r="B23928" i="3"/>
  <c r="D23927" i="3"/>
  <c r="C23927" i="3"/>
  <c r="B23927" i="3"/>
  <c r="D23926" i="3"/>
  <c r="C23926" i="3"/>
  <c r="B23926" i="3"/>
  <c r="D23925" i="3"/>
  <c r="C23925" i="3"/>
  <c r="B23925" i="3"/>
  <c r="D23924" i="3"/>
  <c r="C23924" i="3"/>
  <c r="B23924" i="3"/>
  <c r="D23923" i="3"/>
  <c r="C23923" i="3"/>
  <c r="B23923" i="3"/>
  <c r="D23922" i="3"/>
  <c r="C23922" i="3"/>
  <c r="B23922" i="3"/>
  <c r="D23921" i="3"/>
  <c r="C23921" i="3"/>
  <c r="B23921" i="3"/>
  <c r="D23920" i="3"/>
  <c r="C23920" i="3"/>
  <c r="B23920" i="3"/>
  <c r="D23919" i="3"/>
  <c r="C23919" i="3"/>
  <c r="B23919" i="3"/>
  <c r="D23918" i="3"/>
  <c r="C23918" i="3"/>
  <c r="B23918" i="3"/>
  <c r="D23917" i="3"/>
  <c r="C23917" i="3"/>
  <c r="B23917" i="3"/>
  <c r="D23916" i="3"/>
  <c r="C23916" i="3"/>
  <c r="B23916" i="3"/>
  <c r="D23915" i="3"/>
  <c r="C23915" i="3"/>
  <c r="B23915" i="3"/>
  <c r="D23914" i="3"/>
  <c r="C23914" i="3"/>
  <c r="B23914" i="3"/>
  <c r="D23913" i="3"/>
  <c r="C23913" i="3"/>
  <c r="B23913" i="3"/>
  <c r="D23912" i="3"/>
  <c r="C23912" i="3"/>
  <c r="B23912" i="3"/>
  <c r="D23911" i="3"/>
  <c r="C23911" i="3"/>
  <c r="B23911" i="3"/>
  <c r="D23910" i="3"/>
  <c r="C23910" i="3"/>
  <c r="B23910" i="3"/>
  <c r="D23909" i="3"/>
  <c r="C23909" i="3"/>
  <c r="B23909" i="3"/>
  <c r="D23908" i="3"/>
  <c r="C23908" i="3"/>
  <c r="B23908" i="3"/>
  <c r="D23907" i="3"/>
  <c r="C23907" i="3"/>
  <c r="B23907" i="3"/>
  <c r="D23906" i="3"/>
  <c r="C23906" i="3"/>
  <c r="B23906" i="3"/>
  <c r="D23905" i="3"/>
  <c r="C23905" i="3"/>
  <c r="B23905" i="3"/>
  <c r="D23904" i="3"/>
  <c r="C23904" i="3"/>
  <c r="B23904" i="3"/>
  <c r="D23903" i="3"/>
  <c r="C23903" i="3"/>
  <c r="B23903" i="3"/>
  <c r="D23902" i="3"/>
  <c r="C23902" i="3"/>
  <c r="B23902" i="3"/>
  <c r="D23901" i="3"/>
  <c r="C23901" i="3"/>
  <c r="B23901" i="3"/>
  <c r="D23900" i="3"/>
  <c r="C23900" i="3"/>
  <c r="B23900" i="3"/>
  <c r="D23899" i="3"/>
  <c r="C23899" i="3"/>
  <c r="B23899" i="3"/>
  <c r="D23898" i="3"/>
  <c r="C23898" i="3"/>
  <c r="B23898" i="3"/>
  <c r="D23897" i="3"/>
  <c r="C23897" i="3"/>
  <c r="B23897" i="3"/>
  <c r="D23896" i="3"/>
  <c r="C23896" i="3"/>
  <c r="B23896" i="3"/>
  <c r="D23895" i="3"/>
  <c r="C23895" i="3"/>
  <c r="B23895" i="3"/>
  <c r="D23894" i="3"/>
  <c r="C23894" i="3"/>
  <c r="B23894" i="3"/>
  <c r="D23893" i="3"/>
  <c r="C23893" i="3"/>
  <c r="B23893" i="3"/>
  <c r="D23892" i="3"/>
  <c r="C23892" i="3"/>
  <c r="B23892" i="3"/>
  <c r="D23891" i="3"/>
  <c r="C23891" i="3"/>
  <c r="B23891" i="3"/>
  <c r="D23890" i="3"/>
  <c r="C23890" i="3"/>
  <c r="B23890" i="3"/>
  <c r="D23889" i="3"/>
  <c r="C23889" i="3"/>
  <c r="B23889" i="3"/>
  <c r="D23888" i="3"/>
  <c r="C23888" i="3"/>
  <c r="B23888" i="3"/>
  <c r="D23887" i="3"/>
  <c r="C23887" i="3"/>
  <c r="B23887" i="3"/>
  <c r="D23886" i="3"/>
  <c r="C23886" i="3"/>
  <c r="B23886" i="3"/>
  <c r="D23885" i="3"/>
  <c r="C23885" i="3"/>
  <c r="B23885" i="3"/>
  <c r="D23884" i="3"/>
  <c r="C23884" i="3"/>
  <c r="B23884" i="3"/>
  <c r="D23883" i="3"/>
  <c r="C23883" i="3"/>
  <c r="B23883" i="3"/>
  <c r="D23882" i="3"/>
  <c r="C23882" i="3"/>
  <c r="B23882" i="3"/>
  <c r="D23881" i="3"/>
  <c r="C23881" i="3"/>
  <c r="B23881" i="3"/>
  <c r="D23880" i="3"/>
  <c r="C23880" i="3"/>
  <c r="B23880" i="3"/>
  <c r="D23879" i="3"/>
  <c r="C23879" i="3"/>
  <c r="B23879" i="3"/>
  <c r="D23878" i="3"/>
  <c r="C23878" i="3"/>
  <c r="B23878" i="3"/>
  <c r="D23877" i="3"/>
  <c r="C23877" i="3"/>
  <c r="B23877" i="3"/>
  <c r="D23876" i="3"/>
  <c r="C23876" i="3"/>
  <c r="B23876" i="3"/>
  <c r="D23875" i="3"/>
  <c r="C23875" i="3"/>
  <c r="B23875" i="3"/>
  <c r="D23874" i="3"/>
  <c r="C23874" i="3"/>
  <c r="B23874" i="3"/>
  <c r="D23873" i="3"/>
  <c r="C23873" i="3"/>
  <c r="B23873" i="3"/>
  <c r="D23872" i="3"/>
  <c r="C23872" i="3"/>
  <c r="B23872" i="3"/>
  <c r="D23871" i="3"/>
  <c r="C23871" i="3"/>
  <c r="B23871" i="3"/>
  <c r="D23870" i="3"/>
  <c r="C23870" i="3"/>
  <c r="B23870" i="3"/>
  <c r="D23869" i="3"/>
  <c r="C23869" i="3"/>
  <c r="B23869" i="3"/>
  <c r="D23868" i="3"/>
  <c r="C23868" i="3"/>
  <c r="B23868" i="3"/>
  <c r="D23867" i="3"/>
  <c r="C23867" i="3"/>
  <c r="B23867" i="3"/>
  <c r="D23866" i="3"/>
  <c r="C23866" i="3"/>
  <c r="B23866" i="3"/>
  <c r="D23865" i="3"/>
  <c r="C23865" i="3"/>
  <c r="B23865" i="3"/>
  <c r="D23864" i="3"/>
  <c r="C23864" i="3"/>
  <c r="B23864" i="3"/>
  <c r="D23863" i="3"/>
  <c r="C23863" i="3"/>
  <c r="B23863" i="3"/>
  <c r="D23862" i="3"/>
  <c r="C23862" i="3"/>
  <c r="B23862" i="3"/>
  <c r="D23861" i="3"/>
  <c r="C23861" i="3"/>
  <c r="B23861" i="3"/>
  <c r="D23860" i="3"/>
  <c r="C23860" i="3"/>
  <c r="B23860" i="3"/>
  <c r="D23859" i="3"/>
  <c r="C23859" i="3"/>
  <c r="B23859" i="3"/>
  <c r="D23858" i="3"/>
  <c r="C23858" i="3"/>
  <c r="B23858" i="3"/>
  <c r="D23857" i="3"/>
  <c r="C23857" i="3"/>
  <c r="B23857" i="3"/>
  <c r="D23856" i="3"/>
  <c r="C23856" i="3"/>
  <c r="B23856" i="3"/>
  <c r="D23855" i="3"/>
  <c r="C23855" i="3"/>
  <c r="B23855" i="3"/>
  <c r="D23854" i="3"/>
  <c r="C23854" i="3"/>
  <c r="B23854" i="3"/>
  <c r="D23853" i="3"/>
  <c r="C23853" i="3"/>
  <c r="B23853" i="3"/>
  <c r="D23852" i="3"/>
  <c r="C23852" i="3"/>
  <c r="B23852" i="3"/>
  <c r="D23851" i="3"/>
  <c r="C23851" i="3"/>
  <c r="B23851" i="3"/>
  <c r="D23850" i="3"/>
  <c r="C23850" i="3"/>
  <c r="B23850" i="3"/>
  <c r="D23849" i="3"/>
  <c r="C23849" i="3"/>
  <c r="B23849" i="3"/>
  <c r="D23848" i="3"/>
  <c r="C23848" i="3"/>
  <c r="B23848" i="3"/>
  <c r="D23847" i="3"/>
  <c r="C23847" i="3"/>
  <c r="B23847" i="3"/>
  <c r="D23846" i="3"/>
  <c r="C23846" i="3"/>
  <c r="B23846" i="3"/>
  <c r="D23845" i="3"/>
  <c r="C23845" i="3"/>
  <c r="B23845" i="3"/>
  <c r="D23844" i="3"/>
  <c r="C23844" i="3"/>
  <c r="B23844" i="3"/>
  <c r="D23843" i="3"/>
  <c r="C23843" i="3"/>
  <c r="B23843" i="3"/>
  <c r="D23842" i="3"/>
  <c r="C23842" i="3"/>
  <c r="B23842" i="3"/>
  <c r="D23841" i="3"/>
  <c r="C23841" i="3"/>
  <c r="B23841" i="3"/>
  <c r="D23840" i="3"/>
  <c r="C23840" i="3"/>
  <c r="B23840" i="3"/>
  <c r="D23839" i="3"/>
  <c r="C23839" i="3"/>
  <c r="B23839" i="3"/>
  <c r="D23838" i="3"/>
  <c r="C23838" i="3"/>
  <c r="B23838" i="3"/>
  <c r="D23837" i="3"/>
  <c r="C23837" i="3"/>
  <c r="B23837" i="3"/>
  <c r="D23836" i="3"/>
  <c r="C23836" i="3"/>
  <c r="B23836" i="3"/>
  <c r="D23835" i="3"/>
  <c r="C23835" i="3"/>
  <c r="B23835" i="3"/>
  <c r="D23834" i="3"/>
  <c r="C23834" i="3"/>
  <c r="B23834" i="3"/>
  <c r="D23833" i="3"/>
  <c r="C23833" i="3"/>
  <c r="B23833" i="3"/>
  <c r="D23832" i="3"/>
  <c r="C23832" i="3"/>
  <c r="B23832" i="3"/>
  <c r="D23831" i="3"/>
  <c r="C23831" i="3"/>
  <c r="B23831" i="3"/>
  <c r="D23830" i="3"/>
  <c r="C23830" i="3"/>
  <c r="B23830" i="3"/>
  <c r="D23829" i="3"/>
  <c r="C23829" i="3"/>
  <c r="B23829" i="3"/>
  <c r="D23828" i="3"/>
  <c r="C23828" i="3"/>
  <c r="B23828" i="3"/>
  <c r="D23827" i="3"/>
  <c r="C23827" i="3"/>
  <c r="B23827" i="3"/>
  <c r="D23826" i="3"/>
  <c r="C23826" i="3"/>
  <c r="B23826" i="3"/>
  <c r="D23825" i="3"/>
  <c r="C23825" i="3"/>
  <c r="B23825" i="3"/>
  <c r="D23824" i="3"/>
  <c r="C23824" i="3"/>
  <c r="B23824" i="3"/>
  <c r="D23823" i="3"/>
  <c r="C23823" i="3"/>
  <c r="B23823" i="3"/>
  <c r="D23822" i="3"/>
  <c r="C23822" i="3"/>
  <c r="B23822" i="3"/>
  <c r="D23821" i="3"/>
  <c r="C23821" i="3"/>
  <c r="B23821" i="3"/>
  <c r="D23820" i="3"/>
  <c r="C23820" i="3"/>
  <c r="B23820" i="3"/>
  <c r="D23819" i="3"/>
  <c r="C23819" i="3"/>
  <c r="B23819" i="3"/>
  <c r="D23818" i="3"/>
  <c r="C23818" i="3"/>
  <c r="B23818" i="3"/>
  <c r="D23817" i="3"/>
  <c r="C23817" i="3"/>
  <c r="B23817" i="3"/>
  <c r="D23816" i="3"/>
  <c r="C23816" i="3"/>
  <c r="B23816" i="3"/>
  <c r="D23815" i="3"/>
  <c r="C23815" i="3"/>
  <c r="B23815" i="3"/>
  <c r="D23814" i="3"/>
  <c r="C23814" i="3"/>
  <c r="B23814" i="3"/>
  <c r="D23813" i="3"/>
  <c r="C23813" i="3"/>
  <c r="B23813" i="3"/>
  <c r="D23812" i="3"/>
  <c r="C23812" i="3"/>
  <c r="B23812" i="3"/>
  <c r="D23811" i="3"/>
  <c r="C23811" i="3"/>
  <c r="B23811" i="3"/>
  <c r="D23810" i="3"/>
  <c r="C23810" i="3"/>
  <c r="B23810" i="3"/>
  <c r="D23809" i="3"/>
  <c r="C23809" i="3"/>
  <c r="B23809" i="3"/>
  <c r="D23808" i="3"/>
  <c r="C23808" i="3"/>
  <c r="B23808" i="3"/>
  <c r="D23807" i="3"/>
  <c r="C23807" i="3"/>
  <c r="B23807" i="3"/>
  <c r="D23806" i="3"/>
  <c r="C23806" i="3"/>
  <c r="B23806" i="3"/>
  <c r="D23805" i="3"/>
  <c r="C23805" i="3"/>
  <c r="B23805" i="3"/>
  <c r="D23804" i="3"/>
  <c r="C23804" i="3"/>
  <c r="B23804" i="3"/>
  <c r="D23803" i="3"/>
  <c r="C23803" i="3"/>
  <c r="B23803" i="3"/>
  <c r="D23802" i="3"/>
  <c r="C23802" i="3"/>
  <c r="B23802" i="3"/>
  <c r="D23801" i="3"/>
  <c r="C23801" i="3"/>
  <c r="B23801" i="3"/>
  <c r="D23800" i="3"/>
  <c r="C23800" i="3"/>
  <c r="B23800" i="3"/>
  <c r="D23799" i="3"/>
  <c r="C23799" i="3"/>
  <c r="B23799" i="3"/>
  <c r="D23798" i="3"/>
  <c r="C23798" i="3"/>
  <c r="B23798" i="3"/>
  <c r="D23797" i="3"/>
  <c r="C23797" i="3"/>
  <c r="B23797" i="3"/>
  <c r="D23796" i="3"/>
  <c r="C23796" i="3"/>
  <c r="B23796" i="3"/>
  <c r="D23795" i="3"/>
  <c r="C23795" i="3"/>
  <c r="B23795" i="3"/>
  <c r="D23794" i="3"/>
  <c r="C23794" i="3"/>
  <c r="B23794" i="3"/>
  <c r="D23793" i="3"/>
  <c r="C23793" i="3"/>
  <c r="B23793" i="3"/>
  <c r="D23792" i="3"/>
  <c r="C23792" i="3"/>
  <c r="B23792" i="3"/>
  <c r="D23791" i="3"/>
  <c r="C23791" i="3"/>
  <c r="B23791" i="3"/>
  <c r="D23790" i="3"/>
  <c r="C23790" i="3"/>
  <c r="B23790" i="3"/>
  <c r="D23789" i="3"/>
  <c r="C23789" i="3"/>
  <c r="B23789" i="3"/>
  <c r="D23788" i="3"/>
  <c r="C23788" i="3"/>
  <c r="B23788" i="3"/>
  <c r="D23787" i="3"/>
  <c r="C23787" i="3"/>
  <c r="B23787" i="3"/>
  <c r="D23786" i="3"/>
  <c r="C23786" i="3"/>
  <c r="B23786" i="3"/>
  <c r="D23785" i="3"/>
  <c r="C23785" i="3"/>
  <c r="B23785" i="3"/>
  <c r="D23784" i="3"/>
  <c r="C23784" i="3"/>
  <c r="B23784" i="3"/>
  <c r="D23783" i="3"/>
  <c r="C23783" i="3"/>
  <c r="B23783" i="3"/>
  <c r="D23782" i="3"/>
  <c r="C23782" i="3"/>
  <c r="B23782" i="3"/>
  <c r="D23781" i="3"/>
  <c r="C23781" i="3"/>
  <c r="B23781" i="3"/>
  <c r="D23780" i="3"/>
  <c r="C23780" i="3"/>
  <c r="B23780" i="3"/>
  <c r="D23779" i="3"/>
  <c r="C23779" i="3"/>
  <c r="B23779" i="3"/>
  <c r="D23778" i="3"/>
  <c r="C23778" i="3"/>
  <c r="B23778" i="3"/>
  <c r="D23777" i="3"/>
  <c r="C23777" i="3"/>
  <c r="B23777" i="3"/>
  <c r="D23776" i="3"/>
  <c r="C23776" i="3"/>
  <c r="B23776" i="3"/>
  <c r="D23775" i="3"/>
  <c r="C23775" i="3"/>
  <c r="B23775" i="3"/>
  <c r="D23774" i="3"/>
  <c r="C23774" i="3"/>
  <c r="B23774" i="3"/>
  <c r="D23773" i="3"/>
  <c r="C23773" i="3"/>
  <c r="B23773" i="3"/>
  <c r="D23772" i="3"/>
  <c r="C23772" i="3"/>
  <c r="B23772" i="3"/>
  <c r="D23771" i="3"/>
  <c r="C23771" i="3"/>
  <c r="B23771" i="3"/>
  <c r="D23770" i="3"/>
  <c r="C23770" i="3"/>
  <c r="B23770" i="3"/>
  <c r="D23769" i="3"/>
  <c r="C23769" i="3"/>
  <c r="B23769" i="3"/>
  <c r="D23768" i="3"/>
  <c r="C23768" i="3"/>
  <c r="B23768" i="3"/>
  <c r="D23767" i="3"/>
  <c r="C23767" i="3"/>
  <c r="B23767" i="3"/>
  <c r="D23766" i="3"/>
  <c r="C23766" i="3"/>
  <c r="B23766" i="3"/>
  <c r="D23765" i="3"/>
  <c r="C23765" i="3"/>
  <c r="B23765" i="3"/>
  <c r="D23764" i="3"/>
  <c r="C23764" i="3"/>
  <c r="B23764" i="3"/>
  <c r="D23763" i="3"/>
  <c r="C23763" i="3"/>
  <c r="B23763" i="3"/>
  <c r="D23762" i="3"/>
  <c r="C23762" i="3"/>
  <c r="B23762" i="3"/>
  <c r="D23761" i="3"/>
  <c r="C23761" i="3"/>
  <c r="B23761" i="3"/>
  <c r="D23760" i="3"/>
  <c r="C23760" i="3"/>
  <c r="B23760" i="3"/>
  <c r="D23759" i="3"/>
  <c r="C23759" i="3"/>
  <c r="B23759" i="3"/>
  <c r="D23758" i="3"/>
  <c r="C23758" i="3"/>
  <c r="B23758" i="3"/>
  <c r="D23757" i="3"/>
  <c r="C23757" i="3"/>
  <c r="B23757" i="3"/>
  <c r="D23756" i="3"/>
  <c r="C23756" i="3"/>
  <c r="B23756" i="3"/>
  <c r="D23755" i="3"/>
  <c r="C23755" i="3"/>
  <c r="B23755" i="3"/>
  <c r="D23754" i="3"/>
  <c r="C23754" i="3"/>
  <c r="B23754" i="3"/>
  <c r="D23753" i="3"/>
  <c r="C23753" i="3"/>
  <c r="B23753" i="3"/>
  <c r="D23752" i="3"/>
  <c r="C23752" i="3"/>
  <c r="B23752" i="3"/>
  <c r="D23751" i="3"/>
  <c r="C23751" i="3"/>
  <c r="B23751" i="3"/>
  <c r="D23750" i="3"/>
  <c r="C23750" i="3"/>
  <c r="B23750" i="3"/>
  <c r="D23749" i="3"/>
  <c r="C23749" i="3"/>
  <c r="B23749" i="3"/>
  <c r="D23748" i="3"/>
  <c r="C23748" i="3"/>
  <c r="B23748" i="3"/>
  <c r="D23747" i="3"/>
  <c r="C23747" i="3"/>
  <c r="B23747" i="3"/>
  <c r="D23746" i="3"/>
  <c r="C23746" i="3"/>
  <c r="B23746" i="3"/>
  <c r="D23745" i="3"/>
  <c r="C23745" i="3"/>
  <c r="B23745" i="3"/>
  <c r="D23744" i="3"/>
  <c r="C23744" i="3"/>
  <c r="B23744" i="3"/>
  <c r="D23743" i="3"/>
  <c r="C23743" i="3"/>
  <c r="B23743" i="3"/>
  <c r="D23742" i="3"/>
  <c r="C23742" i="3"/>
  <c r="B23742" i="3"/>
  <c r="D23741" i="3"/>
  <c r="C23741" i="3"/>
  <c r="B23741" i="3"/>
  <c r="D23740" i="3"/>
  <c r="C23740" i="3"/>
  <c r="B23740" i="3"/>
  <c r="D23739" i="3"/>
  <c r="C23739" i="3"/>
  <c r="B23739" i="3"/>
  <c r="D23738" i="3"/>
  <c r="C23738" i="3"/>
  <c r="B23738" i="3"/>
  <c r="D23737" i="3"/>
  <c r="C23737" i="3"/>
  <c r="B23737" i="3"/>
  <c r="D23736" i="3"/>
  <c r="C23736" i="3"/>
  <c r="B23736" i="3"/>
  <c r="D23735" i="3"/>
  <c r="C23735" i="3"/>
  <c r="B23735" i="3"/>
  <c r="D23734" i="3"/>
  <c r="C23734" i="3"/>
  <c r="B23734" i="3"/>
  <c r="D23733" i="3"/>
  <c r="C23733" i="3"/>
  <c r="B23733" i="3"/>
  <c r="D23732" i="3"/>
  <c r="C23732" i="3"/>
  <c r="B23732" i="3"/>
  <c r="D23731" i="3"/>
  <c r="C23731" i="3"/>
  <c r="B23731" i="3"/>
  <c r="D23730" i="3"/>
  <c r="C23730" i="3"/>
  <c r="B23730" i="3"/>
  <c r="D23729" i="3"/>
  <c r="C23729" i="3"/>
  <c r="B23729" i="3"/>
  <c r="D23728" i="3"/>
  <c r="C23728" i="3"/>
  <c r="B23728" i="3"/>
  <c r="D23727" i="3"/>
  <c r="C23727" i="3"/>
  <c r="B23727" i="3"/>
  <c r="D23726" i="3"/>
  <c r="C23726" i="3"/>
  <c r="B23726" i="3"/>
  <c r="D23725" i="3"/>
  <c r="C23725" i="3"/>
  <c r="B23725" i="3"/>
  <c r="D23724" i="3"/>
  <c r="C23724" i="3"/>
  <c r="B23724" i="3"/>
  <c r="D23723" i="3"/>
  <c r="C23723" i="3"/>
  <c r="B23723" i="3"/>
  <c r="D23722" i="3"/>
  <c r="C23722" i="3"/>
  <c r="B23722" i="3"/>
  <c r="D23721" i="3"/>
  <c r="C23721" i="3"/>
  <c r="B23721" i="3"/>
  <c r="D23720" i="3"/>
  <c r="C23720" i="3"/>
  <c r="B23720" i="3"/>
  <c r="D23719" i="3"/>
  <c r="C23719" i="3"/>
  <c r="B23719" i="3"/>
  <c r="D23718" i="3"/>
  <c r="C23718" i="3"/>
  <c r="B23718" i="3"/>
  <c r="D23717" i="3"/>
  <c r="C23717" i="3"/>
  <c r="B23717" i="3"/>
  <c r="D23716" i="3"/>
  <c r="C23716" i="3"/>
  <c r="B23716" i="3"/>
  <c r="D23715" i="3"/>
  <c r="C23715" i="3"/>
  <c r="B23715" i="3"/>
  <c r="D23714" i="3"/>
  <c r="C23714" i="3"/>
  <c r="B23714" i="3"/>
  <c r="D23713" i="3"/>
  <c r="C23713" i="3"/>
  <c r="B23713" i="3"/>
  <c r="D23712" i="3"/>
  <c r="C23712" i="3"/>
  <c r="B23712" i="3"/>
  <c r="D23711" i="3"/>
  <c r="C23711" i="3"/>
  <c r="B23711" i="3"/>
  <c r="D23710" i="3"/>
  <c r="C23710" i="3"/>
  <c r="B23710" i="3"/>
  <c r="D23709" i="3"/>
  <c r="C23709" i="3"/>
  <c r="B23709" i="3"/>
  <c r="D23708" i="3"/>
  <c r="C23708" i="3"/>
  <c r="B23708" i="3"/>
  <c r="D23707" i="3"/>
  <c r="C23707" i="3"/>
  <c r="B23707" i="3"/>
  <c r="D23706" i="3"/>
  <c r="C23706" i="3"/>
  <c r="B23706" i="3"/>
  <c r="D23705" i="3"/>
  <c r="C23705" i="3"/>
  <c r="B23705" i="3"/>
  <c r="D23704" i="3"/>
  <c r="C23704" i="3"/>
  <c r="B23704" i="3"/>
  <c r="D23703" i="3"/>
  <c r="C23703" i="3"/>
  <c r="B23703" i="3"/>
  <c r="D23702" i="3"/>
  <c r="C23702" i="3"/>
  <c r="B23702" i="3"/>
  <c r="D23701" i="3"/>
  <c r="C23701" i="3"/>
  <c r="B23701" i="3"/>
  <c r="D23700" i="3"/>
  <c r="C23700" i="3"/>
  <c r="B23700" i="3"/>
  <c r="D23699" i="3"/>
  <c r="C23699" i="3"/>
  <c r="B23699" i="3"/>
  <c r="D23698" i="3"/>
  <c r="C23698" i="3"/>
  <c r="B23698" i="3"/>
  <c r="D23697" i="3"/>
  <c r="C23697" i="3"/>
  <c r="B23697" i="3"/>
  <c r="D23696" i="3"/>
  <c r="C23696" i="3"/>
  <c r="B23696" i="3"/>
  <c r="D23695" i="3"/>
  <c r="C23695" i="3"/>
  <c r="B23695" i="3"/>
  <c r="D23694" i="3"/>
  <c r="C23694" i="3"/>
  <c r="B23694" i="3"/>
  <c r="D23693" i="3"/>
  <c r="C23693" i="3"/>
  <c r="B23693" i="3"/>
  <c r="D23692" i="3"/>
  <c r="C23692" i="3"/>
  <c r="B23692" i="3"/>
  <c r="D23691" i="3"/>
  <c r="C23691" i="3"/>
  <c r="B23691" i="3"/>
  <c r="D23690" i="3"/>
  <c r="C23690" i="3"/>
  <c r="B23690" i="3"/>
  <c r="D23689" i="3"/>
  <c r="C23689" i="3"/>
  <c r="B23689" i="3"/>
  <c r="D23688" i="3"/>
  <c r="C23688" i="3"/>
  <c r="B23688" i="3"/>
  <c r="D23687" i="3"/>
  <c r="C23687" i="3"/>
  <c r="B23687" i="3"/>
  <c r="D23686" i="3"/>
  <c r="C23686" i="3"/>
  <c r="B23686" i="3"/>
  <c r="D23685" i="3"/>
  <c r="C23685" i="3"/>
  <c r="B23685" i="3"/>
  <c r="D23684" i="3"/>
  <c r="C23684" i="3"/>
  <c r="B23684" i="3"/>
  <c r="D23683" i="3"/>
  <c r="C23683" i="3"/>
  <c r="B23683" i="3"/>
  <c r="D23682" i="3"/>
  <c r="C23682" i="3"/>
  <c r="B23682" i="3"/>
  <c r="D23681" i="3"/>
  <c r="C23681" i="3"/>
  <c r="B23681" i="3"/>
  <c r="D23680" i="3"/>
  <c r="C23680" i="3"/>
  <c r="B23680" i="3"/>
  <c r="D23679" i="3"/>
  <c r="C23679" i="3"/>
  <c r="B23679" i="3"/>
  <c r="D23678" i="3"/>
  <c r="C23678" i="3"/>
  <c r="B23678" i="3"/>
  <c r="D23677" i="3"/>
  <c r="C23677" i="3"/>
  <c r="B23677" i="3"/>
  <c r="D23676" i="3"/>
  <c r="C23676" i="3"/>
  <c r="B23676" i="3"/>
  <c r="D23675" i="3"/>
  <c r="C23675" i="3"/>
  <c r="B23675" i="3"/>
  <c r="D23674" i="3"/>
  <c r="C23674" i="3"/>
  <c r="B23674" i="3"/>
  <c r="D23673" i="3"/>
  <c r="C23673" i="3"/>
  <c r="B23673" i="3"/>
  <c r="D23672" i="3"/>
  <c r="C23672" i="3"/>
  <c r="B23672" i="3"/>
  <c r="D23671" i="3"/>
  <c r="C23671" i="3"/>
  <c r="B23671" i="3"/>
  <c r="D23670" i="3"/>
  <c r="C23670" i="3"/>
  <c r="B23670" i="3"/>
  <c r="D23669" i="3"/>
  <c r="C23669" i="3"/>
  <c r="B23669" i="3"/>
  <c r="D23668" i="3"/>
  <c r="C23668" i="3"/>
  <c r="B23668" i="3"/>
  <c r="D23667" i="3"/>
  <c r="C23667" i="3"/>
  <c r="B23667" i="3"/>
  <c r="D23666" i="3"/>
  <c r="C23666" i="3"/>
  <c r="B23666" i="3"/>
  <c r="D23665" i="3"/>
  <c r="C23665" i="3"/>
  <c r="B23665" i="3"/>
  <c r="D23664" i="3"/>
  <c r="C23664" i="3"/>
  <c r="B23664" i="3"/>
  <c r="D23663" i="3"/>
  <c r="C23663" i="3"/>
  <c r="B23663" i="3"/>
  <c r="D23662" i="3"/>
  <c r="C23662" i="3"/>
  <c r="B23662" i="3"/>
  <c r="D23661" i="3"/>
  <c r="C23661" i="3"/>
  <c r="B23661" i="3"/>
  <c r="D23660" i="3"/>
  <c r="C23660" i="3"/>
  <c r="B23660" i="3"/>
  <c r="D23659" i="3"/>
  <c r="C23659" i="3"/>
  <c r="B23659" i="3"/>
  <c r="D23658" i="3"/>
  <c r="C23658" i="3"/>
  <c r="B23658" i="3"/>
  <c r="D23657" i="3"/>
  <c r="C23657" i="3"/>
  <c r="B23657" i="3"/>
  <c r="D23656" i="3"/>
  <c r="C23656" i="3"/>
  <c r="B23656" i="3"/>
  <c r="D23655" i="3"/>
  <c r="C23655" i="3"/>
  <c r="B23655" i="3"/>
  <c r="D23654" i="3"/>
  <c r="C23654" i="3"/>
  <c r="B23654" i="3"/>
  <c r="D23653" i="3"/>
  <c r="C23653" i="3"/>
  <c r="B23653" i="3"/>
  <c r="D23652" i="3"/>
  <c r="C23652" i="3"/>
  <c r="B23652" i="3"/>
  <c r="D23651" i="3"/>
  <c r="C23651" i="3"/>
  <c r="B23651" i="3"/>
  <c r="D23650" i="3"/>
  <c r="C23650" i="3"/>
  <c r="B23650" i="3"/>
  <c r="D23649" i="3"/>
  <c r="C23649" i="3"/>
  <c r="B23649" i="3"/>
  <c r="D23648" i="3"/>
  <c r="C23648" i="3"/>
  <c r="B23648" i="3"/>
  <c r="D23647" i="3"/>
  <c r="C23647" i="3"/>
  <c r="B23647" i="3"/>
  <c r="D23646" i="3"/>
  <c r="C23646" i="3"/>
  <c r="B23646" i="3"/>
  <c r="D23645" i="3"/>
  <c r="C23645" i="3"/>
  <c r="B23645" i="3"/>
  <c r="D23644" i="3"/>
  <c r="C23644" i="3"/>
  <c r="B23644" i="3"/>
  <c r="D23643" i="3"/>
  <c r="C23643" i="3"/>
  <c r="B23643" i="3"/>
  <c r="D23642" i="3"/>
  <c r="C23642" i="3"/>
  <c r="B23642" i="3"/>
  <c r="D23641" i="3"/>
  <c r="C23641" i="3"/>
  <c r="B23641" i="3"/>
  <c r="D23640" i="3"/>
  <c r="C23640" i="3"/>
  <c r="B23640" i="3"/>
  <c r="D23639" i="3"/>
  <c r="C23639" i="3"/>
  <c r="B23639" i="3"/>
  <c r="D23638" i="3"/>
  <c r="C23638" i="3"/>
  <c r="B23638" i="3"/>
  <c r="D23637" i="3"/>
  <c r="C23637" i="3"/>
  <c r="B23637" i="3"/>
  <c r="D23636" i="3"/>
  <c r="C23636" i="3"/>
  <c r="B23636" i="3"/>
  <c r="D23635" i="3"/>
  <c r="C23635" i="3"/>
  <c r="B23635" i="3"/>
  <c r="D23634" i="3"/>
  <c r="C23634" i="3"/>
  <c r="B23634" i="3"/>
  <c r="D23633" i="3"/>
  <c r="C23633" i="3"/>
  <c r="B23633" i="3"/>
  <c r="D23632" i="3"/>
  <c r="C23632" i="3"/>
  <c r="B23632" i="3"/>
  <c r="D23631" i="3"/>
  <c r="C23631" i="3"/>
  <c r="B23631" i="3"/>
  <c r="D23630" i="3"/>
  <c r="C23630" i="3"/>
  <c r="B23630" i="3"/>
  <c r="D23629" i="3"/>
  <c r="C23629" i="3"/>
  <c r="B23629" i="3"/>
  <c r="D23628" i="3"/>
  <c r="C23628" i="3"/>
  <c r="B23628" i="3"/>
  <c r="D23627" i="3"/>
  <c r="C23627" i="3"/>
  <c r="B23627" i="3"/>
  <c r="D23626" i="3"/>
  <c r="C23626" i="3"/>
  <c r="B23626" i="3"/>
  <c r="D23625" i="3"/>
  <c r="C23625" i="3"/>
  <c r="B23625" i="3"/>
  <c r="D23624" i="3"/>
  <c r="C23624" i="3"/>
  <c r="B23624" i="3"/>
  <c r="D23623" i="3"/>
  <c r="C23623" i="3"/>
  <c r="B23623" i="3"/>
  <c r="D23622" i="3"/>
  <c r="C23622" i="3"/>
  <c r="B23622" i="3"/>
  <c r="D23621" i="3"/>
  <c r="C23621" i="3"/>
  <c r="B23621" i="3"/>
  <c r="D23620" i="3"/>
  <c r="C23620" i="3"/>
  <c r="B23620" i="3"/>
  <c r="D23619" i="3"/>
  <c r="C23619" i="3"/>
  <c r="B23619" i="3"/>
  <c r="D23618" i="3"/>
  <c r="C23618" i="3"/>
  <c r="B23618" i="3"/>
  <c r="D23617" i="3"/>
  <c r="C23617" i="3"/>
  <c r="B23617" i="3"/>
  <c r="D23616" i="3"/>
  <c r="C23616" i="3"/>
  <c r="B23616" i="3"/>
  <c r="D23615" i="3"/>
  <c r="C23615" i="3"/>
  <c r="B23615" i="3"/>
  <c r="D23614" i="3"/>
  <c r="C23614" i="3"/>
  <c r="B23614" i="3"/>
  <c r="D23613" i="3"/>
  <c r="C23613" i="3"/>
  <c r="B23613" i="3"/>
  <c r="D23612" i="3"/>
  <c r="C23612" i="3"/>
  <c r="B23612" i="3"/>
  <c r="D23611" i="3"/>
  <c r="C23611" i="3"/>
  <c r="B23611" i="3"/>
  <c r="D23610" i="3"/>
  <c r="C23610" i="3"/>
  <c r="B23610" i="3"/>
  <c r="D23609" i="3"/>
  <c r="C23609" i="3"/>
  <c r="B23609" i="3"/>
  <c r="D23608" i="3"/>
  <c r="C23608" i="3"/>
  <c r="B23608" i="3"/>
  <c r="D23607" i="3"/>
  <c r="C23607" i="3"/>
  <c r="B23607" i="3"/>
  <c r="D23606" i="3"/>
  <c r="C23606" i="3"/>
  <c r="B23606" i="3"/>
  <c r="D23605" i="3"/>
  <c r="C23605" i="3"/>
  <c r="B23605" i="3"/>
  <c r="D23604" i="3"/>
  <c r="C23604" i="3"/>
  <c r="B23604" i="3"/>
  <c r="D23603" i="3"/>
  <c r="C23603" i="3"/>
  <c r="B23603" i="3"/>
  <c r="D23602" i="3"/>
  <c r="C23602" i="3"/>
  <c r="B23602" i="3"/>
  <c r="D23601" i="3"/>
  <c r="C23601" i="3"/>
  <c r="B23601" i="3"/>
  <c r="D23600" i="3"/>
  <c r="C23600" i="3"/>
  <c r="B23600" i="3"/>
  <c r="D23599" i="3"/>
  <c r="C23599" i="3"/>
  <c r="B23599" i="3"/>
  <c r="D23598" i="3"/>
  <c r="C23598" i="3"/>
  <c r="B23598" i="3"/>
  <c r="D23597" i="3"/>
  <c r="C23597" i="3"/>
  <c r="B23597" i="3"/>
  <c r="D23596" i="3"/>
  <c r="C23596" i="3"/>
  <c r="B23596" i="3"/>
  <c r="D23595" i="3"/>
  <c r="C23595" i="3"/>
  <c r="B23595" i="3"/>
  <c r="D23594" i="3"/>
  <c r="C23594" i="3"/>
  <c r="B23594" i="3"/>
  <c r="D23593" i="3"/>
  <c r="C23593" i="3"/>
  <c r="B23593" i="3"/>
  <c r="D23592" i="3"/>
  <c r="C23592" i="3"/>
  <c r="B23592" i="3"/>
  <c r="D23591" i="3"/>
  <c r="C23591" i="3"/>
  <c r="B23591" i="3"/>
  <c r="D23590" i="3"/>
  <c r="C23590" i="3"/>
  <c r="B23590" i="3"/>
  <c r="D23589" i="3"/>
  <c r="C23589" i="3"/>
  <c r="B23589" i="3"/>
  <c r="D23588" i="3"/>
  <c r="C23588" i="3"/>
  <c r="B23588" i="3"/>
  <c r="D23587" i="3"/>
  <c r="C23587" i="3"/>
  <c r="B23587" i="3"/>
  <c r="D23586" i="3"/>
  <c r="C23586" i="3"/>
  <c r="B23586" i="3"/>
  <c r="D23585" i="3"/>
  <c r="C23585" i="3"/>
  <c r="B23585" i="3"/>
  <c r="D23584" i="3"/>
  <c r="C23584" i="3"/>
  <c r="B23584" i="3"/>
  <c r="D23583" i="3"/>
  <c r="C23583" i="3"/>
  <c r="B23583" i="3"/>
  <c r="D23582" i="3"/>
  <c r="C23582" i="3"/>
  <c r="B23582" i="3"/>
  <c r="D23581" i="3"/>
  <c r="C23581" i="3"/>
  <c r="B23581" i="3"/>
  <c r="D23580" i="3"/>
  <c r="C23580" i="3"/>
  <c r="B23580" i="3"/>
  <c r="D23579" i="3"/>
  <c r="C23579" i="3"/>
  <c r="B23579" i="3"/>
  <c r="D23578" i="3"/>
  <c r="C23578" i="3"/>
  <c r="B23578" i="3"/>
  <c r="D23577" i="3"/>
  <c r="C23577" i="3"/>
  <c r="B23577" i="3"/>
  <c r="D23576" i="3"/>
  <c r="C23576" i="3"/>
  <c r="B23576" i="3"/>
  <c r="D23575" i="3"/>
  <c r="C23575" i="3"/>
  <c r="B23575" i="3"/>
  <c r="D23574" i="3"/>
  <c r="C23574" i="3"/>
  <c r="B23574" i="3"/>
  <c r="D23573" i="3"/>
  <c r="C23573" i="3"/>
  <c r="B23573" i="3"/>
  <c r="D23572" i="3"/>
  <c r="C23572" i="3"/>
  <c r="B23572" i="3"/>
  <c r="D23571" i="3"/>
  <c r="C23571" i="3"/>
  <c r="B23571" i="3"/>
  <c r="D23570" i="3"/>
  <c r="C23570" i="3"/>
  <c r="B23570" i="3"/>
  <c r="D23569" i="3"/>
  <c r="C23569" i="3"/>
  <c r="B23569" i="3"/>
  <c r="D23568" i="3"/>
  <c r="C23568" i="3"/>
  <c r="B23568" i="3"/>
  <c r="D23567" i="3"/>
  <c r="C23567" i="3"/>
  <c r="B23567" i="3"/>
  <c r="D23566" i="3"/>
  <c r="C23566" i="3"/>
  <c r="B23566" i="3"/>
  <c r="D23565" i="3"/>
  <c r="C23565" i="3"/>
  <c r="B23565" i="3"/>
  <c r="D23564" i="3"/>
  <c r="C23564" i="3"/>
  <c r="B23564" i="3"/>
  <c r="D23563" i="3"/>
  <c r="C23563" i="3"/>
  <c r="B23563" i="3"/>
  <c r="D23562" i="3"/>
  <c r="C23562" i="3"/>
  <c r="B23562" i="3"/>
  <c r="D23561" i="3"/>
  <c r="C23561" i="3"/>
  <c r="B23561" i="3"/>
  <c r="D23560" i="3"/>
  <c r="C23560" i="3"/>
  <c r="B23560" i="3"/>
  <c r="D23559" i="3"/>
  <c r="C23559" i="3"/>
  <c r="B23559" i="3"/>
  <c r="D23558" i="3"/>
  <c r="C23558" i="3"/>
  <c r="B23558" i="3"/>
  <c r="D23557" i="3"/>
  <c r="C23557" i="3"/>
  <c r="B23557" i="3"/>
  <c r="D23556" i="3"/>
  <c r="C23556" i="3"/>
  <c r="B23556" i="3"/>
  <c r="D23555" i="3"/>
  <c r="C23555" i="3"/>
  <c r="B23555" i="3"/>
  <c r="D23554" i="3"/>
  <c r="C23554" i="3"/>
  <c r="B23554" i="3"/>
  <c r="D23553" i="3"/>
  <c r="C23553" i="3"/>
  <c r="B23553" i="3"/>
  <c r="D23552" i="3"/>
  <c r="C23552" i="3"/>
  <c r="B23552" i="3"/>
  <c r="D23551" i="3"/>
  <c r="C23551" i="3"/>
  <c r="B23551" i="3"/>
  <c r="D23550" i="3"/>
  <c r="C23550" i="3"/>
  <c r="B23550" i="3"/>
  <c r="D23549" i="3"/>
  <c r="C23549" i="3"/>
  <c r="B23549" i="3"/>
  <c r="D23548" i="3"/>
  <c r="C23548" i="3"/>
  <c r="B23548" i="3"/>
  <c r="D23547" i="3"/>
  <c r="C23547" i="3"/>
  <c r="B23547" i="3"/>
  <c r="D23546" i="3"/>
  <c r="C23546" i="3"/>
  <c r="B23546" i="3"/>
  <c r="D23545" i="3"/>
  <c r="C23545" i="3"/>
  <c r="B23545" i="3"/>
  <c r="D23544" i="3"/>
  <c r="C23544" i="3"/>
  <c r="B23544" i="3"/>
  <c r="D23543" i="3"/>
  <c r="C23543" i="3"/>
  <c r="B23543" i="3"/>
  <c r="D23542" i="3"/>
  <c r="C23542" i="3"/>
  <c r="B23542" i="3"/>
  <c r="D23541" i="3"/>
  <c r="C23541" i="3"/>
  <c r="B23541" i="3"/>
  <c r="D23540" i="3"/>
  <c r="C23540" i="3"/>
  <c r="B23540" i="3"/>
  <c r="D23539" i="3"/>
  <c r="C23539" i="3"/>
  <c r="B23539" i="3"/>
  <c r="D23538" i="3"/>
  <c r="C23538" i="3"/>
  <c r="B23538" i="3"/>
  <c r="D23537" i="3"/>
  <c r="C23537" i="3"/>
  <c r="B23537" i="3"/>
  <c r="D23536" i="3"/>
  <c r="C23536" i="3"/>
  <c r="B23536" i="3"/>
  <c r="D23535" i="3"/>
  <c r="C23535" i="3"/>
  <c r="B23535" i="3"/>
  <c r="D23534" i="3"/>
  <c r="C23534" i="3"/>
  <c r="B23534" i="3"/>
  <c r="D23533" i="3"/>
  <c r="C23533" i="3"/>
  <c r="B23533" i="3"/>
  <c r="D23532" i="3"/>
  <c r="C23532" i="3"/>
  <c r="B23532" i="3"/>
  <c r="D23531" i="3"/>
  <c r="C23531" i="3"/>
  <c r="B23531" i="3"/>
  <c r="D23530" i="3"/>
  <c r="C23530" i="3"/>
  <c r="B23530" i="3"/>
  <c r="D23529" i="3"/>
  <c r="C23529" i="3"/>
  <c r="B23529" i="3"/>
  <c r="D23528" i="3"/>
  <c r="C23528" i="3"/>
  <c r="B23528" i="3"/>
  <c r="D23527" i="3"/>
  <c r="C23527" i="3"/>
  <c r="B23527" i="3"/>
  <c r="D23526" i="3"/>
  <c r="C23526" i="3"/>
  <c r="B23526" i="3"/>
  <c r="D23525" i="3"/>
  <c r="C23525" i="3"/>
  <c r="B23525" i="3"/>
  <c r="D23524" i="3"/>
  <c r="C23524" i="3"/>
  <c r="B23524" i="3"/>
  <c r="D23523" i="3"/>
  <c r="C23523" i="3"/>
  <c r="B23523" i="3"/>
  <c r="D23522" i="3"/>
  <c r="C23522" i="3"/>
  <c r="B23522" i="3"/>
  <c r="D23521" i="3"/>
  <c r="C23521" i="3"/>
  <c r="B23521" i="3"/>
  <c r="D23520" i="3"/>
  <c r="C23520" i="3"/>
  <c r="B23520" i="3"/>
  <c r="D23519" i="3"/>
  <c r="C23519" i="3"/>
  <c r="B23519" i="3"/>
  <c r="D23518" i="3"/>
  <c r="C23518" i="3"/>
  <c r="B23518" i="3"/>
  <c r="D23517" i="3"/>
  <c r="C23517" i="3"/>
  <c r="B23517" i="3"/>
  <c r="D23516" i="3"/>
  <c r="C23516" i="3"/>
  <c r="B23516" i="3"/>
  <c r="D23515" i="3"/>
  <c r="C23515" i="3"/>
  <c r="B23515" i="3"/>
  <c r="D23514" i="3"/>
  <c r="C23514" i="3"/>
  <c r="B23514" i="3"/>
  <c r="D23513" i="3"/>
  <c r="C23513" i="3"/>
  <c r="B23513" i="3"/>
  <c r="D23512" i="3"/>
  <c r="C23512" i="3"/>
  <c r="B23512" i="3"/>
  <c r="D23511" i="3"/>
  <c r="C23511" i="3"/>
  <c r="B23511" i="3"/>
  <c r="D23510" i="3"/>
  <c r="C23510" i="3"/>
  <c r="B23510" i="3"/>
  <c r="D23509" i="3"/>
  <c r="C23509" i="3"/>
  <c r="B23509" i="3"/>
  <c r="D23508" i="3"/>
  <c r="C23508" i="3"/>
  <c r="B23508" i="3"/>
  <c r="D23507" i="3"/>
  <c r="C23507" i="3"/>
  <c r="B23507" i="3"/>
  <c r="D23506" i="3"/>
  <c r="C23506" i="3"/>
  <c r="B23506" i="3"/>
  <c r="D23505" i="3"/>
  <c r="C23505" i="3"/>
  <c r="B23505" i="3"/>
  <c r="D23504" i="3"/>
  <c r="C23504" i="3"/>
  <c r="B23504" i="3"/>
  <c r="D23503" i="3"/>
  <c r="C23503" i="3"/>
  <c r="B23503" i="3"/>
  <c r="D23502" i="3"/>
  <c r="C23502" i="3"/>
  <c r="B23502" i="3"/>
  <c r="D23501" i="3"/>
  <c r="C23501" i="3"/>
  <c r="B23501" i="3"/>
  <c r="D23500" i="3"/>
  <c r="C23500" i="3"/>
  <c r="B23500" i="3"/>
  <c r="D23499" i="3"/>
  <c r="C23499" i="3"/>
  <c r="B23499" i="3"/>
  <c r="D23498" i="3"/>
  <c r="C23498" i="3"/>
  <c r="B23498" i="3"/>
  <c r="D23497" i="3"/>
  <c r="C23497" i="3"/>
  <c r="B23497" i="3"/>
  <c r="D23496" i="3"/>
  <c r="C23496" i="3"/>
  <c r="B23496" i="3"/>
  <c r="D23495" i="3"/>
  <c r="C23495" i="3"/>
  <c r="B23495" i="3"/>
  <c r="D23494" i="3"/>
  <c r="C23494" i="3"/>
  <c r="B23494" i="3"/>
  <c r="D23493" i="3"/>
  <c r="C23493" i="3"/>
  <c r="B23493" i="3"/>
  <c r="D23492" i="3"/>
  <c r="C23492" i="3"/>
  <c r="B23492" i="3"/>
  <c r="D23491" i="3"/>
  <c r="C23491" i="3"/>
  <c r="B23491" i="3"/>
  <c r="D23490" i="3"/>
  <c r="C23490" i="3"/>
  <c r="B23490" i="3"/>
  <c r="D23489" i="3"/>
  <c r="C23489" i="3"/>
  <c r="B23489" i="3"/>
  <c r="D23488" i="3"/>
  <c r="C23488" i="3"/>
  <c r="B23488" i="3"/>
  <c r="D23487" i="3"/>
  <c r="C23487" i="3"/>
  <c r="B23487" i="3"/>
  <c r="D23486" i="3"/>
  <c r="C23486" i="3"/>
  <c r="B23486" i="3"/>
  <c r="D23485" i="3"/>
  <c r="C23485" i="3"/>
  <c r="B23485" i="3"/>
  <c r="D23484" i="3"/>
  <c r="C23484" i="3"/>
  <c r="B23484" i="3"/>
  <c r="D23483" i="3"/>
  <c r="C23483" i="3"/>
  <c r="B23483" i="3"/>
  <c r="D23482" i="3"/>
  <c r="C23482" i="3"/>
  <c r="B23482" i="3"/>
  <c r="D23481" i="3"/>
  <c r="C23481" i="3"/>
  <c r="B23481" i="3"/>
  <c r="D23480" i="3"/>
  <c r="C23480" i="3"/>
  <c r="B23480" i="3"/>
  <c r="D23479" i="3"/>
  <c r="C23479" i="3"/>
  <c r="B23479" i="3"/>
  <c r="D23478" i="3"/>
  <c r="C23478" i="3"/>
  <c r="B23478" i="3"/>
  <c r="D23477" i="3"/>
  <c r="C23477" i="3"/>
  <c r="B23477" i="3"/>
  <c r="D23476" i="3"/>
  <c r="C23476" i="3"/>
  <c r="B23476" i="3"/>
  <c r="D23475" i="3"/>
  <c r="C23475" i="3"/>
  <c r="B23475" i="3"/>
  <c r="D23474" i="3"/>
  <c r="C23474" i="3"/>
  <c r="B23474" i="3"/>
  <c r="D23473" i="3"/>
  <c r="C23473" i="3"/>
  <c r="B23473" i="3"/>
  <c r="D23472" i="3"/>
  <c r="C23472" i="3"/>
  <c r="B23472" i="3"/>
  <c r="D23471" i="3"/>
  <c r="C23471" i="3"/>
  <c r="B23471" i="3"/>
  <c r="D23470" i="3"/>
  <c r="C23470" i="3"/>
  <c r="B23470" i="3"/>
  <c r="D23469" i="3"/>
  <c r="C23469" i="3"/>
  <c r="B23469" i="3"/>
  <c r="D23468" i="3"/>
  <c r="C23468" i="3"/>
  <c r="B23468" i="3"/>
  <c r="D23467" i="3"/>
  <c r="C23467" i="3"/>
  <c r="B23467" i="3"/>
  <c r="D23466" i="3"/>
  <c r="C23466" i="3"/>
  <c r="B23466" i="3"/>
  <c r="D23465" i="3"/>
  <c r="C23465" i="3"/>
  <c r="B23465" i="3"/>
  <c r="D23464" i="3"/>
  <c r="C23464" i="3"/>
  <c r="B23464" i="3"/>
  <c r="D23463" i="3"/>
  <c r="C23463" i="3"/>
  <c r="B23463" i="3"/>
  <c r="D23462" i="3"/>
  <c r="C23462" i="3"/>
  <c r="B23462" i="3"/>
  <c r="D23461" i="3"/>
  <c r="C23461" i="3"/>
  <c r="B23461" i="3"/>
  <c r="D23460" i="3"/>
  <c r="C23460" i="3"/>
  <c r="B23460" i="3"/>
  <c r="D23459" i="3"/>
  <c r="C23459" i="3"/>
  <c r="B23459" i="3"/>
  <c r="D23458" i="3"/>
  <c r="C23458" i="3"/>
  <c r="B23458" i="3"/>
  <c r="D23457" i="3"/>
  <c r="C23457" i="3"/>
  <c r="B23457" i="3"/>
  <c r="D23456" i="3"/>
  <c r="C23456" i="3"/>
  <c r="B23456" i="3"/>
  <c r="D23455" i="3"/>
  <c r="C23455" i="3"/>
  <c r="B23455" i="3"/>
  <c r="D23454" i="3"/>
  <c r="C23454" i="3"/>
  <c r="B23454" i="3"/>
  <c r="D23453" i="3"/>
  <c r="C23453" i="3"/>
  <c r="B23453" i="3"/>
  <c r="D23452" i="3"/>
  <c r="C23452" i="3"/>
  <c r="B23452" i="3"/>
  <c r="D23451" i="3"/>
  <c r="C23451" i="3"/>
  <c r="B23451" i="3"/>
  <c r="D23450" i="3"/>
  <c r="C23450" i="3"/>
  <c r="B23450" i="3"/>
  <c r="D23449" i="3"/>
  <c r="C23449" i="3"/>
  <c r="B23449" i="3"/>
  <c r="D23448" i="3"/>
  <c r="C23448" i="3"/>
  <c r="B23448" i="3"/>
  <c r="D23447" i="3"/>
  <c r="C23447" i="3"/>
  <c r="B23447" i="3"/>
  <c r="D23446" i="3"/>
  <c r="C23446" i="3"/>
  <c r="B23446" i="3"/>
  <c r="D23445" i="3"/>
  <c r="C23445" i="3"/>
  <c r="B23445" i="3"/>
  <c r="D23444" i="3"/>
  <c r="C23444" i="3"/>
  <c r="B23444" i="3"/>
  <c r="D23443" i="3"/>
  <c r="C23443" i="3"/>
  <c r="B23443" i="3"/>
  <c r="D23442" i="3"/>
  <c r="C23442" i="3"/>
  <c r="B23442" i="3"/>
  <c r="D23441" i="3"/>
  <c r="C23441" i="3"/>
  <c r="B23441" i="3"/>
  <c r="D23440" i="3"/>
  <c r="C23440" i="3"/>
  <c r="B23440" i="3"/>
  <c r="D23439" i="3"/>
  <c r="C23439" i="3"/>
  <c r="B23439" i="3"/>
  <c r="D23438" i="3"/>
  <c r="C23438" i="3"/>
  <c r="B23438" i="3"/>
  <c r="D23437" i="3"/>
  <c r="C23437" i="3"/>
  <c r="B23437" i="3"/>
  <c r="D23436" i="3"/>
  <c r="C23436" i="3"/>
  <c r="B23436" i="3"/>
  <c r="D23435" i="3"/>
  <c r="C23435" i="3"/>
  <c r="B23435" i="3"/>
  <c r="D23434" i="3"/>
  <c r="C23434" i="3"/>
  <c r="B23434" i="3"/>
  <c r="D23433" i="3"/>
  <c r="C23433" i="3"/>
  <c r="B23433" i="3"/>
  <c r="D23432" i="3"/>
  <c r="C23432" i="3"/>
  <c r="B23432" i="3"/>
  <c r="D23431" i="3"/>
  <c r="C23431" i="3"/>
  <c r="B23431" i="3"/>
  <c r="D23430" i="3"/>
  <c r="C23430" i="3"/>
  <c r="B23430" i="3"/>
  <c r="D23429" i="3"/>
  <c r="C23429" i="3"/>
  <c r="B23429" i="3"/>
  <c r="D23428" i="3"/>
  <c r="C23428" i="3"/>
  <c r="B23428" i="3"/>
  <c r="D23427" i="3"/>
  <c r="C23427" i="3"/>
  <c r="B23427" i="3"/>
  <c r="D23426" i="3"/>
  <c r="C23426" i="3"/>
  <c r="B23426" i="3"/>
  <c r="D23425" i="3"/>
  <c r="C23425" i="3"/>
  <c r="B23425" i="3"/>
  <c r="D23424" i="3"/>
  <c r="C23424" i="3"/>
  <c r="B23424" i="3"/>
  <c r="D23423" i="3"/>
  <c r="C23423" i="3"/>
  <c r="B23423" i="3"/>
  <c r="D23422" i="3"/>
  <c r="C23422" i="3"/>
  <c r="B23422" i="3"/>
  <c r="D23421" i="3"/>
  <c r="C23421" i="3"/>
  <c r="B23421" i="3"/>
  <c r="D23420" i="3"/>
  <c r="C23420" i="3"/>
  <c r="B23420" i="3"/>
  <c r="D23419" i="3"/>
  <c r="C23419" i="3"/>
  <c r="B23419" i="3"/>
  <c r="D23418" i="3"/>
  <c r="C23418" i="3"/>
  <c r="B23418" i="3"/>
  <c r="D23417" i="3"/>
  <c r="C23417" i="3"/>
  <c r="B23417" i="3"/>
  <c r="D23416" i="3"/>
  <c r="C23416" i="3"/>
  <c r="B23416" i="3"/>
  <c r="D23415" i="3"/>
  <c r="C23415" i="3"/>
  <c r="B23415" i="3"/>
  <c r="D23414" i="3"/>
  <c r="C23414" i="3"/>
  <c r="B23414" i="3"/>
  <c r="D23413" i="3"/>
  <c r="C23413" i="3"/>
  <c r="B23413" i="3"/>
  <c r="D23412" i="3"/>
  <c r="C23412" i="3"/>
  <c r="B23412" i="3"/>
  <c r="D23411" i="3"/>
  <c r="C23411" i="3"/>
  <c r="B23411" i="3"/>
  <c r="D23410" i="3"/>
  <c r="C23410" i="3"/>
  <c r="B23410" i="3"/>
  <c r="D23409" i="3"/>
  <c r="C23409" i="3"/>
  <c r="B23409" i="3"/>
  <c r="D23408" i="3"/>
  <c r="C23408" i="3"/>
  <c r="B23408" i="3"/>
  <c r="D23407" i="3"/>
  <c r="C23407" i="3"/>
  <c r="B23407" i="3"/>
  <c r="D23406" i="3"/>
  <c r="C23406" i="3"/>
  <c r="B23406" i="3"/>
  <c r="D23405" i="3"/>
  <c r="C23405" i="3"/>
  <c r="B23405" i="3"/>
  <c r="D23404" i="3"/>
  <c r="C23404" i="3"/>
  <c r="B23404" i="3"/>
  <c r="D23403" i="3"/>
  <c r="C23403" i="3"/>
  <c r="B23403" i="3"/>
  <c r="D23402" i="3"/>
  <c r="C23402" i="3"/>
  <c r="B23402" i="3"/>
  <c r="D23401" i="3"/>
  <c r="C23401" i="3"/>
  <c r="B23401" i="3"/>
  <c r="D23400" i="3"/>
  <c r="C23400" i="3"/>
  <c r="B23400" i="3"/>
  <c r="D23399" i="3"/>
  <c r="C23399" i="3"/>
  <c r="B23399" i="3"/>
  <c r="D23398" i="3"/>
  <c r="C23398" i="3"/>
  <c r="B23398" i="3"/>
  <c r="D23397" i="3"/>
  <c r="C23397" i="3"/>
  <c r="B23397" i="3"/>
  <c r="D23396" i="3"/>
  <c r="C23396" i="3"/>
  <c r="B23396" i="3"/>
  <c r="D23395" i="3"/>
  <c r="C23395" i="3"/>
  <c r="B23395" i="3"/>
  <c r="D23394" i="3"/>
  <c r="C23394" i="3"/>
  <c r="B23394" i="3"/>
  <c r="D23393" i="3"/>
  <c r="C23393" i="3"/>
  <c r="B23393" i="3"/>
  <c r="D23392" i="3"/>
  <c r="C23392" i="3"/>
  <c r="B23392" i="3"/>
  <c r="D23391" i="3"/>
  <c r="C23391" i="3"/>
  <c r="B23391" i="3"/>
  <c r="D23390" i="3"/>
  <c r="C23390" i="3"/>
  <c r="B23390" i="3"/>
  <c r="D23389" i="3"/>
  <c r="C23389" i="3"/>
  <c r="B23389" i="3"/>
  <c r="D23388" i="3"/>
  <c r="C23388" i="3"/>
  <c r="B23388" i="3"/>
  <c r="D23387" i="3"/>
  <c r="C23387" i="3"/>
  <c r="B23387" i="3"/>
  <c r="D23386" i="3"/>
  <c r="C23386" i="3"/>
  <c r="B23386" i="3"/>
  <c r="D23385" i="3"/>
  <c r="C23385" i="3"/>
  <c r="B23385" i="3"/>
  <c r="D23384" i="3"/>
  <c r="C23384" i="3"/>
  <c r="B23384" i="3"/>
  <c r="D23383" i="3"/>
  <c r="C23383" i="3"/>
  <c r="B23383" i="3"/>
  <c r="D23382" i="3"/>
  <c r="C23382" i="3"/>
  <c r="B23382" i="3"/>
  <c r="D23381" i="3"/>
  <c r="C23381" i="3"/>
  <c r="B23381" i="3"/>
  <c r="D23380" i="3"/>
  <c r="C23380" i="3"/>
  <c r="B23380" i="3"/>
  <c r="D23379" i="3"/>
  <c r="C23379" i="3"/>
  <c r="B23379" i="3"/>
  <c r="D23378" i="3"/>
  <c r="C23378" i="3"/>
  <c r="B23378" i="3"/>
  <c r="D23377" i="3"/>
  <c r="C23377" i="3"/>
  <c r="B23377" i="3"/>
  <c r="D23376" i="3"/>
  <c r="C23376" i="3"/>
  <c r="B23376" i="3"/>
  <c r="D23375" i="3"/>
  <c r="C23375" i="3"/>
  <c r="B23375" i="3"/>
  <c r="D23374" i="3"/>
  <c r="C23374" i="3"/>
  <c r="B23374" i="3"/>
  <c r="D23373" i="3"/>
  <c r="C23373" i="3"/>
  <c r="B23373" i="3"/>
  <c r="D23372" i="3"/>
  <c r="C23372" i="3"/>
  <c r="B23372" i="3"/>
  <c r="D23371" i="3"/>
  <c r="C23371" i="3"/>
  <c r="B23371" i="3"/>
  <c r="D23370" i="3"/>
  <c r="C23370" i="3"/>
  <c r="B23370" i="3"/>
  <c r="D23369" i="3"/>
  <c r="C23369" i="3"/>
  <c r="B23369" i="3"/>
  <c r="D23368" i="3"/>
  <c r="C23368" i="3"/>
  <c r="B23368" i="3"/>
  <c r="D23367" i="3"/>
  <c r="C23367" i="3"/>
  <c r="B23367" i="3"/>
  <c r="D23366" i="3"/>
  <c r="C23366" i="3"/>
  <c r="B23366" i="3"/>
  <c r="D23365" i="3"/>
  <c r="C23365" i="3"/>
  <c r="B23365" i="3"/>
  <c r="D23364" i="3"/>
  <c r="C23364" i="3"/>
  <c r="B23364" i="3"/>
  <c r="D23363" i="3"/>
  <c r="C23363" i="3"/>
  <c r="B23363" i="3"/>
  <c r="D23362" i="3"/>
  <c r="C23362" i="3"/>
  <c r="B23362" i="3"/>
  <c r="D23361" i="3"/>
  <c r="C23361" i="3"/>
  <c r="B23361" i="3"/>
  <c r="D23360" i="3"/>
  <c r="C23360" i="3"/>
  <c r="B23360" i="3"/>
  <c r="D23359" i="3"/>
  <c r="C23359" i="3"/>
  <c r="B23359" i="3"/>
  <c r="D23358" i="3"/>
  <c r="C23358" i="3"/>
  <c r="B23358" i="3"/>
  <c r="D23357" i="3"/>
  <c r="C23357" i="3"/>
  <c r="B23357" i="3"/>
  <c r="D23356" i="3"/>
  <c r="C23356" i="3"/>
  <c r="B23356" i="3"/>
  <c r="D23355" i="3"/>
  <c r="C23355" i="3"/>
  <c r="B23355" i="3"/>
  <c r="D23354" i="3"/>
  <c r="C23354" i="3"/>
  <c r="B23354" i="3"/>
  <c r="D23353" i="3"/>
  <c r="C23353" i="3"/>
  <c r="B23353" i="3"/>
  <c r="D23352" i="3"/>
  <c r="C23352" i="3"/>
  <c r="B23352" i="3"/>
  <c r="D23351" i="3"/>
  <c r="C23351" i="3"/>
  <c r="B23351" i="3"/>
  <c r="D23350" i="3"/>
  <c r="C23350" i="3"/>
  <c r="B23350" i="3"/>
  <c r="D23349" i="3"/>
  <c r="C23349" i="3"/>
  <c r="B23349" i="3"/>
  <c r="D23348" i="3"/>
  <c r="C23348" i="3"/>
  <c r="B23348" i="3"/>
  <c r="D23347" i="3"/>
  <c r="C23347" i="3"/>
  <c r="B23347" i="3"/>
  <c r="D23346" i="3"/>
  <c r="C23346" i="3"/>
  <c r="B23346" i="3"/>
  <c r="D23345" i="3"/>
  <c r="C23345" i="3"/>
  <c r="B23345" i="3"/>
  <c r="D23344" i="3"/>
  <c r="C23344" i="3"/>
  <c r="B23344" i="3"/>
  <c r="D23343" i="3"/>
  <c r="C23343" i="3"/>
  <c r="B23343" i="3"/>
  <c r="D23342" i="3"/>
  <c r="C23342" i="3"/>
  <c r="B23342" i="3"/>
  <c r="D23341" i="3"/>
  <c r="C23341" i="3"/>
  <c r="B23341" i="3"/>
  <c r="D23340" i="3"/>
  <c r="C23340" i="3"/>
  <c r="B23340" i="3"/>
  <c r="D23339" i="3"/>
  <c r="C23339" i="3"/>
  <c r="B23339" i="3"/>
  <c r="D23338" i="3"/>
  <c r="C23338" i="3"/>
  <c r="B23338" i="3"/>
  <c r="D23337" i="3"/>
  <c r="C23337" i="3"/>
  <c r="B23337" i="3"/>
  <c r="D23336" i="3"/>
  <c r="C23336" i="3"/>
  <c r="B23336" i="3"/>
  <c r="D23335" i="3"/>
  <c r="C23335" i="3"/>
  <c r="B23335" i="3"/>
  <c r="D23334" i="3"/>
  <c r="C23334" i="3"/>
  <c r="B23334" i="3"/>
  <c r="D23333" i="3"/>
  <c r="C23333" i="3"/>
  <c r="B23333" i="3"/>
  <c r="D23332" i="3"/>
  <c r="C23332" i="3"/>
  <c r="B23332" i="3"/>
  <c r="D23331" i="3"/>
  <c r="C23331" i="3"/>
  <c r="B23331" i="3"/>
  <c r="D23330" i="3"/>
  <c r="C23330" i="3"/>
  <c r="B23330" i="3"/>
  <c r="D23329" i="3"/>
  <c r="C23329" i="3"/>
  <c r="B23329" i="3"/>
  <c r="D23328" i="3"/>
  <c r="C23328" i="3"/>
  <c r="B23328" i="3"/>
  <c r="D23327" i="3"/>
  <c r="C23327" i="3"/>
  <c r="B23327" i="3"/>
  <c r="D23326" i="3"/>
  <c r="C23326" i="3"/>
  <c r="B23326" i="3"/>
  <c r="D23325" i="3"/>
  <c r="C23325" i="3"/>
  <c r="B23325" i="3"/>
  <c r="D23324" i="3"/>
  <c r="C23324" i="3"/>
  <c r="B23324" i="3"/>
  <c r="D23323" i="3"/>
  <c r="C23323" i="3"/>
  <c r="B23323" i="3"/>
  <c r="D23322" i="3"/>
  <c r="C23322" i="3"/>
  <c r="B23322" i="3"/>
  <c r="D23321" i="3"/>
  <c r="C23321" i="3"/>
  <c r="B23321" i="3"/>
  <c r="D23320" i="3"/>
  <c r="C23320" i="3"/>
  <c r="B23320" i="3"/>
  <c r="D23319" i="3"/>
  <c r="C23319" i="3"/>
  <c r="B23319" i="3"/>
  <c r="D23318" i="3"/>
  <c r="C23318" i="3"/>
  <c r="B23318" i="3"/>
  <c r="D23317" i="3"/>
  <c r="C23317" i="3"/>
  <c r="B23317" i="3"/>
  <c r="D23316" i="3"/>
  <c r="C23316" i="3"/>
  <c r="B23316" i="3"/>
  <c r="D23315" i="3"/>
  <c r="C23315" i="3"/>
  <c r="B23315" i="3"/>
  <c r="D23314" i="3"/>
  <c r="C23314" i="3"/>
  <c r="B23314" i="3"/>
  <c r="D23313" i="3"/>
  <c r="C23313" i="3"/>
  <c r="B23313" i="3"/>
  <c r="D23312" i="3"/>
  <c r="C23312" i="3"/>
  <c r="B23312" i="3"/>
  <c r="D23311" i="3"/>
  <c r="C23311" i="3"/>
  <c r="B23311" i="3"/>
  <c r="D23310" i="3"/>
  <c r="C23310" i="3"/>
  <c r="B23310" i="3"/>
  <c r="D23309" i="3"/>
  <c r="C23309" i="3"/>
  <c r="B23309" i="3"/>
  <c r="D23308" i="3"/>
  <c r="C23308" i="3"/>
  <c r="B23308" i="3"/>
  <c r="D23307" i="3"/>
  <c r="C23307" i="3"/>
  <c r="B23307" i="3"/>
  <c r="D23306" i="3"/>
  <c r="C23306" i="3"/>
  <c r="B23306" i="3"/>
  <c r="D23305" i="3"/>
  <c r="C23305" i="3"/>
  <c r="B23305" i="3"/>
  <c r="D23304" i="3"/>
  <c r="C23304" i="3"/>
  <c r="B23304" i="3"/>
  <c r="D23303" i="3"/>
  <c r="C23303" i="3"/>
  <c r="B23303" i="3"/>
  <c r="D23302" i="3"/>
  <c r="C23302" i="3"/>
  <c r="B23302" i="3"/>
  <c r="D23301" i="3"/>
  <c r="C23301" i="3"/>
  <c r="B23301" i="3"/>
  <c r="D23300" i="3"/>
  <c r="C23300" i="3"/>
  <c r="B23300" i="3"/>
  <c r="D23299" i="3"/>
  <c r="C23299" i="3"/>
  <c r="B23299" i="3"/>
  <c r="D23298" i="3"/>
  <c r="C23298" i="3"/>
  <c r="B23298" i="3"/>
  <c r="D23297" i="3"/>
  <c r="C23297" i="3"/>
  <c r="B23297" i="3"/>
  <c r="D23296" i="3"/>
  <c r="C23296" i="3"/>
  <c r="B23296" i="3"/>
  <c r="D23295" i="3"/>
  <c r="C23295" i="3"/>
  <c r="B23295" i="3"/>
  <c r="D23294" i="3"/>
  <c r="C23294" i="3"/>
  <c r="B23294" i="3"/>
  <c r="D23293" i="3"/>
  <c r="C23293" i="3"/>
  <c r="B23293" i="3"/>
  <c r="D23292" i="3"/>
  <c r="C23292" i="3"/>
  <c r="B23292" i="3"/>
  <c r="D23291" i="3"/>
  <c r="C23291" i="3"/>
  <c r="B23291" i="3"/>
  <c r="D23290" i="3"/>
  <c r="C23290" i="3"/>
  <c r="B23290" i="3"/>
  <c r="D23289" i="3"/>
  <c r="C23289" i="3"/>
  <c r="B23289" i="3"/>
  <c r="D23288" i="3"/>
  <c r="C23288" i="3"/>
  <c r="B23288" i="3"/>
  <c r="D23287" i="3"/>
  <c r="C23287" i="3"/>
  <c r="B23287" i="3"/>
  <c r="D23286" i="3"/>
  <c r="C23286" i="3"/>
  <c r="B23286" i="3"/>
  <c r="D23285" i="3"/>
  <c r="C23285" i="3"/>
  <c r="B23285" i="3"/>
  <c r="D23284" i="3"/>
  <c r="C23284" i="3"/>
  <c r="B23284" i="3"/>
  <c r="D23283" i="3"/>
  <c r="C23283" i="3"/>
  <c r="B23283" i="3"/>
  <c r="D23282" i="3"/>
  <c r="C23282" i="3"/>
  <c r="B23282" i="3"/>
  <c r="D23281" i="3"/>
  <c r="C23281" i="3"/>
  <c r="B23281" i="3"/>
  <c r="D23280" i="3"/>
  <c r="C23280" i="3"/>
  <c r="B23280" i="3"/>
  <c r="D23279" i="3"/>
  <c r="C23279" i="3"/>
  <c r="B23279" i="3"/>
  <c r="D23278" i="3"/>
  <c r="C23278" i="3"/>
  <c r="B23278" i="3"/>
  <c r="D23277" i="3"/>
  <c r="C23277" i="3"/>
  <c r="B23277" i="3"/>
  <c r="D23276" i="3"/>
  <c r="C23276" i="3"/>
  <c r="B23276" i="3"/>
  <c r="D23275" i="3"/>
  <c r="C23275" i="3"/>
  <c r="B23275" i="3"/>
  <c r="D23274" i="3"/>
  <c r="C23274" i="3"/>
  <c r="B23274" i="3"/>
  <c r="D23273" i="3"/>
  <c r="C23273" i="3"/>
  <c r="B23273" i="3"/>
  <c r="D23272" i="3"/>
  <c r="C23272" i="3"/>
  <c r="B23272" i="3"/>
  <c r="D23271" i="3"/>
  <c r="C23271" i="3"/>
  <c r="B23271" i="3"/>
  <c r="D23270" i="3"/>
  <c r="C23270" i="3"/>
  <c r="B23270" i="3"/>
  <c r="D23269" i="3"/>
  <c r="C23269" i="3"/>
  <c r="B23269" i="3"/>
  <c r="D23268" i="3"/>
  <c r="C23268" i="3"/>
  <c r="B23268" i="3"/>
  <c r="D23267" i="3"/>
  <c r="C23267" i="3"/>
  <c r="B23267" i="3"/>
  <c r="D23266" i="3"/>
  <c r="C23266" i="3"/>
  <c r="B23266" i="3"/>
  <c r="D23265" i="3"/>
  <c r="C23265" i="3"/>
  <c r="B23265" i="3"/>
  <c r="D23264" i="3"/>
  <c r="C23264" i="3"/>
  <c r="B23264" i="3"/>
  <c r="D23263" i="3"/>
  <c r="C23263" i="3"/>
  <c r="B23263" i="3"/>
  <c r="D23262" i="3"/>
  <c r="C23262" i="3"/>
  <c r="B23262" i="3"/>
  <c r="D23261" i="3"/>
  <c r="C23261" i="3"/>
  <c r="B23261" i="3"/>
  <c r="D23260" i="3"/>
  <c r="C23260" i="3"/>
  <c r="B23260" i="3"/>
  <c r="D23259" i="3"/>
  <c r="C23259" i="3"/>
  <c r="B23259" i="3"/>
  <c r="D23258" i="3"/>
  <c r="C23258" i="3"/>
  <c r="B23258" i="3"/>
  <c r="D23257" i="3"/>
  <c r="C23257" i="3"/>
  <c r="B23257" i="3"/>
  <c r="D23256" i="3"/>
  <c r="C23256" i="3"/>
  <c r="B23256" i="3"/>
  <c r="D23255" i="3"/>
  <c r="C23255" i="3"/>
  <c r="B23255" i="3"/>
  <c r="D23254" i="3"/>
  <c r="C23254" i="3"/>
  <c r="B23254" i="3"/>
  <c r="D23253" i="3"/>
  <c r="C23253" i="3"/>
  <c r="B23253" i="3"/>
  <c r="D23252" i="3"/>
  <c r="C23252" i="3"/>
  <c r="B23252" i="3"/>
  <c r="D23251" i="3"/>
  <c r="C23251" i="3"/>
  <c r="B23251" i="3"/>
  <c r="D23250" i="3"/>
  <c r="C23250" i="3"/>
  <c r="B23250" i="3"/>
  <c r="D23249" i="3"/>
  <c r="C23249" i="3"/>
  <c r="B23249" i="3"/>
  <c r="D23248" i="3"/>
  <c r="C23248" i="3"/>
  <c r="B23248" i="3"/>
  <c r="D23247" i="3"/>
  <c r="C23247" i="3"/>
  <c r="B23247" i="3"/>
  <c r="D23246" i="3"/>
  <c r="C23246" i="3"/>
  <c r="B23246" i="3"/>
  <c r="D23245" i="3"/>
  <c r="C23245" i="3"/>
  <c r="B23245" i="3"/>
  <c r="D23244" i="3"/>
  <c r="C23244" i="3"/>
  <c r="B23244" i="3"/>
  <c r="D23243" i="3"/>
  <c r="C23243" i="3"/>
  <c r="B23243" i="3"/>
  <c r="D23242" i="3"/>
  <c r="C23242" i="3"/>
  <c r="B23242" i="3"/>
  <c r="D23241" i="3"/>
  <c r="C23241" i="3"/>
  <c r="B23241" i="3"/>
  <c r="D23240" i="3"/>
  <c r="C23240" i="3"/>
  <c r="B23240" i="3"/>
  <c r="D23239" i="3"/>
  <c r="C23239" i="3"/>
  <c r="B23239" i="3"/>
  <c r="D23238" i="3"/>
  <c r="C23238" i="3"/>
  <c r="B23238" i="3"/>
  <c r="D23237" i="3"/>
  <c r="C23237" i="3"/>
  <c r="B23237" i="3"/>
  <c r="D23236" i="3"/>
  <c r="C23236" i="3"/>
  <c r="B23236" i="3"/>
  <c r="D23235" i="3"/>
  <c r="C23235" i="3"/>
  <c r="B23235" i="3"/>
  <c r="D23234" i="3"/>
  <c r="C23234" i="3"/>
  <c r="B23234" i="3"/>
  <c r="D23233" i="3"/>
  <c r="C23233" i="3"/>
  <c r="B23233" i="3"/>
  <c r="D23232" i="3"/>
  <c r="C23232" i="3"/>
  <c r="B23232" i="3"/>
  <c r="D23231" i="3"/>
  <c r="C23231" i="3"/>
  <c r="B23231" i="3"/>
  <c r="D23230" i="3"/>
  <c r="C23230" i="3"/>
  <c r="B23230" i="3"/>
  <c r="D23229" i="3"/>
  <c r="C23229" i="3"/>
  <c r="B23229" i="3"/>
  <c r="D23228" i="3"/>
  <c r="C23228" i="3"/>
  <c r="B23228" i="3"/>
  <c r="D23227" i="3"/>
  <c r="C23227" i="3"/>
  <c r="B23227" i="3"/>
  <c r="D23226" i="3"/>
  <c r="C23226" i="3"/>
  <c r="B23226" i="3"/>
  <c r="D23225" i="3"/>
  <c r="C23225" i="3"/>
  <c r="B23225" i="3"/>
  <c r="D23224" i="3"/>
  <c r="C23224" i="3"/>
  <c r="B23224" i="3"/>
  <c r="D23223" i="3"/>
  <c r="C23223" i="3"/>
  <c r="B23223" i="3"/>
  <c r="D23222" i="3"/>
  <c r="C23222" i="3"/>
  <c r="B23222" i="3"/>
  <c r="D23221" i="3"/>
  <c r="C23221" i="3"/>
  <c r="B23221" i="3"/>
  <c r="D23220" i="3"/>
  <c r="C23220" i="3"/>
  <c r="B23220" i="3"/>
  <c r="D23219" i="3"/>
  <c r="C23219" i="3"/>
  <c r="B23219" i="3"/>
  <c r="D23218" i="3"/>
  <c r="C23218" i="3"/>
  <c r="B23218" i="3"/>
  <c r="D23217" i="3"/>
  <c r="C23217" i="3"/>
  <c r="B23217" i="3"/>
  <c r="D23216" i="3"/>
  <c r="C23216" i="3"/>
  <c r="B23216" i="3"/>
  <c r="D23215" i="3"/>
  <c r="C23215" i="3"/>
  <c r="B23215" i="3"/>
  <c r="D23214" i="3"/>
  <c r="C23214" i="3"/>
  <c r="B23214" i="3"/>
  <c r="D23213" i="3"/>
  <c r="C23213" i="3"/>
  <c r="B23213" i="3"/>
  <c r="D23212" i="3"/>
  <c r="C23212" i="3"/>
  <c r="B23212" i="3"/>
  <c r="D23211" i="3"/>
  <c r="C23211" i="3"/>
  <c r="B23211" i="3"/>
  <c r="D23210" i="3"/>
  <c r="C23210" i="3"/>
  <c r="B23210" i="3"/>
  <c r="D23209" i="3"/>
  <c r="C23209" i="3"/>
  <c r="B23209" i="3"/>
  <c r="D23208" i="3"/>
  <c r="C23208" i="3"/>
  <c r="B23208" i="3"/>
  <c r="D23207" i="3"/>
  <c r="C23207" i="3"/>
  <c r="B23207" i="3"/>
  <c r="D23206" i="3"/>
  <c r="C23206" i="3"/>
  <c r="B23206" i="3"/>
  <c r="D23205" i="3"/>
  <c r="C23205" i="3"/>
  <c r="B23205" i="3"/>
  <c r="D23204" i="3"/>
  <c r="C23204" i="3"/>
  <c r="B23204" i="3"/>
  <c r="D23203" i="3"/>
  <c r="C23203" i="3"/>
  <c r="B23203" i="3"/>
  <c r="D23202" i="3"/>
  <c r="C23202" i="3"/>
  <c r="B23202" i="3"/>
  <c r="D23201" i="3"/>
  <c r="C23201" i="3"/>
  <c r="B23201" i="3"/>
  <c r="D23200" i="3"/>
  <c r="C23200" i="3"/>
  <c r="B23200" i="3"/>
  <c r="D23199" i="3"/>
  <c r="C23199" i="3"/>
  <c r="B23199" i="3"/>
  <c r="D23198" i="3"/>
  <c r="C23198" i="3"/>
  <c r="B23198" i="3"/>
  <c r="D23197" i="3"/>
  <c r="C23197" i="3"/>
  <c r="B23197" i="3"/>
  <c r="D23196" i="3"/>
  <c r="C23196" i="3"/>
  <c r="B23196" i="3"/>
  <c r="D23195" i="3"/>
  <c r="C23195" i="3"/>
  <c r="B23195" i="3"/>
  <c r="D23194" i="3"/>
  <c r="C23194" i="3"/>
  <c r="B23194" i="3"/>
  <c r="D23193" i="3"/>
  <c r="C23193" i="3"/>
  <c r="B23193" i="3"/>
  <c r="D23192" i="3"/>
  <c r="C23192" i="3"/>
  <c r="B23192" i="3"/>
  <c r="D23191" i="3"/>
  <c r="C23191" i="3"/>
  <c r="B23191" i="3"/>
  <c r="D23190" i="3"/>
  <c r="C23190" i="3"/>
  <c r="B23190" i="3"/>
  <c r="D23189" i="3"/>
  <c r="C23189" i="3"/>
  <c r="B23189" i="3"/>
  <c r="D23188" i="3"/>
  <c r="C23188" i="3"/>
  <c r="B23188" i="3"/>
  <c r="D23187" i="3"/>
  <c r="C23187" i="3"/>
  <c r="B23187" i="3"/>
  <c r="D23186" i="3"/>
  <c r="C23186" i="3"/>
  <c r="B23186" i="3"/>
  <c r="D23185" i="3"/>
  <c r="C23185" i="3"/>
  <c r="B23185" i="3"/>
  <c r="D23184" i="3"/>
  <c r="C23184" i="3"/>
  <c r="B23184" i="3"/>
  <c r="D23183" i="3"/>
  <c r="C23183" i="3"/>
  <c r="B23183" i="3"/>
  <c r="D23182" i="3"/>
  <c r="C23182" i="3"/>
  <c r="B23182" i="3"/>
  <c r="D23181" i="3"/>
  <c r="C23181" i="3"/>
  <c r="B23181" i="3"/>
  <c r="D23180" i="3"/>
  <c r="C23180" i="3"/>
  <c r="B23180" i="3"/>
  <c r="D23179" i="3"/>
  <c r="C23179" i="3"/>
  <c r="B23179" i="3"/>
  <c r="D23178" i="3"/>
  <c r="C23178" i="3"/>
  <c r="B23178" i="3"/>
  <c r="D23177" i="3"/>
  <c r="C23177" i="3"/>
  <c r="B23177" i="3"/>
  <c r="D23176" i="3"/>
  <c r="C23176" i="3"/>
  <c r="B23176" i="3"/>
  <c r="D23175" i="3"/>
  <c r="C23175" i="3"/>
  <c r="B23175" i="3"/>
  <c r="D23174" i="3"/>
  <c r="C23174" i="3"/>
  <c r="B23174" i="3"/>
  <c r="D23173" i="3"/>
  <c r="C23173" i="3"/>
  <c r="B23173" i="3"/>
  <c r="D23172" i="3"/>
  <c r="C23172" i="3"/>
  <c r="B23172" i="3"/>
  <c r="D23171" i="3"/>
  <c r="C23171" i="3"/>
  <c r="B23171" i="3"/>
  <c r="D23170" i="3"/>
  <c r="C23170" i="3"/>
  <c r="B23170" i="3"/>
  <c r="D23169" i="3"/>
  <c r="C23169" i="3"/>
  <c r="B23169" i="3"/>
  <c r="D23168" i="3"/>
  <c r="C23168" i="3"/>
  <c r="B23168" i="3"/>
  <c r="D23167" i="3"/>
  <c r="C23167" i="3"/>
  <c r="B23167" i="3"/>
  <c r="D23166" i="3"/>
  <c r="C23166" i="3"/>
  <c r="B23166" i="3"/>
  <c r="D23165" i="3"/>
  <c r="C23165" i="3"/>
  <c r="B23165" i="3"/>
  <c r="D23164" i="3"/>
  <c r="C23164" i="3"/>
  <c r="B23164" i="3"/>
  <c r="D23163" i="3"/>
  <c r="C23163" i="3"/>
  <c r="B23163" i="3"/>
  <c r="D23162" i="3"/>
  <c r="C23162" i="3"/>
  <c r="B23162" i="3"/>
  <c r="D23161" i="3"/>
  <c r="C23161" i="3"/>
  <c r="B23161" i="3"/>
  <c r="D23160" i="3"/>
  <c r="C23160" i="3"/>
  <c r="B23160" i="3"/>
  <c r="D23159" i="3"/>
  <c r="C23159" i="3"/>
  <c r="B23159" i="3"/>
  <c r="D23158" i="3"/>
  <c r="C23158" i="3"/>
  <c r="B23158" i="3"/>
  <c r="D23157" i="3"/>
  <c r="C23157" i="3"/>
  <c r="B23157" i="3"/>
  <c r="D23156" i="3"/>
  <c r="C23156" i="3"/>
  <c r="B23156" i="3"/>
  <c r="D23155" i="3"/>
  <c r="C23155" i="3"/>
  <c r="B23155" i="3"/>
  <c r="D23154" i="3"/>
  <c r="C23154" i="3"/>
  <c r="B23154" i="3"/>
  <c r="D23153" i="3"/>
  <c r="C23153" i="3"/>
  <c r="B23153" i="3"/>
  <c r="D23152" i="3"/>
  <c r="C23152" i="3"/>
  <c r="B23152" i="3"/>
  <c r="D23151" i="3"/>
  <c r="C23151" i="3"/>
  <c r="B23151" i="3"/>
  <c r="D23150" i="3"/>
  <c r="C23150" i="3"/>
  <c r="B23150" i="3"/>
  <c r="D23149" i="3"/>
  <c r="C23149" i="3"/>
  <c r="B23149" i="3"/>
  <c r="D23148" i="3"/>
  <c r="C23148" i="3"/>
  <c r="B23148" i="3"/>
  <c r="D23147" i="3"/>
  <c r="C23147" i="3"/>
  <c r="B23147" i="3"/>
  <c r="D23146" i="3"/>
  <c r="C23146" i="3"/>
  <c r="B23146" i="3"/>
  <c r="D23145" i="3"/>
  <c r="C23145" i="3"/>
  <c r="B23145" i="3"/>
  <c r="D23144" i="3"/>
  <c r="C23144" i="3"/>
  <c r="B23144" i="3"/>
  <c r="D23143" i="3"/>
  <c r="C23143" i="3"/>
  <c r="B23143" i="3"/>
  <c r="D23142" i="3"/>
  <c r="C23142" i="3"/>
  <c r="B23142" i="3"/>
  <c r="D23141" i="3"/>
  <c r="C23141" i="3"/>
  <c r="B23141" i="3"/>
  <c r="D23140" i="3"/>
  <c r="C23140" i="3"/>
  <c r="B23140" i="3"/>
  <c r="D23139" i="3"/>
  <c r="C23139" i="3"/>
  <c r="B23139" i="3"/>
  <c r="D23138" i="3"/>
  <c r="C23138" i="3"/>
  <c r="B23138" i="3"/>
  <c r="D23137" i="3"/>
  <c r="C23137" i="3"/>
  <c r="B23137" i="3"/>
  <c r="D23136" i="3"/>
  <c r="C23136" i="3"/>
  <c r="B23136" i="3"/>
  <c r="D23135" i="3"/>
  <c r="C23135" i="3"/>
  <c r="B23135" i="3"/>
  <c r="D23134" i="3"/>
  <c r="C23134" i="3"/>
  <c r="B23134" i="3"/>
  <c r="D23133" i="3"/>
  <c r="C23133" i="3"/>
  <c r="B23133" i="3"/>
  <c r="D23132" i="3"/>
  <c r="C23132" i="3"/>
  <c r="B23132" i="3"/>
  <c r="D23131" i="3"/>
  <c r="C23131" i="3"/>
  <c r="B23131" i="3"/>
  <c r="D23130" i="3"/>
  <c r="C23130" i="3"/>
  <c r="B23130" i="3"/>
  <c r="D23129" i="3"/>
  <c r="C23129" i="3"/>
  <c r="B23129" i="3"/>
  <c r="D23128" i="3"/>
  <c r="C23128" i="3"/>
  <c r="B23128" i="3"/>
  <c r="D23127" i="3"/>
  <c r="C23127" i="3"/>
  <c r="B23127" i="3"/>
  <c r="D23126" i="3"/>
  <c r="C23126" i="3"/>
  <c r="B23126" i="3"/>
  <c r="D23125" i="3"/>
  <c r="C23125" i="3"/>
  <c r="B23125" i="3"/>
  <c r="D23124" i="3"/>
  <c r="C23124" i="3"/>
  <c r="B23124" i="3"/>
  <c r="D23123" i="3"/>
  <c r="C23123" i="3"/>
  <c r="B23123" i="3"/>
  <c r="D23122" i="3"/>
  <c r="C23122" i="3"/>
  <c r="B23122" i="3"/>
  <c r="D23121" i="3"/>
  <c r="C23121" i="3"/>
  <c r="B23121" i="3"/>
  <c r="D23120" i="3"/>
  <c r="C23120" i="3"/>
  <c r="B23120" i="3"/>
  <c r="D23119" i="3"/>
  <c r="C23119" i="3"/>
  <c r="B23119" i="3"/>
  <c r="D23118" i="3"/>
  <c r="C23118" i="3"/>
  <c r="B23118" i="3"/>
  <c r="D23117" i="3"/>
  <c r="C23117" i="3"/>
  <c r="B23117" i="3"/>
  <c r="D23116" i="3"/>
  <c r="C23116" i="3"/>
  <c r="B23116" i="3"/>
  <c r="D23115" i="3"/>
  <c r="C23115" i="3"/>
  <c r="B23115" i="3"/>
  <c r="D23114" i="3"/>
  <c r="C23114" i="3"/>
  <c r="B23114" i="3"/>
  <c r="D23113" i="3"/>
  <c r="C23113" i="3"/>
  <c r="B23113" i="3"/>
  <c r="D23112" i="3"/>
  <c r="C23112" i="3"/>
  <c r="B23112" i="3"/>
  <c r="D23111" i="3"/>
  <c r="C23111" i="3"/>
  <c r="B23111" i="3"/>
  <c r="D23110" i="3"/>
  <c r="C23110" i="3"/>
  <c r="B23110" i="3"/>
  <c r="D23109" i="3"/>
  <c r="C23109" i="3"/>
  <c r="B23109" i="3"/>
  <c r="D23108" i="3"/>
  <c r="C23108" i="3"/>
  <c r="B23108" i="3"/>
  <c r="D23107" i="3"/>
  <c r="C23107" i="3"/>
  <c r="B23107" i="3"/>
  <c r="D23106" i="3"/>
  <c r="C23106" i="3"/>
  <c r="B23106" i="3"/>
  <c r="D23105" i="3"/>
  <c r="C23105" i="3"/>
  <c r="B23105" i="3"/>
  <c r="D23104" i="3"/>
  <c r="C23104" i="3"/>
  <c r="B23104" i="3"/>
  <c r="D23103" i="3"/>
  <c r="C23103" i="3"/>
  <c r="B23103" i="3"/>
  <c r="D23102" i="3"/>
  <c r="C23102" i="3"/>
  <c r="B23102" i="3"/>
  <c r="D23101" i="3"/>
  <c r="C23101" i="3"/>
  <c r="B23101" i="3"/>
  <c r="D23100" i="3"/>
  <c r="C23100" i="3"/>
  <c r="B23100" i="3"/>
  <c r="D23099" i="3"/>
  <c r="C23099" i="3"/>
  <c r="B23099" i="3"/>
  <c r="D23098" i="3"/>
  <c r="C23098" i="3"/>
  <c r="B23098" i="3"/>
  <c r="D23097" i="3"/>
  <c r="C23097" i="3"/>
  <c r="B23097" i="3"/>
  <c r="D23096" i="3"/>
  <c r="C23096" i="3"/>
  <c r="B23096" i="3"/>
  <c r="D23095" i="3"/>
  <c r="C23095" i="3"/>
  <c r="B23095" i="3"/>
  <c r="D23094" i="3"/>
  <c r="C23094" i="3"/>
  <c r="B23094" i="3"/>
  <c r="D23093" i="3"/>
  <c r="C23093" i="3"/>
  <c r="B23093" i="3"/>
  <c r="D23092" i="3"/>
  <c r="C23092" i="3"/>
  <c r="B23092" i="3"/>
  <c r="D23091" i="3"/>
  <c r="C23091" i="3"/>
  <c r="B23091" i="3"/>
  <c r="D23090" i="3"/>
  <c r="C23090" i="3"/>
  <c r="B23090" i="3"/>
  <c r="D23089" i="3"/>
  <c r="C23089" i="3"/>
  <c r="B23089" i="3"/>
  <c r="D23088" i="3"/>
  <c r="C23088" i="3"/>
  <c r="B23088" i="3"/>
  <c r="D23087" i="3"/>
  <c r="C23087" i="3"/>
  <c r="B23087" i="3"/>
  <c r="D23086" i="3"/>
  <c r="C23086" i="3"/>
  <c r="B23086" i="3"/>
  <c r="D23085" i="3"/>
  <c r="C23085" i="3"/>
  <c r="B23085" i="3"/>
  <c r="D23084" i="3"/>
  <c r="C23084" i="3"/>
  <c r="B23084" i="3"/>
  <c r="D23083" i="3"/>
  <c r="C23083" i="3"/>
  <c r="B23083" i="3"/>
  <c r="D23082" i="3"/>
  <c r="C23082" i="3"/>
  <c r="B23082" i="3"/>
  <c r="D23081" i="3"/>
  <c r="C23081" i="3"/>
  <c r="B23081" i="3"/>
  <c r="D23080" i="3"/>
  <c r="C23080" i="3"/>
  <c r="B23080" i="3"/>
  <c r="D23079" i="3"/>
  <c r="C23079" i="3"/>
  <c r="B23079" i="3"/>
  <c r="D23078" i="3"/>
  <c r="C23078" i="3"/>
  <c r="B23078" i="3"/>
  <c r="D23077" i="3"/>
  <c r="C23077" i="3"/>
  <c r="B23077" i="3"/>
  <c r="D23076" i="3"/>
  <c r="C23076" i="3"/>
  <c r="B23076" i="3"/>
  <c r="D23075" i="3"/>
  <c r="C23075" i="3"/>
  <c r="B23075" i="3"/>
  <c r="D23074" i="3"/>
  <c r="C23074" i="3"/>
  <c r="B23074" i="3"/>
  <c r="D23073" i="3"/>
  <c r="C23073" i="3"/>
  <c r="B23073" i="3"/>
  <c r="D23072" i="3"/>
  <c r="C23072" i="3"/>
  <c r="B23072" i="3"/>
  <c r="D23071" i="3"/>
  <c r="C23071" i="3"/>
  <c r="B23071" i="3"/>
  <c r="D23070" i="3"/>
  <c r="C23070" i="3"/>
  <c r="B23070" i="3"/>
  <c r="D23069" i="3"/>
  <c r="C23069" i="3"/>
  <c r="B23069" i="3"/>
  <c r="D23068" i="3"/>
  <c r="C23068" i="3"/>
  <c r="B23068" i="3"/>
  <c r="D23067" i="3"/>
  <c r="C23067" i="3"/>
  <c r="B23067" i="3"/>
  <c r="D23066" i="3"/>
  <c r="C23066" i="3"/>
  <c r="B23066" i="3"/>
  <c r="D23065" i="3"/>
  <c r="C23065" i="3"/>
  <c r="B23065" i="3"/>
  <c r="D23064" i="3"/>
  <c r="C23064" i="3"/>
  <c r="B23064" i="3"/>
  <c r="D23063" i="3"/>
  <c r="C23063" i="3"/>
  <c r="B23063" i="3"/>
  <c r="D23062" i="3"/>
  <c r="C23062" i="3"/>
  <c r="B23062" i="3"/>
  <c r="D23061" i="3"/>
  <c r="C23061" i="3"/>
  <c r="B23061" i="3"/>
  <c r="D23060" i="3"/>
  <c r="C23060" i="3"/>
  <c r="B23060" i="3"/>
  <c r="D23059" i="3"/>
  <c r="C23059" i="3"/>
  <c r="B23059" i="3"/>
  <c r="D23058" i="3"/>
  <c r="C23058" i="3"/>
  <c r="B23058" i="3"/>
  <c r="D23057" i="3"/>
  <c r="C23057" i="3"/>
  <c r="B23057" i="3"/>
  <c r="D23056" i="3"/>
  <c r="C23056" i="3"/>
  <c r="B23056" i="3"/>
  <c r="D23055" i="3"/>
  <c r="C23055" i="3"/>
  <c r="B23055" i="3"/>
  <c r="D23054" i="3"/>
  <c r="C23054" i="3"/>
  <c r="B23054" i="3"/>
  <c r="D23053" i="3"/>
  <c r="C23053" i="3"/>
  <c r="B23053" i="3"/>
  <c r="D23052" i="3"/>
  <c r="C23052" i="3"/>
  <c r="B23052" i="3"/>
  <c r="D23051" i="3"/>
  <c r="C23051" i="3"/>
  <c r="B23051" i="3"/>
  <c r="D23050" i="3"/>
  <c r="C23050" i="3"/>
  <c r="B23050" i="3"/>
  <c r="D23049" i="3"/>
  <c r="C23049" i="3"/>
  <c r="B23049" i="3"/>
  <c r="D23048" i="3"/>
  <c r="C23048" i="3"/>
  <c r="B23048" i="3"/>
  <c r="D23047" i="3"/>
  <c r="C23047" i="3"/>
  <c r="B23047" i="3"/>
  <c r="D23046" i="3"/>
  <c r="C23046" i="3"/>
  <c r="B23046" i="3"/>
  <c r="D23045" i="3"/>
  <c r="C23045" i="3"/>
  <c r="B23045" i="3"/>
  <c r="D23044" i="3"/>
  <c r="C23044" i="3"/>
  <c r="B23044" i="3"/>
  <c r="D23043" i="3"/>
  <c r="C23043" i="3"/>
  <c r="B23043" i="3"/>
  <c r="D23042" i="3"/>
  <c r="C23042" i="3"/>
  <c r="B23042" i="3"/>
  <c r="D23041" i="3"/>
  <c r="C23041" i="3"/>
  <c r="B23041" i="3"/>
  <c r="D23040" i="3"/>
  <c r="C23040" i="3"/>
  <c r="B23040" i="3"/>
  <c r="D23039" i="3"/>
  <c r="C23039" i="3"/>
  <c r="B23039" i="3"/>
  <c r="D23038" i="3"/>
  <c r="C23038" i="3"/>
  <c r="B23038" i="3"/>
  <c r="D23037" i="3"/>
  <c r="C23037" i="3"/>
  <c r="B23037" i="3"/>
  <c r="D23036" i="3"/>
  <c r="C23036" i="3"/>
  <c r="B23036" i="3"/>
  <c r="D23035" i="3"/>
  <c r="C23035" i="3"/>
  <c r="B23035" i="3"/>
  <c r="D23034" i="3"/>
  <c r="C23034" i="3"/>
  <c r="B23034" i="3"/>
  <c r="D23033" i="3"/>
  <c r="C23033" i="3"/>
  <c r="B23033" i="3"/>
  <c r="D23032" i="3"/>
  <c r="C23032" i="3"/>
  <c r="B23032" i="3"/>
  <c r="D23031" i="3"/>
  <c r="C23031" i="3"/>
  <c r="B23031" i="3"/>
  <c r="D23030" i="3"/>
  <c r="C23030" i="3"/>
  <c r="B23030" i="3"/>
  <c r="D23029" i="3"/>
  <c r="C23029" i="3"/>
  <c r="B23029" i="3"/>
  <c r="D23028" i="3"/>
  <c r="C23028" i="3"/>
  <c r="B23028" i="3"/>
  <c r="D23027" i="3"/>
  <c r="C23027" i="3"/>
  <c r="B23027" i="3"/>
  <c r="D23026" i="3"/>
  <c r="C23026" i="3"/>
  <c r="B23026" i="3"/>
  <c r="D23025" i="3"/>
  <c r="C23025" i="3"/>
  <c r="B23025" i="3"/>
  <c r="D23024" i="3"/>
  <c r="C23024" i="3"/>
  <c r="B23024" i="3"/>
  <c r="D23023" i="3"/>
  <c r="C23023" i="3"/>
  <c r="B23023" i="3"/>
  <c r="D23022" i="3"/>
  <c r="C23022" i="3"/>
  <c r="B23022" i="3"/>
  <c r="D23021" i="3"/>
  <c r="C23021" i="3"/>
  <c r="B23021" i="3"/>
  <c r="D23020" i="3"/>
  <c r="C23020" i="3"/>
  <c r="B23020" i="3"/>
  <c r="D23019" i="3"/>
  <c r="C23019" i="3"/>
  <c r="B23019" i="3"/>
  <c r="D23018" i="3"/>
  <c r="C23018" i="3"/>
  <c r="B23018" i="3"/>
  <c r="D23017" i="3"/>
  <c r="C23017" i="3"/>
  <c r="B23017" i="3"/>
  <c r="D23016" i="3"/>
  <c r="C23016" i="3"/>
  <c r="B23016" i="3"/>
  <c r="D23015" i="3"/>
  <c r="C23015" i="3"/>
  <c r="B23015" i="3"/>
  <c r="D23014" i="3"/>
  <c r="C23014" i="3"/>
  <c r="B23014" i="3"/>
  <c r="D23013" i="3"/>
  <c r="C23013" i="3"/>
  <c r="B23013" i="3"/>
  <c r="D23012" i="3"/>
  <c r="C23012" i="3"/>
  <c r="B23012" i="3"/>
  <c r="D23011" i="3"/>
  <c r="C23011" i="3"/>
  <c r="B23011" i="3"/>
  <c r="D23010" i="3"/>
  <c r="C23010" i="3"/>
  <c r="B23010" i="3"/>
  <c r="D23009" i="3"/>
  <c r="C23009" i="3"/>
  <c r="B23009" i="3"/>
  <c r="D23008" i="3"/>
  <c r="C23008" i="3"/>
  <c r="B23008" i="3"/>
  <c r="D23007" i="3"/>
  <c r="C23007" i="3"/>
  <c r="B23007" i="3"/>
  <c r="D23006" i="3"/>
  <c r="C23006" i="3"/>
  <c r="B23006" i="3"/>
  <c r="D23005" i="3"/>
  <c r="C23005" i="3"/>
  <c r="B23005" i="3"/>
  <c r="D23004" i="3"/>
  <c r="C23004" i="3"/>
  <c r="B23004" i="3"/>
  <c r="D23003" i="3"/>
  <c r="C23003" i="3"/>
  <c r="B23003" i="3"/>
  <c r="D23002" i="3"/>
  <c r="C23002" i="3"/>
  <c r="B23002" i="3"/>
  <c r="D23001" i="3"/>
  <c r="C23001" i="3"/>
  <c r="B23001" i="3"/>
  <c r="D23000" i="3"/>
  <c r="C23000" i="3"/>
  <c r="B23000" i="3"/>
  <c r="D22999" i="3"/>
  <c r="C22999" i="3"/>
  <c r="B22999" i="3"/>
  <c r="D22998" i="3"/>
  <c r="C22998" i="3"/>
  <c r="B22998" i="3"/>
  <c r="D22997" i="3"/>
  <c r="C22997" i="3"/>
  <c r="B22997" i="3"/>
  <c r="D22996" i="3"/>
  <c r="C22996" i="3"/>
  <c r="B22996" i="3"/>
  <c r="D22995" i="3"/>
  <c r="C22995" i="3"/>
  <c r="B22995" i="3"/>
  <c r="D22994" i="3"/>
  <c r="C22994" i="3"/>
  <c r="B22994" i="3"/>
  <c r="D22993" i="3"/>
  <c r="C22993" i="3"/>
  <c r="B22993" i="3"/>
  <c r="D22992" i="3"/>
  <c r="C22992" i="3"/>
  <c r="B22992" i="3"/>
  <c r="D22991" i="3"/>
  <c r="C22991" i="3"/>
  <c r="B22991" i="3"/>
  <c r="D22990" i="3"/>
  <c r="C22990" i="3"/>
  <c r="B22990" i="3"/>
  <c r="D22989" i="3"/>
  <c r="C22989" i="3"/>
  <c r="B22989" i="3"/>
  <c r="D22988" i="3"/>
  <c r="C22988" i="3"/>
  <c r="B22988" i="3"/>
  <c r="D22987" i="3"/>
  <c r="C22987" i="3"/>
  <c r="B22987" i="3"/>
  <c r="D22986" i="3"/>
  <c r="C22986" i="3"/>
  <c r="B22986" i="3"/>
  <c r="D22985" i="3"/>
  <c r="C22985" i="3"/>
  <c r="B22985" i="3"/>
  <c r="D22984" i="3"/>
  <c r="C22984" i="3"/>
  <c r="B22984" i="3"/>
  <c r="D22983" i="3"/>
  <c r="C22983" i="3"/>
  <c r="B22983" i="3"/>
  <c r="D22982" i="3"/>
  <c r="C22982" i="3"/>
  <c r="B22982" i="3"/>
  <c r="D22981" i="3"/>
  <c r="C22981" i="3"/>
  <c r="B22981" i="3"/>
  <c r="D22980" i="3"/>
  <c r="C22980" i="3"/>
  <c r="B22980" i="3"/>
  <c r="D22979" i="3"/>
  <c r="C22979" i="3"/>
  <c r="B22979" i="3"/>
  <c r="D22978" i="3"/>
  <c r="C22978" i="3"/>
  <c r="B22978" i="3"/>
  <c r="D22977" i="3"/>
  <c r="C22977" i="3"/>
  <c r="B22977" i="3"/>
  <c r="D22976" i="3"/>
  <c r="C22976" i="3"/>
  <c r="B22976" i="3"/>
  <c r="D22975" i="3"/>
  <c r="C22975" i="3"/>
  <c r="B22975" i="3"/>
  <c r="D22974" i="3"/>
  <c r="C22974" i="3"/>
  <c r="B22974" i="3"/>
  <c r="D22973" i="3"/>
  <c r="C22973" i="3"/>
  <c r="B22973" i="3"/>
  <c r="D22972" i="3"/>
  <c r="C22972" i="3"/>
  <c r="B22972" i="3"/>
  <c r="D22971" i="3"/>
  <c r="C22971" i="3"/>
  <c r="B22971" i="3"/>
  <c r="D22970" i="3"/>
  <c r="C22970" i="3"/>
  <c r="B22970" i="3"/>
  <c r="D22969" i="3"/>
  <c r="C22969" i="3"/>
  <c r="B22969" i="3"/>
  <c r="D22968" i="3"/>
  <c r="C22968" i="3"/>
  <c r="B22968" i="3"/>
  <c r="D22967" i="3"/>
  <c r="C22967" i="3"/>
  <c r="B22967" i="3"/>
  <c r="D22966" i="3"/>
  <c r="C22966" i="3"/>
  <c r="B22966" i="3"/>
  <c r="D22965" i="3"/>
  <c r="C22965" i="3"/>
  <c r="B22965" i="3"/>
  <c r="D22964" i="3"/>
  <c r="C22964" i="3"/>
  <c r="B22964" i="3"/>
  <c r="D22963" i="3"/>
  <c r="C22963" i="3"/>
  <c r="B22963" i="3"/>
  <c r="D22962" i="3"/>
  <c r="C22962" i="3"/>
  <c r="B22962" i="3"/>
  <c r="D22961" i="3"/>
  <c r="C22961" i="3"/>
  <c r="B22961" i="3"/>
  <c r="D22960" i="3"/>
  <c r="C22960" i="3"/>
  <c r="B22960" i="3"/>
  <c r="D22959" i="3"/>
  <c r="C22959" i="3"/>
  <c r="B22959" i="3"/>
  <c r="D22958" i="3"/>
  <c r="C22958" i="3"/>
  <c r="B22958" i="3"/>
  <c r="D22957" i="3"/>
  <c r="C22957" i="3"/>
  <c r="B22957" i="3"/>
  <c r="D22956" i="3"/>
  <c r="C22956" i="3"/>
  <c r="B22956" i="3"/>
  <c r="D22955" i="3"/>
  <c r="C22955" i="3"/>
  <c r="B22955" i="3"/>
  <c r="D22954" i="3"/>
  <c r="C22954" i="3"/>
  <c r="B22954" i="3"/>
  <c r="D22953" i="3"/>
  <c r="C22953" i="3"/>
  <c r="B22953" i="3"/>
  <c r="D22952" i="3"/>
  <c r="C22952" i="3"/>
  <c r="B22952" i="3"/>
  <c r="D22951" i="3"/>
  <c r="C22951" i="3"/>
  <c r="B22951" i="3"/>
  <c r="D22950" i="3"/>
  <c r="C22950" i="3"/>
  <c r="B22950" i="3"/>
  <c r="D22949" i="3"/>
  <c r="C22949" i="3"/>
  <c r="B22949" i="3"/>
  <c r="D22948" i="3"/>
  <c r="C22948" i="3"/>
  <c r="B22948" i="3"/>
  <c r="D22947" i="3"/>
  <c r="C22947" i="3"/>
  <c r="B22947" i="3"/>
  <c r="D22946" i="3"/>
  <c r="C22946" i="3"/>
  <c r="B22946" i="3"/>
  <c r="D22945" i="3"/>
  <c r="C22945" i="3"/>
  <c r="B22945" i="3"/>
  <c r="D22944" i="3"/>
  <c r="C22944" i="3"/>
  <c r="B22944" i="3"/>
  <c r="D22943" i="3"/>
  <c r="C22943" i="3"/>
  <c r="B22943" i="3"/>
  <c r="D22942" i="3"/>
  <c r="C22942" i="3"/>
  <c r="B22942" i="3"/>
  <c r="D22941" i="3"/>
  <c r="C22941" i="3"/>
  <c r="B22941" i="3"/>
  <c r="D22940" i="3"/>
  <c r="C22940" i="3"/>
  <c r="B22940" i="3"/>
  <c r="D22939" i="3"/>
  <c r="C22939" i="3"/>
  <c r="B22939" i="3"/>
  <c r="D22938" i="3"/>
  <c r="C22938" i="3"/>
  <c r="B22938" i="3"/>
  <c r="D22937" i="3"/>
  <c r="C22937" i="3"/>
  <c r="B22937" i="3"/>
  <c r="D22936" i="3"/>
  <c r="C22936" i="3"/>
  <c r="B22936" i="3"/>
  <c r="D22935" i="3"/>
  <c r="C22935" i="3"/>
  <c r="B22935" i="3"/>
  <c r="D22934" i="3"/>
  <c r="C22934" i="3"/>
  <c r="B22934" i="3"/>
  <c r="D22933" i="3"/>
  <c r="C22933" i="3"/>
  <c r="B22933" i="3"/>
  <c r="D22932" i="3"/>
  <c r="C22932" i="3"/>
  <c r="B22932" i="3"/>
  <c r="D22931" i="3"/>
  <c r="C22931" i="3"/>
  <c r="B22931" i="3"/>
  <c r="D22930" i="3"/>
  <c r="C22930" i="3"/>
  <c r="B22930" i="3"/>
  <c r="D22929" i="3"/>
  <c r="C22929" i="3"/>
  <c r="B22929" i="3"/>
  <c r="D22928" i="3"/>
  <c r="C22928" i="3"/>
  <c r="B22928" i="3"/>
  <c r="D22927" i="3"/>
  <c r="C22927" i="3"/>
  <c r="B22927" i="3"/>
  <c r="D22926" i="3"/>
  <c r="C22926" i="3"/>
  <c r="B22926" i="3"/>
  <c r="D22925" i="3"/>
  <c r="C22925" i="3"/>
  <c r="B22925" i="3"/>
  <c r="D22924" i="3"/>
  <c r="C22924" i="3"/>
  <c r="B22924" i="3"/>
  <c r="D22923" i="3"/>
  <c r="C22923" i="3"/>
  <c r="B22923" i="3"/>
  <c r="D22922" i="3"/>
  <c r="C22922" i="3"/>
  <c r="B22922" i="3"/>
  <c r="D22921" i="3"/>
  <c r="C22921" i="3"/>
  <c r="B22921" i="3"/>
  <c r="D22920" i="3"/>
  <c r="C22920" i="3"/>
  <c r="B22920" i="3"/>
  <c r="D22919" i="3"/>
  <c r="C22919" i="3"/>
  <c r="B22919" i="3"/>
  <c r="D22918" i="3"/>
  <c r="C22918" i="3"/>
  <c r="B22918" i="3"/>
  <c r="D22917" i="3"/>
  <c r="C22917" i="3"/>
  <c r="B22917" i="3"/>
  <c r="D22916" i="3"/>
  <c r="C22916" i="3"/>
  <c r="B22916" i="3"/>
  <c r="D22915" i="3"/>
  <c r="C22915" i="3"/>
  <c r="B22915" i="3"/>
  <c r="D22914" i="3"/>
  <c r="C22914" i="3"/>
  <c r="B22914" i="3"/>
  <c r="D22913" i="3"/>
  <c r="C22913" i="3"/>
  <c r="B22913" i="3"/>
  <c r="D22912" i="3"/>
  <c r="C22912" i="3"/>
  <c r="B22912" i="3"/>
  <c r="D22911" i="3"/>
  <c r="C22911" i="3"/>
  <c r="B22911" i="3"/>
  <c r="D22910" i="3"/>
  <c r="C22910" i="3"/>
  <c r="B22910" i="3"/>
  <c r="D22909" i="3"/>
  <c r="C22909" i="3"/>
  <c r="B22909" i="3"/>
  <c r="D22908" i="3"/>
  <c r="C22908" i="3"/>
  <c r="B22908" i="3"/>
  <c r="D22907" i="3"/>
  <c r="C22907" i="3"/>
  <c r="B22907" i="3"/>
  <c r="D22906" i="3"/>
  <c r="C22906" i="3"/>
  <c r="B22906" i="3"/>
  <c r="D22905" i="3"/>
  <c r="C22905" i="3"/>
  <c r="B22905" i="3"/>
  <c r="D22904" i="3"/>
  <c r="C22904" i="3"/>
  <c r="B22904" i="3"/>
  <c r="D22903" i="3"/>
  <c r="C22903" i="3"/>
  <c r="B22903" i="3"/>
  <c r="D22902" i="3"/>
  <c r="C22902" i="3"/>
  <c r="B22902" i="3"/>
  <c r="D22901" i="3"/>
  <c r="C22901" i="3"/>
  <c r="B22901" i="3"/>
  <c r="D22900" i="3"/>
  <c r="C22900" i="3"/>
  <c r="B22900" i="3"/>
  <c r="D22899" i="3"/>
  <c r="C22899" i="3"/>
  <c r="B22899" i="3"/>
  <c r="D22898" i="3"/>
  <c r="C22898" i="3"/>
  <c r="B22898" i="3"/>
  <c r="D22897" i="3"/>
  <c r="C22897" i="3"/>
  <c r="B22897" i="3"/>
  <c r="D22896" i="3"/>
  <c r="C22896" i="3"/>
  <c r="B22896" i="3"/>
  <c r="D22895" i="3"/>
  <c r="C22895" i="3"/>
  <c r="B22895" i="3"/>
  <c r="D22894" i="3"/>
  <c r="C22894" i="3"/>
  <c r="B22894" i="3"/>
  <c r="D22893" i="3"/>
  <c r="C22893" i="3"/>
  <c r="B22893" i="3"/>
  <c r="D22892" i="3"/>
  <c r="C22892" i="3"/>
  <c r="B22892" i="3"/>
  <c r="D22891" i="3"/>
  <c r="C22891" i="3"/>
  <c r="B22891" i="3"/>
  <c r="D22890" i="3"/>
  <c r="C22890" i="3"/>
  <c r="B22890" i="3"/>
  <c r="D22889" i="3"/>
  <c r="C22889" i="3"/>
  <c r="B22889" i="3"/>
  <c r="D22888" i="3"/>
  <c r="C22888" i="3"/>
  <c r="B22888" i="3"/>
  <c r="D22887" i="3"/>
  <c r="C22887" i="3"/>
  <c r="B22887" i="3"/>
  <c r="D22886" i="3"/>
  <c r="C22886" i="3"/>
  <c r="B22886" i="3"/>
  <c r="D22885" i="3"/>
  <c r="C22885" i="3"/>
  <c r="B22885" i="3"/>
  <c r="D22884" i="3"/>
  <c r="C22884" i="3"/>
  <c r="B22884" i="3"/>
  <c r="D22883" i="3"/>
  <c r="C22883" i="3"/>
  <c r="B22883" i="3"/>
  <c r="D22882" i="3"/>
  <c r="C22882" i="3"/>
  <c r="B22882" i="3"/>
  <c r="D22881" i="3"/>
  <c r="C22881" i="3"/>
  <c r="B22881" i="3"/>
  <c r="D22880" i="3"/>
  <c r="C22880" i="3"/>
  <c r="B22880" i="3"/>
  <c r="D22879" i="3"/>
  <c r="C22879" i="3"/>
  <c r="B22879" i="3"/>
  <c r="D22878" i="3"/>
  <c r="C22878" i="3"/>
  <c r="B22878" i="3"/>
  <c r="D22877" i="3"/>
  <c r="C22877" i="3"/>
  <c r="B22877" i="3"/>
  <c r="D22876" i="3"/>
  <c r="C22876" i="3"/>
  <c r="B22876" i="3"/>
  <c r="D22875" i="3"/>
  <c r="C22875" i="3"/>
  <c r="B22875" i="3"/>
  <c r="D22874" i="3"/>
  <c r="C22874" i="3"/>
  <c r="B22874" i="3"/>
  <c r="D22873" i="3"/>
  <c r="C22873" i="3"/>
  <c r="B22873" i="3"/>
  <c r="D22872" i="3"/>
  <c r="C22872" i="3"/>
  <c r="B22872" i="3"/>
  <c r="D22871" i="3"/>
  <c r="C22871" i="3"/>
  <c r="B22871" i="3"/>
  <c r="D22870" i="3"/>
  <c r="C22870" i="3"/>
  <c r="B22870" i="3"/>
  <c r="D22869" i="3"/>
  <c r="C22869" i="3"/>
  <c r="B22869" i="3"/>
  <c r="D22868" i="3"/>
  <c r="C22868" i="3"/>
  <c r="B22868" i="3"/>
  <c r="D22867" i="3"/>
  <c r="C22867" i="3"/>
  <c r="B22867" i="3"/>
  <c r="D22866" i="3"/>
  <c r="C22866" i="3"/>
  <c r="B22866" i="3"/>
  <c r="D22865" i="3"/>
  <c r="C22865" i="3"/>
  <c r="B22865" i="3"/>
  <c r="D22864" i="3"/>
  <c r="C22864" i="3"/>
  <c r="B22864" i="3"/>
  <c r="D22863" i="3"/>
  <c r="C22863" i="3"/>
  <c r="B22863" i="3"/>
  <c r="D22862" i="3"/>
  <c r="C22862" i="3"/>
  <c r="B22862" i="3"/>
  <c r="D22861" i="3"/>
  <c r="C22861" i="3"/>
  <c r="B22861" i="3"/>
  <c r="D22860" i="3"/>
  <c r="C22860" i="3"/>
  <c r="B22860" i="3"/>
  <c r="D22859" i="3"/>
  <c r="C22859" i="3"/>
  <c r="B22859" i="3"/>
  <c r="D22858" i="3"/>
  <c r="C22858" i="3"/>
  <c r="B22858" i="3"/>
  <c r="D22857" i="3"/>
  <c r="C22857" i="3"/>
  <c r="B22857" i="3"/>
  <c r="D22856" i="3"/>
  <c r="C22856" i="3"/>
  <c r="B22856" i="3"/>
  <c r="D22855" i="3"/>
  <c r="C22855" i="3"/>
  <c r="B22855" i="3"/>
  <c r="D22854" i="3"/>
  <c r="C22854" i="3"/>
  <c r="B22854" i="3"/>
  <c r="D22853" i="3"/>
  <c r="C22853" i="3"/>
  <c r="B22853" i="3"/>
  <c r="D22852" i="3"/>
  <c r="C22852" i="3"/>
  <c r="B22852" i="3"/>
  <c r="D22851" i="3"/>
  <c r="C22851" i="3"/>
  <c r="B22851" i="3"/>
  <c r="D22850" i="3"/>
  <c r="C22850" i="3"/>
  <c r="B22850" i="3"/>
  <c r="D22849" i="3"/>
  <c r="C22849" i="3"/>
  <c r="B22849" i="3"/>
  <c r="D22848" i="3"/>
  <c r="C22848" i="3"/>
  <c r="B22848" i="3"/>
  <c r="D22847" i="3"/>
  <c r="C22847" i="3"/>
  <c r="B22847" i="3"/>
  <c r="D22846" i="3"/>
  <c r="C22846" i="3"/>
  <c r="B22846" i="3"/>
  <c r="D22845" i="3"/>
  <c r="C22845" i="3"/>
  <c r="B22845" i="3"/>
  <c r="D22844" i="3"/>
  <c r="C22844" i="3"/>
  <c r="B22844" i="3"/>
  <c r="D22843" i="3"/>
  <c r="C22843" i="3"/>
  <c r="B22843" i="3"/>
  <c r="D22842" i="3"/>
  <c r="C22842" i="3"/>
  <c r="B22842" i="3"/>
  <c r="D22841" i="3"/>
  <c r="C22841" i="3"/>
  <c r="B22841" i="3"/>
  <c r="D22840" i="3"/>
  <c r="C22840" i="3"/>
  <c r="B22840" i="3"/>
  <c r="D22839" i="3"/>
  <c r="C22839" i="3"/>
  <c r="B22839" i="3"/>
  <c r="D22838" i="3"/>
  <c r="C22838" i="3"/>
  <c r="B22838" i="3"/>
  <c r="D22837" i="3"/>
  <c r="C22837" i="3"/>
  <c r="B22837" i="3"/>
  <c r="D22836" i="3"/>
  <c r="C22836" i="3"/>
  <c r="B22836" i="3"/>
  <c r="D22835" i="3"/>
  <c r="C22835" i="3"/>
  <c r="B22835" i="3"/>
  <c r="D22834" i="3"/>
  <c r="C22834" i="3"/>
  <c r="B22834" i="3"/>
  <c r="D22833" i="3"/>
  <c r="C22833" i="3"/>
  <c r="B22833" i="3"/>
  <c r="D22832" i="3"/>
  <c r="C22832" i="3"/>
  <c r="B22832" i="3"/>
  <c r="D22831" i="3"/>
  <c r="C22831" i="3"/>
  <c r="B22831" i="3"/>
  <c r="D22830" i="3"/>
  <c r="C22830" i="3"/>
  <c r="B22830" i="3"/>
  <c r="D22829" i="3"/>
  <c r="C22829" i="3"/>
  <c r="B22829" i="3"/>
  <c r="D22828" i="3"/>
  <c r="C22828" i="3"/>
  <c r="B22828" i="3"/>
  <c r="D22827" i="3"/>
  <c r="C22827" i="3"/>
  <c r="B22827" i="3"/>
  <c r="D22826" i="3"/>
  <c r="C22826" i="3"/>
  <c r="B22826" i="3"/>
  <c r="D22825" i="3"/>
  <c r="C22825" i="3"/>
  <c r="B22825" i="3"/>
  <c r="D22824" i="3"/>
  <c r="C22824" i="3"/>
  <c r="B22824" i="3"/>
  <c r="D22823" i="3"/>
  <c r="C22823" i="3"/>
  <c r="B22823" i="3"/>
  <c r="D22822" i="3"/>
  <c r="C22822" i="3"/>
  <c r="B22822" i="3"/>
  <c r="D22821" i="3"/>
  <c r="C22821" i="3"/>
  <c r="B22821" i="3"/>
  <c r="D22820" i="3"/>
  <c r="C22820" i="3"/>
  <c r="B22820" i="3"/>
  <c r="D22819" i="3"/>
  <c r="C22819" i="3"/>
  <c r="B22819" i="3"/>
  <c r="D22818" i="3"/>
  <c r="C22818" i="3"/>
  <c r="B22818" i="3"/>
  <c r="D22817" i="3"/>
  <c r="C22817" i="3"/>
  <c r="B22817" i="3"/>
  <c r="D22816" i="3"/>
  <c r="C22816" i="3"/>
  <c r="B22816" i="3"/>
  <c r="D22815" i="3"/>
  <c r="C22815" i="3"/>
  <c r="B22815" i="3"/>
  <c r="D22814" i="3"/>
  <c r="C22814" i="3"/>
  <c r="B22814" i="3"/>
  <c r="D22813" i="3"/>
  <c r="C22813" i="3"/>
  <c r="B22813" i="3"/>
  <c r="D22812" i="3"/>
  <c r="C22812" i="3"/>
  <c r="B22812" i="3"/>
  <c r="D22811" i="3"/>
  <c r="C22811" i="3"/>
  <c r="B22811" i="3"/>
  <c r="D22810" i="3"/>
  <c r="C22810" i="3"/>
  <c r="B22810" i="3"/>
  <c r="D22809" i="3"/>
  <c r="C22809" i="3"/>
  <c r="B22809" i="3"/>
  <c r="D22808" i="3"/>
  <c r="C22808" i="3"/>
  <c r="B22808" i="3"/>
  <c r="D22807" i="3"/>
  <c r="C22807" i="3"/>
  <c r="B22807" i="3"/>
  <c r="D22806" i="3"/>
  <c r="C22806" i="3"/>
  <c r="B22806" i="3"/>
  <c r="D22805" i="3"/>
  <c r="C22805" i="3"/>
  <c r="B22805" i="3"/>
  <c r="D22804" i="3"/>
  <c r="C22804" i="3"/>
  <c r="B22804" i="3"/>
  <c r="D22803" i="3"/>
  <c r="C22803" i="3"/>
  <c r="B22803" i="3"/>
  <c r="D22802" i="3"/>
  <c r="C22802" i="3"/>
  <c r="B22802" i="3"/>
  <c r="D22801" i="3"/>
  <c r="C22801" i="3"/>
  <c r="B22801" i="3"/>
  <c r="D22800" i="3"/>
  <c r="C22800" i="3"/>
  <c r="B22800" i="3"/>
  <c r="D22799" i="3"/>
  <c r="C22799" i="3"/>
  <c r="B22799" i="3"/>
  <c r="D22798" i="3"/>
  <c r="C22798" i="3"/>
  <c r="B22798" i="3"/>
  <c r="D22797" i="3"/>
  <c r="C22797" i="3"/>
  <c r="B22797" i="3"/>
  <c r="D22796" i="3"/>
  <c r="C22796" i="3"/>
  <c r="B22796" i="3"/>
  <c r="D22795" i="3"/>
  <c r="C22795" i="3"/>
  <c r="B22795" i="3"/>
  <c r="D22794" i="3"/>
  <c r="C22794" i="3"/>
  <c r="B22794" i="3"/>
  <c r="D22793" i="3"/>
  <c r="C22793" i="3"/>
  <c r="B22793" i="3"/>
  <c r="D22792" i="3"/>
  <c r="C22792" i="3"/>
  <c r="B22792" i="3"/>
  <c r="D22791" i="3"/>
  <c r="C22791" i="3"/>
  <c r="B22791" i="3"/>
  <c r="D22790" i="3"/>
  <c r="C22790" i="3"/>
  <c r="B22790" i="3"/>
  <c r="D22789" i="3"/>
  <c r="C22789" i="3"/>
  <c r="B22789" i="3"/>
  <c r="D22788" i="3"/>
  <c r="C22788" i="3"/>
  <c r="B22788" i="3"/>
  <c r="D22787" i="3"/>
  <c r="C22787" i="3"/>
  <c r="B22787" i="3"/>
  <c r="D22786" i="3"/>
  <c r="C22786" i="3"/>
  <c r="B22786" i="3"/>
  <c r="D22785" i="3"/>
  <c r="C22785" i="3"/>
  <c r="B22785" i="3"/>
  <c r="D22784" i="3"/>
  <c r="C22784" i="3"/>
  <c r="B22784" i="3"/>
  <c r="D22783" i="3"/>
  <c r="C22783" i="3"/>
  <c r="B22783" i="3"/>
  <c r="D22782" i="3"/>
  <c r="C22782" i="3"/>
  <c r="B22782" i="3"/>
  <c r="D22781" i="3"/>
  <c r="C22781" i="3"/>
  <c r="B22781" i="3"/>
  <c r="D22780" i="3"/>
  <c r="C22780" i="3"/>
  <c r="B22780" i="3"/>
  <c r="D22779" i="3"/>
  <c r="C22779" i="3"/>
  <c r="B22779" i="3"/>
  <c r="D22778" i="3"/>
  <c r="C22778" i="3"/>
  <c r="B22778" i="3"/>
  <c r="D22777" i="3"/>
  <c r="C22777" i="3"/>
  <c r="B22777" i="3"/>
  <c r="D22776" i="3"/>
  <c r="C22776" i="3"/>
  <c r="B22776" i="3"/>
  <c r="D22775" i="3"/>
  <c r="C22775" i="3"/>
  <c r="B22775" i="3"/>
  <c r="D22774" i="3"/>
  <c r="C22774" i="3"/>
  <c r="B22774" i="3"/>
  <c r="D22773" i="3"/>
  <c r="C22773" i="3"/>
  <c r="B22773" i="3"/>
  <c r="D22772" i="3"/>
  <c r="C22772" i="3"/>
  <c r="B22772" i="3"/>
  <c r="D22771" i="3"/>
  <c r="C22771" i="3"/>
  <c r="B22771" i="3"/>
  <c r="D22770" i="3"/>
  <c r="C22770" i="3"/>
  <c r="B22770" i="3"/>
  <c r="D22769" i="3"/>
  <c r="C22769" i="3"/>
  <c r="B22769" i="3"/>
  <c r="D22768" i="3"/>
  <c r="C22768" i="3"/>
  <c r="B22768" i="3"/>
  <c r="D22767" i="3"/>
  <c r="C22767" i="3"/>
  <c r="B22767" i="3"/>
  <c r="D22766" i="3"/>
  <c r="C22766" i="3"/>
  <c r="B22766" i="3"/>
  <c r="D22765" i="3"/>
  <c r="C22765" i="3"/>
  <c r="B22765" i="3"/>
  <c r="D22764" i="3"/>
  <c r="C22764" i="3"/>
  <c r="B22764" i="3"/>
  <c r="D22763" i="3"/>
  <c r="C22763" i="3"/>
  <c r="B22763" i="3"/>
  <c r="D22762" i="3"/>
  <c r="C22762" i="3"/>
  <c r="B22762" i="3"/>
  <c r="D22761" i="3"/>
  <c r="C22761" i="3"/>
  <c r="B22761" i="3"/>
  <c r="D22760" i="3"/>
  <c r="C22760" i="3"/>
  <c r="B22760" i="3"/>
  <c r="D22759" i="3"/>
  <c r="C22759" i="3"/>
  <c r="B22759" i="3"/>
  <c r="D22758" i="3"/>
  <c r="C22758" i="3"/>
  <c r="B22758" i="3"/>
  <c r="D22757" i="3"/>
  <c r="C22757" i="3"/>
  <c r="B22757" i="3"/>
  <c r="D22756" i="3"/>
  <c r="C22756" i="3"/>
  <c r="B22756" i="3"/>
  <c r="D22755" i="3"/>
  <c r="C22755" i="3"/>
  <c r="B22755" i="3"/>
  <c r="D22754" i="3"/>
  <c r="C22754" i="3"/>
  <c r="B22754" i="3"/>
  <c r="D22753" i="3"/>
  <c r="C22753" i="3"/>
  <c r="B22753" i="3"/>
  <c r="D22752" i="3"/>
  <c r="C22752" i="3"/>
  <c r="B22752" i="3"/>
  <c r="D22751" i="3"/>
  <c r="C22751" i="3"/>
  <c r="B22751" i="3"/>
  <c r="D22750" i="3"/>
  <c r="C22750" i="3"/>
  <c r="B22750" i="3"/>
  <c r="D22749" i="3"/>
  <c r="C22749" i="3"/>
  <c r="B22749" i="3"/>
  <c r="D22748" i="3"/>
  <c r="C22748" i="3"/>
  <c r="B22748" i="3"/>
  <c r="D22747" i="3"/>
  <c r="C22747" i="3"/>
  <c r="B22747" i="3"/>
  <c r="D22746" i="3"/>
  <c r="C22746" i="3"/>
  <c r="B22746" i="3"/>
  <c r="D22745" i="3"/>
  <c r="C22745" i="3"/>
  <c r="B22745" i="3"/>
  <c r="D22744" i="3"/>
  <c r="C22744" i="3"/>
  <c r="B22744" i="3"/>
  <c r="D22743" i="3"/>
  <c r="C22743" i="3"/>
  <c r="B22743" i="3"/>
  <c r="D22742" i="3"/>
  <c r="C22742" i="3"/>
  <c r="B22742" i="3"/>
  <c r="D22741" i="3"/>
  <c r="C22741" i="3"/>
  <c r="B22741" i="3"/>
  <c r="D22740" i="3"/>
  <c r="C22740" i="3"/>
  <c r="B22740" i="3"/>
  <c r="D22739" i="3"/>
  <c r="C22739" i="3"/>
  <c r="B22739" i="3"/>
  <c r="D22738" i="3"/>
  <c r="C22738" i="3"/>
  <c r="B22738" i="3"/>
  <c r="D22737" i="3"/>
  <c r="C22737" i="3"/>
  <c r="B22737" i="3"/>
  <c r="D22736" i="3"/>
  <c r="C22736" i="3"/>
  <c r="B22736" i="3"/>
  <c r="D22735" i="3"/>
  <c r="C22735" i="3"/>
  <c r="B22735" i="3"/>
  <c r="D22734" i="3"/>
  <c r="C22734" i="3"/>
  <c r="B22734" i="3"/>
  <c r="D22733" i="3"/>
  <c r="C22733" i="3"/>
  <c r="B22733" i="3"/>
  <c r="D22732" i="3"/>
  <c r="C22732" i="3"/>
  <c r="B22732" i="3"/>
  <c r="D22731" i="3"/>
  <c r="C22731" i="3"/>
  <c r="B22731" i="3"/>
  <c r="D22730" i="3"/>
  <c r="C22730" i="3"/>
  <c r="B22730" i="3"/>
  <c r="D22729" i="3"/>
  <c r="C22729" i="3"/>
  <c r="B22729" i="3"/>
  <c r="D22728" i="3"/>
  <c r="C22728" i="3"/>
  <c r="B22728" i="3"/>
  <c r="D22727" i="3"/>
  <c r="C22727" i="3"/>
  <c r="B22727" i="3"/>
  <c r="D22726" i="3"/>
  <c r="C22726" i="3"/>
  <c r="B22726" i="3"/>
  <c r="D22725" i="3"/>
  <c r="C22725" i="3"/>
  <c r="B22725" i="3"/>
  <c r="D22724" i="3"/>
  <c r="C22724" i="3"/>
  <c r="B22724" i="3"/>
  <c r="D22723" i="3"/>
  <c r="C22723" i="3"/>
  <c r="B22723" i="3"/>
  <c r="D22722" i="3"/>
  <c r="C22722" i="3"/>
  <c r="B22722" i="3"/>
  <c r="D22721" i="3"/>
  <c r="C22721" i="3"/>
  <c r="B22721" i="3"/>
  <c r="D22720" i="3"/>
  <c r="C22720" i="3"/>
  <c r="B22720" i="3"/>
  <c r="D22719" i="3"/>
  <c r="C22719" i="3"/>
  <c r="B22719" i="3"/>
  <c r="D22718" i="3"/>
  <c r="C22718" i="3"/>
  <c r="B22718" i="3"/>
  <c r="D22717" i="3"/>
  <c r="C22717" i="3"/>
  <c r="B22717" i="3"/>
  <c r="D22716" i="3"/>
  <c r="C22716" i="3"/>
  <c r="B22716" i="3"/>
  <c r="D22715" i="3"/>
  <c r="C22715" i="3"/>
  <c r="B22715" i="3"/>
  <c r="D22714" i="3"/>
  <c r="C22714" i="3"/>
  <c r="B22714" i="3"/>
  <c r="D22713" i="3"/>
  <c r="C22713" i="3"/>
  <c r="B22713" i="3"/>
  <c r="D22712" i="3"/>
  <c r="C22712" i="3"/>
  <c r="B22712" i="3"/>
  <c r="D22711" i="3"/>
  <c r="C22711" i="3"/>
  <c r="B22711" i="3"/>
  <c r="D22710" i="3"/>
  <c r="C22710" i="3"/>
  <c r="B22710" i="3"/>
  <c r="D22709" i="3"/>
  <c r="C22709" i="3"/>
  <c r="B22709" i="3"/>
  <c r="D22708" i="3"/>
  <c r="C22708" i="3"/>
  <c r="B22708" i="3"/>
  <c r="D22707" i="3"/>
  <c r="C22707" i="3"/>
  <c r="B22707" i="3"/>
  <c r="D22706" i="3"/>
  <c r="C22706" i="3"/>
  <c r="B22706" i="3"/>
  <c r="D22705" i="3"/>
  <c r="C22705" i="3"/>
  <c r="B22705" i="3"/>
  <c r="D22704" i="3"/>
  <c r="C22704" i="3"/>
  <c r="B22704" i="3"/>
  <c r="D22703" i="3"/>
  <c r="C22703" i="3"/>
  <c r="B22703" i="3"/>
  <c r="D22702" i="3"/>
  <c r="C22702" i="3"/>
  <c r="B22702" i="3"/>
  <c r="D22701" i="3"/>
  <c r="C22701" i="3"/>
  <c r="B22701" i="3"/>
  <c r="D22700" i="3"/>
  <c r="C22700" i="3"/>
  <c r="B22700" i="3"/>
  <c r="D22699" i="3"/>
  <c r="C22699" i="3"/>
  <c r="B22699" i="3"/>
  <c r="D22698" i="3"/>
  <c r="C22698" i="3"/>
  <c r="B22698" i="3"/>
  <c r="D22697" i="3"/>
  <c r="C22697" i="3"/>
  <c r="B22697" i="3"/>
  <c r="D22696" i="3"/>
  <c r="C22696" i="3"/>
  <c r="B22696" i="3"/>
  <c r="D22695" i="3"/>
  <c r="C22695" i="3"/>
  <c r="B22695" i="3"/>
  <c r="D22694" i="3"/>
  <c r="C22694" i="3"/>
  <c r="B22694" i="3"/>
  <c r="D22693" i="3"/>
  <c r="C22693" i="3"/>
  <c r="B22693" i="3"/>
  <c r="D22692" i="3"/>
  <c r="C22692" i="3"/>
  <c r="B22692" i="3"/>
  <c r="D22691" i="3"/>
  <c r="C22691" i="3"/>
  <c r="B22691" i="3"/>
  <c r="D22690" i="3"/>
  <c r="C22690" i="3"/>
  <c r="B22690" i="3"/>
  <c r="D22689" i="3"/>
  <c r="C22689" i="3"/>
  <c r="B22689" i="3"/>
  <c r="D22688" i="3"/>
  <c r="C22688" i="3"/>
  <c r="B22688" i="3"/>
  <c r="D22687" i="3"/>
  <c r="C22687" i="3"/>
  <c r="B22687" i="3"/>
  <c r="D22686" i="3"/>
  <c r="C22686" i="3"/>
  <c r="B22686" i="3"/>
  <c r="D22685" i="3"/>
  <c r="C22685" i="3"/>
  <c r="B22685" i="3"/>
  <c r="D22684" i="3"/>
  <c r="C22684" i="3"/>
  <c r="B22684" i="3"/>
  <c r="D22683" i="3"/>
  <c r="C22683" i="3"/>
  <c r="B22683" i="3"/>
  <c r="D22682" i="3"/>
  <c r="C22682" i="3"/>
  <c r="B22682" i="3"/>
  <c r="D22681" i="3"/>
  <c r="C22681" i="3"/>
  <c r="B22681" i="3"/>
  <c r="D22680" i="3"/>
  <c r="C22680" i="3"/>
  <c r="B22680" i="3"/>
  <c r="D22679" i="3"/>
  <c r="C22679" i="3"/>
  <c r="B22679" i="3"/>
  <c r="D22678" i="3"/>
  <c r="C22678" i="3"/>
  <c r="B22678" i="3"/>
  <c r="D22677" i="3"/>
  <c r="C22677" i="3"/>
  <c r="B22677" i="3"/>
  <c r="D22676" i="3"/>
  <c r="C22676" i="3"/>
  <c r="B22676" i="3"/>
  <c r="D22675" i="3"/>
  <c r="C22675" i="3"/>
  <c r="B22675" i="3"/>
  <c r="D22674" i="3"/>
  <c r="C22674" i="3"/>
  <c r="B22674" i="3"/>
  <c r="D22673" i="3"/>
  <c r="C22673" i="3"/>
  <c r="B22673" i="3"/>
  <c r="D22672" i="3"/>
  <c r="C22672" i="3"/>
  <c r="B22672" i="3"/>
  <c r="D22671" i="3"/>
  <c r="C22671" i="3"/>
  <c r="B22671" i="3"/>
  <c r="D22670" i="3"/>
  <c r="C22670" i="3"/>
  <c r="B22670" i="3"/>
  <c r="D22669" i="3"/>
  <c r="C22669" i="3"/>
  <c r="B22669" i="3"/>
  <c r="D22668" i="3"/>
  <c r="C22668" i="3"/>
  <c r="B22668" i="3"/>
  <c r="D22667" i="3"/>
  <c r="C22667" i="3"/>
  <c r="B22667" i="3"/>
  <c r="D22666" i="3"/>
  <c r="C22666" i="3"/>
  <c r="B22666" i="3"/>
  <c r="D22665" i="3"/>
  <c r="C22665" i="3"/>
  <c r="B22665" i="3"/>
  <c r="D22664" i="3"/>
  <c r="C22664" i="3"/>
  <c r="B22664" i="3"/>
  <c r="D22663" i="3"/>
  <c r="C22663" i="3"/>
  <c r="B22663" i="3"/>
  <c r="D22662" i="3"/>
  <c r="C22662" i="3"/>
  <c r="B22662" i="3"/>
  <c r="D22661" i="3"/>
  <c r="C22661" i="3"/>
  <c r="B22661" i="3"/>
  <c r="D22660" i="3"/>
  <c r="C22660" i="3"/>
  <c r="B22660" i="3"/>
  <c r="D22659" i="3"/>
  <c r="C22659" i="3"/>
  <c r="B22659" i="3"/>
  <c r="D22658" i="3"/>
  <c r="C22658" i="3"/>
  <c r="B22658" i="3"/>
  <c r="D22657" i="3"/>
  <c r="C22657" i="3"/>
  <c r="B22657" i="3"/>
  <c r="D22656" i="3"/>
  <c r="C22656" i="3"/>
  <c r="B22656" i="3"/>
  <c r="D22655" i="3"/>
  <c r="C22655" i="3"/>
  <c r="B22655" i="3"/>
  <c r="D22654" i="3"/>
  <c r="C22654" i="3"/>
  <c r="B22654" i="3"/>
  <c r="D22653" i="3"/>
  <c r="C22653" i="3"/>
  <c r="B22653" i="3"/>
  <c r="D22652" i="3"/>
  <c r="C22652" i="3"/>
  <c r="B22652" i="3"/>
  <c r="D22651" i="3"/>
  <c r="C22651" i="3"/>
  <c r="B22651" i="3"/>
  <c r="D22650" i="3"/>
  <c r="C22650" i="3"/>
  <c r="B22650" i="3"/>
  <c r="D22649" i="3"/>
  <c r="C22649" i="3"/>
  <c r="B22649" i="3"/>
  <c r="D22648" i="3"/>
  <c r="C22648" i="3"/>
  <c r="B22648" i="3"/>
  <c r="D22647" i="3"/>
  <c r="C22647" i="3"/>
  <c r="B22647" i="3"/>
  <c r="D22646" i="3"/>
  <c r="C22646" i="3"/>
  <c r="B22646" i="3"/>
  <c r="D22645" i="3"/>
  <c r="C22645" i="3"/>
  <c r="B22645" i="3"/>
  <c r="D22644" i="3"/>
  <c r="C22644" i="3"/>
  <c r="B22644" i="3"/>
  <c r="D22643" i="3"/>
  <c r="C22643" i="3"/>
  <c r="B22643" i="3"/>
  <c r="D22642" i="3"/>
  <c r="C22642" i="3"/>
  <c r="B22642" i="3"/>
  <c r="D22641" i="3"/>
  <c r="C22641" i="3"/>
  <c r="B22641" i="3"/>
  <c r="D22640" i="3"/>
  <c r="C22640" i="3"/>
  <c r="B22640" i="3"/>
  <c r="D22639" i="3"/>
  <c r="C22639" i="3"/>
  <c r="B22639" i="3"/>
  <c r="D22638" i="3"/>
  <c r="C22638" i="3"/>
  <c r="B22638" i="3"/>
  <c r="D22637" i="3"/>
  <c r="C22637" i="3"/>
  <c r="B22637" i="3"/>
  <c r="D22636" i="3"/>
  <c r="C22636" i="3"/>
  <c r="B22636" i="3"/>
  <c r="D22635" i="3"/>
  <c r="C22635" i="3"/>
  <c r="B22635" i="3"/>
  <c r="D22634" i="3"/>
  <c r="C22634" i="3"/>
  <c r="B22634" i="3"/>
  <c r="D22633" i="3"/>
  <c r="C22633" i="3"/>
  <c r="B22633" i="3"/>
  <c r="D22632" i="3"/>
  <c r="C22632" i="3"/>
  <c r="B22632" i="3"/>
  <c r="D22631" i="3"/>
  <c r="C22631" i="3"/>
  <c r="B22631" i="3"/>
  <c r="D22630" i="3"/>
  <c r="C22630" i="3"/>
  <c r="B22630" i="3"/>
  <c r="D22629" i="3"/>
  <c r="C22629" i="3"/>
  <c r="B22629" i="3"/>
  <c r="D22628" i="3"/>
  <c r="C22628" i="3"/>
  <c r="B22628" i="3"/>
  <c r="D22627" i="3"/>
  <c r="C22627" i="3"/>
  <c r="B22627" i="3"/>
  <c r="D22626" i="3"/>
  <c r="C22626" i="3"/>
  <c r="B22626" i="3"/>
  <c r="D22625" i="3"/>
  <c r="C22625" i="3"/>
  <c r="B22625" i="3"/>
  <c r="D22624" i="3"/>
  <c r="C22624" i="3"/>
  <c r="B22624" i="3"/>
  <c r="D22623" i="3"/>
  <c r="C22623" i="3"/>
  <c r="B22623" i="3"/>
  <c r="D22622" i="3"/>
  <c r="C22622" i="3"/>
  <c r="B22622" i="3"/>
  <c r="D22621" i="3"/>
  <c r="C22621" i="3"/>
  <c r="B22621" i="3"/>
  <c r="D22620" i="3"/>
  <c r="C22620" i="3"/>
  <c r="B22620" i="3"/>
  <c r="D22619" i="3"/>
  <c r="C22619" i="3"/>
  <c r="B22619" i="3"/>
  <c r="D22618" i="3"/>
  <c r="C22618" i="3"/>
  <c r="B22618" i="3"/>
  <c r="D22617" i="3"/>
  <c r="C22617" i="3"/>
  <c r="B22617" i="3"/>
  <c r="D22616" i="3"/>
  <c r="C22616" i="3"/>
  <c r="B22616" i="3"/>
  <c r="D22615" i="3"/>
  <c r="C22615" i="3"/>
  <c r="B22615" i="3"/>
  <c r="D22614" i="3"/>
  <c r="C22614" i="3"/>
  <c r="B22614" i="3"/>
  <c r="D22613" i="3"/>
  <c r="C22613" i="3"/>
  <c r="B22613" i="3"/>
  <c r="D22612" i="3"/>
  <c r="C22612" i="3"/>
  <c r="B22612" i="3"/>
  <c r="D22611" i="3"/>
  <c r="C22611" i="3"/>
  <c r="B22611" i="3"/>
  <c r="D22610" i="3"/>
  <c r="C22610" i="3"/>
  <c r="B22610" i="3"/>
  <c r="D22609" i="3"/>
  <c r="C22609" i="3"/>
  <c r="B22609" i="3"/>
  <c r="D22608" i="3"/>
  <c r="C22608" i="3"/>
  <c r="B22608" i="3"/>
  <c r="D22607" i="3"/>
  <c r="C22607" i="3"/>
  <c r="B22607" i="3"/>
  <c r="D22606" i="3"/>
  <c r="C22606" i="3"/>
  <c r="B22606" i="3"/>
  <c r="D22605" i="3"/>
  <c r="C22605" i="3"/>
  <c r="B22605" i="3"/>
  <c r="D22604" i="3"/>
  <c r="C22604" i="3"/>
  <c r="B22604" i="3"/>
  <c r="D22603" i="3"/>
  <c r="C22603" i="3"/>
  <c r="B22603" i="3"/>
  <c r="D22602" i="3"/>
  <c r="C22602" i="3"/>
  <c r="B22602" i="3"/>
  <c r="D22601" i="3"/>
  <c r="C22601" i="3"/>
  <c r="B22601" i="3"/>
  <c r="D22600" i="3"/>
  <c r="C22600" i="3"/>
  <c r="B22600" i="3"/>
  <c r="D22599" i="3"/>
  <c r="C22599" i="3"/>
  <c r="B22599" i="3"/>
  <c r="D22598" i="3"/>
  <c r="C22598" i="3"/>
  <c r="B22598" i="3"/>
  <c r="D22597" i="3"/>
  <c r="C22597" i="3"/>
  <c r="B22597" i="3"/>
  <c r="D22596" i="3"/>
  <c r="C22596" i="3"/>
  <c r="B22596" i="3"/>
  <c r="D22595" i="3"/>
  <c r="C22595" i="3"/>
  <c r="B22595" i="3"/>
  <c r="D22594" i="3"/>
  <c r="C22594" i="3"/>
  <c r="B22594" i="3"/>
  <c r="D22593" i="3"/>
  <c r="C22593" i="3"/>
  <c r="B22593" i="3"/>
  <c r="D22592" i="3"/>
  <c r="C22592" i="3"/>
  <c r="B22592" i="3"/>
  <c r="D22591" i="3"/>
  <c r="C22591" i="3"/>
  <c r="B22591" i="3"/>
  <c r="D22590" i="3"/>
  <c r="C22590" i="3"/>
  <c r="B22590" i="3"/>
  <c r="D22589" i="3"/>
  <c r="C22589" i="3"/>
  <c r="B22589" i="3"/>
  <c r="D22588" i="3"/>
  <c r="C22588" i="3"/>
  <c r="B22588" i="3"/>
  <c r="D22587" i="3"/>
  <c r="C22587" i="3"/>
  <c r="B22587" i="3"/>
  <c r="D22586" i="3"/>
  <c r="C22586" i="3"/>
  <c r="B22586" i="3"/>
  <c r="D22585" i="3"/>
  <c r="C22585" i="3"/>
  <c r="B22585" i="3"/>
  <c r="D22584" i="3"/>
  <c r="C22584" i="3"/>
  <c r="B22584" i="3"/>
  <c r="D22583" i="3"/>
  <c r="C22583" i="3"/>
  <c r="B22583" i="3"/>
  <c r="D22582" i="3"/>
  <c r="C22582" i="3"/>
  <c r="B22582" i="3"/>
  <c r="D22581" i="3"/>
  <c r="C22581" i="3"/>
  <c r="B22581" i="3"/>
  <c r="D22580" i="3"/>
  <c r="C22580" i="3"/>
  <c r="B22580" i="3"/>
  <c r="D22579" i="3"/>
  <c r="C22579" i="3"/>
  <c r="B22579" i="3"/>
  <c r="D22578" i="3"/>
  <c r="C22578" i="3"/>
  <c r="B22578" i="3"/>
  <c r="D22577" i="3"/>
  <c r="C22577" i="3"/>
  <c r="B22577" i="3"/>
  <c r="D22576" i="3"/>
  <c r="C22576" i="3"/>
  <c r="B22576" i="3"/>
  <c r="D22575" i="3"/>
  <c r="C22575" i="3"/>
  <c r="B22575" i="3"/>
  <c r="D22574" i="3"/>
  <c r="C22574" i="3"/>
  <c r="B22574" i="3"/>
  <c r="D22573" i="3"/>
  <c r="C22573" i="3"/>
  <c r="B22573" i="3"/>
  <c r="D22572" i="3"/>
  <c r="C22572" i="3"/>
  <c r="B22572" i="3"/>
  <c r="D22571" i="3"/>
  <c r="C22571" i="3"/>
  <c r="B22571" i="3"/>
  <c r="D22570" i="3"/>
  <c r="C22570" i="3"/>
  <c r="B22570" i="3"/>
  <c r="D22569" i="3"/>
  <c r="C22569" i="3"/>
  <c r="B22569" i="3"/>
  <c r="D22568" i="3"/>
  <c r="C22568" i="3"/>
  <c r="B22568" i="3"/>
  <c r="D22567" i="3"/>
  <c r="C22567" i="3"/>
  <c r="B22567" i="3"/>
  <c r="D22566" i="3"/>
  <c r="C22566" i="3"/>
  <c r="B22566" i="3"/>
  <c r="D22565" i="3"/>
  <c r="C22565" i="3"/>
  <c r="B22565" i="3"/>
  <c r="D22564" i="3"/>
  <c r="C22564" i="3"/>
  <c r="B22564" i="3"/>
  <c r="D22563" i="3"/>
  <c r="C22563" i="3"/>
  <c r="B22563" i="3"/>
  <c r="D22562" i="3"/>
  <c r="C22562" i="3"/>
  <c r="B22562" i="3"/>
  <c r="D22561" i="3"/>
  <c r="C22561" i="3"/>
  <c r="B22561" i="3"/>
  <c r="D22560" i="3"/>
  <c r="C22560" i="3"/>
  <c r="B22560" i="3"/>
  <c r="D22559" i="3"/>
  <c r="C22559" i="3"/>
  <c r="B22559" i="3"/>
  <c r="D22558" i="3"/>
  <c r="C22558" i="3"/>
  <c r="B22558" i="3"/>
  <c r="D22557" i="3"/>
  <c r="C22557" i="3"/>
  <c r="B22557" i="3"/>
  <c r="D22556" i="3"/>
  <c r="C22556" i="3"/>
  <c r="B22556" i="3"/>
  <c r="D22555" i="3"/>
  <c r="C22555" i="3"/>
  <c r="B22555" i="3"/>
  <c r="D22554" i="3"/>
  <c r="C22554" i="3"/>
  <c r="B22554" i="3"/>
  <c r="D22553" i="3"/>
  <c r="C22553" i="3"/>
  <c r="B22553" i="3"/>
  <c r="D22552" i="3"/>
  <c r="C22552" i="3"/>
  <c r="B22552" i="3"/>
  <c r="D22551" i="3"/>
  <c r="C22551" i="3"/>
  <c r="B22551" i="3"/>
  <c r="D22550" i="3"/>
  <c r="C22550" i="3"/>
  <c r="B22550" i="3"/>
  <c r="D22549" i="3"/>
  <c r="C22549" i="3"/>
  <c r="B22549" i="3"/>
  <c r="D22548" i="3"/>
  <c r="C22548" i="3"/>
  <c r="B22548" i="3"/>
  <c r="D22547" i="3"/>
  <c r="C22547" i="3"/>
  <c r="B22547" i="3"/>
  <c r="D22546" i="3"/>
  <c r="C22546" i="3"/>
  <c r="B22546" i="3"/>
  <c r="D22545" i="3"/>
  <c r="C22545" i="3"/>
  <c r="B22545" i="3"/>
  <c r="D22544" i="3"/>
  <c r="C22544" i="3"/>
  <c r="B22544" i="3"/>
  <c r="D22543" i="3"/>
  <c r="C22543" i="3"/>
  <c r="B22543" i="3"/>
  <c r="D22542" i="3"/>
  <c r="C22542" i="3"/>
  <c r="B22542" i="3"/>
  <c r="D22541" i="3"/>
  <c r="C22541" i="3"/>
  <c r="B22541" i="3"/>
  <c r="D22540" i="3"/>
  <c r="C22540" i="3"/>
  <c r="B22540" i="3"/>
  <c r="D22539" i="3"/>
  <c r="C22539" i="3"/>
  <c r="B22539" i="3"/>
  <c r="D22538" i="3"/>
  <c r="C22538" i="3"/>
  <c r="B22538" i="3"/>
  <c r="D22537" i="3"/>
  <c r="C22537" i="3"/>
  <c r="B22537" i="3"/>
  <c r="D22536" i="3"/>
  <c r="C22536" i="3"/>
  <c r="B22536" i="3"/>
  <c r="D22535" i="3"/>
  <c r="C22535" i="3"/>
  <c r="B22535" i="3"/>
  <c r="D22534" i="3"/>
  <c r="C22534" i="3"/>
  <c r="B22534" i="3"/>
  <c r="D22533" i="3"/>
  <c r="C22533" i="3"/>
  <c r="B22533" i="3"/>
  <c r="D22532" i="3"/>
  <c r="C22532" i="3"/>
  <c r="B22532" i="3"/>
  <c r="D22531" i="3"/>
  <c r="C22531" i="3"/>
  <c r="B22531" i="3"/>
  <c r="D22530" i="3"/>
  <c r="C22530" i="3"/>
  <c r="B22530" i="3"/>
  <c r="D22529" i="3"/>
  <c r="C22529" i="3"/>
  <c r="B22529" i="3"/>
  <c r="D22528" i="3"/>
  <c r="C22528" i="3"/>
  <c r="B22528" i="3"/>
  <c r="D22527" i="3"/>
  <c r="C22527" i="3"/>
  <c r="B22527" i="3"/>
  <c r="D22526" i="3"/>
  <c r="C22526" i="3"/>
  <c r="B22526" i="3"/>
  <c r="D22525" i="3"/>
  <c r="C22525" i="3"/>
  <c r="B22525" i="3"/>
  <c r="D22524" i="3"/>
  <c r="C22524" i="3"/>
  <c r="B22524" i="3"/>
  <c r="D22523" i="3"/>
  <c r="C22523" i="3"/>
  <c r="B22523" i="3"/>
  <c r="D22522" i="3"/>
  <c r="C22522" i="3"/>
  <c r="B22522" i="3"/>
  <c r="D22521" i="3"/>
  <c r="C22521" i="3"/>
  <c r="B22521" i="3"/>
  <c r="D22520" i="3"/>
  <c r="C22520" i="3"/>
  <c r="B22520" i="3"/>
  <c r="D22519" i="3"/>
  <c r="C22519" i="3"/>
  <c r="B22519" i="3"/>
  <c r="D22518" i="3"/>
  <c r="C22518" i="3"/>
  <c r="B22518" i="3"/>
  <c r="D22517" i="3"/>
  <c r="C22517" i="3"/>
  <c r="B22517" i="3"/>
  <c r="D22516" i="3"/>
  <c r="C22516" i="3"/>
  <c r="B22516" i="3"/>
  <c r="D22515" i="3"/>
  <c r="C22515" i="3"/>
  <c r="B22515" i="3"/>
  <c r="D22514" i="3"/>
  <c r="C22514" i="3"/>
  <c r="B22514" i="3"/>
  <c r="D22513" i="3"/>
  <c r="C22513" i="3"/>
  <c r="B22513" i="3"/>
  <c r="D22512" i="3"/>
  <c r="C22512" i="3"/>
  <c r="B22512" i="3"/>
  <c r="D22511" i="3"/>
  <c r="C22511" i="3"/>
  <c r="B22511" i="3"/>
  <c r="D22510" i="3"/>
  <c r="C22510" i="3"/>
  <c r="B22510" i="3"/>
  <c r="D22509" i="3"/>
  <c r="C22509" i="3"/>
  <c r="B22509" i="3"/>
  <c r="D22508" i="3"/>
  <c r="C22508" i="3"/>
  <c r="B22508" i="3"/>
  <c r="D22507" i="3"/>
  <c r="C22507" i="3"/>
  <c r="B22507" i="3"/>
  <c r="D22506" i="3"/>
  <c r="C22506" i="3"/>
  <c r="B22506" i="3"/>
  <c r="D22505" i="3"/>
  <c r="C22505" i="3"/>
  <c r="B22505" i="3"/>
  <c r="D22504" i="3"/>
  <c r="C22504" i="3"/>
  <c r="B22504" i="3"/>
  <c r="D22503" i="3"/>
  <c r="C22503" i="3"/>
  <c r="B22503" i="3"/>
  <c r="D22502" i="3"/>
  <c r="C22502" i="3"/>
  <c r="B22502" i="3"/>
  <c r="D22501" i="3"/>
  <c r="C22501" i="3"/>
  <c r="B22501" i="3"/>
  <c r="D22500" i="3"/>
  <c r="C22500" i="3"/>
  <c r="B22500" i="3"/>
  <c r="D22499" i="3"/>
  <c r="C22499" i="3"/>
  <c r="B22499" i="3"/>
  <c r="D22498" i="3"/>
  <c r="C22498" i="3"/>
  <c r="B22498" i="3"/>
  <c r="D22497" i="3"/>
  <c r="C22497" i="3"/>
  <c r="B22497" i="3"/>
  <c r="D22496" i="3"/>
  <c r="C22496" i="3"/>
  <c r="B22496" i="3"/>
  <c r="D22495" i="3"/>
  <c r="C22495" i="3"/>
  <c r="B22495" i="3"/>
  <c r="D22494" i="3"/>
  <c r="C22494" i="3"/>
  <c r="B22494" i="3"/>
  <c r="D22493" i="3"/>
  <c r="C22493" i="3"/>
  <c r="B22493" i="3"/>
  <c r="D22492" i="3"/>
  <c r="C22492" i="3"/>
  <c r="B22492" i="3"/>
  <c r="D22491" i="3"/>
  <c r="C22491" i="3"/>
  <c r="B22491" i="3"/>
  <c r="D22490" i="3"/>
  <c r="C22490" i="3"/>
  <c r="B22490" i="3"/>
  <c r="D22489" i="3"/>
  <c r="C22489" i="3"/>
  <c r="B22489" i="3"/>
  <c r="D22488" i="3"/>
  <c r="C22488" i="3"/>
  <c r="B22488" i="3"/>
  <c r="D22487" i="3"/>
  <c r="C22487" i="3"/>
  <c r="B22487" i="3"/>
  <c r="D22486" i="3"/>
  <c r="C22486" i="3"/>
  <c r="B22486" i="3"/>
  <c r="D22485" i="3"/>
  <c r="C22485" i="3"/>
  <c r="B22485" i="3"/>
  <c r="D22484" i="3"/>
  <c r="C22484" i="3"/>
  <c r="B22484" i="3"/>
  <c r="D22483" i="3"/>
  <c r="C22483" i="3"/>
  <c r="B22483" i="3"/>
  <c r="D22482" i="3"/>
  <c r="C22482" i="3"/>
  <c r="B22482" i="3"/>
  <c r="D22481" i="3"/>
  <c r="C22481" i="3"/>
  <c r="B22481" i="3"/>
  <c r="D22480" i="3"/>
  <c r="C22480" i="3"/>
  <c r="B22480" i="3"/>
  <c r="D22479" i="3"/>
  <c r="C22479" i="3"/>
  <c r="B22479" i="3"/>
  <c r="D22478" i="3"/>
  <c r="C22478" i="3"/>
  <c r="B22478" i="3"/>
  <c r="D22477" i="3"/>
  <c r="C22477" i="3"/>
  <c r="B22477" i="3"/>
  <c r="D22476" i="3"/>
  <c r="C22476" i="3"/>
  <c r="B22476" i="3"/>
  <c r="D22475" i="3"/>
  <c r="C22475" i="3"/>
  <c r="B22475" i="3"/>
  <c r="D22474" i="3"/>
  <c r="C22474" i="3"/>
  <c r="B22474" i="3"/>
  <c r="D22473" i="3"/>
  <c r="C22473" i="3"/>
  <c r="B22473" i="3"/>
  <c r="D22472" i="3"/>
  <c r="C22472" i="3"/>
  <c r="B22472" i="3"/>
  <c r="D22471" i="3"/>
  <c r="C22471" i="3"/>
  <c r="B22471" i="3"/>
  <c r="D22470" i="3"/>
  <c r="C22470" i="3"/>
  <c r="B22470" i="3"/>
  <c r="D22469" i="3"/>
  <c r="C22469" i="3"/>
  <c r="B22469" i="3"/>
  <c r="D22468" i="3"/>
  <c r="C22468" i="3"/>
  <c r="B22468" i="3"/>
  <c r="D22467" i="3"/>
  <c r="C22467" i="3"/>
  <c r="B22467" i="3"/>
  <c r="D22466" i="3"/>
  <c r="C22466" i="3"/>
  <c r="B22466" i="3"/>
  <c r="D22465" i="3"/>
  <c r="C22465" i="3"/>
  <c r="B22465" i="3"/>
  <c r="D22464" i="3"/>
  <c r="C22464" i="3"/>
  <c r="B22464" i="3"/>
  <c r="D22463" i="3"/>
  <c r="C22463" i="3"/>
  <c r="B22463" i="3"/>
  <c r="D22462" i="3"/>
  <c r="C22462" i="3"/>
  <c r="B22462" i="3"/>
  <c r="D22461" i="3"/>
  <c r="C22461" i="3"/>
  <c r="B22461" i="3"/>
  <c r="D22460" i="3"/>
  <c r="C22460" i="3"/>
  <c r="B22460" i="3"/>
  <c r="D22459" i="3"/>
  <c r="C22459" i="3"/>
  <c r="B22459" i="3"/>
  <c r="D22458" i="3"/>
  <c r="C22458" i="3"/>
  <c r="B22458" i="3"/>
  <c r="D22457" i="3"/>
  <c r="C22457" i="3"/>
  <c r="B22457" i="3"/>
  <c r="D22456" i="3"/>
  <c r="C22456" i="3"/>
  <c r="B22456" i="3"/>
  <c r="D22455" i="3"/>
  <c r="C22455" i="3"/>
  <c r="B22455" i="3"/>
  <c r="D22454" i="3"/>
  <c r="C22454" i="3"/>
  <c r="B22454" i="3"/>
  <c r="D22453" i="3"/>
  <c r="C22453" i="3"/>
  <c r="B22453" i="3"/>
  <c r="D22452" i="3"/>
  <c r="C22452" i="3"/>
  <c r="B22452" i="3"/>
  <c r="D22451" i="3"/>
  <c r="C22451" i="3"/>
  <c r="B22451" i="3"/>
  <c r="D22450" i="3"/>
  <c r="C22450" i="3"/>
  <c r="B22450" i="3"/>
  <c r="D22449" i="3"/>
  <c r="C22449" i="3"/>
  <c r="B22449" i="3"/>
  <c r="D22448" i="3"/>
  <c r="C22448" i="3"/>
  <c r="B22448" i="3"/>
  <c r="D22447" i="3"/>
  <c r="C22447" i="3"/>
  <c r="B22447" i="3"/>
  <c r="D22446" i="3"/>
  <c r="C22446" i="3"/>
  <c r="B22446" i="3"/>
  <c r="D22445" i="3"/>
  <c r="C22445" i="3"/>
  <c r="B22445" i="3"/>
  <c r="D22444" i="3"/>
  <c r="C22444" i="3"/>
  <c r="B22444" i="3"/>
  <c r="D22443" i="3"/>
  <c r="C22443" i="3"/>
  <c r="B22443" i="3"/>
  <c r="D22442" i="3"/>
  <c r="C22442" i="3"/>
  <c r="B22442" i="3"/>
  <c r="D22441" i="3"/>
  <c r="C22441" i="3"/>
  <c r="B22441" i="3"/>
  <c r="D22440" i="3"/>
  <c r="C22440" i="3"/>
  <c r="B22440" i="3"/>
  <c r="D22439" i="3"/>
  <c r="C22439" i="3"/>
  <c r="B22439" i="3"/>
  <c r="D22438" i="3"/>
  <c r="C22438" i="3"/>
  <c r="B22438" i="3"/>
  <c r="D22437" i="3"/>
  <c r="C22437" i="3"/>
  <c r="B22437" i="3"/>
  <c r="D22436" i="3"/>
  <c r="C22436" i="3"/>
  <c r="B22436" i="3"/>
  <c r="D22435" i="3"/>
  <c r="C22435" i="3"/>
  <c r="B22435" i="3"/>
  <c r="D22434" i="3"/>
  <c r="C22434" i="3"/>
  <c r="B22434" i="3"/>
  <c r="D22433" i="3"/>
  <c r="C22433" i="3"/>
  <c r="B22433" i="3"/>
  <c r="D22432" i="3"/>
  <c r="C22432" i="3"/>
  <c r="B22432" i="3"/>
  <c r="D22431" i="3"/>
  <c r="C22431" i="3"/>
  <c r="B22431" i="3"/>
  <c r="D22430" i="3"/>
  <c r="C22430" i="3"/>
  <c r="B22430" i="3"/>
  <c r="D22429" i="3"/>
  <c r="C22429" i="3"/>
  <c r="B22429" i="3"/>
  <c r="D22428" i="3"/>
  <c r="C22428" i="3"/>
  <c r="B22428" i="3"/>
  <c r="D22427" i="3"/>
  <c r="C22427" i="3"/>
  <c r="B22427" i="3"/>
  <c r="D22426" i="3"/>
  <c r="C22426" i="3"/>
  <c r="B22426" i="3"/>
  <c r="D22425" i="3"/>
  <c r="C22425" i="3"/>
  <c r="B22425" i="3"/>
  <c r="D22424" i="3"/>
  <c r="C22424" i="3"/>
  <c r="B22424" i="3"/>
  <c r="D22423" i="3"/>
  <c r="C22423" i="3"/>
  <c r="B22423" i="3"/>
  <c r="D22422" i="3"/>
  <c r="C22422" i="3"/>
  <c r="B22422" i="3"/>
  <c r="D22421" i="3"/>
  <c r="C22421" i="3"/>
  <c r="B22421" i="3"/>
  <c r="D22420" i="3"/>
  <c r="C22420" i="3"/>
  <c r="B22420" i="3"/>
  <c r="D22419" i="3"/>
  <c r="C22419" i="3"/>
  <c r="B22419" i="3"/>
  <c r="D22418" i="3"/>
  <c r="C22418" i="3"/>
  <c r="B22418" i="3"/>
  <c r="D22417" i="3"/>
  <c r="C22417" i="3"/>
  <c r="B22417" i="3"/>
  <c r="D22416" i="3"/>
  <c r="C22416" i="3"/>
  <c r="B22416" i="3"/>
  <c r="D22415" i="3"/>
  <c r="C22415" i="3"/>
  <c r="B22415" i="3"/>
  <c r="D22414" i="3"/>
  <c r="C22414" i="3"/>
  <c r="B22414" i="3"/>
  <c r="D22413" i="3"/>
  <c r="C22413" i="3"/>
  <c r="B22413" i="3"/>
  <c r="D22412" i="3"/>
  <c r="C22412" i="3"/>
  <c r="B22412" i="3"/>
  <c r="D22411" i="3"/>
  <c r="C22411" i="3"/>
  <c r="B22411" i="3"/>
  <c r="D22410" i="3"/>
  <c r="C22410" i="3"/>
  <c r="B22410" i="3"/>
  <c r="D22409" i="3"/>
  <c r="C22409" i="3"/>
  <c r="B22409" i="3"/>
  <c r="D22408" i="3"/>
  <c r="C22408" i="3"/>
  <c r="B22408" i="3"/>
  <c r="D22407" i="3"/>
  <c r="C22407" i="3"/>
  <c r="B22407" i="3"/>
  <c r="D22406" i="3"/>
  <c r="C22406" i="3"/>
  <c r="B22406" i="3"/>
  <c r="D22405" i="3"/>
  <c r="C22405" i="3"/>
  <c r="B22405" i="3"/>
  <c r="D22404" i="3"/>
  <c r="C22404" i="3"/>
  <c r="B22404" i="3"/>
  <c r="D22403" i="3"/>
  <c r="C22403" i="3"/>
  <c r="B22403" i="3"/>
  <c r="D22402" i="3"/>
  <c r="C22402" i="3"/>
  <c r="B22402" i="3"/>
  <c r="D22401" i="3"/>
  <c r="C22401" i="3"/>
  <c r="B22401" i="3"/>
  <c r="D22400" i="3"/>
  <c r="C22400" i="3"/>
  <c r="B22400" i="3"/>
  <c r="D22399" i="3"/>
  <c r="C22399" i="3"/>
  <c r="B22399" i="3"/>
  <c r="D22398" i="3"/>
  <c r="C22398" i="3"/>
  <c r="B22398" i="3"/>
  <c r="D22397" i="3"/>
  <c r="C22397" i="3"/>
  <c r="B22397" i="3"/>
  <c r="D22396" i="3"/>
  <c r="C22396" i="3"/>
  <c r="B22396" i="3"/>
  <c r="D22395" i="3"/>
  <c r="C22395" i="3"/>
  <c r="B22395" i="3"/>
  <c r="D22394" i="3"/>
  <c r="C22394" i="3"/>
  <c r="B22394" i="3"/>
  <c r="D22393" i="3"/>
  <c r="C22393" i="3"/>
  <c r="B22393" i="3"/>
  <c r="D22392" i="3"/>
  <c r="C22392" i="3"/>
  <c r="B22392" i="3"/>
  <c r="D22391" i="3"/>
  <c r="C22391" i="3"/>
  <c r="B22391" i="3"/>
  <c r="D22390" i="3"/>
  <c r="C22390" i="3"/>
  <c r="B22390" i="3"/>
  <c r="D22389" i="3"/>
  <c r="C22389" i="3"/>
  <c r="B22389" i="3"/>
  <c r="D22388" i="3"/>
  <c r="C22388" i="3"/>
  <c r="B22388" i="3"/>
  <c r="D22387" i="3"/>
  <c r="C22387" i="3"/>
  <c r="B22387" i="3"/>
  <c r="D22386" i="3"/>
  <c r="C22386" i="3"/>
  <c r="B22386" i="3"/>
  <c r="D22385" i="3"/>
  <c r="C22385" i="3"/>
  <c r="B22385" i="3"/>
  <c r="D22384" i="3"/>
  <c r="C22384" i="3"/>
  <c r="B22384" i="3"/>
  <c r="D22383" i="3"/>
  <c r="C22383" i="3"/>
  <c r="B22383" i="3"/>
  <c r="D22382" i="3"/>
  <c r="C22382" i="3"/>
  <c r="B22382" i="3"/>
  <c r="D22381" i="3"/>
  <c r="C22381" i="3"/>
  <c r="B22381" i="3"/>
  <c r="D22380" i="3"/>
  <c r="C22380" i="3"/>
  <c r="B22380" i="3"/>
  <c r="D22379" i="3"/>
  <c r="C22379" i="3"/>
  <c r="B22379" i="3"/>
  <c r="D22378" i="3"/>
  <c r="C22378" i="3"/>
  <c r="B22378" i="3"/>
  <c r="D22377" i="3"/>
  <c r="C22377" i="3"/>
  <c r="B22377" i="3"/>
  <c r="D22376" i="3"/>
  <c r="C22376" i="3"/>
  <c r="B22376" i="3"/>
  <c r="D22375" i="3"/>
  <c r="C22375" i="3"/>
  <c r="B22375" i="3"/>
  <c r="D22374" i="3"/>
  <c r="C22374" i="3"/>
  <c r="B22374" i="3"/>
  <c r="D22373" i="3"/>
  <c r="C22373" i="3"/>
  <c r="B22373" i="3"/>
  <c r="D22372" i="3"/>
  <c r="C22372" i="3"/>
  <c r="B22372" i="3"/>
  <c r="D22371" i="3"/>
  <c r="C22371" i="3"/>
  <c r="B22371" i="3"/>
  <c r="D22370" i="3"/>
  <c r="C22370" i="3"/>
  <c r="B22370" i="3"/>
  <c r="D22369" i="3"/>
  <c r="C22369" i="3"/>
  <c r="B22369" i="3"/>
  <c r="D22368" i="3"/>
  <c r="C22368" i="3"/>
  <c r="B22368" i="3"/>
  <c r="D22367" i="3"/>
  <c r="C22367" i="3"/>
  <c r="B22367" i="3"/>
  <c r="D22366" i="3"/>
  <c r="C22366" i="3"/>
  <c r="B22366" i="3"/>
  <c r="D22365" i="3"/>
  <c r="C22365" i="3"/>
  <c r="B22365" i="3"/>
  <c r="D22364" i="3"/>
  <c r="C22364" i="3"/>
  <c r="B22364" i="3"/>
  <c r="D22363" i="3"/>
  <c r="C22363" i="3"/>
  <c r="B22363" i="3"/>
  <c r="D22362" i="3"/>
  <c r="C22362" i="3"/>
  <c r="B22362" i="3"/>
  <c r="D22361" i="3"/>
  <c r="C22361" i="3"/>
  <c r="B22361" i="3"/>
  <c r="D22360" i="3"/>
  <c r="C22360" i="3"/>
  <c r="B22360" i="3"/>
  <c r="D22359" i="3"/>
  <c r="C22359" i="3"/>
  <c r="B22359" i="3"/>
  <c r="D22358" i="3"/>
  <c r="C22358" i="3"/>
  <c r="B22358" i="3"/>
  <c r="D22357" i="3"/>
  <c r="C22357" i="3"/>
  <c r="B22357" i="3"/>
  <c r="D22356" i="3"/>
  <c r="C22356" i="3"/>
  <c r="B22356" i="3"/>
  <c r="D22355" i="3"/>
  <c r="C22355" i="3"/>
  <c r="B22355" i="3"/>
  <c r="D22354" i="3"/>
  <c r="C22354" i="3"/>
  <c r="B22354" i="3"/>
  <c r="D22353" i="3"/>
  <c r="C22353" i="3"/>
  <c r="B22353" i="3"/>
  <c r="D22352" i="3"/>
  <c r="C22352" i="3"/>
  <c r="B22352" i="3"/>
  <c r="D22351" i="3"/>
  <c r="C22351" i="3"/>
  <c r="B22351" i="3"/>
  <c r="D22350" i="3"/>
  <c r="C22350" i="3"/>
  <c r="B22350" i="3"/>
  <c r="D22349" i="3"/>
  <c r="C22349" i="3"/>
  <c r="B22349" i="3"/>
  <c r="D22348" i="3"/>
  <c r="C22348" i="3"/>
  <c r="B22348" i="3"/>
  <c r="D22347" i="3"/>
  <c r="C22347" i="3"/>
  <c r="B22347" i="3"/>
  <c r="D22346" i="3"/>
  <c r="C22346" i="3"/>
  <c r="B22346" i="3"/>
  <c r="D22345" i="3"/>
  <c r="C22345" i="3"/>
  <c r="B22345" i="3"/>
  <c r="D22344" i="3"/>
  <c r="C22344" i="3"/>
  <c r="B22344" i="3"/>
  <c r="D22343" i="3"/>
  <c r="C22343" i="3"/>
  <c r="B22343" i="3"/>
  <c r="D22342" i="3"/>
  <c r="C22342" i="3"/>
  <c r="B22342" i="3"/>
  <c r="D22341" i="3"/>
  <c r="C22341" i="3"/>
  <c r="B22341" i="3"/>
  <c r="D22340" i="3"/>
  <c r="C22340" i="3"/>
  <c r="B22340" i="3"/>
  <c r="D22339" i="3"/>
  <c r="C22339" i="3"/>
  <c r="B22339" i="3"/>
  <c r="D22338" i="3"/>
  <c r="C22338" i="3"/>
  <c r="B22338" i="3"/>
  <c r="D22337" i="3"/>
  <c r="C22337" i="3"/>
  <c r="B22337" i="3"/>
  <c r="D22336" i="3"/>
  <c r="C22336" i="3"/>
  <c r="B22336" i="3"/>
  <c r="D22335" i="3"/>
  <c r="C22335" i="3"/>
  <c r="B22335" i="3"/>
  <c r="D22334" i="3"/>
  <c r="C22334" i="3"/>
  <c r="B22334" i="3"/>
  <c r="D22333" i="3"/>
  <c r="C22333" i="3"/>
  <c r="B22333" i="3"/>
  <c r="D22332" i="3"/>
  <c r="C22332" i="3"/>
  <c r="B22332" i="3"/>
  <c r="D22331" i="3"/>
  <c r="C22331" i="3"/>
  <c r="B22331" i="3"/>
  <c r="D22330" i="3"/>
  <c r="C22330" i="3"/>
  <c r="B22330" i="3"/>
  <c r="D22329" i="3"/>
  <c r="C22329" i="3"/>
  <c r="B22329" i="3"/>
  <c r="D22328" i="3"/>
  <c r="C22328" i="3"/>
  <c r="B22328" i="3"/>
  <c r="D22327" i="3"/>
  <c r="C22327" i="3"/>
  <c r="B22327" i="3"/>
  <c r="D22326" i="3"/>
  <c r="C22326" i="3"/>
  <c r="B22326" i="3"/>
  <c r="D22325" i="3"/>
  <c r="C22325" i="3"/>
  <c r="B22325" i="3"/>
  <c r="D22324" i="3"/>
  <c r="C22324" i="3"/>
  <c r="B22324" i="3"/>
  <c r="D22323" i="3"/>
  <c r="C22323" i="3"/>
  <c r="B22323" i="3"/>
  <c r="D22322" i="3"/>
  <c r="C22322" i="3"/>
  <c r="B22322" i="3"/>
  <c r="D22321" i="3"/>
  <c r="C22321" i="3"/>
  <c r="B22321" i="3"/>
  <c r="D22320" i="3"/>
  <c r="C22320" i="3"/>
  <c r="B22320" i="3"/>
  <c r="D22319" i="3"/>
  <c r="C22319" i="3"/>
  <c r="B22319" i="3"/>
  <c r="D22318" i="3"/>
  <c r="C22318" i="3"/>
  <c r="B22318" i="3"/>
  <c r="D22317" i="3"/>
  <c r="C22317" i="3"/>
  <c r="B22317" i="3"/>
  <c r="D22316" i="3"/>
  <c r="C22316" i="3"/>
  <c r="B22316" i="3"/>
  <c r="D22315" i="3"/>
  <c r="C22315" i="3"/>
  <c r="B22315" i="3"/>
  <c r="D22314" i="3"/>
  <c r="C22314" i="3"/>
  <c r="B22314" i="3"/>
  <c r="D22313" i="3"/>
  <c r="C22313" i="3"/>
  <c r="B22313" i="3"/>
  <c r="D22312" i="3"/>
  <c r="C22312" i="3"/>
  <c r="B22312" i="3"/>
  <c r="D22311" i="3"/>
  <c r="C22311" i="3"/>
  <c r="B22311" i="3"/>
  <c r="D22310" i="3"/>
  <c r="C22310" i="3"/>
  <c r="B22310" i="3"/>
  <c r="D22309" i="3"/>
  <c r="C22309" i="3"/>
  <c r="B22309" i="3"/>
  <c r="D22308" i="3"/>
  <c r="C22308" i="3"/>
  <c r="B22308" i="3"/>
  <c r="D22307" i="3"/>
  <c r="C22307" i="3"/>
  <c r="B22307" i="3"/>
  <c r="D22306" i="3"/>
  <c r="C22306" i="3"/>
  <c r="B22306" i="3"/>
  <c r="D22305" i="3"/>
  <c r="C22305" i="3"/>
  <c r="B22305" i="3"/>
  <c r="D22304" i="3"/>
  <c r="C22304" i="3"/>
  <c r="B22304" i="3"/>
  <c r="D22303" i="3"/>
  <c r="C22303" i="3"/>
  <c r="B22303" i="3"/>
  <c r="D22302" i="3"/>
  <c r="C22302" i="3"/>
  <c r="B22302" i="3"/>
  <c r="D22301" i="3"/>
  <c r="C22301" i="3"/>
  <c r="B22301" i="3"/>
  <c r="D22300" i="3"/>
  <c r="C22300" i="3"/>
  <c r="B22300" i="3"/>
  <c r="D22299" i="3"/>
  <c r="C22299" i="3"/>
  <c r="B22299" i="3"/>
  <c r="D22298" i="3"/>
  <c r="C22298" i="3"/>
  <c r="B22298" i="3"/>
  <c r="D22297" i="3"/>
  <c r="C22297" i="3"/>
  <c r="B22297" i="3"/>
  <c r="D22296" i="3"/>
  <c r="C22296" i="3"/>
  <c r="B22296" i="3"/>
  <c r="D22295" i="3"/>
  <c r="C22295" i="3"/>
  <c r="B22295" i="3"/>
  <c r="D22294" i="3"/>
  <c r="C22294" i="3"/>
  <c r="B22294" i="3"/>
  <c r="D22293" i="3"/>
  <c r="C22293" i="3"/>
  <c r="B22293" i="3"/>
  <c r="D22292" i="3"/>
  <c r="C22292" i="3"/>
  <c r="B22292" i="3"/>
  <c r="D22291" i="3"/>
  <c r="C22291" i="3"/>
  <c r="B22291" i="3"/>
  <c r="D22290" i="3"/>
  <c r="C22290" i="3"/>
  <c r="B22290" i="3"/>
  <c r="D22289" i="3"/>
  <c r="C22289" i="3"/>
  <c r="B22289" i="3"/>
  <c r="D22288" i="3"/>
  <c r="C22288" i="3"/>
  <c r="B22288" i="3"/>
  <c r="D22287" i="3"/>
  <c r="C22287" i="3"/>
  <c r="B22287" i="3"/>
  <c r="D22286" i="3"/>
  <c r="C22286" i="3"/>
  <c r="B22286" i="3"/>
  <c r="D22285" i="3"/>
  <c r="C22285" i="3"/>
  <c r="B22285" i="3"/>
  <c r="D22284" i="3"/>
  <c r="C22284" i="3"/>
  <c r="B22284" i="3"/>
  <c r="D22283" i="3"/>
  <c r="C22283" i="3"/>
  <c r="B22283" i="3"/>
  <c r="D22282" i="3"/>
  <c r="C22282" i="3"/>
  <c r="B22282" i="3"/>
  <c r="D22281" i="3"/>
  <c r="C22281" i="3"/>
  <c r="B22281" i="3"/>
  <c r="D22280" i="3"/>
  <c r="C22280" i="3"/>
  <c r="B22280" i="3"/>
  <c r="D22279" i="3"/>
  <c r="C22279" i="3"/>
  <c r="B22279" i="3"/>
  <c r="D22278" i="3"/>
  <c r="C22278" i="3"/>
  <c r="B22278" i="3"/>
  <c r="D22277" i="3"/>
  <c r="C22277" i="3"/>
  <c r="B22277" i="3"/>
  <c r="D22276" i="3"/>
  <c r="C22276" i="3"/>
  <c r="B22276" i="3"/>
  <c r="D22275" i="3"/>
  <c r="C22275" i="3"/>
  <c r="B22275" i="3"/>
  <c r="D22274" i="3"/>
  <c r="C22274" i="3"/>
  <c r="B22274" i="3"/>
  <c r="D22273" i="3"/>
  <c r="C22273" i="3"/>
  <c r="B22273" i="3"/>
  <c r="D22272" i="3"/>
  <c r="C22272" i="3"/>
  <c r="B22272" i="3"/>
  <c r="D22271" i="3"/>
  <c r="C22271" i="3"/>
  <c r="B22271" i="3"/>
  <c r="D22270" i="3"/>
  <c r="C22270" i="3"/>
  <c r="B22270" i="3"/>
  <c r="D22269" i="3"/>
  <c r="C22269" i="3"/>
  <c r="B22269" i="3"/>
  <c r="D22268" i="3"/>
  <c r="C22268" i="3"/>
  <c r="B22268" i="3"/>
  <c r="D22267" i="3"/>
  <c r="C22267" i="3"/>
  <c r="B22267" i="3"/>
  <c r="D22266" i="3"/>
  <c r="C22266" i="3"/>
  <c r="B22266" i="3"/>
  <c r="D22265" i="3"/>
  <c r="C22265" i="3"/>
  <c r="B22265" i="3"/>
  <c r="D22264" i="3"/>
  <c r="C22264" i="3"/>
  <c r="B22264" i="3"/>
  <c r="D22263" i="3"/>
  <c r="C22263" i="3"/>
  <c r="B22263" i="3"/>
  <c r="D22262" i="3"/>
  <c r="C22262" i="3"/>
  <c r="B22262" i="3"/>
  <c r="D22261" i="3"/>
  <c r="C22261" i="3"/>
  <c r="B22261" i="3"/>
  <c r="D22260" i="3"/>
  <c r="C22260" i="3"/>
  <c r="B22260" i="3"/>
  <c r="D22259" i="3"/>
  <c r="C22259" i="3"/>
  <c r="B22259" i="3"/>
  <c r="D22258" i="3"/>
  <c r="C22258" i="3"/>
  <c r="B22258" i="3"/>
  <c r="D22257" i="3"/>
  <c r="C22257" i="3"/>
  <c r="B22257" i="3"/>
  <c r="D22256" i="3"/>
  <c r="C22256" i="3"/>
  <c r="B22256" i="3"/>
  <c r="D22255" i="3"/>
  <c r="C22255" i="3"/>
  <c r="B22255" i="3"/>
  <c r="D22254" i="3"/>
  <c r="C22254" i="3"/>
  <c r="B22254" i="3"/>
  <c r="D22253" i="3"/>
  <c r="C22253" i="3"/>
  <c r="B22253" i="3"/>
  <c r="D22252" i="3"/>
  <c r="C22252" i="3"/>
  <c r="B22252" i="3"/>
  <c r="D22251" i="3"/>
  <c r="C22251" i="3"/>
  <c r="B22251" i="3"/>
  <c r="D22250" i="3"/>
  <c r="C22250" i="3"/>
  <c r="B22250" i="3"/>
  <c r="D22249" i="3"/>
  <c r="C22249" i="3"/>
  <c r="B22249" i="3"/>
  <c r="D22248" i="3"/>
  <c r="C22248" i="3"/>
  <c r="B22248" i="3"/>
  <c r="D22247" i="3"/>
  <c r="C22247" i="3"/>
  <c r="B22247" i="3"/>
  <c r="D22246" i="3"/>
  <c r="C22246" i="3"/>
  <c r="B22246" i="3"/>
  <c r="D22245" i="3"/>
  <c r="C22245" i="3"/>
  <c r="B22245" i="3"/>
  <c r="D22244" i="3"/>
  <c r="C22244" i="3"/>
  <c r="B22244" i="3"/>
  <c r="D22243" i="3"/>
  <c r="C22243" i="3"/>
  <c r="B22243" i="3"/>
  <c r="D22242" i="3"/>
  <c r="C22242" i="3"/>
  <c r="B22242" i="3"/>
  <c r="D22241" i="3"/>
  <c r="C22241" i="3"/>
  <c r="B22241" i="3"/>
  <c r="D22240" i="3"/>
  <c r="C22240" i="3"/>
  <c r="B22240" i="3"/>
  <c r="D22239" i="3"/>
  <c r="C22239" i="3"/>
  <c r="B22239" i="3"/>
  <c r="D22238" i="3"/>
  <c r="C22238" i="3"/>
  <c r="B22238" i="3"/>
  <c r="D22237" i="3"/>
  <c r="C22237" i="3"/>
  <c r="B22237" i="3"/>
  <c r="D22236" i="3"/>
  <c r="C22236" i="3"/>
  <c r="B22236" i="3"/>
  <c r="D22235" i="3"/>
  <c r="C22235" i="3"/>
  <c r="B22235" i="3"/>
  <c r="D22234" i="3"/>
  <c r="C22234" i="3"/>
  <c r="B22234" i="3"/>
  <c r="D22233" i="3"/>
  <c r="C22233" i="3"/>
  <c r="B22233" i="3"/>
  <c r="D22232" i="3"/>
  <c r="C22232" i="3"/>
  <c r="B22232" i="3"/>
  <c r="D22231" i="3"/>
  <c r="C22231" i="3"/>
  <c r="B22231" i="3"/>
  <c r="D22230" i="3"/>
  <c r="C22230" i="3"/>
  <c r="B22230" i="3"/>
  <c r="D22229" i="3"/>
  <c r="C22229" i="3"/>
  <c r="B22229" i="3"/>
  <c r="D22228" i="3"/>
  <c r="C22228" i="3"/>
  <c r="B22228" i="3"/>
  <c r="D22227" i="3"/>
  <c r="C22227" i="3"/>
  <c r="B22227" i="3"/>
  <c r="D22226" i="3"/>
  <c r="C22226" i="3"/>
  <c r="B22226" i="3"/>
  <c r="D22225" i="3"/>
  <c r="C22225" i="3"/>
  <c r="B22225" i="3"/>
  <c r="D22224" i="3"/>
  <c r="C22224" i="3"/>
  <c r="B22224" i="3"/>
  <c r="D22223" i="3"/>
  <c r="C22223" i="3"/>
  <c r="B22223" i="3"/>
  <c r="D22222" i="3"/>
  <c r="C22222" i="3"/>
  <c r="B22222" i="3"/>
  <c r="D22221" i="3"/>
  <c r="C22221" i="3"/>
  <c r="B22221" i="3"/>
  <c r="D22220" i="3"/>
  <c r="C22220" i="3"/>
  <c r="B22220" i="3"/>
  <c r="D22219" i="3"/>
  <c r="C22219" i="3"/>
  <c r="B22219" i="3"/>
  <c r="D22218" i="3"/>
  <c r="C22218" i="3"/>
  <c r="B22218" i="3"/>
  <c r="D22217" i="3"/>
  <c r="C22217" i="3"/>
  <c r="B22217" i="3"/>
  <c r="D22216" i="3"/>
  <c r="C22216" i="3"/>
  <c r="B22216" i="3"/>
  <c r="D22215" i="3"/>
  <c r="C22215" i="3"/>
  <c r="B22215" i="3"/>
  <c r="D22214" i="3"/>
  <c r="C22214" i="3"/>
  <c r="B22214" i="3"/>
  <c r="D22213" i="3"/>
  <c r="C22213" i="3"/>
  <c r="B22213" i="3"/>
  <c r="D22212" i="3"/>
  <c r="C22212" i="3"/>
  <c r="B22212" i="3"/>
  <c r="D22211" i="3"/>
  <c r="C22211" i="3"/>
  <c r="B22211" i="3"/>
  <c r="D22210" i="3"/>
  <c r="C22210" i="3"/>
  <c r="B22210" i="3"/>
  <c r="D22209" i="3"/>
  <c r="C22209" i="3"/>
  <c r="B22209" i="3"/>
  <c r="D22208" i="3"/>
  <c r="C22208" i="3"/>
  <c r="B22208" i="3"/>
  <c r="D22207" i="3"/>
  <c r="C22207" i="3"/>
  <c r="B22207" i="3"/>
  <c r="D22206" i="3"/>
  <c r="C22206" i="3"/>
  <c r="B22206" i="3"/>
  <c r="D22205" i="3"/>
  <c r="C22205" i="3"/>
  <c r="B22205" i="3"/>
  <c r="D22204" i="3"/>
  <c r="C22204" i="3"/>
  <c r="B22204" i="3"/>
  <c r="D22203" i="3"/>
  <c r="C22203" i="3"/>
  <c r="B22203" i="3"/>
  <c r="D22202" i="3"/>
  <c r="C22202" i="3"/>
  <c r="B22202" i="3"/>
  <c r="D22201" i="3"/>
  <c r="C22201" i="3"/>
  <c r="B22201" i="3"/>
  <c r="D22200" i="3"/>
  <c r="C22200" i="3"/>
  <c r="B22200" i="3"/>
  <c r="D22199" i="3"/>
  <c r="C22199" i="3"/>
  <c r="B22199" i="3"/>
  <c r="D22198" i="3"/>
  <c r="C22198" i="3"/>
  <c r="B22198" i="3"/>
  <c r="D22197" i="3"/>
  <c r="C22197" i="3"/>
  <c r="B22197" i="3"/>
  <c r="D22196" i="3"/>
  <c r="C22196" i="3"/>
  <c r="B22196" i="3"/>
  <c r="D22195" i="3"/>
  <c r="C22195" i="3"/>
  <c r="B22195" i="3"/>
  <c r="D22194" i="3"/>
  <c r="C22194" i="3"/>
  <c r="B22194" i="3"/>
  <c r="D22193" i="3"/>
  <c r="C22193" i="3"/>
  <c r="B22193" i="3"/>
  <c r="D22192" i="3"/>
  <c r="C22192" i="3"/>
  <c r="B22192" i="3"/>
  <c r="D22191" i="3"/>
  <c r="C22191" i="3"/>
  <c r="B22191" i="3"/>
  <c r="D22190" i="3"/>
  <c r="C22190" i="3"/>
  <c r="B22190" i="3"/>
  <c r="D22189" i="3"/>
  <c r="C22189" i="3"/>
  <c r="B22189" i="3"/>
  <c r="D22188" i="3"/>
  <c r="C22188" i="3"/>
  <c r="B22188" i="3"/>
  <c r="D22187" i="3"/>
  <c r="C22187" i="3"/>
  <c r="B22187" i="3"/>
  <c r="D22186" i="3"/>
  <c r="C22186" i="3"/>
  <c r="B22186" i="3"/>
  <c r="D22185" i="3"/>
  <c r="C22185" i="3"/>
  <c r="B22185" i="3"/>
  <c r="D22184" i="3"/>
  <c r="C22184" i="3"/>
  <c r="B22184" i="3"/>
  <c r="D22183" i="3"/>
  <c r="C22183" i="3"/>
  <c r="B22183" i="3"/>
  <c r="D22182" i="3"/>
  <c r="C22182" i="3"/>
  <c r="B22182" i="3"/>
  <c r="D22181" i="3"/>
  <c r="C22181" i="3"/>
  <c r="B22181" i="3"/>
  <c r="D22180" i="3"/>
  <c r="C22180" i="3"/>
  <c r="B22180" i="3"/>
  <c r="D22179" i="3"/>
  <c r="C22179" i="3"/>
  <c r="B22179" i="3"/>
  <c r="D22178" i="3"/>
  <c r="C22178" i="3"/>
  <c r="B22178" i="3"/>
  <c r="D22177" i="3"/>
  <c r="C22177" i="3"/>
  <c r="B22177" i="3"/>
  <c r="D22176" i="3"/>
  <c r="C22176" i="3"/>
  <c r="B22176" i="3"/>
  <c r="D22175" i="3"/>
  <c r="C22175" i="3"/>
  <c r="B22175" i="3"/>
  <c r="D22174" i="3"/>
  <c r="C22174" i="3"/>
  <c r="B22174" i="3"/>
  <c r="D22173" i="3"/>
  <c r="C22173" i="3"/>
  <c r="B22173" i="3"/>
  <c r="D22172" i="3"/>
  <c r="C22172" i="3"/>
  <c r="B22172" i="3"/>
  <c r="D22171" i="3"/>
  <c r="C22171" i="3"/>
  <c r="B22171" i="3"/>
  <c r="D22170" i="3"/>
  <c r="C22170" i="3"/>
  <c r="B22170" i="3"/>
  <c r="D22169" i="3"/>
  <c r="C22169" i="3"/>
  <c r="B22169" i="3"/>
  <c r="D22168" i="3"/>
  <c r="C22168" i="3"/>
  <c r="B22168" i="3"/>
  <c r="D22167" i="3"/>
  <c r="C22167" i="3"/>
  <c r="B22167" i="3"/>
  <c r="D22166" i="3"/>
  <c r="C22166" i="3"/>
  <c r="B22166" i="3"/>
  <c r="D22165" i="3"/>
  <c r="C22165" i="3"/>
  <c r="B22165" i="3"/>
  <c r="D22164" i="3"/>
  <c r="C22164" i="3"/>
  <c r="B22164" i="3"/>
  <c r="D22163" i="3"/>
  <c r="C22163" i="3"/>
  <c r="B22163" i="3"/>
  <c r="D22162" i="3"/>
  <c r="C22162" i="3"/>
  <c r="B22162" i="3"/>
  <c r="D22161" i="3"/>
  <c r="C22161" i="3"/>
  <c r="B22161" i="3"/>
  <c r="D22160" i="3"/>
  <c r="C22160" i="3"/>
  <c r="B22160" i="3"/>
  <c r="D22159" i="3"/>
  <c r="C22159" i="3"/>
  <c r="B22159" i="3"/>
  <c r="D22158" i="3"/>
  <c r="C22158" i="3"/>
  <c r="B22158" i="3"/>
  <c r="D22157" i="3"/>
  <c r="C22157" i="3"/>
  <c r="B22157" i="3"/>
  <c r="D22156" i="3"/>
  <c r="C22156" i="3"/>
  <c r="B22156" i="3"/>
  <c r="D22155" i="3"/>
  <c r="C22155" i="3"/>
  <c r="B22155" i="3"/>
  <c r="D22154" i="3"/>
  <c r="C22154" i="3"/>
  <c r="B22154" i="3"/>
  <c r="D22153" i="3"/>
  <c r="C22153" i="3"/>
  <c r="B22153" i="3"/>
  <c r="D22152" i="3"/>
  <c r="C22152" i="3"/>
  <c r="B22152" i="3"/>
  <c r="D22151" i="3"/>
  <c r="C22151" i="3"/>
  <c r="B22151" i="3"/>
  <c r="D22150" i="3"/>
  <c r="C22150" i="3"/>
  <c r="B22150" i="3"/>
  <c r="D22149" i="3"/>
  <c r="C22149" i="3"/>
  <c r="B22149" i="3"/>
  <c r="D22148" i="3"/>
  <c r="C22148" i="3"/>
  <c r="B22148" i="3"/>
  <c r="D22147" i="3"/>
  <c r="C22147" i="3"/>
  <c r="B22147" i="3"/>
  <c r="D22146" i="3"/>
  <c r="C22146" i="3"/>
  <c r="B22146" i="3"/>
  <c r="D22145" i="3"/>
  <c r="C22145" i="3"/>
  <c r="B22145" i="3"/>
  <c r="D22144" i="3"/>
  <c r="C22144" i="3"/>
  <c r="B22144" i="3"/>
  <c r="D22143" i="3"/>
  <c r="C22143" i="3"/>
  <c r="B22143" i="3"/>
  <c r="D22142" i="3"/>
  <c r="C22142" i="3"/>
  <c r="B22142" i="3"/>
  <c r="D22141" i="3"/>
  <c r="C22141" i="3"/>
  <c r="B22141" i="3"/>
  <c r="D22140" i="3"/>
  <c r="C22140" i="3"/>
  <c r="B22140" i="3"/>
  <c r="D22139" i="3"/>
  <c r="C22139" i="3"/>
  <c r="B22139" i="3"/>
  <c r="D22138" i="3"/>
  <c r="C22138" i="3"/>
  <c r="B22138" i="3"/>
  <c r="D22137" i="3"/>
  <c r="C22137" i="3"/>
  <c r="B22137" i="3"/>
  <c r="D22136" i="3"/>
  <c r="C22136" i="3"/>
  <c r="B22136" i="3"/>
  <c r="D22135" i="3"/>
  <c r="C22135" i="3"/>
  <c r="B22135" i="3"/>
  <c r="D22134" i="3"/>
  <c r="C22134" i="3"/>
  <c r="B22134" i="3"/>
  <c r="D22133" i="3"/>
  <c r="C22133" i="3"/>
  <c r="B22133" i="3"/>
  <c r="D22132" i="3"/>
  <c r="C22132" i="3"/>
  <c r="B22132" i="3"/>
  <c r="D22131" i="3"/>
  <c r="C22131" i="3"/>
  <c r="B22131" i="3"/>
  <c r="D22130" i="3"/>
  <c r="C22130" i="3"/>
  <c r="B22130" i="3"/>
  <c r="D22129" i="3"/>
  <c r="C22129" i="3"/>
  <c r="B22129" i="3"/>
  <c r="D22128" i="3"/>
  <c r="C22128" i="3"/>
  <c r="B22128" i="3"/>
  <c r="D22127" i="3"/>
  <c r="C22127" i="3"/>
  <c r="B22127" i="3"/>
  <c r="D22126" i="3"/>
  <c r="C22126" i="3"/>
  <c r="B22126" i="3"/>
  <c r="D22125" i="3"/>
  <c r="C22125" i="3"/>
  <c r="B22125" i="3"/>
  <c r="D22124" i="3"/>
  <c r="C22124" i="3"/>
  <c r="B22124" i="3"/>
  <c r="D22123" i="3"/>
  <c r="C22123" i="3"/>
  <c r="B22123" i="3"/>
  <c r="D22122" i="3"/>
  <c r="C22122" i="3"/>
  <c r="B22122" i="3"/>
  <c r="D22121" i="3"/>
  <c r="C22121" i="3"/>
  <c r="B22121" i="3"/>
  <c r="D22120" i="3"/>
  <c r="C22120" i="3"/>
  <c r="B22120" i="3"/>
  <c r="D22119" i="3"/>
  <c r="C22119" i="3"/>
  <c r="B22119" i="3"/>
  <c r="D22118" i="3"/>
  <c r="C22118" i="3"/>
  <c r="B22118" i="3"/>
  <c r="D22117" i="3"/>
  <c r="C22117" i="3"/>
  <c r="B22117" i="3"/>
  <c r="D22116" i="3"/>
  <c r="C22116" i="3"/>
  <c r="B22116" i="3"/>
  <c r="D22115" i="3"/>
  <c r="C22115" i="3"/>
  <c r="B22115" i="3"/>
  <c r="D22114" i="3"/>
  <c r="C22114" i="3"/>
  <c r="B22114" i="3"/>
  <c r="D22113" i="3"/>
  <c r="C22113" i="3"/>
  <c r="B22113" i="3"/>
  <c r="D22112" i="3"/>
  <c r="C22112" i="3"/>
  <c r="B22112" i="3"/>
  <c r="D22111" i="3"/>
  <c r="C22111" i="3"/>
  <c r="B22111" i="3"/>
  <c r="D22110" i="3"/>
  <c r="C22110" i="3"/>
  <c r="B22110" i="3"/>
  <c r="D22109" i="3"/>
  <c r="C22109" i="3"/>
  <c r="B22109" i="3"/>
  <c r="D22108" i="3"/>
  <c r="C22108" i="3"/>
  <c r="B22108" i="3"/>
  <c r="D22107" i="3"/>
  <c r="C22107" i="3"/>
  <c r="B22107" i="3"/>
  <c r="D22106" i="3"/>
  <c r="C22106" i="3"/>
  <c r="B22106" i="3"/>
  <c r="D22105" i="3"/>
  <c r="C22105" i="3"/>
  <c r="B22105" i="3"/>
  <c r="D22104" i="3"/>
  <c r="C22104" i="3"/>
  <c r="B22104" i="3"/>
  <c r="D22103" i="3"/>
  <c r="C22103" i="3"/>
  <c r="B22103" i="3"/>
  <c r="D22102" i="3"/>
  <c r="C22102" i="3"/>
  <c r="B22102" i="3"/>
  <c r="D22101" i="3"/>
  <c r="C22101" i="3"/>
  <c r="B22101" i="3"/>
  <c r="D22100" i="3"/>
  <c r="C22100" i="3"/>
  <c r="B22100" i="3"/>
  <c r="D22099" i="3"/>
  <c r="C22099" i="3"/>
  <c r="B22099" i="3"/>
  <c r="D22098" i="3"/>
  <c r="C22098" i="3"/>
  <c r="B22098" i="3"/>
  <c r="D22097" i="3"/>
  <c r="C22097" i="3"/>
  <c r="B22097" i="3"/>
  <c r="D22096" i="3"/>
  <c r="C22096" i="3"/>
  <c r="B22096" i="3"/>
  <c r="D22095" i="3"/>
  <c r="C22095" i="3"/>
  <c r="B22095" i="3"/>
  <c r="D22094" i="3"/>
  <c r="C22094" i="3"/>
  <c r="B22094" i="3"/>
  <c r="D22093" i="3"/>
  <c r="C22093" i="3"/>
  <c r="B22093" i="3"/>
  <c r="D22092" i="3"/>
  <c r="C22092" i="3"/>
  <c r="B22092" i="3"/>
  <c r="D22091" i="3"/>
  <c r="C22091" i="3"/>
  <c r="B22091" i="3"/>
  <c r="D22090" i="3"/>
  <c r="C22090" i="3"/>
  <c r="B22090" i="3"/>
  <c r="D22089" i="3"/>
  <c r="C22089" i="3"/>
  <c r="B22089" i="3"/>
  <c r="D22088" i="3"/>
  <c r="C22088" i="3"/>
  <c r="B22088" i="3"/>
  <c r="D22087" i="3"/>
  <c r="C22087" i="3"/>
  <c r="B22087" i="3"/>
  <c r="D22086" i="3"/>
  <c r="C22086" i="3"/>
  <c r="B22086" i="3"/>
  <c r="D22085" i="3"/>
  <c r="C22085" i="3"/>
  <c r="B22085" i="3"/>
  <c r="D22084" i="3"/>
  <c r="C22084" i="3"/>
  <c r="B22084" i="3"/>
  <c r="D22083" i="3"/>
  <c r="C22083" i="3"/>
  <c r="B22083" i="3"/>
  <c r="D22082" i="3"/>
  <c r="C22082" i="3"/>
  <c r="B22082" i="3"/>
  <c r="D22081" i="3"/>
  <c r="C22081" i="3"/>
  <c r="B22081" i="3"/>
  <c r="D22080" i="3"/>
  <c r="C22080" i="3"/>
  <c r="B22080" i="3"/>
  <c r="D22079" i="3"/>
  <c r="C22079" i="3"/>
  <c r="B22079" i="3"/>
  <c r="D22078" i="3"/>
  <c r="C22078" i="3"/>
  <c r="B22078" i="3"/>
  <c r="D22077" i="3"/>
  <c r="C22077" i="3"/>
  <c r="B22077" i="3"/>
  <c r="D22076" i="3"/>
  <c r="C22076" i="3"/>
  <c r="B22076" i="3"/>
  <c r="D22075" i="3"/>
  <c r="C22075" i="3"/>
  <c r="B22075" i="3"/>
  <c r="D22074" i="3"/>
  <c r="C22074" i="3"/>
  <c r="B22074" i="3"/>
  <c r="D22073" i="3"/>
  <c r="C22073" i="3"/>
  <c r="B22073" i="3"/>
  <c r="D22072" i="3"/>
  <c r="C22072" i="3"/>
  <c r="B22072" i="3"/>
  <c r="D22071" i="3"/>
  <c r="C22071" i="3"/>
  <c r="B22071" i="3"/>
  <c r="D22070" i="3"/>
  <c r="C22070" i="3"/>
  <c r="B22070" i="3"/>
  <c r="D22069" i="3"/>
  <c r="C22069" i="3"/>
  <c r="B22069" i="3"/>
  <c r="D22068" i="3"/>
  <c r="C22068" i="3"/>
  <c r="B22068" i="3"/>
  <c r="D22067" i="3"/>
  <c r="C22067" i="3"/>
  <c r="B22067" i="3"/>
  <c r="D22066" i="3"/>
  <c r="C22066" i="3"/>
  <c r="B22066" i="3"/>
  <c r="D22065" i="3"/>
  <c r="C22065" i="3"/>
  <c r="B22065" i="3"/>
  <c r="D22064" i="3"/>
  <c r="C22064" i="3"/>
  <c r="B22064" i="3"/>
  <c r="D22063" i="3"/>
  <c r="C22063" i="3"/>
  <c r="B22063" i="3"/>
  <c r="D22062" i="3"/>
  <c r="C22062" i="3"/>
  <c r="B22062" i="3"/>
  <c r="D22061" i="3"/>
  <c r="C22061" i="3"/>
  <c r="B22061" i="3"/>
  <c r="D22060" i="3"/>
  <c r="C22060" i="3"/>
  <c r="B22060" i="3"/>
  <c r="D22059" i="3"/>
  <c r="C22059" i="3"/>
  <c r="B22059" i="3"/>
  <c r="D22058" i="3"/>
  <c r="C22058" i="3"/>
  <c r="B22058" i="3"/>
  <c r="D22057" i="3"/>
  <c r="C22057" i="3"/>
  <c r="B22057" i="3"/>
  <c r="D22056" i="3"/>
  <c r="C22056" i="3"/>
  <c r="B22056" i="3"/>
  <c r="D22055" i="3"/>
  <c r="C22055" i="3"/>
  <c r="B22055" i="3"/>
  <c r="D22054" i="3"/>
  <c r="C22054" i="3"/>
  <c r="B22054" i="3"/>
  <c r="D22053" i="3"/>
  <c r="C22053" i="3"/>
  <c r="B22053" i="3"/>
  <c r="D22052" i="3"/>
  <c r="C22052" i="3"/>
  <c r="B22052" i="3"/>
  <c r="D22051" i="3"/>
  <c r="C22051" i="3"/>
  <c r="B22051" i="3"/>
  <c r="D22050" i="3"/>
  <c r="C22050" i="3"/>
  <c r="B22050" i="3"/>
  <c r="D22049" i="3"/>
  <c r="C22049" i="3"/>
  <c r="B22049" i="3"/>
  <c r="D22048" i="3"/>
  <c r="C22048" i="3"/>
  <c r="B22048" i="3"/>
  <c r="D22047" i="3"/>
  <c r="C22047" i="3"/>
  <c r="B22047" i="3"/>
  <c r="D22046" i="3"/>
  <c r="C22046" i="3"/>
  <c r="B22046" i="3"/>
  <c r="D22045" i="3"/>
  <c r="C22045" i="3"/>
  <c r="B22045" i="3"/>
  <c r="D22044" i="3"/>
  <c r="C22044" i="3"/>
  <c r="B22044" i="3"/>
  <c r="D22043" i="3"/>
  <c r="C22043" i="3"/>
  <c r="B22043" i="3"/>
  <c r="D22042" i="3"/>
  <c r="C22042" i="3"/>
  <c r="B22042" i="3"/>
  <c r="D22041" i="3"/>
  <c r="C22041" i="3"/>
  <c r="B22041" i="3"/>
  <c r="D22040" i="3"/>
  <c r="C22040" i="3"/>
  <c r="B22040" i="3"/>
  <c r="D22039" i="3"/>
  <c r="C22039" i="3"/>
  <c r="B22039" i="3"/>
  <c r="D22038" i="3"/>
  <c r="C22038" i="3"/>
  <c r="B22038" i="3"/>
  <c r="D22037" i="3"/>
  <c r="C22037" i="3"/>
  <c r="B22037" i="3"/>
  <c r="D22036" i="3"/>
  <c r="C22036" i="3"/>
  <c r="B22036" i="3"/>
  <c r="D22035" i="3"/>
  <c r="C22035" i="3"/>
  <c r="B22035" i="3"/>
  <c r="D22034" i="3"/>
  <c r="C22034" i="3"/>
  <c r="B22034" i="3"/>
  <c r="D22033" i="3"/>
  <c r="C22033" i="3"/>
  <c r="B22033" i="3"/>
  <c r="D22032" i="3"/>
  <c r="C22032" i="3"/>
  <c r="B22032" i="3"/>
  <c r="D22031" i="3"/>
  <c r="C22031" i="3"/>
  <c r="B22031" i="3"/>
  <c r="D22030" i="3"/>
  <c r="C22030" i="3"/>
  <c r="B22030" i="3"/>
  <c r="D22029" i="3"/>
  <c r="C22029" i="3"/>
  <c r="B22029" i="3"/>
  <c r="D22028" i="3"/>
  <c r="C22028" i="3"/>
  <c r="B22028" i="3"/>
  <c r="D22027" i="3"/>
  <c r="C22027" i="3"/>
  <c r="B22027" i="3"/>
  <c r="D22026" i="3"/>
  <c r="C22026" i="3"/>
  <c r="B22026" i="3"/>
  <c r="D22025" i="3"/>
  <c r="C22025" i="3"/>
  <c r="B22025" i="3"/>
  <c r="D22024" i="3"/>
  <c r="C22024" i="3"/>
  <c r="B22024" i="3"/>
  <c r="D22023" i="3"/>
  <c r="C22023" i="3"/>
  <c r="B22023" i="3"/>
  <c r="D22022" i="3"/>
  <c r="C22022" i="3"/>
  <c r="B22022" i="3"/>
  <c r="D22021" i="3"/>
  <c r="C22021" i="3"/>
  <c r="B22021" i="3"/>
  <c r="D22020" i="3"/>
  <c r="C22020" i="3"/>
  <c r="B22020" i="3"/>
  <c r="D22019" i="3"/>
  <c r="C22019" i="3"/>
  <c r="B22019" i="3"/>
  <c r="D22018" i="3"/>
  <c r="C22018" i="3"/>
  <c r="B22018" i="3"/>
  <c r="D22017" i="3"/>
  <c r="C22017" i="3"/>
  <c r="B22017" i="3"/>
  <c r="D22016" i="3"/>
  <c r="C22016" i="3"/>
  <c r="B22016" i="3"/>
  <c r="D22015" i="3"/>
  <c r="C22015" i="3"/>
  <c r="B22015" i="3"/>
  <c r="D22014" i="3"/>
  <c r="C22014" i="3"/>
  <c r="B22014" i="3"/>
  <c r="D22013" i="3"/>
  <c r="C22013" i="3"/>
  <c r="B22013" i="3"/>
  <c r="D22012" i="3"/>
  <c r="C22012" i="3"/>
  <c r="B22012" i="3"/>
  <c r="D22011" i="3"/>
  <c r="C22011" i="3"/>
  <c r="B22011" i="3"/>
  <c r="D22010" i="3"/>
  <c r="C22010" i="3"/>
  <c r="B22010" i="3"/>
  <c r="D22009" i="3"/>
  <c r="C22009" i="3"/>
  <c r="B22009" i="3"/>
  <c r="D22008" i="3"/>
  <c r="C22008" i="3"/>
  <c r="B22008" i="3"/>
  <c r="D22007" i="3"/>
  <c r="C22007" i="3"/>
  <c r="B22007" i="3"/>
  <c r="D22006" i="3"/>
  <c r="C22006" i="3"/>
  <c r="B22006" i="3"/>
  <c r="D22005" i="3"/>
  <c r="C22005" i="3"/>
  <c r="B22005" i="3"/>
  <c r="D22004" i="3"/>
  <c r="C22004" i="3"/>
  <c r="B22004" i="3"/>
  <c r="D22003" i="3"/>
  <c r="C22003" i="3"/>
  <c r="B22003" i="3"/>
  <c r="D22002" i="3"/>
  <c r="C22002" i="3"/>
  <c r="B22002" i="3"/>
  <c r="D22001" i="3"/>
  <c r="C22001" i="3"/>
  <c r="B22001" i="3"/>
  <c r="D22000" i="3"/>
  <c r="C22000" i="3"/>
  <c r="B22000" i="3"/>
  <c r="D21999" i="3"/>
  <c r="C21999" i="3"/>
  <c r="B21999" i="3"/>
  <c r="D21998" i="3"/>
  <c r="C21998" i="3"/>
  <c r="B21998" i="3"/>
  <c r="D21997" i="3"/>
  <c r="C21997" i="3"/>
  <c r="B21997" i="3"/>
  <c r="D21996" i="3"/>
  <c r="C21996" i="3"/>
  <c r="B21996" i="3"/>
  <c r="D21995" i="3"/>
  <c r="C21995" i="3"/>
  <c r="B21995" i="3"/>
  <c r="D21994" i="3"/>
  <c r="C21994" i="3"/>
  <c r="B21994" i="3"/>
  <c r="D21993" i="3"/>
  <c r="C21993" i="3"/>
  <c r="B21993" i="3"/>
  <c r="D21992" i="3"/>
  <c r="C21992" i="3"/>
  <c r="B21992" i="3"/>
  <c r="D21991" i="3"/>
  <c r="C21991" i="3"/>
  <c r="B21991" i="3"/>
  <c r="D21990" i="3"/>
  <c r="C21990" i="3"/>
  <c r="B21990" i="3"/>
  <c r="D21989" i="3"/>
  <c r="C21989" i="3"/>
  <c r="B21989" i="3"/>
  <c r="D21988" i="3"/>
  <c r="C21988" i="3"/>
  <c r="B21988" i="3"/>
  <c r="D21987" i="3"/>
  <c r="C21987" i="3"/>
  <c r="B21987" i="3"/>
  <c r="D21986" i="3"/>
  <c r="C21986" i="3"/>
  <c r="B21986" i="3"/>
  <c r="D21985" i="3"/>
  <c r="C21985" i="3"/>
  <c r="B21985" i="3"/>
  <c r="D21984" i="3"/>
  <c r="C21984" i="3"/>
  <c r="B21984" i="3"/>
  <c r="D21983" i="3"/>
  <c r="C21983" i="3"/>
  <c r="B21983" i="3"/>
  <c r="D21982" i="3"/>
  <c r="C21982" i="3"/>
  <c r="B21982" i="3"/>
  <c r="D21981" i="3"/>
  <c r="C21981" i="3"/>
  <c r="B21981" i="3"/>
  <c r="D21980" i="3"/>
  <c r="C21980" i="3"/>
  <c r="B21980" i="3"/>
  <c r="D21979" i="3"/>
  <c r="C21979" i="3"/>
  <c r="B21979" i="3"/>
  <c r="D21978" i="3"/>
  <c r="C21978" i="3"/>
  <c r="B21978" i="3"/>
  <c r="D21977" i="3"/>
  <c r="C21977" i="3"/>
  <c r="B21977" i="3"/>
  <c r="D21976" i="3"/>
  <c r="C21976" i="3"/>
  <c r="B21976" i="3"/>
  <c r="D21975" i="3"/>
  <c r="C21975" i="3"/>
  <c r="B21975" i="3"/>
  <c r="D21974" i="3"/>
  <c r="C21974" i="3"/>
  <c r="B21974" i="3"/>
  <c r="D21973" i="3"/>
  <c r="C21973" i="3"/>
  <c r="B21973" i="3"/>
  <c r="D21972" i="3"/>
  <c r="C21972" i="3"/>
  <c r="B21972" i="3"/>
  <c r="D21971" i="3"/>
  <c r="C21971" i="3"/>
  <c r="B21971" i="3"/>
  <c r="D21970" i="3"/>
  <c r="C21970" i="3"/>
  <c r="B21970" i="3"/>
  <c r="D21969" i="3"/>
  <c r="C21969" i="3"/>
  <c r="B21969" i="3"/>
  <c r="D21968" i="3"/>
  <c r="C21968" i="3"/>
  <c r="B21968" i="3"/>
  <c r="D21967" i="3"/>
  <c r="C21967" i="3"/>
  <c r="B21967" i="3"/>
  <c r="D21966" i="3"/>
  <c r="C21966" i="3"/>
  <c r="B21966" i="3"/>
  <c r="D21965" i="3"/>
  <c r="C21965" i="3"/>
  <c r="B21965" i="3"/>
  <c r="D21964" i="3"/>
  <c r="C21964" i="3"/>
  <c r="B21964" i="3"/>
  <c r="D21963" i="3"/>
  <c r="C21963" i="3"/>
  <c r="B21963" i="3"/>
  <c r="D21962" i="3"/>
  <c r="C21962" i="3"/>
  <c r="B21962" i="3"/>
  <c r="D21961" i="3"/>
  <c r="C21961" i="3"/>
  <c r="B21961" i="3"/>
  <c r="D21960" i="3"/>
  <c r="C21960" i="3"/>
  <c r="B21960" i="3"/>
  <c r="D21959" i="3"/>
  <c r="C21959" i="3"/>
  <c r="B21959" i="3"/>
  <c r="D21958" i="3"/>
  <c r="C21958" i="3"/>
  <c r="B21958" i="3"/>
  <c r="D21957" i="3"/>
  <c r="C21957" i="3"/>
  <c r="B21957" i="3"/>
  <c r="D21956" i="3"/>
  <c r="C21956" i="3"/>
  <c r="B21956" i="3"/>
  <c r="D21955" i="3"/>
  <c r="C21955" i="3"/>
  <c r="B21955" i="3"/>
  <c r="D21954" i="3"/>
  <c r="C21954" i="3"/>
  <c r="B21954" i="3"/>
  <c r="D21953" i="3"/>
  <c r="C21953" i="3"/>
  <c r="B21953" i="3"/>
  <c r="D21952" i="3"/>
  <c r="C21952" i="3"/>
  <c r="B21952" i="3"/>
  <c r="D21951" i="3"/>
  <c r="C21951" i="3"/>
  <c r="B21951" i="3"/>
  <c r="D21950" i="3"/>
  <c r="C21950" i="3"/>
  <c r="B21950" i="3"/>
  <c r="D21949" i="3"/>
  <c r="C21949" i="3"/>
  <c r="B21949" i="3"/>
  <c r="D21948" i="3"/>
  <c r="C21948" i="3"/>
  <c r="B21948" i="3"/>
  <c r="D21947" i="3"/>
  <c r="C21947" i="3"/>
  <c r="B21947" i="3"/>
  <c r="D21946" i="3"/>
  <c r="C21946" i="3"/>
  <c r="B21946" i="3"/>
  <c r="D21945" i="3"/>
  <c r="C21945" i="3"/>
  <c r="B21945" i="3"/>
  <c r="D21944" i="3"/>
  <c r="C21944" i="3"/>
  <c r="B21944" i="3"/>
  <c r="D21943" i="3"/>
  <c r="C21943" i="3"/>
  <c r="B21943" i="3"/>
  <c r="D21942" i="3"/>
  <c r="C21942" i="3"/>
  <c r="B21942" i="3"/>
  <c r="D21941" i="3"/>
  <c r="C21941" i="3"/>
  <c r="B21941" i="3"/>
  <c r="D21940" i="3"/>
  <c r="C21940" i="3"/>
  <c r="B21940" i="3"/>
  <c r="D21939" i="3"/>
  <c r="C21939" i="3"/>
  <c r="B21939" i="3"/>
  <c r="D21938" i="3"/>
  <c r="C21938" i="3"/>
  <c r="B21938" i="3"/>
  <c r="D21937" i="3"/>
  <c r="C21937" i="3"/>
  <c r="B21937" i="3"/>
  <c r="D21936" i="3"/>
  <c r="C21936" i="3"/>
  <c r="B21936" i="3"/>
  <c r="D21935" i="3"/>
  <c r="C21935" i="3"/>
  <c r="B21935" i="3"/>
  <c r="D21934" i="3"/>
  <c r="C21934" i="3"/>
  <c r="B21934" i="3"/>
  <c r="D21933" i="3"/>
  <c r="C21933" i="3"/>
  <c r="B21933" i="3"/>
  <c r="D21932" i="3"/>
  <c r="C21932" i="3"/>
  <c r="B21932" i="3"/>
  <c r="D21931" i="3"/>
  <c r="C21931" i="3"/>
  <c r="B21931" i="3"/>
  <c r="D21930" i="3"/>
  <c r="C21930" i="3"/>
  <c r="B21930" i="3"/>
  <c r="D21929" i="3"/>
  <c r="C21929" i="3"/>
  <c r="B21929" i="3"/>
  <c r="D21928" i="3"/>
  <c r="C21928" i="3"/>
  <c r="B21928" i="3"/>
  <c r="D21927" i="3"/>
  <c r="C21927" i="3"/>
  <c r="B21927" i="3"/>
  <c r="D21926" i="3"/>
  <c r="C21926" i="3"/>
  <c r="B21926" i="3"/>
  <c r="D21925" i="3"/>
  <c r="C21925" i="3"/>
  <c r="B21925" i="3"/>
  <c r="D21924" i="3"/>
  <c r="C21924" i="3"/>
  <c r="B21924" i="3"/>
  <c r="D21923" i="3"/>
  <c r="C21923" i="3"/>
  <c r="B21923" i="3"/>
  <c r="D21922" i="3"/>
  <c r="C21922" i="3"/>
  <c r="B21922" i="3"/>
  <c r="D21921" i="3"/>
  <c r="C21921" i="3"/>
  <c r="B21921" i="3"/>
  <c r="D21920" i="3"/>
  <c r="C21920" i="3"/>
  <c r="B21920" i="3"/>
  <c r="D21919" i="3"/>
  <c r="C21919" i="3"/>
  <c r="B21919" i="3"/>
  <c r="D21918" i="3"/>
  <c r="C21918" i="3"/>
  <c r="B21918" i="3"/>
  <c r="D21917" i="3"/>
  <c r="C21917" i="3"/>
  <c r="B21917" i="3"/>
  <c r="D21916" i="3"/>
  <c r="C21916" i="3"/>
  <c r="B21916" i="3"/>
  <c r="D21915" i="3"/>
  <c r="C21915" i="3"/>
  <c r="B21915" i="3"/>
  <c r="D21914" i="3"/>
  <c r="C21914" i="3"/>
  <c r="B21914" i="3"/>
  <c r="D21913" i="3"/>
  <c r="C21913" i="3"/>
  <c r="B21913" i="3"/>
  <c r="D21912" i="3"/>
  <c r="C21912" i="3"/>
  <c r="B21912" i="3"/>
  <c r="D21911" i="3"/>
  <c r="C21911" i="3"/>
  <c r="B21911" i="3"/>
  <c r="D21910" i="3"/>
  <c r="C21910" i="3"/>
  <c r="B21910" i="3"/>
  <c r="D21909" i="3"/>
  <c r="C21909" i="3"/>
  <c r="B21909" i="3"/>
  <c r="D21908" i="3"/>
  <c r="C21908" i="3"/>
  <c r="B21908" i="3"/>
  <c r="D21907" i="3"/>
  <c r="C21907" i="3"/>
  <c r="B21907" i="3"/>
  <c r="D21906" i="3"/>
  <c r="C21906" i="3"/>
  <c r="B21906" i="3"/>
  <c r="D21905" i="3"/>
  <c r="C21905" i="3"/>
  <c r="B21905" i="3"/>
  <c r="D21904" i="3"/>
  <c r="C21904" i="3"/>
  <c r="B21904" i="3"/>
  <c r="D21903" i="3"/>
  <c r="C21903" i="3"/>
  <c r="B21903" i="3"/>
  <c r="D21902" i="3"/>
  <c r="C21902" i="3"/>
  <c r="B21902" i="3"/>
  <c r="D21901" i="3"/>
  <c r="C21901" i="3"/>
  <c r="B21901" i="3"/>
  <c r="D21900" i="3"/>
  <c r="C21900" i="3"/>
  <c r="B21900" i="3"/>
  <c r="D21899" i="3"/>
  <c r="C21899" i="3"/>
  <c r="B21899" i="3"/>
  <c r="D21898" i="3"/>
  <c r="C21898" i="3"/>
  <c r="B21898" i="3"/>
  <c r="D21897" i="3"/>
  <c r="C21897" i="3"/>
  <c r="B21897" i="3"/>
  <c r="D21896" i="3"/>
  <c r="C21896" i="3"/>
  <c r="B21896" i="3"/>
  <c r="D21895" i="3"/>
  <c r="C21895" i="3"/>
  <c r="B21895" i="3"/>
  <c r="D21894" i="3"/>
  <c r="C21894" i="3"/>
  <c r="B21894" i="3"/>
  <c r="D21893" i="3"/>
  <c r="C21893" i="3"/>
  <c r="B21893" i="3"/>
  <c r="D21892" i="3"/>
  <c r="C21892" i="3"/>
  <c r="B21892" i="3"/>
  <c r="D21891" i="3"/>
  <c r="C21891" i="3"/>
  <c r="B21891" i="3"/>
  <c r="D21890" i="3"/>
  <c r="C21890" i="3"/>
  <c r="B21890" i="3"/>
  <c r="D21889" i="3"/>
  <c r="C21889" i="3"/>
  <c r="B21889" i="3"/>
  <c r="D21888" i="3"/>
  <c r="C21888" i="3"/>
  <c r="B21888" i="3"/>
  <c r="D21887" i="3"/>
  <c r="C21887" i="3"/>
  <c r="B21887" i="3"/>
  <c r="D21886" i="3"/>
  <c r="C21886" i="3"/>
  <c r="B21886" i="3"/>
  <c r="D21885" i="3"/>
  <c r="C21885" i="3"/>
  <c r="B21885" i="3"/>
  <c r="D21884" i="3"/>
  <c r="C21884" i="3"/>
  <c r="B21884" i="3"/>
  <c r="D21883" i="3"/>
  <c r="C21883" i="3"/>
  <c r="B21883" i="3"/>
  <c r="D21882" i="3"/>
  <c r="C21882" i="3"/>
  <c r="B21882" i="3"/>
  <c r="D21881" i="3"/>
  <c r="C21881" i="3"/>
  <c r="B21881" i="3"/>
  <c r="D21880" i="3"/>
  <c r="C21880" i="3"/>
  <c r="B21880" i="3"/>
  <c r="D21879" i="3"/>
  <c r="C21879" i="3"/>
  <c r="B21879" i="3"/>
  <c r="D21878" i="3"/>
  <c r="C21878" i="3"/>
  <c r="B21878" i="3"/>
  <c r="D21877" i="3"/>
  <c r="C21877" i="3"/>
  <c r="B21877" i="3"/>
  <c r="D21876" i="3"/>
  <c r="C21876" i="3"/>
  <c r="B21876" i="3"/>
  <c r="D21875" i="3"/>
  <c r="C21875" i="3"/>
  <c r="B21875" i="3"/>
  <c r="D21874" i="3"/>
  <c r="C21874" i="3"/>
  <c r="B21874" i="3"/>
  <c r="D21873" i="3"/>
  <c r="C21873" i="3"/>
  <c r="B21873" i="3"/>
  <c r="D21872" i="3"/>
  <c r="C21872" i="3"/>
  <c r="B21872" i="3"/>
  <c r="D21871" i="3"/>
  <c r="C21871" i="3"/>
  <c r="B21871" i="3"/>
  <c r="D21870" i="3"/>
  <c r="C21870" i="3"/>
  <c r="B21870" i="3"/>
  <c r="D21869" i="3"/>
  <c r="C21869" i="3"/>
  <c r="B21869" i="3"/>
  <c r="D21868" i="3"/>
  <c r="C21868" i="3"/>
  <c r="B21868" i="3"/>
  <c r="D21867" i="3"/>
  <c r="C21867" i="3"/>
  <c r="B21867" i="3"/>
  <c r="D21866" i="3"/>
  <c r="C21866" i="3"/>
  <c r="B21866" i="3"/>
  <c r="D21865" i="3"/>
  <c r="C21865" i="3"/>
  <c r="B21865" i="3"/>
  <c r="D21864" i="3"/>
  <c r="C21864" i="3"/>
  <c r="B21864" i="3"/>
  <c r="D21863" i="3"/>
  <c r="C21863" i="3"/>
  <c r="B21863" i="3"/>
  <c r="D21862" i="3"/>
  <c r="C21862" i="3"/>
  <c r="B21862" i="3"/>
  <c r="D21861" i="3"/>
  <c r="C21861" i="3"/>
  <c r="B21861" i="3"/>
  <c r="D21860" i="3"/>
  <c r="C21860" i="3"/>
  <c r="B21860" i="3"/>
  <c r="D21859" i="3"/>
  <c r="C21859" i="3"/>
  <c r="B21859" i="3"/>
  <c r="D21858" i="3"/>
  <c r="C21858" i="3"/>
  <c r="B21858" i="3"/>
  <c r="D21857" i="3"/>
  <c r="C21857" i="3"/>
  <c r="B21857" i="3"/>
  <c r="D21856" i="3"/>
  <c r="C21856" i="3"/>
  <c r="B21856" i="3"/>
  <c r="D21855" i="3"/>
  <c r="C21855" i="3"/>
  <c r="B21855" i="3"/>
  <c r="D21854" i="3"/>
  <c r="C21854" i="3"/>
  <c r="B21854" i="3"/>
  <c r="D21853" i="3"/>
  <c r="C21853" i="3"/>
  <c r="B21853" i="3"/>
  <c r="D21852" i="3"/>
  <c r="C21852" i="3"/>
  <c r="B21852" i="3"/>
  <c r="D21851" i="3"/>
  <c r="C21851" i="3"/>
  <c r="B21851" i="3"/>
  <c r="D21850" i="3"/>
  <c r="C21850" i="3"/>
  <c r="B21850" i="3"/>
  <c r="D21849" i="3"/>
  <c r="C21849" i="3"/>
  <c r="B21849" i="3"/>
  <c r="D21848" i="3"/>
  <c r="C21848" i="3"/>
  <c r="B21848" i="3"/>
  <c r="D21847" i="3"/>
  <c r="C21847" i="3"/>
  <c r="B21847" i="3"/>
  <c r="D21846" i="3"/>
  <c r="C21846" i="3"/>
  <c r="B21846" i="3"/>
  <c r="D21845" i="3"/>
  <c r="C21845" i="3"/>
  <c r="B21845" i="3"/>
  <c r="D21844" i="3"/>
  <c r="C21844" i="3"/>
  <c r="B21844" i="3"/>
  <c r="D21843" i="3"/>
  <c r="C21843" i="3"/>
  <c r="B21843" i="3"/>
  <c r="D21842" i="3"/>
  <c r="C21842" i="3"/>
  <c r="B21842" i="3"/>
  <c r="D21841" i="3"/>
  <c r="C21841" i="3"/>
  <c r="B21841" i="3"/>
  <c r="D21840" i="3"/>
  <c r="C21840" i="3"/>
  <c r="B21840" i="3"/>
  <c r="D21839" i="3"/>
  <c r="C21839" i="3"/>
  <c r="B21839" i="3"/>
  <c r="D21838" i="3"/>
  <c r="C21838" i="3"/>
  <c r="B21838" i="3"/>
  <c r="D21837" i="3"/>
  <c r="C21837" i="3"/>
  <c r="B21837" i="3"/>
  <c r="D21836" i="3"/>
  <c r="C21836" i="3"/>
  <c r="B21836" i="3"/>
  <c r="D21835" i="3"/>
  <c r="C21835" i="3"/>
  <c r="B21835" i="3"/>
  <c r="D21834" i="3"/>
  <c r="C21834" i="3"/>
  <c r="B21834" i="3"/>
  <c r="D21833" i="3"/>
  <c r="C21833" i="3"/>
  <c r="B21833" i="3"/>
  <c r="D21832" i="3"/>
  <c r="C21832" i="3"/>
  <c r="B21832" i="3"/>
  <c r="D21831" i="3"/>
  <c r="C21831" i="3"/>
  <c r="B21831" i="3"/>
  <c r="D21830" i="3"/>
  <c r="C21830" i="3"/>
  <c r="B21830" i="3"/>
  <c r="D21829" i="3"/>
  <c r="C21829" i="3"/>
  <c r="B21829" i="3"/>
  <c r="D21828" i="3"/>
  <c r="C21828" i="3"/>
  <c r="B21828" i="3"/>
  <c r="D21827" i="3"/>
  <c r="C21827" i="3"/>
  <c r="B21827" i="3"/>
  <c r="D21826" i="3"/>
  <c r="C21826" i="3"/>
  <c r="B21826" i="3"/>
  <c r="D21825" i="3"/>
  <c r="C21825" i="3"/>
  <c r="B21825" i="3"/>
  <c r="D21824" i="3"/>
  <c r="C21824" i="3"/>
  <c r="B21824" i="3"/>
  <c r="D21823" i="3"/>
  <c r="C21823" i="3"/>
  <c r="B21823" i="3"/>
  <c r="D21822" i="3"/>
  <c r="C21822" i="3"/>
  <c r="B21822" i="3"/>
  <c r="D21821" i="3"/>
  <c r="C21821" i="3"/>
  <c r="B21821" i="3"/>
  <c r="D21820" i="3"/>
  <c r="C21820" i="3"/>
  <c r="B21820" i="3"/>
  <c r="D21819" i="3"/>
  <c r="C21819" i="3"/>
  <c r="B21819" i="3"/>
  <c r="D21818" i="3"/>
  <c r="C21818" i="3"/>
  <c r="B21818" i="3"/>
  <c r="D21817" i="3"/>
  <c r="C21817" i="3"/>
  <c r="B21817" i="3"/>
  <c r="D21816" i="3"/>
  <c r="C21816" i="3"/>
  <c r="B21816" i="3"/>
  <c r="D21815" i="3"/>
  <c r="C21815" i="3"/>
  <c r="B21815" i="3"/>
  <c r="D21814" i="3"/>
  <c r="C21814" i="3"/>
  <c r="B21814" i="3"/>
  <c r="D21813" i="3"/>
  <c r="C21813" i="3"/>
  <c r="B21813" i="3"/>
  <c r="D21812" i="3"/>
  <c r="C21812" i="3"/>
  <c r="B21812" i="3"/>
  <c r="D21811" i="3"/>
  <c r="C21811" i="3"/>
  <c r="B21811" i="3"/>
  <c r="D21810" i="3"/>
  <c r="C21810" i="3"/>
  <c r="B21810" i="3"/>
  <c r="D21809" i="3"/>
  <c r="C21809" i="3"/>
  <c r="B21809" i="3"/>
  <c r="D21808" i="3"/>
  <c r="C21808" i="3"/>
  <c r="B21808" i="3"/>
  <c r="D21807" i="3"/>
  <c r="C21807" i="3"/>
  <c r="B21807" i="3"/>
  <c r="D21806" i="3"/>
  <c r="C21806" i="3"/>
  <c r="B21806" i="3"/>
  <c r="D21805" i="3"/>
  <c r="C21805" i="3"/>
  <c r="B21805" i="3"/>
  <c r="D21804" i="3"/>
  <c r="C21804" i="3"/>
  <c r="B21804" i="3"/>
  <c r="D21803" i="3"/>
  <c r="C21803" i="3"/>
  <c r="B21803" i="3"/>
  <c r="D21802" i="3"/>
  <c r="C21802" i="3"/>
  <c r="B21802" i="3"/>
  <c r="D21801" i="3"/>
  <c r="C21801" i="3"/>
  <c r="B21801" i="3"/>
  <c r="D21800" i="3"/>
  <c r="C21800" i="3"/>
  <c r="B21800" i="3"/>
  <c r="D21799" i="3"/>
  <c r="C21799" i="3"/>
  <c r="B21799" i="3"/>
  <c r="D21798" i="3"/>
  <c r="C21798" i="3"/>
  <c r="B21798" i="3"/>
  <c r="D21797" i="3"/>
  <c r="C21797" i="3"/>
  <c r="B21797" i="3"/>
  <c r="D21796" i="3"/>
  <c r="C21796" i="3"/>
  <c r="B21796" i="3"/>
  <c r="D21795" i="3"/>
  <c r="C21795" i="3"/>
  <c r="B21795" i="3"/>
  <c r="D21794" i="3"/>
  <c r="C21794" i="3"/>
  <c r="B21794" i="3"/>
  <c r="D21793" i="3"/>
  <c r="C21793" i="3"/>
  <c r="B21793" i="3"/>
  <c r="D21792" i="3"/>
  <c r="C21792" i="3"/>
  <c r="B21792" i="3"/>
  <c r="D21791" i="3"/>
  <c r="C21791" i="3"/>
  <c r="B21791" i="3"/>
  <c r="D21790" i="3"/>
  <c r="C21790" i="3"/>
  <c r="B21790" i="3"/>
  <c r="D21789" i="3"/>
  <c r="C21789" i="3"/>
  <c r="B21789" i="3"/>
  <c r="D21788" i="3"/>
  <c r="C21788" i="3"/>
  <c r="B21788" i="3"/>
  <c r="D21787" i="3"/>
  <c r="C21787" i="3"/>
  <c r="B21787" i="3"/>
  <c r="D21786" i="3"/>
  <c r="C21786" i="3"/>
  <c r="B21786" i="3"/>
  <c r="D21785" i="3"/>
  <c r="C21785" i="3"/>
  <c r="B21785" i="3"/>
  <c r="D21784" i="3"/>
  <c r="C21784" i="3"/>
  <c r="B21784" i="3"/>
  <c r="D21783" i="3"/>
  <c r="C21783" i="3"/>
  <c r="B21783" i="3"/>
  <c r="D21782" i="3"/>
  <c r="C21782" i="3"/>
  <c r="B21782" i="3"/>
  <c r="D21781" i="3"/>
  <c r="C21781" i="3"/>
  <c r="B21781" i="3"/>
  <c r="D21780" i="3"/>
  <c r="C21780" i="3"/>
  <c r="B21780" i="3"/>
  <c r="D21779" i="3"/>
  <c r="C21779" i="3"/>
  <c r="B21779" i="3"/>
  <c r="D21778" i="3"/>
  <c r="C21778" i="3"/>
  <c r="B21778" i="3"/>
  <c r="D21777" i="3"/>
  <c r="C21777" i="3"/>
  <c r="B21777" i="3"/>
  <c r="D21776" i="3"/>
  <c r="C21776" i="3"/>
  <c r="B21776" i="3"/>
  <c r="D21775" i="3"/>
  <c r="C21775" i="3"/>
  <c r="B21775" i="3"/>
  <c r="D21774" i="3"/>
  <c r="C21774" i="3"/>
  <c r="B21774" i="3"/>
  <c r="D21773" i="3"/>
  <c r="C21773" i="3"/>
  <c r="B21773" i="3"/>
  <c r="D21772" i="3"/>
  <c r="C21772" i="3"/>
  <c r="B21772" i="3"/>
  <c r="D21771" i="3"/>
  <c r="C21771" i="3"/>
  <c r="B21771" i="3"/>
  <c r="D21770" i="3"/>
  <c r="C21770" i="3"/>
  <c r="B21770" i="3"/>
  <c r="D21769" i="3"/>
  <c r="C21769" i="3"/>
  <c r="B21769" i="3"/>
  <c r="D21768" i="3"/>
  <c r="C21768" i="3"/>
  <c r="B21768" i="3"/>
  <c r="D21767" i="3"/>
  <c r="C21767" i="3"/>
  <c r="B21767" i="3"/>
  <c r="D21766" i="3"/>
  <c r="C21766" i="3"/>
  <c r="B21766" i="3"/>
  <c r="D21765" i="3"/>
  <c r="C21765" i="3"/>
  <c r="B21765" i="3"/>
  <c r="D21764" i="3"/>
  <c r="C21764" i="3"/>
  <c r="B21764" i="3"/>
  <c r="D21763" i="3"/>
  <c r="C21763" i="3"/>
  <c r="B21763" i="3"/>
  <c r="D21762" i="3"/>
  <c r="C21762" i="3"/>
  <c r="B21762" i="3"/>
  <c r="D21761" i="3"/>
  <c r="C21761" i="3"/>
  <c r="B21761" i="3"/>
  <c r="D21760" i="3"/>
  <c r="C21760" i="3"/>
  <c r="B21760" i="3"/>
  <c r="D21759" i="3"/>
  <c r="C21759" i="3"/>
  <c r="B21759" i="3"/>
  <c r="D21758" i="3"/>
  <c r="C21758" i="3"/>
  <c r="B21758" i="3"/>
  <c r="D21757" i="3"/>
  <c r="C21757" i="3"/>
  <c r="B21757" i="3"/>
  <c r="D21756" i="3"/>
  <c r="C21756" i="3"/>
  <c r="B21756" i="3"/>
  <c r="D21755" i="3"/>
  <c r="C21755" i="3"/>
  <c r="B21755" i="3"/>
  <c r="D21754" i="3"/>
  <c r="C21754" i="3"/>
  <c r="B21754" i="3"/>
  <c r="D21753" i="3"/>
  <c r="C21753" i="3"/>
  <c r="B21753" i="3"/>
  <c r="D21752" i="3"/>
  <c r="C21752" i="3"/>
  <c r="B21752" i="3"/>
  <c r="D21751" i="3"/>
  <c r="C21751" i="3"/>
  <c r="B21751" i="3"/>
  <c r="D21750" i="3"/>
  <c r="C21750" i="3"/>
  <c r="B21750" i="3"/>
  <c r="D21749" i="3"/>
  <c r="C21749" i="3"/>
  <c r="B21749" i="3"/>
  <c r="D21748" i="3"/>
  <c r="C21748" i="3"/>
  <c r="B21748" i="3"/>
  <c r="D21747" i="3"/>
  <c r="C21747" i="3"/>
  <c r="B21747" i="3"/>
  <c r="D21746" i="3"/>
  <c r="C21746" i="3"/>
  <c r="B21746" i="3"/>
  <c r="D21745" i="3"/>
  <c r="C21745" i="3"/>
  <c r="B21745" i="3"/>
  <c r="D21744" i="3"/>
  <c r="C21744" i="3"/>
  <c r="B21744" i="3"/>
  <c r="D21743" i="3"/>
  <c r="C21743" i="3"/>
  <c r="B21743" i="3"/>
  <c r="D21742" i="3"/>
  <c r="C21742" i="3"/>
  <c r="B21742" i="3"/>
  <c r="D21741" i="3"/>
  <c r="C21741" i="3"/>
  <c r="B21741" i="3"/>
  <c r="D21740" i="3"/>
  <c r="C21740" i="3"/>
  <c r="B21740" i="3"/>
  <c r="D21739" i="3"/>
  <c r="C21739" i="3"/>
  <c r="B21739" i="3"/>
  <c r="D21738" i="3"/>
  <c r="C21738" i="3"/>
  <c r="B21738" i="3"/>
  <c r="D21737" i="3"/>
  <c r="C21737" i="3"/>
  <c r="B21737" i="3"/>
  <c r="D21736" i="3"/>
  <c r="C21736" i="3"/>
  <c r="B21736" i="3"/>
  <c r="D21735" i="3"/>
  <c r="C21735" i="3"/>
  <c r="B21735" i="3"/>
  <c r="D21734" i="3"/>
  <c r="C21734" i="3"/>
  <c r="B21734" i="3"/>
  <c r="D21733" i="3"/>
  <c r="C21733" i="3"/>
  <c r="B21733" i="3"/>
  <c r="D21732" i="3"/>
  <c r="C21732" i="3"/>
  <c r="B21732" i="3"/>
  <c r="D21731" i="3"/>
  <c r="C21731" i="3"/>
  <c r="B21731" i="3"/>
  <c r="D21730" i="3"/>
  <c r="C21730" i="3"/>
  <c r="B21730" i="3"/>
  <c r="D21729" i="3"/>
  <c r="C21729" i="3"/>
  <c r="B21729" i="3"/>
  <c r="D21728" i="3"/>
  <c r="C21728" i="3"/>
  <c r="B21728" i="3"/>
  <c r="D21727" i="3"/>
  <c r="C21727" i="3"/>
  <c r="B21727" i="3"/>
  <c r="D21726" i="3"/>
  <c r="C21726" i="3"/>
  <c r="B21726" i="3"/>
  <c r="D21725" i="3"/>
  <c r="C21725" i="3"/>
  <c r="B21725" i="3"/>
  <c r="D21724" i="3"/>
  <c r="C21724" i="3"/>
  <c r="B21724" i="3"/>
  <c r="D21723" i="3"/>
  <c r="C21723" i="3"/>
  <c r="B21723" i="3"/>
  <c r="D21722" i="3"/>
  <c r="C21722" i="3"/>
  <c r="B21722" i="3"/>
  <c r="D21721" i="3"/>
  <c r="C21721" i="3"/>
  <c r="B21721" i="3"/>
  <c r="D21720" i="3"/>
  <c r="C21720" i="3"/>
  <c r="B21720" i="3"/>
  <c r="D21719" i="3"/>
  <c r="C21719" i="3"/>
  <c r="B21719" i="3"/>
  <c r="D21718" i="3"/>
  <c r="C21718" i="3"/>
  <c r="B21718" i="3"/>
  <c r="D21717" i="3"/>
  <c r="C21717" i="3"/>
  <c r="B21717" i="3"/>
  <c r="D21716" i="3"/>
  <c r="C21716" i="3"/>
  <c r="B21716" i="3"/>
  <c r="D21715" i="3"/>
  <c r="C21715" i="3"/>
  <c r="B21715" i="3"/>
  <c r="D21714" i="3"/>
  <c r="C21714" i="3"/>
  <c r="B21714" i="3"/>
  <c r="D21713" i="3"/>
  <c r="C21713" i="3"/>
  <c r="B21713" i="3"/>
  <c r="D21712" i="3"/>
  <c r="C21712" i="3"/>
  <c r="B21712" i="3"/>
  <c r="D21711" i="3"/>
  <c r="C21711" i="3"/>
  <c r="B21711" i="3"/>
  <c r="D21710" i="3"/>
  <c r="C21710" i="3"/>
  <c r="B21710" i="3"/>
  <c r="D21709" i="3"/>
  <c r="C21709" i="3"/>
  <c r="B21709" i="3"/>
  <c r="D21708" i="3"/>
  <c r="C21708" i="3"/>
  <c r="B21708" i="3"/>
  <c r="D21707" i="3"/>
  <c r="C21707" i="3"/>
  <c r="B21707" i="3"/>
  <c r="D21706" i="3"/>
  <c r="C21706" i="3"/>
  <c r="B21706" i="3"/>
  <c r="D21705" i="3"/>
  <c r="C21705" i="3"/>
  <c r="B21705" i="3"/>
  <c r="D21704" i="3"/>
  <c r="C21704" i="3"/>
  <c r="B21704" i="3"/>
  <c r="D21703" i="3"/>
  <c r="C21703" i="3"/>
  <c r="B21703" i="3"/>
  <c r="D21702" i="3"/>
  <c r="C21702" i="3"/>
  <c r="B21702" i="3"/>
  <c r="D21701" i="3"/>
  <c r="C21701" i="3"/>
  <c r="B21701" i="3"/>
  <c r="D21700" i="3"/>
  <c r="C21700" i="3"/>
  <c r="B21700" i="3"/>
  <c r="D21699" i="3"/>
  <c r="C21699" i="3"/>
  <c r="B21699" i="3"/>
  <c r="D21698" i="3"/>
  <c r="C21698" i="3"/>
  <c r="B21698" i="3"/>
  <c r="D21697" i="3"/>
  <c r="C21697" i="3"/>
  <c r="B21697" i="3"/>
  <c r="D21696" i="3"/>
  <c r="C21696" i="3"/>
  <c r="B21696" i="3"/>
  <c r="D21695" i="3"/>
  <c r="C21695" i="3"/>
  <c r="B21695" i="3"/>
  <c r="D21694" i="3"/>
  <c r="C21694" i="3"/>
  <c r="B21694" i="3"/>
  <c r="D21693" i="3"/>
  <c r="C21693" i="3"/>
  <c r="B21693" i="3"/>
  <c r="D21692" i="3"/>
  <c r="C21692" i="3"/>
  <c r="B21692" i="3"/>
  <c r="D21691" i="3"/>
  <c r="C21691" i="3"/>
  <c r="B21691" i="3"/>
  <c r="D21690" i="3"/>
  <c r="C21690" i="3"/>
  <c r="B21690" i="3"/>
  <c r="D21689" i="3"/>
  <c r="C21689" i="3"/>
  <c r="B21689" i="3"/>
  <c r="D21688" i="3"/>
  <c r="C21688" i="3"/>
  <c r="B21688" i="3"/>
  <c r="D21687" i="3"/>
  <c r="C21687" i="3"/>
  <c r="B21687" i="3"/>
  <c r="D21686" i="3"/>
  <c r="C21686" i="3"/>
  <c r="B21686" i="3"/>
  <c r="D21685" i="3"/>
  <c r="C21685" i="3"/>
  <c r="B21685" i="3"/>
  <c r="D21684" i="3"/>
  <c r="C21684" i="3"/>
  <c r="B21684" i="3"/>
  <c r="D21683" i="3"/>
  <c r="C21683" i="3"/>
  <c r="B21683" i="3"/>
  <c r="D21682" i="3"/>
  <c r="C21682" i="3"/>
  <c r="B21682" i="3"/>
  <c r="D21681" i="3"/>
  <c r="C21681" i="3"/>
  <c r="B21681" i="3"/>
  <c r="D21680" i="3"/>
  <c r="C21680" i="3"/>
  <c r="B21680" i="3"/>
  <c r="D21679" i="3"/>
  <c r="C21679" i="3"/>
  <c r="B21679" i="3"/>
  <c r="D21678" i="3"/>
  <c r="C21678" i="3"/>
  <c r="B21678" i="3"/>
  <c r="D21677" i="3"/>
  <c r="C21677" i="3"/>
  <c r="B21677" i="3"/>
  <c r="D21676" i="3"/>
  <c r="C21676" i="3"/>
  <c r="B21676" i="3"/>
  <c r="D21675" i="3"/>
  <c r="C21675" i="3"/>
  <c r="B21675" i="3"/>
  <c r="D21674" i="3"/>
  <c r="C21674" i="3"/>
  <c r="B21674" i="3"/>
  <c r="D21673" i="3"/>
  <c r="C21673" i="3"/>
  <c r="B21673" i="3"/>
  <c r="D21672" i="3"/>
  <c r="C21672" i="3"/>
  <c r="B21672" i="3"/>
  <c r="D21671" i="3"/>
  <c r="C21671" i="3"/>
  <c r="B21671" i="3"/>
  <c r="D21670" i="3"/>
  <c r="C21670" i="3"/>
  <c r="B21670" i="3"/>
  <c r="D21669" i="3"/>
  <c r="C21669" i="3"/>
  <c r="B21669" i="3"/>
  <c r="D21668" i="3"/>
  <c r="C21668" i="3"/>
  <c r="B21668" i="3"/>
  <c r="D21667" i="3"/>
  <c r="C21667" i="3"/>
  <c r="B21667" i="3"/>
  <c r="D21666" i="3"/>
  <c r="C21666" i="3"/>
  <c r="B21666" i="3"/>
  <c r="D21665" i="3"/>
  <c r="C21665" i="3"/>
  <c r="B21665" i="3"/>
  <c r="D21664" i="3"/>
  <c r="C21664" i="3"/>
  <c r="B21664" i="3"/>
  <c r="D21663" i="3"/>
  <c r="C21663" i="3"/>
  <c r="B21663" i="3"/>
  <c r="D21662" i="3"/>
  <c r="C21662" i="3"/>
  <c r="B21662" i="3"/>
  <c r="D21661" i="3"/>
  <c r="C21661" i="3"/>
  <c r="B21661" i="3"/>
  <c r="D21660" i="3"/>
  <c r="C21660" i="3"/>
  <c r="B21660" i="3"/>
  <c r="D21659" i="3"/>
  <c r="C21659" i="3"/>
  <c r="B21659" i="3"/>
  <c r="D21658" i="3"/>
  <c r="C21658" i="3"/>
  <c r="B21658" i="3"/>
  <c r="D21657" i="3"/>
  <c r="C21657" i="3"/>
  <c r="B21657" i="3"/>
  <c r="D21656" i="3"/>
  <c r="C21656" i="3"/>
  <c r="B21656" i="3"/>
  <c r="D21655" i="3"/>
  <c r="C21655" i="3"/>
  <c r="B21655" i="3"/>
  <c r="D21654" i="3"/>
  <c r="C21654" i="3"/>
  <c r="B21654" i="3"/>
  <c r="D21653" i="3"/>
  <c r="C21653" i="3"/>
  <c r="B21653" i="3"/>
  <c r="D21652" i="3"/>
  <c r="C21652" i="3"/>
  <c r="B21652" i="3"/>
  <c r="D21651" i="3"/>
  <c r="C21651" i="3"/>
  <c r="B21651" i="3"/>
  <c r="D21650" i="3"/>
  <c r="C21650" i="3"/>
  <c r="B21650" i="3"/>
  <c r="D21649" i="3"/>
  <c r="C21649" i="3"/>
  <c r="B21649" i="3"/>
  <c r="D21648" i="3"/>
  <c r="C21648" i="3"/>
  <c r="B21648" i="3"/>
  <c r="D21647" i="3"/>
  <c r="C21647" i="3"/>
  <c r="B21647" i="3"/>
  <c r="D21646" i="3"/>
  <c r="C21646" i="3"/>
  <c r="B21646" i="3"/>
  <c r="D21645" i="3"/>
  <c r="C21645" i="3"/>
  <c r="B21645" i="3"/>
  <c r="D21644" i="3"/>
  <c r="C21644" i="3"/>
  <c r="B21644" i="3"/>
  <c r="D21643" i="3"/>
  <c r="C21643" i="3"/>
  <c r="B21643" i="3"/>
  <c r="D21642" i="3"/>
  <c r="C21642" i="3"/>
  <c r="B21642" i="3"/>
  <c r="D21641" i="3"/>
  <c r="C21641" i="3"/>
  <c r="B21641" i="3"/>
  <c r="D21640" i="3"/>
  <c r="C21640" i="3"/>
  <c r="B21640" i="3"/>
  <c r="D21639" i="3"/>
  <c r="C21639" i="3"/>
  <c r="B21639" i="3"/>
  <c r="D21638" i="3"/>
  <c r="C21638" i="3"/>
  <c r="B21638" i="3"/>
  <c r="D21637" i="3"/>
  <c r="C21637" i="3"/>
  <c r="B21637" i="3"/>
  <c r="D21636" i="3"/>
  <c r="C21636" i="3"/>
  <c r="B21636" i="3"/>
  <c r="D21635" i="3"/>
  <c r="C21635" i="3"/>
  <c r="B21635" i="3"/>
  <c r="D21634" i="3"/>
  <c r="C21634" i="3"/>
  <c r="B21634" i="3"/>
  <c r="D21633" i="3"/>
  <c r="C21633" i="3"/>
  <c r="B21633" i="3"/>
  <c r="D21632" i="3"/>
  <c r="C21632" i="3"/>
  <c r="B21632" i="3"/>
  <c r="D21631" i="3"/>
  <c r="C21631" i="3"/>
  <c r="B21631" i="3"/>
  <c r="D21630" i="3"/>
  <c r="C21630" i="3"/>
  <c r="B21630" i="3"/>
  <c r="D21629" i="3"/>
  <c r="C21629" i="3"/>
  <c r="B21629" i="3"/>
  <c r="D21628" i="3"/>
  <c r="C21628" i="3"/>
  <c r="B21628" i="3"/>
  <c r="D21627" i="3"/>
  <c r="C21627" i="3"/>
  <c r="B21627" i="3"/>
  <c r="D21626" i="3"/>
  <c r="C21626" i="3"/>
  <c r="B21626" i="3"/>
  <c r="D21625" i="3"/>
  <c r="C21625" i="3"/>
  <c r="B21625" i="3"/>
  <c r="D21624" i="3"/>
  <c r="C21624" i="3"/>
  <c r="B21624" i="3"/>
  <c r="D21623" i="3"/>
  <c r="C21623" i="3"/>
  <c r="B21623" i="3"/>
  <c r="D21622" i="3"/>
  <c r="C21622" i="3"/>
  <c r="B21622" i="3"/>
  <c r="D21621" i="3"/>
  <c r="C21621" i="3"/>
  <c r="B21621" i="3"/>
  <c r="D21620" i="3"/>
  <c r="C21620" i="3"/>
  <c r="B21620" i="3"/>
  <c r="D21619" i="3"/>
  <c r="C21619" i="3"/>
  <c r="B21619" i="3"/>
  <c r="D21618" i="3"/>
  <c r="C21618" i="3"/>
  <c r="B21618" i="3"/>
  <c r="D21617" i="3"/>
  <c r="C21617" i="3"/>
  <c r="B21617" i="3"/>
  <c r="D21616" i="3"/>
  <c r="C21616" i="3"/>
  <c r="B21616" i="3"/>
  <c r="D21615" i="3"/>
  <c r="C21615" i="3"/>
  <c r="B21615" i="3"/>
  <c r="D21614" i="3"/>
  <c r="C21614" i="3"/>
  <c r="B21614" i="3"/>
  <c r="D21613" i="3"/>
  <c r="C21613" i="3"/>
  <c r="B21613" i="3"/>
  <c r="D21612" i="3"/>
  <c r="C21612" i="3"/>
  <c r="B21612" i="3"/>
  <c r="D21611" i="3"/>
  <c r="C21611" i="3"/>
  <c r="B21611" i="3"/>
  <c r="D21610" i="3"/>
  <c r="C21610" i="3"/>
  <c r="B21610" i="3"/>
  <c r="D21609" i="3"/>
  <c r="C21609" i="3"/>
  <c r="B21609" i="3"/>
  <c r="D21608" i="3"/>
  <c r="C21608" i="3"/>
  <c r="B21608" i="3"/>
  <c r="D21607" i="3"/>
  <c r="C21607" i="3"/>
  <c r="B21607" i="3"/>
  <c r="D21606" i="3"/>
  <c r="C21606" i="3"/>
  <c r="B21606" i="3"/>
  <c r="D21605" i="3"/>
  <c r="C21605" i="3"/>
  <c r="B21605" i="3"/>
  <c r="D21604" i="3"/>
  <c r="C21604" i="3"/>
  <c r="B21604" i="3"/>
  <c r="D21603" i="3"/>
  <c r="C21603" i="3"/>
  <c r="B21603" i="3"/>
  <c r="D21602" i="3"/>
  <c r="C21602" i="3"/>
  <c r="B21602" i="3"/>
  <c r="D21601" i="3"/>
  <c r="C21601" i="3"/>
  <c r="B21601" i="3"/>
  <c r="D21600" i="3"/>
  <c r="C21600" i="3"/>
  <c r="B21600" i="3"/>
  <c r="D21599" i="3"/>
  <c r="C21599" i="3"/>
  <c r="B21599" i="3"/>
  <c r="D21598" i="3"/>
  <c r="C21598" i="3"/>
  <c r="B21598" i="3"/>
  <c r="D21597" i="3"/>
  <c r="C21597" i="3"/>
  <c r="B21597" i="3"/>
  <c r="D21596" i="3"/>
  <c r="C21596" i="3"/>
  <c r="B21596" i="3"/>
  <c r="D21595" i="3"/>
  <c r="C21595" i="3"/>
  <c r="B21595" i="3"/>
  <c r="D21594" i="3"/>
  <c r="C21594" i="3"/>
  <c r="B21594" i="3"/>
  <c r="D21593" i="3"/>
  <c r="C21593" i="3"/>
  <c r="B21593" i="3"/>
  <c r="D21592" i="3"/>
  <c r="C21592" i="3"/>
  <c r="B21592" i="3"/>
  <c r="D21591" i="3"/>
  <c r="C21591" i="3"/>
  <c r="B21591" i="3"/>
  <c r="D21590" i="3"/>
  <c r="C21590" i="3"/>
  <c r="B21590" i="3"/>
  <c r="D21589" i="3"/>
  <c r="C21589" i="3"/>
  <c r="B21589" i="3"/>
  <c r="D21588" i="3"/>
  <c r="C21588" i="3"/>
  <c r="B21588" i="3"/>
  <c r="D21587" i="3"/>
  <c r="C21587" i="3"/>
  <c r="B21587" i="3"/>
  <c r="D21586" i="3"/>
  <c r="C21586" i="3"/>
  <c r="B21586" i="3"/>
  <c r="D21585" i="3"/>
  <c r="C21585" i="3"/>
  <c r="B21585" i="3"/>
  <c r="D21584" i="3"/>
  <c r="C21584" i="3"/>
  <c r="B21584" i="3"/>
  <c r="D21583" i="3"/>
  <c r="C21583" i="3"/>
  <c r="B21583" i="3"/>
  <c r="D21582" i="3"/>
  <c r="C21582" i="3"/>
  <c r="B21582" i="3"/>
  <c r="D21581" i="3"/>
  <c r="C21581" i="3"/>
  <c r="B21581" i="3"/>
  <c r="D21580" i="3"/>
  <c r="C21580" i="3"/>
  <c r="B21580" i="3"/>
  <c r="D21579" i="3"/>
  <c r="C21579" i="3"/>
  <c r="B21579" i="3"/>
  <c r="D21578" i="3"/>
  <c r="C21578" i="3"/>
  <c r="B21578" i="3"/>
  <c r="D21577" i="3"/>
  <c r="C21577" i="3"/>
  <c r="B21577" i="3"/>
  <c r="D21576" i="3"/>
  <c r="C21576" i="3"/>
  <c r="B21576" i="3"/>
  <c r="D21575" i="3"/>
  <c r="C21575" i="3"/>
  <c r="B21575" i="3"/>
  <c r="D21574" i="3"/>
  <c r="C21574" i="3"/>
  <c r="B21574" i="3"/>
  <c r="D21573" i="3"/>
  <c r="C21573" i="3"/>
  <c r="B21573" i="3"/>
  <c r="D21572" i="3"/>
  <c r="C21572" i="3"/>
  <c r="B21572" i="3"/>
  <c r="D21571" i="3"/>
  <c r="C21571" i="3"/>
  <c r="B21571" i="3"/>
  <c r="D21570" i="3"/>
  <c r="C21570" i="3"/>
  <c r="B21570" i="3"/>
  <c r="D21569" i="3"/>
  <c r="C21569" i="3"/>
  <c r="B21569" i="3"/>
  <c r="D21568" i="3"/>
  <c r="C21568" i="3"/>
  <c r="B21568" i="3"/>
  <c r="D21567" i="3"/>
  <c r="C21567" i="3"/>
  <c r="B21567" i="3"/>
  <c r="D21566" i="3"/>
  <c r="C21566" i="3"/>
  <c r="B21566" i="3"/>
  <c r="D21565" i="3"/>
  <c r="C21565" i="3"/>
  <c r="B21565" i="3"/>
  <c r="D21564" i="3"/>
  <c r="C21564" i="3"/>
  <c r="B21564" i="3"/>
  <c r="D21563" i="3"/>
  <c r="C21563" i="3"/>
  <c r="B21563" i="3"/>
  <c r="D21562" i="3"/>
  <c r="C21562" i="3"/>
  <c r="B21562" i="3"/>
  <c r="D21561" i="3"/>
  <c r="C21561" i="3"/>
  <c r="B21561" i="3"/>
  <c r="D21560" i="3"/>
  <c r="C21560" i="3"/>
  <c r="B21560" i="3"/>
  <c r="D21559" i="3"/>
  <c r="C21559" i="3"/>
  <c r="B21559" i="3"/>
  <c r="D21558" i="3"/>
  <c r="C21558" i="3"/>
  <c r="B21558" i="3"/>
  <c r="D21557" i="3"/>
  <c r="C21557" i="3"/>
  <c r="B21557" i="3"/>
  <c r="D21556" i="3"/>
  <c r="C21556" i="3"/>
  <c r="B21556" i="3"/>
  <c r="D21555" i="3"/>
  <c r="C21555" i="3"/>
  <c r="B21555" i="3"/>
  <c r="D21554" i="3"/>
  <c r="C21554" i="3"/>
  <c r="B21554" i="3"/>
  <c r="D21553" i="3"/>
  <c r="C21553" i="3"/>
  <c r="B21553" i="3"/>
  <c r="D21552" i="3"/>
  <c r="C21552" i="3"/>
  <c r="B21552" i="3"/>
  <c r="D21551" i="3"/>
  <c r="C21551" i="3"/>
  <c r="B21551" i="3"/>
  <c r="D21550" i="3"/>
  <c r="C21550" i="3"/>
  <c r="B21550" i="3"/>
  <c r="D21549" i="3"/>
  <c r="C21549" i="3"/>
  <c r="B21549" i="3"/>
  <c r="D21548" i="3"/>
  <c r="C21548" i="3"/>
  <c r="B21548" i="3"/>
  <c r="D21547" i="3"/>
  <c r="C21547" i="3"/>
  <c r="B21547" i="3"/>
  <c r="D21546" i="3"/>
  <c r="C21546" i="3"/>
  <c r="B21546" i="3"/>
  <c r="D21545" i="3"/>
  <c r="C21545" i="3"/>
  <c r="B21545" i="3"/>
  <c r="D21544" i="3"/>
  <c r="C21544" i="3"/>
  <c r="B21544" i="3"/>
  <c r="D21543" i="3"/>
  <c r="C21543" i="3"/>
  <c r="B21543" i="3"/>
  <c r="D21542" i="3"/>
  <c r="C21542" i="3"/>
  <c r="B21542" i="3"/>
  <c r="D21541" i="3"/>
  <c r="C21541" i="3"/>
  <c r="B21541" i="3"/>
  <c r="D21540" i="3"/>
  <c r="C21540" i="3"/>
  <c r="B21540" i="3"/>
  <c r="D21539" i="3"/>
  <c r="C21539" i="3"/>
  <c r="B21539" i="3"/>
  <c r="D21538" i="3"/>
  <c r="C21538" i="3"/>
  <c r="B21538" i="3"/>
  <c r="D21537" i="3"/>
  <c r="C21537" i="3"/>
  <c r="B21537" i="3"/>
  <c r="D21536" i="3"/>
  <c r="C21536" i="3"/>
  <c r="B21536" i="3"/>
  <c r="D21535" i="3"/>
  <c r="C21535" i="3"/>
  <c r="B21535" i="3"/>
  <c r="D21534" i="3"/>
  <c r="C21534" i="3"/>
  <c r="B21534" i="3"/>
  <c r="D21533" i="3"/>
  <c r="C21533" i="3"/>
  <c r="B21533" i="3"/>
  <c r="D21532" i="3"/>
  <c r="C21532" i="3"/>
  <c r="B21532" i="3"/>
  <c r="D21531" i="3"/>
  <c r="C21531" i="3"/>
  <c r="B21531" i="3"/>
  <c r="D21530" i="3"/>
  <c r="C21530" i="3"/>
  <c r="B21530" i="3"/>
  <c r="D21529" i="3"/>
  <c r="C21529" i="3"/>
  <c r="B21529" i="3"/>
  <c r="D21528" i="3"/>
  <c r="C21528" i="3"/>
  <c r="B21528" i="3"/>
  <c r="D21527" i="3"/>
  <c r="C21527" i="3"/>
  <c r="B21527" i="3"/>
  <c r="D21526" i="3"/>
  <c r="C21526" i="3"/>
  <c r="B21526" i="3"/>
  <c r="D21525" i="3"/>
  <c r="C21525" i="3"/>
  <c r="B21525" i="3"/>
  <c r="D21524" i="3"/>
  <c r="C21524" i="3"/>
  <c r="B21524" i="3"/>
  <c r="D21523" i="3"/>
  <c r="C21523" i="3"/>
  <c r="B21523" i="3"/>
  <c r="D21522" i="3"/>
  <c r="C21522" i="3"/>
  <c r="B21522" i="3"/>
  <c r="D21521" i="3"/>
  <c r="C21521" i="3"/>
  <c r="B21521" i="3"/>
  <c r="D21520" i="3"/>
  <c r="C21520" i="3"/>
  <c r="B21520" i="3"/>
  <c r="D21519" i="3"/>
  <c r="C21519" i="3"/>
  <c r="B21519" i="3"/>
  <c r="D21518" i="3"/>
  <c r="C21518" i="3"/>
  <c r="B21518" i="3"/>
  <c r="D21517" i="3"/>
  <c r="C21517" i="3"/>
  <c r="B21517" i="3"/>
  <c r="D21516" i="3"/>
  <c r="C21516" i="3"/>
  <c r="B21516" i="3"/>
  <c r="D21515" i="3"/>
  <c r="C21515" i="3"/>
  <c r="B21515" i="3"/>
  <c r="D21514" i="3"/>
  <c r="C21514" i="3"/>
  <c r="B21514" i="3"/>
  <c r="D21513" i="3"/>
  <c r="C21513" i="3"/>
  <c r="B21513" i="3"/>
  <c r="D21512" i="3"/>
  <c r="C21512" i="3"/>
  <c r="B21512" i="3"/>
  <c r="D21511" i="3"/>
  <c r="C21511" i="3"/>
  <c r="B21511" i="3"/>
  <c r="D21510" i="3"/>
  <c r="C21510" i="3"/>
  <c r="B21510" i="3"/>
  <c r="D21509" i="3"/>
  <c r="C21509" i="3"/>
  <c r="B21509" i="3"/>
  <c r="D21508" i="3"/>
  <c r="C21508" i="3"/>
  <c r="B21508" i="3"/>
  <c r="D21507" i="3"/>
  <c r="C21507" i="3"/>
  <c r="B21507" i="3"/>
  <c r="D21506" i="3"/>
  <c r="C21506" i="3"/>
  <c r="B21506" i="3"/>
  <c r="D21505" i="3"/>
  <c r="C21505" i="3"/>
  <c r="B21505" i="3"/>
  <c r="D21504" i="3"/>
  <c r="C21504" i="3"/>
  <c r="B21504" i="3"/>
  <c r="D21503" i="3"/>
  <c r="C21503" i="3"/>
  <c r="B21503" i="3"/>
  <c r="D21502" i="3"/>
  <c r="C21502" i="3"/>
  <c r="B21502" i="3"/>
  <c r="D21501" i="3"/>
  <c r="C21501" i="3"/>
  <c r="B21501" i="3"/>
  <c r="D21500" i="3"/>
  <c r="C21500" i="3"/>
  <c r="B21500" i="3"/>
  <c r="D21499" i="3"/>
  <c r="C21499" i="3"/>
  <c r="B21499" i="3"/>
  <c r="D21498" i="3"/>
  <c r="C21498" i="3"/>
  <c r="B21498" i="3"/>
  <c r="D21497" i="3"/>
  <c r="C21497" i="3"/>
  <c r="B21497" i="3"/>
  <c r="D21496" i="3"/>
  <c r="C21496" i="3"/>
  <c r="B21496" i="3"/>
  <c r="D21495" i="3"/>
  <c r="C21495" i="3"/>
  <c r="B21495" i="3"/>
  <c r="D21494" i="3"/>
  <c r="C21494" i="3"/>
  <c r="B21494" i="3"/>
  <c r="D21493" i="3"/>
  <c r="C21493" i="3"/>
  <c r="B21493" i="3"/>
  <c r="D21492" i="3"/>
  <c r="C21492" i="3"/>
  <c r="B21492" i="3"/>
  <c r="D21491" i="3"/>
  <c r="C21491" i="3"/>
  <c r="B21491" i="3"/>
  <c r="D21490" i="3"/>
  <c r="C21490" i="3"/>
  <c r="B21490" i="3"/>
  <c r="D21489" i="3"/>
  <c r="C21489" i="3"/>
  <c r="B21489" i="3"/>
  <c r="D21488" i="3"/>
  <c r="C21488" i="3"/>
  <c r="B21488" i="3"/>
  <c r="D21487" i="3"/>
  <c r="C21487" i="3"/>
  <c r="B21487" i="3"/>
  <c r="D21486" i="3"/>
  <c r="C21486" i="3"/>
  <c r="B21486" i="3"/>
  <c r="D21485" i="3"/>
  <c r="C21485" i="3"/>
  <c r="B21485" i="3"/>
  <c r="D21484" i="3"/>
  <c r="C21484" i="3"/>
  <c r="B21484" i="3"/>
  <c r="D21483" i="3"/>
  <c r="C21483" i="3"/>
  <c r="B21483" i="3"/>
  <c r="D21482" i="3"/>
  <c r="C21482" i="3"/>
  <c r="B21482" i="3"/>
  <c r="D21481" i="3"/>
  <c r="C21481" i="3"/>
  <c r="B21481" i="3"/>
  <c r="D21480" i="3"/>
  <c r="C21480" i="3"/>
  <c r="B21480" i="3"/>
  <c r="D21479" i="3"/>
  <c r="C21479" i="3"/>
  <c r="B21479" i="3"/>
  <c r="D21478" i="3"/>
  <c r="C21478" i="3"/>
  <c r="B21478" i="3"/>
  <c r="D21477" i="3"/>
  <c r="C21477" i="3"/>
  <c r="B21477" i="3"/>
  <c r="D21476" i="3"/>
  <c r="C21476" i="3"/>
  <c r="B21476" i="3"/>
  <c r="D21475" i="3"/>
  <c r="C21475" i="3"/>
  <c r="B21475" i="3"/>
  <c r="D21474" i="3"/>
  <c r="C21474" i="3"/>
  <c r="B21474" i="3"/>
  <c r="D21473" i="3"/>
  <c r="C21473" i="3"/>
  <c r="B21473" i="3"/>
  <c r="D21472" i="3"/>
  <c r="C21472" i="3"/>
  <c r="B21472" i="3"/>
  <c r="D21471" i="3"/>
  <c r="C21471" i="3"/>
  <c r="B21471" i="3"/>
  <c r="D21470" i="3"/>
  <c r="C21470" i="3"/>
  <c r="B21470" i="3"/>
  <c r="D21469" i="3"/>
  <c r="C21469" i="3"/>
  <c r="B21469" i="3"/>
  <c r="D21468" i="3"/>
  <c r="C21468" i="3"/>
  <c r="B21468" i="3"/>
  <c r="D21467" i="3"/>
  <c r="C21467" i="3"/>
  <c r="B21467" i="3"/>
  <c r="D21466" i="3"/>
  <c r="C21466" i="3"/>
  <c r="B21466" i="3"/>
  <c r="D21465" i="3"/>
  <c r="C21465" i="3"/>
  <c r="B21465" i="3"/>
  <c r="D21464" i="3"/>
  <c r="C21464" i="3"/>
  <c r="B21464" i="3"/>
  <c r="D21463" i="3"/>
  <c r="C21463" i="3"/>
  <c r="B21463" i="3"/>
  <c r="D21462" i="3"/>
  <c r="C21462" i="3"/>
  <c r="B21462" i="3"/>
  <c r="D21461" i="3"/>
  <c r="C21461" i="3"/>
  <c r="B21461" i="3"/>
  <c r="D21460" i="3"/>
  <c r="C21460" i="3"/>
  <c r="B21460" i="3"/>
  <c r="D21459" i="3"/>
  <c r="C21459" i="3"/>
  <c r="B21459" i="3"/>
  <c r="D21458" i="3"/>
  <c r="C21458" i="3"/>
  <c r="B21458" i="3"/>
  <c r="D21457" i="3"/>
  <c r="C21457" i="3"/>
  <c r="B21457" i="3"/>
  <c r="D21456" i="3"/>
  <c r="C21456" i="3"/>
  <c r="B21456" i="3"/>
  <c r="D21455" i="3"/>
  <c r="C21455" i="3"/>
  <c r="B21455" i="3"/>
  <c r="D21454" i="3"/>
  <c r="C21454" i="3"/>
  <c r="B21454" i="3"/>
  <c r="D21453" i="3"/>
  <c r="C21453" i="3"/>
  <c r="B21453" i="3"/>
  <c r="D21452" i="3"/>
  <c r="C21452" i="3"/>
  <c r="B21452" i="3"/>
  <c r="D21451" i="3"/>
  <c r="C21451" i="3"/>
  <c r="B21451" i="3"/>
  <c r="D21450" i="3"/>
  <c r="C21450" i="3"/>
  <c r="B21450" i="3"/>
  <c r="D21449" i="3"/>
  <c r="C21449" i="3"/>
  <c r="B21449" i="3"/>
  <c r="D21448" i="3"/>
  <c r="C21448" i="3"/>
  <c r="B21448" i="3"/>
  <c r="D21447" i="3"/>
  <c r="C21447" i="3"/>
  <c r="B21447" i="3"/>
  <c r="D21446" i="3"/>
  <c r="C21446" i="3"/>
  <c r="B21446" i="3"/>
  <c r="D21445" i="3"/>
  <c r="C21445" i="3"/>
  <c r="B21445" i="3"/>
  <c r="D21444" i="3"/>
  <c r="C21444" i="3"/>
  <c r="B21444" i="3"/>
  <c r="D21443" i="3"/>
  <c r="C21443" i="3"/>
  <c r="B21443" i="3"/>
  <c r="D21442" i="3"/>
  <c r="C21442" i="3"/>
  <c r="B21442" i="3"/>
  <c r="D21441" i="3"/>
  <c r="C21441" i="3"/>
  <c r="B21441" i="3"/>
  <c r="D21440" i="3"/>
  <c r="C21440" i="3"/>
  <c r="B21440" i="3"/>
  <c r="D21439" i="3"/>
  <c r="C21439" i="3"/>
  <c r="B21439" i="3"/>
  <c r="D21438" i="3"/>
  <c r="C21438" i="3"/>
  <c r="B21438" i="3"/>
  <c r="D21437" i="3"/>
  <c r="C21437" i="3"/>
  <c r="B21437" i="3"/>
  <c r="D21436" i="3"/>
  <c r="C21436" i="3"/>
  <c r="B21436" i="3"/>
  <c r="D21435" i="3"/>
  <c r="C21435" i="3"/>
  <c r="B21435" i="3"/>
  <c r="D21434" i="3"/>
  <c r="C21434" i="3"/>
  <c r="B21434" i="3"/>
  <c r="D21433" i="3"/>
  <c r="C21433" i="3"/>
  <c r="B21433" i="3"/>
  <c r="D21432" i="3"/>
  <c r="C21432" i="3"/>
  <c r="B21432" i="3"/>
  <c r="D21431" i="3"/>
  <c r="C21431" i="3"/>
  <c r="B21431" i="3"/>
  <c r="D21430" i="3"/>
  <c r="C21430" i="3"/>
  <c r="B21430" i="3"/>
  <c r="D21429" i="3"/>
  <c r="C21429" i="3"/>
  <c r="B21429" i="3"/>
  <c r="D21428" i="3"/>
  <c r="C21428" i="3"/>
  <c r="B21428" i="3"/>
  <c r="D21427" i="3"/>
  <c r="C21427" i="3"/>
  <c r="B21427" i="3"/>
  <c r="D21426" i="3"/>
  <c r="C21426" i="3"/>
  <c r="B21426" i="3"/>
  <c r="D21425" i="3"/>
  <c r="C21425" i="3"/>
  <c r="B21425" i="3"/>
  <c r="D21424" i="3"/>
  <c r="C21424" i="3"/>
  <c r="B21424" i="3"/>
  <c r="D21423" i="3"/>
  <c r="C21423" i="3"/>
  <c r="B21423" i="3"/>
  <c r="D21422" i="3"/>
  <c r="C21422" i="3"/>
  <c r="B21422" i="3"/>
  <c r="D21421" i="3"/>
  <c r="C21421" i="3"/>
  <c r="B21421" i="3"/>
  <c r="D21420" i="3"/>
  <c r="C21420" i="3"/>
  <c r="B21420" i="3"/>
  <c r="D21419" i="3"/>
  <c r="C21419" i="3"/>
  <c r="B21419" i="3"/>
  <c r="D21418" i="3"/>
  <c r="C21418" i="3"/>
  <c r="B21418" i="3"/>
  <c r="D21417" i="3"/>
  <c r="C21417" i="3"/>
  <c r="B21417" i="3"/>
  <c r="D21416" i="3"/>
  <c r="C21416" i="3"/>
  <c r="B21416" i="3"/>
  <c r="D21415" i="3"/>
  <c r="C21415" i="3"/>
  <c r="B21415" i="3"/>
  <c r="D21414" i="3"/>
  <c r="C21414" i="3"/>
  <c r="B21414" i="3"/>
  <c r="D21413" i="3"/>
  <c r="C21413" i="3"/>
  <c r="B21413" i="3"/>
  <c r="D21412" i="3"/>
  <c r="C21412" i="3"/>
  <c r="B21412" i="3"/>
  <c r="D21411" i="3"/>
  <c r="C21411" i="3"/>
  <c r="B21411" i="3"/>
  <c r="D21410" i="3"/>
  <c r="C21410" i="3"/>
  <c r="B21410" i="3"/>
  <c r="D21409" i="3"/>
  <c r="C21409" i="3"/>
  <c r="B21409" i="3"/>
  <c r="D21408" i="3"/>
  <c r="C21408" i="3"/>
  <c r="B21408" i="3"/>
  <c r="D21407" i="3"/>
  <c r="C21407" i="3"/>
  <c r="B21407" i="3"/>
  <c r="D21406" i="3"/>
  <c r="C21406" i="3"/>
  <c r="B21406" i="3"/>
  <c r="D21405" i="3"/>
  <c r="C21405" i="3"/>
  <c r="B21405" i="3"/>
  <c r="D21404" i="3"/>
  <c r="C21404" i="3"/>
  <c r="B21404" i="3"/>
  <c r="D21403" i="3"/>
  <c r="C21403" i="3"/>
  <c r="B21403" i="3"/>
  <c r="D21402" i="3"/>
  <c r="C21402" i="3"/>
  <c r="B21402" i="3"/>
  <c r="D21401" i="3"/>
  <c r="C21401" i="3"/>
  <c r="B21401" i="3"/>
  <c r="D21400" i="3"/>
  <c r="C21400" i="3"/>
  <c r="B21400" i="3"/>
  <c r="D21399" i="3"/>
  <c r="C21399" i="3"/>
  <c r="B21399" i="3"/>
  <c r="D21398" i="3"/>
  <c r="C21398" i="3"/>
  <c r="B21398" i="3"/>
  <c r="D21397" i="3"/>
  <c r="C21397" i="3"/>
  <c r="B21397" i="3"/>
  <c r="D21396" i="3"/>
  <c r="C21396" i="3"/>
  <c r="B21396" i="3"/>
  <c r="D21395" i="3"/>
  <c r="C21395" i="3"/>
  <c r="B21395" i="3"/>
  <c r="D21394" i="3"/>
  <c r="C21394" i="3"/>
  <c r="B21394" i="3"/>
  <c r="D21393" i="3"/>
  <c r="C21393" i="3"/>
  <c r="B21393" i="3"/>
  <c r="D21392" i="3"/>
  <c r="C21392" i="3"/>
  <c r="B21392" i="3"/>
  <c r="D21391" i="3"/>
  <c r="C21391" i="3"/>
  <c r="B21391" i="3"/>
  <c r="D21390" i="3"/>
  <c r="C21390" i="3"/>
  <c r="B21390" i="3"/>
  <c r="D21389" i="3"/>
  <c r="C21389" i="3"/>
  <c r="B21389" i="3"/>
  <c r="D21388" i="3"/>
  <c r="C21388" i="3"/>
  <c r="B21388" i="3"/>
  <c r="D21387" i="3"/>
  <c r="C21387" i="3"/>
  <c r="B21387" i="3"/>
  <c r="D21386" i="3"/>
  <c r="C21386" i="3"/>
  <c r="B21386" i="3"/>
  <c r="D21385" i="3"/>
  <c r="C21385" i="3"/>
  <c r="B21385" i="3"/>
  <c r="D21384" i="3"/>
  <c r="C21384" i="3"/>
  <c r="B21384" i="3"/>
  <c r="D21383" i="3"/>
  <c r="C21383" i="3"/>
  <c r="B21383" i="3"/>
  <c r="D21382" i="3"/>
  <c r="C21382" i="3"/>
  <c r="B21382" i="3"/>
  <c r="D21381" i="3"/>
  <c r="C21381" i="3"/>
  <c r="B21381" i="3"/>
  <c r="D21380" i="3"/>
  <c r="C21380" i="3"/>
  <c r="B21380" i="3"/>
  <c r="D21379" i="3"/>
  <c r="C21379" i="3"/>
  <c r="B21379" i="3"/>
  <c r="D21378" i="3"/>
  <c r="C21378" i="3"/>
  <c r="B21378" i="3"/>
  <c r="D21377" i="3"/>
  <c r="C21377" i="3"/>
  <c r="B21377" i="3"/>
  <c r="D21376" i="3"/>
  <c r="C21376" i="3"/>
  <c r="B21376" i="3"/>
  <c r="D21375" i="3"/>
  <c r="C21375" i="3"/>
  <c r="B21375" i="3"/>
  <c r="D21374" i="3"/>
  <c r="C21374" i="3"/>
  <c r="B21374" i="3"/>
  <c r="D21373" i="3"/>
  <c r="C21373" i="3"/>
  <c r="B21373" i="3"/>
  <c r="D21372" i="3"/>
  <c r="C21372" i="3"/>
  <c r="B21372" i="3"/>
  <c r="D21371" i="3"/>
  <c r="C21371" i="3"/>
  <c r="B21371" i="3"/>
  <c r="D21370" i="3"/>
  <c r="C21370" i="3"/>
  <c r="B21370" i="3"/>
  <c r="D21369" i="3"/>
  <c r="C21369" i="3"/>
  <c r="B21369" i="3"/>
  <c r="D21368" i="3"/>
  <c r="C21368" i="3"/>
  <c r="B21368" i="3"/>
  <c r="D21367" i="3"/>
  <c r="C21367" i="3"/>
  <c r="B21367" i="3"/>
  <c r="D21366" i="3"/>
  <c r="C21366" i="3"/>
  <c r="B21366" i="3"/>
  <c r="D21365" i="3"/>
  <c r="C21365" i="3"/>
  <c r="B21365" i="3"/>
  <c r="D21364" i="3"/>
  <c r="C21364" i="3"/>
  <c r="B21364" i="3"/>
  <c r="D21363" i="3"/>
  <c r="C21363" i="3"/>
  <c r="B21363" i="3"/>
  <c r="D21362" i="3"/>
  <c r="C21362" i="3"/>
  <c r="B21362" i="3"/>
  <c r="D21361" i="3"/>
  <c r="C21361" i="3"/>
  <c r="B21361" i="3"/>
  <c r="D21360" i="3"/>
  <c r="C21360" i="3"/>
  <c r="B21360" i="3"/>
  <c r="D21359" i="3"/>
  <c r="C21359" i="3"/>
  <c r="B21359" i="3"/>
  <c r="D21358" i="3"/>
  <c r="C21358" i="3"/>
  <c r="B21358" i="3"/>
  <c r="D21357" i="3"/>
  <c r="C21357" i="3"/>
  <c r="B21357" i="3"/>
  <c r="D21356" i="3"/>
  <c r="C21356" i="3"/>
  <c r="B21356" i="3"/>
  <c r="D21355" i="3"/>
  <c r="C21355" i="3"/>
  <c r="B21355" i="3"/>
  <c r="D21354" i="3"/>
  <c r="C21354" i="3"/>
  <c r="B21354" i="3"/>
  <c r="D21353" i="3"/>
  <c r="C21353" i="3"/>
  <c r="B21353" i="3"/>
  <c r="D21352" i="3"/>
  <c r="C21352" i="3"/>
  <c r="B21352" i="3"/>
  <c r="D21351" i="3"/>
  <c r="C21351" i="3"/>
  <c r="B21351" i="3"/>
  <c r="D21350" i="3"/>
  <c r="C21350" i="3"/>
  <c r="B21350" i="3"/>
  <c r="D21349" i="3"/>
  <c r="C21349" i="3"/>
  <c r="B21349" i="3"/>
  <c r="D21348" i="3"/>
  <c r="C21348" i="3"/>
  <c r="B21348" i="3"/>
  <c r="D21347" i="3"/>
  <c r="C21347" i="3"/>
  <c r="B21347" i="3"/>
  <c r="D21346" i="3"/>
  <c r="C21346" i="3"/>
  <c r="B21346" i="3"/>
  <c r="D21345" i="3"/>
  <c r="C21345" i="3"/>
  <c r="B21345" i="3"/>
  <c r="D21344" i="3"/>
  <c r="C21344" i="3"/>
  <c r="B21344" i="3"/>
  <c r="D21343" i="3"/>
  <c r="C21343" i="3"/>
  <c r="B21343" i="3"/>
  <c r="D21342" i="3"/>
  <c r="C21342" i="3"/>
  <c r="B21342" i="3"/>
  <c r="D21341" i="3"/>
  <c r="C21341" i="3"/>
  <c r="B21341" i="3"/>
  <c r="D21340" i="3"/>
  <c r="C21340" i="3"/>
  <c r="B21340" i="3"/>
  <c r="D21339" i="3"/>
  <c r="C21339" i="3"/>
  <c r="B21339" i="3"/>
  <c r="D21338" i="3"/>
  <c r="C21338" i="3"/>
  <c r="B21338" i="3"/>
  <c r="D21337" i="3"/>
  <c r="C21337" i="3"/>
  <c r="B21337" i="3"/>
  <c r="D21336" i="3"/>
  <c r="C21336" i="3"/>
  <c r="B21336" i="3"/>
  <c r="D21335" i="3"/>
  <c r="C21335" i="3"/>
  <c r="B21335" i="3"/>
  <c r="D21334" i="3"/>
  <c r="C21334" i="3"/>
  <c r="B21334" i="3"/>
  <c r="D21333" i="3"/>
  <c r="C21333" i="3"/>
  <c r="B21333" i="3"/>
  <c r="D21332" i="3"/>
  <c r="C21332" i="3"/>
  <c r="B21332" i="3"/>
  <c r="D21331" i="3"/>
  <c r="C21331" i="3"/>
  <c r="B21331" i="3"/>
  <c r="D21330" i="3"/>
  <c r="C21330" i="3"/>
  <c r="B21330" i="3"/>
  <c r="D21329" i="3"/>
  <c r="C21329" i="3"/>
  <c r="B21329" i="3"/>
  <c r="D21328" i="3"/>
  <c r="C21328" i="3"/>
  <c r="B21328" i="3"/>
  <c r="D21327" i="3"/>
  <c r="C21327" i="3"/>
  <c r="B21327" i="3"/>
  <c r="D21326" i="3"/>
  <c r="C21326" i="3"/>
  <c r="B21326" i="3"/>
  <c r="D21325" i="3"/>
  <c r="C21325" i="3"/>
  <c r="B21325" i="3"/>
  <c r="D21324" i="3"/>
  <c r="C21324" i="3"/>
  <c r="B21324" i="3"/>
  <c r="D21323" i="3"/>
  <c r="C21323" i="3"/>
  <c r="B21323" i="3"/>
  <c r="D21322" i="3"/>
  <c r="C21322" i="3"/>
  <c r="B21322" i="3"/>
  <c r="D21321" i="3"/>
  <c r="C21321" i="3"/>
  <c r="B21321" i="3"/>
  <c r="D21320" i="3"/>
  <c r="C21320" i="3"/>
  <c r="B21320" i="3"/>
  <c r="D21319" i="3"/>
  <c r="C21319" i="3"/>
  <c r="B21319" i="3"/>
  <c r="D21318" i="3"/>
  <c r="C21318" i="3"/>
  <c r="B21318" i="3"/>
  <c r="D21317" i="3"/>
  <c r="C21317" i="3"/>
  <c r="B21317" i="3"/>
  <c r="D21316" i="3"/>
  <c r="C21316" i="3"/>
  <c r="B21316" i="3"/>
  <c r="D21315" i="3"/>
  <c r="C21315" i="3"/>
  <c r="B21315" i="3"/>
  <c r="D21314" i="3"/>
  <c r="C21314" i="3"/>
  <c r="B21314" i="3"/>
  <c r="D21313" i="3"/>
  <c r="C21313" i="3"/>
  <c r="B21313" i="3"/>
  <c r="D21312" i="3"/>
  <c r="C21312" i="3"/>
  <c r="B21312" i="3"/>
  <c r="D21311" i="3"/>
  <c r="C21311" i="3"/>
  <c r="B21311" i="3"/>
  <c r="D21310" i="3"/>
  <c r="C21310" i="3"/>
  <c r="B21310" i="3"/>
  <c r="D21309" i="3"/>
  <c r="C21309" i="3"/>
  <c r="B21309" i="3"/>
  <c r="D21308" i="3"/>
  <c r="C21308" i="3"/>
  <c r="B21308" i="3"/>
  <c r="D21307" i="3"/>
  <c r="C21307" i="3"/>
  <c r="B21307" i="3"/>
  <c r="D21306" i="3"/>
  <c r="C21306" i="3"/>
  <c r="B21306" i="3"/>
  <c r="D21305" i="3"/>
  <c r="C21305" i="3"/>
  <c r="B21305" i="3"/>
  <c r="D21304" i="3"/>
  <c r="C21304" i="3"/>
  <c r="B21304" i="3"/>
  <c r="D21303" i="3"/>
  <c r="C21303" i="3"/>
  <c r="B21303" i="3"/>
  <c r="D21302" i="3"/>
  <c r="C21302" i="3"/>
  <c r="B21302" i="3"/>
  <c r="D21301" i="3"/>
  <c r="C21301" i="3"/>
  <c r="B21301" i="3"/>
  <c r="D21300" i="3"/>
  <c r="C21300" i="3"/>
  <c r="B21300" i="3"/>
  <c r="D21299" i="3"/>
  <c r="C21299" i="3"/>
  <c r="B21299" i="3"/>
  <c r="D21298" i="3"/>
  <c r="C21298" i="3"/>
  <c r="B21298" i="3"/>
  <c r="D21297" i="3"/>
  <c r="C21297" i="3"/>
  <c r="B21297" i="3"/>
  <c r="D21296" i="3"/>
  <c r="C21296" i="3"/>
  <c r="B21296" i="3"/>
  <c r="D21295" i="3"/>
  <c r="C21295" i="3"/>
  <c r="B21295" i="3"/>
  <c r="D21294" i="3"/>
  <c r="C21294" i="3"/>
  <c r="B21294" i="3"/>
  <c r="D21293" i="3"/>
  <c r="C21293" i="3"/>
  <c r="B21293" i="3"/>
  <c r="D21292" i="3"/>
  <c r="C21292" i="3"/>
  <c r="B21292" i="3"/>
  <c r="D21291" i="3"/>
  <c r="C21291" i="3"/>
  <c r="B21291" i="3"/>
  <c r="D21290" i="3"/>
  <c r="C21290" i="3"/>
  <c r="B21290" i="3"/>
  <c r="D21289" i="3"/>
  <c r="C21289" i="3"/>
  <c r="B21289" i="3"/>
  <c r="D21288" i="3"/>
  <c r="C21288" i="3"/>
  <c r="B21288" i="3"/>
  <c r="D21287" i="3"/>
  <c r="C21287" i="3"/>
  <c r="B21287" i="3"/>
  <c r="D21286" i="3"/>
  <c r="C21286" i="3"/>
  <c r="B21286" i="3"/>
  <c r="D21285" i="3"/>
  <c r="C21285" i="3"/>
  <c r="B21285" i="3"/>
  <c r="D21284" i="3"/>
  <c r="C21284" i="3"/>
  <c r="B21284" i="3"/>
  <c r="D21283" i="3"/>
  <c r="C21283" i="3"/>
  <c r="B21283" i="3"/>
  <c r="D21282" i="3"/>
  <c r="C21282" i="3"/>
  <c r="B21282" i="3"/>
  <c r="D21281" i="3"/>
  <c r="C21281" i="3"/>
  <c r="B21281" i="3"/>
  <c r="D21280" i="3"/>
  <c r="C21280" i="3"/>
  <c r="B21280" i="3"/>
  <c r="D21279" i="3"/>
  <c r="C21279" i="3"/>
  <c r="B21279" i="3"/>
  <c r="D21278" i="3"/>
  <c r="C21278" i="3"/>
  <c r="B21278" i="3"/>
  <c r="D21277" i="3"/>
  <c r="C21277" i="3"/>
  <c r="B21277" i="3"/>
  <c r="D21276" i="3"/>
  <c r="C21276" i="3"/>
  <c r="B21276" i="3"/>
  <c r="D21275" i="3"/>
  <c r="C21275" i="3"/>
  <c r="B21275" i="3"/>
  <c r="D21274" i="3"/>
  <c r="C21274" i="3"/>
  <c r="B21274" i="3"/>
  <c r="D21273" i="3"/>
  <c r="C21273" i="3"/>
  <c r="B21273" i="3"/>
  <c r="D21272" i="3"/>
  <c r="C21272" i="3"/>
  <c r="B21272" i="3"/>
  <c r="D21271" i="3"/>
  <c r="C21271" i="3"/>
  <c r="B21271" i="3"/>
  <c r="D21270" i="3"/>
  <c r="C21270" i="3"/>
  <c r="B21270" i="3"/>
  <c r="D21269" i="3"/>
  <c r="C21269" i="3"/>
  <c r="B21269" i="3"/>
  <c r="D21268" i="3"/>
  <c r="C21268" i="3"/>
  <c r="B21268" i="3"/>
  <c r="D21267" i="3"/>
  <c r="C21267" i="3"/>
  <c r="B21267" i="3"/>
  <c r="D21266" i="3"/>
  <c r="C21266" i="3"/>
  <c r="B21266" i="3"/>
  <c r="D21265" i="3"/>
  <c r="C21265" i="3"/>
  <c r="B21265" i="3"/>
  <c r="D21264" i="3"/>
  <c r="C21264" i="3"/>
  <c r="B21264" i="3"/>
  <c r="D21263" i="3"/>
  <c r="C21263" i="3"/>
  <c r="B21263" i="3"/>
  <c r="D21262" i="3"/>
  <c r="C21262" i="3"/>
  <c r="B21262" i="3"/>
  <c r="D21261" i="3"/>
  <c r="C21261" i="3"/>
  <c r="B21261" i="3"/>
  <c r="D21260" i="3"/>
  <c r="C21260" i="3"/>
  <c r="B21260" i="3"/>
  <c r="D21259" i="3"/>
  <c r="C21259" i="3"/>
  <c r="B21259" i="3"/>
  <c r="D21258" i="3"/>
  <c r="C21258" i="3"/>
  <c r="B21258" i="3"/>
  <c r="D21257" i="3"/>
  <c r="C21257" i="3"/>
  <c r="B21257" i="3"/>
  <c r="D21256" i="3"/>
  <c r="C21256" i="3"/>
  <c r="B21256" i="3"/>
  <c r="D21255" i="3"/>
  <c r="C21255" i="3"/>
  <c r="B21255" i="3"/>
  <c r="D21254" i="3"/>
  <c r="C21254" i="3"/>
  <c r="B21254" i="3"/>
  <c r="D21253" i="3"/>
  <c r="C21253" i="3"/>
  <c r="B21253" i="3"/>
  <c r="D21252" i="3"/>
  <c r="C21252" i="3"/>
  <c r="B21252" i="3"/>
  <c r="D21251" i="3"/>
  <c r="C21251" i="3"/>
  <c r="B21251" i="3"/>
  <c r="D21250" i="3"/>
  <c r="C21250" i="3"/>
  <c r="B21250" i="3"/>
  <c r="D21249" i="3"/>
  <c r="C21249" i="3"/>
  <c r="B21249" i="3"/>
  <c r="D21248" i="3"/>
  <c r="C21248" i="3"/>
  <c r="B21248" i="3"/>
  <c r="D21247" i="3"/>
  <c r="C21247" i="3"/>
  <c r="B21247" i="3"/>
  <c r="D21246" i="3"/>
  <c r="C21246" i="3"/>
  <c r="B21246" i="3"/>
  <c r="D21245" i="3"/>
  <c r="C21245" i="3"/>
  <c r="B21245" i="3"/>
  <c r="D21244" i="3"/>
  <c r="C21244" i="3"/>
  <c r="B21244" i="3"/>
  <c r="D21243" i="3"/>
  <c r="C21243" i="3"/>
  <c r="B21243" i="3"/>
  <c r="D21242" i="3"/>
  <c r="C21242" i="3"/>
  <c r="B21242" i="3"/>
  <c r="D21241" i="3"/>
  <c r="C21241" i="3"/>
  <c r="B21241" i="3"/>
  <c r="D21240" i="3"/>
  <c r="C21240" i="3"/>
  <c r="B21240" i="3"/>
  <c r="D21239" i="3"/>
  <c r="C21239" i="3"/>
  <c r="B21239" i="3"/>
  <c r="D21238" i="3"/>
  <c r="C21238" i="3"/>
  <c r="B21238" i="3"/>
  <c r="D21237" i="3"/>
  <c r="C21237" i="3"/>
  <c r="B21237" i="3"/>
  <c r="D21236" i="3"/>
  <c r="C21236" i="3"/>
  <c r="B21236" i="3"/>
  <c r="D21235" i="3"/>
  <c r="C21235" i="3"/>
  <c r="B21235" i="3"/>
  <c r="D21234" i="3"/>
  <c r="C21234" i="3"/>
  <c r="B21234" i="3"/>
  <c r="D21233" i="3"/>
  <c r="C21233" i="3"/>
  <c r="B21233" i="3"/>
  <c r="D21232" i="3"/>
  <c r="C21232" i="3"/>
  <c r="B21232" i="3"/>
  <c r="D21231" i="3"/>
  <c r="C21231" i="3"/>
  <c r="B21231" i="3"/>
  <c r="D21230" i="3"/>
  <c r="C21230" i="3"/>
  <c r="B21230" i="3"/>
  <c r="D21229" i="3"/>
  <c r="C21229" i="3"/>
  <c r="B21229" i="3"/>
  <c r="D21228" i="3"/>
  <c r="C21228" i="3"/>
  <c r="B21228" i="3"/>
  <c r="D21227" i="3"/>
  <c r="C21227" i="3"/>
  <c r="B21227" i="3"/>
  <c r="D21226" i="3"/>
  <c r="C21226" i="3"/>
  <c r="B21226" i="3"/>
  <c r="D21225" i="3"/>
  <c r="C21225" i="3"/>
  <c r="B21225" i="3"/>
  <c r="D21224" i="3"/>
  <c r="C21224" i="3"/>
  <c r="B21224" i="3"/>
  <c r="D21223" i="3"/>
  <c r="C21223" i="3"/>
  <c r="B21223" i="3"/>
  <c r="D21222" i="3"/>
  <c r="C21222" i="3"/>
  <c r="B21222" i="3"/>
  <c r="D21221" i="3"/>
  <c r="C21221" i="3"/>
  <c r="B21221" i="3"/>
  <c r="D21220" i="3"/>
  <c r="C21220" i="3"/>
  <c r="B21220" i="3"/>
  <c r="D21219" i="3"/>
  <c r="C21219" i="3"/>
  <c r="B21219" i="3"/>
  <c r="D21218" i="3"/>
  <c r="C21218" i="3"/>
  <c r="B21218" i="3"/>
  <c r="D21217" i="3"/>
  <c r="C21217" i="3"/>
  <c r="B21217" i="3"/>
  <c r="D21216" i="3"/>
  <c r="C21216" i="3"/>
  <c r="B21216" i="3"/>
  <c r="D21215" i="3"/>
  <c r="C21215" i="3"/>
  <c r="B21215" i="3"/>
  <c r="D21214" i="3"/>
  <c r="C21214" i="3"/>
  <c r="B21214" i="3"/>
  <c r="D21213" i="3"/>
  <c r="C21213" i="3"/>
  <c r="B21213" i="3"/>
  <c r="D21212" i="3"/>
  <c r="C21212" i="3"/>
  <c r="B21212" i="3"/>
  <c r="D21211" i="3"/>
  <c r="C21211" i="3"/>
  <c r="B21211" i="3"/>
  <c r="D21210" i="3"/>
  <c r="C21210" i="3"/>
  <c r="B21210" i="3"/>
  <c r="D21209" i="3"/>
  <c r="C21209" i="3"/>
  <c r="B21209" i="3"/>
  <c r="D21208" i="3"/>
  <c r="C21208" i="3"/>
  <c r="B21208" i="3"/>
  <c r="D21207" i="3"/>
  <c r="C21207" i="3"/>
  <c r="B21207" i="3"/>
  <c r="D21206" i="3"/>
  <c r="C21206" i="3"/>
  <c r="B21206" i="3"/>
  <c r="D21205" i="3"/>
  <c r="C21205" i="3"/>
  <c r="B21205" i="3"/>
  <c r="D21204" i="3"/>
  <c r="C21204" i="3"/>
  <c r="B21204" i="3"/>
  <c r="D21203" i="3"/>
  <c r="C21203" i="3"/>
  <c r="B21203" i="3"/>
  <c r="D21202" i="3"/>
  <c r="C21202" i="3"/>
  <c r="B21202" i="3"/>
  <c r="D21201" i="3"/>
  <c r="C21201" i="3"/>
  <c r="B21201" i="3"/>
  <c r="D21200" i="3"/>
  <c r="C21200" i="3"/>
  <c r="B21200" i="3"/>
  <c r="D21199" i="3"/>
  <c r="C21199" i="3"/>
  <c r="B21199" i="3"/>
  <c r="D21198" i="3"/>
  <c r="C21198" i="3"/>
  <c r="B21198" i="3"/>
  <c r="D21197" i="3"/>
  <c r="C21197" i="3"/>
  <c r="B21197" i="3"/>
  <c r="D21196" i="3"/>
  <c r="C21196" i="3"/>
  <c r="B21196" i="3"/>
  <c r="D21195" i="3"/>
  <c r="C21195" i="3"/>
  <c r="B21195" i="3"/>
  <c r="D21194" i="3"/>
  <c r="C21194" i="3"/>
  <c r="B21194" i="3"/>
  <c r="D21193" i="3"/>
  <c r="C21193" i="3"/>
  <c r="B21193" i="3"/>
  <c r="D21192" i="3"/>
  <c r="C21192" i="3"/>
  <c r="B21192" i="3"/>
  <c r="D21191" i="3"/>
  <c r="C21191" i="3"/>
  <c r="B21191" i="3"/>
  <c r="D21190" i="3"/>
  <c r="C21190" i="3"/>
  <c r="B21190" i="3"/>
  <c r="D21189" i="3"/>
  <c r="C21189" i="3"/>
  <c r="B21189" i="3"/>
  <c r="D21188" i="3"/>
  <c r="C21188" i="3"/>
  <c r="B21188" i="3"/>
  <c r="D21187" i="3"/>
  <c r="C21187" i="3"/>
  <c r="B21187" i="3"/>
  <c r="D21186" i="3"/>
  <c r="C21186" i="3"/>
  <c r="B21186" i="3"/>
  <c r="D21185" i="3"/>
  <c r="C21185" i="3"/>
  <c r="B21185" i="3"/>
  <c r="D21184" i="3"/>
  <c r="C21184" i="3"/>
  <c r="B21184" i="3"/>
  <c r="D21183" i="3"/>
  <c r="C21183" i="3"/>
  <c r="B21183" i="3"/>
  <c r="D21182" i="3"/>
  <c r="C21182" i="3"/>
  <c r="B21182" i="3"/>
  <c r="D21181" i="3"/>
  <c r="C21181" i="3"/>
  <c r="B21181" i="3"/>
  <c r="D21180" i="3"/>
  <c r="C21180" i="3"/>
  <c r="B21180" i="3"/>
  <c r="D21179" i="3"/>
  <c r="C21179" i="3"/>
  <c r="B21179" i="3"/>
  <c r="D21178" i="3"/>
  <c r="C21178" i="3"/>
  <c r="B21178" i="3"/>
  <c r="D21177" i="3"/>
  <c r="C21177" i="3"/>
  <c r="B21177" i="3"/>
  <c r="D21176" i="3"/>
  <c r="C21176" i="3"/>
  <c r="B21176" i="3"/>
  <c r="D21175" i="3"/>
  <c r="C21175" i="3"/>
  <c r="B21175" i="3"/>
  <c r="D21174" i="3"/>
  <c r="C21174" i="3"/>
  <c r="B21174" i="3"/>
  <c r="D21173" i="3"/>
  <c r="C21173" i="3"/>
  <c r="B21173" i="3"/>
  <c r="D21172" i="3"/>
  <c r="C21172" i="3"/>
  <c r="B21172" i="3"/>
  <c r="D21171" i="3"/>
  <c r="C21171" i="3"/>
  <c r="B21171" i="3"/>
  <c r="D21170" i="3"/>
  <c r="C21170" i="3"/>
  <c r="B21170" i="3"/>
  <c r="D21169" i="3"/>
  <c r="C21169" i="3"/>
  <c r="B21169" i="3"/>
  <c r="D21168" i="3"/>
  <c r="C21168" i="3"/>
  <c r="B21168" i="3"/>
  <c r="D21167" i="3"/>
  <c r="C21167" i="3"/>
  <c r="B21167" i="3"/>
  <c r="D21166" i="3"/>
  <c r="C21166" i="3"/>
  <c r="B21166" i="3"/>
  <c r="D21165" i="3"/>
  <c r="C21165" i="3"/>
  <c r="B21165" i="3"/>
  <c r="D21164" i="3"/>
  <c r="C21164" i="3"/>
  <c r="B21164" i="3"/>
  <c r="D21163" i="3"/>
  <c r="C21163" i="3"/>
  <c r="B21163" i="3"/>
  <c r="D21162" i="3"/>
  <c r="C21162" i="3"/>
  <c r="B21162" i="3"/>
  <c r="D21161" i="3"/>
  <c r="C21161" i="3"/>
  <c r="B21161" i="3"/>
  <c r="D21160" i="3"/>
  <c r="C21160" i="3"/>
  <c r="B21160" i="3"/>
  <c r="D21159" i="3"/>
  <c r="C21159" i="3"/>
  <c r="B21159" i="3"/>
  <c r="D21158" i="3"/>
  <c r="C21158" i="3"/>
  <c r="B21158" i="3"/>
  <c r="D21157" i="3"/>
  <c r="C21157" i="3"/>
  <c r="B21157" i="3"/>
  <c r="D21156" i="3"/>
  <c r="C21156" i="3"/>
  <c r="B21156" i="3"/>
  <c r="D21155" i="3"/>
  <c r="C21155" i="3"/>
  <c r="B21155" i="3"/>
  <c r="D21154" i="3"/>
  <c r="C21154" i="3"/>
  <c r="B21154" i="3"/>
  <c r="D21153" i="3"/>
  <c r="C21153" i="3"/>
  <c r="B21153" i="3"/>
  <c r="D21152" i="3"/>
  <c r="C21152" i="3"/>
  <c r="B21152" i="3"/>
  <c r="D21151" i="3"/>
  <c r="C21151" i="3"/>
  <c r="B21151" i="3"/>
  <c r="D21150" i="3"/>
  <c r="C21150" i="3"/>
  <c r="B21150" i="3"/>
  <c r="D21149" i="3"/>
  <c r="C21149" i="3"/>
  <c r="B21149" i="3"/>
  <c r="D21148" i="3"/>
  <c r="C21148" i="3"/>
  <c r="B21148" i="3"/>
  <c r="D21147" i="3"/>
  <c r="C21147" i="3"/>
  <c r="B21147" i="3"/>
  <c r="D21146" i="3"/>
  <c r="C21146" i="3"/>
  <c r="B21146" i="3"/>
  <c r="D21145" i="3"/>
  <c r="C21145" i="3"/>
  <c r="B21145" i="3"/>
  <c r="D21144" i="3"/>
  <c r="C21144" i="3"/>
  <c r="B21144" i="3"/>
  <c r="D21143" i="3"/>
  <c r="C21143" i="3"/>
  <c r="B21143" i="3"/>
  <c r="D21142" i="3"/>
  <c r="C21142" i="3"/>
  <c r="B21142" i="3"/>
  <c r="D21141" i="3"/>
  <c r="C21141" i="3"/>
  <c r="B21141" i="3"/>
  <c r="D21140" i="3"/>
  <c r="C21140" i="3"/>
  <c r="B21140" i="3"/>
  <c r="D21139" i="3"/>
  <c r="C21139" i="3"/>
  <c r="B21139" i="3"/>
  <c r="D21138" i="3"/>
  <c r="C21138" i="3"/>
  <c r="B21138" i="3"/>
  <c r="D21137" i="3"/>
  <c r="C21137" i="3"/>
  <c r="B21137" i="3"/>
  <c r="D21136" i="3"/>
  <c r="C21136" i="3"/>
  <c r="B21136" i="3"/>
  <c r="D21135" i="3"/>
  <c r="C21135" i="3"/>
  <c r="B21135" i="3"/>
  <c r="D21134" i="3"/>
  <c r="C21134" i="3"/>
  <c r="B21134" i="3"/>
  <c r="D21133" i="3"/>
  <c r="C21133" i="3"/>
  <c r="B21133" i="3"/>
  <c r="D21132" i="3"/>
  <c r="C21132" i="3"/>
  <c r="B21132" i="3"/>
  <c r="D21131" i="3"/>
  <c r="C21131" i="3"/>
  <c r="B21131" i="3"/>
  <c r="D21130" i="3"/>
  <c r="C21130" i="3"/>
  <c r="B21130" i="3"/>
  <c r="D21129" i="3"/>
  <c r="C21129" i="3"/>
  <c r="B21129" i="3"/>
  <c r="D21128" i="3"/>
  <c r="C21128" i="3"/>
  <c r="B21128" i="3"/>
  <c r="D21127" i="3"/>
  <c r="C21127" i="3"/>
  <c r="B21127" i="3"/>
  <c r="D21126" i="3"/>
  <c r="C21126" i="3"/>
  <c r="B21126" i="3"/>
  <c r="D21125" i="3"/>
  <c r="C21125" i="3"/>
  <c r="B21125" i="3"/>
  <c r="D21124" i="3"/>
  <c r="C21124" i="3"/>
  <c r="B21124" i="3"/>
  <c r="D21123" i="3"/>
  <c r="C21123" i="3"/>
  <c r="B21123" i="3"/>
  <c r="D21122" i="3"/>
  <c r="C21122" i="3"/>
  <c r="B21122" i="3"/>
  <c r="D21121" i="3"/>
  <c r="C21121" i="3"/>
  <c r="B21121" i="3"/>
  <c r="D21120" i="3"/>
  <c r="C21120" i="3"/>
  <c r="B21120" i="3"/>
  <c r="D21119" i="3"/>
  <c r="C21119" i="3"/>
  <c r="B21119" i="3"/>
  <c r="D21118" i="3"/>
  <c r="C21118" i="3"/>
  <c r="B21118" i="3"/>
  <c r="D21117" i="3"/>
  <c r="C21117" i="3"/>
  <c r="B21117" i="3"/>
  <c r="D21116" i="3"/>
  <c r="C21116" i="3"/>
  <c r="B21116" i="3"/>
  <c r="D21115" i="3"/>
  <c r="C21115" i="3"/>
  <c r="B21115" i="3"/>
  <c r="D21114" i="3"/>
  <c r="C21114" i="3"/>
  <c r="B21114" i="3"/>
  <c r="D21113" i="3"/>
  <c r="C21113" i="3"/>
  <c r="B21113" i="3"/>
  <c r="D21112" i="3"/>
  <c r="C21112" i="3"/>
  <c r="B21112" i="3"/>
  <c r="D21111" i="3"/>
  <c r="C21111" i="3"/>
  <c r="B21111" i="3"/>
  <c r="D21110" i="3"/>
  <c r="C21110" i="3"/>
  <c r="B21110" i="3"/>
  <c r="D21109" i="3"/>
  <c r="C21109" i="3"/>
  <c r="B21109" i="3"/>
  <c r="D21108" i="3"/>
  <c r="C21108" i="3"/>
  <c r="B21108" i="3"/>
  <c r="D21107" i="3"/>
  <c r="C21107" i="3"/>
  <c r="B21107" i="3"/>
  <c r="D21106" i="3"/>
  <c r="C21106" i="3"/>
  <c r="B21106" i="3"/>
  <c r="D21105" i="3"/>
  <c r="C21105" i="3"/>
  <c r="B21105" i="3"/>
  <c r="D21104" i="3"/>
  <c r="C21104" i="3"/>
  <c r="B21104" i="3"/>
  <c r="D21103" i="3"/>
  <c r="C21103" i="3"/>
  <c r="B21103" i="3"/>
  <c r="D21102" i="3"/>
  <c r="C21102" i="3"/>
  <c r="B21102" i="3"/>
  <c r="D21101" i="3"/>
  <c r="C21101" i="3"/>
  <c r="B21101" i="3"/>
  <c r="D21100" i="3"/>
  <c r="C21100" i="3"/>
  <c r="B21100" i="3"/>
  <c r="D21099" i="3"/>
  <c r="C21099" i="3"/>
  <c r="B21099" i="3"/>
  <c r="D21098" i="3"/>
  <c r="C21098" i="3"/>
  <c r="B21098" i="3"/>
  <c r="D21097" i="3"/>
  <c r="C21097" i="3"/>
  <c r="B21097" i="3"/>
  <c r="D21096" i="3"/>
  <c r="C21096" i="3"/>
  <c r="B21096" i="3"/>
  <c r="D21095" i="3"/>
  <c r="C21095" i="3"/>
  <c r="B21095" i="3"/>
  <c r="D21094" i="3"/>
  <c r="C21094" i="3"/>
  <c r="B21094" i="3"/>
  <c r="D21093" i="3"/>
  <c r="C21093" i="3"/>
  <c r="B21093" i="3"/>
  <c r="D21092" i="3"/>
  <c r="C21092" i="3"/>
  <c r="B21092" i="3"/>
  <c r="D21091" i="3"/>
  <c r="C21091" i="3"/>
  <c r="B21091" i="3"/>
  <c r="D21090" i="3"/>
  <c r="C21090" i="3"/>
  <c r="B21090" i="3"/>
  <c r="D21089" i="3"/>
  <c r="C21089" i="3"/>
  <c r="B21089" i="3"/>
  <c r="D21088" i="3"/>
  <c r="C21088" i="3"/>
  <c r="B21088" i="3"/>
  <c r="D21087" i="3"/>
  <c r="C21087" i="3"/>
  <c r="B21087" i="3"/>
  <c r="D21086" i="3"/>
  <c r="C21086" i="3"/>
  <c r="B21086" i="3"/>
  <c r="D21085" i="3"/>
  <c r="C21085" i="3"/>
  <c r="B21085" i="3"/>
  <c r="D21084" i="3"/>
  <c r="C21084" i="3"/>
  <c r="B21084" i="3"/>
  <c r="D21083" i="3"/>
  <c r="C21083" i="3"/>
  <c r="B21083" i="3"/>
  <c r="D21082" i="3"/>
  <c r="C21082" i="3"/>
  <c r="B21082" i="3"/>
  <c r="D21081" i="3"/>
  <c r="C21081" i="3"/>
  <c r="B21081" i="3"/>
  <c r="D21080" i="3"/>
  <c r="C21080" i="3"/>
  <c r="B21080" i="3"/>
  <c r="D21079" i="3"/>
  <c r="C21079" i="3"/>
  <c r="B21079" i="3"/>
  <c r="D21078" i="3"/>
  <c r="C21078" i="3"/>
  <c r="B21078" i="3"/>
  <c r="D21077" i="3"/>
  <c r="C21077" i="3"/>
  <c r="B21077" i="3"/>
  <c r="D21076" i="3"/>
  <c r="C21076" i="3"/>
  <c r="B21076" i="3"/>
  <c r="D21075" i="3"/>
  <c r="C21075" i="3"/>
  <c r="B21075" i="3"/>
  <c r="D21074" i="3"/>
  <c r="C21074" i="3"/>
  <c r="B21074" i="3"/>
  <c r="D21073" i="3"/>
  <c r="C21073" i="3"/>
  <c r="B21073" i="3"/>
  <c r="D21072" i="3"/>
  <c r="C21072" i="3"/>
  <c r="B21072" i="3"/>
  <c r="D21071" i="3"/>
  <c r="C21071" i="3"/>
  <c r="B21071" i="3"/>
  <c r="D21070" i="3"/>
  <c r="C21070" i="3"/>
  <c r="B21070" i="3"/>
  <c r="D21069" i="3"/>
  <c r="C21069" i="3"/>
  <c r="B21069" i="3"/>
  <c r="D21068" i="3"/>
  <c r="C21068" i="3"/>
  <c r="B21068" i="3"/>
  <c r="D21067" i="3"/>
  <c r="C21067" i="3"/>
  <c r="B21067" i="3"/>
  <c r="D21066" i="3"/>
  <c r="C21066" i="3"/>
  <c r="B21066" i="3"/>
  <c r="D21065" i="3"/>
  <c r="C21065" i="3"/>
  <c r="B21065" i="3"/>
  <c r="D21064" i="3"/>
  <c r="C21064" i="3"/>
  <c r="B21064" i="3"/>
  <c r="D21063" i="3"/>
  <c r="C21063" i="3"/>
  <c r="B21063" i="3"/>
  <c r="D21062" i="3"/>
  <c r="C21062" i="3"/>
  <c r="B21062" i="3"/>
  <c r="D21061" i="3"/>
  <c r="C21061" i="3"/>
  <c r="B21061" i="3"/>
  <c r="D21060" i="3"/>
  <c r="C21060" i="3"/>
  <c r="B21060" i="3"/>
  <c r="D21059" i="3"/>
  <c r="C21059" i="3"/>
  <c r="B21059" i="3"/>
  <c r="D21058" i="3"/>
  <c r="C21058" i="3"/>
  <c r="B21058" i="3"/>
  <c r="D21057" i="3"/>
  <c r="C21057" i="3"/>
  <c r="B21057" i="3"/>
  <c r="D21056" i="3"/>
  <c r="C21056" i="3"/>
  <c r="B21056" i="3"/>
  <c r="D21055" i="3"/>
  <c r="C21055" i="3"/>
  <c r="B21055" i="3"/>
  <c r="D21054" i="3"/>
  <c r="C21054" i="3"/>
  <c r="B21054" i="3"/>
  <c r="D21053" i="3"/>
  <c r="C21053" i="3"/>
  <c r="B21053" i="3"/>
  <c r="D21052" i="3"/>
  <c r="C21052" i="3"/>
  <c r="B21052" i="3"/>
  <c r="D21051" i="3"/>
  <c r="C21051" i="3"/>
  <c r="B21051" i="3"/>
  <c r="D21050" i="3"/>
  <c r="C21050" i="3"/>
  <c r="B21050" i="3"/>
  <c r="D21049" i="3"/>
  <c r="C21049" i="3"/>
  <c r="B21049" i="3"/>
  <c r="D21048" i="3"/>
  <c r="C21048" i="3"/>
  <c r="B21048" i="3"/>
  <c r="D21047" i="3"/>
  <c r="C21047" i="3"/>
  <c r="B21047" i="3"/>
  <c r="D21046" i="3"/>
  <c r="C21046" i="3"/>
  <c r="B21046" i="3"/>
  <c r="D21045" i="3"/>
  <c r="C21045" i="3"/>
  <c r="B21045" i="3"/>
  <c r="D21044" i="3"/>
  <c r="C21044" i="3"/>
  <c r="B21044" i="3"/>
  <c r="D21043" i="3"/>
  <c r="C21043" i="3"/>
  <c r="B21043" i="3"/>
  <c r="D21042" i="3"/>
  <c r="C21042" i="3"/>
  <c r="B21042" i="3"/>
  <c r="D21041" i="3"/>
  <c r="C21041" i="3"/>
  <c r="B21041" i="3"/>
  <c r="D21040" i="3"/>
  <c r="C21040" i="3"/>
  <c r="B21040" i="3"/>
  <c r="D21039" i="3"/>
  <c r="C21039" i="3"/>
  <c r="B21039" i="3"/>
  <c r="D21038" i="3"/>
  <c r="C21038" i="3"/>
  <c r="B21038" i="3"/>
  <c r="D21037" i="3"/>
  <c r="C21037" i="3"/>
  <c r="B21037" i="3"/>
  <c r="D21036" i="3"/>
  <c r="C21036" i="3"/>
  <c r="B21036" i="3"/>
  <c r="D21035" i="3"/>
  <c r="C21035" i="3"/>
  <c r="B21035" i="3"/>
  <c r="D21034" i="3"/>
  <c r="C21034" i="3"/>
  <c r="B21034" i="3"/>
  <c r="D21033" i="3"/>
  <c r="C21033" i="3"/>
  <c r="B21033" i="3"/>
  <c r="D21032" i="3"/>
  <c r="C21032" i="3"/>
  <c r="B21032" i="3"/>
  <c r="D21031" i="3"/>
  <c r="C21031" i="3"/>
  <c r="B21031" i="3"/>
  <c r="D21030" i="3"/>
  <c r="C21030" i="3"/>
  <c r="B21030" i="3"/>
  <c r="D21029" i="3"/>
  <c r="C21029" i="3"/>
  <c r="B21029" i="3"/>
  <c r="D21028" i="3"/>
  <c r="C21028" i="3"/>
  <c r="B21028" i="3"/>
  <c r="D21027" i="3"/>
  <c r="C21027" i="3"/>
  <c r="B21027" i="3"/>
  <c r="D21026" i="3"/>
  <c r="C21026" i="3"/>
  <c r="B21026" i="3"/>
  <c r="D21025" i="3"/>
  <c r="C21025" i="3"/>
  <c r="B21025" i="3"/>
  <c r="D21024" i="3"/>
  <c r="C21024" i="3"/>
  <c r="B21024" i="3"/>
  <c r="D21023" i="3"/>
  <c r="C21023" i="3"/>
  <c r="B21023" i="3"/>
  <c r="D21022" i="3"/>
  <c r="C21022" i="3"/>
  <c r="B21022" i="3"/>
  <c r="D21021" i="3"/>
  <c r="C21021" i="3"/>
  <c r="B21021" i="3"/>
  <c r="D21020" i="3"/>
  <c r="C21020" i="3"/>
  <c r="B21020" i="3"/>
  <c r="D21019" i="3"/>
  <c r="C21019" i="3"/>
  <c r="B21019" i="3"/>
  <c r="D21018" i="3"/>
  <c r="C21018" i="3"/>
  <c r="B21018" i="3"/>
  <c r="D21017" i="3"/>
  <c r="C21017" i="3"/>
  <c r="B21017" i="3"/>
  <c r="D21016" i="3"/>
  <c r="C21016" i="3"/>
  <c r="B21016" i="3"/>
  <c r="D21015" i="3"/>
  <c r="C21015" i="3"/>
  <c r="B21015" i="3"/>
  <c r="D21014" i="3"/>
  <c r="C21014" i="3"/>
  <c r="B21014" i="3"/>
  <c r="D21013" i="3"/>
  <c r="C21013" i="3"/>
  <c r="B21013" i="3"/>
  <c r="D21012" i="3"/>
  <c r="C21012" i="3"/>
  <c r="B21012" i="3"/>
  <c r="D21011" i="3"/>
  <c r="C21011" i="3"/>
  <c r="B21011" i="3"/>
  <c r="D21010" i="3"/>
  <c r="C21010" i="3"/>
  <c r="B21010" i="3"/>
  <c r="D21009" i="3"/>
  <c r="C21009" i="3"/>
  <c r="B21009" i="3"/>
  <c r="D21008" i="3"/>
  <c r="C21008" i="3"/>
  <c r="B21008" i="3"/>
  <c r="D21007" i="3"/>
  <c r="C21007" i="3"/>
  <c r="B21007" i="3"/>
  <c r="D21006" i="3"/>
  <c r="C21006" i="3"/>
  <c r="B21006" i="3"/>
  <c r="D21005" i="3"/>
  <c r="C21005" i="3"/>
  <c r="B21005" i="3"/>
  <c r="D21004" i="3"/>
  <c r="C21004" i="3"/>
  <c r="B21004" i="3"/>
  <c r="D21003" i="3"/>
  <c r="C21003" i="3"/>
  <c r="B21003" i="3"/>
  <c r="D21002" i="3"/>
  <c r="C21002" i="3"/>
  <c r="B21002" i="3"/>
  <c r="D21001" i="3"/>
  <c r="C21001" i="3"/>
  <c r="B21001" i="3"/>
  <c r="D21000" i="3"/>
  <c r="C21000" i="3"/>
  <c r="B21000" i="3"/>
  <c r="D20999" i="3"/>
  <c r="C20999" i="3"/>
  <c r="B20999" i="3"/>
  <c r="D20998" i="3"/>
  <c r="C20998" i="3"/>
  <c r="B20998" i="3"/>
  <c r="D20997" i="3"/>
  <c r="C20997" i="3"/>
  <c r="B20997" i="3"/>
  <c r="D20996" i="3"/>
  <c r="C20996" i="3"/>
  <c r="B20996" i="3"/>
  <c r="D20995" i="3"/>
  <c r="C20995" i="3"/>
  <c r="B20995" i="3"/>
  <c r="D20994" i="3"/>
  <c r="C20994" i="3"/>
  <c r="B20994" i="3"/>
  <c r="D20993" i="3"/>
  <c r="C20993" i="3"/>
  <c r="B20993" i="3"/>
  <c r="D20992" i="3"/>
  <c r="C20992" i="3"/>
  <c r="B20992" i="3"/>
  <c r="D20991" i="3"/>
  <c r="C20991" i="3"/>
  <c r="B20991" i="3"/>
  <c r="D20990" i="3"/>
  <c r="C20990" i="3"/>
  <c r="B20990" i="3"/>
  <c r="D20989" i="3"/>
  <c r="C20989" i="3"/>
  <c r="B20989" i="3"/>
  <c r="D20988" i="3"/>
  <c r="C20988" i="3"/>
  <c r="B20988" i="3"/>
  <c r="D20987" i="3"/>
  <c r="C20987" i="3"/>
  <c r="B20987" i="3"/>
  <c r="D20986" i="3"/>
  <c r="C20986" i="3"/>
  <c r="B20986" i="3"/>
  <c r="D20985" i="3"/>
  <c r="C20985" i="3"/>
  <c r="B20985" i="3"/>
  <c r="D20984" i="3"/>
  <c r="C20984" i="3"/>
  <c r="B20984" i="3"/>
  <c r="D20983" i="3"/>
  <c r="C20983" i="3"/>
  <c r="B20983" i="3"/>
  <c r="D20982" i="3"/>
  <c r="C20982" i="3"/>
  <c r="B20982" i="3"/>
  <c r="D20981" i="3"/>
  <c r="C20981" i="3"/>
  <c r="B20981" i="3"/>
  <c r="D20980" i="3"/>
  <c r="C20980" i="3"/>
  <c r="B20980" i="3"/>
  <c r="D20979" i="3"/>
  <c r="C20979" i="3"/>
  <c r="B20979" i="3"/>
  <c r="D20978" i="3"/>
  <c r="C20978" i="3"/>
  <c r="B20978" i="3"/>
  <c r="D20977" i="3"/>
  <c r="C20977" i="3"/>
  <c r="B20977" i="3"/>
  <c r="D20976" i="3"/>
  <c r="C20976" i="3"/>
  <c r="B20976" i="3"/>
  <c r="D20975" i="3"/>
  <c r="C20975" i="3"/>
  <c r="B20975" i="3"/>
  <c r="D20974" i="3"/>
  <c r="C20974" i="3"/>
  <c r="B20974" i="3"/>
  <c r="D20973" i="3"/>
  <c r="C20973" i="3"/>
  <c r="B20973" i="3"/>
  <c r="D20972" i="3"/>
  <c r="C20972" i="3"/>
  <c r="B20972" i="3"/>
  <c r="D20971" i="3"/>
  <c r="C20971" i="3"/>
  <c r="B20971" i="3"/>
  <c r="D20970" i="3"/>
  <c r="C20970" i="3"/>
  <c r="B20970" i="3"/>
  <c r="D20969" i="3"/>
  <c r="C20969" i="3"/>
  <c r="B20969" i="3"/>
  <c r="D20968" i="3"/>
  <c r="C20968" i="3"/>
  <c r="B20968" i="3"/>
  <c r="D20967" i="3"/>
  <c r="C20967" i="3"/>
  <c r="B20967" i="3"/>
  <c r="D20966" i="3"/>
  <c r="C20966" i="3"/>
  <c r="B20966" i="3"/>
  <c r="D20965" i="3"/>
  <c r="C20965" i="3"/>
  <c r="B20965" i="3"/>
  <c r="D20964" i="3"/>
  <c r="C20964" i="3"/>
  <c r="B20964" i="3"/>
  <c r="D20963" i="3"/>
  <c r="C20963" i="3"/>
  <c r="B20963" i="3"/>
  <c r="D20962" i="3"/>
  <c r="C20962" i="3"/>
  <c r="B20962" i="3"/>
  <c r="D20961" i="3"/>
  <c r="C20961" i="3"/>
  <c r="B20961" i="3"/>
  <c r="D20960" i="3"/>
  <c r="C20960" i="3"/>
  <c r="B20960" i="3"/>
  <c r="D20959" i="3"/>
  <c r="C20959" i="3"/>
  <c r="B20959" i="3"/>
  <c r="D20958" i="3"/>
  <c r="C20958" i="3"/>
  <c r="B20958" i="3"/>
  <c r="D20957" i="3"/>
  <c r="C20957" i="3"/>
  <c r="B20957" i="3"/>
  <c r="D20956" i="3"/>
  <c r="C20956" i="3"/>
  <c r="B20956" i="3"/>
  <c r="D20955" i="3"/>
  <c r="C20955" i="3"/>
  <c r="B20955" i="3"/>
  <c r="D20954" i="3"/>
  <c r="C20954" i="3"/>
  <c r="B20954" i="3"/>
  <c r="D20953" i="3"/>
  <c r="C20953" i="3"/>
  <c r="B20953" i="3"/>
  <c r="D20952" i="3"/>
  <c r="C20952" i="3"/>
  <c r="B20952" i="3"/>
  <c r="D20951" i="3"/>
  <c r="C20951" i="3"/>
  <c r="B20951" i="3"/>
  <c r="D20950" i="3"/>
  <c r="C20950" i="3"/>
  <c r="B20950" i="3"/>
  <c r="D20949" i="3"/>
  <c r="C20949" i="3"/>
  <c r="B20949" i="3"/>
  <c r="D20948" i="3"/>
  <c r="C20948" i="3"/>
  <c r="B20948" i="3"/>
  <c r="D20947" i="3"/>
  <c r="C20947" i="3"/>
  <c r="B20947" i="3"/>
  <c r="D20946" i="3"/>
  <c r="C20946" i="3"/>
  <c r="B20946" i="3"/>
  <c r="D20945" i="3"/>
  <c r="C20945" i="3"/>
  <c r="B20945" i="3"/>
  <c r="D20944" i="3"/>
  <c r="C20944" i="3"/>
  <c r="B20944" i="3"/>
  <c r="D20943" i="3"/>
  <c r="C20943" i="3"/>
  <c r="B20943" i="3"/>
  <c r="D20942" i="3"/>
  <c r="C20942" i="3"/>
  <c r="B20942" i="3"/>
  <c r="D20941" i="3"/>
  <c r="C20941" i="3"/>
  <c r="B20941" i="3"/>
  <c r="D20940" i="3"/>
  <c r="C20940" i="3"/>
  <c r="B20940" i="3"/>
  <c r="D20939" i="3"/>
  <c r="C20939" i="3"/>
  <c r="B20939" i="3"/>
  <c r="D20938" i="3"/>
  <c r="C20938" i="3"/>
  <c r="B20938" i="3"/>
  <c r="D20937" i="3"/>
  <c r="C20937" i="3"/>
  <c r="B20937" i="3"/>
  <c r="D20936" i="3"/>
  <c r="C20936" i="3"/>
  <c r="B20936" i="3"/>
  <c r="D20935" i="3"/>
  <c r="C20935" i="3"/>
  <c r="B20935" i="3"/>
  <c r="D20934" i="3"/>
  <c r="C20934" i="3"/>
  <c r="B20934" i="3"/>
  <c r="D20933" i="3"/>
  <c r="C20933" i="3"/>
  <c r="B20933" i="3"/>
  <c r="D20932" i="3"/>
  <c r="C20932" i="3"/>
  <c r="B20932" i="3"/>
  <c r="D20931" i="3"/>
  <c r="C20931" i="3"/>
  <c r="B20931" i="3"/>
  <c r="D20930" i="3"/>
  <c r="C20930" i="3"/>
  <c r="B20930" i="3"/>
  <c r="D20929" i="3"/>
  <c r="C20929" i="3"/>
  <c r="B20929" i="3"/>
  <c r="D20928" i="3"/>
  <c r="C20928" i="3"/>
  <c r="B20928" i="3"/>
  <c r="D20927" i="3"/>
  <c r="C20927" i="3"/>
  <c r="B20927" i="3"/>
  <c r="D20926" i="3"/>
  <c r="C20926" i="3"/>
  <c r="B20926" i="3"/>
  <c r="D20925" i="3"/>
  <c r="C20925" i="3"/>
  <c r="B20925" i="3"/>
  <c r="D20924" i="3"/>
  <c r="C20924" i="3"/>
  <c r="B20924" i="3"/>
  <c r="D20923" i="3"/>
  <c r="C20923" i="3"/>
  <c r="B20923" i="3"/>
  <c r="D20922" i="3"/>
  <c r="C20922" i="3"/>
  <c r="B20922" i="3"/>
  <c r="D20921" i="3"/>
  <c r="C20921" i="3"/>
  <c r="B20921" i="3"/>
  <c r="D20920" i="3"/>
  <c r="C20920" i="3"/>
  <c r="B20920" i="3"/>
  <c r="D20919" i="3"/>
  <c r="C20919" i="3"/>
  <c r="B20919" i="3"/>
  <c r="D20918" i="3"/>
  <c r="C20918" i="3"/>
  <c r="B20918" i="3"/>
  <c r="D20917" i="3"/>
  <c r="C20917" i="3"/>
  <c r="B20917" i="3"/>
  <c r="D20916" i="3"/>
  <c r="C20916" i="3"/>
  <c r="B20916" i="3"/>
  <c r="D20915" i="3"/>
  <c r="C20915" i="3"/>
  <c r="B20915" i="3"/>
  <c r="D20914" i="3"/>
  <c r="C20914" i="3"/>
  <c r="B20914" i="3"/>
  <c r="D20913" i="3"/>
  <c r="C20913" i="3"/>
  <c r="B20913" i="3"/>
  <c r="D20912" i="3"/>
  <c r="C20912" i="3"/>
  <c r="B20912" i="3"/>
  <c r="D20911" i="3"/>
  <c r="C20911" i="3"/>
  <c r="B20911" i="3"/>
  <c r="D20910" i="3"/>
  <c r="C20910" i="3"/>
  <c r="B20910" i="3"/>
  <c r="D20909" i="3"/>
  <c r="C20909" i="3"/>
  <c r="B20909" i="3"/>
  <c r="D20908" i="3"/>
  <c r="C20908" i="3"/>
  <c r="B20908" i="3"/>
  <c r="D20907" i="3"/>
  <c r="C20907" i="3"/>
  <c r="B20907" i="3"/>
  <c r="D20906" i="3"/>
  <c r="C20906" i="3"/>
  <c r="B20906" i="3"/>
  <c r="D20905" i="3"/>
  <c r="C20905" i="3"/>
  <c r="B20905" i="3"/>
  <c r="D20904" i="3"/>
  <c r="C20904" i="3"/>
  <c r="B20904" i="3"/>
  <c r="D20903" i="3"/>
  <c r="C20903" i="3"/>
  <c r="B20903" i="3"/>
  <c r="D20902" i="3"/>
  <c r="C20902" i="3"/>
  <c r="B20902" i="3"/>
  <c r="D20901" i="3"/>
  <c r="C20901" i="3"/>
  <c r="B20901" i="3"/>
  <c r="D20900" i="3"/>
  <c r="C20900" i="3"/>
  <c r="B20900" i="3"/>
  <c r="D20899" i="3"/>
  <c r="C20899" i="3"/>
  <c r="B20899" i="3"/>
  <c r="D20898" i="3"/>
  <c r="C20898" i="3"/>
  <c r="B20898" i="3"/>
  <c r="D20897" i="3"/>
  <c r="C20897" i="3"/>
  <c r="B20897" i="3"/>
  <c r="D20896" i="3"/>
  <c r="C20896" i="3"/>
  <c r="B20896" i="3"/>
  <c r="D20895" i="3"/>
  <c r="C20895" i="3"/>
  <c r="B20895" i="3"/>
  <c r="D20894" i="3"/>
  <c r="C20894" i="3"/>
  <c r="B20894" i="3"/>
  <c r="D20893" i="3"/>
  <c r="C20893" i="3"/>
  <c r="B20893" i="3"/>
  <c r="D20892" i="3"/>
  <c r="C20892" i="3"/>
  <c r="B20892" i="3"/>
  <c r="D20891" i="3"/>
  <c r="C20891" i="3"/>
  <c r="B20891" i="3"/>
  <c r="D20890" i="3"/>
  <c r="C20890" i="3"/>
  <c r="B20890" i="3"/>
  <c r="D20889" i="3"/>
  <c r="C20889" i="3"/>
  <c r="B20889" i="3"/>
  <c r="D20888" i="3"/>
  <c r="C20888" i="3"/>
  <c r="B20888" i="3"/>
  <c r="D20887" i="3"/>
  <c r="C20887" i="3"/>
  <c r="B20887" i="3"/>
  <c r="D20886" i="3"/>
  <c r="C20886" i="3"/>
  <c r="B20886" i="3"/>
  <c r="D20885" i="3"/>
  <c r="C20885" i="3"/>
  <c r="B20885" i="3"/>
  <c r="D20884" i="3"/>
  <c r="C20884" i="3"/>
  <c r="B20884" i="3"/>
  <c r="D20883" i="3"/>
  <c r="C20883" i="3"/>
  <c r="B20883" i="3"/>
  <c r="D20882" i="3"/>
  <c r="C20882" i="3"/>
  <c r="B20882" i="3"/>
  <c r="D20881" i="3"/>
  <c r="C20881" i="3"/>
  <c r="B20881" i="3"/>
  <c r="D20880" i="3"/>
  <c r="C20880" i="3"/>
  <c r="B20880" i="3"/>
  <c r="D20879" i="3"/>
  <c r="C20879" i="3"/>
  <c r="B20879" i="3"/>
  <c r="D20878" i="3"/>
  <c r="C20878" i="3"/>
  <c r="B20878" i="3"/>
  <c r="D20877" i="3"/>
  <c r="C20877" i="3"/>
  <c r="B20877" i="3"/>
  <c r="D20876" i="3"/>
  <c r="C20876" i="3"/>
  <c r="B20876" i="3"/>
  <c r="D20875" i="3"/>
  <c r="C20875" i="3"/>
  <c r="B20875" i="3"/>
  <c r="D20874" i="3"/>
  <c r="C20874" i="3"/>
  <c r="B20874" i="3"/>
  <c r="D20873" i="3"/>
  <c r="C20873" i="3"/>
  <c r="B20873" i="3"/>
  <c r="D20872" i="3"/>
  <c r="C20872" i="3"/>
  <c r="B20872" i="3"/>
  <c r="D20871" i="3"/>
  <c r="C20871" i="3"/>
  <c r="B20871" i="3"/>
  <c r="D20870" i="3"/>
  <c r="C20870" i="3"/>
  <c r="B20870" i="3"/>
  <c r="D20869" i="3"/>
  <c r="C20869" i="3"/>
  <c r="B20869" i="3"/>
  <c r="D20868" i="3"/>
  <c r="C20868" i="3"/>
  <c r="B20868" i="3"/>
  <c r="D20867" i="3"/>
  <c r="C20867" i="3"/>
  <c r="B20867" i="3"/>
  <c r="D20866" i="3"/>
  <c r="C20866" i="3"/>
  <c r="B20866" i="3"/>
  <c r="D20865" i="3"/>
  <c r="C20865" i="3"/>
  <c r="B20865" i="3"/>
  <c r="D20864" i="3"/>
  <c r="C20864" i="3"/>
  <c r="B20864" i="3"/>
  <c r="D20863" i="3"/>
  <c r="C20863" i="3"/>
  <c r="B20863" i="3"/>
  <c r="D20862" i="3"/>
  <c r="C20862" i="3"/>
  <c r="B20862" i="3"/>
  <c r="D20861" i="3"/>
  <c r="C20861" i="3"/>
  <c r="B20861" i="3"/>
  <c r="D20860" i="3"/>
  <c r="C20860" i="3"/>
  <c r="B20860" i="3"/>
  <c r="D20859" i="3"/>
  <c r="C20859" i="3"/>
  <c r="B20859" i="3"/>
  <c r="D20858" i="3"/>
  <c r="C20858" i="3"/>
  <c r="B20858" i="3"/>
  <c r="D20857" i="3"/>
  <c r="C20857" i="3"/>
  <c r="B20857" i="3"/>
  <c r="D20856" i="3"/>
  <c r="C20856" i="3"/>
  <c r="B20856" i="3"/>
  <c r="D20855" i="3"/>
  <c r="C20855" i="3"/>
  <c r="B20855" i="3"/>
  <c r="D20854" i="3"/>
  <c r="C20854" i="3"/>
  <c r="B20854" i="3"/>
  <c r="D20853" i="3"/>
  <c r="C20853" i="3"/>
  <c r="B20853" i="3"/>
  <c r="D20852" i="3"/>
  <c r="C20852" i="3"/>
  <c r="B20852" i="3"/>
  <c r="D20851" i="3"/>
  <c r="C20851" i="3"/>
  <c r="B20851" i="3"/>
  <c r="D20850" i="3"/>
  <c r="C20850" i="3"/>
  <c r="B20850" i="3"/>
  <c r="D20849" i="3"/>
  <c r="C20849" i="3"/>
  <c r="B20849" i="3"/>
  <c r="D20848" i="3"/>
  <c r="C20848" i="3"/>
  <c r="B20848" i="3"/>
  <c r="D20847" i="3"/>
  <c r="C20847" i="3"/>
  <c r="B20847" i="3"/>
  <c r="D20846" i="3"/>
  <c r="C20846" i="3"/>
  <c r="B20846" i="3"/>
  <c r="D20845" i="3"/>
  <c r="C20845" i="3"/>
  <c r="B20845" i="3"/>
  <c r="D20844" i="3"/>
  <c r="C20844" i="3"/>
  <c r="B20844" i="3"/>
  <c r="D20843" i="3"/>
  <c r="C20843" i="3"/>
  <c r="B20843" i="3"/>
  <c r="D20842" i="3"/>
  <c r="C20842" i="3"/>
  <c r="B20842" i="3"/>
  <c r="D20841" i="3"/>
  <c r="C20841" i="3"/>
  <c r="B20841" i="3"/>
  <c r="D20840" i="3"/>
  <c r="C20840" i="3"/>
  <c r="B20840" i="3"/>
  <c r="D20839" i="3"/>
  <c r="C20839" i="3"/>
  <c r="B20839" i="3"/>
  <c r="D20838" i="3"/>
  <c r="C20838" i="3"/>
  <c r="B20838" i="3"/>
  <c r="D20837" i="3"/>
  <c r="C20837" i="3"/>
  <c r="B20837" i="3"/>
  <c r="D20836" i="3"/>
  <c r="C20836" i="3"/>
  <c r="B20836" i="3"/>
  <c r="D20835" i="3"/>
  <c r="C20835" i="3"/>
  <c r="B20835" i="3"/>
  <c r="D20834" i="3"/>
  <c r="C20834" i="3"/>
  <c r="B20834" i="3"/>
  <c r="D20833" i="3"/>
  <c r="C20833" i="3"/>
  <c r="B20833" i="3"/>
  <c r="D20832" i="3"/>
  <c r="C20832" i="3"/>
  <c r="B20832" i="3"/>
  <c r="D20831" i="3"/>
  <c r="C20831" i="3"/>
  <c r="B20831" i="3"/>
  <c r="D20830" i="3"/>
  <c r="C20830" i="3"/>
  <c r="B20830" i="3"/>
  <c r="D20829" i="3"/>
  <c r="C20829" i="3"/>
  <c r="B20829" i="3"/>
  <c r="D20828" i="3"/>
  <c r="C20828" i="3"/>
  <c r="B20828" i="3"/>
  <c r="D20827" i="3"/>
  <c r="C20827" i="3"/>
  <c r="B20827" i="3"/>
  <c r="D20826" i="3"/>
  <c r="C20826" i="3"/>
  <c r="B20826" i="3"/>
  <c r="D20825" i="3"/>
  <c r="C20825" i="3"/>
  <c r="B20825" i="3"/>
  <c r="D20824" i="3"/>
  <c r="C20824" i="3"/>
  <c r="B20824" i="3"/>
  <c r="D20823" i="3"/>
  <c r="C20823" i="3"/>
  <c r="B20823" i="3"/>
  <c r="D20822" i="3"/>
  <c r="C20822" i="3"/>
  <c r="B20822" i="3"/>
  <c r="D20821" i="3"/>
  <c r="C20821" i="3"/>
  <c r="B20821" i="3"/>
  <c r="D20820" i="3"/>
  <c r="C20820" i="3"/>
  <c r="B20820" i="3"/>
  <c r="D20819" i="3"/>
  <c r="C20819" i="3"/>
  <c r="B20819" i="3"/>
  <c r="D20818" i="3"/>
  <c r="C20818" i="3"/>
  <c r="B20818" i="3"/>
  <c r="D20817" i="3"/>
  <c r="C20817" i="3"/>
  <c r="B20817" i="3"/>
  <c r="D20816" i="3"/>
  <c r="C20816" i="3"/>
  <c r="B20816" i="3"/>
  <c r="D20815" i="3"/>
  <c r="C20815" i="3"/>
  <c r="B20815" i="3"/>
  <c r="D20814" i="3"/>
  <c r="C20814" i="3"/>
  <c r="B20814" i="3"/>
  <c r="D20813" i="3"/>
  <c r="C20813" i="3"/>
  <c r="B20813" i="3"/>
  <c r="D20812" i="3"/>
  <c r="C20812" i="3"/>
  <c r="B20812" i="3"/>
  <c r="D20811" i="3"/>
  <c r="C20811" i="3"/>
  <c r="B20811" i="3"/>
  <c r="D20810" i="3"/>
  <c r="C20810" i="3"/>
  <c r="B20810" i="3"/>
  <c r="D20809" i="3"/>
  <c r="C20809" i="3"/>
  <c r="B20809" i="3"/>
  <c r="D20808" i="3"/>
  <c r="C20808" i="3"/>
  <c r="B20808" i="3"/>
  <c r="D20807" i="3"/>
  <c r="C20807" i="3"/>
  <c r="B20807" i="3"/>
  <c r="D20806" i="3"/>
  <c r="C20806" i="3"/>
  <c r="B20806" i="3"/>
  <c r="D20805" i="3"/>
  <c r="C20805" i="3"/>
  <c r="B20805" i="3"/>
  <c r="D20804" i="3"/>
  <c r="C20804" i="3"/>
  <c r="B20804" i="3"/>
  <c r="D20803" i="3"/>
  <c r="C20803" i="3"/>
  <c r="B20803" i="3"/>
  <c r="D20802" i="3"/>
  <c r="C20802" i="3"/>
  <c r="B20802" i="3"/>
  <c r="D20801" i="3"/>
  <c r="C20801" i="3"/>
  <c r="B20801" i="3"/>
  <c r="D20800" i="3"/>
  <c r="C20800" i="3"/>
  <c r="B20800" i="3"/>
  <c r="D20799" i="3"/>
  <c r="C20799" i="3"/>
  <c r="B20799" i="3"/>
  <c r="D20798" i="3"/>
  <c r="C20798" i="3"/>
  <c r="B20798" i="3"/>
  <c r="D20797" i="3"/>
  <c r="C20797" i="3"/>
  <c r="B20797" i="3"/>
  <c r="D20796" i="3"/>
  <c r="C20796" i="3"/>
  <c r="B20796" i="3"/>
  <c r="D20795" i="3"/>
  <c r="C20795" i="3"/>
  <c r="B20795" i="3"/>
  <c r="D20794" i="3"/>
  <c r="C20794" i="3"/>
  <c r="B20794" i="3"/>
  <c r="D20793" i="3"/>
  <c r="C20793" i="3"/>
  <c r="B20793" i="3"/>
  <c r="D20792" i="3"/>
  <c r="C20792" i="3"/>
  <c r="B20792" i="3"/>
  <c r="D20791" i="3"/>
  <c r="C20791" i="3"/>
  <c r="B20791" i="3"/>
  <c r="D20790" i="3"/>
  <c r="C20790" i="3"/>
  <c r="B20790" i="3"/>
  <c r="D20789" i="3"/>
  <c r="C20789" i="3"/>
  <c r="B20789" i="3"/>
  <c r="D20788" i="3"/>
  <c r="C20788" i="3"/>
  <c r="B20788" i="3"/>
  <c r="D20787" i="3"/>
  <c r="C20787" i="3"/>
  <c r="B20787" i="3"/>
  <c r="D20786" i="3"/>
  <c r="C20786" i="3"/>
  <c r="B20786" i="3"/>
  <c r="D20785" i="3"/>
  <c r="C20785" i="3"/>
  <c r="B20785" i="3"/>
  <c r="D20784" i="3"/>
  <c r="C20784" i="3"/>
  <c r="B20784" i="3"/>
  <c r="D20783" i="3"/>
  <c r="C20783" i="3"/>
  <c r="B20783" i="3"/>
  <c r="D20782" i="3"/>
  <c r="C20782" i="3"/>
  <c r="B20782" i="3"/>
  <c r="D20781" i="3"/>
  <c r="C20781" i="3"/>
  <c r="B20781" i="3"/>
  <c r="D20780" i="3"/>
  <c r="C20780" i="3"/>
  <c r="B20780" i="3"/>
  <c r="D20779" i="3"/>
  <c r="C20779" i="3"/>
  <c r="B20779" i="3"/>
  <c r="D20778" i="3"/>
  <c r="C20778" i="3"/>
  <c r="B20778" i="3"/>
  <c r="D20777" i="3"/>
  <c r="C20777" i="3"/>
  <c r="B20777" i="3"/>
  <c r="D20776" i="3"/>
  <c r="C20776" i="3"/>
  <c r="B20776" i="3"/>
  <c r="D20775" i="3"/>
  <c r="C20775" i="3"/>
  <c r="B20775" i="3"/>
  <c r="D20774" i="3"/>
  <c r="C20774" i="3"/>
  <c r="B20774" i="3"/>
  <c r="D20773" i="3"/>
  <c r="C20773" i="3"/>
  <c r="B20773" i="3"/>
  <c r="D20772" i="3"/>
  <c r="C20772" i="3"/>
  <c r="B20772" i="3"/>
  <c r="D20771" i="3"/>
  <c r="C20771" i="3"/>
  <c r="B20771" i="3"/>
  <c r="D20770" i="3"/>
  <c r="C20770" i="3"/>
  <c r="B20770" i="3"/>
  <c r="D20769" i="3"/>
  <c r="C20769" i="3"/>
  <c r="B20769" i="3"/>
  <c r="D20768" i="3"/>
  <c r="C20768" i="3"/>
  <c r="B20768" i="3"/>
  <c r="D20767" i="3"/>
  <c r="C20767" i="3"/>
  <c r="B20767" i="3"/>
  <c r="D20766" i="3"/>
  <c r="C20766" i="3"/>
  <c r="B20766" i="3"/>
  <c r="D20765" i="3"/>
  <c r="C20765" i="3"/>
  <c r="B20765" i="3"/>
  <c r="D20764" i="3"/>
  <c r="C20764" i="3"/>
  <c r="B20764" i="3"/>
  <c r="D20763" i="3"/>
  <c r="C20763" i="3"/>
  <c r="B20763" i="3"/>
  <c r="D20762" i="3"/>
  <c r="C20762" i="3"/>
  <c r="B20762" i="3"/>
  <c r="D20761" i="3"/>
  <c r="C20761" i="3"/>
  <c r="B20761" i="3"/>
  <c r="D20760" i="3"/>
  <c r="C20760" i="3"/>
  <c r="B20760" i="3"/>
  <c r="D20759" i="3"/>
  <c r="C20759" i="3"/>
  <c r="B20759" i="3"/>
  <c r="D20758" i="3"/>
  <c r="C20758" i="3"/>
  <c r="B20758" i="3"/>
  <c r="D20757" i="3"/>
  <c r="C20757" i="3"/>
  <c r="B20757" i="3"/>
  <c r="D20756" i="3"/>
  <c r="C20756" i="3"/>
  <c r="B20756" i="3"/>
  <c r="D20755" i="3"/>
  <c r="C20755" i="3"/>
  <c r="B20755" i="3"/>
  <c r="D20754" i="3"/>
  <c r="C20754" i="3"/>
  <c r="B20754" i="3"/>
  <c r="D20753" i="3"/>
  <c r="C20753" i="3"/>
  <c r="B20753" i="3"/>
  <c r="D20752" i="3"/>
  <c r="C20752" i="3"/>
  <c r="B20752" i="3"/>
  <c r="D20751" i="3"/>
  <c r="C20751" i="3"/>
  <c r="B20751" i="3"/>
  <c r="D20750" i="3"/>
  <c r="C20750" i="3"/>
  <c r="B20750" i="3"/>
  <c r="D20749" i="3"/>
  <c r="C20749" i="3"/>
  <c r="B20749" i="3"/>
  <c r="D20748" i="3"/>
  <c r="C20748" i="3"/>
  <c r="B20748" i="3"/>
  <c r="D20747" i="3"/>
  <c r="C20747" i="3"/>
  <c r="B20747" i="3"/>
  <c r="D20746" i="3"/>
  <c r="C20746" i="3"/>
  <c r="B20746" i="3"/>
  <c r="D20745" i="3"/>
  <c r="C20745" i="3"/>
  <c r="B20745" i="3"/>
  <c r="D20744" i="3"/>
  <c r="C20744" i="3"/>
  <c r="B20744" i="3"/>
  <c r="D20743" i="3"/>
  <c r="C20743" i="3"/>
  <c r="B20743" i="3"/>
  <c r="D20742" i="3"/>
  <c r="C20742" i="3"/>
  <c r="B20742" i="3"/>
  <c r="D20741" i="3"/>
  <c r="C20741" i="3"/>
  <c r="B20741" i="3"/>
  <c r="D20740" i="3"/>
  <c r="C20740" i="3"/>
  <c r="B20740" i="3"/>
  <c r="D20739" i="3"/>
  <c r="C20739" i="3"/>
  <c r="B20739" i="3"/>
  <c r="D20738" i="3"/>
  <c r="C20738" i="3"/>
  <c r="B20738" i="3"/>
  <c r="D20737" i="3"/>
  <c r="C20737" i="3"/>
  <c r="B20737" i="3"/>
  <c r="D20736" i="3"/>
  <c r="C20736" i="3"/>
  <c r="B20736" i="3"/>
  <c r="D20735" i="3"/>
  <c r="C20735" i="3"/>
  <c r="B20735" i="3"/>
  <c r="D20734" i="3"/>
  <c r="C20734" i="3"/>
  <c r="B20734" i="3"/>
  <c r="D20733" i="3"/>
  <c r="C20733" i="3"/>
  <c r="B20733" i="3"/>
  <c r="D20732" i="3"/>
  <c r="C20732" i="3"/>
  <c r="B20732" i="3"/>
  <c r="D20731" i="3"/>
  <c r="C20731" i="3"/>
  <c r="B20731" i="3"/>
  <c r="D20730" i="3"/>
  <c r="C20730" i="3"/>
  <c r="B20730" i="3"/>
  <c r="D20729" i="3"/>
  <c r="C20729" i="3"/>
  <c r="B20729" i="3"/>
  <c r="D20728" i="3"/>
  <c r="C20728" i="3"/>
  <c r="B20728" i="3"/>
  <c r="D20727" i="3"/>
  <c r="C20727" i="3"/>
  <c r="B20727" i="3"/>
  <c r="D20726" i="3"/>
  <c r="C20726" i="3"/>
  <c r="B20726" i="3"/>
  <c r="D20725" i="3"/>
  <c r="C20725" i="3"/>
  <c r="B20725" i="3"/>
  <c r="D20724" i="3"/>
  <c r="C20724" i="3"/>
  <c r="B20724" i="3"/>
  <c r="D20723" i="3"/>
  <c r="C20723" i="3"/>
  <c r="B20723" i="3"/>
  <c r="D20722" i="3"/>
  <c r="C20722" i="3"/>
  <c r="B20722" i="3"/>
  <c r="D20721" i="3"/>
  <c r="C20721" i="3"/>
  <c r="B20721" i="3"/>
  <c r="D20720" i="3"/>
  <c r="C20720" i="3"/>
  <c r="B20720" i="3"/>
  <c r="D20719" i="3"/>
  <c r="C20719" i="3"/>
  <c r="B20719" i="3"/>
  <c r="D20718" i="3"/>
  <c r="C20718" i="3"/>
  <c r="B20718" i="3"/>
  <c r="D20717" i="3"/>
  <c r="C20717" i="3"/>
  <c r="B20717" i="3"/>
  <c r="D20716" i="3"/>
  <c r="C20716" i="3"/>
  <c r="B20716" i="3"/>
  <c r="D20715" i="3"/>
  <c r="C20715" i="3"/>
  <c r="B20715" i="3"/>
  <c r="D20714" i="3"/>
  <c r="C20714" i="3"/>
  <c r="B20714" i="3"/>
  <c r="D20713" i="3"/>
  <c r="C20713" i="3"/>
  <c r="B20713" i="3"/>
  <c r="D20712" i="3"/>
  <c r="C20712" i="3"/>
  <c r="B20712" i="3"/>
  <c r="D20711" i="3"/>
  <c r="C20711" i="3"/>
  <c r="B20711" i="3"/>
  <c r="D20710" i="3"/>
  <c r="C20710" i="3"/>
  <c r="B20710" i="3"/>
  <c r="D20709" i="3"/>
  <c r="C20709" i="3"/>
  <c r="B20709" i="3"/>
  <c r="D20708" i="3"/>
  <c r="C20708" i="3"/>
  <c r="B20708" i="3"/>
  <c r="D20707" i="3"/>
  <c r="C20707" i="3"/>
  <c r="B20707" i="3"/>
  <c r="D20706" i="3"/>
  <c r="C20706" i="3"/>
  <c r="B20706" i="3"/>
  <c r="D20705" i="3"/>
  <c r="C20705" i="3"/>
  <c r="B20705" i="3"/>
  <c r="D20704" i="3"/>
  <c r="C20704" i="3"/>
  <c r="B20704" i="3"/>
  <c r="D20703" i="3"/>
  <c r="C20703" i="3"/>
  <c r="B20703" i="3"/>
  <c r="D20702" i="3"/>
  <c r="C20702" i="3"/>
  <c r="B20702" i="3"/>
  <c r="D20701" i="3"/>
  <c r="C20701" i="3"/>
  <c r="B20701" i="3"/>
  <c r="D20700" i="3"/>
  <c r="C20700" i="3"/>
  <c r="B20700" i="3"/>
  <c r="D20699" i="3"/>
  <c r="C20699" i="3"/>
  <c r="B20699" i="3"/>
  <c r="D20698" i="3"/>
  <c r="C20698" i="3"/>
  <c r="B20698" i="3"/>
  <c r="D20697" i="3"/>
  <c r="C20697" i="3"/>
  <c r="B20697" i="3"/>
  <c r="D20696" i="3"/>
  <c r="C20696" i="3"/>
  <c r="B20696" i="3"/>
  <c r="D20695" i="3"/>
  <c r="C20695" i="3"/>
  <c r="B20695" i="3"/>
  <c r="D20694" i="3"/>
  <c r="C20694" i="3"/>
  <c r="B20694" i="3"/>
  <c r="D20693" i="3"/>
  <c r="C20693" i="3"/>
  <c r="B20693" i="3"/>
  <c r="D20692" i="3"/>
  <c r="C20692" i="3"/>
  <c r="B20692" i="3"/>
  <c r="D20691" i="3"/>
  <c r="C20691" i="3"/>
  <c r="B20691" i="3"/>
  <c r="D20690" i="3"/>
  <c r="C20690" i="3"/>
  <c r="B20690" i="3"/>
  <c r="D20689" i="3"/>
  <c r="C20689" i="3"/>
  <c r="B20689" i="3"/>
  <c r="D20688" i="3"/>
  <c r="C20688" i="3"/>
  <c r="B20688" i="3"/>
  <c r="D20687" i="3"/>
  <c r="C20687" i="3"/>
  <c r="B20687" i="3"/>
  <c r="D20686" i="3"/>
  <c r="C20686" i="3"/>
  <c r="B20686" i="3"/>
  <c r="D20685" i="3"/>
  <c r="C20685" i="3"/>
  <c r="B20685" i="3"/>
  <c r="D20684" i="3"/>
  <c r="C20684" i="3"/>
  <c r="B20684" i="3"/>
  <c r="D20683" i="3"/>
  <c r="C20683" i="3"/>
  <c r="B20683" i="3"/>
  <c r="D20682" i="3"/>
  <c r="C20682" i="3"/>
  <c r="B20682" i="3"/>
  <c r="D20681" i="3"/>
  <c r="C20681" i="3"/>
  <c r="B20681" i="3"/>
  <c r="D20680" i="3"/>
  <c r="C20680" i="3"/>
  <c r="B20680" i="3"/>
  <c r="D20679" i="3"/>
  <c r="C20679" i="3"/>
  <c r="B20679" i="3"/>
  <c r="D20678" i="3"/>
  <c r="C20678" i="3"/>
  <c r="B20678" i="3"/>
  <c r="D20677" i="3"/>
  <c r="C20677" i="3"/>
  <c r="B20677" i="3"/>
  <c r="D20676" i="3"/>
  <c r="C20676" i="3"/>
  <c r="B20676" i="3"/>
  <c r="D20675" i="3"/>
  <c r="C20675" i="3"/>
  <c r="B20675" i="3"/>
  <c r="D20674" i="3"/>
  <c r="C20674" i="3"/>
  <c r="B20674" i="3"/>
  <c r="D20673" i="3"/>
  <c r="C20673" i="3"/>
  <c r="B20673" i="3"/>
  <c r="D20672" i="3"/>
  <c r="C20672" i="3"/>
  <c r="B20672" i="3"/>
  <c r="D20671" i="3"/>
  <c r="C20671" i="3"/>
  <c r="B20671" i="3"/>
  <c r="D20670" i="3"/>
  <c r="C20670" i="3"/>
  <c r="B20670" i="3"/>
  <c r="D20669" i="3"/>
  <c r="C20669" i="3"/>
  <c r="B20669" i="3"/>
  <c r="D20668" i="3"/>
  <c r="C20668" i="3"/>
  <c r="B20668" i="3"/>
  <c r="D20667" i="3"/>
  <c r="C20667" i="3"/>
  <c r="B20667" i="3"/>
  <c r="D20666" i="3"/>
  <c r="C20666" i="3"/>
  <c r="B20666" i="3"/>
  <c r="D20665" i="3"/>
  <c r="C20665" i="3"/>
  <c r="B20665" i="3"/>
  <c r="D20664" i="3"/>
  <c r="C20664" i="3"/>
  <c r="B20664" i="3"/>
  <c r="D20663" i="3"/>
  <c r="C20663" i="3"/>
  <c r="B20663" i="3"/>
  <c r="D20662" i="3"/>
  <c r="C20662" i="3"/>
  <c r="B20662" i="3"/>
  <c r="D20661" i="3"/>
  <c r="C20661" i="3"/>
  <c r="B20661" i="3"/>
  <c r="D20660" i="3"/>
  <c r="C20660" i="3"/>
  <c r="B20660" i="3"/>
  <c r="D20659" i="3"/>
  <c r="C20659" i="3"/>
  <c r="B20659" i="3"/>
  <c r="D20658" i="3"/>
  <c r="C20658" i="3"/>
  <c r="B20658" i="3"/>
  <c r="D20657" i="3"/>
  <c r="C20657" i="3"/>
  <c r="B20657" i="3"/>
  <c r="D20656" i="3"/>
  <c r="C20656" i="3"/>
  <c r="B20656" i="3"/>
  <c r="D20655" i="3"/>
  <c r="C20655" i="3"/>
  <c r="B20655" i="3"/>
  <c r="D20654" i="3"/>
  <c r="C20654" i="3"/>
  <c r="B20654" i="3"/>
  <c r="D20653" i="3"/>
  <c r="C20653" i="3"/>
  <c r="B20653" i="3"/>
  <c r="D20652" i="3"/>
  <c r="C20652" i="3"/>
  <c r="B20652" i="3"/>
  <c r="D20651" i="3"/>
  <c r="C20651" i="3"/>
  <c r="B20651" i="3"/>
  <c r="D20650" i="3"/>
  <c r="C20650" i="3"/>
  <c r="B20650" i="3"/>
  <c r="D20649" i="3"/>
  <c r="C20649" i="3"/>
  <c r="B20649" i="3"/>
  <c r="D20648" i="3"/>
  <c r="C20648" i="3"/>
  <c r="B20648" i="3"/>
  <c r="D20647" i="3"/>
  <c r="C20647" i="3"/>
  <c r="B20647" i="3"/>
  <c r="D20646" i="3"/>
  <c r="C20646" i="3"/>
  <c r="B20646" i="3"/>
  <c r="D20645" i="3"/>
  <c r="C20645" i="3"/>
  <c r="B20645" i="3"/>
  <c r="D20644" i="3"/>
  <c r="C20644" i="3"/>
  <c r="B20644" i="3"/>
  <c r="D20643" i="3"/>
  <c r="C20643" i="3"/>
  <c r="B20643" i="3"/>
  <c r="D20642" i="3"/>
  <c r="C20642" i="3"/>
  <c r="B20642" i="3"/>
  <c r="D20641" i="3"/>
  <c r="C20641" i="3"/>
  <c r="B20641" i="3"/>
  <c r="D20640" i="3"/>
  <c r="C20640" i="3"/>
  <c r="B20640" i="3"/>
  <c r="D20639" i="3"/>
  <c r="C20639" i="3"/>
  <c r="B20639" i="3"/>
  <c r="D20638" i="3"/>
  <c r="C20638" i="3"/>
  <c r="B20638" i="3"/>
  <c r="D20637" i="3"/>
  <c r="C20637" i="3"/>
  <c r="B20637" i="3"/>
  <c r="D20636" i="3"/>
  <c r="C20636" i="3"/>
  <c r="B20636" i="3"/>
  <c r="D20635" i="3"/>
  <c r="C20635" i="3"/>
  <c r="B20635" i="3"/>
  <c r="D20634" i="3"/>
  <c r="C20634" i="3"/>
  <c r="B20634" i="3"/>
  <c r="D20633" i="3"/>
  <c r="C20633" i="3"/>
  <c r="B20633" i="3"/>
  <c r="D20632" i="3"/>
  <c r="C20632" i="3"/>
  <c r="B20632" i="3"/>
  <c r="D20631" i="3"/>
  <c r="C20631" i="3"/>
  <c r="B20631" i="3"/>
  <c r="D20630" i="3"/>
  <c r="C20630" i="3"/>
  <c r="B20630" i="3"/>
  <c r="D20629" i="3"/>
  <c r="C20629" i="3"/>
  <c r="B20629" i="3"/>
  <c r="D20628" i="3"/>
  <c r="C20628" i="3"/>
  <c r="B20628" i="3"/>
  <c r="D20627" i="3"/>
  <c r="C20627" i="3"/>
  <c r="B20627" i="3"/>
  <c r="D20626" i="3"/>
  <c r="C20626" i="3"/>
  <c r="B20626" i="3"/>
  <c r="D20625" i="3"/>
  <c r="C20625" i="3"/>
  <c r="B20625" i="3"/>
  <c r="D20624" i="3"/>
  <c r="C20624" i="3"/>
  <c r="B20624" i="3"/>
  <c r="D20623" i="3"/>
  <c r="C20623" i="3"/>
  <c r="B20623" i="3"/>
  <c r="D20622" i="3"/>
  <c r="C20622" i="3"/>
  <c r="B20622" i="3"/>
  <c r="D20621" i="3"/>
  <c r="C20621" i="3"/>
  <c r="B20621" i="3"/>
  <c r="D20620" i="3"/>
  <c r="C20620" i="3"/>
  <c r="B20620" i="3"/>
  <c r="D20619" i="3"/>
  <c r="C20619" i="3"/>
  <c r="B20619" i="3"/>
  <c r="D20618" i="3"/>
  <c r="C20618" i="3"/>
  <c r="B20618" i="3"/>
  <c r="D20617" i="3"/>
  <c r="C20617" i="3"/>
  <c r="B20617" i="3"/>
  <c r="D20616" i="3"/>
  <c r="C20616" i="3"/>
  <c r="B20616" i="3"/>
  <c r="D20615" i="3"/>
  <c r="C20615" i="3"/>
  <c r="B20615" i="3"/>
  <c r="D20614" i="3"/>
  <c r="C20614" i="3"/>
  <c r="B20614" i="3"/>
  <c r="D20613" i="3"/>
  <c r="C20613" i="3"/>
  <c r="B20613" i="3"/>
  <c r="D20612" i="3"/>
  <c r="C20612" i="3"/>
  <c r="B20612" i="3"/>
  <c r="D20611" i="3"/>
  <c r="C20611" i="3"/>
  <c r="B20611" i="3"/>
  <c r="D20610" i="3"/>
  <c r="C20610" i="3"/>
  <c r="B20610" i="3"/>
  <c r="D20609" i="3"/>
  <c r="C20609" i="3"/>
  <c r="B20609" i="3"/>
  <c r="D20608" i="3"/>
  <c r="C20608" i="3"/>
  <c r="B20608" i="3"/>
  <c r="D20607" i="3"/>
  <c r="C20607" i="3"/>
  <c r="B20607" i="3"/>
  <c r="D20606" i="3"/>
  <c r="C20606" i="3"/>
  <c r="B20606" i="3"/>
  <c r="D20605" i="3"/>
  <c r="C20605" i="3"/>
  <c r="B20605" i="3"/>
  <c r="D20604" i="3"/>
  <c r="C20604" i="3"/>
  <c r="B20604" i="3"/>
  <c r="D20603" i="3"/>
  <c r="C20603" i="3"/>
  <c r="B20603" i="3"/>
  <c r="D20602" i="3"/>
  <c r="C20602" i="3"/>
  <c r="B20602" i="3"/>
  <c r="D20601" i="3"/>
  <c r="C20601" i="3"/>
  <c r="B20601" i="3"/>
  <c r="D20600" i="3"/>
  <c r="C20600" i="3"/>
  <c r="B20600" i="3"/>
  <c r="D20599" i="3"/>
  <c r="C20599" i="3"/>
  <c r="B20599" i="3"/>
  <c r="D20598" i="3"/>
  <c r="C20598" i="3"/>
  <c r="B20598" i="3"/>
  <c r="D20597" i="3"/>
  <c r="C20597" i="3"/>
  <c r="B20597" i="3"/>
  <c r="D20596" i="3"/>
  <c r="C20596" i="3"/>
  <c r="B20596" i="3"/>
  <c r="D20595" i="3"/>
  <c r="C20595" i="3"/>
  <c r="B20595" i="3"/>
  <c r="D20594" i="3"/>
  <c r="C20594" i="3"/>
  <c r="B20594" i="3"/>
  <c r="D20593" i="3"/>
  <c r="C20593" i="3"/>
  <c r="B20593" i="3"/>
  <c r="D20592" i="3"/>
  <c r="C20592" i="3"/>
  <c r="B20592" i="3"/>
  <c r="D20591" i="3"/>
  <c r="C20591" i="3"/>
  <c r="B20591" i="3"/>
  <c r="D20590" i="3"/>
  <c r="C20590" i="3"/>
  <c r="B20590" i="3"/>
  <c r="D20589" i="3"/>
  <c r="C20589" i="3"/>
  <c r="B20589" i="3"/>
  <c r="D20588" i="3"/>
  <c r="C20588" i="3"/>
  <c r="B20588" i="3"/>
  <c r="D20587" i="3"/>
  <c r="C20587" i="3"/>
  <c r="B20587" i="3"/>
  <c r="D20586" i="3"/>
  <c r="C20586" i="3"/>
  <c r="B20586" i="3"/>
  <c r="D20585" i="3"/>
  <c r="C20585" i="3"/>
  <c r="B20585" i="3"/>
  <c r="D20584" i="3"/>
  <c r="C20584" i="3"/>
  <c r="B20584" i="3"/>
  <c r="D20583" i="3"/>
  <c r="C20583" i="3"/>
  <c r="B20583" i="3"/>
  <c r="D20582" i="3"/>
  <c r="C20582" i="3"/>
  <c r="B20582" i="3"/>
  <c r="D20581" i="3"/>
  <c r="C20581" i="3"/>
  <c r="B20581" i="3"/>
  <c r="D20580" i="3"/>
  <c r="C20580" i="3"/>
  <c r="B20580" i="3"/>
  <c r="D20579" i="3"/>
  <c r="C20579" i="3"/>
  <c r="B20579" i="3"/>
  <c r="D20578" i="3"/>
  <c r="C20578" i="3"/>
  <c r="B20578" i="3"/>
  <c r="D20577" i="3"/>
  <c r="C20577" i="3"/>
  <c r="B20577" i="3"/>
  <c r="D20576" i="3"/>
  <c r="C20576" i="3"/>
  <c r="B20576" i="3"/>
  <c r="D20575" i="3"/>
  <c r="C20575" i="3"/>
  <c r="B20575" i="3"/>
  <c r="D20574" i="3"/>
  <c r="C20574" i="3"/>
  <c r="B20574" i="3"/>
  <c r="D20573" i="3"/>
  <c r="C20573" i="3"/>
  <c r="B20573" i="3"/>
  <c r="D20572" i="3"/>
  <c r="C20572" i="3"/>
  <c r="B20572" i="3"/>
  <c r="D20571" i="3"/>
  <c r="C20571" i="3"/>
  <c r="B20571" i="3"/>
  <c r="D20570" i="3"/>
  <c r="C20570" i="3"/>
  <c r="B20570" i="3"/>
  <c r="D20569" i="3"/>
  <c r="C20569" i="3"/>
  <c r="B20569" i="3"/>
  <c r="D20568" i="3"/>
  <c r="C20568" i="3"/>
  <c r="B20568" i="3"/>
  <c r="D20567" i="3"/>
  <c r="C20567" i="3"/>
  <c r="B20567" i="3"/>
  <c r="D20566" i="3"/>
  <c r="C20566" i="3"/>
  <c r="B20566" i="3"/>
  <c r="D20565" i="3"/>
  <c r="C20565" i="3"/>
  <c r="B20565" i="3"/>
  <c r="D20564" i="3"/>
  <c r="C20564" i="3"/>
  <c r="B20564" i="3"/>
  <c r="D20563" i="3"/>
  <c r="C20563" i="3"/>
  <c r="B20563" i="3"/>
  <c r="D20562" i="3"/>
  <c r="C20562" i="3"/>
  <c r="B20562" i="3"/>
  <c r="D20561" i="3"/>
  <c r="C20561" i="3"/>
  <c r="B20561" i="3"/>
  <c r="D20560" i="3"/>
  <c r="C20560" i="3"/>
  <c r="B20560" i="3"/>
  <c r="D20559" i="3"/>
  <c r="C20559" i="3"/>
  <c r="B20559" i="3"/>
  <c r="D20558" i="3"/>
  <c r="C20558" i="3"/>
  <c r="B20558" i="3"/>
  <c r="D20557" i="3"/>
  <c r="C20557" i="3"/>
  <c r="B20557" i="3"/>
  <c r="D20556" i="3"/>
  <c r="C20556" i="3"/>
  <c r="B20556" i="3"/>
  <c r="D20555" i="3"/>
  <c r="C20555" i="3"/>
  <c r="B20555" i="3"/>
  <c r="D20554" i="3"/>
  <c r="C20554" i="3"/>
  <c r="B20554" i="3"/>
  <c r="D20553" i="3"/>
  <c r="C20553" i="3"/>
  <c r="B20553" i="3"/>
  <c r="D20552" i="3"/>
  <c r="C20552" i="3"/>
  <c r="B20552" i="3"/>
  <c r="D20551" i="3"/>
  <c r="C20551" i="3"/>
  <c r="B20551" i="3"/>
  <c r="D20550" i="3"/>
  <c r="C20550" i="3"/>
  <c r="B20550" i="3"/>
  <c r="D20549" i="3"/>
  <c r="C20549" i="3"/>
  <c r="B20549" i="3"/>
  <c r="D20548" i="3"/>
  <c r="C20548" i="3"/>
  <c r="B20548" i="3"/>
  <c r="D20547" i="3"/>
  <c r="C20547" i="3"/>
  <c r="B20547" i="3"/>
  <c r="D20546" i="3"/>
  <c r="C20546" i="3"/>
  <c r="B20546" i="3"/>
  <c r="D20545" i="3"/>
  <c r="C20545" i="3"/>
  <c r="B20545" i="3"/>
  <c r="D20544" i="3"/>
  <c r="C20544" i="3"/>
  <c r="B20544" i="3"/>
  <c r="D20543" i="3"/>
  <c r="C20543" i="3"/>
  <c r="B20543" i="3"/>
  <c r="D20542" i="3"/>
  <c r="C20542" i="3"/>
  <c r="B20542" i="3"/>
  <c r="D20541" i="3"/>
  <c r="C20541" i="3"/>
  <c r="B20541" i="3"/>
  <c r="D20540" i="3"/>
  <c r="C20540" i="3"/>
  <c r="B20540" i="3"/>
  <c r="D20539" i="3"/>
  <c r="C20539" i="3"/>
  <c r="B20539" i="3"/>
  <c r="D20538" i="3"/>
  <c r="C20538" i="3"/>
  <c r="B20538" i="3"/>
  <c r="D20537" i="3"/>
  <c r="C20537" i="3"/>
  <c r="B20537" i="3"/>
  <c r="D20536" i="3"/>
  <c r="C20536" i="3"/>
  <c r="B20536" i="3"/>
  <c r="D20535" i="3"/>
  <c r="C20535" i="3"/>
  <c r="B20535" i="3"/>
  <c r="D20534" i="3"/>
  <c r="C20534" i="3"/>
  <c r="B20534" i="3"/>
  <c r="D20533" i="3"/>
  <c r="C20533" i="3"/>
  <c r="B20533" i="3"/>
  <c r="D20532" i="3"/>
  <c r="C20532" i="3"/>
  <c r="B20532" i="3"/>
  <c r="D20531" i="3"/>
  <c r="C20531" i="3"/>
  <c r="B20531" i="3"/>
  <c r="D20530" i="3"/>
  <c r="C20530" i="3"/>
  <c r="B20530" i="3"/>
  <c r="D20529" i="3"/>
  <c r="C20529" i="3"/>
  <c r="B20529" i="3"/>
  <c r="D20528" i="3"/>
  <c r="C20528" i="3"/>
  <c r="B20528" i="3"/>
  <c r="D20527" i="3"/>
  <c r="C20527" i="3"/>
  <c r="B20527" i="3"/>
  <c r="D20526" i="3"/>
  <c r="C20526" i="3"/>
  <c r="B20526" i="3"/>
  <c r="D20525" i="3"/>
  <c r="C20525" i="3"/>
  <c r="B20525" i="3"/>
  <c r="D20524" i="3"/>
  <c r="C20524" i="3"/>
  <c r="B20524" i="3"/>
  <c r="D20523" i="3"/>
  <c r="C20523" i="3"/>
  <c r="B20523" i="3"/>
  <c r="D20522" i="3"/>
  <c r="C20522" i="3"/>
  <c r="B20522" i="3"/>
  <c r="D20521" i="3"/>
  <c r="C20521" i="3"/>
  <c r="B20521" i="3"/>
  <c r="D20520" i="3"/>
  <c r="C20520" i="3"/>
  <c r="B20520" i="3"/>
  <c r="D20519" i="3"/>
  <c r="C20519" i="3"/>
  <c r="B20519" i="3"/>
  <c r="D20518" i="3"/>
  <c r="C20518" i="3"/>
  <c r="B20518" i="3"/>
  <c r="D20517" i="3"/>
  <c r="C20517" i="3"/>
  <c r="B20517" i="3"/>
  <c r="D20516" i="3"/>
  <c r="C20516" i="3"/>
  <c r="B20516" i="3"/>
  <c r="D20515" i="3"/>
  <c r="C20515" i="3"/>
  <c r="B20515" i="3"/>
  <c r="D20514" i="3"/>
  <c r="C20514" i="3"/>
  <c r="B20514" i="3"/>
  <c r="D20513" i="3"/>
  <c r="C20513" i="3"/>
  <c r="B20513" i="3"/>
  <c r="D20512" i="3"/>
  <c r="C20512" i="3"/>
  <c r="B20512" i="3"/>
  <c r="D20511" i="3"/>
  <c r="C20511" i="3"/>
  <c r="B20511" i="3"/>
  <c r="D20510" i="3"/>
  <c r="C20510" i="3"/>
  <c r="B20510" i="3"/>
  <c r="D20509" i="3"/>
  <c r="C20509" i="3"/>
  <c r="B20509" i="3"/>
  <c r="D20508" i="3"/>
  <c r="C20508" i="3"/>
  <c r="B20508" i="3"/>
  <c r="D20507" i="3"/>
  <c r="C20507" i="3"/>
  <c r="B20507" i="3"/>
  <c r="D20506" i="3"/>
  <c r="C20506" i="3"/>
  <c r="B20506" i="3"/>
  <c r="D20505" i="3"/>
  <c r="C20505" i="3"/>
  <c r="B20505" i="3"/>
  <c r="D20504" i="3"/>
  <c r="C20504" i="3"/>
  <c r="B20504" i="3"/>
  <c r="D20503" i="3"/>
  <c r="C20503" i="3"/>
  <c r="B20503" i="3"/>
  <c r="D20502" i="3"/>
  <c r="C20502" i="3"/>
  <c r="B20502" i="3"/>
  <c r="D20501" i="3"/>
  <c r="C20501" i="3"/>
  <c r="B20501" i="3"/>
  <c r="D20500" i="3"/>
  <c r="C20500" i="3"/>
  <c r="B20500" i="3"/>
  <c r="D20499" i="3"/>
  <c r="C20499" i="3"/>
  <c r="B20499" i="3"/>
  <c r="D20498" i="3"/>
  <c r="C20498" i="3"/>
  <c r="B20498" i="3"/>
  <c r="D20497" i="3"/>
  <c r="C20497" i="3"/>
  <c r="B20497" i="3"/>
  <c r="D20496" i="3"/>
  <c r="C20496" i="3"/>
  <c r="B20496" i="3"/>
  <c r="D20495" i="3"/>
  <c r="C20495" i="3"/>
  <c r="B20495" i="3"/>
  <c r="D20494" i="3"/>
  <c r="C20494" i="3"/>
  <c r="B20494" i="3"/>
  <c r="D20493" i="3"/>
  <c r="C20493" i="3"/>
  <c r="B20493" i="3"/>
  <c r="D20492" i="3"/>
  <c r="C20492" i="3"/>
  <c r="B20492" i="3"/>
  <c r="D20491" i="3"/>
  <c r="C20491" i="3"/>
  <c r="B20491" i="3"/>
  <c r="D20490" i="3"/>
  <c r="C20490" i="3"/>
  <c r="B20490" i="3"/>
  <c r="D20489" i="3"/>
  <c r="C20489" i="3"/>
  <c r="B20489" i="3"/>
  <c r="D20488" i="3"/>
  <c r="C20488" i="3"/>
  <c r="B20488" i="3"/>
  <c r="D20487" i="3"/>
  <c r="C20487" i="3"/>
  <c r="B20487" i="3"/>
  <c r="D20486" i="3"/>
  <c r="C20486" i="3"/>
  <c r="B20486" i="3"/>
  <c r="D20485" i="3"/>
  <c r="C20485" i="3"/>
  <c r="B20485" i="3"/>
  <c r="D20484" i="3"/>
  <c r="C20484" i="3"/>
  <c r="B20484" i="3"/>
  <c r="D20483" i="3"/>
  <c r="C20483" i="3"/>
  <c r="B20483" i="3"/>
  <c r="D20482" i="3"/>
  <c r="C20482" i="3"/>
  <c r="B20482" i="3"/>
  <c r="D20481" i="3"/>
  <c r="C20481" i="3"/>
  <c r="B20481" i="3"/>
  <c r="D20480" i="3"/>
  <c r="C20480" i="3"/>
  <c r="B20480" i="3"/>
  <c r="D20479" i="3"/>
  <c r="C20479" i="3"/>
  <c r="B20479" i="3"/>
  <c r="D20478" i="3"/>
  <c r="C20478" i="3"/>
  <c r="B20478" i="3"/>
  <c r="D20477" i="3"/>
  <c r="C20477" i="3"/>
  <c r="B20477" i="3"/>
  <c r="D20476" i="3"/>
  <c r="C20476" i="3"/>
  <c r="B20476" i="3"/>
  <c r="D20475" i="3"/>
  <c r="C20475" i="3"/>
  <c r="B20475" i="3"/>
  <c r="D20474" i="3"/>
  <c r="C20474" i="3"/>
  <c r="B20474" i="3"/>
  <c r="D20473" i="3"/>
  <c r="C20473" i="3"/>
  <c r="B20473" i="3"/>
  <c r="D20472" i="3"/>
  <c r="C20472" i="3"/>
  <c r="B20472" i="3"/>
  <c r="D20471" i="3"/>
  <c r="C20471" i="3"/>
  <c r="B20471" i="3"/>
  <c r="D20470" i="3"/>
  <c r="C20470" i="3"/>
  <c r="B20470" i="3"/>
  <c r="D20469" i="3"/>
  <c r="C20469" i="3"/>
  <c r="B20469" i="3"/>
  <c r="D20468" i="3"/>
  <c r="C20468" i="3"/>
  <c r="B20468" i="3"/>
  <c r="D20467" i="3"/>
  <c r="C20467" i="3"/>
  <c r="B20467" i="3"/>
  <c r="D20466" i="3"/>
  <c r="C20466" i="3"/>
  <c r="B20466" i="3"/>
  <c r="D20465" i="3"/>
  <c r="C20465" i="3"/>
  <c r="B20465" i="3"/>
  <c r="D20464" i="3"/>
  <c r="C20464" i="3"/>
  <c r="B20464" i="3"/>
  <c r="D20463" i="3"/>
  <c r="C20463" i="3"/>
  <c r="B20463" i="3"/>
  <c r="D20462" i="3"/>
  <c r="C20462" i="3"/>
  <c r="B20462" i="3"/>
  <c r="D20461" i="3"/>
  <c r="C20461" i="3"/>
  <c r="B20461" i="3"/>
  <c r="D20460" i="3"/>
  <c r="C20460" i="3"/>
  <c r="B20460" i="3"/>
  <c r="D20459" i="3"/>
  <c r="C20459" i="3"/>
  <c r="B20459" i="3"/>
  <c r="D20458" i="3"/>
  <c r="C20458" i="3"/>
  <c r="B20458" i="3"/>
  <c r="D20457" i="3"/>
  <c r="C20457" i="3"/>
  <c r="B20457" i="3"/>
  <c r="D20456" i="3"/>
  <c r="C20456" i="3"/>
  <c r="B20456" i="3"/>
  <c r="D20455" i="3"/>
  <c r="C20455" i="3"/>
  <c r="B20455" i="3"/>
  <c r="D20454" i="3"/>
  <c r="C20454" i="3"/>
  <c r="B20454" i="3"/>
  <c r="D20453" i="3"/>
  <c r="C20453" i="3"/>
  <c r="B20453" i="3"/>
  <c r="D20452" i="3"/>
  <c r="C20452" i="3"/>
  <c r="B20452" i="3"/>
  <c r="D20451" i="3"/>
  <c r="C20451" i="3"/>
  <c r="B20451" i="3"/>
  <c r="D20450" i="3"/>
  <c r="C20450" i="3"/>
  <c r="B20450" i="3"/>
  <c r="D20449" i="3"/>
  <c r="C20449" i="3"/>
  <c r="B20449" i="3"/>
  <c r="D20448" i="3"/>
  <c r="C20448" i="3"/>
  <c r="B20448" i="3"/>
  <c r="D20447" i="3"/>
  <c r="C20447" i="3"/>
  <c r="B20447" i="3"/>
  <c r="D20446" i="3"/>
  <c r="C20446" i="3"/>
  <c r="B20446" i="3"/>
  <c r="D20445" i="3"/>
  <c r="C20445" i="3"/>
  <c r="B20445" i="3"/>
  <c r="D20444" i="3"/>
  <c r="C20444" i="3"/>
  <c r="B20444" i="3"/>
  <c r="D20443" i="3"/>
  <c r="C20443" i="3"/>
  <c r="B20443" i="3"/>
  <c r="D20442" i="3"/>
  <c r="C20442" i="3"/>
  <c r="B20442" i="3"/>
  <c r="D20441" i="3"/>
  <c r="C20441" i="3"/>
  <c r="B20441" i="3"/>
  <c r="D20440" i="3"/>
  <c r="C20440" i="3"/>
  <c r="B20440" i="3"/>
  <c r="D20439" i="3"/>
  <c r="C20439" i="3"/>
  <c r="B20439" i="3"/>
  <c r="D20438" i="3"/>
  <c r="C20438" i="3"/>
  <c r="B20438" i="3"/>
  <c r="D20437" i="3"/>
  <c r="C20437" i="3"/>
  <c r="B20437" i="3"/>
  <c r="D20436" i="3"/>
  <c r="C20436" i="3"/>
  <c r="B20436" i="3"/>
  <c r="D20435" i="3"/>
  <c r="C20435" i="3"/>
  <c r="B20435" i="3"/>
  <c r="D20434" i="3"/>
  <c r="C20434" i="3"/>
  <c r="B20434" i="3"/>
  <c r="D20433" i="3"/>
  <c r="C20433" i="3"/>
  <c r="B20433" i="3"/>
  <c r="D20432" i="3"/>
  <c r="C20432" i="3"/>
  <c r="B20432" i="3"/>
  <c r="D20431" i="3"/>
  <c r="C20431" i="3"/>
  <c r="B20431" i="3"/>
  <c r="D20430" i="3"/>
  <c r="C20430" i="3"/>
  <c r="B20430" i="3"/>
  <c r="D20429" i="3"/>
  <c r="C20429" i="3"/>
  <c r="B20429" i="3"/>
  <c r="D20428" i="3"/>
  <c r="C20428" i="3"/>
  <c r="B20428" i="3"/>
  <c r="D20427" i="3"/>
  <c r="C20427" i="3"/>
  <c r="B20427" i="3"/>
  <c r="D20426" i="3"/>
  <c r="C20426" i="3"/>
  <c r="B20426" i="3"/>
  <c r="D20425" i="3"/>
  <c r="C20425" i="3"/>
  <c r="B20425" i="3"/>
  <c r="D20424" i="3"/>
  <c r="C20424" i="3"/>
  <c r="B20424" i="3"/>
  <c r="D20423" i="3"/>
  <c r="C20423" i="3"/>
  <c r="B20423" i="3"/>
  <c r="D20422" i="3"/>
  <c r="C20422" i="3"/>
  <c r="B20422" i="3"/>
  <c r="D20421" i="3"/>
  <c r="C20421" i="3"/>
  <c r="B20421" i="3"/>
  <c r="D20420" i="3"/>
  <c r="C20420" i="3"/>
  <c r="B20420" i="3"/>
  <c r="D20419" i="3"/>
  <c r="C20419" i="3"/>
  <c r="B20419" i="3"/>
  <c r="D20418" i="3"/>
  <c r="C20418" i="3"/>
  <c r="B20418" i="3"/>
  <c r="D20417" i="3"/>
  <c r="C20417" i="3"/>
  <c r="B20417" i="3"/>
  <c r="D20416" i="3"/>
  <c r="C20416" i="3"/>
  <c r="B20416" i="3"/>
  <c r="D20415" i="3"/>
  <c r="C20415" i="3"/>
  <c r="B20415" i="3"/>
  <c r="D20414" i="3"/>
  <c r="C20414" i="3"/>
  <c r="B20414" i="3"/>
  <c r="D20413" i="3"/>
  <c r="C20413" i="3"/>
  <c r="B20413" i="3"/>
  <c r="D20412" i="3"/>
  <c r="C20412" i="3"/>
  <c r="B20412" i="3"/>
  <c r="D20411" i="3"/>
  <c r="C20411" i="3"/>
  <c r="B20411" i="3"/>
  <c r="D20410" i="3"/>
  <c r="C20410" i="3"/>
  <c r="B20410" i="3"/>
  <c r="D20409" i="3"/>
  <c r="C20409" i="3"/>
  <c r="B20409" i="3"/>
  <c r="D20408" i="3"/>
  <c r="C20408" i="3"/>
  <c r="B20408" i="3"/>
  <c r="D20407" i="3"/>
  <c r="C20407" i="3"/>
  <c r="B20407" i="3"/>
  <c r="D20406" i="3"/>
  <c r="C20406" i="3"/>
  <c r="B20406" i="3"/>
  <c r="D20405" i="3"/>
  <c r="C20405" i="3"/>
  <c r="B20405" i="3"/>
  <c r="D20404" i="3"/>
  <c r="C20404" i="3"/>
  <c r="B20404" i="3"/>
  <c r="D20403" i="3"/>
  <c r="C20403" i="3"/>
  <c r="B20403" i="3"/>
  <c r="D20402" i="3"/>
  <c r="C20402" i="3"/>
  <c r="B20402" i="3"/>
  <c r="D20401" i="3"/>
  <c r="C20401" i="3"/>
  <c r="B20401" i="3"/>
  <c r="D20400" i="3"/>
  <c r="C20400" i="3"/>
  <c r="B20400" i="3"/>
  <c r="D20399" i="3"/>
  <c r="C20399" i="3"/>
  <c r="B20399" i="3"/>
  <c r="D20398" i="3"/>
  <c r="C20398" i="3"/>
  <c r="B20398" i="3"/>
  <c r="D20397" i="3"/>
  <c r="C20397" i="3"/>
  <c r="B20397" i="3"/>
  <c r="D20396" i="3"/>
  <c r="C20396" i="3"/>
  <c r="B20396" i="3"/>
  <c r="D20395" i="3"/>
  <c r="C20395" i="3"/>
  <c r="B20395" i="3"/>
  <c r="D20394" i="3"/>
  <c r="C20394" i="3"/>
  <c r="B20394" i="3"/>
  <c r="D20393" i="3"/>
  <c r="C20393" i="3"/>
  <c r="B20393" i="3"/>
  <c r="D20392" i="3"/>
  <c r="C20392" i="3"/>
  <c r="B20392" i="3"/>
  <c r="D20391" i="3"/>
  <c r="C20391" i="3"/>
  <c r="B20391" i="3"/>
  <c r="D20390" i="3"/>
  <c r="C20390" i="3"/>
  <c r="B20390" i="3"/>
  <c r="D20389" i="3"/>
  <c r="C20389" i="3"/>
  <c r="B20389" i="3"/>
  <c r="D20388" i="3"/>
  <c r="C20388" i="3"/>
  <c r="B20388" i="3"/>
  <c r="D20387" i="3"/>
  <c r="C20387" i="3"/>
  <c r="B20387" i="3"/>
  <c r="D20386" i="3"/>
  <c r="C20386" i="3"/>
  <c r="B20386" i="3"/>
  <c r="D20385" i="3"/>
  <c r="C20385" i="3"/>
  <c r="B20385" i="3"/>
  <c r="D20384" i="3"/>
  <c r="C20384" i="3"/>
  <c r="B20384" i="3"/>
  <c r="D20383" i="3"/>
  <c r="C20383" i="3"/>
  <c r="B20383" i="3"/>
  <c r="D20382" i="3"/>
  <c r="C20382" i="3"/>
  <c r="B20382" i="3"/>
  <c r="D20381" i="3"/>
  <c r="C20381" i="3"/>
  <c r="B20381" i="3"/>
  <c r="D20380" i="3"/>
  <c r="C20380" i="3"/>
  <c r="B20380" i="3"/>
  <c r="D20379" i="3"/>
  <c r="C20379" i="3"/>
  <c r="B20379" i="3"/>
  <c r="D20378" i="3"/>
  <c r="C20378" i="3"/>
  <c r="B20378" i="3"/>
  <c r="D20377" i="3"/>
  <c r="C20377" i="3"/>
  <c r="B20377" i="3"/>
  <c r="D20376" i="3"/>
  <c r="C20376" i="3"/>
  <c r="B20376" i="3"/>
  <c r="D20375" i="3"/>
  <c r="C20375" i="3"/>
  <c r="B20375" i="3"/>
  <c r="D20374" i="3"/>
  <c r="C20374" i="3"/>
  <c r="B20374" i="3"/>
  <c r="D20373" i="3"/>
  <c r="C20373" i="3"/>
  <c r="B20373" i="3"/>
  <c r="D20372" i="3"/>
  <c r="C20372" i="3"/>
  <c r="B20372" i="3"/>
  <c r="D20371" i="3"/>
  <c r="C20371" i="3"/>
  <c r="B20371" i="3"/>
  <c r="D20370" i="3"/>
  <c r="C20370" i="3"/>
  <c r="B20370" i="3"/>
  <c r="D20369" i="3"/>
  <c r="C20369" i="3"/>
  <c r="B20369" i="3"/>
  <c r="D20368" i="3"/>
  <c r="C20368" i="3"/>
  <c r="B20368" i="3"/>
  <c r="D20367" i="3"/>
  <c r="C20367" i="3"/>
  <c r="B20367" i="3"/>
  <c r="D20366" i="3"/>
  <c r="C20366" i="3"/>
  <c r="B20366" i="3"/>
  <c r="D20365" i="3"/>
  <c r="C20365" i="3"/>
  <c r="B20365" i="3"/>
  <c r="D20364" i="3"/>
  <c r="C20364" i="3"/>
  <c r="B20364" i="3"/>
  <c r="D20363" i="3"/>
  <c r="C20363" i="3"/>
  <c r="B20363" i="3"/>
  <c r="D20362" i="3"/>
  <c r="C20362" i="3"/>
  <c r="B20362" i="3"/>
  <c r="D20361" i="3"/>
  <c r="C20361" i="3"/>
  <c r="B20361" i="3"/>
  <c r="D20360" i="3"/>
  <c r="C20360" i="3"/>
  <c r="B20360" i="3"/>
  <c r="D20359" i="3"/>
  <c r="C20359" i="3"/>
  <c r="B20359" i="3"/>
  <c r="D20358" i="3"/>
  <c r="C20358" i="3"/>
  <c r="B20358" i="3"/>
  <c r="D20357" i="3"/>
  <c r="C20357" i="3"/>
  <c r="B20357" i="3"/>
  <c r="D20356" i="3"/>
  <c r="C20356" i="3"/>
  <c r="B20356" i="3"/>
  <c r="D20355" i="3"/>
  <c r="C20355" i="3"/>
  <c r="B20355" i="3"/>
  <c r="D20354" i="3"/>
  <c r="C20354" i="3"/>
  <c r="B20354" i="3"/>
  <c r="D20353" i="3"/>
  <c r="C20353" i="3"/>
  <c r="B20353" i="3"/>
  <c r="D20352" i="3"/>
  <c r="C20352" i="3"/>
  <c r="B20352" i="3"/>
  <c r="D20351" i="3"/>
  <c r="C20351" i="3"/>
  <c r="B20351" i="3"/>
  <c r="D20350" i="3"/>
  <c r="C20350" i="3"/>
  <c r="B20350" i="3"/>
  <c r="D20349" i="3"/>
  <c r="C20349" i="3"/>
  <c r="B20349" i="3"/>
  <c r="D20348" i="3"/>
  <c r="C20348" i="3"/>
  <c r="B20348" i="3"/>
  <c r="D20347" i="3"/>
  <c r="C20347" i="3"/>
  <c r="B20347" i="3"/>
  <c r="D20346" i="3"/>
  <c r="C20346" i="3"/>
  <c r="B20346" i="3"/>
  <c r="D20345" i="3"/>
  <c r="C20345" i="3"/>
  <c r="B20345" i="3"/>
  <c r="D20344" i="3"/>
  <c r="C20344" i="3"/>
  <c r="B20344" i="3"/>
  <c r="D20343" i="3"/>
  <c r="C20343" i="3"/>
  <c r="B20343" i="3"/>
  <c r="D20342" i="3"/>
  <c r="C20342" i="3"/>
  <c r="B20342" i="3"/>
  <c r="D20341" i="3"/>
  <c r="C20341" i="3"/>
  <c r="B20341" i="3"/>
  <c r="D20340" i="3"/>
  <c r="C20340" i="3"/>
  <c r="B20340" i="3"/>
  <c r="D20339" i="3"/>
  <c r="C20339" i="3"/>
  <c r="B20339" i="3"/>
  <c r="D20338" i="3"/>
  <c r="C20338" i="3"/>
  <c r="B20338" i="3"/>
  <c r="D20337" i="3"/>
  <c r="C20337" i="3"/>
  <c r="B20337" i="3"/>
  <c r="D20336" i="3"/>
  <c r="C20336" i="3"/>
  <c r="B20336" i="3"/>
  <c r="D20335" i="3"/>
  <c r="C20335" i="3"/>
  <c r="B20335" i="3"/>
  <c r="D20334" i="3"/>
  <c r="C20334" i="3"/>
  <c r="B20334" i="3"/>
  <c r="D20333" i="3"/>
  <c r="C20333" i="3"/>
  <c r="B20333" i="3"/>
  <c r="D20332" i="3"/>
  <c r="C20332" i="3"/>
  <c r="B20332" i="3"/>
  <c r="D20331" i="3"/>
  <c r="C20331" i="3"/>
  <c r="B20331" i="3"/>
  <c r="D20330" i="3"/>
  <c r="C20330" i="3"/>
  <c r="B20330" i="3"/>
  <c r="D20329" i="3"/>
  <c r="C20329" i="3"/>
  <c r="B20329" i="3"/>
  <c r="D20328" i="3"/>
  <c r="C20328" i="3"/>
  <c r="B20328" i="3"/>
  <c r="D20327" i="3"/>
  <c r="C20327" i="3"/>
  <c r="B20327" i="3"/>
  <c r="D20326" i="3"/>
  <c r="C20326" i="3"/>
  <c r="B20326" i="3"/>
  <c r="D20325" i="3"/>
  <c r="C20325" i="3"/>
  <c r="B20325" i="3"/>
  <c r="D20324" i="3"/>
  <c r="C20324" i="3"/>
  <c r="B20324" i="3"/>
  <c r="D20323" i="3"/>
  <c r="C20323" i="3"/>
  <c r="B20323" i="3"/>
  <c r="D20322" i="3"/>
  <c r="C20322" i="3"/>
  <c r="B20322" i="3"/>
  <c r="D20321" i="3"/>
  <c r="C20321" i="3"/>
  <c r="B20321" i="3"/>
  <c r="D20320" i="3"/>
  <c r="C20320" i="3"/>
  <c r="B20320" i="3"/>
  <c r="D20319" i="3"/>
  <c r="C20319" i="3"/>
  <c r="B20319" i="3"/>
  <c r="D20318" i="3"/>
  <c r="C20318" i="3"/>
  <c r="B20318" i="3"/>
  <c r="D20317" i="3"/>
  <c r="C20317" i="3"/>
  <c r="B20317" i="3"/>
  <c r="D20316" i="3"/>
  <c r="C20316" i="3"/>
  <c r="B20316" i="3"/>
  <c r="D20315" i="3"/>
  <c r="C20315" i="3"/>
  <c r="B20315" i="3"/>
  <c r="D20314" i="3"/>
  <c r="C20314" i="3"/>
  <c r="B20314" i="3"/>
  <c r="D20313" i="3"/>
  <c r="C20313" i="3"/>
  <c r="B20313" i="3"/>
  <c r="D20312" i="3"/>
  <c r="C20312" i="3"/>
  <c r="B20312" i="3"/>
  <c r="D20311" i="3"/>
  <c r="C20311" i="3"/>
  <c r="B20311" i="3"/>
  <c r="D20310" i="3"/>
  <c r="C20310" i="3"/>
  <c r="B20310" i="3"/>
  <c r="D20309" i="3"/>
  <c r="C20309" i="3"/>
  <c r="B20309" i="3"/>
  <c r="D20308" i="3"/>
  <c r="C20308" i="3"/>
  <c r="B20308" i="3"/>
  <c r="D20307" i="3"/>
  <c r="C20307" i="3"/>
  <c r="B20307" i="3"/>
  <c r="D20306" i="3"/>
  <c r="C20306" i="3"/>
  <c r="B20306" i="3"/>
  <c r="D20305" i="3"/>
  <c r="C20305" i="3"/>
  <c r="B20305" i="3"/>
  <c r="D20304" i="3"/>
  <c r="C20304" i="3"/>
  <c r="B20304" i="3"/>
  <c r="D20303" i="3"/>
  <c r="C20303" i="3"/>
  <c r="B20303" i="3"/>
  <c r="D20302" i="3"/>
  <c r="C20302" i="3"/>
  <c r="B20302" i="3"/>
  <c r="D20301" i="3"/>
  <c r="C20301" i="3"/>
  <c r="B20301" i="3"/>
  <c r="D20300" i="3"/>
  <c r="C20300" i="3"/>
  <c r="B20300" i="3"/>
  <c r="D20299" i="3"/>
  <c r="C20299" i="3"/>
  <c r="B20299" i="3"/>
  <c r="D20298" i="3"/>
  <c r="C20298" i="3"/>
  <c r="B20298" i="3"/>
  <c r="D20297" i="3"/>
  <c r="C20297" i="3"/>
  <c r="B20297" i="3"/>
  <c r="D20296" i="3"/>
  <c r="C20296" i="3"/>
  <c r="B20296" i="3"/>
  <c r="D20295" i="3"/>
  <c r="C20295" i="3"/>
  <c r="B20295" i="3"/>
  <c r="D20294" i="3"/>
  <c r="C20294" i="3"/>
  <c r="B20294" i="3"/>
  <c r="D20293" i="3"/>
  <c r="C20293" i="3"/>
  <c r="B20293" i="3"/>
  <c r="D20292" i="3"/>
  <c r="C20292" i="3"/>
  <c r="B20292" i="3"/>
  <c r="D20291" i="3"/>
  <c r="C20291" i="3"/>
  <c r="B20291" i="3"/>
  <c r="D20290" i="3"/>
  <c r="C20290" i="3"/>
  <c r="B20290" i="3"/>
  <c r="D20289" i="3"/>
  <c r="C20289" i="3"/>
  <c r="B20289" i="3"/>
  <c r="D20288" i="3"/>
  <c r="C20288" i="3"/>
  <c r="B20288" i="3"/>
  <c r="D20287" i="3"/>
  <c r="C20287" i="3"/>
  <c r="B20287" i="3"/>
  <c r="D20286" i="3"/>
  <c r="C20286" i="3"/>
  <c r="B20286" i="3"/>
  <c r="D20285" i="3"/>
  <c r="C20285" i="3"/>
  <c r="B20285" i="3"/>
  <c r="D20284" i="3"/>
  <c r="C20284" i="3"/>
  <c r="B20284" i="3"/>
  <c r="D20283" i="3"/>
  <c r="C20283" i="3"/>
  <c r="B20283" i="3"/>
  <c r="D20282" i="3"/>
  <c r="C20282" i="3"/>
  <c r="B20282" i="3"/>
  <c r="D20281" i="3"/>
  <c r="C20281" i="3"/>
  <c r="B20281" i="3"/>
  <c r="D20280" i="3"/>
  <c r="C20280" i="3"/>
  <c r="B20280" i="3"/>
  <c r="D20279" i="3"/>
  <c r="C20279" i="3"/>
  <c r="B20279" i="3"/>
  <c r="D20278" i="3"/>
  <c r="C20278" i="3"/>
  <c r="B20278" i="3"/>
  <c r="D20277" i="3"/>
  <c r="C20277" i="3"/>
  <c r="B20277" i="3"/>
  <c r="D20276" i="3"/>
  <c r="C20276" i="3"/>
  <c r="B20276" i="3"/>
  <c r="D20275" i="3"/>
  <c r="C20275" i="3"/>
  <c r="B20275" i="3"/>
  <c r="D20274" i="3"/>
  <c r="C20274" i="3"/>
  <c r="B20274" i="3"/>
  <c r="D20273" i="3"/>
  <c r="C20273" i="3"/>
  <c r="B20273" i="3"/>
  <c r="D20272" i="3"/>
  <c r="C20272" i="3"/>
  <c r="B20272" i="3"/>
  <c r="D20271" i="3"/>
  <c r="C20271" i="3"/>
  <c r="B20271" i="3"/>
  <c r="D20270" i="3"/>
  <c r="C20270" i="3"/>
  <c r="B20270" i="3"/>
  <c r="D20269" i="3"/>
  <c r="C20269" i="3"/>
  <c r="B20269" i="3"/>
  <c r="D20268" i="3"/>
  <c r="C20268" i="3"/>
  <c r="B20268" i="3"/>
  <c r="D20267" i="3"/>
  <c r="C20267" i="3"/>
  <c r="B20267" i="3"/>
  <c r="D20266" i="3"/>
  <c r="C20266" i="3"/>
  <c r="B20266" i="3"/>
  <c r="D20265" i="3"/>
  <c r="C20265" i="3"/>
  <c r="B20265" i="3"/>
  <c r="D20264" i="3"/>
  <c r="C20264" i="3"/>
  <c r="B20264" i="3"/>
  <c r="D20263" i="3"/>
  <c r="C20263" i="3"/>
  <c r="B20263" i="3"/>
  <c r="D20262" i="3"/>
  <c r="C20262" i="3"/>
  <c r="B20262" i="3"/>
  <c r="D20261" i="3"/>
  <c r="C20261" i="3"/>
  <c r="B20261" i="3"/>
  <c r="D20260" i="3"/>
  <c r="C20260" i="3"/>
  <c r="B20260" i="3"/>
  <c r="D20259" i="3"/>
  <c r="C20259" i="3"/>
  <c r="B20259" i="3"/>
  <c r="D20258" i="3"/>
  <c r="C20258" i="3"/>
  <c r="B20258" i="3"/>
  <c r="D20257" i="3"/>
  <c r="C20257" i="3"/>
  <c r="B20257" i="3"/>
  <c r="D20256" i="3"/>
  <c r="C20256" i="3"/>
  <c r="B20256" i="3"/>
  <c r="D20255" i="3"/>
  <c r="C20255" i="3"/>
  <c r="B20255" i="3"/>
  <c r="D20254" i="3"/>
  <c r="C20254" i="3"/>
  <c r="B20254" i="3"/>
  <c r="D20253" i="3"/>
  <c r="C20253" i="3"/>
  <c r="B20253" i="3"/>
  <c r="D20252" i="3"/>
  <c r="C20252" i="3"/>
  <c r="B20252" i="3"/>
  <c r="D20251" i="3"/>
  <c r="C20251" i="3"/>
  <c r="B20251" i="3"/>
  <c r="D20250" i="3"/>
  <c r="C20250" i="3"/>
  <c r="B20250" i="3"/>
  <c r="D20249" i="3"/>
  <c r="C20249" i="3"/>
  <c r="B20249" i="3"/>
  <c r="D20248" i="3"/>
  <c r="C20248" i="3"/>
  <c r="B20248" i="3"/>
  <c r="D20247" i="3"/>
  <c r="C20247" i="3"/>
  <c r="B20247" i="3"/>
  <c r="D20246" i="3"/>
  <c r="C20246" i="3"/>
  <c r="B20246" i="3"/>
  <c r="D20245" i="3"/>
  <c r="C20245" i="3"/>
  <c r="B20245" i="3"/>
  <c r="D20244" i="3"/>
  <c r="C20244" i="3"/>
  <c r="B20244" i="3"/>
  <c r="D20243" i="3"/>
  <c r="C20243" i="3"/>
  <c r="B20243" i="3"/>
  <c r="D20242" i="3"/>
  <c r="C20242" i="3"/>
  <c r="B20242" i="3"/>
  <c r="D20241" i="3"/>
  <c r="C20241" i="3"/>
  <c r="B20241" i="3"/>
  <c r="D20240" i="3"/>
  <c r="C20240" i="3"/>
  <c r="B20240" i="3"/>
  <c r="D20239" i="3"/>
  <c r="C20239" i="3"/>
  <c r="B20239" i="3"/>
  <c r="D20238" i="3"/>
  <c r="C20238" i="3"/>
  <c r="B20238" i="3"/>
  <c r="D20237" i="3"/>
  <c r="C20237" i="3"/>
  <c r="B20237" i="3"/>
  <c r="D20236" i="3"/>
  <c r="C20236" i="3"/>
  <c r="B20236" i="3"/>
  <c r="D20235" i="3"/>
  <c r="C20235" i="3"/>
  <c r="B20235" i="3"/>
  <c r="D20234" i="3"/>
  <c r="C20234" i="3"/>
  <c r="B20234" i="3"/>
  <c r="D20233" i="3"/>
  <c r="C20233" i="3"/>
  <c r="B20233" i="3"/>
  <c r="D20232" i="3"/>
  <c r="C20232" i="3"/>
  <c r="B20232" i="3"/>
  <c r="D20231" i="3"/>
  <c r="C20231" i="3"/>
  <c r="B20231" i="3"/>
  <c r="D20230" i="3"/>
  <c r="C20230" i="3"/>
  <c r="B20230" i="3"/>
  <c r="D20229" i="3"/>
  <c r="C20229" i="3"/>
  <c r="B20229" i="3"/>
  <c r="D20228" i="3"/>
  <c r="C20228" i="3"/>
  <c r="B20228" i="3"/>
  <c r="D20227" i="3"/>
  <c r="C20227" i="3"/>
  <c r="B20227" i="3"/>
  <c r="D20226" i="3"/>
  <c r="C20226" i="3"/>
  <c r="B20226" i="3"/>
  <c r="D20225" i="3"/>
  <c r="C20225" i="3"/>
  <c r="B20225" i="3"/>
  <c r="D20224" i="3"/>
  <c r="C20224" i="3"/>
  <c r="B20224" i="3"/>
  <c r="D20223" i="3"/>
  <c r="C20223" i="3"/>
  <c r="B20223" i="3"/>
  <c r="D20222" i="3"/>
  <c r="C20222" i="3"/>
  <c r="B20222" i="3"/>
  <c r="D20221" i="3"/>
  <c r="C20221" i="3"/>
  <c r="B20221" i="3"/>
  <c r="D20220" i="3"/>
  <c r="C20220" i="3"/>
  <c r="B20220" i="3"/>
  <c r="D20219" i="3"/>
  <c r="C20219" i="3"/>
  <c r="B20219" i="3"/>
  <c r="D20218" i="3"/>
  <c r="C20218" i="3"/>
  <c r="B20218" i="3"/>
  <c r="D20217" i="3"/>
  <c r="C20217" i="3"/>
  <c r="B20217" i="3"/>
  <c r="D20216" i="3"/>
  <c r="C20216" i="3"/>
  <c r="B20216" i="3"/>
  <c r="D20215" i="3"/>
  <c r="C20215" i="3"/>
  <c r="B20215" i="3"/>
  <c r="D20214" i="3"/>
  <c r="C20214" i="3"/>
  <c r="B20214" i="3"/>
  <c r="D20213" i="3"/>
  <c r="C20213" i="3"/>
  <c r="B20213" i="3"/>
  <c r="D20212" i="3"/>
  <c r="C20212" i="3"/>
  <c r="B20212" i="3"/>
  <c r="D20211" i="3"/>
  <c r="C20211" i="3"/>
  <c r="B20211" i="3"/>
  <c r="D20210" i="3"/>
  <c r="C20210" i="3"/>
  <c r="B20210" i="3"/>
  <c r="D20209" i="3"/>
  <c r="C20209" i="3"/>
  <c r="B20209" i="3"/>
  <c r="D20208" i="3"/>
  <c r="C20208" i="3"/>
  <c r="B20208" i="3"/>
  <c r="D20207" i="3"/>
  <c r="C20207" i="3"/>
  <c r="B20207" i="3"/>
  <c r="D20206" i="3"/>
  <c r="C20206" i="3"/>
  <c r="B20206" i="3"/>
  <c r="D20205" i="3"/>
  <c r="C20205" i="3"/>
  <c r="B20205" i="3"/>
  <c r="D20204" i="3"/>
  <c r="C20204" i="3"/>
  <c r="B20204" i="3"/>
  <c r="D20203" i="3"/>
  <c r="C20203" i="3"/>
  <c r="B20203" i="3"/>
  <c r="D20202" i="3"/>
  <c r="C20202" i="3"/>
  <c r="B20202" i="3"/>
  <c r="D20201" i="3"/>
  <c r="C20201" i="3"/>
  <c r="B20201" i="3"/>
  <c r="D20200" i="3"/>
  <c r="C20200" i="3"/>
  <c r="B20200" i="3"/>
  <c r="D20199" i="3"/>
  <c r="C20199" i="3"/>
  <c r="B20199" i="3"/>
  <c r="D20198" i="3"/>
  <c r="C20198" i="3"/>
  <c r="B20198" i="3"/>
  <c r="D20197" i="3"/>
  <c r="C20197" i="3"/>
  <c r="B20197" i="3"/>
  <c r="D20196" i="3"/>
  <c r="C20196" i="3"/>
  <c r="B20196" i="3"/>
  <c r="D20195" i="3"/>
  <c r="C20195" i="3"/>
  <c r="B20195" i="3"/>
  <c r="D20194" i="3"/>
  <c r="C20194" i="3"/>
  <c r="B20194" i="3"/>
  <c r="D20193" i="3"/>
  <c r="C20193" i="3"/>
  <c r="B20193" i="3"/>
  <c r="D20192" i="3"/>
  <c r="C20192" i="3"/>
  <c r="B20192" i="3"/>
  <c r="D20191" i="3"/>
  <c r="C20191" i="3"/>
  <c r="B20191" i="3"/>
  <c r="D20190" i="3"/>
  <c r="C20190" i="3"/>
  <c r="B20190" i="3"/>
  <c r="D20189" i="3"/>
  <c r="C20189" i="3"/>
  <c r="B20189" i="3"/>
  <c r="D20188" i="3"/>
  <c r="C20188" i="3"/>
  <c r="B20188" i="3"/>
  <c r="D20187" i="3"/>
  <c r="C20187" i="3"/>
  <c r="B20187" i="3"/>
  <c r="D20186" i="3"/>
  <c r="C20186" i="3"/>
  <c r="B20186" i="3"/>
  <c r="D20185" i="3"/>
  <c r="C20185" i="3"/>
  <c r="B20185" i="3"/>
  <c r="D20184" i="3"/>
  <c r="C20184" i="3"/>
  <c r="B20184" i="3"/>
  <c r="D20183" i="3"/>
  <c r="C20183" i="3"/>
  <c r="B20183" i="3"/>
  <c r="D20182" i="3"/>
  <c r="C20182" i="3"/>
  <c r="B20182" i="3"/>
  <c r="D20181" i="3"/>
  <c r="C20181" i="3"/>
  <c r="B20181" i="3"/>
  <c r="D20180" i="3"/>
  <c r="C20180" i="3"/>
  <c r="B20180" i="3"/>
  <c r="D20179" i="3"/>
  <c r="C20179" i="3"/>
  <c r="B20179" i="3"/>
  <c r="D20178" i="3"/>
  <c r="C20178" i="3"/>
  <c r="B20178" i="3"/>
  <c r="D20177" i="3"/>
  <c r="C20177" i="3"/>
  <c r="B20177" i="3"/>
  <c r="D20176" i="3"/>
  <c r="C20176" i="3"/>
  <c r="B20176" i="3"/>
  <c r="D20175" i="3"/>
  <c r="C20175" i="3"/>
  <c r="B20175" i="3"/>
  <c r="D20174" i="3"/>
  <c r="C20174" i="3"/>
  <c r="B20174" i="3"/>
  <c r="D20173" i="3"/>
  <c r="C20173" i="3"/>
  <c r="B20173" i="3"/>
  <c r="D20172" i="3"/>
  <c r="C20172" i="3"/>
  <c r="B20172" i="3"/>
  <c r="D20171" i="3"/>
  <c r="C20171" i="3"/>
  <c r="B20171" i="3"/>
  <c r="D20170" i="3"/>
  <c r="C20170" i="3"/>
  <c r="B20170" i="3"/>
  <c r="D20169" i="3"/>
  <c r="C20169" i="3"/>
  <c r="B20169" i="3"/>
  <c r="D20168" i="3"/>
  <c r="C20168" i="3"/>
  <c r="B20168" i="3"/>
  <c r="D20167" i="3"/>
  <c r="C20167" i="3"/>
  <c r="B20167" i="3"/>
  <c r="D20166" i="3"/>
  <c r="C20166" i="3"/>
  <c r="B20166" i="3"/>
  <c r="D20165" i="3"/>
  <c r="C20165" i="3"/>
  <c r="B20165" i="3"/>
  <c r="D20164" i="3"/>
  <c r="C20164" i="3"/>
  <c r="B20164" i="3"/>
  <c r="D20163" i="3"/>
  <c r="C20163" i="3"/>
  <c r="B20163" i="3"/>
  <c r="D20162" i="3"/>
  <c r="C20162" i="3"/>
  <c r="B20162" i="3"/>
  <c r="D20161" i="3"/>
  <c r="C20161" i="3"/>
  <c r="B20161" i="3"/>
  <c r="D20160" i="3"/>
  <c r="C20160" i="3"/>
  <c r="B20160" i="3"/>
  <c r="D20159" i="3"/>
  <c r="C20159" i="3"/>
  <c r="B20159" i="3"/>
  <c r="D20158" i="3"/>
  <c r="C20158" i="3"/>
  <c r="B20158" i="3"/>
  <c r="D20157" i="3"/>
  <c r="C20157" i="3"/>
  <c r="B20157" i="3"/>
  <c r="D20156" i="3"/>
  <c r="C20156" i="3"/>
  <c r="B20156" i="3"/>
  <c r="D20155" i="3"/>
  <c r="C20155" i="3"/>
  <c r="B20155" i="3"/>
  <c r="D20154" i="3"/>
  <c r="C20154" i="3"/>
  <c r="B20154" i="3"/>
  <c r="D20153" i="3"/>
  <c r="C20153" i="3"/>
  <c r="B20153" i="3"/>
  <c r="D20152" i="3"/>
  <c r="C20152" i="3"/>
  <c r="B20152" i="3"/>
  <c r="D20151" i="3"/>
  <c r="C20151" i="3"/>
  <c r="B20151" i="3"/>
  <c r="D20150" i="3"/>
  <c r="C20150" i="3"/>
  <c r="B20150" i="3"/>
  <c r="D20149" i="3"/>
  <c r="C20149" i="3"/>
  <c r="B20149" i="3"/>
  <c r="D20148" i="3"/>
  <c r="C20148" i="3"/>
  <c r="B20148" i="3"/>
  <c r="D20147" i="3"/>
  <c r="C20147" i="3"/>
  <c r="B20147" i="3"/>
  <c r="D20146" i="3"/>
  <c r="C20146" i="3"/>
  <c r="B20146" i="3"/>
  <c r="D20145" i="3"/>
  <c r="C20145" i="3"/>
  <c r="B20145" i="3"/>
  <c r="D20144" i="3"/>
  <c r="C20144" i="3"/>
  <c r="B20144" i="3"/>
  <c r="D20143" i="3"/>
  <c r="C20143" i="3"/>
  <c r="B20143" i="3"/>
  <c r="D20142" i="3"/>
  <c r="C20142" i="3"/>
  <c r="B20142" i="3"/>
  <c r="D20141" i="3"/>
  <c r="C20141" i="3"/>
  <c r="B20141" i="3"/>
  <c r="D20140" i="3"/>
  <c r="C20140" i="3"/>
  <c r="B20140" i="3"/>
  <c r="D20139" i="3"/>
  <c r="C20139" i="3"/>
  <c r="B20139" i="3"/>
  <c r="D20138" i="3"/>
  <c r="C20138" i="3"/>
  <c r="B20138" i="3"/>
  <c r="D20137" i="3"/>
  <c r="C20137" i="3"/>
  <c r="B20137" i="3"/>
  <c r="D20136" i="3"/>
  <c r="C20136" i="3"/>
  <c r="B20136" i="3"/>
  <c r="D20135" i="3"/>
  <c r="C20135" i="3"/>
  <c r="B20135" i="3"/>
  <c r="D20134" i="3"/>
  <c r="C20134" i="3"/>
  <c r="B20134" i="3"/>
  <c r="D20133" i="3"/>
  <c r="C20133" i="3"/>
  <c r="B20133" i="3"/>
  <c r="D20132" i="3"/>
  <c r="C20132" i="3"/>
  <c r="B20132" i="3"/>
  <c r="D20131" i="3"/>
  <c r="C20131" i="3"/>
  <c r="B20131" i="3"/>
  <c r="D20130" i="3"/>
  <c r="C20130" i="3"/>
  <c r="B20130" i="3"/>
  <c r="D20129" i="3"/>
  <c r="C20129" i="3"/>
  <c r="B20129" i="3"/>
  <c r="D20128" i="3"/>
  <c r="C20128" i="3"/>
  <c r="B20128" i="3"/>
  <c r="D20127" i="3"/>
  <c r="C20127" i="3"/>
  <c r="B20127" i="3"/>
  <c r="D20126" i="3"/>
  <c r="C20126" i="3"/>
  <c r="B20126" i="3"/>
  <c r="D20125" i="3"/>
  <c r="C20125" i="3"/>
  <c r="B20125" i="3"/>
  <c r="D20124" i="3"/>
  <c r="C20124" i="3"/>
  <c r="B20124" i="3"/>
  <c r="D20123" i="3"/>
  <c r="C20123" i="3"/>
  <c r="B20123" i="3"/>
  <c r="D20122" i="3"/>
  <c r="C20122" i="3"/>
  <c r="B20122" i="3"/>
  <c r="D20121" i="3"/>
  <c r="C20121" i="3"/>
  <c r="B20121" i="3"/>
  <c r="D20120" i="3"/>
  <c r="C20120" i="3"/>
  <c r="B20120" i="3"/>
  <c r="D20119" i="3"/>
  <c r="C20119" i="3"/>
  <c r="B20119" i="3"/>
  <c r="D20118" i="3"/>
  <c r="C20118" i="3"/>
  <c r="B20118" i="3"/>
  <c r="D20117" i="3"/>
  <c r="C20117" i="3"/>
  <c r="B20117" i="3"/>
  <c r="D20116" i="3"/>
  <c r="C20116" i="3"/>
  <c r="B20116" i="3"/>
  <c r="D20115" i="3"/>
  <c r="C20115" i="3"/>
  <c r="B20115" i="3"/>
  <c r="D20114" i="3"/>
  <c r="C20114" i="3"/>
  <c r="B20114" i="3"/>
  <c r="D20113" i="3"/>
  <c r="C20113" i="3"/>
  <c r="B20113" i="3"/>
  <c r="D20112" i="3"/>
  <c r="C20112" i="3"/>
  <c r="B20112" i="3"/>
  <c r="D20111" i="3"/>
  <c r="C20111" i="3"/>
  <c r="B20111" i="3"/>
  <c r="D20110" i="3"/>
  <c r="C20110" i="3"/>
  <c r="B20110" i="3"/>
  <c r="D20109" i="3"/>
  <c r="C20109" i="3"/>
  <c r="B20109" i="3"/>
  <c r="D20108" i="3"/>
  <c r="C20108" i="3"/>
  <c r="B20108" i="3"/>
  <c r="D20107" i="3"/>
  <c r="C20107" i="3"/>
  <c r="B20107" i="3"/>
  <c r="D20106" i="3"/>
  <c r="C20106" i="3"/>
  <c r="B20106" i="3"/>
  <c r="D20105" i="3"/>
  <c r="C20105" i="3"/>
  <c r="B20105" i="3"/>
  <c r="D20104" i="3"/>
  <c r="C20104" i="3"/>
  <c r="B20104" i="3"/>
  <c r="D20103" i="3"/>
  <c r="C20103" i="3"/>
  <c r="B20103" i="3"/>
  <c r="D20102" i="3"/>
  <c r="C20102" i="3"/>
  <c r="B20102" i="3"/>
  <c r="D20101" i="3"/>
  <c r="C20101" i="3"/>
  <c r="B20101" i="3"/>
  <c r="D20100" i="3"/>
  <c r="C20100" i="3"/>
  <c r="B20100" i="3"/>
  <c r="D20099" i="3"/>
  <c r="C20099" i="3"/>
  <c r="B20099" i="3"/>
  <c r="D20098" i="3"/>
  <c r="C20098" i="3"/>
  <c r="B20098" i="3"/>
  <c r="D20097" i="3"/>
  <c r="C20097" i="3"/>
  <c r="B20097" i="3"/>
  <c r="D20096" i="3"/>
  <c r="C20096" i="3"/>
  <c r="B20096" i="3"/>
  <c r="D20095" i="3"/>
  <c r="C20095" i="3"/>
  <c r="B20095" i="3"/>
  <c r="D20094" i="3"/>
  <c r="C20094" i="3"/>
  <c r="B20094" i="3"/>
  <c r="D20093" i="3"/>
  <c r="C20093" i="3"/>
  <c r="B20093" i="3"/>
  <c r="D20092" i="3"/>
  <c r="C20092" i="3"/>
  <c r="B20092" i="3"/>
  <c r="D20091" i="3"/>
  <c r="C20091" i="3"/>
  <c r="B20091" i="3"/>
  <c r="D20090" i="3"/>
  <c r="C20090" i="3"/>
  <c r="B20090" i="3"/>
  <c r="D20089" i="3"/>
  <c r="C20089" i="3"/>
  <c r="B20089" i="3"/>
  <c r="D20088" i="3"/>
  <c r="C20088" i="3"/>
  <c r="B20088" i="3"/>
  <c r="D20087" i="3"/>
  <c r="C20087" i="3"/>
  <c r="B20087" i="3"/>
  <c r="D20086" i="3"/>
  <c r="C20086" i="3"/>
  <c r="B20086" i="3"/>
  <c r="D20085" i="3"/>
  <c r="C20085" i="3"/>
  <c r="B20085" i="3"/>
  <c r="D20084" i="3"/>
  <c r="C20084" i="3"/>
  <c r="B20084" i="3"/>
  <c r="D20083" i="3"/>
  <c r="C20083" i="3"/>
  <c r="B20083" i="3"/>
  <c r="D20082" i="3"/>
  <c r="C20082" i="3"/>
  <c r="B20082" i="3"/>
  <c r="D20081" i="3"/>
  <c r="C20081" i="3"/>
  <c r="B20081" i="3"/>
  <c r="D20080" i="3"/>
  <c r="C20080" i="3"/>
  <c r="B20080" i="3"/>
  <c r="D20079" i="3"/>
  <c r="C20079" i="3"/>
  <c r="B20079" i="3"/>
  <c r="D20078" i="3"/>
  <c r="C20078" i="3"/>
  <c r="B20078" i="3"/>
  <c r="D20077" i="3"/>
  <c r="C20077" i="3"/>
  <c r="B20077" i="3"/>
  <c r="D20076" i="3"/>
  <c r="C20076" i="3"/>
  <c r="B20076" i="3"/>
  <c r="D20075" i="3"/>
  <c r="C20075" i="3"/>
  <c r="B20075" i="3"/>
  <c r="D20074" i="3"/>
  <c r="C20074" i="3"/>
  <c r="B20074" i="3"/>
  <c r="D20073" i="3"/>
  <c r="C20073" i="3"/>
  <c r="B20073" i="3"/>
  <c r="D20072" i="3"/>
  <c r="C20072" i="3"/>
  <c r="B20072" i="3"/>
  <c r="D20071" i="3"/>
  <c r="C20071" i="3"/>
  <c r="B20071" i="3"/>
  <c r="D20070" i="3"/>
  <c r="C20070" i="3"/>
  <c r="B20070" i="3"/>
  <c r="D20069" i="3"/>
  <c r="C20069" i="3"/>
  <c r="B20069" i="3"/>
  <c r="D20068" i="3"/>
  <c r="C20068" i="3"/>
  <c r="B20068" i="3"/>
  <c r="D20067" i="3"/>
  <c r="C20067" i="3"/>
  <c r="B20067" i="3"/>
  <c r="D20066" i="3"/>
  <c r="C20066" i="3"/>
  <c r="B20066" i="3"/>
  <c r="D20065" i="3"/>
  <c r="C20065" i="3"/>
  <c r="B20065" i="3"/>
  <c r="D20064" i="3"/>
  <c r="C20064" i="3"/>
  <c r="B20064" i="3"/>
  <c r="D20063" i="3"/>
  <c r="C20063" i="3"/>
  <c r="B20063" i="3"/>
  <c r="D20062" i="3"/>
  <c r="C20062" i="3"/>
  <c r="B20062" i="3"/>
  <c r="D20061" i="3"/>
  <c r="C20061" i="3"/>
  <c r="B20061" i="3"/>
  <c r="D20060" i="3"/>
  <c r="C20060" i="3"/>
  <c r="B20060" i="3"/>
  <c r="D20059" i="3"/>
  <c r="C20059" i="3"/>
  <c r="B20059" i="3"/>
  <c r="D20058" i="3"/>
  <c r="C20058" i="3"/>
  <c r="B20058" i="3"/>
  <c r="D20057" i="3"/>
  <c r="C20057" i="3"/>
  <c r="B20057" i="3"/>
  <c r="D20056" i="3"/>
  <c r="C20056" i="3"/>
  <c r="B20056" i="3"/>
  <c r="D20055" i="3"/>
  <c r="C20055" i="3"/>
  <c r="B20055" i="3"/>
  <c r="D20054" i="3"/>
  <c r="C20054" i="3"/>
  <c r="B20054" i="3"/>
  <c r="D20053" i="3"/>
  <c r="C20053" i="3"/>
  <c r="B20053" i="3"/>
  <c r="D20052" i="3"/>
  <c r="C20052" i="3"/>
  <c r="B20052" i="3"/>
  <c r="D20051" i="3"/>
  <c r="C20051" i="3"/>
  <c r="B20051" i="3"/>
  <c r="D20050" i="3"/>
  <c r="C20050" i="3"/>
  <c r="B20050" i="3"/>
  <c r="D20049" i="3"/>
  <c r="C20049" i="3"/>
  <c r="B20049" i="3"/>
  <c r="D20048" i="3"/>
  <c r="C20048" i="3"/>
  <c r="B20048" i="3"/>
  <c r="D20047" i="3"/>
  <c r="C20047" i="3"/>
  <c r="B20047" i="3"/>
  <c r="D20046" i="3"/>
  <c r="C20046" i="3"/>
  <c r="B20046" i="3"/>
  <c r="D20045" i="3"/>
  <c r="C20045" i="3"/>
  <c r="B20045" i="3"/>
  <c r="D20044" i="3"/>
  <c r="C20044" i="3"/>
  <c r="B20044" i="3"/>
  <c r="D20043" i="3"/>
  <c r="C20043" i="3"/>
  <c r="B20043" i="3"/>
  <c r="D20042" i="3"/>
  <c r="C20042" i="3"/>
  <c r="B20042" i="3"/>
  <c r="D20041" i="3"/>
  <c r="C20041" i="3"/>
  <c r="B20041" i="3"/>
  <c r="D20040" i="3"/>
  <c r="C20040" i="3"/>
  <c r="B20040" i="3"/>
  <c r="D20039" i="3"/>
  <c r="C20039" i="3"/>
  <c r="B20039" i="3"/>
  <c r="D20038" i="3"/>
  <c r="C20038" i="3"/>
  <c r="B20038" i="3"/>
  <c r="D20037" i="3"/>
  <c r="C20037" i="3"/>
  <c r="B20037" i="3"/>
  <c r="D20036" i="3"/>
  <c r="C20036" i="3"/>
  <c r="B20036" i="3"/>
  <c r="D20035" i="3"/>
  <c r="C20035" i="3"/>
  <c r="B20035" i="3"/>
  <c r="D20034" i="3"/>
  <c r="C20034" i="3"/>
  <c r="B20034" i="3"/>
  <c r="D20033" i="3"/>
  <c r="C20033" i="3"/>
  <c r="B20033" i="3"/>
  <c r="D20032" i="3"/>
  <c r="C20032" i="3"/>
  <c r="B20032" i="3"/>
  <c r="D20031" i="3"/>
  <c r="C20031" i="3"/>
  <c r="B20031" i="3"/>
  <c r="D20030" i="3"/>
  <c r="C20030" i="3"/>
  <c r="B20030" i="3"/>
  <c r="D20029" i="3"/>
  <c r="C20029" i="3"/>
  <c r="B20029" i="3"/>
  <c r="D20028" i="3"/>
  <c r="C20028" i="3"/>
  <c r="B20028" i="3"/>
  <c r="D20027" i="3"/>
  <c r="C20027" i="3"/>
  <c r="B20027" i="3"/>
  <c r="D20026" i="3"/>
  <c r="C20026" i="3"/>
  <c r="B20026" i="3"/>
  <c r="D20025" i="3"/>
  <c r="C20025" i="3"/>
  <c r="B20025" i="3"/>
  <c r="D20024" i="3"/>
  <c r="C20024" i="3"/>
  <c r="B20024" i="3"/>
  <c r="D20023" i="3"/>
  <c r="C20023" i="3"/>
  <c r="B20023" i="3"/>
  <c r="D20022" i="3"/>
  <c r="C20022" i="3"/>
  <c r="B20022" i="3"/>
  <c r="D20021" i="3"/>
  <c r="C20021" i="3"/>
  <c r="B20021" i="3"/>
  <c r="D20020" i="3"/>
  <c r="C20020" i="3"/>
  <c r="B20020" i="3"/>
  <c r="D20019" i="3"/>
  <c r="C20019" i="3"/>
  <c r="B20019" i="3"/>
  <c r="D20018" i="3"/>
  <c r="C20018" i="3"/>
  <c r="B20018" i="3"/>
  <c r="D20017" i="3"/>
  <c r="C20017" i="3"/>
  <c r="B20017" i="3"/>
  <c r="D20016" i="3"/>
  <c r="C20016" i="3"/>
  <c r="B20016" i="3"/>
  <c r="D20015" i="3"/>
  <c r="C20015" i="3"/>
  <c r="B20015" i="3"/>
  <c r="D20014" i="3"/>
  <c r="C20014" i="3"/>
  <c r="B20014" i="3"/>
  <c r="D20013" i="3"/>
  <c r="C20013" i="3"/>
  <c r="B20013" i="3"/>
  <c r="D20012" i="3"/>
  <c r="C20012" i="3"/>
  <c r="B20012" i="3"/>
  <c r="D20011" i="3"/>
  <c r="C20011" i="3"/>
  <c r="B20011" i="3"/>
  <c r="D20010" i="3"/>
  <c r="C20010" i="3"/>
  <c r="B20010" i="3"/>
  <c r="D20009" i="3"/>
  <c r="C20009" i="3"/>
  <c r="B20009" i="3"/>
  <c r="D20008" i="3"/>
  <c r="C20008" i="3"/>
  <c r="B20008" i="3"/>
  <c r="D20007" i="3"/>
  <c r="C20007" i="3"/>
  <c r="B20007" i="3"/>
  <c r="D20006" i="3"/>
  <c r="C20006" i="3"/>
  <c r="B20006" i="3"/>
  <c r="D20005" i="3"/>
  <c r="C20005" i="3"/>
  <c r="B20005" i="3"/>
  <c r="D20004" i="3"/>
  <c r="C20004" i="3"/>
  <c r="B20004" i="3"/>
  <c r="D20003" i="3"/>
  <c r="C20003" i="3"/>
  <c r="B20003" i="3"/>
  <c r="D20002" i="3"/>
  <c r="C20002" i="3"/>
  <c r="B20002" i="3"/>
  <c r="D20001" i="3"/>
  <c r="C20001" i="3"/>
  <c r="B20001" i="3"/>
  <c r="D20000" i="3"/>
  <c r="C20000" i="3"/>
  <c r="B20000" i="3"/>
  <c r="D19999" i="3"/>
  <c r="C19999" i="3"/>
  <c r="B19999" i="3"/>
  <c r="D19998" i="3"/>
  <c r="C19998" i="3"/>
  <c r="B19998" i="3"/>
  <c r="D19997" i="3"/>
  <c r="C19997" i="3"/>
  <c r="B19997" i="3"/>
  <c r="D19996" i="3"/>
  <c r="C19996" i="3"/>
  <c r="B19996" i="3"/>
  <c r="D19995" i="3"/>
  <c r="C19995" i="3"/>
  <c r="B19995" i="3"/>
  <c r="D19994" i="3"/>
  <c r="C19994" i="3"/>
  <c r="B19994" i="3"/>
  <c r="D19993" i="3"/>
  <c r="C19993" i="3"/>
  <c r="B19993" i="3"/>
  <c r="D19992" i="3"/>
  <c r="C19992" i="3"/>
  <c r="B19992" i="3"/>
  <c r="D19991" i="3"/>
  <c r="C19991" i="3"/>
  <c r="B19991" i="3"/>
  <c r="D19990" i="3"/>
  <c r="C19990" i="3"/>
  <c r="B19990" i="3"/>
  <c r="D19989" i="3"/>
  <c r="C19989" i="3"/>
  <c r="B19989" i="3"/>
  <c r="D19988" i="3"/>
  <c r="C19988" i="3"/>
  <c r="B19988" i="3"/>
  <c r="D19987" i="3"/>
  <c r="C19987" i="3"/>
  <c r="B19987" i="3"/>
  <c r="D19986" i="3"/>
  <c r="C19986" i="3"/>
  <c r="B19986" i="3"/>
  <c r="D19985" i="3"/>
  <c r="C19985" i="3"/>
  <c r="B19985" i="3"/>
  <c r="D19984" i="3"/>
  <c r="C19984" i="3"/>
  <c r="B19984" i="3"/>
  <c r="D19983" i="3"/>
  <c r="C19983" i="3"/>
  <c r="B19983" i="3"/>
  <c r="D19982" i="3"/>
  <c r="C19982" i="3"/>
  <c r="B19982" i="3"/>
  <c r="D19981" i="3"/>
  <c r="C19981" i="3"/>
  <c r="B19981" i="3"/>
  <c r="D19980" i="3"/>
  <c r="C19980" i="3"/>
  <c r="B19980" i="3"/>
  <c r="D19979" i="3"/>
  <c r="C19979" i="3"/>
  <c r="B19979" i="3"/>
  <c r="D19978" i="3"/>
  <c r="C19978" i="3"/>
  <c r="B19978" i="3"/>
  <c r="D19977" i="3"/>
  <c r="C19977" i="3"/>
  <c r="B19977" i="3"/>
  <c r="D19976" i="3"/>
  <c r="C19976" i="3"/>
  <c r="B19976" i="3"/>
  <c r="D19975" i="3"/>
  <c r="C19975" i="3"/>
  <c r="B19975" i="3"/>
  <c r="D19974" i="3"/>
  <c r="C19974" i="3"/>
  <c r="B19974" i="3"/>
  <c r="D19973" i="3"/>
  <c r="C19973" i="3"/>
  <c r="B19973" i="3"/>
  <c r="D19972" i="3"/>
  <c r="C19972" i="3"/>
  <c r="B19972" i="3"/>
  <c r="D19971" i="3"/>
  <c r="C19971" i="3"/>
  <c r="B19971" i="3"/>
  <c r="D19970" i="3"/>
  <c r="C19970" i="3"/>
  <c r="B19970" i="3"/>
  <c r="D19969" i="3"/>
  <c r="C19969" i="3"/>
  <c r="B19969" i="3"/>
  <c r="D19968" i="3"/>
  <c r="C19968" i="3"/>
  <c r="B19968" i="3"/>
  <c r="D19967" i="3"/>
  <c r="C19967" i="3"/>
  <c r="B19967" i="3"/>
  <c r="D19966" i="3"/>
  <c r="C19966" i="3"/>
  <c r="B19966" i="3"/>
  <c r="D19965" i="3"/>
  <c r="C19965" i="3"/>
  <c r="B19965" i="3"/>
  <c r="D19964" i="3"/>
  <c r="C19964" i="3"/>
  <c r="B19964" i="3"/>
  <c r="D19963" i="3"/>
  <c r="C19963" i="3"/>
  <c r="B19963" i="3"/>
  <c r="D19962" i="3"/>
  <c r="C19962" i="3"/>
  <c r="B19962" i="3"/>
  <c r="D19961" i="3"/>
  <c r="C19961" i="3"/>
  <c r="B19961" i="3"/>
  <c r="D19960" i="3"/>
  <c r="C19960" i="3"/>
  <c r="B19960" i="3"/>
  <c r="D19959" i="3"/>
  <c r="C19959" i="3"/>
  <c r="B19959" i="3"/>
  <c r="D19958" i="3"/>
  <c r="C19958" i="3"/>
  <c r="B19958" i="3"/>
  <c r="D19957" i="3"/>
  <c r="C19957" i="3"/>
  <c r="B19957" i="3"/>
  <c r="D19956" i="3"/>
  <c r="C19956" i="3"/>
  <c r="B19956" i="3"/>
  <c r="D19955" i="3"/>
  <c r="C19955" i="3"/>
  <c r="B19955" i="3"/>
  <c r="D19954" i="3"/>
  <c r="C19954" i="3"/>
  <c r="B19954" i="3"/>
  <c r="D19953" i="3"/>
  <c r="C19953" i="3"/>
  <c r="B19953" i="3"/>
  <c r="D19952" i="3"/>
  <c r="C19952" i="3"/>
  <c r="B19952" i="3"/>
  <c r="D19951" i="3"/>
  <c r="C19951" i="3"/>
  <c r="B19951" i="3"/>
  <c r="D19950" i="3"/>
  <c r="C19950" i="3"/>
  <c r="B19950" i="3"/>
  <c r="D19949" i="3"/>
  <c r="C19949" i="3"/>
  <c r="B19949" i="3"/>
  <c r="D19948" i="3"/>
  <c r="C19948" i="3"/>
  <c r="B19948" i="3"/>
  <c r="D19947" i="3"/>
  <c r="C19947" i="3"/>
  <c r="B19947" i="3"/>
  <c r="D19946" i="3"/>
  <c r="C19946" i="3"/>
  <c r="B19946" i="3"/>
  <c r="D19945" i="3"/>
  <c r="C19945" i="3"/>
  <c r="B19945" i="3"/>
  <c r="D19944" i="3"/>
  <c r="C19944" i="3"/>
  <c r="B19944" i="3"/>
  <c r="D19943" i="3"/>
  <c r="C19943" i="3"/>
  <c r="B19943" i="3"/>
  <c r="D19942" i="3"/>
  <c r="C19942" i="3"/>
  <c r="B19942" i="3"/>
  <c r="D19941" i="3"/>
  <c r="C19941" i="3"/>
  <c r="B19941" i="3"/>
  <c r="D19940" i="3"/>
  <c r="C19940" i="3"/>
  <c r="B19940" i="3"/>
  <c r="D19939" i="3"/>
  <c r="C19939" i="3"/>
  <c r="B19939" i="3"/>
  <c r="D19938" i="3"/>
  <c r="C19938" i="3"/>
  <c r="B19938" i="3"/>
  <c r="D19937" i="3"/>
  <c r="C19937" i="3"/>
  <c r="B19937" i="3"/>
  <c r="D19936" i="3"/>
  <c r="C19936" i="3"/>
  <c r="B19936" i="3"/>
  <c r="D19935" i="3"/>
  <c r="C19935" i="3"/>
  <c r="B19935" i="3"/>
  <c r="D19934" i="3"/>
  <c r="C19934" i="3"/>
  <c r="B19934" i="3"/>
  <c r="D19933" i="3"/>
  <c r="C19933" i="3"/>
  <c r="B19933" i="3"/>
  <c r="D19932" i="3"/>
  <c r="C19932" i="3"/>
  <c r="B19932" i="3"/>
  <c r="D19931" i="3"/>
  <c r="C19931" i="3"/>
  <c r="B19931" i="3"/>
  <c r="D19930" i="3"/>
  <c r="C19930" i="3"/>
  <c r="B19930" i="3"/>
  <c r="D19929" i="3"/>
  <c r="C19929" i="3"/>
  <c r="B19929" i="3"/>
  <c r="D19928" i="3"/>
  <c r="C19928" i="3"/>
  <c r="B19928" i="3"/>
  <c r="D19927" i="3"/>
  <c r="C19927" i="3"/>
  <c r="B19927" i="3"/>
  <c r="D19926" i="3"/>
  <c r="C19926" i="3"/>
  <c r="B19926" i="3"/>
  <c r="D19925" i="3"/>
  <c r="C19925" i="3"/>
  <c r="B19925" i="3"/>
  <c r="D19924" i="3"/>
  <c r="C19924" i="3"/>
  <c r="B19924" i="3"/>
  <c r="D19923" i="3"/>
  <c r="C19923" i="3"/>
  <c r="B19923" i="3"/>
  <c r="D19922" i="3"/>
  <c r="C19922" i="3"/>
  <c r="B19922" i="3"/>
  <c r="D19921" i="3"/>
  <c r="C19921" i="3"/>
  <c r="B19921" i="3"/>
  <c r="D19920" i="3"/>
  <c r="C19920" i="3"/>
  <c r="B19920" i="3"/>
  <c r="D19919" i="3"/>
  <c r="C19919" i="3"/>
  <c r="B19919" i="3"/>
  <c r="D19918" i="3"/>
  <c r="C19918" i="3"/>
  <c r="B19918" i="3"/>
  <c r="D19917" i="3"/>
  <c r="C19917" i="3"/>
  <c r="B19917" i="3"/>
  <c r="D19916" i="3"/>
  <c r="C19916" i="3"/>
  <c r="B19916" i="3"/>
  <c r="D19915" i="3"/>
  <c r="C19915" i="3"/>
  <c r="B19915" i="3"/>
  <c r="D19914" i="3"/>
  <c r="C19914" i="3"/>
  <c r="B19914" i="3"/>
  <c r="D19913" i="3"/>
  <c r="C19913" i="3"/>
  <c r="B19913" i="3"/>
  <c r="D19912" i="3"/>
  <c r="C19912" i="3"/>
  <c r="B19912" i="3"/>
  <c r="D19911" i="3"/>
  <c r="C19911" i="3"/>
  <c r="B19911" i="3"/>
  <c r="D19910" i="3"/>
  <c r="C19910" i="3"/>
  <c r="B19910" i="3"/>
  <c r="D19909" i="3"/>
  <c r="C19909" i="3"/>
  <c r="B19909" i="3"/>
  <c r="D19908" i="3"/>
  <c r="C19908" i="3"/>
  <c r="B19908" i="3"/>
  <c r="D19907" i="3"/>
  <c r="C19907" i="3"/>
  <c r="B19907" i="3"/>
  <c r="D19906" i="3"/>
  <c r="C19906" i="3"/>
  <c r="B19906" i="3"/>
  <c r="D19905" i="3"/>
  <c r="C19905" i="3"/>
  <c r="B19905" i="3"/>
  <c r="D19904" i="3"/>
  <c r="C19904" i="3"/>
  <c r="B19904" i="3"/>
  <c r="D19903" i="3"/>
  <c r="C19903" i="3"/>
  <c r="B19903" i="3"/>
  <c r="D19902" i="3"/>
  <c r="C19902" i="3"/>
  <c r="B19902" i="3"/>
  <c r="D19901" i="3"/>
  <c r="C19901" i="3"/>
  <c r="B19901" i="3"/>
  <c r="D19900" i="3"/>
  <c r="C19900" i="3"/>
  <c r="B19900" i="3"/>
  <c r="D19899" i="3"/>
  <c r="C19899" i="3"/>
  <c r="B19899" i="3"/>
  <c r="D19898" i="3"/>
  <c r="C19898" i="3"/>
  <c r="B19898" i="3"/>
  <c r="D19897" i="3"/>
  <c r="C19897" i="3"/>
  <c r="B19897" i="3"/>
  <c r="D19896" i="3"/>
  <c r="C19896" i="3"/>
  <c r="B19896" i="3"/>
  <c r="D19895" i="3"/>
  <c r="C19895" i="3"/>
  <c r="B19895" i="3"/>
  <c r="D19894" i="3"/>
  <c r="C19894" i="3"/>
  <c r="B19894" i="3"/>
  <c r="D19893" i="3"/>
  <c r="C19893" i="3"/>
  <c r="B19893" i="3"/>
  <c r="D19892" i="3"/>
  <c r="C19892" i="3"/>
  <c r="B19892" i="3"/>
  <c r="D19891" i="3"/>
  <c r="C19891" i="3"/>
  <c r="B19891" i="3"/>
  <c r="D19890" i="3"/>
  <c r="C19890" i="3"/>
  <c r="B19890" i="3"/>
  <c r="D19889" i="3"/>
  <c r="C19889" i="3"/>
  <c r="B19889" i="3"/>
  <c r="D19888" i="3"/>
  <c r="C19888" i="3"/>
  <c r="B19888" i="3"/>
  <c r="D19887" i="3"/>
  <c r="C19887" i="3"/>
  <c r="B19887" i="3"/>
  <c r="D19886" i="3"/>
  <c r="C19886" i="3"/>
  <c r="B19886" i="3"/>
  <c r="D19885" i="3"/>
  <c r="C19885" i="3"/>
  <c r="B19885" i="3"/>
  <c r="D19884" i="3"/>
  <c r="C19884" i="3"/>
  <c r="B19884" i="3"/>
  <c r="D19883" i="3"/>
  <c r="C19883" i="3"/>
  <c r="B19883" i="3"/>
  <c r="D19882" i="3"/>
  <c r="C19882" i="3"/>
  <c r="B19882" i="3"/>
  <c r="D19881" i="3"/>
  <c r="C19881" i="3"/>
  <c r="B19881" i="3"/>
  <c r="D19880" i="3"/>
  <c r="C19880" i="3"/>
  <c r="B19880" i="3"/>
  <c r="D19879" i="3"/>
  <c r="C19879" i="3"/>
  <c r="B19879" i="3"/>
  <c r="D19878" i="3"/>
  <c r="C19878" i="3"/>
  <c r="B19878" i="3"/>
  <c r="D19877" i="3"/>
  <c r="C19877" i="3"/>
  <c r="B19877" i="3"/>
  <c r="D19876" i="3"/>
  <c r="C19876" i="3"/>
  <c r="B19876" i="3"/>
  <c r="D19875" i="3"/>
  <c r="C19875" i="3"/>
  <c r="B19875" i="3"/>
  <c r="D19874" i="3"/>
  <c r="C19874" i="3"/>
  <c r="B19874" i="3"/>
  <c r="D19873" i="3"/>
  <c r="C19873" i="3"/>
  <c r="B19873" i="3"/>
  <c r="D19872" i="3"/>
  <c r="C19872" i="3"/>
  <c r="B19872" i="3"/>
  <c r="D19871" i="3"/>
  <c r="C19871" i="3"/>
  <c r="B19871" i="3"/>
  <c r="D19870" i="3"/>
  <c r="C19870" i="3"/>
  <c r="B19870" i="3"/>
  <c r="D19869" i="3"/>
  <c r="C19869" i="3"/>
  <c r="B19869" i="3"/>
  <c r="D19868" i="3"/>
  <c r="C19868" i="3"/>
  <c r="B19868" i="3"/>
  <c r="D19867" i="3"/>
  <c r="C19867" i="3"/>
  <c r="B19867" i="3"/>
  <c r="D19866" i="3"/>
  <c r="C19866" i="3"/>
  <c r="B19866" i="3"/>
  <c r="D19865" i="3"/>
  <c r="C19865" i="3"/>
  <c r="B19865" i="3"/>
  <c r="D19864" i="3"/>
  <c r="C19864" i="3"/>
  <c r="B19864" i="3"/>
  <c r="D19863" i="3"/>
  <c r="C19863" i="3"/>
  <c r="B19863" i="3"/>
  <c r="D19862" i="3"/>
  <c r="C19862" i="3"/>
  <c r="B19862" i="3"/>
  <c r="D19861" i="3"/>
  <c r="C19861" i="3"/>
  <c r="B19861" i="3"/>
  <c r="D19860" i="3"/>
  <c r="C19860" i="3"/>
  <c r="B19860" i="3"/>
  <c r="D19859" i="3"/>
  <c r="C19859" i="3"/>
  <c r="B19859" i="3"/>
  <c r="D19858" i="3"/>
  <c r="C19858" i="3"/>
  <c r="B19858" i="3"/>
  <c r="D19857" i="3"/>
  <c r="C19857" i="3"/>
  <c r="B19857" i="3"/>
  <c r="D19856" i="3"/>
  <c r="C19856" i="3"/>
  <c r="B19856" i="3"/>
  <c r="D19855" i="3"/>
  <c r="C19855" i="3"/>
  <c r="B19855" i="3"/>
  <c r="D19854" i="3"/>
  <c r="C19854" i="3"/>
  <c r="B19854" i="3"/>
  <c r="D19853" i="3"/>
  <c r="C19853" i="3"/>
  <c r="B19853" i="3"/>
  <c r="D19852" i="3"/>
  <c r="C19852" i="3"/>
  <c r="B19852" i="3"/>
  <c r="D19851" i="3"/>
  <c r="C19851" i="3"/>
  <c r="B19851" i="3"/>
  <c r="D19850" i="3"/>
  <c r="C19850" i="3"/>
  <c r="B19850" i="3"/>
  <c r="D19849" i="3"/>
  <c r="C19849" i="3"/>
  <c r="B19849" i="3"/>
  <c r="D19848" i="3"/>
  <c r="C19848" i="3"/>
  <c r="B19848" i="3"/>
  <c r="D19847" i="3"/>
  <c r="C19847" i="3"/>
  <c r="B19847" i="3"/>
  <c r="D19846" i="3"/>
  <c r="C19846" i="3"/>
  <c r="B19846" i="3"/>
  <c r="D19845" i="3"/>
  <c r="C19845" i="3"/>
  <c r="B19845" i="3"/>
  <c r="D19844" i="3"/>
  <c r="C19844" i="3"/>
  <c r="B19844" i="3"/>
  <c r="D19843" i="3"/>
  <c r="C19843" i="3"/>
  <c r="B19843" i="3"/>
  <c r="D19842" i="3"/>
  <c r="C19842" i="3"/>
  <c r="B19842" i="3"/>
  <c r="D19841" i="3"/>
  <c r="C19841" i="3"/>
  <c r="B19841" i="3"/>
  <c r="D19840" i="3"/>
  <c r="C19840" i="3"/>
  <c r="B19840" i="3"/>
  <c r="D19839" i="3"/>
  <c r="C19839" i="3"/>
  <c r="B19839" i="3"/>
  <c r="D19838" i="3"/>
  <c r="C19838" i="3"/>
  <c r="B19838" i="3"/>
  <c r="D19837" i="3"/>
  <c r="C19837" i="3"/>
  <c r="B19837" i="3"/>
  <c r="D19836" i="3"/>
  <c r="C19836" i="3"/>
  <c r="B19836" i="3"/>
  <c r="D19835" i="3"/>
  <c r="C19835" i="3"/>
  <c r="B19835" i="3"/>
  <c r="D19834" i="3"/>
  <c r="C19834" i="3"/>
  <c r="B19834" i="3"/>
  <c r="D19833" i="3"/>
  <c r="C19833" i="3"/>
  <c r="B19833" i="3"/>
  <c r="D19832" i="3"/>
  <c r="C19832" i="3"/>
  <c r="B19832" i="3"/>
  <c r="D19831" i="3"/>
  <c r="C19831" i="3"/>
  <c r="B19831" i="3"/>
  <c r="D19830" i="3"/>
  <c r="C19830" i="3"/>
  <c r="B19830" i="3"/>
  <c r="D19829" i="3"/>
  <c r="C19829" i="3"/>
  <c r="B19829" i="3"/>
  <c r="D19828" i="3"/>
  <c r="C19828" i="3"/>
  <c r="B19828" i="3"/>
  <c r="D19827" i="3"/>
  <c r="C19827" i="3"/>
  <c r="B19827" i="3"/>
  <c r="D19826" i="3"/>
  <c r="C19826" i="3"/>
  <c r="B19826" i="3"/>
  <c r="D19825" i="3"/>
  <c r="C19825" i="3"/>
  <c r="B19825" i="3"/>
  <c r="D19824" i="3"/>
  <c r="C19824" i="3"/>
  <c r="B19824" i="3"/>
  <c r="D19823" i="3"/>
  <c r="C19823" i="3"/>
  <c r="B19823" i="3"/>
  <c r="D19822" i="3"/>
  <c r="C19822" i="3"/>
  <c r="B19822" i="3"/>
  <c r="D19821" i="3"/>
  <c r="C19821" i="3"/>
  <c r="B19821" i="3"/>
  <c r="D19820" i="3"/>
  <c r="C19820" i="3"/>
  <c r="B19820" i="3"/>
  <c r="D19819" i="3"/>
  <c r="C19819" i="3"/>
  <c r="B19819" i="3"/>
  <c r="D19818" i="3"/>
  <c r="C19818" i="3"/>
  <c r="B19818" i="3"/>
  <c r="D19817" i="3"/>
  <c r="C19817" i="3"/>
  <c r="B19817" i="3"/>
  <c r="D19816" i="3"/>
  <c r="C19816" i="3"/>
  <c r="B19816" i="3"/>
  <c r="D19815" i="3"/>
  <c r="C19815" i="3"/>
  <c r="B19815" i="3"/>
  <c r="D19814" i="3"/>
  <c r="C19814" i="3"/>
  <c r="B19814" i="3"/>
  <c r="D19813" i="3"/>
  <c r="C19813" i="3"/>
  <c r="B19813" i="3"/>
  <c r="D19812" i="3"/>
  <c r="C19812" i="3"/>
  <c r="B19812" i="3"/>
  <c r="D19811" i="3"/>
  <c r="C19811" i="3"/>
  <c r="B19811" i="3"/>
  <c r="D19810" i="3"/>
  <c r="C19810" i="3"/>
  <c r="B19810" i="3"/>
  <c r="D19809" i="3"/>
  <c r="C19809" i="3"/>
  <c r="B19809" i="3"/>
  <c r="D19808" i="3"/>
  <c r="C19808" i="3"/>
  <c r="B19808" i="3"/>
  <c r="D19807" i="3"/>
  <c r="C19807" i="3"/>
  <c r="B19807" i="3"/>
  <c r="D19806" i="3"/>
  <c r="C19806" i="3"/>
  <c r="B19806" i="3"/>
  <c r="D19805" i="3"/>
  <c r="C19805" i="3"/>
  <c r="B19805" i="3"/>
  <c r="D19804" i="3"/>
  <c r="C19804" i="3"/>
  <c r="B19804" i="3"/>
  <c r="D19803" i="3"/>
  <c r="C19803" i="3"/>
  <c r="B19803" i="3"/>
  <c r="D19802" i="3"/>
  <c r="C19802" i="3"/>
  <c r="B19802" i="3"/>
  <c r="D19801" i="3"/>
  <c r="C19801" i="3"/>
  <c r="B19801" i="3"/>
  <c r="D19800" i="3"/>
  <c r="C19800" i="3"/>
  <c r="B19800" i="3"/>
  <c r="D19799" i="3"/>
  <c r="C19799" i="3"/>
  <c r="B19799" i="3"/>
  <c r="D19798" i="3"/>
  <c r="C19798" i="3"/>
  <c r="B19798" i="3"/>
  <c r="D19797" i="3"/>
  <c r="C19797" i="3"/>
  <c r="B19797" i="3"/>
  <c r="D19796" i="3"/>
  <c r="C19796" i="3"/>
  <c r="B19796" i="3"/>
  <c r="D19795" i="3"/>
  <c r="C19795" i="3"/>
  <c r="B19795" i="3"/>
  <c r="D19794" i="3"/>
  <c r="C19794" i="3"/>
  <c r="B19794" i="3"/>
  <c r="D19793" i="3"/>
  <c r="C19793" i="3"/>
  <c r="B19793" i="3"/>
  <c r="D19792" i="3"/>
  <c r="C19792" i="3"/>
  <c r="B19792" i="3"/>
  <c r="D19791" i="3"/>
  <c r="C19791" i="3"/>
  <c r="B19791" i="3"/>
  <c r="D19790" i="3"/>
  <c r="C19790" i="3"/>
  <c r="B19790" i="3"/>
  <c r="D19789" i="3"/>
  <c r="C19789" i="3"/>
  <c r="B19789" i="3"/>
  <c r="D19788" i="3"/>
  <c r="C19788" i="3"/>
  <c r="B19788" i="3"/>
  <c r="D19787" i="3"/>
  <c r="C19787" i="3"/>
  <c r="B19787" i="3"/>
  <c r="D19786" i="3"/>
  <c r="C19786" i="3"/>
  <c r="B19786" i="3"/>
  <c r="D19785" i="3"/>
  <c r="C19785" i="3"/>
  <c r="B19785" i="3"/>
  <c r="D19784" i="3"/>
  <c r="C19784" i="3"/>
  <c r="B19784" i="3"/>
  <c r="D19783" i="3"/>
  <c r="C19783" i="3"/>
  <c r="B19783" i="3"/>
  <c r="D19782" i="3"/>
  <c r="C19782" i="3"/>
  <c r="B19782" i="3"/>
  <c r="D19781" i="3"/>
  <c r="C19781" i="3"/>
  <c r="B19781" i="3"/>
  <c r="D19780" i="3"/>
  <c r="C19780" i="3"/>
  <c r="B19780" i="3"/>
  <c r="D19779" i="3"/>
  <c r="C19779" i="3"/>
  <c r="B19779" i="3"/>
  <c r="D19778" i="3"/>
  <c r="C19778" i="3"/>
  <c r="B19778" i="3"/>
  <c r="D19777" i="3"/>
  <c r="C19777" i="3"/>
  <c r="B19777" i="3"/>
  <c r="D19776" i="3"/>
  <c r="C19776" i="3"/>
  <c r="B19776" i="3"/>
  <c r="D19775" i="3"/>
  <c r="C19775" i="3"/>
  <c r="B19775" i="3"/>
  <c r="D19774" i="3"/>
  <c r="C19774" i="3"/>
  <c r="B19774" i="3"/>
  <c r="D19773" i="3"/>
  <c r="C19773" i="3"/>
  <c r="B19773" i="3"/>
  <c r="D19772" i="3"/>
  <c r="C19772" i="3"/>
  <c r="B19772" i="3"/>
  <c r="D19771" i="3"/>
  <c r="C19771" i="3"/>
  <c r="B19771" i="3"/>
  <c r="D19770" i="3"/>
  <c r="C19770" i="3"/>
  <c r="B19770" i="3"/>
  <c r="D19769" i="3"/>
  <c r="C19769" i="3"/>
  <c r="B19769" i="3"/>
  <c r="D19768" i="3"/>
  <c r="C19768" i="3"/>
  <c r="B19768" i="3"/>
  <c r="D19767" i="3"/>
  <c r="C19767" i="3"/>
  <c r="B19767" i="3"/>
  <c r="D19766" i="3"/>
  <c r="C19766" i="3"/>
  <c r="B19766" i="3"/>
  <c r="D19765" i="3"/>
  <c r="C19765" i="3"/>
  <c r="B19765" i="3"/>
  <c r="D19764" i="3"/>
  <c r="C19764" i="3"/>
  <c r="B19764" i="3"/>
  <c r="D19763" i="3"/>
  <c r="C19763" i="3"/>
  <c r="B19763" i="3"/>
  <c r="D19762" i="3"/>
  <c r="C19762" i="3"/>
  <c r="B19762" i="3"/>
  <c r="D19761" i="3"/>
  <c r="C19761" i="3"/>
  <c r="B19761" i="3"/>
  <c r="D19760" i="3"/>
  <c r="C19760" i="3"/>
  <c r="B19760" i="3"/>
  <c r="D19759" i="3"/>
  <c r="C19759" i="3"/>
  <c r="B19759" i="3"/>
  <c r="D19758" i="3"/>
  <c r="C19758" i="3"/>
  <c r="B19758" i="3"/>
  <c r="D19757" i="3"/>
  <c r="C19757" i="3"/>
  <c r="B19757" i="3"/>
  <c r="D19756" i="3"/>
  <c r="C19756" i="3"/>
  <c r="B19756" i="3"/>
  <c r="D19755" i="3"/>
  <c r="C19755" i="3"/>
  <c r="B19755" i="3"/>
  <c r="D19754" i="3"/>
  <c r="C19754" i="3"/>
  <c r="B19754" i="3"/>
  <c r="D19753" i="3"/>
  <c r="C19753" i="3"/>
  <c r="B19753" i="3"/>
  <c r="D19752" i="3"/>
  <c r="C19752" i="3"/>
  <c r="B19752" i="3"/>
  <c r="D19751" i="3"/>
  <c r="C19751" i="3"/>
  <c r="B19751" i="3"/>
  <c r="D19750" i="3"/>
  <c r="C19750" i="3"/>
  <c r="B19750" i="3"/>
  <c r="D19749" i="3"/>
  <c r="C19749" i="3"/>
  <c r="B19749" i="3"/>
  <c r="D19748" i="3"/>
  <c r="C19748" i="3"/>
  <c r="B19748" i="3"/>
  <c r="D19747" i="3"/>
  <c r="C19747" i="3"/>
  <c r="B19747" i="3"/>
  <c r="D19746" i="3"/>
  <c r="C19746" i="3"/>
  <c r="B19746" i="3"/>
  <c r="D19745" i="3"/>
  <c r="C19745" i="3"/>
  <c r="B19745" i="3"/>
  <c r="D19744" i="3"/>
  <c r="C19744" i="3"/>
  <c r="B19744" i="3"/>
  <c r="D19743" i="3"/>
  <c r="C19743" i="3"/>
  <c r="B19743" i="3"/>
  <c r="D19742" i="3"/>
  <c r="C19742" i="3"/>
  <c r="B19742" i="3"/>
  <c r="D19741" i="3"/>
  <c r="C19741" i="3"/>
  <c r="B19741" i="3"/>
  <c r="D19740" i="3"/>
  <c r="C19740" i="3"/>
  <c r="B19740" i="3"/>
  <c r="D19739" i="3"/>
  <c r="C19739" i="3"/>
  <c r="B19739" i="3"/>
  <c r="D19738" i="3"/>
  <c r="C19738" i="3"/>
  <c r="B19738" i="3"/>
  <c r="D19737" i="3"/>
  <c r="C19737" i="3"/>
  <c r="B19737" i="3"/>
  <c r="D19736" i="3"/>
  <c r="C19736" i="3"/>
  <c r="B19736" i="3"/>
  <c r="D19735" i="3"/>
  <c r="C19735" i="3"/>
  <c r="B19735" i="3"/>
  <c r="D19734" i="3"/>
  <c r="C19734" i="3"/>
  <c r="B19734" i="3"/>
  <c r="D19733" i="3"/>
  <c r="C19733" i="3"/>
  <c r="B19733" i="3"/>
  <c r="D19732" i="3"/>
  <c r="C19732" i="3"/>
  <c r="B19732" i="3"/>
  <c r="D19731" i="3"/>
  <c r="C19731" i="3"/>
  <c r="B19731" i="3"/>
  <c r="D19730" i="3"/>
  <c r="C19730" i="3"/>
  <c r="B19730" i="3"/>
  <c r="D19729" i="3"/>
  <c r="C19729" i="3"/>
  <c r="B19729" i="3"/>
  <c r="D19728" i="3"/>
  <c r="C19728" i="3"/>
  <c r="B19728" i="3"/>
  <c r="D19727" i="3"/>
  <c r="C19727" i="3"/>
  <c r="B19727" i="3"/>
  <c r="D19726" i="3"/>
  <c r="C19726" i="3"/>
  <c r="B19726" i="3"/>
  <c r="D19725" i="3"/>
  <c r="C19725" i="3"/>
  <c r="B19725" i="3"/>
  <c r="D19724" i="3"/>
  <c r="C19724" i="3"/>
  <c r="B19724" i="3"/>
  <c r="D19723" i="3"/>
  <c r="C19723" i="3"/>
  <c r="B19723" i="3"/>
  <c r="D19722" i="3"/>
  <c r="C19722" i="3"/>
  <c r="B19722" i="3"/>
  <c r="D19721" i="3"/>
  <c r="C19721" i="3"/>
  <c r="B19721" i="3"/>
  <c r="D19720" i="3"/>
  <c r="C19720" i="3"/>
  <c r="B19720" i="3"/>
  <c r="D19719" i="3"/>
  <c r="C19719" i="3"/>
  <c r="B19719" i="3"/>
  <c r="D19718" i="3"/>
  <c r="C19718" i="3"/>
  <c r="B19718" i="3"/>
  <c r="D19717" i="3"/>
  <c r="C19717" i="3"/>
  <c r="B19717" i="3"/>
  <c r="D19716" i="3"/>
  <c r="C19716" i="3"/>
  <c r="B19716" i="3"/>
  <c r="D19715" i="3"/>
  <c r="C19715" i="3"/>
  <c r="B19715" i="3"/>
  <c r="D19714" i="3"/>
  <c r="C19714" i="3"/>
  <c r="B19714" i="3"/>
  <c r="D19713" i="3"/>
  <c r="C19713" i="3"/>
  <c r="B19713" i="3"/>
  <c r="D19712" i="3"/>
  <c r="C19712" i="3"/>
  <c r="B19712" i="3"/>
  <c r="D19711" i="3"/>
  <c r="C19711" i="3"/>
  <c r="B19711" i="3"/>
  <c r="D19710" i="3"/>
  <c r="C19710" i="3"/>
  <c r="B19710" i="3"/>
  <c r="D19709" i="3"/>
  <c r="C19709" i="3"/>
  <c r="B19709" i="3"/>
  <c r="D19708" i="3"/>
  <c r="C19708" i="3"/>
  <c r="B19708" i="3"/>
  <c r="D19707" i="3"/>
  <c r="C19707" i="3"/>
  <c r="B19707" i="3"/>
  <c r="D19706" i="3"/>
  <c r="C19706" i="3"/>
  <c r="B19706" i="3"/>
  <c r="D19705" i="3"/>
  <c r="C19705" i="3"/>
  <c r="B19705" i="3"/>
  <c r="D19704" i="3"/>
  <c r="C19704" i="3"/>
  <c r="B19704" i="3"/>
  <c r="D19703" i="3"/>
  <c r="C19703" i="3"/>
  <c r="B19703" i="3"/>
  <c r="D19702" i="3"/>
  <c r="C19702" i="3"/>
  <c r="B19702" i="3"/>
  <c r="D19701" i="3"/>
  <c r="C19701" i="3"/>
  <c r="B19701" i="3"/>
  <c r="D19700" i="3"/>
  <c r="C19700" i="3"/>
  <c r="B19700" i="3"/>
  <c r="D19699" i="3"/>
  <c r="C19699" i="3"/>
  <c r="B19699" i="3"/>
  <c r="D19698" i="3"/>
  <c r="C19698" i="3"/>
  <c r="B19698" i="3"/>
  <c r="D19697" i="3"/>
  <c r="C19697" i="3"/>
  <c r="B19697" i="3"/>
  <c r="D19696" i="3"/>
  <c r="C19696" i="3"/>
  <c r="B19696" i="3"/>
  <c r="D19695" i="3"/>
  <c r="C19695" i="3"/>
  <c r="B19695" i="3"/>
  <c r="D19694" i="3"/>
  <c r="C19694" i="3"/>
  <c r="B19694" i="3"/>
  <c r="D19693" i="3"/>
  <c r="C19693" i="3"/>
  <c r="B19693" i="3"/>
  <c r="D19692" i="3"/>
  <c r="C19692" i="3"/>
  <c r="B19692" i="3"/>
  <c r="D19691" i="3"/>
  <c r="C19691" i="3"/>
  <c r="B19691" i="3"/>
  <c r="D19690" i="3"/>
  <c r="C19690" i="3"/>
  <c r="B19690" i="3"/>
  <c r="D19689" i="3"/>
  <c r="C19689" i="3"/>
  <c r="B19689" i="3"/>
  <c r="D19688" i="3"/>
  <c r="C19688" i="3"/>
  <c r="B19688" i="3"/>
  <c r="D19687" i="3"/>
  <c r="C19687" i="3"/>
  <c r="B19687" i="3"/>
  <c r="D19686" i="3"/>
  <c r="C19686" i="3"/>
  <c r="B19686" i="3"/>
  <c r="D19685" i="3"/>
  <c r="C19685" i="3"/>
  <c r="B19685" i="3"/>
  <c r="D19684" i="3"/>
  <c r="C19684" i="3"/>
  <c r="B19684" i="3"/>
  <c r="D19683" i="3"/>
  <c r="C19683" i="3"/>
  <c r="B19683" i="3"/>
  <c r="D19682" i="3"/>
  <c r="C19682" i="3"/>
  <c r="B19682" i="3"/>
  <c r="D19681" i="3"/>
  <c r="C19681" i="3"/>
  <c r="B19681" i="3"/>
  <c r="D19680" i="3"/>
  <c r="C19680" i="3"/>
  <c r="B19680" i="3"/>
  <c r="D19679" i="3"/>
  <c r="C19679" i="3"/>
  <c r="B19679" i="3"/>
  <c r="D19678" i="3"/>
  <c r="C19678" i="3"/>
  <c r="B19678" i="3"/>
  <c r="D19677" i="3"/>
  <c r="C19677" i="3"/>
  <c r="B19677" i="3"/>
  <c r="D19676" i="3"/>
  <c r="C19676" i="3"/>
  <c r="B19676" i="3"/>
  <c r="D19675" i="3"/>
  <c r="C19675" i="3"/>
  <c r="B19675" i="3"/>
  <c r="D19674" i="3"/>
  <c r="C19674" i="3"/>
  <c r="B19674" i="3"/>
  <c r="D19673" i="3"/>
  <c r="C19673" i="3"/>
  <c r="B19673" i="3"/>
  <c r="D19672" i="3"/>
  <c r="C19672" i="3"/>
  <c r="B19672" i="3"/>
  <c r="D19671" i="3"/>
  <c r="C19671" i="3"/>
  <c r="B19671" i="3"/>
  <c r="D19670" i="3"/>
  <c r="C19670" i="3"/>
  <c r="B19670" i="3"/>
  <c r="D19669" i="3"/>
  <c r="C19669" i="3"/>
  <c r="B19669" i="3"/>
  <c r="D19668" i="3"/>
  <c r="C19668" i="3"/>
  <c r="B19668" i="3"/>
  <c r="D19667" i="3"/>
  <c r="C19667" i="3"/>
  <c r="B19667" i="3"/>
  <c r="D19666" i="3"/>
  <c r="C19666" i="3"/>
  <c r="B19666" i="3"/>
  <c r="D19665" i="3"/>
  <c r="C19665" i="3"/>
  <c r="B19665" i="3"/>
  <c r="D19664" i="3"/>
  <c r="C19664" i="3"/>
  <c r="B19664" i="3"/>
  <c r="D19663" i="3"/>
  <c r="C19663" i="3"/>
  <c r="B19663" i="3"/>
  <c r="D19662" i="3"/>
  <c r="C19662" i="3"/>
  <c r="B19662" i="3"/>
  <c r="D19661" i="3"/>
  <c r="C19661" i="3"/>
  <c r="B19661" i="3"/>
  <c r="D19660" i="3"/>
  <c r="C19660" i="3"/>
  <c r="B19660" i="3"/>
  <c r="D19659" i="3"/>
  <c r="C19659" i="3"/>
  <c r="B19659" i="3"/>
  <c r="D19658" i="3"/>
  <c r="C19658" i="3"/>
  <c r="B19658" i="3"/>
  <c r="D19657" i="3"/>
  <c r="C19657" i="3"/>
  <c r="B19657" i="3"/>
  <c r="D19656" i="3"/>
  <c r="C19656" i="3"/>
  <c r="B19656" i="3"/>
  <c r="D19655" i="3"/>
  <c r="C19655" i="3"/>
  <c r="B19655" i="3"/>
  <c r="D19654" i="3"/>
  <c r="C19654" i="3"/>
  <c r="B19654" i="3"/>
  <c r="D19653" i="3"/>
  <c r="C19653" i="3"/>
  <c r="B19653" i="3"/>
  <c r="D19652" i="3"/>
  <c r="C19652" i="3"/>
  <c r="B19652" i="3"/>
  <c r="D19651" i="3"/>
  <c r="C19651" i="3"/>
  <c r="B19651" i="3"/>
  <c r="D19650" i="3"/>
  <c r="C19650" i="3"/>
  <c r="B19650" i="3"/>
  <c r="D19649" i="3"/>
  <c r="C19649" i="3"/>
  <c r="B19649" i="3"/>
  <c r="D19648" i="3"/>
  <c r="C19648" i="3"/>
  <c r="B19648" i="3"/>
  <c r="D19647" i="3"/>
  <c r="C19647" i="3"/>
  <c r="B19647" i="3"/>
  <c r="D19646" i="3"/>
  <c r="C19646" i="3"/>
  <c r="B19646" i="3"/>
  <c r="D19645" i="3"/>
  <c r="C19645" i="3"/>
  <c r="B19645" i="3"/>
  <c r="D19644" i="3"/>
  <c r="C19644" i="3"/>
  <c r="B19644" i="3"/>
  <c r="D19643" i="3"/>
  <c r="C19643" i="3"/>
  <c r="B19643" i="3"/>
  <c r="D19642" i="3"/>
  <c r="C19642" i="3"/>
  <c r="B19642" i="3"/>
  <c r="D19641" i="3"/>
  <c r="C19641" i="3"/>
  <c r="B19641" i="3"/>
  <c r="D19640" i="3"/>
  <c r="C19640" i="3"/>
  <c r="B19640" i="3"/>
  <c r="D19639" i="3"/>
  <c r="C19639" i="3"/>
  <c r="B19639" i="3"/>
  <c r="D19638" i="3"/>
  <c r="C19638" i="3"/>
  <c r="B19638" i="3"/>
  <c r="D19637" i="3"/>
  <c r="C19637" i="3"/>
  <c r="B19637" i="3"/>
  <c r="D19636" i="3"/>
  <c r="C19636" i="3"/>
  <c r="B19636" i="3"/>
  <c r="D19635" i="3"/>
  <c r="C19635" i="3"/>
  <c r="B19635" i="3"/>
  <c r="D19634" i="3"/>
  <c r="C19634" i="3"/>
  <c r="B19634" i="3"/>
  <c r="D19633" i="3"/>
  <c r="C19633" i="3"/>
  <c r="B19633" i="3"/>
  <c r="D19632" i="3"/>
  <c r="C19632" i="3"/>
  <c r="B19632" i="3"/>
  <c r="D19631" i="3"/>
  <c r="C19631" i="3"/>
  <c r="B19631" i="3"/>
  <c r="D19630" i="3"/>
  <c r="C19630" i="3"/>
  <c r="B19630" i="3"/>
  <c r="D19629" i="3"/>
  <c r="C19629" i="3"/>
  <c r="B19629" i="3"/>
  <c r="D19628" i="3"/>
  <c r="C19628" i="3"/>
  <c r="B19628" i="3"/>
  <c r="D19627" i="3"/>
  <c r="C19627" i="3"/>
  <c r="B19627" i="3"/>
  <c r="D19626" i="3"/>
  <c r="C19626" i="3"/>
  <c r="B19626" i="3"/>
  <c r="D19625" i="3"/>
  <c r="C19625" i="3"/>
  <c r="B19625" i="3"/>
  <c r="D19624" i="3"/>
  <c r="C19624" i="3"/>
  <c r="B19624" i="3"/>
  <c r="D19623" i="3"/>
  <c r="C19623" i="3"/>
  <c r="B19623" i="3"/>
  <c r="D19622" i="3"/>
  <c r="C19622" i="3"/>
  <c r="B19622" i="3"/>
  <c r="D19621" i="3"/>
  <c r="C19621" i="3"/>
  <c r="B19621" i="3"/>
  <c r="D19620" i="3"/>
  <c r="C19620" i="3"/>
  <c r="B19620" i="3"/>
  <c r="D19619" i="3"/>
  <c r="C19619" i="3"/>
  <c r="B19619" i="3"/>
  <c r="D19618" i="3"/>
  <c r="C19618" i="3"/>
  <c r="B19618" i="3"/>
  <c r="D19617" i="3"/>
  <c r="C19617" i="3"/>
  <c r="B19617" i="3"/>
  <c r="D19616" i="3"/>
  <c r="C19616" i="3"/>
  <c r="B19616" i="3"/>
  <c r="D19615" i="3"/>
  <c r="C19615" i="3"/>
  <c r="B19615" i="3"/>
  <c r="D19614" i="3"/>
  <c r="C19614" i="3"/>
  <c r="B19614" i="3"/>
  <c r="D19613" i="3"/>
  <c r="C19613" i="3"/>
  <c r="B19613" i="3"/>
  <c r="D19612" i="3"/>
  <c r="C19612" i="3"/>
  <c r="B19612" i="3"/>
  <c r="D19611" i="3"/>
  <c r="C19611" i="3"/>
  <c r="B19611" i="3"/>
  <c r="D19610" i="3"/>
  <c r="C19610" i="3"/>
  <c r="B19610" i="3"/>
  <c r="D19609" i="3"/>
  <c r="C19609" i="3"/>
  <c r="B19609" i="3"/>
  <c r="D19608" i="3"/>
  <c r="C19608" i="3"/>
  <c r="B19608" i="3"/>
  <c r="D19607" i="3"/>
  <c r="C19607" i="3"/>
  <c r="B19607" i="3"/>
  <c r="D19606" i="3"/>
  <c r="C19606" i="3"/>
  <c r="B19606" i="3"/>
  <c r="D19605" i="3"/>
  <c r="C19605" i="3"/>
  <c r="B19605" i="3"/>
  <c r="D19604" i="3"/>
  <c r="C19604" i="3"/>
  <c r="B19604" i="3"/>
  <c r="D19603" i="3"/>
  <c r="C19603" i="3"/>
  <c r="B19603" i="3"/>
  <c r="D19602" i="3"/>
  <c r="C19602" i="3"/>
  <c r="B19602" i="3"/>
  <c r="D19601" i="3"/>
  <c r="C19601" i="3"/>
  <c r="B19601" i="3"/>
  <c r="D19600" i="3"/>
  <c r="C19600" i="3"/>
  <c r="B19600" i="3"/>
  <c r="D19599" i="3"/>
  <c r="C19599" i="3"/>
  <c r="B19599" i="3"/>
  <c r="D19598" i="3"/>
  <c r="C19598" i="3"/>
  <c r="B19598" i="3"/>
  <c r="D19597" i="3"/>
  <c r="C19597" i="3"/>
  <c r="B19597" i="3"/>
  <c r="D19596" i="3"/>
  <c r="C19596" i="3"/>
  <c r="B19596" i="3"/>
  <c r="D19595" i="3"/>
  <c r="C19595" i="3"/>
  <c r="B19595" i="3"/>
  <c r="D19594" i="3"/>
  <c r="C19594" i="3"/>
  <c r="B19594" i="3"/>
  <c r="D19593" i="3"/>
  <c r="C19593" i="3"/>
  <c r="B19593" i="3"/>
  <c r="D19592" i="3"/>
  <c r="C19592" i="3"/>
  <c r="B19592" i="3"/>
  <c r="D19591" i="3"/>
  <c r="C19591" i="3"/>
  <c r="B19591" i="3"/>
  <c r="D19590" i="3"/>
  <c r="C19590" i="3"/>
  <c r="B19590" i="3"/>
  <c r="D19589" i="3"/>
  <c r="C19589" i="3"/>
  <c r="B19589" i="3"/>
  <c r="D19588" i="3"/>
  <c r="C19588" i="3"/>
  <c r="B19588" i="3"/>
  <c r="D19587" i="3"/>
  <c r="C19587" i="3"/>
  <c r="B19587" i="3"/>
  <c r="D19586" i="3"/>
  <c r="C19586" i="3"/>
  <c r="B19586" i="3"/>
  <c r="D19585" i="3"/>
  <c r="C19585" i="3"/>
  <c r="B19585" i="3"/>
  <c r="D19584" i="3"/>
  <c r="C19584" i="3"/>
  <c r="B19584" i="3"/>
  <c r="D19583" i="3"/>
  <c r="C19583" i="3"/>
  <c r="B19583" i="3"/>
  <c r="D19582" i="3"/>
  <c r="C19582" i="3"/>
  <c r="B19582" i="3"/>
  <c r="D19581" i="3"/>
  <c r="C19581" i="3"/>
  <c r="B19581" i="3"/>
  <c r="D19580" i="3"/>
  <c r="C19580" i="3"/>
  <c r="B19580" i="3"/>
  <c r="D19579" i="3"/>
  <c r="C19579" i="3"/>
  <c r="B19579" i="3"/>
  <c r="D19578" i="3"/>
  <c r="C19578" i="3"/>
  <c r="B19578" i="3"/>
  <c r="D19577" i="3"/>
  <c r="C19577" i="3"/>
  <c r="B19577" i="3"/>
  <c r="D19576" i="3"/>
  <c r="C19576" i="3"/>
  <c r="B19576" i="3"/>
  <c r="D19575" i="3"/>
  <c r="C19575" i="3"/>
  <c r="B19575" i="3"/>
  <c r="D19574" i="3"/>
  <c r="C19574" i="3"/>
  <c r="B19574" i="3"/>
  <c r="D19573" i="3"/>
  <c r="C19573" i="3"/>
  <c r="B19573" i="3"/>
  <c r="D19572" i="3"/>
  <c r="C19572" i="3"/>
  <c r="B19572" i="3"/>
  <c r="D19571" i="3"/>
  <c r="C19571" i="3"/>
  <c r="B19571" i="3"/>
  <c r="D19570" i="3"/>
  <c r="C19570" i="3"/>
  <c r="B19570" i="3"/>
  <c r="D19569" i="3"/>
  <c r="C19569" i="3"/>
  <c r="B19569" i="3"/>
  <c r="D19568" i="3"/>
  <c r="C19568" i="3"/>
  <c r="B19568" i="3"/>
  <c r="D19567" i="3"/>
  <c r="C19567" i="3"/>
  <c r="B19567" i="3"/>
  <c r="D19566" i="3"/>
  <c r="C19566" i="3"/>
  <c r="B19566" i="3"/>
  <c r="D19565" i="3"/>
  <c r="C19565" i="3"/>
  <c r="B19565" i="3"/>
  <c r="D19564" i="3"/>
  <c r="C19564" i="3"/>
  <c r="B19564" i="3"/>
  <c r="D19563" i="3"/>
  <c r="C19563" i="3"/>
  <c r="B19563" i="3"/>
  <c r="D19562" i="3"/>
  <c r="C19562" i="3"/>
  <c r="B19562" i="3"/>
  <c r="D19561" i="3"/>
  <c r="C19561" i="3"/>
  <c r="B19561" i="3"/>
  <c r="D19560" i="3"/>
  <c r="C19560" i="3"/>
  <c r="B19560" i="3"/>
  <c r="D19559" i="3"/>
  <c r="C19559" i="3"/>
  <c r="B19559" i="3"/>
  <c r="D19558" i="3"/>
  <c r="C19558" i="3"/>
  <c r="B19558" i="3"/>
  <c r="D19557" i="3"/>
  <c r="C19557" i="3"/>
  <c r="B19557" i="3"/>
  <c r="D19556" i="3"/>
  <c r="C19556" i="3"/>
  <c r="B19556" i="3"/>
  <c r="D19555" i="3"/>
  <c r="C19555" i="3"/>
  <c r="B19555" i="3"/>
  <c r="D19554" i="3"/>
  <c r="C19554" i="3"/>
  <c r="B19554" i="3"/>
  <c r="D19553" i="3"/>
  <c r="C19553" i="3"/>
  <c r="B19553" i="3"/>
  <c r="D19552" i="3"/>
  <c r="C19552" i="3"/>
  <c r="B19552" i="3"/>
  <c r="D19551" i="3"/>
  <c r="C19551" i="3"/>
  <c r="B19551" i="3"/>
  <c r="D19550" i="3"/>
  <c r="C19550" i="3"/>
  <c r="B19550" i="3"/>
  <c r="D19549" i="3"/>
  <c r="C19549" i="3"/>
  <c r="B19549" i="3"/>
  <c r="D19548" i="3"/>
  <c r="C19548" i="3"/>
  <c r="B19548" i="3"/>
  <c r="D19547" i="3"/>
  <c r="C19547" i="3"/>
  <c r="B19547" i="3"/>
  <c r="D19546" i="3"/>
  <c r="C19546" i="3"/>
  <c r="B19546" i="3"/>
  <c r="D19545" i="3"/>
  <c r="C19545" i="3"/>
  <c r="B19545" i="3"/>
  <c r="D19544" i="3"/>
  <c r="C19544" i="3"/>
  <c r="B19544" i="3"/>
  <c r="D19543" i="3"/>
  <c r="C19543" i="3"/>
  <c r="B19543" i="3"/>
  <c r="D19542" i="3"/>
  <c r="C19542" i="3"/>
  <c r="B19542" i="3"/>
  <c r="D19541" i="3"/>
  <c r="C19541" i="3"/>
  <c r="B19541" i="3"/>
  <c r="D19540" i="3"/>
  <c r="C19540" i="3"/>
  <c r="B19540" i="3"/>
  <c r="D19539" i="3"/>
  <c r="C19539" i="3"/>
  <c r="B19539" i="3"/>
  <c r="D19538" i="3"/>
  <c r="C19538" i="3"/>
  <c r="B19538" i="3"/>
  <c r="D19537" i="3"/>
  <c r="C19537" i="3"/>
  <c r="B19537" i="3"/>
  <c r="D19536" i="3"/>
  <c r="C19536" i="3"/>
  <c r="B19536" i="3"/>
  <c r="D19535" i="3"/>
  <c r="C19535" i="3"/>
  <c r="B19535" i="3"/>
  <c r="D19534" i="3"/>
  <c r="C19534" i="3"/>
  <c r="B19534" i="3"/>
  <c r="D19533" i="3"/>
  <c r="C19533" i="3"/>
  <c r="B19533" i="3"/>
  <c r="D19532" i="3"/>
  <c r="C19532" i="3"/>
  <c r="B19532" i="3"/>
  <c r="D19531" i="3"/>
  <c r="C19531" i="3"/>
  <c r="B19531" i="3"/>
  <c r="D19530" i="3"/>
  <c r="C19530" i="3"/>
  <c r="B19530" i="3"/>
  <c r="D19529" i="3"/>
  <c r="C19529" i="3"/>
  <c r="B19529" i="3"/>
  <c r="D19528" i="3"/>
  <c r="C19528" i="3"/>
  <c r="B19528" i="3"/>
  <c r="D19527" i="3"/>
  <c r="C19527" i="3"/>
  <c r="B19527" i="3"/>
  <c r="D19526" i="3"/>
  <c r="C19526" i="3"/>
  <c r="B19526" i="3"/>
  <c r="D19525" i="3"/>
  <c r="C19525" i="3"/>
  <c r="B19525" i="3"/>
  <c r="D19524" i="3"/>
  <c r="C19524" i="3"/>
  <c r="B19524" i="3"/>
  <c r="D19523" i="3"/>
  <c r="C19523" i="3"/>
  <c r="B19523" i="3"/>
  <c r="D19522" i="3"/>
  <c r="C19522" i="3"/>
  <c r="B19522" i="3"/>
  <c r="D19521" i="3"/>
  <c r="C19521" i="3"/>
  <c r="B19521" i="3"/>
  <c r="D19520" i="3"/>
  <c r="C19520" i="3"/>
  <c r="B19520" i="3"/>
  <c r="D19519" i="3"/>
  <c r="C19519" i="3"/>
  <c r="B19519" i="3"/>
  <c r="D19518" i="3"/>
  <c r="C19518" i="3"/>
  <c r="B19518" i="3"/>
  <c r="D19517" i="3"/>
  <c r="C19517" i="3"/>
  <c r="B19517" i="3"/>
  <c r="D19516" i="3"/>
  <c r="C19516" i="3"/>
  <c r="B19516" i="3"/>
  <c r="D19515" i="3"/>
  <c r="C19515" i="3"/>
  <c r="B19515" i="3"/>
  <c r="D19514" i="3"/>
  <c r="C19514" i="3"/>
  <c r="B19514" i="3"/>
  <c r="D19513" i="3"/>
  <c r="C19513" i="3"/>
  <c r="B19513" i="3"/>
  <c r="D19512" i="3"/>
  <c r="C19512" i="3"/>
  <c r="B19512" i="3"/>
  <c r="D19511" i="3"/>
  <c r="C19511" i="3"/>
  <c r="B19511" i="3"/>
  <c r="D19510" i="3"/>
  <c r="C19510" i="3"/>
  <c r="B19510" i="3"/>
  <c r="D19509" i="3"/>
  <c r="C19509" i="3"/>
  <c r="B19509" i="3"/>
  <c r="D19508" i="3"/>
  <c r="C19508" i="3"/>
  <c r="B19508" i="3"/>
  <c r="D19507" i="3"/>
  <c r="C19507" i="3"/>
  <c r="B19507" i="3"/>
  <c r="D19506" i="3"/>
  <c r="C19506" i="3"/>
  <c r="B19506" i="3"/>
  <c r="D19505" i="3"/>
  <c r="C19505" i="3"/>
  <c r="B19505" i="3"/>
  <c r="D19504" i="3"/>
  <c r="C19504" i="3"/>
  <c r="B19504" i="3"/>
  <c r="D19503" i="3"/>
  <c r="C19503" i="3"/>
  <c r="B19503" i="3"/>
  <c r="D19502" i="3"/>
  <c r="C19502" i="3"/>
  <c r="B19502" i="3"/>
  <c r="D19501" i="3"/>
  <c r="C19501" i="3"/>
  <c r="B19501" i="3"/>
  <c r="D19500" i="3"/>
  <c r="C19500" i="3"/>
  <c r="B19500" i="3"/>
  <c r="D19499" i="3"/>
  <c r="C19499" i="3"/>
  <c r="B19499" i="3"/>
  <c r="D19498" i="3"/>
  <c r="C19498" i="3"/>
  <c r="B19498" i="3"/>
  <c r="D19497" i="3"/>
  <c r="C19497" i="3"/>
  <c r="B19497" i="3"/>
  <c r="D19496" i="3"/>
  <c r="C19496" i="3"/>
  <c r="B19496" i="3"/>
  <c r="D19495" i="3"/>
  <c r="C19495" i="3"/>
  <c r="B19495" i="3"/>
  <c r="D19494" i="3"/>
  <c r="C19494" i="3"/>
  <c r="B19494" i="3"/>
  <c r="D19493" i="3"/>
  <c r="C19493" i="3"/>
  <c r="B19493" i="3"/>
  <c r="D19492" i="3"/>
  <c r="C19492" i="3"/>
  <c r="B19492" i="3"/>
  <c r="D19491" i="3"/>
  <c r="C19491" i="3"/>
  <c r="B19491" i="3"/>
  <c r="D19490" i="3"/>
  <c r="C19490" i="3"/>
  <c r="B19490" i="3"/>
  <c r="D19489" i="3"/>
  <c r="C19489" i="3"/>
  <c r="B19489" i="3"/>
  <c r="D19488" i="3"/>
  <c r="C19488" i="3"/>
  <c r="B19488" i="3"/>
  <c r="D19487" i="3"/>
  <c r="C19487" i="3"/>
  <c r="B19487" i="3"/>
  <c r="D19486" i="3"/>
  <c r="C19486" i="3"/>
  <c r="B19486" i="3"/>
  <c r="D19485" i="3"/>
  <c r="C19485" i="3"/>
  <c r="B19485" i="3"/>
  <c r="D19484" i="3"/>
  <c r="C19484" i="3"/>
  <c r="B19484" i="3"/>
  <c r="D19483" i="3"/>
  <c r="C19483" i="3"/>
  <c r="B19483" i="3"/>
  <c r="D19482" i="3"/>
  <c r="C19482" i="3"/>
  <c r="B19482" i="3"/>
  <c r="D19481" i="3"/>
  <c r="C19481" i="3"/>
  <c r="B19481" i="3"/>
  <c r="D19480" i="3"/>
  <c r="C19480" i="3"/>
  <c r="B19480" i="3"/>
  <c r="D19479" i="3"/>
  <c r="C19479" i="3"/>
  <c r="B19479" i="3"/>
  <c r="D19478" i="3"/>
  <c r="C19478" i="3"/>
  <c r="B19478" i="3"/>
  <c r="D19477" i="3"/>
  <c r="C19477" i="3"/>
  <c r="B19477" i="3"/>
  <c r="D19476" i="3"/>
  <c r="C19476" i="3"/>
  <c r="B19476" i="3"/>
  <c r="D19475" i="3"/>
  <c r="C19475" i="3"/>
  <c r="B19475" i="3"/>
  <c r="D19474" i="3"/>
  <c r="C19474" i="3"/>
  <c r="B19474" i="3"/>
  <c r="D19473" i="3"/>
  <c r="C19473" i="3"/>
  <c r="B19473" i="3"/>
  <c r="D19472" i="3"/>
  <c r="C19472" i="3"/>
  <c r="B19472" i="3"/>
  <c r="D19471" i="3"/>
  <c r="C19471" i="3"/>
  <c r="B19471" i="3"/>
  <c r="D19470" i="3"/>
  <c r="C19470" i="3"/>
  <c r="B19470" i="3"/>
  <c r="D19469" i="3"/>
  <c r="C19469" i="3"/>
  <c r="B19469" i="3"/>
  <c r="D19468" i="3"/>
  <c r="C19468" i="3"/>
  <c r="B19468" i="3"/>
  <c r="D19467" i="3"/>
  <c r="C19467" i="3"/>
  <c r="B19467" i="3"/>
  <c r="D19466" i="3"/>
  <c r="C19466" i="3"/>
  <c r="B19466" i="3"/>
  <c r="D19465" i="3"/>
  <c r="C19465" i="3"/>
  <c r="B19465" i="3"/>
  <c r="D19464" i="3"/>
  <c r="C19464" i="3"/>
  <c r="B19464" i="3"/>
  <c r="D19463" i="3"/>
  <c r="C19463" i="3"/>
  <c r="B19463" i="3"/>
  <c r="D19462" i="3"/>
  <c r="C19462" i="3"/>
  <c r="B19462" i="3"/>
  <c r="D19461" i="3"/>
  <c r="C19461" i="3"/>
  <c r="B19461" i="3"/>
  <c r="D19460" i="3"/>
  <c r="C19460" i="3"/>
  <c r="B19460" i="3"/>
  <c r="D19459" i="3"/>
  <c r="C19459" i="3"/>
  <c r="B19459" i="3"/>
  <c r="D19458" i="3"/>
  <c r="C19458" i="3"/>
  <c r="B19458" i="3"/>
  <c r="D19457" i="3"/>
  <c r="C19457" i="3"/>
  <c r="B19457" i="3"/>
  <c r="D19456" i="3"/>
  <c r="C19456" i="3"/>
  <c r="B19456" i="3"/>
  <c r="D19455" i="3"/>
  <c r="C19455" i="3"/>
  <c r="B19455" i="3"/>
  <c r="D19454" i="3"/>
  <c r="C19454" i="3"/>
  <c r="B19454" i="3"/>
  <c r="D19453" i="3"/>
  <c r="C19453" i="3"/>
  <c r="B19453" i="3"/>
  <c r="D19452" i="3"/>
  <c r="C19452" i="3"/>
  <c r="B19452" i="3"/>
  <c r="D19451" i="3"/>
  <c r="C19451" i="3"/>
  <c r="B19451" i="3"/>
  <c r="D19450" i="3"/>
  <c r="C19450" i="3"/>
  <c r="B19450" i="3"/>
  <c r="D19449" i="3"/>
  <c r="C19449" i="3"/>
  <c r="B19449" i="3"/>
  <c r="D19448" i="3"/>
  <c r="C19448" i="3"/>
  <c r="B19448" i="3"/>
  <c r="D19447" i="3"/>
  <c r="C19447" i="3"/>
  <c r="B19447" i="3"/>
  <c r="D19446" i="3"/>
  <c r="C19446" i="3"/>
  <c r="B19446" i="3"/>
  <c r="D19445" i="3"/>
  <c r="C19445" i="3"/>
  <c r="B19445" i="3"/>
  <c r="D19444" i="3"/>
  <c r="C19444" i="3"/>
  <c r="B19444" i="3"/>
  <c r="D19443" i="3"/>
  <c r="C19443" i="3"/>
  <c r="B19443" i="3"/>
  <c r="D19442" i="3"/>
  <c r="C19442" i="3"/>
  <c r="B19442" i="3"/>
  <c r="D19441" i="3"/>
  <c r="C19441" i="3"/>
  <c r="B19441" i="3"/>
  <c r="D19440" i="3"/>
  <c r="C19440" i="3"/>
  <c r="B19440" i="3"/>
  <c r="D19439" i="3"/>
  <c r="C19439" i="3"/>
  <c r="B19439" i="3"/>
  <c r="D19438" i="3"/>
  <c r="C19438" i="3"/>
  <c r="B19438" i="3"/>
  <c r="D19437" i="3"/>
  <c r="C19437" i="3"/>
  <c r="B19437" i="3"/>
  <c r="D19436" i="3"/>
  <c r="C19436" i="3"/>
  <c r="B19436" i="3"/>
  <c r="D19435" i="3"/>
  <c r="C19435" i="3"/>
  <c r="B19435" i="3"/>
  <c r="D19434" i="3"/>
  <c r="C19434" i="3"/>
  <c r="B19434" i="3"/>
  <c r="D19433" i="3"/>
  <c r="C19433" i="3"/>
  <c r="B19433" i="3"/>
  <c r="D19432" i="3"/>
  <c r="C19432" i="3"/>
  <c r="B19432" i="3"/>
  <c r="D19431" i="3"/>
  <c r="C19431" i="3"/>
  <c r="B19431" i="3"/>
  <c r="D19430" i="3"/>
  <c r="C19430" i="3"/>
  <c r="B19430" i="3"/>
  <c r="D19429" i="3"/>
  <c r="C19429" i="3"/>
  <c r="B19429" i="3"/>
  <c r="D19428" i="3"/>
  <c r="C19428" i="3"/>
  <c r="B19428" i="3"/>
  <c r="D19427" i="3"/>
  <c r="C19427" i="3"/>
  <c r="B19427" i="3"/>
  <c r="D19426" i="3"/>
  <c r="C19426" i="3"/>
  <c r="B19426" i="3"/>
  <c r="D19425" i="3"/>
  <c r="C19425" i="3"/>
  <c r="B19425" i="3"/>
  <c r="D19424" i="3"/>
  <c r="C19424" i="3"/>
  <c r="B19424" i="3"/>
  <c r="D19423" i="3"/>
  <c r="C19423" i="3"/>
  <c r="B19423" i="3"/>
  <c r="D19422" i="3"/>
  <c r="C19422" i="3"/>
  <c r="B19422" i="3"/>
  <c r="D19421" i="3"/>
  <c r="C19421" i="3"/>
  <c r="B19421" i="3"/>
  <c r="D19420" i="3"/>
  <c r="C19420" i="3"/>
  <c r="B19420" i="3"/>
  <c r="D19419" i="3"/>
  <c r="C19419" i="3"/>
  <c r="B19419" i="3"/>
  <c r="D19418" i="3"/>
  <c r="C19418" i="3"/>
  <c r="B19418" i="3"/>
  <c r="D19417" i="3"/>
  <c r="C19417" i="3"/>
  <c r="B19417" i="3"/>
  <c r="D19416" i="3"/>
  <c r="C19416" i="3"/>
  <c r="B19416" i="3"/>
  <c r="D19415" i="3"/>
  <c r="C19415" i="3"/>
  <c r="B19415" i="3"/>
  <c r="D19414" i="3"/>
  <c r="C19414" i="3"/>
  <c r="B19414" i="3"/>
  <c r="D19413" i="3"/>
  <c r="C19413" i="3"/>
  <c r="B19413" i="3"/>
  <c r="D19412" i="3"/>
  <c r="C19412" i="3"/>
  <c r="B19412" i="3"/>
  <c r="D19411" i="3"/>
  <c r="C19411" i="3"/>
  <c r="B19411" i="3"/>
  <c r="D19410" i="3"/>
  <c r="C19410" i="3"/>
  <c r="B19410" i="3"/>
  <c r="D19409" i="3"/>
  <c r="C19409" i="3"/>
  <c r="B19409" i="3"/>
  <c r="D19408" i="3"/>
  <c r="C19408" i="3"/>
  <c r="B19408" i="3"/>
  <c r="D19407" i="3"/>
  <c r="C19407" i="3"/>
  <c r="B19407" i="3"/>
  <c r="D19406" i="3"/>
  <c r="C19406" i="3"/>
  <c r="B19406" i="3"/>
  <c r="D19405" i="3"/>
  <c r="C19405" i="3"/>
  <c r="B19405" i="3"/>
  <c r="D19404" i="3"/>
  <c r="C19404" i="3"/>
  <c r="B19404" i="3"/>
  <c r="D19403" i="3"/>
  <c r="C19403" i="3"/>
  <c r="B19403" i="3"/>
  <c r="D19402" i="3"/>
  <c r="C19402" i="3"/>
  <c r="B19402" i="3"/>
  <c r="D19401" i="3"/>
  <c r="C19401" i="3"/>
  <c r="B19401" i="3"/>
  <c r="D19400" i="3"/>
  <c r="C19400" i="3"/>
  <c r="B19400" i="3"/>
  <c r="D19399" i="3"/>
  <c r="C19399" i="3"/>
  <c r="B19399" i="3"/>
  <c r="D19398" i="3"/>
  <c r="C19398" i="3"/>
  <c r="B19398" i="3"/>
  <c r="D19397" i="3"/>
  <c r="C19397" i="3"/>
  <c r="B19397" i="3"/>
  <c r="D19396" i="3"/>
  <c r="C19396" i="3"/>
  <c r="B19396" i="3"/>
  <c r="D19395" i="3"/>
  <c r="C19395" i="3"/>
  <c r="B19395" i="3"/>
  <c r="D19394" i="3"/>
  <c r="C19394" i="3"/>
  <c r="B19394" i="3"/>
  <c r="D19393" i="3"/>
  <c r="C19393" i="3"/>
  <c r="B19393" i="3"/>
  <c r="D19392" i="3"/>
  <c r="C19392" i="3"/>
  <c r="B19392" i="3"/>
  <c r="D19391" i="3"/>
  <c r="C19391" i="3"/>
  <c r="B19391" i="3"/>
  <c r="D19390" i="3"/>
  <c r="C19390" i="3"/>
  <c r="B19390" i="3"/>
  <c r="D19389" i="3"/>
  <c r="C19389" i="3"/>
  <c r="B19389" i="3"/>
  <c r="D19388" i="3"/>
  <c r="C19388" i="3"/>
  <c r="B19388" i="3"/>
  <c r="D19387" i="3"/>
  <c r="C19387" i="3"/>
  <c r="B19387" i="3"/>
  <c r="D19386" i="3"/>
  <c r="C19386" i="3"/>
  <c r="B19386" i="3"/>
  <c r="D19385" i="3"/>
  <c r="C19385" i="3"/>
  <c r="B19385" i="3"/>
  <c r="D19384" i="3"/>
  <c r="C19384" i="3"/>
  <c r="B19384" i="3"/>
  <c r="D19383" i="3"/>
  <c r="C19383" i="3"/>
  <c r="B19383" i="3"/>
  <c r="D19382" i="3"/>
  <c r="C19382" i="3"/>
  <c r="B19382" i="3"/>
  <c r="D19381" i="3"/>
  <c r="C19381" i="3"/>
  <c r="B19381" i="3"/>
  <c r="D19380" i="3"/>
  <c r="C19380" i="3"/>
  <c r="B19380" i="3"/>
  <c r="D19379" i="3"/>
  <c r="C19379" i="3"/>
  <c r="B19379" i="3"/>
  <c r="D19378" i="3"/>
  <c r="C19378" i="3"/>
  <c r="B19378" i="3"/>
  <c r="D19377" i="3"/>
  <c r="C19377" i="3"/>
  <c r="B19377" i="3"/>
  <c r="D19376" i="3"/>
  <c r="C19376" i="3"/>
  <c r="B19376" i="3"/>
  <c r="D19375" i="3"/>
  <c r="C19375" i="3"/>
  <c r="B19375" i="3"/>
  <c r="D19374" i="3"/>
  <c r="C19374" i="3"/>
  <c r="B19374" i="3"/>
  <c r="D19373" i="3"/>
  <c r="C19373" i="3"/>
  <c r="B19373" i="3"/>
  <c r="D19372" i="3"/>
  <c r="C19372" i="3"/>
  <c r="B19372" i="3"/>
  <c r="D19371" i="3"/>
  <c r="C19371" i="3"/>
  <c r="B19371" i="3"/>
  <c r="D19370" i="3"/>
  <c r="C19370" i="3"/>
  <c r="B19370" i="3"/>
  <c r="D19369" i="3"/>
  <c r="C19369" i="3"/>
  <c r="B19369" i="3"/>
  <c r="D19368" i="3"/>
  <c r="C19368" i="3"/>
  <c r="B19368" i="3"/>
  <c r="D19367" i="3"/>
  <c r="C19367" i="3"/>
  <c r="B19367" i="3"/>
  <c r="D19366" i="3"/>
  <c r="C19366" i="3"/>
  <c r="B19366" i="3"/>
  <c r="D19365" i="3"/>
  <c r="C19365" i="3"/>
  <c r="B19365" i="3"/>
  <c r="D19364" i="3"/>
  <c r="C19364" i="3"/>
  <c r="B19364" i="3"/>
  <c r="D19363" i="3"/>
  <c r="C19363" i="3"/>
  <c r="B19363" i="3"/>
  <c r="D19362" i="3"/>
  <c r="C19362" i="3"/>
  <c r="B19362" i="3"/>
  <c r="D19361" i="3"/>
  <c r="C19361" i="3"/>
  <c r="B19361" i="3"/>
  <c r="D19360" i="3"/>
  <c r="C19360" i="3"/>
  <c r="B19360" i="3"/>
  <c r="D19359" i="3"/>
  <c r="C19359" i="3"/>
  <c r="B19359" i="3"/>
  <c r="D19358" i="3"/>
  <c r="C19358" i="3"/>
  <c r="B19358" i="3"/>
  <c r="D19357" i="3"/>
  <c r="C19357" i="3"/>
  <c r="B19357" i="3"/>
  <c r="D19356" i="3"/>
  <c r="C19356" i="3"/>
  <c r="B19356" i="3"/>
  <c r="D19355" i="3"/>
  <c r="C19355" i="3"/>
  <c r="B19355" i="3"/>
  <c r="D19354" i="3"/>
  <c r="C19354" i="3"/>
  <c r="B19354" i="3"/>
  <c r="D19353" i="3"/>
  <c r="C19353" i="3"/>
  <c r="B19353" i="3"/>
  <c r="D19352" i="3"/>
  <c r="C19352" i="3"/>
  <c r="B19352" i="3"/>
  <c r="D19351" i="3"/>
  <c r="C19351" i="3"/>
  <c r="B19351" i="3"/>
  <c r="D19350" i="3"/>
  <c r="C19350" i="3"/>
  <c r="B19350" i="3"/>
  <c r="D19349" i="3"/>
  <c r="C19349" i="3"/>
  <c r="B19349" i="3"/>
  <c r="D19348" i="3"/>
  <c r="C19348" i="3"/>
  <c r="B19348" i="3"/>
  <c r="D19347" i="3"/>
  <c r="C19347" i="3"/>
  <c r="B19347" i="3"/>
  <c r="D19346" i="3"/>
  <c r="C19346" i="3"/>
  <c r="B19346" i="3"/>
  <c r="D19345" i="3"/>
  <c r="C19345" i="3"/>
  <c r="B19345" i="3"/>
  <c r="D19344" i="3"/>
  <c r="C19344" i="3"/>
  <c r="B19344" i="3"/>
  <c r="D19343" i="3"/>
  <c r="C19343" i="3"/>
  <c r="B19343" i="3"/>
  <c r="D19342" i="3"/>
  <c r="C19342" i="3"/>
  <c r="B19342" i="3"/>
  <c r="D19341" i="3"/>
  <c r="C19341" i="3"/>
  <c r="B19341" i="3"/>
  <c r="D19340" i="3"/>
  <c r="C19340" i="3"/>
  <c r="B19340" i="3"/>
  <c r="D19339" i="3"/>
  <c r="C19339" i="3"/>
  <c r="B19339" i="3"/>
  <c r="D19338" i="3"/>
  <c r="C19338" i="3"/>
  <c r="B19338" i="3"/>
  <c r="D19337" i="3"/>
  <c r="C19337" i="3"/>
  <c r="B19337" i="3"/>
  <c r="D19336" i="3"/>
  <c r="C19336" i="3"/>
  <c r="B19336" i="3"/>
  <c r="D19335" i="3"/>
  <c r="C19335" i="3"/>
  <c r="B19335" i="3"/>
  <c r="D19334" i="3"/>
  <c r="C19334" i="3"/>
  <c r="B19334" i="3"/>
  <c r="D19333" i="3"/>
  <c r="C19333" i="3"/>
  <c r="B19333" i="3"/>
  <c r="D19332" i="3"/>
  <c r="C19332" i="3"/>
  <c r="B19332" i="3"/>
  <c r="D19331" i="3"/>
  <c r="C19331" i="3"/>
  <c r="B19331" i="3"/>
  <c r="D19330" i="3"/>
  <c r="C19330" i="3"/>
  <c r="B19330" i="3"/>
  <c r="D19329" i="3"/>
  <c r="C19329" i="3"/>
  <c r="B19329" i="3"/>
  <c r="D19328" i="3"/>
  <c r="C19328" i="3"/>
  <c r="B19328" i="3"/>
  <c r="D19327" i="3"/>
  <c r="C19327" i="3"/>
  <c r="B19327" i="3"/>
  <c r="D19326" i="3"/>
  <c r="C19326" i="3"/>
  <c r="B19326" i="3"/>
  <c r="D19325" i="3"/>
  <c r="C19325" i="3"/>
  <c r="B19325" i="3"/>
  <c r="D19324" i="3"/>
  <c r="C19324" i="3"/>
  <c r="B19324" i="3"/>
  <c r="D19323" i="3"/>
  <c r="C19323" i="3"/>
  <c r="B19323" i="3"/>
  <c r="D19322" i="3"/>
  <c r="C19322" i="3"/>
  <c r="B19322" i="3"/>
  <c r="D19321" i="3"/>
  <c r="C19321" i="3"/>
  <c r="B19321" i="3"/>
  <c r="D19320" i="3"/>
  <c r="C19320" i="3"/>
  <c r="B19320" i="3"/>
  <c r="D19319" i="3"/>
  <c r="C19319" i="3"/>
  <c r="B19319" i="3"/>
  <c r="D19318" i="3"/>
  <c r="C19318" i="3"/>
  <c r="B19318" i="3"/>
  <c r="D19317" i="3"/>
  <c r="C19317" i="3"/>
  <c r="B19317" i="3"/>
  <c r="D19316" i="3"/>
  <c r="C19316" i="3"/>
  <c r="B19316" i="3"/>
  <c r="D19315" i="3"/>
  <c r="C19315" i="3"/>
  <c r="B19315" i="3"/>
  <c r="D19314" i="3"/>
  <c r="C19314" i="3"/>
  <c r="B19314" i="3"/>
  <c r="D19313" i="3"/>
  <c r="C19313" i="3"/>
  <c r="B19313" i="3"/>
  <c r="D19312" i="3"/>
  <c r="C19312" i="3"/>
  <c r="B19312" i="3"/>
  <c r="D19311" i="3"/>
  <c r="C19311" i="3"/>
  <c r="B19311" i="3"/>
  <c r="D19310" i="3"/>
  <c r="C19310" i="3"/>
  <c r="B19310" i="3"/>
  <c r="D19309" i="3"/>
  <c r="C19309" i="3"/>
  <c r="B19309" i="3"/>
  <c r="D19308" i="3"/>
  <c r="C19308" i="3"/>
  <c r="B19308" i="3"/>
  <c r="D19307" i="3"/>
  <c r="C19307" i="3"/>
  <c r="B19307" i="3"/>
  <c r="D19306" i="3"/>
  <c r="C19306" i="3"/>
  <c r="B19306" i="3"/>
  <c r="D19305" i="3"/>
  <c r="C19305" i="3"/>
  <c r="B19305" i="3"/>
  <c r="D19304" i="3"/>
  <c r="C19304" i="3"/>
  <c r="B19304" i="3"/>
  <c r="D19303" i="3"/>
  <c r="C19303" i="3"/>
  <c r="B19303" i="3"/>
  <c r="D19302" i="3"/>
  <c r="C19302" i="3"/>
  <c r="B19302" i="3"/>
  <c r="D19301" i="3"/>
  <c r="C19301" i="3"/>
  <c r="B19301" i="3"/>
  <c r="D19300" i="3"/>
  <c r="C19300" i="3"/>
  <c r="B19300" i="3"/>
  <c r="D19299" i="3"/>
  <c r="C19299" i="3"/>
  <c r="B19299" i="3"/>
  <c r="D19298" i="3"/>
  <c r="C19298" i="3"/>
  <c r="B19298" i="3"/>
  <c r="D19297" i="3"/>
  <c r="C19297" i="3"/>
  <c r="B19297" i="3"/>
  <c r="D19296" i="3"/>
  <c r="C19296" i="3"/>
  <c r="B19296" i="3"/>
  <c r="D19295" i="3"/>
  <c r="C19295" i="3"/>
  <c r="B19295" i="3"/>
  <c r="D19294" i="3"/>
  <c r="C19294" i="3"/>
  <c r="B19294" i="3"/>
  <c r="D19293" i="3"/>
  <c r="C19293" i="3"/>
  <c r="B19293" i="3"/>
  <c r="D19292" i="3"/>
  <c r="C19292" i="3"/>
  <c r="B19292" i="3"/>
  <c r="D19291" i="3"/>
  <c r="C19291" i="3"/>
  <c r="B19291" i="3"/>
  <c r="D19290" i="3"/>
  <c r="C19290" i="3"/>
  <c r="B19290" i="3"/>
  <c r="D19289" i="3"/>
  <c r="C19289" i="3"/>
  <c r="B19289" i="3"/>
  <c r="D19288" i="3"/>
  <c r="C19288" i="3"/>
  <c r="B19288" i="3"/>
  <c r="D19287" i="3"/>
  <c r="C19287" i="3"/>
  <c r="B19287" i="3"/>
  <c r="D19286" i="3"/>
  <c r="C19286" i="3"/>
  <c r="B19286" i="3"/>
  <c r="D19285" i="3"/>
  <c r="C19285" i="3"/>
  <c r="B19285" i="3"/>
  <c r="D19284" i="3"/>
  <c r="C19284" i="3"/>
  <c r="B19284" i="3"/>
  <c r="D19283" i="3"/>
  <c r="C19283" i="3"/>
  <c r="B19283" i="3"/>
  <c r="D19282" i="3"/>
  <c r="C19282" i="3"/>
  <c r="B19282" i="3"/>
  <c r="D19281" i="3"/>
  <c r="C19281" i="3"/>
  <c r="B19281" i="3"/>
  <c r="D19280" i="3"/>
  <c r="C19280" i="3"/>
  <c r="B19280" i="3"/>
  <c r="D19279" i="3"/>
  <c r="C19279" i="3"/>
  <c r="B19279" i="3"/>
  <c r="D19278" i="3"/>
  <c r="C19278" i="3"/>
  <c r="B19278" i="3"/>
  <c r="D19277" i="3"/>
  <c r="C19277" i="3"/>
  <c r="B19277" i="3"/>
  <c r="D19276" i="3"/>
  <c r="C19276" i="3"/>
  <c r="B19276" i="3"/>
  <c r="D19275" i="3"/>
  <c r="C19275" i="3"/>
  <c r="B19275" i="3"/>
  <c r="D19274" i="3"/>
  <c r="C19274" i="3"/>
  <c r="B19274" i="3"/>
  <c r="D19273" i="3"/>
  <c r="C19273" i="3"/>
  <c r="B19273" i="3"/>
  <c r="D19272" i="3"/>
  <c r="C19272" i="3"/>
  <c r="B19272" i="3"/>
  <c r="D19271" i="3"/>
  <c r="C19271" i="3"/>
  <c r="B19271" i="3"/>
  <c r="D19270" i="3"/>
  <c r="C19270" i="3"/>
  <c r="B19270" i="3"/>
  <c r="D19269" i="3"/>
  <c r="C19269" i="3"/>
  <c r="B19269" i="3"/>
  <c r="D19268" i="3"/>
  <c r="C19268" i="3"/>
  <c r="B19268" i="3"/>
  <c r="D19267" i="3"/>
  <c r="C19267" i="3"/>
  <c r="B19267" i="3"/>
  <c r="D19266" i="3"/>
  <c r="C19266" i="3"/>
  <c r="B19266" i="3"/>
  <c r="D19265" i="3"/>
  <c r="C19265" i="3"/>
  <c r="B19265" i="3"/>
  <c r="D19264" i="3"/>
  <c r="C19264" i="3"/>
  <c r="B19264" i="3"/>
  <c r="D19263" i="3"/>
  <c r="C19263" i="3"/>
  <c r="B19263" i="3"/>
  <c r="D19262" i="3"/>
  <c r="C19262" i="3"/>
  <c r="B19262" i="3"/>
  <c r="D19261" i="3"/>
  <c r="C19261" i="3"/>
  <c r="B19261" i="3"/>
  <c r="D19260" i="3"/>
  <c r="C19260" i="3"/>
  <c r="B19260" i="3"/>
  <c r="D19259" i="3"/>
  <c r="C19259" i="3"/>
  <c r="B19259" i="3"/>
  <c r="D19258" i="3"/>
  <c r="C19258" i="3"/>
  <c r="B19258" i="3"/>
  <c r="D19257" i="3"/>
  <c r="C19257" i="3"/>
  <c r="B19257" i="3"/>
  <c r="D19256" i="3"/>
  <c r="C19256" i="3"/>
  <c r="B19256" i="3"/>
  <c r="D19255" i="3"/>
  <c r="C19255" i="3"/>
  <c r="B19255" i="3"/>
  <c r="D19254" i="3"/>
  <c r="C19254" i="3"/>
  <c r="B19254" i="3"/>
  <c r="D19253" i="3"/>
  <c r="C19253" i="3"/>
  <c r="B19253" i="3"/>
  <c r="D19252" i="3"/>
  <c r="C19252" i="3"/>
  <c r="B19252" i="3"/>
  <c r="D19251" i="3"/>
  <c r="C19251" i="3"/>
  <c r="B19251" i="3"/>
  <c r="D19250" i="3"/>
  <c r="C19250" i="3"/>
  <c r="B19250" i="3"/>
  <c r="D19249" i="3"/>
  <c r="C19249" i="3"/>
  <c r="B19249" i="3"/>
  <c r="D19248" i="3"/>
  <c r="C19248" i="3"/>
  <c r="B19248" i="3"/>
  <c r="D19247" i="3"/>
  <c r="C19247" i="3"/>
  <c r="B19247" i="3"/>
  <c r="D19246" i="3"/>
  <c r="C19246" i="3"/>
  <c r="B19246" i="3"/>
  <c r="D19245" i="3"/>
  <c r="C19245" i="3"/>
  <c r="B19245" i="3"/>
  <c r="D19244" i="3"/>
  <c r="C19244" i="3"/>
  <c r="B19244" i="3"/>
  <c r="D19243" i="3"/>
  <c r="C19243" i="3"/>
  <c r="B19243" i="3"/>
  <c r="D19242" i="3"/>
  <c r="C19242" i="3"/>
  <c r="B19242" i="3"/>
  <c r="D19241" i="3"/>
  <c r="C19241" i="3"/>
  <c r="B19241" i="3"/>
  <c r="D19240" i="3"/>
  <c r="C19240" i="3"/>
  <c r="B19240" i="3"/>
  <c r="D19239" i="3"/>
  <c r="C19239" i="3"/>
  <c r="B19239" i="3"/>
  <c r="D19238" i="3"/>
  <c r="C19238" i="3"/>
  <c r="B19238" i="3"/>
  <c r="D19237" i="3"/>
  <c r="C19237" i="3"/>
  <c r="B19237" i="3"/>
  <c r="D19236" i="3"/>
  <c r="C19236" i="3"/>
  <c r="B19236" i="3"/>
  <c r="D19235" i="3"/>
  <c r="C19235" i="3"/>
  <c r="B19235" i="3"/>
  <c r="D19234" i="3"/>
  <c r="C19234" i="3"/>
  <c r="B19234" i="3"/>
  <c r="D19233" i="3"/>
  <c r="C19233" i="3"/>
  <c r="B19233" i="3"/>
  <c r="D19232" i="3"/>
  <c r="C19232" i="3"/>
  <c r="B19232" i="3"/>
  <c r="D19231" i="3"/>
  <c r="C19231" i="3"/>
  <c r="B19231" i="3"/>
  <c r="D19230" i="3"/>
  <c r="C19230" i="3"/>
  <c r="B19230" i="3"/>
  <c r="D19229" i="3"/>
  <c r="C19229" i="3"/>
  <c r="B19229" i="3"/>
  <c r="D19228" i="3"/>
  <c r="C19228" i="3"/>
  <c r="B19228" i="3"/>
  <c r="D19227" i="3"/>
  <c r="C19227" i="3"/>
  <c r="B19227" i="3"/>
  <c r="D19226" i="3"/>
  <c r="C19226" i="3"/>
  <c r="B19226" i="3"/>
  <c r="D19225" i="3"/>
  <c r="C19225" i="3"/>
  <c r="B19225" i="3"/>
  <c r="D19224" i="3"/>
  <c r="C19224" i="3"/>
  <c r="B19224" i="3"/>
  <c r="D19223" i="3"/>
  <c r="C19223" i="3"/>
  <c r="B19223" i="3"/>
  <c r="D19222" i="3"/>
  <c r="C19222" i="3"/>
  <c r="B19222" i="3"/>
  <c r="D19221" i="3"/>
  <c r="C19221" i="3"/>
  <c r="B19221" i="3"/>
  <c r="D19220" i="3"/>
  <c r="C19220" i="3"/>
  <c r="B19220" i="3"/>
  <c r="D19219" i="3"/>
  <c r="C19219" i="3"/>
  <c r="B19219" i="3"/>
  <c r="D19218" i="3"/>
  <c r="C19218" i="3"/>
  <c r="B19218" i="3"/>
  <c r="D19217" i="3"/>
  <c r="C19217" i="3"/>
  <c r="B19217" i="3"/>
  <c r="D19216" i="3"/>
  <c r="C19216" i="3"/>
  <c r="B19216" i="3"/>
  <c r="D19215" i="3"/>
  <c r="C19215" i="3"/>
  <c r="B19215" i="3"/>
  <c r="D19214" i="3"/>
  <c r="C19214" i="3"/>
  <c r="B19214" i="3"/>
  <c r="D19213" i="3"/>
  <c r="C19213" i="3"/>
  <c r="B19213" i="3"/>
  <c r="D19212" i="3"/>
  <c r="C19212" i="3"/>
  <c r="B19212" i="3"/>
  <c r="D19211" i="3"/>
  <c r="C19211" i="3"/>
  <c r="B19211" i="3"/>
  <c r="D19210" i="3"/>
  <c r="C19210" i="3"/>
  <c r="B19210" i="3"/>
  <c r="D19209" i="3"/>
  <c r="C19209" i="3"/>
  <c r="B19209" i="3"/>
  <c r="D19208" i="3"/>
  <c r="C19208" i="3"/>
  <c r="B19208" i="3"/>
  <c r="D19207" i="3"/>
  <c r="C19207" i="3"/>
  <c r="B19207" i="3"/>
  <c r="D19206" i="3"/>
  <c r="C19206" i="3"/>
  <c r="B19206" i="3"/>
  <c r="D19205" i="3"/>
  <c r="C19205" i="3"/>
  <c r="B19205" i="3"/>
  <c r="D19204" i="3"/>
  <c r="C19204" i="3"/>
  <c r="B19204" i="3"/>
  <c r="D19203" i="3"/>
  <c r="C19203" i="3"/>
  <c r="B19203" i="3"/>
  <c r="D19202" i="3"/>
  <c r="C19202" i="3"/>
  <c r="B19202" i="3"/>
  <c r="D19201" i="3"/>
  <c r="C19201" i="3"/>
  <c r="B19201" i="3"/>
  <c r="D19200" i="3"/>
  <c r="C19200" i="3"/>
  <c r="B19200" i="3"/>
  <c r="D19199" i="3"/>
  <c r="C19199" i="3"/>
  <c r="B19199" i="3"/>
  <c r="D19198" i="3"/>
  <c r="C19198" i="3"/>
  <c r="B19198" i="3"/>
  <c r="D19197" i="3"/>
  <c r="C19197" i="3"/>
  <c r="B19197" i="3"/>
  <c r="D19196" i="3"/>
  <c r="C19196" i="3"/>
  <c r="B19196" i="3"/>
  <c r="D19195" i="3"/>
  <c r="C19195" i="3"/>
  <c r="B19195" i="3"/>
  <c r="D19194" i="3"/>
  <c r="C19194" i="3"/>
  <c r="B19194" i="3"/>
  <c r="D19193" i="3"/>
  <c r="C19193" i="3"/>
  <c r="B19193" i="3"/>
  <c r="D19192" i="3"/>
  <c r="C19192" i="3"/>
  <c r="B19192" i="3"/>
  <c r="D19191" i="3"/>
  <c r="C19191" i="3"/>
  <c r="B19191" i="3"/>
  <c r="D19190" i="3"/>
  <c r="C19190" i="3"/>
  <c r="B19190" i="3"/>
  <c r="D19189" i="3"/>
  <c r="C19189" i="3"/>
  <c r="B19189" i="3"/>
  <c r="D19188" i="3"/>
  <c r="C19188" i="3"/>
  <c r="B19188" i="3"/>
  <c r="D19187" i="3"/>
  <c r="C19187" i="3"/>
  <c r="B19187" i="3"/>
  <c r="D19186" i="3"/>
  <c r="C19186" i="3"/>
  <c r="B19186" i="3"/>
  <c r="D19185" i="3"/>
  <c r="C19185" i="3"/>
  <c r="B19185" i="3"/>
  <c r="D19184" i="3"/>
  <c r="C19184" i="3"/>
  <c r="B19184" i="3"/>
  <c r="D19183" i="3"/>
  <c r="C19183" i="3"/>
  <c r="B19183" i="3"/>
  <c r="D19182" i="3"/>
  <c r="C19182" i="3"/>
  <c r="B19182" i="3"/>
  <c r="D19181" i="3"/>
  <c r="C19181" i="3"/>
  <c r="B19181" i="3"/>
  <c r="D19180" i="3"/>
  <c r="C19180" i="3"/>
  <c r="B19180" i="3"/>
  <c r="D19179" i="3"/>
  <c r="C19179" i="3"/>
  <c r="B19179" i="3"/>
  <c r="D19178" i="3"/>
  <c r="C19178" i="3"/>
  <c r="B19178" i="3"/>
  <c r="D19177" i="3"/>
  <c r="C19177" i="3"/>
  <c r="B19177" i="3"/>
  <c r="D19176" i="3"/>
  <c r="C19176" i="3"/>
  <c r="B19176" i="3"/>
  <c r="D19175" i="3"/>
  <c r="C19175" i="3"/>
  <c r="B19175" i="3"/>
  <c r="D19174" i="3"/>
  <c r="C19174" i="3"/>
  <c r="B19174" i="3"/>
  <c r="D19173" i="3"/>
  <c r="C19173" i="3"/>
  <c r="B19173" i="3"/>
  <c r="D19172" i="3"/>
  <c r="C19172" i="3"/>
  <c r="B19172" i="3"/>
  <c r="D19171" i="3"/>
  <c r="C19171" i="3"/>
  <c r="B19171" i="3"/>
  <c r="D19170" i="3"/>
  <c r="C19170" i="3"/>
  <c r="B19170" i="3"/>
  <c r="D19169" i="3"/>
  <c r="C19169" i="3"/>
  <c r="B19169" i="3"/>
  <c r="D19168" i="3"/>
  <c r="C19168" i="3"/>
  <c r="B19168" i="3"/>
  <c r="D19167" i="3"/>
  <c r="C19167" i="3"/>
  <c r="B19167" i="3"/>
  <c r="D19166" i="3"/>
  <c r="C19166" i="3"/>
  <c r="B19166" i="3"/>
  <c r="D19165" i="3"/>
  <c r="C19165" i="3"/>
  <c r="B19165" i="3"/>
  <c r="D19164" i="3"/>
  <c r="C19164" i="3"/>
  <c r="B19164" i="3"/>
  <c r="D19163" i="3"/>
  <c r="C19163" i="3"/>
  <c r="B19163" i="3"/>
  <c r="D19162" i="3"/>
  <c r="C19162" i="3"/>
  <c r="B19162" i="3"/>
  <c r="D19161" i="3"/>
  <c r="C19161" i="3"/>
  <c r="B19161" i="3"/>
  <c r="D19160" i="3"/>
  <c r="C19160" i="3"/>
  <c r="B19160" i="3"/>
  <c r="D19159" i="3"/>
  <c r="C19159" i="3"/>
  <c r="B19159" i="3"/>
  <c r="D19158" i="3"/>
  <c r="C19158" i="3"/>
  <c r="B19158" i="3"/>
  <c r="D19157" i="3"/>
  <c r="C19157" i="3"/>
  <c r="B19157" i="3"/>
  <c r="D19156" i="3"/>
  <c r="C19156" i="3"/>
  <c r="B19156" i="3"/>
  <c r="D19155" i="3"/>
  <c r="C19155" i="3"/>
  <c r="B19155" i="3"/>
  <c r="D19154" i="3"/>
  <c r="C19154" i="3"/>
  <c r="B19154" i="3"/>
  <c r="D19153" i="3"/>
  <c r="C19153" i="3"/>
  <c r="B19153" i="3"/>
  <c r="D19152" i="3"/>
  <c r="C19152" i="3"/>
  <c r="B19152" i="3"/>
  <c r="D19151" i="3"/>
  <c r="C19151" i="3"/>
  <c r="B19151" i="3"/>
  <c r="D19150" i="3"/>
  <c r="C19150" i="3"/>
  <c r="B19150" i="3"/>
  <c r="D19149" i="3"/>
  <c r="C19149" i="3"/>
  <c r="B19149" i="3"/>
  <c r="D19148" i="3"/>
  <c r="C19148" i="3"/>
  <c r="B19148" i="3"/>
  <c r="D19147" i="3"/>
  <c r="C19147" i="3"/>
  <c r="B19147" i="3"/>
  <c r="D19146" i="3"/>
  <c r="C19146" i="3"/>
  <c r="B19146" i="3"/>
  <c r="D19145" i="3"/>
  <c r="C19145" i="3"/>
  <c r="B19145" i="3"/>
  <c r="D19144" i="3"/>
  <c r="C19144" i="3"/>
  <c r="B19144" i="3"/>
  <c r="D19143" i="3"/>
  <c r="C19143" i="3"/>
  <c r="B19143" i="3"/>
  <c r="D19142" i="3"/>
  <c r="C19142" i="3"/>
  <c r="B19142" i="3"/>
  <c r="D19141" i="3"/>
  <c r="C19141" i="3"/>
  <c r="B19141" i="3"/>
  <c r="D19140" i="3"/>
  <c r="C19140" i="3"/>
  <c r="B19140" i="3"/>
  <c r="D19139" i="3"/>
  <c r="C19139" i="3"/>
  <c r="B19139" i="3"/>
  <c r="D19138" i="3"/>
  <c r="C19138" i="3"/>
  <c r="B19138" i="3"/>
  <c r="D19137" i="3"/>
  <c r="C19137" i="3"/>
  <c r="B19137" i="3"/>
  <c r="D19136" i="3"/>
  <c r="C19136" i="3"/>
  <c r="B19136" i="3"/>
  <c r="D19135" i="3"/>
  <c r="C19135" i="3"/>
  <c r="B19135" i="3"/>
  <c r="D19134" i="3"/>
  <c r="C19134" i="3"/>
  <c r="B19134" i="3"/>
  <c r="D19133" i="3"/>
  <c r="C19133" i="3"/>
  <c r="B19133" i="3"/>
  <c r="D19132" i="3"/>
  <c r="C19132" i="3"/>
  <c r="B19132" i="3"/>
  <c r="D19131" i="3"/>
  <c r="C19131" i="3"/>
  <c r="B19131" i="3"/>
  <c r="D19130" i="3"/>
  <c r="C19130" i="3"/>
  <c r="B19130" i="3"/>
  <c r="D19129" i="3"/>
  <c r="C19129" i="3"/>
  <c r="B19129" i="3"/>
  <c r="D19128" i="3"/>
  <c r="C19128" i="3"/>
  <c r="B19128" i="3"/>
  <c r="D19127" i="3"/>
  <c r="C19127" i="3"/>
  <c r="B19127" i="3"/>
  <c r="D19126" i="3"/>
  <c r="C19126" i="3"/>
  <c r="B19126" i="3"/>
  <c r="D19125" i="3"/>
  <c r="C19125" i="3"/>
  <c r="B19125" i="3"/>
  <c r="D19124" i="3"/>
  <c r="C19124" i="3"/>
  <c r="B19124" i="3"/>
  <c r="D19123" i="3"/>
  <c r="C19123" i="3"/>
  <c r="B19123" i="3"/>
  <c r="D19122" i="3"/>
  <c r="C19122" i="3"/>
  <c r="B19122" i="3"/>
  <c r="D19121" i="3"/>
  <c r="C19121" i="3"/>
  <c r="B19121" i="3"/>
  <c r="D19120" i="3"/>
  <c r="C19120" i="3"/>
  <c r="B19120" i="3"/>
  <c r="D19119" i="3"/>
  <c r="C19119" i="3"/>
  <c r="B19119" i="3"/>
  <c r="D19118" i="3"/>
  <c r="C19118" i="3"/>
  <c r="B19118" i="3"/>
  <c r="D19117" i="3"/>
  <c r="C19117" i="3"/>
  <c r="B19117" i="3"/>
  <c r="D19116" i="3"/>
  <c r="C19116" i="3"/>
  <c r="B19116" i="3"/>
  <c r="D19115" i="3"/>
  <c r="C19115" i="3"/>
  <c r="B19115" i="3"/>
  <c r="D19114" i="3"/>
  <c r="C19114" i="3"/>
  <c r="B19114" i="3"/>
  <c r="D19113" i="3"/>
  <c r="C19113" i="3"/>
  <c r="B19113" i="3"/>
  <c r="D19112" i="3"/>
  <c r="C19112" i="3"/>
  <c r="B19112" i="3"/>
  <c r="D19111" i="3"/>
  <c r="C19111" i="3"/>
  <c r="B19111" i="3"/>
  <c r="D19110" i="3"/>
  <c r="C19110" i="3"/>
  <c r="B19110" i="3"/>
  <c r="D19109" i="3"/>
  <c r="C19109" i="3"/>
  <c r="B19109" i="3"/>
  <c r="D19108" i="3"/>
  <c r="C19108" i="3"/>
  <c r="B19108" i="3"/>
  <c r="D19107" i="3"/>
  <c r="C19107" i="3"/>
  <c r="B19107" i="3"/>
  <c r="D19106" i="3"/>
  <c r="C19106" i="3"/>
  <c r="B19106" i="3"/>
  <c r="D19105" i="3"/>
  <c r="C19105" i="3"/>
  <c r="B19105" i="3"/>
  <c r="D19104" i="3"/>
  <c r="C19104" i="3"/>
  <c r="B19104" i="3"/>
  <c r="D19103" i="3"/>
  <c r="C19103" i="3"/>
  <c r="B19103" i="3"/>
  <c r="D19102" i="3"/>
  <c r="C19102" i="3"/>
  <c r="B19102" i="3"/>
  <c r="D19101" i="3"/>
  <c r="C19101" i="3"/>
  <c r="B19101" i="3"/>
  <c r="D19100" i="3"/>
  <c r="C19100" i="3"/>
  <c r="B19100" i="3"/>
  <c r="D19099" i="3"/>
  <c r="C19099" i="3"/>
  <c r="B19099" i="3"/>
  <c r="D19098" i="3"/>
  <c r="C19098" i="3"/>
  <c r="B19098" i="3"/>
  <c r="D19097" i="3"/>
  <c r="C19097" i="3"/>
  <c r="B19097" i="3"/>
  <c r="D19096" i="3"/>
  <c r="C19096" i="3"/>
  <c r="B19096" i="3"/>
  <c r="D19095" i="3"/>
  <c r="C19095" i="3"/>
  <c r="B19095" i="3"/>
  <c r="D19094" i="3"/>
  <c r="C19094" i="3"/>
  <c r="B19094" i="3"/>
  <c r="D19093" i="3"/>
  <c r="C19093" i="3"/>
  <c r="B19093" i="3"/>
  <c r="D19092" i="3"/>
  <c r="C19092" i="3"/>
  <c r="B19092" i="3"/>
  <c r="D19091" i="3"/>
  <c r="C19091" i="3"/>
  <c r="B19091" i="3"/>
  <c r="D19090" i="3"/>
  <c r="C19090" i="3"/>
  <c r="B19090" i="3"/>
  <c r="D19089" i="3"/>
  <c r="C19089" i="3"/>
  <c r="B19089" i="3"/>
  <c r="D19088" i="3"/>
  <c r="C19088" i="3"/>
  <c r="B19088" i="3"/>
  <c r="D19087" i="3"/>
  <c r="C19087" i="3"/>
  <c r="B19087" i="3"/>
  <c r="D19086" i="3"/>
  <c r="C19086" i="3"/>
  <c r="B19086" i="3"/>
  <c r="D19085" i="3"/>
  <c r="C19085" i="3"/>
  <c r="B19085" i="3"/>
  <c r="D19084" i="3"/>
  <c r="C19084" i="3"/>
  <c r="B19084" i="3"/>
  <c r="D19083" i="3"/>
  <c r="C19083" i="3"/>
  <c r="B19083" i="3"/>
  <c r="D19082" i="3"/>
  <c r="C19082" i="3"/>
  <c r="B19082" i="3"/>
  <c r="D19081" i="3"/>
  <c r="C19081" i="3"/>
  <c r="B19081" i="3"/>
  <c r="D19080" i="3"/>
  <c r="C19080" i="3"/>
  <c r="B19080" i="3"/>
  <c r="D19079" i="3"/>
  <c r="C19079" i="3"/>
  <c r="B19079" i="3"/>
  <c r="D19078" i="3"/>
  <c r="C19078" i="3"/>
  <c r="B19078" i="3"/>
  <c r="D19077" i="3"/>
  <c r="C19077" i="3"/>
  <c r="B19077" i="3"/>
  <c r="D19076" i="3"/>
  <c r="C19076" i="3"/>
  <c r="B19076" i="3"/>
  <c r="D19075" i="3"/>
  <c r="C19075" i="3"/>
  <c r="B19075" i="3"/>
  <c r="D19074" i="3"/>
  <c r="C19074" i="3"/>
  <c r="B19074" i="3"/>
  <c r="D19073" i="3"/>
  <c r="C19073" i="3"/>
  <c r="B19073" i="3"/>
  <c r="D19072" i="3"/>
  <c r="C19072" i="3"/>
  <c r="B19072" i="3"/>
  <c r="D19071" i="3"/>
  <c r="C19071" i="3"/>
  <c r="B19071" i="3"/>
  <c r="D19070" i="3"/>
  <c r="C19070" i="3"/>
  <c r="B19070" i="3"/>
  <c r="D19069" i="3"/>
  <c r="C19069" i="3"/>
  <c r="B19069" i="3"/>
  <c r="D19068" i="3"/>
  <c r="C19068" i="3"/>
  <c r="B19068" i="3"/>
  <c r="D19067" i="3"/>
  <c r="C19067" i="3"/>
  <c r="B19067" i="3"/>
  <c r="D19066" i="3"/>
  <c r="C19066" i="3"/>
  <c r="B19066" i="3"/>
  <c r="D19065" i="3"/>
  <c r="C19065" i="3"/>
  <c r="B19065" i="3"/>
  <c r="D19064" i="3"/>
  <c r="C19064" i="3"/>
  <c r="B19064" i="3"/>
  <c r="D19063" i="3"/>
  <c r="C19063" i="3"/>
  <c r="B19063" i="3"/>
  <c r="D19062" i="3"/>
  <c r="C19062" i="3"/>
  <c r="B19062" i="3"/>
  <c r="D19061" i="3"/>
  <c r="C19061" i="3"/>
  <c r="B19061" i="3"/>
  <c r="D19060" i="3"/>
  <c r="C19060" i="3"/>
  <c r="B19060" i="3"/>
  <c r="D19059" i="3"/>
  <c r="C19059" i="3"/>
  <c r="B19059" i="3"/>
  <c r="D19058" i="3"/>
  <c r="C19058" i="3"/>
  <c r="B19058" i="3"/>
  <c r="D19057" i="3"/>
  <c r="C19057" i="3"/>
  <c r="B19057" i="3"/>
  <c r="D19056" i="3"/>
  <c r="C19056" i="3"/>
  <c r="B19056" i="3"/>
  <c r="D19055" i="3"/>
  <c r="C19055" i="3"/>
  <c r="B19055" i="3"/>
  <c r="D19054" i="3"/>
  <c r="C19054" i="3"/>
  <c r="B19054" i="3"/>
  <c r="D19053" i="3"/>
  <c r="C19053" i="3"/>
  <c r="B19053" i="3"/>
  <c r="D19052" i="3"/>
  <c r="C19052" i="3"/>
  <c r="B19052" i="3"/>
  <c r="D19051" i="3"/>
  <c r="C19051" i="3"/>
  <c r="B19051" i="3"/>
  <c r="D19050" i="3"/>
  <c r="C19050" i="3"/>
  <c r="B19050" i="3"/>
  <c r="D19049" i="3"/>
  <c r="C19049" i="3"/>
  <c r="B19049" i="3"/>
  <c r="D19048" i="3"/>
  <c r="C19048" i="3"/>
  <c r="B19048" i="3"/>
  <c r="D19047" i="3"/>
  <c r="C19047" i="3"/>
  <c r="B19047" i="3"/>
  <c r="D19046" i="3"/>
  <c r="C19046" i="3"/>
  <c r="B19046" i="3"/>
  <c r="D19045" i="3"/>
  <c r="C19045" i="3"/>
  <c r="B19045" i="3"/>
  <c r="D19044" i="3"/>
  <c r="C19044" i="3"/>
  <c r="B19044" i="3"/>
  <c r="D19043" i="3"/>
  <c r="C19043" i="3"/>
  <c r="B19043" i="3"/>
  <c r="D19042" i="3"/>
  <c r="C19042" i="3"/>
  <c r="B19042" i="3"/>
  <c r="D19041" i="3"/>
  <c r="C19041" i="3"/>
  <c r="B19041" i="3"/>
  <c r="D19040" i="3"/>
  <c r="C19040" i="3"/>
  <c r="B19040" i="3"/>
  <c r="D19039" i="3"/>
  <c r="C19039" i="3"/>
  <c r="B19039" i="3"/>
  <c r="D19038" i="3"/>
  <c r="C19038" i="3"/>
  <c r="B19038" i="3"/>
  <c r="D19037" i="3"/>
  <c r="C19037" i="3"/>
  <c r="B19037" i="3"/>
  <c r="D19036" i="3"/>
  <c r="C19036" i="3"/>
  <c r="B19036" i="3"/>
  <c r="D19035" i="3"/>
  <c r="C19035" i="3"/>
  <c r="B19035" i="3"/>
  <c r="D19034" i="3"/>
  <c r="C19034" i="3"/>
  <c r="B19034" i="3"/>
  <c r="D19033" i="3"/>
  <c r="C19033" i="3"/>
  <c r="B19033" i="3"/>
  <c r="D19032" i="3"/>
  <c r="C19032" i="3"/>
  <c r="B19032" i="3"/>
  <c r="D19031" i="3"/>
  <c r="C19031" i="3"/>
  <c r="B19031" i="3"/>
  <c r="D19030" i="3"/>
  <c r="C19030" i="3"/>
  <c r="B19030" i="3"/>
  <c r="D19029" i="3"/>
  <c r="C19029" i="3"/>
  <c r="B19029" i="3"/>
  <c r="D19028" i="3"/>
  <c r="C19028" i="3"/>
  <c r="B19028" i="3"/>
  <c r="D19027" i="3"/>
  <c r="C19027" i="3"/>
  <c r="B19027" i="3"/>
  <c r="D19026" i="3"/>
  <c r="C19026" i="3"/>
  <c r="B19026" i="3"/>
  <c r="D19025" i="3"/>
  <c r="C19025" i="3"/>
  <c r="B19025" i="3"/>
  <c r="D19024" i="3"/>
  <c r="C19024" i="3"/>
  <c r="B19024" i="3"/>
  <c r="D19023" i="3"/>
  <c r="C19023" i="3"/>
  <c r="B19023" i="3"/>
  <c r="D19022" i="3"/>
  <c r="C19022" i="3"/>
  <c r="B19022" i="3"/>
  <c r="D19021" i="3"/>
  <c r="C19021" i="3"/>
  <c r="B19021" i="3"/>
  <c r="D19020" i="3"/>
  <c r="C19020" i="3"/>
  <c r="B19020" i="3"/>
  <c r="D19019" i="3"/>
  <c r="C19019" i="3"/>
  <c r="B19019" i="3"/>
  <c r="D19018" i="3"/>
  <c r="C19018" i="3"/>
  <c r="B19018" i="3"/>
  <c r="D19017" i="3"/>
  <c r="C19017" i="3"/>
  <c r="B19017" i="3"/>
  <c r="D19016" i="3"/>
  <c r="C19016" i="3"/>
  <c r="B19016" i="3"/>
  <c r="D19015" i="3"/>
  <c r="C19015" i="3"/>
  <c r="B19015" i="3"/>
  <c r="D19014" i="3"/>
  <c r="C19014" i="3"/>
  <c r="B19014" i="3"/>
  <c r="D19013" i="3"/>
  <c r="C19013" i="3"/>
  <c r="B19013" i="3"/>
  <c r="D19012" i="3"/>
  <c r="C19012" i="3"/>
  <c r="B19012" i="3"/>
  <c r="D19011" i="3"/>
  <c r="C19011" i="3"/>
  <c r="B19011" i="3"/>
  <c r="D19010" i="3"/>
  <c r="C19010" i="3"/>
  <c r="B19010" i="3"/>
  <c r="D19009" i="3"/>
  <c r="C19009" i="3"/>
  <c r="B19009" i="3"/>
  <c r="D19008" i="3"/>
  <c r="C19008" i="3"/>
  <c r="B19008" i="3"/>
  <c r="D19007" i="3"/>
  <c r="C19007" i="3"/>
  <c r="B19007" i="3"/>
  <c r="D19006" i="3"/>
  <c r="C19006" i="3"/>
  <c r="B19006" i="3"/>
  <c r="D19005" i="3"/>
  <c r="C19005" i="3"/>
  <c r="B19005" i="3"/>
  <c r="D19004" i="3"/>
  <c r="C19004" i="3"/>
  <c r="B19004" i="3"/>
  <c r="D19003" i="3"/>
  <c r="C19003" i="3"/>
  <c r="B19003" i="3"/>
  <c r="D19002" i="3"/>
  <c r="C19002" i="3"/>
  <c r="B19002" i="3"/>
  <c r="D19001" i="3"/>
  <c r="C19001" i="3"/>
  <c r="B19001" i="3"/>
  <c r="D19000" i="3"/>
  <c r="C19000" i="3"/>
  <c r="B19000" i="3"/>
  <c r="D18999" i="3"/>
  <c r="C18999" i="3"/>
  <c r="B18999" i="3"/>
  <c r="D18998" i="3"/>
  <c r="C18998" i="3"/>
  <c r="B18998" i="3"/>
  <c r="D18997" i="3"/>
  <c r="C18997" i="3"/>
  <c r="B18997" i="3"/>
  <c r="D18996" i="3"/>
  <c r="C18996" i="3"/>
  <c r="B18996" i="3"/>
  <c r="D18995" i="3"/>
  <c r="C18995" i="3"/>
  <c r="B18995" i="3"/>
  <c r="D18994" i="3"/>
  <c r="C18994" i="3"/>
  <c r="B18994" i="3"/>
  <c r="D18993" i="3"/>
  <c r="C18993" i="3"/>
  <c r="B18993" i="3"/>
  <c r="D18992" i="3"/>
  <c r="C18992" i="3"/>
  <c r="B18992" i="3"/>
  <c r="D18991" i="3"/>
  <c r="C18991" i="3"/>
  <c r="B18991" i="3"/>
  <c r="D18990" i="3"/>
  <c r="C18990" i="3"/>
  <c r="B18990" i="3"/>
  <c r="D18989" i="3"/>
  <c r="C18989" i="3"/>
  <c r="B18989" i="3"/>
  <c r="D18988" i="3"/>
  <c r="C18988" i="3"/>
  <c r="B18988" i="3"/>
  <c r="D18987" i="3"/>
  <c r="C18987" i="3"/>
  <c r="B18987" i="3"/>
  <c r="D18986" i="3"/>
  <c r="C18986" i="3"/>
  <c r="B18986" i="3"/>
  <c r="D18985" i="3"/>
  <c r="C18985" i="3"/>
  <c r="B18985" i="3"/>
  <c r="D18984" i="3"/>
  <c r="C18984" i="3"/>
  <c r="B18984" i="3"/>
  <c r="D18983" i="3"/>
  <c r="C18983" i="3"/>
  <c r="B18983" i="3"/>
  <c r="D18982" i="3"/>
  <c r="C18982" i="3"/>
  <c r="B18982" i="3"/>
  <c r="D18981" i="3"/>
  <c r="C18981" i="3"/>
  <c r="B18981" i="3"/>
  <c r="D18980" i="3"/>
  <c r="C18980" i="3"/>
  <c r="B18980" i="3"/>
  <c r="D18979" i="3"/>
  <c r="C18979" i="3"/>
  <c r="B18979" i="3"/>
  <c r="D18978" i="3"/>
  <c r="C18978" i="3"/>
  <c r="B18978" i="3"/>
  <c r="D18977" i="3"/>
  <c r="C18977" i="3"/>
  <c r="B18977" i="3"/>
  <c r="D18976" i="3"/>
  <c r="C18976" i="3"/>
  <c r="B18976" i="3"/>
  <c r="D18975" i="3"/>
  <c r="C18975" i="3"/>
  <c r="B18975" i="3"/>
  <c r="D18974" i="3"/>
  <c r="C18974" i="3"/>
  <c r="B18974" i="3"/>
  <c r="D18973" i="3"/>
  <c r="C18973" i="3"/>
  <c r="B18973" i="3"/>
  <c r="D18972" i="3"/>
  <c r="C18972" i="3"/>
  <c r="B18972" i="3"/>
  <c r="D18971" i="3"/>
  <c r="C18971" i="3"/>
  <c r="B18971" i="3"/>
  <c r="D18970" i="3"/>
  <c r="C18970" i="3"/>
  <c r="B18970" i="3"/>
  <c r="D18969" i="3"/>
  <c r="C18969" i="3"/>
  <c r="B18969" i="3"/>
  <c r="D18968" i="3"/>
  <c r="C18968" i="3"/>
  <c r="B18968" i="3"/>
  <c r="D18967" i="3"/>
  <c r="C18967" i="3"/>
  <c r="B18967" i="3"/>
  <c r="D18966" i="3"/>
  <c r="C18966" i="3"/>
  <c r="B18966" i="3"/>
  <c r="D18965" i="3"/>
  <c r="C18965" i="3"/>
  <c r="B18965" i="3"/>
  <c r="D18964" i="3"/>
  <c r="C18964" i="3"/>
  <c r="B18964" i="3"/>
  <c r="D18963" i="3"/>
  <c r="C18963" i="3"/>
  <c r="B18963" i="3"/>
  <c r="D18962" i="3"/>
  <c r="C18962" i="3"/>
  <c r="B18962" i="3"/>
  <c r="D18961" i="3"/>
  <c r="C18961" i="3"/>
  <c r="B18961" i="3"/>
  <c r="D18960" i="3"/>
  <c r="C18960" i="3"/>
  <c r="B18960" i="3"/>
  <c r="D18959" i="3"/>
  <c r="C18959" i="3"/>
  <c r="B18959" i="3"/>
  <c r="D18958" i="3"/>
  <c r="C18958" i="3"/>
  <c r="B18958" i="3"/>
  <c r="D18957" i="3"/>
  <c r="C18957" i="3"/>
  <c r="B18957" i="3"/>
  <c r="D18956" i="3"/>
  <c r="C18956" i="3"/>
  <c r="B18956" i="3"/>
  <c r="D18955" i="3"/>
  <c r="C18955" i="3"/>
  <c r="B18955" i="3"/>
  <c r="D18954" i="3"/>
  <c r="C18954" i="3"/>
  <c r="B18954" i="3"/>
  <c r="D18953" i="3"/>
  <c r="C18953" i="3"/>
  <c r="B18953" i="3"/>
  <c r="D18952" i="3"/>
  <c r="C18952" i="3"/>
  <c r="B18952" i="3"/>
  <c r="D18951" i="3"/>
  <c r="C18951" i="3"/>
  <c r="B18951" i="3"/>
  <c r="D18950" i="3"/>
  <c r="C18950" i="3"/>
  <c r="B18950" i="3"/>
  <c r="D18949" i="3"/>
  <c r="C18949" i="3"/>
  <c r="B18949" i="3"/>
  <c r="D18948" i="3"/>
  <c r="C18948" i="3"/>
  <c r="B18948" i="3"/>
  <c r="D18947" i="3"/>
  <c r="C18947" i="3"/>
  <c r="B18947" i="3"/>
  <c r="D18946" i="3"/>
  <c r="C18946" i="3"/>
  <c r="B18946" i="3"/>
  <c r="D18945" i="3"/>
  <c r="C18945" i="3"/>
  <c r="B18945" i="3"/>
  <c r="D18944" i="3"/>
  <c r="C18944" i="3"/>
  <c r="B18944" i="3"/>
  <c r="D18943" i="3"/>
  <c r="C18943" i="3"/>
  <c r="B18943" i="3"/>
  <c r="D18942" i="3"/>
  <c r="C18942" i="3"/>
  <c r="B18942" i="3"/>
  <c r="D18941" i="3"/>
  <c r="C18941" i="3"/>
  <c r="B18941" i="3"/>
  <c r="D18940" i="3"/>
  <c r="C18940" i="3"/>
  <c r="B18940" i="3"/>
  <c r="D18939" i="3"/>
  <c r="C18939" i="3"/>
  <c r="B18939" i="3"/>
  <c r="D18938" i="3"/>
  <c r="C18938" i="3"/>
  <c r="B18938" i="3"/>
  <c r="D18937" i="3"/>
  <c r="C18937" i="3"/>
  <c r="B18937" i="3"/>
  <c r="D18936" i="3"/>
  <c r="C18936" i="3"/>
  <c r="B18936" i="3"/>
  <c r="D18935" i="3"/>
  <c r="C18935" i="3"/>
  <c r="B18935" i="3"/>
  <c r="D18934" i="3"/>
  <c r="C18934" i="3"/>
  <c r="B18934" i="3"/>
  <c r="D18933" i="3"/>
  <c r="C18933" i="3"/>
  <c r="B18933" i="3"/>
  <c r="D18932" i="3"/>
  <c r="C18932" i="3"/>
  <c r="B18932" i="3"/>
  <c r="D18931" i="3"/>
  <c r="C18931" i="3"/>
  <c r="B18931" i="3"/>
  <c r="D18930" i="3"/>
  <c r="C18930" i="3"/>
  <c r="B18930" i="3"/>
  <c r="D18929" i="3"/>
  <c r="C18929" i="3"/>
  <c r="B18929" i="3"/>
  <c r="D18928" i="3"/>
  <c r="C18928" i="3"/>
  <c r="B18928" i="3"/>
  <c r="D18927" i="3"/>
  <c r="C18927" i="3"/>
  <c r="B18927" i="3"/>
  <c r="D18926" i="3"/>
  <c r="C18926" i="3"/>
  <c r="B18926" i="3"/>
  <c r="D18925" i="3"/>
  <c r="C18925" i="3"/>
  <c r="B18925" i="3"/>
  <c r="D18924" i="3"/>
  <c r="C18924" i="3"/>
  <c r="B18924" i="3"/>
  <c r="D18923" i="3"/>
  <c r="C18923" i="3"/>
  <c r="B18923" i="3"/>
  <c r="D18922" i="3"/>
  <c r="C18922" i="3"/>
  <c r="B18922" i="3"/>
  <c r="D18921" i="3"/>
  <c r="C18921" i="3"/>
  <c r="B18921" i="3"/>
  <c r="D18920" i="3"/>
  <c r="C18920" i="3"/>
  <c r="B18920" i="3"/>
  <c r="D18919" i="3"/>
  <c r="C18919" i="3"/>
  <c r="B18919" i="3"/>
  <c r="D18918" i="3"/>
  <c r="C18918" i="3"/>
  <c r="B18918" i="3"/>
  <c r="D18917" i="3"/>
  <c r="C18917" i="3"/>
  <c r="B18917" i="3"/>
  <c r="D18916" i="3"/>
  <c r="C18916" i="3"/>
  <c r="B18916" i="3"/>
  <c r="D18915" i="3"/>
  <c r="C18915" i="3"/>
  <c r="B18915" i="3"/>
  <c r="D18914" i="3"/>
  <c r="C18914" i="3"/>
  <c r="B18914" i="3"/>
  <c r="D18913" i="3"/>
  <c r="C18913" i="3"/>
  <c r="B18913" i="3"/>
  <c r="D18912" i="3"/>
  <c r="C18912" i="3"/>
  <c r="B18912" i="3"/>
  <c r="D18911" i="3"/>
  <c r="C18911" i="3"/>
  <c r="B18911" i="3"/>
  <c r="D18910" i="3"/>
  <c r="C18910" i="3"/>
  <c r="B18910" i="3"/>
  <c r="D18909" i="3"/>
  <c r="C18909" i="3"/>
  <c r="B18909" i="3"/>
  <c r="D18908" i="3"/>
  <c r="C18908" i="3"/>
  <c r="B18908" i="3"/>
  <c r="D18907" i="3"/>
  <c r="C18907" i="3"/>
  <c r="B18907" i="3"/>
  <c r="D18906" i="3"/>
  <c r="C18906" i="3"/>
  <c r="B18906" i="3"/>
  <c r="D18905" i="3"/>
  <c r="C18905" i="3"/>
  <c r="B18905" i="3"/>
  <c r="D18904" i="3"/>
  <c r="C18904" i="3"/>
  <c r="B18904" i="3"/>
  <c r="D18903" i="3"/>
  <c r="C18903" i="3"/>
  <c r="B18903" i="3"/>
  <c r="D18902" i="3"/>
  <c r="C18902" i="3"/>
  <c r="B18902" i="3"/>
  <c r="D18901" i="3"/>
  <c r="C18901" i="3"/>
  <c r="B18901" i="3"/>
  <c r="D18900" i="3"/>
  <c r="C18900" i="3"/>
  <c r="B18900" i="3"/>
  <c r="D18899" i="3"/>
  <c r="C18899" i="3"/>
  <c r="B18899" i="3"/>
  <c r="D18898" i="3"/>
  <c r="C18898" i="3"/>
  <c r="B18898" i="3"/>
  <c r="D18897" i="3"/>
  <c r="C18897" i="3"/>
  <c r="B18897" i="3"/>
  <c r="D18896" i="3"/>
  <c r="C18896" i="3"/>
  <c r="B18896" i="3"/>
  <c r="D18895" i="3"/>
  <c r="C18895" i="3"/>
  <c r="B18895" i="3"/>
  <c r="D18894" i="3"/>
  <c r="C18894" i="3"/>
  <c r="B18894" i="3"/>
  <c r="D18893" i="3"/>
  <c r="C18893" i="3"/>
  <c r="B18893" i="3"/>
  <c r="D18892" i="3"/>
  <c r="C18892" i="3"/>
  <c r="B18892" i="3"/>
  <c r="D18891" i="3"/>
  <c r="C18891" i="3"/>
  <c r="B18891" i="3"/>
  <c r="D18890" i="3"/>
  <c r="C18890" i="3"/>
  <c r="B18890" i="3"/>
  <c r="D18889" i="3"/>
  <c r="C18889" i="3"/>
  <c r="B18889" i="3"/>
  <c r="D18888" i="3"/>
  <c r="C18888" i="3"/>
  <c r="B18888" i="3"/>
  <c r="D18887" i="3"/>
  <c r="C18887" i="3"/>
  <c r="B18887" i="3"/>
  <c r="D18886" i="3"/>
  <c r="C18886" i="3"/>
  <c r="B18886" i="3"/>
  <c r="D18885" i="3"/>
  <c r="C18885" i="3"/>
  <c r="B18885" i="3"/>
  <c r="D18884" i="3"/>
  <c r="C18884" i="3"/>
  <c r="B18884" i="3"/>
  <c r="D18883" i="3"/>
  <c r="C18883" i="3"/>
  <c r="B18883" i="3"/>
  <c r="D18882" i="3"/>
  <c r="C18882" i="3"/>
  <c r="B18882" i="3"/>
  <c r="D18881" i="3"/>
  <c r="C18881" i="3"/>
  <c r="B18881" i="3"/>
  <c r="D18880" i="3"/>
  <c r="C18880" i="3"/>
  <c r="B18880" i="3"/>
  <c r="D18879" i="3"/>
  <c r="C18879" i="3"/>
  <c r="B18879" i="3"/>
  <c r="D18878" i="3"/>
  <c r="C18878" i="3"/>
  <c r="B18878" i="3"/>
  <c r="D18877" i="3"/>
  <c r="C18877" i="3"/>
  <c r="B18877" i="3"/>
  <c r="D18876" i="3"/>
  <c r="C18876" i="3"/>
  <c r="B18876" i="3"/>
  <c r="D18875" i="3"/>
  <c r="C18875" i="3"/>
  <c r="B18875" i="3"/>
  <c r="D18874" i="3"/>
  <c r="C18874" i="3"/>
  <c r="B18874" i="3"/>
  <c r="D18873" i="3"/>
  <c r="C18873" i="3"/>
  <c r="B18873" i="3"/>
  <c r="D18872" i="3"/>
  <c r="C18872" i="3"/>
  <c r="B18872" i="3"/>
  <c r="D18871" i="3"/>
  <c r="C18871" i="3"/>
  <c r="B18871" i="3"/>
  <c r="D18870" i="3"/>
  <c r="C18870" i="3"/>
  <c r="B18870" i="3"/>
  <c r="D18869" i="3"/>
  <c r="C18869" i="3"/>
  <c r="B18869" i="3"/>
  <c r="D18868" i="3"/>
  <c r="C18868" i="3"/>
  <c r="B18868" i="3"/>
  <c r="D18867" i="3"/>
  <c r="C18867" i="3"/>
  <c r="B18867" i="3"/>
  <c r="D18866" i="3"/>
  <c r="C18866" i="3"/>
  <c r="B18866" i="3"/>
  <c r="D18865" i="3"/>
  <c r="C18865" i="3"/>
  <c r="B18865" i="3"/>
  <c r="D18864" i="3"/>
  <c r="C18864" i="3"/>
  <c r="B18864" i="3"/>
  <c r="D18863" i="3"/>
  <c r="C18863" i="3"/>
  <c r="B18863" i="3"/>
  <c r="D18862" i="3"/>
  <c r="C18862" i="3"/>
  <c r="B18862" i="3"/>
  <c r="D18861" i="3"/>
  <c r="C18861" i="3"/>
  <c r="B18861" i="3"/>
  <c r="D18860" i="3"/>
  <c r="C18860" i="3"/>
  <c r="B18860" i="3"/>
  <c r="D18859" i="3"/>
  <c r="C18859" i="3"/>
  <c r="B18859" i="3"/>
  <c r="D18858" i="3"/>
  <c r="C18858" i="3"/>
  <c r="B18858" i="3"/>
  <c r="D18857" i="3"/>
  <c r="C18857" i="3"/>
  <c r="B18857" i="3"/>
  <c r="D18856" i="3"/>
  <c r="C18856" i="3"/>
  <c r="B18856" i="3"/>
  <c r="D18855" i="3"/>
  <c r="C18855" i="3"/>
  <c r="B18855" i="3"/>
  <c r="D18854" i="3"/>
  <c r="C18854" i="3"/>
  <c r="B18854" i="3"/>
  <c r="D18853" i="3"/>
  <c r="C18853" i="3"/>
  <c r="B18853" i="3"/>
  <c r="D18852" i="3"/>
  <c r="C18852" i="3"/>
  <c r="B18852" i="3"/>
  <c r="D18851" i="3"/>
  <c r="C18851" i="3"/>
  <c r="B18851" i="3"/>
  <c r="D18850" i="3"/>
  <c r="C18850" i="3"/>
  <c r="B18850" i="3"/>
  <c r="D18849" i="3"/>
  <c r="C18849" i="3"/>
  <c r="B18849" i="3"/>
  <c r="D18848" i="3"/>
  <c r="C18848" i="3"/>
  <c r="B18848" i="3"/>
  <c r="D18847" i="3"/>
  <c r="C18847" i="3"/>
  <c r="B18847" i="3"/>
  <c r="D18846" i="3"/>
  <c r="C18846" i="3"/>
  <c r="B18846" i="3"/>
  <c r="D18845" i="3"/>
  <c r="C18845" i="3"/>
  <c r="B18845" i="3"/>
  <c r="D18844" i="3"/>
  <c r="C18844" i="3"/>
  <c r="B18844" i="3"/>
  <c r="D18843" i="3"/>
  <c r="C18843" i="3"/>
  <c r="B18843" i="3"/>
  <c r="D18842" i="3"/>
  <c r="C18842" i="3"/>
  <c r="B18842" i="3"/>
  <c r="D18841" i="3"/>
  <c r="C18841" i="3"/>
  <c r="B18841" i="3"/>
  <c r="D18840" i="3"/>
  <c r="C18840" i="3"/>
  <c r="B18840" i="3"/>
  <c r="D18839" i="3"/>
  <c r="C18839" i="3"/>
  <c r="B18839" i="3"/>
  <c r="D18838" i="3"/>
  <c r="C18838" i="3"/>
  <c r="B18838" i="3"/>
  <c r="D18837" i="3"/>
  <c r="C18837" i="3"/>
  <c r="B18837" i="3"/>
  <c r="D18836" i="3"/>
  <c r="C18836" i="3"/>
  <c r="B18836" i="3"/>
  <c r="D18835" i="3"/>
  <c r="C18835" i="3"/>
  <c r="B18835" i="3"/>
  <c r="D18834" i="3"/>
  <c r="C18834" i="3"/>
  <c r="B18834" i="3"/>
  <c r="D18833" i="3"/>
  <c r="C18833" i="3"/>
  <c r="B18833" i="3"/>
  <c r="D18832" i="3"/>
  <c r="C18832" i="3"/>
  <c r="B18832" i="3"/>
  <c r="D18831" i="3"/>
  <c r="C18831" i="3"/>
  <c r="B18831" i="3"/>
  <c r="D18830" i="3"/>
  <c r="C18830" i="3"/>
  <c r="B18830" i="3"/>
  <c r="D18829" i="3"/>
  <c r="C18829" i="3"/>
  <c r="B18829" i="3"/>
  <c r="D18828" i="3"/>
  <c r="C18828" i="3"/>
  <c r="B18828" i="3"/>
  <c r="D18827" i="3"/>
  <c r="C18827" i="3"/>
  <c r="B18827" i="3"/>
  <c r="D18826" i="3"/>
  <c r="C18826" i="3"/>
  <c r="B18826" i="3"/>
  <c r="D18825" i="3"/>
  <c r="C18825" i="3"/>
  <c r="B18825" i="3"/>
  <c r="D18824" i="3"/>
  <c r="C18824" i="3"/>
  <c r="B18824" i="3"/>
  <c r="D18823" i="3"/>
  <c r="C18823" i="3"/>
  <c r="B18823" i="3"/>
  <c r="D18822" i="3"/>
  <c r="C18822" i="3"/>
  <c r="B18822" i="3"/>
  <c r="D18821" i="3"/>
  <c r="C18821" i="3"/>
  <c r="B18821" i="3"/>
  <c r="D18820" i="3"/>
  <c r="C18820" i="3"/>
  <c r="B18820" i="3"/>
  <c r="D18819" i="3"/>
  <c r="C18819" i="3"/>
  <c r="B18819" i="3"/>
  <c r="D18818" i="3"/>
  <c r="C18818" i="3"/>
  <c r="B18818" i="3"/>
  <c r="D18817" i="3"/>
  <c r="C18817" i="3"/>
  <c r="B18817" i="3"/>
  <c r="D18816" i="3"/>
  <c r="C18816" i="3"/>
  <c r="B18816" i="3"/>
  <c r="D18815" i="3"/>
  <c r="C18815" i="3"/>
  <c r="B18815" i="3"/>
  <c r="D18814" i="3"/>
  <c r="C18814" i="3"/>
  <c r="B18814" i="3"/>
  <c r="D18813" i="3"/>
  <c r="C18813" i="3"/>
  <c r="B18813" i="3"/>
  <c r="D18812" i="3"/>
  <c r="C18812" i="3"/>
  <c r="B18812" i="3"/>
  <c r="D18811" i="3"/>
  <c r="C18811" i="3"/>
  <c r="B18811" i="3"/>
  <c r="D18810" i="3"/>
  <c r="C18810" i="3"/>
  <c r="B18810" i="3"/>
  <c r="D18809" i="3"/>
  <c r="C18809" i="3"/>
  <c r="B18809" i="3"/>
  <c r="D18808" i="3"/>
  <c r="C18808" i="3"/>
  <c r="B18808" i="3"/>
  <c r="D18807" i="3"/>
  <c r="C18807" i="3"/>
  <c r="B18807" i="3"/>
  <c r="D18806" i="3"/>
  <c r="C18806" i="3"/>
  <c r="B18806" i="3"/>
  <c r="D18805" i="3"/>
  <c r="C18805" i="3"/>
  <c r="B18805" i="3"/>
  <c r="D18804" i="3"/>
  <c r="C18804" i="3"/>
  <c r="B18804" i="3"/>
  <c r="D18803" i="3"/>
  <c r="C18803" i="3"/>
  <c r="B18803" i="3"/>
  <c r="D18802" i="3"/>
  <c r="C18802" i="3"/>
  <c r="B18802" i="3"/>
  <c r="D18801" i="3"/>
  <c r="C18801" i="3"/>
  <c r="B18801" i="3"/>
  <c r="D18800" i="3"/>
  <c r="C18800" i="3"/>
  <c r="B18800" i="3"/>
  <c r="D18799" i="3"/>
  <c r="C18799" i="3"/>
  <c r="B18799" i="3"/>
  <c r="D18798" i="3"/>
  <c r="C18798" i="3"/>
  <c r="B18798" i="3"/>
  <c r="D18797" i="3"/>
  <c r="C18797" i="3"/>
  <c r="B18797" i="3"/>
  <c r="D18796" i="3"/>
  <c r="C18796" i="3"/>
  <c r="B18796" i="3"/>
  <c r="D18795" i="3"/>
  <c r="C18795" i="3"/>
  <c r="B18795" i="3"/>
  <c r="D18794" i="3"/>
  <c r="C18794" i="3"/>
  <c r="B18794" i="3"/>
  <c r="D18793" i="3"/>
  <c r="C18793" i="3"/>
  <c r="B18793" i="3"/>
  <c r="D18792" i="3"/>
  <c r="C18792" i="3"/>
  <c r="B18792" i="3"/>
  <c r="D18791" i="3"/>
  <c r="C18791" i="3"/>
  <c r="B18791" i="3"/>
  <c r="D18790" i="3"/>
  <c r="C18790" i="3"/>
  <c r="B18790" i="3"/>
  <c r="D18789" i="3"/>
  <c r="C18789" i="3"/>
  <c r="B18789" i="3"/>
  <c r="D18788" i="3"/>
  <c r="C18788" i="3"/>
  <c r="B18788" i="3"/>
  <c r="D18787" i="3"/>
  <c r="C18787" i="3"/>
  <c r="B18787" i="3"/>
  <c r="D18786" i="3"/>
  <c r="C18786" i="3"/>
  <c r="B18786" i="3"/>
  <c r="D18785" i="3"/>
  <c r="C18785" i="3"/>
  <c r="B18785" i="3"/>
  <c r="D18784" i="3"/>
  <c r="C18784" i="3"/>
  <c r="B18784" i="3"/>
  <c r="D18783" i="3"/>
  <c r="C18783" i="3"/>
  <c r="B18783" i="3"/>
  <c r="D18782" i="3"/>
  <c r="C18782" i="3"/>
  <c r="B18782" i="3"/>
  <c r="D18781" i="3"/>
  <c r="C18781" i="3"/>
  <c r="B18781" i="3"/>
  <c r="D18780" i="3"/>
  <c r="C18780" i="3"/>
  <c r="B18780" i="3"/>
  <c r="D18779" i="3"/>
  <c r="C18779" i="3"/>
  <c r="B18779" i="3"/>
  <c r="D18778" i="3"/>
  <c r="C18778" i="3"/>
  <c r="B18778" i="3"/>
  <c r="D18777" i="3"/>
  <c r="C18777" i="3"/>
  <c r="B18777" i="3"/>
  <c r="D18776" i="3"/>
  <c r="C18776" i="3"/>
  <c r="B18776" i="3"/>
  <c r="D18775" i="3"/>
  <c r="C18775" i="3"/>
  <c r="B18775" i="3"/>
  <c r="D18774" i="3"/>
  <c r="C18774" i="3"/>
  <c r="B18774" i="3"/>
  <c r="D18773" i="3"/>
  <c r="C18773" i="3"/>
  <c r="B18773" i="3"/>
  <c r="D18772" i="3"/>
  <c r="C18772" i="3"/>
  <c r="B18772" i="3"/>
  <c r="D18771" i="3"/>
  <c r="C18771" i="3"/>
  <c r="B18771" i="3"/>
  <c r="D18770" i="3"/>
  <c r="C18770" i="3"/>
  <c r="B18770" i="3"/>
  <c r="D18769" i="3"/>
  <c r="C18769" i="3"/>
  <c r="B18769" i="3"/>
  <c r="D18768" i="3"/>
  <c r="C18768" i="3"/>
  <c r="B18768" i="3"/>
  <c r="D18767" i="3"/>
  <c r="C18767" i="3"/>
  <c r="B18767" i="3"/>
  <c r="D18766" i="3"/>
  <c r="C18766" i="3"/>
  <c r="B18766" i="3"/>
  <c r="D18765" i="3"/>
  <c r="C18765" i="3"/>
  <c r="B18765" i="3"/>
  <c r="D18764" i="3"/>
  <c r="C18764" i="3"/>
  <c r="B18764" i="3"/>
  <c r="D18763" i="3"/>
  <c r="C18763" i="3"/>
  <c r="B18763" i="3"/>
  <c r="D18762" i="3"/>
  <c r="C18762" i="3"/>
  <c r="B18762" i="3"/>
  <c r="D18761" i="3"/>
  <c r="C18761" i="3"/>
  <c r="B18761" i="3"/>
  <c r="D18760" i="3"/>
  <c r="C18760" i="3"/>
  <c r="B18760" i="3"/>
  <c r="D18759" i="3"/>
  <c r="C18759" i="3"/>
  <c r="B18759" i="3"/>
  <c r="D18758" i="3"/>
  <c r="C18758" i="3"/>
  <c r="B18758" i="3"/>
  <c r="D18757" i="3"/>
  <c r="C18757" i="3"/>
  <c r="B18757" i="3"/>
  <c r="D18756" i="3"/>
  <c r="C18756" i="3"/>
  <c r="B18756" i="3"/>
  <c r="D18755" i="3"/>
  <c r="C18755" i="3"/>
  <c r="B18755" i="3"/>
  <c r="D18754" i="3"/>
  <c r="C18754" i="3"/>
  <c r="B18754" i="3"/>
  <c r="D18753" i="3"/>
  <c r="C18753" i="3"/>
  <c r="B18753" i="3"/>
  <c r="D18752" i="3"/>
  <c r="C18752" i="3"/>
  <c r="B18752" i="3"/>
  <c r="D18751" i="3"/>
  <c r="C18751" i="3"/>
  <c r="B18751" i="3"/>
  <c r="D18750" i="3"/>
  <c r="C18750" i="3"/>
  <c r="B18750" i="3"/>
  <c r="D18749" i="3"/>
  <c r="C18749" i="3"/>
  <c r="B18749" i="3"/>
  <c r="D18748" i="3"/>
  <c r="C18748" i="3"/>
  <c r="B18748" i="3"/>
  <c r="D18747" i="3"/>
  <c r="C18747" i="3"/>
  <c r="B18747" i="3"/>
  <c r="D18746" i="3"/>
  <c r="C18746" i="3"/>
  <c r="B18746" i="3"/>
  <c r="D18745" i="3"/>
  <c r="C18745" i="3"/>
  <c r="B18745" i="3"/>
  <c r="D18744" i="3"/>
  <c r="C18744" i="3"/>
  <c r="B18744" i="3"/>
  <c r="D18743" i="3"/>
  <c r="C18743" i="3"/>
  <c r="B18743" i="3"/>
  <c r="D18742" i="3"/>
  <c r="C18742" i="3"/>
  <c r="B18742" i="3"/>
  <c r="D18741" i="3"/>
  <c r="C18741" i="3"/>
  <c r="B18741" i="3"/>
  <c r="D18740" i="3"/>
  <c r="C18740" i="3"/>
  <c r="B18740" i="3"/>
  <c r="D18739" i="3"/>
  <c r="C18739" i="3"/>
  <c r="B18739" i="3"/>
  <c r="D18738" i="3"/>
  <c r="C18738" i="3"/>
  <c r="B18738" i="3"/>
  <c r="D18737" i="3"/>
  <c r="C18737" i="3"/>
  <c r="B18737" i="3"/>
  <c r="D18736" i="3"/>
  <c r="C18736" i="3"/>
  <c r="B18736" i="3"/>
  <c r="D18735" i="3"/>
  <c r="C18735" i="3"/>
  <c r="B18735" i="3"/>
  <c r="D18734" i="3"/>
  <c r="C18734" i="3"/>
  <c r="B18734" i="3"/>
  <c r="D18733" i="3"/>
  <c r="C18733" i="3"/>
  <c r="B18733" i="3"/>
  <c r="D18732" i="3"/>
  <c r="C18732" i="3"/>
  <c r="B18732" i="3"/>
  <c r="D18731" i="3"/>
  <c r="C18731" i="3"/>
  <c r="B18731" i="3"/>
  <c r="D18730" i="3"/>
  <c r="C18730" i="3"/>
  <c r="B18730" i="3"/>
  <c r="D18729" i="3"/>
  <c r="C18729" i="3"/>
  <c r="B18729" i="3"/>
  <c r="D18728" i="3"/>
  <c r="C18728" i="3"/>
  <c r="B18728" i="3"/>
  <c r="D18727" i="3"/>
  <c r="C18727" i="3"/>
  <c r="B18727" i="3"/>
  <c r="D18726" i="3"/>
  <c r="C18726" i="3"/>
  <c r="B18726" i="3"/>
  <c r="D18725" i="3"/>
  <c r="C18725" i="3"/>
  <c r="B18725" i="3"/>
  <c r="D18724" i="3"/>
  <c r="C18724" i="3"/>
  <c r="B18724" i="3"/>
  <c r="D18723" i="3"/>
  <c r="C18723" i="3"/>
  <c r="B18723" i="3"/>
  <c r="D18722" i="3"/>
  <c r="C18722" i="3"/>
  <c r="B18722" i="3"/>
  <c r="D18721" i="3"/>
  <c r="C18721" i="3"/>
  <c r="B18721" i="3"/>
  <c r="D18720" i="3"/>
  <c r="C18720" i="3"/>
  <c r="B18720" i="3"/>
  <c r="D18719" i="3"/>
  <c r="C18719" i="3"/>
  <c r="B18719" i="3"/>
  <c r="D18718" i="3"/>
  <c r="C18718" i="3"/>
  <c r="B18718" i="3"/>
  <c r="D18717" i="3"/>
  <c r="C18717" i="3"/>
  <c r="B18717" i="3"/>
  <c r="D18716" i="3"/>
  <c r="C18716" i="3"/>
  <c r="B18716" i="3"/>
  <c r="D18715" i="3"/>
  <c r="C18715" i="3"/>
  <c r="B18715" i="3"/>
  <c r="D18714" i="3"/>
  <c r="C18714" i="3"/>
  <c r="B18714" i="3"/>
  <c r="D18713" i="3"/>
  <c r="C18713" i="3"/>
  <c r="B18713" i="3"/>
  <c r="D18712" i="3"/>
  <c r="C18712" i="3"/>
  <c r="B18712" i="3"/>
  <c r="D18711" i="3"/>
  <c r="C18711" i="3"/>
  <c r="B18711" i="3"/>
  <c r="D18710" i="3"/>
  <c r="C18710" i="3"/>
  <c r="B18710" i="3"/>
  <c r="D18709" i="3"/>
  <c r="C18709" i="3"/>
  <c r="B18709" i="3"/>
  <c r="D18708" i="3"/>
  <c r="C18708" i="3"/>
  <c r="B18708" i="3"/>
  <c r="D18707" i="3"/>
  <c r="C18707" i="3"/>
  <c r="B18707" i="3"/>
  <c r="D18706" i="3"/>
  <c r="C18706" i="3"/>
  <c r="B18706" i="3"/>
  <c r="D18705" i="3"/>
  <c r="C18705" i="3"/>
  <c r="B18705" i="3"/>
  <c r="D18704" i="3"/>
  <c r="C18704" i="3"/>
  <c r="B18704" i="3"/>
  <c r="D18703" i="3"/>
  <c r="C18703" i="3"/>
  <c r="B18703" i="3"/>
  <c r="D18702" i="3"/>
  <c r="C18702" i="3"/>
  <c r="B18702" i="3"/>
  <c r="D18701" i="3"/>
  <c r="C18701" i="3"/>
  <c r="B18701" i="3"/>
  <c r="D18700" i="3"/>
  <c r="C18700" i="3"/>
  <c r="B18700" i="3"/>
  <c r="D18699" i="3"/>
  <c r="C18699" i="3"/>
  <c r="B18699" i="3"/>
  <c r="D18698" i="3"/>
  <c r="C18698" i="3"/>
  <c r="B18698" i="3"/>
  <c r="D18697" i="3"/>
  <c r="C18697" i="3"/>
  <c r="B18697" i="3"/>
  <c r="D18696" i="3"/>
  <c r="C18696" i="3"/>
  <c r="B18696" i="3"/>
  <c r="D18695" i="3"/>
  <c r="C18695" i="3"/>
  <c r="B18695" i="3"/>
  <c r="D18694" i="3"/>
  <c r="C18694" i="3"/>
  <c r="B18694" i="3"/>
  <c r="D18693" i="3"/>
  <c r="C18693" i="3"/>
  <c r="B18693" i="3"/>
  <c r="D18692" i="3"/>
  <c r="C18692" i="3"/>
  <c r="B18692" i="3"/>
  <c r="D18691" i="3"/>
  <c r="C18691" i="3"/>
  <c r="B18691" i="3"/>
  <c r="D18690" i="3"/>
  <c r="C18690" i="3"/>
  <c r="B18690" i="3"/>
  <c r="D18689" i="3"/>
  <c r="C18689" i="3"/>
  <c r="B18689" i="3"/>
  <c r="D18688" i="3"/>
  <c r="C18688" i="3"/>
  <c r="B18688" i="3"/>
  <c r="D18687" i="3"/>
  <c r="C18687" i="3"/>
  <c r="B18687" i="3"/>
  <c r="D18686" i="3"/>
  <c r="C18686" i="3"/>
  <c r="B18686" i="3"/>
  <c r="D18685" i="3"/>
  <c r="C18685" i="3"/>
  <c r="B18685" i="3"/>
  <c r="D18684" i="3"/>
  <c r="C18684" i="3"/>
  <c r="B18684" i="3"/>
  <c r="D18683" i="3"/>
  <c r="C18683" i="3"/>
  <c r="B18683" i="3"/>
  <c r="D18682" i="3"/>
  <c r="C18682" i="3"/>
  <c r="B18682" i="3"/>
  <c r="D18681" i="3"/>
  <c r="C18681" i="3"/>
  <c r="B18681" i="3"/>
  <c r="D18680" i="3"/>
  <c r="C18680" i="3"/>
  <c r="B18680" i="3"/>
  <c r="D18679" i="3"/>
  <c r="C18679" i="3"/>
  <c r="B18679" i="3"/>
  <c r="D18678" i="3"/>
  <c r="C18678" i="3"/>
  <c r="B18678" i="3"/>
  <c r="D18677" i="3"/>
  <c r="C18677" i="3"/>
  <c r="B18677" i="3"/>
  <c r="D18676" i="3"/>
  <c r="C18676" i="3"/>
  <c r="B18676" i="3"/>
  <c r="D18675" i="3"/>
  <c r="C18675" i="3"/>
  <c r="B18675" i="3"/>
  <c r="D18674" i="3"/>
  <c r="C18674" i="3"/>
  <c r="B18674" i="3"/>
  <c r="D18673" i="3"/>
  <c r="C18673" i="3"/>
  <c r="B18673" i="3"/>
  <c r="D18672" i="3"/>
  <c r="C18672" i="3"/>
  <c r="B18672" i="3"/>
  <c r="D18671" i="3"/>
  <c r="C18671" i="3"/>
  <c r="B18671" i="3"/>
  <c r="D18670" i="3"/>
  <c r="C18670" i="3"/>
  <c r="B18670" i="3"/>
  <c r="D18669" i="3"/>
  <c r="C18669" i="3"/>
  <c r="B18669" i="3"/>
  <c r="D18668" i="3"/>
  <c r="C18668" i="3"/>
  <c r="B18668" i="3"/>
  <c r="D18667" i="3"/>
  <c r="C18667" i="3"/>
  <c r="B18667" i="3"/>
  <c r="D18666" i="3"/>
  <c r="C18666" i="3"/>
  <c r="B18666" i="3"/>
  <c r="D18665" i="3"/>
  <c r="C18665" i="3"/>
  <c r="B18665" i="3"/>
  <c r="D18664" i="3"/>
  <c r="C18664" i="3"/>
  <c r="B18664" i="3"/>
  <c r="D18663" i="3"/>
  <c r="C18663" i="3"/>
  <c r="B18663" i="3"/>
  <c r="D18662" i="3"/>
  <c r="C18662" i="3"/>
  <c r="B18662" i="3"/>
  <c r="D18661" i="3"/>
  <c r="C18661" i="3"/>
  <c r="B18661" i="3"/>
  <c r="D18660" i="3"/>
  <c r="C18660" i="3"/>
  <c r="B18660" i="3"/>
  <c r="D18659" i="3"/>
  <c r="C18659" i="3"/>
  <c r="B18659" i="3"/>
  <c r="D18658" i="3"/>
  <c r="C18658" i="3"/>
  <c r="B18658" i="3"/>
  <c r="D18657" i="3"/>
  <c r="C18657" i="3"/>
  <c r="B18657" i="3"/>
  <c r="D18656" i="3"/>
  <c r="C18656" i="3"/>
  <c r="B18656" i="3"/>
  <c r="D18655" i="3"/>
  <c r="C18655" i="3"/>
  <c r="B18655" i="3"/>
  <c r="D18654" i="3"/>
  <c r="C18654" i="3"/>
  <c r="B18654" i="3"/>
  <c r="D18653" i="3"/>
  <c r="C18653" i="3"/>
  <c r="B18653" i="3"/>
  <c r="D18652" i="3"/>
  <c r="C18652" i="3"/>
  <c r="B18652" i="3"/>
  <c r="D18651" i="3"/>
  <c r="C18651" i="3"/>
  <c r="B18651" i="3"/>
  <c r="D18650" i="3"/>
  <c r="C18650" i="3"/>
  <c r="B18650" i="3"/>
  <c r="D18649" i="3"/>
  <c r="C18649" i="3"/>
  <c r="B18649" i="3"/>
  <c r="D18648" i="3"/>
  <c r="C18648" i="3"/>
  <c r="B18648" i="3"/>
  <c r="D18647" i="3"/>
  <c r="C18647" i="3"/>
  <c r="B18647" i="3"/>
  <c r="D18646" i="3"/>
  <c r="C18646" i="3"/>
  <c r="B18646" i="3"/>
  <c r="D18645" i="3"/>
  <c r="C18645" i="3"/>
  <c r="B18645" i="3"/>
  <c r="D18644" i="3"/>
  <c r="C18644" i="3"/>
  <c r="B18644" i="3"/>
  <c r="D18643" i="3"/>
  <c r="C18643" i="3"/>
  <c r="B18643" i="3"/>
  <c r="D18642" i="3"/>
  <c r="C18642" i="3"/>
  <c r="B18642" i="3"/>
  <c r="D18641" i="3"/>
  <c r="C18641" i="3"/>
  <c r="B18641" i="3"/>
  <c r="D18640" i="3"/>
  <c r="C18640" i="3"/>
  <c r="B18640" i="3"/>
  <c r="D18639" i="3"/>
  <c r="C18639" i="3"/>
  <c r="B18639" i="3"/>
  <c r="D18638" i="3"/>
  <c r="C18638" i="3"/>
  <c r="B18638" i="3"/>
  <c r="D18637" i="3"/>
  <c r="C18637" i="3"/>
  <c r="B18637" i="3"/>
  <c r="D18636" i="3"/>
  <c r="C18636" i="3"/>
  <c r="B18636" i="3"/>
  <c r="D18635" i="3"/>
  <c r="C18635" i="3"/>
  <c r="B18635" i="3"/>
  <c r="D18634" i="3"/>
  <c r="C18634" i="3"/>
  <c r="B18634" i="3"/>
  <c r="D18633" i="3"/>
  <c r="C18633" i="3"/>
  <c r="B18633" i="3"/>
  <c r="D18632" i="3"/>
  <c r="C18632" i="3"/>
  <c r="B18632" i="3"/>
  <c r="D18631" i="3"/>
  <c r="C18631" i="3"/>
  <c r="B18631" i="3"/>
  <c r="D18630" i="3"/>
  <c r="C18630" i="3"/>
  <c r="B18630" i="3"/>
  <c r="D18629" i="3"/>
  <c r="C18629" i="3"/>
  <c r="B18629" i="3"/>
  <c r="D18628" i="3"/>
  <c r="C18628" i="3"/>
  <c r="B18628" i="3"/>
  <c r="D18627" i="3"/>
  <c r="C18627" i="3"/>
  <c r="B18627" i="3"/>
  <c r="D18626" i="3"/>
  <c r="C18626" i="3"/>
  <c r="B18626" i="3"/>
  <c r="D18625" i="3"/>
  <c r="C18625" i="3"/>
  <c r="B18625" i="3"/>
  <c r="D18624" i="3"/>
  <c r="C18624" i="3"/>
  <c r="B18624" i="3"/>
  <c r="D18623" i="3"/>
  <c r="C18623" i="3"/>
  <c r="B18623" i="3"/>
  <c r="D18622" i="3"/>
  <c r="C18622" i="3"/>
  <c r="B18622" i="3"/>
  <c r="D18621" i="3"/>
  <c r="C18621" i="3"/>
  <c r="B18621" i="3"/>
  <c r="D18620" i="3"/>
  <c r="C18620" i="3"/>
  <c r="B18620" i="3"/>
  <c r="D18619" i="3"/>
  <c r="C18619" i="3"/>
  <c r="B18619" i="3"/>
  <c r="D18618" i="3"/>
  <c r="C18618" i="3"/>
  <c r="B18618" i="3"/>
  <c r="D18617" i="3"/>
  <c r="C18617" i="3"/>
  <c r="B18617" i="3"/>
  <c r="D18616" i="3"/>
  <c r="C18616" i="3"/>
  <c r="B18616" i="3"/>
  <c r="D18615" i="3"/>
  <c r="C18615" i="3"/>
  <c r="B18615" i="3"/>
  <c r="D18614" i="3"/>
  <c r="C18614" i="3"/>
  <c r="B18614" i="3"/>
  <c r="D18613" i="3"/>
  <c r="C18613" i="3"/>
  <c r="B18613" i="3"/>
  <c r="D18612" i="3"/>
  <c r="C18612" i="3"/>
  <c r="B18612" i="3"/>
  <c r="D18611" i="3"/>
  <c r="C18611" i="3"/>
  <c r="B18611" i="3"/>
  <c r="D18610" i="3"/>
  <c r="C18610" i="3"/>
  <c r="B18610" i="3"/>
  <c r="D18609" i="3"/>
  <c r="C18609" i="3"/>
  <c r="B18609" i="3"/>
  <c r="D18608" i="3"/>
  <c r="C18608" i="3"/>
  <c r="B18608" i="3"/>
  <c r="D18607" i="3"/>
  <c r="C18607" i="3"/>
  <c r="B18607" i="3"/>
  <c r="D18606" i="3"/>
  <c r="C18606" i="3"/>
  <c r="B18606" i="3"/>
  <c r="D18605" i="3"/>
  <c r="C18605" i="3"/>
  <c r="B18605" i="3"/>
  <c r="D18604" i="3"/>
  <c r="C18604" i="3"/>
  <c r="B18604" i="3"/>
  <c r="D18603" i="3"/>
  <c r="C18603" i="3"/>
  <c r="B18603" i="3"/>
  <c r="D18602" i="3"/>
  <c r="C18602" i="3"/>
  <c r="B18602" i="3"/>
  <c r="D18601" i="3"/>
  <c r="C18601" i="3"/>
  <c r="B18601" i="3"/>
  <c r="D18600" i="3"/>
  <c r="C18600" i="3"/>
  <c r="B18600" i="3"/>
  <c r="D18599" i="3"/>
  <c r="C18599" i="3"/>
  <c r="B18599" i="3"/>
  <c r="D18598" i="3"/>
  <c r="C18598" i="3"/>
  <c r="B18598" i="3"/>
  <c r="D18597" i="3"/>
  <c r="C18597" i="3"/>
  <c r="B18597" i="3"/>
  <c r="D18596" i="3"/>
  <c r="C18596" i="3"/>
  <c r="B18596" i="3"/>
  <c r="D18595" i="3"/>
  <c r="C18595" i="3"/>
  <c r="B18595" i="3"/>
  <c r="D18594" i="3"/>
  <c r="C18594" i="3"/>
  <c r="B18594" i="3"/>
  <c r="D18593" i="3"/>
  <c r="C18593" i="3"/>
  <c r="B18593" i="3"/>
  <c r="D18592" i="3"/>
  <c r="C18592" i="3"/>
  <c r="B18592" i="3"/>
  <c r="D18591" i="3"/>
  <c r="C18591" i="3"/>
  <c r="B18591" i="3"/>
  <c r="D18590" i="3"/>
  <c r="C18590" i="3"/>
  <c r="B18590" i="3"/>
  <c r="D18589" i="3"/>
  <c r="C18589" i="3"/>
  <c r="B18589" i="3"/>
  <c r="D18588" i="3"/>
  <c r="C18588" i="3"/>
  <c r="B18588" i="3"/>
  <c r="D18587" i="3"/>
  <c r="C18587" i="3"/>
  <c r="B18587" i="3"/>
  <c r="D18586" i="3"/>
  <c r="C18586" i="3"/>
  <c r="B18586" i="3"/>
  <c r="D18585" i="3"/>
  <c r="C18585" i="3"/>
  <c r="B18585" i="3"/>
  <c r="D18584" i="3"/>
  <c r="C18584" i="3"/>
  <c r="B18584" i="3"/>
  <c r="D18583" i="3"/>
  <c r="C18583" i="3"/>
  <c r="B18583" i="3"/>
  <c r="D18582" i="3"/>
  <c r="C18582" i="3"/>
  <c r="B18582" i="3"/>
  <c r="D18581" i="3"/>
  <c r="C18581" i="3"/>
  <c r="B18581" i="3"/>
  <c r="D18580" i="3"/>
  <c r="C18580" i="3"/>
  <c r="B18580" i="3"/>
  <c r="D18579" i="3"/>
  <c r="C18579" i="3"/>
  <c r="B18579" i="3"/>
  <c r="D18578" i="3"/>
  <c r="C18578" i="3"/>
  <c r="B18578" i="3"/>
  <c r="D18577" i="3"/>
  <c r="C18577" i="3"/>
  <c r="B18577" i="3"/>
  <c r="D18576" i="3"/>
  <c r="C18576" i="3"/>
  <c r="B18576" i="3"/>
  <c r="D18575" i="3"/>
  <c r="C18575" i="3"/>
  <c r="B18575" i="3"/>
  <c r="D18574" i="3"/>
  <c r="C18574" i="3"/>
  <c r="B18574" i="3"/>
  <c r="D18573" i="3"/>
  <c r="C18573" i="3"/>
  <c r="B18573" i="3"/>
  <c r="D18572" i="3"/>
  <c r="C18572" i="3"/>
  <c r="B18572" i="3"/>
  <c r="D18571" i="3"/>
  <c r="C18571" i="3"/>
  <c r="B18571" i="3"/>
  <c r="D18570" i="3"/>
  <c r="C18570" i="3"/>
  <c r="B18570" i="3"/>
  <c r="D18569" i="3"/>
  <c r="C18569" i="3"/>
  <c r="B18569" i="3"/>
  <c r="D18568" i="3"/>
  <c r="C18568" i="3"/>
  <c r="B18568" i="3"/>
  <c r="D18567" i="3"/>
  <c r="C18567" i="3"/>
  <c r="B18567" i="3"/>
  <c r="D18566" i="3"/>
  <c r="C18566" i="3"/>
  <c r="B18566" i="3"/>
  <c r="D18565" i="3"/>
  <c r="C18565" i="3"/>
  <c r="B18565" i="3"/>
  <c r="D18564" i="3"/>
  <c r="C18564" i="3"/>
  <c r="B18564" i="3"/>
  <c r="D18563" i="3"/>
  <c r="C18563" i="3"/>
  <c r="B18563" i="3"/>
  <c r="D18562" i="3"/>
  <c r="C18562" i="3"/>
  <c r="B18562" i="3"/>
  <c r="D18561" i="3"/>
  <c r="C18561" i="3"/>
  <c r="B18561" i="3"/>
  <c r="D18560" i="3"/>
  <c r="C18560" i="3"/>
  <c r="B18560" i="3"/>
  <c r="D18559" i="3"/>
  <c r="C18559" i="3"/>
  <c r="B18559" i="3"/>
  <c r="D18558" i="3"/>
  <c r="C18558" i="3"/>
  <c r="B18558" i="3"/>
  <c r="D18557" i="3"/>
  <c r="C18557" i="3"/>
  <c r="B18557" i="3"/>
  <c r="D18556" i="3"/>
  <c r="C18556" i="3"/>
  <c r="B18556" i="3"/>
  <c r="D18555" i="3"/>
  <c r="C18555" i="3"/>
  <c r="B18555" i="3"/>
  <c r="D18554" i="3"/>
  <c r="C18554" i="3"/>
  <c r="B18554" i="3"/>
  <c r="D18553" i="3"/>
  <c r="C18553" i="3"/>
  <c r="B18553" i="3"/>
  <c r="D18552" i="3"/>
  <c r="C18552" i="3"/>
  <c r="B18552" i="3"/>
  <c r="D18551" i="3"/>
  <c r="C18551" i="3"/>
  <c r="B18551" i="3"/>
  <c r="D18550" i="3"/>
  <c r="C18550" i="3"/>
  <c r="B18550" i="3"/>
  <c r="D18549" i="3"/>
  <c r="C18549" i="3"/>
  <c r="B18549" i="3"/>
  <c r="D18548" i="3"/>
  <c r="C18548" i="3"/>
  <c r="B18548" i="3"/>
  <c r="D18547" i="3"/>
  <c r="C18547" i="3"/>
  <c r="B18547" i="3"/>
  <c r="D18546" i="3"/>
  <c r="C18546" i="3"/>
  <c r="B18546" i="3"/>
  <c r="D18545" i="3"/>
  <c r="C18545" i="3"/>
  <c r="B18545" i="3"/>
  <c r="D18544" i="3"/>
  <c r="C18544" i="3"/>
  <c r="B18544" i="3"/>
  <c r="D18543" i="3"/>
  <c r="C18543" i="3"/>
  <c r="B18543" i="3"/>
  <c r="D18542" i="3"/>
  <c r="C18542" i="3"/>
  <c r="B18542" i="3"/>
  <c r="D18541" i="3"/>
  <c r="C18541" i="3"/>
  <c r="B18541" i="3"/>
  <c r="D18540" i="3"/>
  <c r="C18540" i="3"/>
  <c r="B18540" i="3"/>
  <c r="D18539" i="3"/>
  <c r="C18539" i="3"/>
  <c r="B18539" i="3"/>
  <c r="D18538" i="3"/>
  <c r="C18538" i="3"/>
  <c r="B18538" i="3"/>
  <c r="D18537" i="3"/>
  <c r="C18537" i="3"/>
  <c r="B18537" i="3"/>
  <c r="D18536" i="3"/>
  <c r="C18536" i="3"/>
  <c r="B18536" i="3"/>
  <c r="D18535" i="3"/>
  <c r="C18535" i="3"/>
  <c r="B18535" i="3"/>
  <c r="D18534" i="3"/>
  <c r="C18534" i="3"/>
  <c r="B18534" i="3"/>
  <c r="D18533" i="3"/>
  <c r="C18533" i="3"/>
  <c r="B18533" i="3"/>
  <c r="D18532" i="3"/>
  <c r="C18532" i="3"/>
  <c r="B18532" i="3"/>
  <c r="D18531" i="3"/>
  <c r="C18531" i="3"/>
  <c r="B18531" i="3"/>
  <c r="D18530" i="3"/>
  <c r="C18530" i="3"/>
  <c r="B18530" i="3"/>
  <c r="D18529" i="3"/>
  <c r="C18529" i="3"/>
  <c r="B18529" i="3"/>
  <c r="D18528" i="3"/>
  <c r="C18528" i="3"/>
  <c r="B18528" i="3"/>
  <c r="D18527" i="3"/>
  <c r="C18527" i="3"/>
  <c r="B18527" i="3"/>
  <c r="D18526" i="3"/>
  <c r="C18526" i="3"/>
  <c r="B18526" i="3"/>
  <c r="D18525" i="3"/>
  <c r="C18525" i="3"/>
  <c r="B18525" i="3"/>
  <c r="D18524" i="3"/>
  <c r="C18524" i="3"/>
  <c r="B18524" i="3"/>
  <c r="D18523" i="3"/>
  <c r="C18523" i="3"/>
  <c r="B18523" i="3"/>
  <c r="D18522" i="3"/>
  <c r="C18522" i="3"/>
  <c r="B18522" i="3"/>
  <c r="D18521" i="3"/>
  <c r="C18521" i="3"/>
  <c r="B18521" i="3"/>
  <c r="D18520" i="3"/>
  <c r="C18520" i="3"/>
  <c r="B18520" i="3"/>
  <c r="D18519" i="3"/>
  <c r="C18519" i="3"/>
  <c r="B18519" i="3"/>
  <c r="D18518" i="3"/>
  <c r="C18518" i="3"/>
  <c r="B18518" i="3"/>
  <c r="D18517" i="3"/>
  <c r="C18517" i="3"/>
  <c r="B18517" i="3"/>
  <c r="D18516" i="3"/>
  <c r="C18516" i="3"/>
  <c r="B18516" i="3"/>
  <c r="D18515" i="3"/>
  <c r="C18515" i="3"/>
  <c r="B18515" i="3"/>
  <c r="D18514" i="3"/>
  <c r="C18514" i="3"/>
  <c r="B18514" i="3"/>
  <c r="D18513" i="3"/>
  <c r="C18513" i="3"/>
  <c r="B18513" i="3"/>
  <c r="D18512" i="3"/>
  <c r="C18512" i="3"/>
  <c r="B18512" i="3"/>
  <c r="D18511" i="3"/>
  <c r="C18511" i="3"/>
  <c r="B18511" i="3"/>
  <c r="D18510" i="3"/>
  <c r="C18510" i="3"/>
  <c r="B18510" i="3"/>
  <c r="D18509" i="3"/>
  <c r="C18509" i="3"/>
  <c r="B18509" i="3"/>
  <c r="D18508" i="3"/>
  <c r="C18508" i="3"/>
  <c r="B18508" i="3"/>
  <c r="D18507" i="3"/>
  <c r="C18507" i="3"/>
  <c r="B18507" i="3"/>
  <c r="D18506" i="3"/>
  <c r="C18506" i="3"/>
  <c r="B18506" i="3"/>
  <c r="D18505" i="3"/>
  <c r="C18505" i="3"/>
  <c r="B18505" i="3"/>
  <c r="D18504" i="3"/>
  <c r="C18504" i="3"/>
  <c r="B18504" i="3"/>
  <c r="D18503" i="3"/>
  <c r="C18503" i="3"/>
  <c r="B18503" i="3"/>
  <c r="D18502" i="3"/>
  <c r="C18502" i="3"/>
  <c r="B18502" i="3"/>
  <c r="D18501" i="3"/>
  <c r="C18501" i="3"/>
  <c r="B18501" i="3"/>
  <c r="D18500" i="3"/>
  <c r="C18500" i="3"/>
  <c r="B18500" i="3"/>
  <c r="D18499" i="3"/>
  <c r="C18499" i="3"/>
  <c r="B18499" i="3"/>
  <c r="D18498" i="3"/>
  <c r="C18498" i="3"/>
  <c r="B18498" i="3"/>
  <c r="D18497" i="3"/>
  <c r="C18497" i="3"/>
  <c r="B18497" i="3"/>
  <c r="D18496" i="3"/>
  <c r="C18496" i="3"/>
  <c r="B18496" i="3"/>
  <c r="D18495" i="3"/>
  <c r="C18495" i="3"/>
  <c r="B18495" i="3"/>
  <c r="D18494" i="3"/>
  <c r="C18494" i="3"/>
  <c r="B18494" i="3"/>
  <c r="D18493" i="3"/>
  <c r="C18493" i="3"/>
  <c r="B18493" i="3"/>
  <c r="D18492" i="3"/>
  <c r="C18492" i="3"/>
  <c r="B18492" i="3"/>
  <c r="D18491" i="3"/>
  <c r="C18491" i="3"/>
  <c r="B18491" i="3"/>
  <c r="D18490" i="3"/>
  <c r="C18490" i="3"/>
  <c r="B18490" i="3"/>
  <c r="D18489" i="3"/>
  <c r="C18489" i="3"/>
  <c r="B18489" i="3"/>
  <c r="D18488" i="3"/>
  <c r="C18488" i="3"/>
  <c r="B18488" i="3"/>
  <c r="D18487" i="3"/>
  <c r="C18487" i="3"/>
  <c r="B18487" i="3"/>
  <c r="D18486" i="3"/>
  <c r="C18486" i="3"/>
  <c r="B18486" i="3"/>
  <c r="D18485" i="3"/>
  <c r="C18485" i="3"/>
  <c r="B18485" i="3"/>
  <c r="D18484" i="3"/>
  <c r="C18484" i="3"/>
  <c r="B18484" i="3"/>
  <c r="D18483" i="3"/>
  <c r="C18483" i="3"/>
  <c r="B18483" i="3"/>
  <c r="D18482" i="3"/>
  <c r="C18482" i="3"/>
  <c r="B18482" i="3"/>
  <c r="D18481" i="3"/>
  <c r="C18481" i="3"/>
  <c r="B18481" i="3"/>
  <c r="D18480" i="3"/>
  <c r="C18480" i="3"/>
  <c r="B18480" i="3"/>
  <c r="D18479" i="3"/>
  <c r="C18479" i="3"/>
  <c r="B18479" i="3"/>
  <c r="D18478" i="3"/>
  <c r="C18478" i="3"/>
  <c r="B18478" i="3"/>
  <c r="D18477" i="3"/>
  <c r="C18477" i="3"/>
  <c r="B18477" i="3"/>
  <c r="D18476" i="3"/>
  <c r="C18476" i="3"/>
  <c r="B18476" i="3"/>
  <c r="D18475" i="3"/>
  <c r="C18475" i="3"/>
  <c r="B18475" i="3"/>
  <c r="D18474" i="3"/>
  <c r="C18474" i="3"/>
  <c r="B18474" i="3"/>
  <c r="D18473" i="3"/>
  <c r="C18473" i="3"/>
  <c r="B18473" i="3"/>
  <c r="D18472" i="3"/>
  <c r="C18472" i="3"/>
  <c r="B18472" i="3"/>
  <c r="D18471" i="3"/>
  <c r="C18471" i="3"/>
  <c r="B18471" i="3"/>
  <c r="D18470" i="3"/>
  <c r="C18470" i="3"/>
  <c r="B18470" i="3"/>
  <c r="D18469" i="3"/>
  <c r="C18469" i="3"/>
  <c r="B18469" i="3"/>
  <c r="D18468" i="3"/>
  <c r="C18468" i="3"/>
  <c r="B18468" i="3"/>
  <c r="D18467" i="3"/>
  <c r="C18467" i="3"/>
  <c r="B18467" i="3"/>
  <c r="D18466" i="3"/>
  <c r="C18466" i="3"/>
  <c r="B18466" i="3"/>
  <c r="D18465" i="3"/>
  <c r="C18465" i="3"/>
  <c r="B18465" i="3"/>
  <c r="D18464" i="3"/>
  <c r="C18464" i="3"/>
  <c r="B18464" i="3"/>
  <c r="D18463" i="3"/>
  <c r="C18463" i="3"/>
  <c r="B18463" i="3"/>
  <c r="D18462" i="3"/>
  <c r="C18462" i="3"/>
  <c r="B18462" i="3"/>
  <c r="D18461" i="3"/>
  <c r="C18461" i="3"/>
  <c r="B18461" i="3"/>
  <c r="D18460" i="3"/>
  <c r="C18460" i="3"/>
  <c r="B18460" i="3"/>
  <c r="D18459" i="3"/>
  <c r="C18459" i="3"/>
  <c r="B18459" i="3"/>
  <c r="D18458" i="3"/>
  <c r="C18458" i="3"/>
  <c r="B18458" i="3"/>
  <c r="D18457" i="3"/>
  <c r="C18457" i="3"/>
  <c r="B18457" i="3"/>
  <c r="D18456" i="3"/>
  <c r="C18456" i="3"/>
  <c r="B18456" i="3"/>
  <c r="D18455" i="3"/>
  <c r="C18455" i="3"/>
  <c r="B18455" i="3"/>
  <c r="D18454" i="3"/>
  <c r="C18454" i="3"/>
  <c r="B18454" i="3"/>
  <c r="D18453" i="3"/>
  <c r="C18453" i="3"/>
  <c r="B18453" i="3"/>
  <c r="D18452" i="3"/>
  <c r="C18452" i="3"/>
  <c r="B18452" i="3"/>
  <c r="D18451" i="3"/>
  <c r="C18451" i="3"/>
  <c r="B18451" i="3"/>
  <c r="D18450" i="3"/>
  <c r="C18450" i="3"/>
  <c r="B18450" i="3"/>
  <c r="D18449" i="3"/>
  <c r="C18449" i="3"/>
  <c r="B18449" i="3"/>
  <c r="D18448" i="3"/>
  <c r="C18448" i="3"/>
  <c r="B18448" i="3"/>
  <c r="D18447" i="3"/>
  <c r="C18447" i="3"/>
  <c r="B18447" i="3"/>
  <c r="D18446" i="3"/>
  <c r="C18446" i="3"/>
  <c r="B18446" i="3"/>
  <c r="D18445" i="3"/>
  <c r="C18445" i="3"/>
  <c r="B18445" i="3"/>
  <c r="D18444" i="3"/>
  <c r="C18444" i="3"/>
  <c r="B18444" i="3"/>
  <c r="D18443" i="3"/>
  <c r="C18443" i="3"/>
  <c r="B18443" i="3"/>
  <c r="D18442" i="3"/>
  <c r="C18442" i="3"/>
  <c r="B18442" i="3"/>
  <c r="D18441" i="3"/>
  <c r="C18441" i="3"/>
  <c r="B18441" i="3"/>
  <c r="D18440" i="3"/>
  <c r="C18440" i="3"/>
  <c r="B18440" i="3"/>
  <c r="D18439" i="3"/>
  <c r="C18439" i="3"/>
  <c r="B18439" i="3"/>
  <c r="D18438" i="3"/>
  <c r="C18438" i="3"/>
  <c r="B18438" i="3"/>
  <c r="D18437" i="3"/>
  <c r="C18437" i="3"/>
  <c r="B18437" i="3"/>
  <c r="D18436" i="3"/>
  <c r="C18436" i="3"/>
  <c r="B18436" i="3"/>
  <c r="D18435" i="3"/>
  <c r="C18435" i="3"/>
  <c r="B18435" i="3"/>
  <c r="D18434" i="3"/>
  <c r="C18434" i="3"/>
  <c r="B18434" i="3"/>
  <c r="D18433" i="3"/>
  <c r="C18433" i="3"/>
  <c r="B18433" i="3"/>
  <c r="D18432" i="3"/>
  <c r="C18432" i="3"/>
  <c r="B18432" i="3"/>
  <c r="D18431" i="3"/>
  <c r="C18431" i="3"/>
  <c r="B18431" i="3"/>
  <c r="D18430" i="3"/>
  <c r="C18430" i="3"/>
  <c r="B18430" i="3"/>
  <c r="D18429" i="3"/>
  <c r="C18429" i="3"/>
  <c r="B18429" i="3"/>
  <c r="D18428" i="3"/>
  <c r="C18428" i="3"/>
  <c r="B18428" i="3"/>
  <c r="D18427" i="3"/>
  <c r="C18427" i="3"/>
  <c r="B18427" i="3"/>
  <c r="D18426" i="3"/>
  <c r="C18426" i="3"/>
  <c r="B18426" i="3"/>
  <c r="D18425" i="3"/>
  <c r="C18425" i="3"/>
  <c r="B18425" i="3"/>
  <c r="D18424" i="3"/>
  <c r="C18424" i="3"/>
  <c r="B18424" i="3"/>
  <c r="D18423" i="3"/>
  <c r="C18423" i="3"/>
  <c r="B18423" i="3"/>
  <c r="D18422" i="3"/>
  <c r="C18422" i="3"/>
  <c r="B18422" i="3"/>
  <c r="D18421" i="3"/>
  <c r="C18421" i="3"/>
  <c r="B18421" i="3"/>
  <c r="D18420" i="3"/>
  <c r="C18420" i="3"/>
  <c r="B18420" i="3"/>
  <c r="D18419" i="3"/>
  <c r="C18419" i="3"/>
  <c r="B18419" i="3"/>
  <c r="D18418" i="3"/>
  <c r="C18418" i="3"/>
  <c r="B18418" i="3"/>
  <c r="D18417" i="3"/>
  <c r="C18417" i="3"/>
  <c r="B18417" i="3"/>
  <c r="D18416" i="3"/>
  <c r="C18416" i="3"/>
  <c r="B18416" i="3"/>
  <c r="D18415" i="3"/>
  <c r="C18415" i="3"/>
  <c r="B18415" i="3"/>
  <c r="D18414" i="3"/>
  <c r="C18414" i="3"/>
  <c r="B18414" i="3"/>
  <c r="D18413" i="3"/>
  <c r="C18413" i="3"/>
  <c r="B18413" i="3"/>
  <c r="D18412" i="3"/>
  <c r="C18412" i="3"/>
  <c r="B18412" i="3"/>
  <c r="D18411" i="3"/>
  <c r="C18411" i="3"/>
  <c r="B18411" i="3"/>
  <c r="D18410" i="3"/>
  <c r="C18410" i="3"/>
  <c r="B18410" i="3"/>
  <c r="D18409" i="3"/>
  <c r="C18409" i="3"/>
  <c r="B18409" i="3"/>
  <c r="D18408" i="3"/>
  <c r="C18408" i="3"/>
  <c r="B18408" i="3"/>
  <c r="D18407" i="3"/>
  <c r="C18407" i="3"/>
  <c r="B18407" i="3"/>
  <c r="D18406" i="3"/>
  <c r="C18406" i="3"/>
  <c r="B18406" i="3"/>
  <c r="D18405" i="3"/>
  <c r="C18405" i="3"/>
  <c r="B18405" i="3"/>
  <c r="D18404" i="3"/>
  <c r="C18404" i="3"/>
  <c r="B18404" i="3"/>
  <c r="D18403" i="3"/>
  <c r="C18403" i="3"/>
  <c r="B18403" i="3"/>
  <c r="D18402" i="3"/>
  <c r="C18402" i="3"/>
  <c r="B18402" i="3"/>
  <c r="D18401" i="3"/>
  <c r="C18401" i="3"/>
  <c r="B18401" i="3"/>
  <c r="D18400" i="3"/>
  <c r="C18400" i="3"/>
  <c r="B18400" i="3"/>
  <c r="D18399" i="3"/>
  <c r="C18399" i="3"/>
  <c r="B18399" i="3"/>
  <c r="D18398" i="3"/>
  <c r="C18398" i="3"/>
  <c r="B18398" i="3"/>
  <c r="D18397" i="3"/>
  <c r="C18397" i="3"/>
  <c r="B18397" i="3"/>
  <c r="D18396" i="3"/>
  <c r="C18396" i="3"/>
  <c r="B18396" i="3"/>
  <c r="D18395" i="3"/>
  <c r="C18395" i="3"/>
  <c r="B18395" i="3"/>
  <c r="D18394" i="3"/>
  <c r="C18394" i="3"/>
  <c r="B18394" i="3"/>
  <c r="D18393" i="3"/>
  <c r="C18393" i="3"/>
  <c r="B18393" i="3"/>
  <c r="D18392" i="3"/>
  <c r="C18392" i="3"/>
  <c r="B18392" i="3"/>
  <c r="D18391" i="3"/>
  <c r="C18391" i="3"/>
  <c r="B18391" i="3"/>
  <c r="D18390" i="3"/>
  <c r="C18390" i="3"/>
  <c r="B18390" i="3"/>
  <c r="D18389" i="3"/>
  <c r="C18389" i="3"/>
  <c r="B18389" i="3"/>
  <c r="D18388" i="3"/>
  <c r="C18388" i="3"/>
  <c r="B18388" i="3"/>
  <c r="D18387" i="3"/>
  <c r="C18387" i="3"/>
  <c r="B18387" i="3"/>
  <c r="D18386" i="3"/>
  <c r="C18386" i="3"/>
  <c r="B18386" i="3"/>
  <c r="D18385" i="3"/>
  <c r="C18385" i="3"/>
  <c r="B18385" i="3"/>
  <c r="D18384" i="3"/>
  <c r="C18384" i="3"/>
  <c r="B18384" i="3"/>
  <c r="D18383" i="3"/>
  <c r="C18383" i="3"/>
  <c r="B18383" i="3"/>
  <c r="D18382" i="3"/>
  <c r="C18382" i="3"/>
  <c r="B18382" i="3"/>
  <c r="D18381" i="3"/>
  <c r="C18381" i="3"/>
  <c r="B18381" i="3"/>
  <c r="D18380" i="3"/>
  <c r="C18380" i="3"/>
  <c r="B18380" i="3"/>
  <c r="D18379" i="3"/>
  <c r="C18379" i="3"/>
  <c r="B18379" i="3"/>
  <c r="D18378" i="3"/>
  <c r="C18378" i="3"/>
  <c r="B18378" i="3"/>
  <c r="D18377" i="3"/>
  <c r="C18377" i="3"/>
  <c r="B18377" i="3"/>
  <c r="D18376" i="3"/>
  <c r="C18376" i="3"/>
  <c r="B18376" i="3"/>
  <c r="D18375" i="3"/>
  <c r="C18375" i="3"/>
  <c r="B18375" i="3"/>
  <c r="D18374" i="3"/>
  <c r="C18374" i="3"/>
  <c r="B18374" i="3"/>
  <c r="D18373" i="3"/>
  <c r="C18373" i="3"/>
  <c r="B18373" i="3"/>
  <c r="D18372" i="3"/>
  <c r="C18372" i="3"/>
  <c r="B18372" i="3"/>
  <c r="D18371" i="3"/>
  <c r="C18371" i="3"/>
  <c r="B18371" i="3"/>
  <c r="D18370" i="3"/>
  <c r="C18370" i="3"/>
  <c r="B18370" i="3"/>
  <c r="D18369" i="3"/>
  <c r="C18369" i="3"/>
  <c r="B18369" i="3"/>
  <c r="D18368" i="3"/>
  <c r="C18368" i="3"/>
  <c r="B18368" i="3"/>
  <c r="D18367" i="3"/>
  <c r="C18367" i="3"/>
  <c r="B18367" i="3"/>
  <c r="D18366" i="3"/>
  <c r="C18366" i="3"/>
  <c r="B18366" i="3"/>
  <c r="D18365" i="3"/>
  <c r="C18365" i="3"/>
  <c r="B18365" i="3"/>
  <c r="D18364" i="3"/>
  <c r="C18364" i="3"/>
  <c r="B18364" i="3"/>
  <c r="D18363" i="3"/>
  <c r="C18363" i="3"/>
  <c r="B18363" i="3"/>
  <c r="D18362" i="3"/>
  <c r="C18362" i="3"/>
  <c r="B18362" i="3"/>
  <c r="D18361" i="3"/>
  <c r="C18361" i="3"/>
  <c r="B18361" i="3"/>
  <c r="D18360" i="3"/>
  <c r="C18360" i="3"/>
  <c r="B18360" i="3"/>
  <c r="D18359" i="3"/>
  <c r="C18359" i="3"/>
  <c r="B18359" i="3"/>
  <c r="D18358" i="3"/>
  <c r="C18358" i="3"/>
  <c r="B18358" i="3"/>
  <c r="D18357" i="3"/>
  <c r="C18357" i="3"/>
  <c r="B18357" i="3"/>
  <c r="D18356" i="3"/>
  <c r="C18356" i="3"/>
  <c r="B18356" i="3"/>
  <c r="D18355" i="3"/>
  <c r="C18355" i="3"/>
  <c r="B18355" i="3"/>
  <c r="D18354" i="3"/>
  <c r="C18354" i="3"/>
  <c r="B18354" i="3"/>
  <c r="D18353" i="3"/>
  <c r="C18353" i="3"/>
  <c r="B18353" i="3"/>
  <c r="D18352" i="3"/>
  <c r="C18352" i="3"/>
  <c r="B18352" i="3"/>
  <c r="D18351" i="3"/>
  <c r="C18351" i="3"/>
  <c r="B18351" i="3"/>
  <c r="D18350" i="3"/>
  <c r="C18350" i="3"/>
  <c r="B18350" i="3"/>
  <c r="D18349" i="3"/>
  <c r="C18349" i="3"/>
  <c r="B18349" i="3"/>
  <c r="D18348" i="3"/>
  <c r="C18348" i="3"/>
  <c r="B18348" i="3"/>
  <c r="D18347" i="3"/>
  <c r="C18347" i="3"/>
  <c r="B18347" i="3"/>
  <c r="D18346" i="3"/>
  <c r="C18346" i="3"/>
  <c r="B18346" i="3"/>
  <c r="D18345" i="3"/>
  <c r="C18345" i="3"/>
  <c r="B18345" i="3"/>
  <c r="D18344" i="3"/>
  <c r="C18344" i="3"/>
  <c r="B18344" i="3"/>
  <c r="D18343" i="3"/>
  <c r="C18343" i="3"/>
  <c r="B18343" i="3"/>
  <c r="D18342" i="3"/>
  <c r="C18342" i="3"/>
  <c r="B18342" i="3"/>
  <c r="D18341" i="3"/>
  <c r="C18341" i="3"/>
  <c r="B18341" i="3"/>
  <c r="D18340" i="3"/>
  <c r="C18340" i="3"/>
  <c r="B18340" i="3"/>
  <c r="D18339" i="3"/>
  <c r="C18339" i="3"/>
  <c r="B18339" i="3"/>
  <c r="D18338" i="3"/>
  <c r="C18338" i="3"/>
  <c r="B18338" i="3"/>
  <c r="D18337" i="3"/>
  <c r="C18337" i="3"/>
  <c r="B18337" i="3"/>
  <c r="D18336" i="3"/>
  <c r="C18336" i="3"/>
  <c r="B18336" i="3"/>
  <c r="D18335" i="3"/>
  <c r="C18335" i="3"/>
  <c r="B18335" i="3"/>
  <c r="D18334" i="3"/>
  <c r="C18334" i="3"/>
  <c r="B18334" i="3"/>
  <c r="D18333" i="3"/>
  <c r="C18333" i="3"/>
  <c r="B18333" i="3"/>
  <c r="D18332" i="3"/>
  <c r="C18332" i="3"/>
  <c r="B18332" i="3"/>
  <c r="D18331" i="3"/>
  <c r="C18331" i="3"/>
  <c r="B18331" i="3"/>
  <c r="D18330" i="3"/>
  <c r="C18330" i="3"/>
  <c r="B18330" i="3"/>
  <c r="D18329" i="3"/>
  <c r="C18329" i="3"/>
  <c r="B18329" i="3"/>
  <c r="D18328" i="3"/>
  <c r="C18328" i="3"/>
  <c r="B18328" i="3"/>
  <c r="D18327" i="3"/>
  <c r="C18327" i="3"/>
  <c r="B18327" i="3"/>
  <c r="D18326" i="3"/>
  <c r="C18326" i="3"/>
  <c r="B18326" i="3"/>
  <c r="D18325" i="3"/>
  <c r="C18325" i="3"/>
  <c r="B18325" i="3"/>
  <c r="D18324" i="3"/>
  <c r="C18324" i="3"/>
  <c r="B18324" i="3"/>
  <c r="D18323" i="3"/>
  <c r="C18323" i="3"/>
  <c r="B18323" i="3"/>
  <c r="D18322" i="3"/>
  <c r="C18322" i="3"/>
  <c r="B18322" i="3"/>
  <c r="D18321" i="3"/>
  <c r="C18321" i="3"/>
  <c r="B18321" i="3"/>
  <c r="D18320" i="3"/>
  <c r="C18320" i="3"/>
  <c r="B18320" i="3"/>
  <c r="D18319" i="3"/>
  <c r="C18319" i="3"/>
  <c r="B18319" i="3"/>
  <c r="D18318" i="3"/>
  <c r="C18318" i="3"/>
  <c r="B18318" i="3"/>
  <c r="D18317" i="3"/>
  <c r="C18317" i="3"/>
  <c r="B18317" i="3"/>
  <c r="D18316" i="3"/>
  <c r="C18316" i="3"/>
  <c r="B18316" i="3"/>
  <c r="D18315" i="3"/>
  <c r="C18315" i="3"/>
  <c r="B18315" i="3"/>
  <c r="D18314" i="3"/>
  <c r="C18314" i="3"/>
  <c r="B18314" i="3"/>
  <c r="D18313" i="3"/>
  <c r="C18313" i="3"/>
  <c r="B18313" i="3"/>
  <c r="D18312" i="3"/>
  <c r="C18312" i="3"/>
  <c r="B18312" i="3"/>
  <c r="D18311" i="3"/>
  <c r="C18311" i="3"/>
  <c r="B18311" i="3"/>
  <c r="D18310" i="3"/>
  <c r="C18310" i="3"/>
  <c r="B18310" i="3"/>
  <c r="D18309" i="3"/>
  <c r="C18309" i="3"/>
  <c r="B18309" i="3"/>
  <c r="D18308" i="3"/>
  <c r="C18308" i="3"/>
  <c r="B18308" i="3"/>
  <c r="D18307" i="3"/>
  <c r="C18307" i="3"/>
  <c r="B18307" i="3"/>
  <c r="D18306" i="3"/>
  <c r="C18306" i="3"/>
  <c r="B18306" i="3"/>
  <c r="D18305" i="3"/>
  <c r="C18305" i="3"/>
  <c r="B18305" i="3"/>
  <c r="D18304" i="3"/>
  <c r="C18304" i="3"/>
  <c r="B18304" i="3"/>
  <c r="D18303" i="3"/>
  <c r="C18303" i="3"/>
  <c r="B18303" i="3"/>
  <c r="D18302" i="3"/>
  <c r="C18302" i="3"/>
  <c r="B18302" i="3"/>
  <c r="D18301" i="3"/>
  <c r="C18301" i="3"/>
  <c r="B18301" i="3"/>
  <c r="D18300" i="3"/>
  <c r="C18300" i="3"/>
  <c r="B18300" i="3"/>
  <c r="D18299" i="3"/>
  <c r="C18299" i="3"/>
  <c r="B18299" i="3"/>
  <c r="D18298" i="3"/>
  <c r="C18298" i="3"/>
  <c r="B18298" i="3"/>
  <c r="D18297" i="3"/>
  <c r="C18297" i="3"/>
  <c r="B18297" i="3"/>
  <c r="D18296" i="3"/>
  <c r="C18296" i="3"/>
  <c r="B18296" i="3"/>
  <c r="D18295" i="3"/>
  <c r="C18295" i="3"/>
  <c r="B18295" i="3"/>
  <c r="D18294" i="3"/>
  <c r="C18294" i="3"/>
  <c r="B18294" i="3"/>
  <c r="D18293" i="3"/>
  <c r="C18293" i="3"/>
  <c r="B18293" i="3"/>
  <c r="D18292" i="3"/>
  <c r="C18292" i="3"/>
  <c r="B18292" i="3"/>
  <c r="D18291" i="3"/>
  <c r="C18291" i="3"/>
  <c r="B18291" i="3"/>
  <c r="D18290" i="3"/>
  <c r="C18290" i="3"/>
  <c r="B18290" i="3"/>
  <c r="D18289" i="3"/>
  <c r="C18289" i="3"/>
  <c r="B18289" i="3"/>
  <c r="D18288" i="3"/>
  <c r="C18288" i="3"/>
  <c r="B18288" i="3"/>
  <c r="D18287" i="3"/>
  <c r="C18287" i="3"/>
  <c r="B18287" i="3"/>
  <c r="D18286" i="3"/>
  <c r="C18286" i="3"/>
  <c r="B18286" i="3"/>
  <c r="D18285" i="3"/>
  <c r="C18285" i="3"/>
  <c r="B18285" i="3"/>
  <c r="D18284" i="3"/>
  <c r="C18284" i="3"/>
  <c r="B18284" i="3"/>
  <c r="D18283" i="3"/>
  <c r="C18283" i="3"/>
  <c r="B18283" i="3"/>
  <c r="D18282" i="3"/>
  <c r="C18282" i="3"/>
  <c r="B18282" i="3"/>
  <c r="D18281" i="3"/>
  <c r="C18281" i="3"/>
  <c r="B18281" i="3"/>
  <c r="D18280" i="3"/>
  <c r="C18280" i="3"/>
  <c r="B18280" i="3"/>
  <c r="D18279" i="3"/>
  <c r="C18279" i="3"/>
  <c r="B18279" i="3"/>
  <c r="D18278" i="3"/>
  <c r="C18278" i="3"/>
  <c r="B18278" i="3"/>
  <c r="D18277" i="3"/>
  <c r="C18277" i="3"/>
  <c r="B18277" i="3"/>
  <c r="D18276" i="3"/>
  <c r="C18276" i="3"/>
  <c r="B18276" i="3"/>
  <c r="D18275" i="3"/>
  <c r="C18275" i="3"/>
  <c r="B18275" i="3"/>
  <c r="D18274" i="3"/>
  <c r="C18274" i="3"/>
  <c r="B18274" i="3"/>
  <c r="D18273" i="3"/>
  <c r="C18273" i="3"/>
  <c r="B18273" i="3"/>
  <c r="D18272" i="3"/>
  <c r="C18272" i="3"/>
  <c r="B18272" i="3"/>
  <c r="D18271" i="3"/>
  <c r="C18271" i="3"/>
  <c r="B18271" i="3"/>
  <c r="D18270" i="3"/>
  <c r="C18270" i="3"/>
  <c r="B18270" i="3"/>
  <c r="D18269" i="3"/>
  <c r="C18269" i="3"/>
  <c r="B18269" i="3"/>
  <c r="D18268" i="3"/>
  <c r="C18268" i="3"/>
  <c r="B18268" i="3"/>
  <c r="D18267" i="3"/>
  <c r="C18267" i="3"/>
  <c r="B18267" i="3"/>
  <c r="D18266" i="3"/>
  <c r="C18266" i="3"/>
  <c r="B18266" i="3"/>
  <c r="D18265" i="3"/>
  <c r="C18265" i="3"/>
  <c r="B18265" i="3"/>
  <c r="D18264" i="3"/>
  <c r="C18264" i="3"/>
  <c r="B18264" i="3"/>
  <c r="D18263" i="3"/>
  <c r="C18263" i="3"/>
  <c r="B18263" i="3"/>
  <c r="D18262" i="3"/>
  <c r="C18262" i="3"/>
  <c r="B18262" i="3"/>
  <c r="D18261" i="3"/>
  <c r="C18261" i="3"/>
  <c r="B18261" i="3"/>
  <c r="D18260" i="3"/>
  <c r="C18260" i="3"/>
  <c r="B18260" i="3"/>
  <c r="D18259" i="3"/>
  <c r="C18259" i="3"/>
  <c r="B18259" i="3"/>
  <c r="D18258" i="3"/>
  <c r="C18258" i="3"/>
  <c r="B18258" i="3"/>
  <c r="D18257" i="3"/>
  <c r="C18257" i="3"/>
  <c r="B18257" i="3"/>
  <c r="D18256" i="3"/>
  <c r="C18256" i="3"/>
  <c r="B18256" i="3"/>
  <c r="D18255" i="3"/>
  <c r="C18255" i="3"/>
  <c r="B18255" i="3"/>
  <c r="D18254" i="3"/>
  <c r="C18254" i="3"/>
  <c r="B18254" i="3"/>
  <c r="D18253" i="3"/>
  <c r="C18253" i="3"/>
  <c r="B18253" i="3"/>
  <c r="D18252" i="3"/>
  <c r="C18252" i="3"/>
  <c r="B18252" i="3"/>
  <c r="D18251" i="3"/>
  <c r="C18251" i="3"/>
  <c r="B18251" i="3"/>
  <c r="D18250" i="3"/>
  <c r="C18250" i="3"/>
  <c r="B18250" i="3"/>
  <c r="D18249" i="3"/>
  <c r="C18249" i="3"/>
  <c r="B18249" i="3"/>
  <c r="D18248" i="3"/>
  <c r="C18248" i="3"/>
  <c r="B18248" i="3"/>
  <c r="D18247" i="3"/>
  <c r="C18247" i="3"/>
  <c r="B18247" i="3"/>
  <c r="D18246" i="3"/>
  <c r="C18246" i="3"/>
  <c r="B18246" i="3"/>
  <c r="D18245" i="3"/>
  <c r="C18245" i="3"/>
  <c r="B18245" i="3"/>
  <c r="D18244" i="3"/>
  <c r="C18244" i="3"/>
  <c r="B18244" i="3"/>
  <c r="D18243" i="3"/>
  <c r="C18243" i="3"/>
  <c r="B18243" i="3"/>
  <c r="D18242" i="3"/>
  <c r="C18242" i="3"/>
  <c r="B18242" i="3"/>
  <c r="D18241" i="3"/>
  <c r="C18241" i="3"/>
  <c r="B18241" i="3"/>
  <c r="D18240" i="3"/>
  <c r="C18240" i="3"/>
  <c r="B18240" i="3"/>
  <c r="D18239" i="3"/>
  <c r="C18239" i="3"/>
  <c r="B18239" i="3"/>
  <c r="D18238" i="3"/>
  <c r="C18238" i="3"/>
  <c r="B18238" i="3"/>
  <c r="D18237" i="3"/>
  <c r="C18237" i="3"/>
  <c r="B18237" i="3"/>
  <c r="D18236" i="3"/>
  <c r="C18236" i="3"/>
  <c r="B18236" i="3"/>
  <c r="D18235" i="3"/>
  <c r="C18235" i="3"/>
  <c r="B18235" i="3"/>
  <c r="D18234" i="3"/>
  <c r="C18234" i="3"/>
  <c r="B18234" i="3"/>
  <c r="D18233" i="3"/>
  <c r="C18233" i="3"/>
  <c r="B18233" i="3"/>
  <c r="D18232" i="3"/>
  <c r="C18232" i="3"/>
  <c r="B18232" i="3"/>
  <c r="D18231" i="3"/>
  <c r="C18231" i="3"/>
  <c r="B18231" i="3"/>
  <c r="D18230" i="3"/>
  <c r="C18230" i="3"/>
  <c r="B18230" i="3"/>
  <c r="D18229" i="3"/>
  <c r="C18229" i="3"/>
  <c r="B18229" i="3"/>
  <c r="D18228" i="3"/>
  <c r="C18228" i="3"/>
  <c r="B18228" i="3"/>
  <c r="D18227" i="3"/>
  <c r="C18227" i="3"/>
  <c r="B18227" i="3"/>
  <c r="D18226" i="3"/>
  <c r="C18226" i="3"/>
  <c r="B18226" i="3"/>
  <c r="D18225" i="3"/>
  <c r="C18225" i="3"/>
  <c r="B18225" i="3"/>
  <c r="D18224" i="3"/>
  <c r="C18224" i="3"/>
  <c r="B18224" i="3"/>
  <c r="D18223" i="3"/>
  <c r="C18223" i="3"/>
  <c r="B18223" i="3"/>
  <c r="D18222" i="3"/>
  <c r="C18222" i="3"/>
  <c r="B18222" i="3"/>
  <c r="D18221" i="3"/>
  <c r="C18221" i="3"/>
  <c r="B18221" i="3"/>
  <c r="D18220" i="3"/>
  <c r="C18220" i="3"/>
  <c r="B18220" i="3"/>
  <c r="D18219" i="3"/>
  <c r="C18219" i="3"/>
  <c r="B18219" i="3"/>
  <c r="D18218" i="3"/>
  <c r="C18218" i="3"/>
  <c r="B18218" i="3"/>
  <c r="D18217" i="3"/>
  <c r="C18217" i="3"/>
  <c r="B18217" i="3"/>
  <c r="D18216" i="3"/>
  <c r="C18216" i="3"/>
  <c r="B18216" i="3"/>
  <c r="D18215" i="3"/>
  <c r="C18215" i="3"/>
  <c r="B18215" i="3"/>
  <c r="D18214" i="3"/>
  <c r="C18214" i="3"/>
  <c r="B18214" i="3"/>
  <c r="D18213" i="3"/>
  <c r="C18213" i="3"/>
  <c r="B18213" i="3"/>
  <c r="D18212" i="3"/>
  <c r="C18212" i="3"/>
  <c r="B18212" i="3"/>
  <c r="D18211" i="3"/>
  <c r="C18211" i="3"/>
  <c r="B18211" i="3"/>
  <c r="D18210" i="3"/>
  <c r="C18210" i="3"/>
  <c r="B18210" i="3"/>
  <c r="D18209" i="3"/>
  <c r="C18209" i="3"/>
  <c r="B18209" i="3"/>
  <c r="D18208" i="3"/>
  <c r="C18208" i="3"/>
  <c r="B18208" i="3"/>
  <c r="D18207" i="3"/>
  <c r="C18207" i="3"/>
  <c r="B18207" i="3"/>
  <c r="D18206" i="3"/>
  <c r="C18206" i="3"/>
  <c r="B18206" i="3"/>
  <c r="D18205" i="3"/>
  <c r="C18205" i="3"/>
  <c r="B18205" i="3"/>
  <c r="D18204" i="3"/>
  <c r="C18204" i="3"/>
  <c r="B18204" i="3"/>
  <c r="D18203" i="3"/>
  <c r="C18203" i="3"/>
  <c r="B18203" i="3"/>
  <c r="D18202" i="3"/>
  <c r="C18202" i="3"/>
  <c r="B18202" i="3"/>
  <c r="D18201" i="3"/>
  <c r="C18201" i="3"/>
  <c r="B18201" i="3"/>
  <c r="D18200" i="3"/>
  <c r="C18200" i="3"/>
  <c r="B18200" i="3"/>
  <c r="D18199" i="3"/>
  <c r="C18199" i="3"/>
  <c r="B18199" i="3"/>
  <c r="D18198" i="3"/>
  <c r="C18198" i="3"/>
  <c r="B18198" i="3"/>
  <c r="D18197" i="3"/>
  <c r="C18197" i="3"/>
  <c r="B18197" i="3"/>
  <c r="D18196" i="3"/>
  <c r="C18196" i="3"/>
  <c r="B18196" i="3"/>
  <c r="D18195" i="3"/>
  <c r="C18195" i="3"/>
  <c r="B18195" i="3"/>
  <c r="D18194" i="3"/>
  <c r="C18194" i="3"/>
  <c r="B18194" i="3"/>
  <c r="D18193" i="3"/>
  <c r="C18193" i="3"/>
  <c r="B18193" i="3"/>
  <c r="D18192" i="3"/>
  <c r="C18192" i="3"/>
  <c r="B18192" i="3"/>
  <c r="D18191" i="3"/>
  <c r="C18191" i="3"/>
  <c r="B18191" i="3"/>
  <c r="D18190" i="3"/>
  <c r="C18190" i="3"/>
  <c r="B18190" i="3"/>
  <c r="D18189" i="3"/>
  <c r="C18189" i="3"/>
  <c r="B18189" i="3"/>
  <c r="D18188" i="3"/>
  <c r="C18188" i="3"/>
  <c r="B18188" i="3"/>
  <c r="D18187" i="3"/>
  <c r="C18187" i="3"/>
  <c r="B18187" i="3"/>
  <c r="D18186" i="3"/>
  <c r="C18186" i="3"/>
  <c r="B18186" i="3"/>
  <c r="D18185" i="3"/>
  <c r="C18185" i="3"/>
  <c r="B18185" i="3"/>
  <c r="D18184" i="3"/>
  <c r="C18184" i="3"/>
  <c r="B18184" i="3"/>
  <c r="D18183" i="3"/>
  <c r="C18183" i="3"/>
  <c r="B18183" i="3"/>
  <c r="D18182" i="3"/>
  <c r="C18182" i="3"/>
  <c r="B18182" i="3"/>
  <c r="D18181" i="3"/>
  <c r="C18181" i="3"/>
  <c r="B18181" i="3"/>
  <c r="D18180" i="3"/>
  <c r="C18180" i="3"/>
  <c r="B18180" i="3"/>
  <c r="D18179" i="3"/>
  <c r="C18179" i="3"/>
  <c r="B18179" i="3"/>
  <c r="D18178" i="3"/>
  <c r="C18178" i="3"/>
  <c r="B18178" i="3"/>
  <c r="D18177" i="3"/>
  <c r="C18177" i="3"/>
  <c r="B18177" i="3"/>
  <c r="D18176" i="3"/>
  <c r="C18176" i="3"/>
  <c r="B18176" i="3"/>
  <c r="D18175" i="3"/>
  <c r="C18175" i="3"/>
  <c r="B18175" i="3"/>
  <c r="D18174" i="3"/>
  <c r="C18174" i="3"/>
  <c r="B18174" i="3"/>
  <c r="D18173" i="3"/>
  <c r="C18173" i="3"/>
  <c r="B18173" i="3"/>
  <c r="D18172" i="3"/>
  <c r="C18172" i="3"/>
  <c r="B18172" i="3"/>
  <c r="D18171" i="3"/>
  <c r="C18171" i="3"/>
  <c r="B18171" i="3"/>
  <c r="D18170" i="3"/>
  <c r="C18170" i="3"/>
  <c r="B18170" i="3"/>
  <c r="D18169" i="3"/>
  <c r="C18169" i="3"/>
  <c r="B18169" i="3"/>
  <c r="D18168" i="3"/>
  <c r="C18168" i="3"/>
  <c r="B18168" i="3"/>
  <c r="D18167" i="3"/>
  <c r="C18167" i="3"/>
  <c r="B18167" i="3"/>
  <c r="D18166" i="3"/>
  <c r="C18166" i="3"/>
  <c r="B18166" i="3"/>
  <c r="D18165" i="3"/>
  <c r="C18165" i="3"/>
  <c r="B18165" i="3"/>
  <c r="D18164" i="3"/>
  <c r="C18164" i="3"/>
  <c r="B18164" i="3"/>
  <c r="D18163" i="3"/>
  <c r="C18163" i="3"/>
  <c r="B18163" i="3"/>
  <c r="D18162" i="3"/>
  <c r="C18162" i="3"/>
  <c r="B18162" i="3"/>
  <c r="D18161" i="3"/>
  <c r="C18161" i="3"/>
  <c r="B18161" i="3"/>
  <c r="D18160" i="3"/>
  <c r="C18160" i="3"/>
  <c r="B18160" i="3"/>
  <c r="D18159" i="3"/>
  <c r="C18159" i="3"/>
  <c r="B18159" i="3"/>
  <c r="D18158" i="3"/>
  <c r="C18158" i="3"/>
  <c r="B18158" i="3"/>
  <c r="D18157" i="3"/>
  <c r="C18157" i="3"/>
  <c r="B18157" i="3"/>
  <c r="D18156" i="3"/>
  <c r="C18156" i="3"/>
  <c r="B18156" i="3"/>
  <c r="D18155" i="3"/>
  <c r="C18155" i="3"/>
  <c r="B18155" i="3"/>
  <c r="D18154" i="3"/>
  <c r="C18154" i="3"/>
  <c r="B18154" i="3"/>
  <c r="D18153" i="3"/>
  <c r="C18153" i="3"/>
  <c r="B18153" i="3"/>
  <c r="D18152" i="3"/>
  <c r="C18152" i="3"/>
  <c r="B18152" i="3"/>
  <c r="D18151" i="3"/>
  <c r="C18151" i="3"/>
  <c r="B18151" i="3"/>
  <c r="D18150" i="3"/>
  <c r="C18150" i="3"/>
  <c r="B18150" i="3"/>
  <c r="D18149" i="3"/>
  <c r="C18149" i="3"/>
  <c r="B18149" i="3"/>
  <c r="D18148" i="3"/>
  <c r="C18148" i="3"/>
  <c r="B18148" i="3"/>
  <c r="D18147" i="3"/>
  <c r="C18147" i="3"/>
  <c r="B18147" i="3"/>
  <c r="D18146" i="3"/>
  <c r="C18146" i="3"/>
  <c r="B18146" i="3"/>
  <c r="D18145" i="3"/>
  <c r="C18145" i="3"/>
  <c r="B18145" i="3"/>
  <c r="D18144" i="3"/>
  <c r="C18144" i="3"/>
  <c r="B18144" i="3"/>
  <c r="D18143" i="3"/>
  <c r="C18143" i="3"/>
  <c r="B18143" i="3"/>
  <c r="D18142" i="3"/>
  <c r="C18142" i="3"/>
  <c r="B18142" i="3"/>
  <c r="D18141" i="3"/>
  <c r="C18141" i="3"/>
  <c r="B18141" i="3"/>
  <c r="D18140" i="3"/>
  <c r="C18140" i="3"/>
  <c r="B18140" i="3"/>
  <c r="D18139" i="3"/>
  <c r="C18139" i="3"/>
  <c r="B18139" i="3"/>
  <c r="D18138" i="3"/>
  <c r="C18138" i="3"/>
  <c r="B18138" i="3"/>
  <c r="D18137" i="3"/>
  <c r="C18137" i="3"/>
  <c r="B18137" i="3"/>
  <c r="D18136" i="3"/>
  <c r="C18136" i="3"/>
  <c r="B18136" i="3"/>
  <c r="D18135" i="3"/>
  <c r="C18135" i="3"/>
  <c r="B18135" i="3"/>
  <c r="D18134" i="3"/>
  <c r="C18134" i="3"/>
  <c r="B18134" i="3"/>
  <c r="D18133" i="3"/>
  <c r="C18133" i="3"/>
  <c r="B18133" i="3"/>
  <c r="D18132" i="3"/>
  <c r="C18132" i="3"/>
  <c r="B18132" i="3"/>
  <c r="D18131" i="3"/>
  <c r="C18131" i="3"/>
  <c r="B18131" i="3"/>
  <c r="D18130" i="3"/>
  <c r="C18130" i="3"/>
  <c r="B18130" i="3"/>
  <c r="D18129" i="3"/>
  <c r="C18129" i="3"/>
  <c r="B18129" i="3"/>
  <c r="D18128" i="3"/>
  <c r="C18128" i="3"/>
  <c r="B18128" i="3"/>
  <c r="D18127" i="3"/>
  <c r="C18127" i="3"/>
  <c r="B18127" i="3"/>
  <c r="D18126" i="3"/>
  <c r="C18126" i="3"/>
  <c r="B18126" i="3"/>
  <c r="D18125" i="3"/>
  <c r="C18125" i="3"/>
  <c r="B18125" i="3"/>
  <c r="D18124" i="3"/>
  <c r="C18124" i="3"/>
  <c r="B18124" i="3"/>
  <c r="D18123" i="3"/>
  <c r="C18123" i="3"/>
  <c r="B18123" i="3"/>
  <c r="D18122" i="3"/>
  <c r="C18122" i="3"/>
  <c r="B18122" i="3"/>
  <c r="D18121" i="3"/>
  <c r="C18121" i="3"/>
  <c r="B18121" i="3"/>
  <c r="D18120" i="3"/>
  <c r="C18120" i="3"/>
  <c r="B18120" i="3"/>
  <c r="D18119" i="3"/>
  <c r="C18119" i="3"/>
  <c r="B18119" i="3"/>
  <c r="D18118" i="3"/>
  <c r="C18118" i="3"/>
  <c r="B18118" i="3"/>
  <c r="D18117" i="3"/>
  <c r="C18117" i="3"/>
  <c r="B18117" i="3"/>
  <c r="D18116" i="3"/>
  <c r="C18116" i="3"/>
  <c r="B18116" i="3"/>
  <c r="D18115" i="3"/>
  <c r="C18115" i="3"/>
  <c r="B18115" i="3"/>
  <c r="D18114" i="3"/>
  <c r="C18114" i="3"/>
  <c r="B18114" i="3"/>
  <c r="D18113" i="3"/>
  <c r="C18113" i="3"/>
  <c r="B18113" i="3"/>
  <c r="D18112" i="3"/>
  <c r="C18112" i="3"/>
  <c r="B18112" i="3"/>
  <c r="D18111" i="3"/>
  <c r="C18111" i="3"/>
  <c r="B18111" i="3"/>
  <c r="D18110" i="3"/>
  <c r="C18110" i="3"/>
  <c r="B18110" i="3"/>
  <c r="D18109" i="3"/>
  <c r="C18109" i="3"/>
  <c r="B18109" i="3"/>
  <c r="D18108" i="3"/>
  <c r="C18108" i="3"/>
  <c r="B18108" i="3"/>
  <c r="D18107" i="3"/>
  <c r="C18107" i="3"/>
  <c r="B18107" i="3"/>
  <c r="D18106" i="3"/>
  <c r="C18106" i="3"/>
  <c r="B18106" i="3"/>
  <c r="D18105" i="3"/>
  <c r="C18105" i="3"/>
  <c r="B18105" i="3"/>
  <c r="D18104" i="3"/>
  <c r="C18104" i="3"/>
  <c r="B18104" i="3"/>
  <c r="D18103" i="3"/>
  <c r="C18103" i="3"/>
  <c r="B18103" i="3"/>
  <c r="D18102" i="3"/>
  <c r="C18102" i="3"/>
  <c r="B18102" i="3"/>
  <c r="D18101" i="3"/>
  <c r="C18101" i="3"/>
  <c r="B18101" i="3"/>
  <c r="D18100" i="3"/>
  <c r="C18100" i="3"/>
  <c r="B18100" i="3"/>
  <c r="D18099" i="3"/>
  <c r="C18099" i="3"/>
  <c r="B18099" i="3"/>
  <c r="D18098" i="3"/>
  <c r="C18098" i="3"/>
  <c r="B18098" i="3"/>
  <c r="D18097" i="3"/>
  <c r="C18097" i="3"/>
  <c r="B18097" i="3"/>
  <c r="D18096" i="3"/>
  <c r="C18096" i="3"/>
  <c r="B18096" i="3"/>
  <c r="D18095" i="3"/>
  <c r="C18095" i="3"/>
  <c r="B18095" i="3"/>
  <c r="D18094" i="3"/>
  <c r="C18094" i="3"/>
  <c r="B18094" i="3"/>
  <c r="D18093" i="3"/>
  <c r="C18093" i="3"/>
  <c r="B18093" i="3"/>
  <c r="D18092" i="3"/>
  <c r="C18092" i="3"/>
  <c r="B18092" i="3"/>
  <c r="D18091" i="3"/>
  <c r="C18091" i="3"/>
  <c r="B18091" i="3"/>
  <c r="D18090" i="3"/>
  <c r="C18090" i="3"/>
  <c r="B18090" i="3"/>
  <c r="D18089" i="3"/>
  <c r="C18089" i="3"/>
  <c r="B18089" i="3"/>
  <c r="D18088" i="3"/>
  <c r="C18088" i="3"/>
  <c r="B18088" i="3"/>
  <c r="D18087" i="3"/>
  <c r="C18087" i="3"/>
  <c r="B18087" i="3"/>
  <c r="D18086" i="3"/>
  <c r="C18086" i="3"/>
  <c r="B18086" i="3"/>
  <c r="D18085" i="3"/>
  <c r="C18085" i="3"/>
  <c r="B18085" i="3"/>
  <c r="D18084" i="3"/>
  <c r="C18084" i="3"/>
  <c r="B18084" i="3"/>
  <c r="D18083" i="3"/>
  <c r="C18083" i="3"/>
  <c r="B18083" i="3"/>
  <c r="D18082" i="3"/>
  <c r="C18082" i="3"/>
  <c r="B18082" i="3"/>
  <c r="D18081" i="3"/>
  <c r="C18081" i="3"/>
  <c r="B18081" i="3"/>
  <c r="D18080" i="3"/>
  <c r="C18080" i="3"/>
  <c r="B18080" i="3"/>
  <c r="D18079" i="3"/>
  <c r="C18079" i="3"/>
  <c r="B18079" i="3"/>
  <c r="D18078" i="3"/>
  <c r="C18078" i="3"/>
  <c r="B18078" i="3"/>
  <c r="D18077" i="3"/>
  <c r="C18077" i="3"/>
  <c r="B18077" i="3"/>
  <c r="D18076" i="3"/>
  <c r="C18076" i="3"/>
  <c r="B18076" i="3"/>
  <c r="D18075" i="3"/>
  <c r="C18075" i="3"/>
  <c r="B18075" i="3"/>
  <c r="D18074" i="3"/>
  <c r="C18074" i="3"/>
  <c r="B18074" i="3"/>
  <c r="D18073" i="3"/>
  <c r="C18073" i="3"/>
  <c r="B18073" i="3"/>
  <c r="D18072" i="3"/>
  <c r="C18072" i="3"/>
  <c r="B18072" i="3"/>
  <c r="D18071" i="3"/>
  <c r="C18071" i="3"/>
  <c r="B18071" i="3"/>
  <c r="D18070" i="3"/>
  <c r="C18070" i="3"/>
  <c r="B18070" i="3"/>
  <c r="D18069" i="3"/>
  <c r="C18069" i="3"/>
  <c r="B18069" i="3"/>
  <c r="D18068" i="3"/>
  <c r="C18068" i="3"/>
  <c r="B18068" i="3"/>
  <c r="D18067" i="3"/>
  <c r="C18067" i="3"/>
  <c r="B18067" i="3"/>
  <c r="D18066" i="3"/>
  <c r="C18066" i="3"/>
  <c r="B18066" i="3"/>
  <c r="D18065" i="3"/>
  <c r="C18065" i="3"/>
  <c r="B18065" i="3"/>
  <c r="D18064" i="3"/>
  <c r="C18064" i="3"/>
  <c r="B18064" i="3"/>
  <c r="D18063" i="3"/>
  <c r="C18063" i="3"/>
  <c r="B18063" i="3"/>
  <c r="D18062" i="3"/>
  <c r="C18062" i="3"/>
  <c r="B18062" i="3"/>
  <c r="D18061" i="3"/>
  <c r="C18061" i="3"/>
  <c r="B18061" i="3"/>
  <c r="D18060" i="3"/>
  <c r="C18060" i="3"/>
  <c r="B18060" i="3"/>
  <c r="D18059" i="3"/>
  <c r="C18059" i="3"/>
  <c r="B18059" i="3"/>
  <c r="D18058" i="3"/>
  <c r="C18058" i="3"/>
  <c r="B18058" i="3"/>
  <c r="D18057" i="3"/>
  <c r="C18057" i="3"/>
  <c r="B18057" i="3"/>
  <c r="D18056" i="3"/>
  <c r="C18056" i="3"/>
  <c r="B18056" i="3"/>
  <c r="D18055" i="3"/>
  <c r="C18055" i="3"/>
  <c r="B18055" i="3"/>
  <c r="D18054" i="3"/>
  <c r="C18054" i="3"/>
  <c r="B18054" i="3"/>
  <c r="D18053" i="3"/>
  <c r="C18053" i="3"/>
  <c r="B18053" i="3"/>
  <c r="D18052" i="3"/>
  <c r="C18052" i="3"/>
  <c r="B18052" i="3"/>
  <c r="D18051" i="3"/>
  <c r="C18051" i="3"/>
  <c r="B18051" i="3"/>
  <c r="D18050" i="3"/>
  <c r="C18050" i="3"/>
  <c r="B18050" i="3"/>
  <c r="D18049" i="3"/>
  <c r="C18049" i="3"/>
  <c r="B18049" i="3"/>
  <c r="D18048" i="3"/>
  <c r="C18048" i="3"/>
  <c r="B18048" i="3"/>
  <c r="D18047" i="3"/>
  <c r="C18047" i="3"/>
  <c r="B18047" i="3"/>
  <c r="D18046" i="3"/>
  <c r="C18046" i="3"/>
  <c r="B18046" i="3"/>
  <c r="D18045" i="3"/>
  <c r="C18045" i="3"/>
  <c r="B18045" i="3"/>
  <c r="D18044" i="3"/>
  <c r="C18044" i="3"/>
  <c r="B18044" i="3"/>
  <c r="D18043" i="3"/>
  <c r="C18043" i="3"/>
  <c r="B18043" i="3"/>
  <c r="D18042" i="3"/>
  <c r="C18042" i="3"/>
  <c r="B18042" i="3"/>
  <c r="D18041" i="3"/>
  <c r="C18041" i="3"/>
  <c r="B18041" i="3"/>
  <c r="D18040" i="3"/>
  <c r="C18040" i="3"/>
  <c r="B18040" i="3"/>
  <c r="D18039" i="3"/>
  <c r="C18039" i="3"/>
  <c r="B18039" i="3"/>
  <c r="D18038" i="3"/>
  <c r="C18038" i="3"/>
  <c r="B18038" i="3"/>
  <c r="D18037" i="3"/>
  <c r="C18037" i="3"/>
  <c r="B18037" i="3"/>
  <c r="D18036" i="3"/>
  <c r="C18036" i="3"/>
  <c r="B18036" i="3"/>
  <c r="D18035" i="3"/>
  <c r="C18035" i="3"/>
  <c r="B18035" i="3"/>
  <c r="D18034" i="3"/>
  <c r="C18034" i="3"/>
  <c r="B18034" i="3"/>
  <c r="D18033" i="3"/>
  <c r="C18033" i="3"/>
  <c r="B18033" i="3"/>
  <c r="D18032" i="3"/>
  <c r="C18032" i="3"/>
  <c r="B18032" i="3"/>
  <c r="D18031" i="3"/>
  <c r="C18031" i="3"/>
  <c r="B18031" i="3"/>
  <c r="D18030" i="3"/>
  <c r="C18030" i="3"/>
  <c r="B18030" i="3"/>
  <c r="D18029" i="3"/>
  <c r="C18029" i="3"/>
  <c r="B18029" i="3"/>
  <c r="D18028" i="3"/>
  <c r="C18028" i="3"/>
  <c r="B18028" i="3"/>
  <c r="D18027" i="3"/>
  <c r="C18027" i="3"/>
  <c r="B18027" i="3"/>
  <c r="D18026" i="3"/>
  <c r="C18026" i="3"/>
  <c r="B18026" i="3"/>
  <c r="D18025" i="3"/>
  <c r="C18025" i="3"/>
  <c r="B18025" i="3"/>
  <c r="D18024" i="3"/>
  <c r="C18024" i="3"/>
  <c r="B18024" i="3"/>
  <c r="D18023" i="3"/>
  <c r="C18023" i="3"/>
  <c r="B18023" i="3"/>
  <c r="D18022" i="3"/>
  <c r="C18022" i="3"/>
  <c r="B18022" i="3"/>
  <c r="D18021" i="3"/>
  <c r="C18021" i="3"/>
  <c r="B18021" i="3"/>
  <c r="D18020" i="3"/>
  <c r="C18020" i="3"/>
  <c r="B18020" i="3"/>
  <c r="D18019" i="3"/>
  <c r="C18019" i="3"/>
  <c r="B18019" i="3"/>
  <c r="D18018" i="3"/>
  <c r="C18018" i="3"/>
  <c r="B18018" i="3"/>
  <c r="D18017" i="3"/>
  <c r="C18017" i="3"/>
  <c r="B18017" i="3"/>
  <c r="D18016" i="3"/>
  <c r="C18016" i="3"/>
  <c r="B18016" i="3"/>
  <c r="D18015" i="3"/>
  <c r="C18015" i="3"/>
  <c r="B18015" i="3"/>
  <c r="D18014" i="3"/>
  <c r="C18014" i="3"/>
  <c r="B18014" i="3"/>
  <c r="D18013" i="3"/>
  <c r="C18013" i="3"/>
  <c r="B18013" i="3"/>
  <c r="D18012" i="3"/>
  <c r="C18012" i="3"/>
  <c r="B18012" i="3"/>
  <c r="D18011" i="3"/>
  <c r="C18011" i="3"/>
  <c r="B18011" i="3"/>
  <c r="D18010" i="3"/>
  <c r="C18010" i="3"/>
  <c r="B18010" i="3"/>
  <c r="D18009" i="3"/>
  <c r="C18009" i="3"/>
  <c r="B18009" i="3"/>
  <c r="D18008" i="3"/>
  <c r="C18008" i="3"/>
  <c r="B18008" i="3"/>
  <c r="D18007" i="3"/>
  <c r="C18007" i="3"/>
  <c r="B18007" i="3"/>
  <c r="D18006" i="3"/>
  <c r="C18006" i="3"/>
  <c r="B18006" i="3"/>
  <c r="D18005" i="3"/>
  <c r="C18005" i="3"/>
  <c r="B18005" i="3"/>
  <c r="D18004" i="3"/>
  <c r="C18004" i="3"/>
  <c r="B18004" i="3"/>
  <c r="D18003" i="3"/>
  <c r="C18003" i="3"/>
  <c r="B18003" i="3"/>
  <c r="D18002" i="3"/>
  <c r="C18002" i="3"/>
  <c r="B18002" i="3"/>
  <c r="D18001" i="3"/>
  <c r="C18001" i="3"/>
  <c r="B18001" i="3"/>
  <c r="D18000" i="3"/>
  <c r="C18000" i="3"/>
  <c r="B18000" i="3"/>
  <c r="D17999" i="3"/>
  <c r="C17999" i="3"/>
  <c r="B17999" i="3"/>
  <c r="D17998" i="3"/>
  <c r="C17998" i="3"/>
  <c r="B17998" i="3"/>
  <c r="D17997" i="3"/>
  <c r="C17997" i="3"/>
  <c r="B17997" i="3"/>
  <c r="D17996" i="3"/>
  <c r="C17996" i="3"/>
  <c r="B17996" i="3"/>
  <c r="D17995" i="3"/>
  <c r="C17995" i="3"/>
  <c r="B17995" i="3"/>
  <c r="D17994" i="3"/>
  <c r="C17994" i="3"/>
  <c r="B17994" i="3"/>
  <c r="D17993" i="3"/>
  <c r="C17993" i="3"/>
  <c r="B17993" i="3"/>
  <c r="D17992" i="3"/>
  <c r="C17992" i="3"/>
  <c r="B17992" i="3"/>
  <c r="D17991" i="3"/>
  <c r="C17991" i="3"/>
  <c r="B17991" i="3"/>
  <c r="D17990" i="3"/>
  <c r="C17990" i="3"/>
  <c r="B17990" i="3"/>
  <c r="D17989" i="3"/>
  <c r="C17989" i="3"/>
  <c r="B17989" i="3"/>
  <c r="D17988" i="3"/>
  <c r="C17988" i="3"/>
  <c r="B17988" i="3"/>
  <c r="D17987" i="3"/>
  <c r="C17987" i="3"/>
  <c r="B17987" i="3"/>
  <c r="D17986" i="3"/>
  <c r="C17986" i="3"/>
  <c r="B17986" i="3"/>
  <c r="D17985" i="3"/>
  <c r="C17985" i="3"/>
  <c r="B17985" i="3"/>
  <c r="D17984" i="3"/>
  <c r="C17984" i="3"/>
  <c r="B17984" i="3"/>
  <c r="D17983" i="3"/>
  <c r="C17983" i="3"/>
  <c r="B17983" i="3"/>
  <c r="D17982" i="3"/>
  <c r="C17982" i="3"/>
  <c r="B17982" i="3"/>
  <c r="D17981" i="3"/>
  <c r="C17981" i="3"/>
  <c r="B17981" i="3"/>
  <c r="D17980" i="3"/>
  <c r="C17980" i="3"/>
  <c r="B17980" i="3"/>
  <c r="D17979" i="3"/>
  <c r="C17979" i="3"/>
  <c r="B17979" i="3"/>
  <c r="D17978" i="3"/>
  <c r="C17978" i="3"/>
  <c r="B17978" i="3"/>
  <c r="D17977" i="3"/>
  <c r="C17977" i="3"/>
  <c r="B17977" i="3"/>
  <c r="D17976" i="3"/>
  <c r="C17976" i="3"/>
  <c r="B17976" i="3"/>
  <c r="D17975" i="3"/>
  <c r="C17975" i="3"/>
  <c r="B17975" i="3"/>
  <c r="D17974" i="3"/>
  <c r="C17974" i="3"/>
  <c r="B17974" i="3"/>
  <c r="D17973" i="3"/>
  <c r="C17973" i="3"/>
  <c r="B17973" i="3"/>
  <c r="D17972" i="3"/>
  <c r="C17972" i="3"/>
  <c r="B17972" i="3"/>
  <c r="D17971" i="3"/>
  <c r="C17971" i="3"/>
  <c r="B17971" i="3"/>
  <c r="D17970" i="3"/>
  <c r="C17970" i="3"/>
  <c r="B17970" i="3"/>
  <c r="D17969" i="3"/>
  <c r="C17969" i="3"/>
  <c r="B17969" i="3"/>
  <c r="D17968" i="3"/>
  <c r="C17968" i="3"/>
  <c r="B17968" i="3"/>
  <c r="D17967" i="3"/>
  <c r="C17967" i="3"/>
  <c r="B17967" i="3"/>
  <c r="D17966" i="3"/>
  <c r="C17966" i="3"/>
  <c r="B17966" i="3"/>
  <c r="D17965" i="3"/>
  <c r="C17965" i="3"/>
  <c r="B17965" i="3"/>
  <c r="D17964" i="3"/>
  <c r="C17964" i="3"/>
  <c r="B17964" i="3"/>
  <c r="D17963" i="3"/>
  <c r="C17963" i="3"/>
  <c r="B17963" i="3"/>
  <c r="D17962" i="3"/>
  <c r="C17962" i="3"/>
  <c r="B17962" i="3"/>
  <c r="D17961" i="3"/>
  <c r="C17961" i="3"/>
  <c r="B17961" i="3"/>
  <c r="D17960" i="3"/>
  <c r="C17960" i="3"/>
  <c r="B17960" i="3"/>
  <c r="D17959" i="3"/>
  <c r="C17959" i="3"/>
  <c r="B17959" i="3"/>
  <c r="D17958" i="3"/>
  <c r="C17958" i="3"/>
  <c r="B17958" i="3"/>
  <c r="D17957" i="3"/>
  <c r="C17957" i="3"/>
  <c r="B17957" i="3"/>
  <c r="D17956" i="3"/>
  <c r="C17956" i="3"/>
  <c r="B17956" i="3"/>
  <c r="D17955" i="3"/>
  <c r="C17955" i="3"/>
  <c r="B17955" i="3"/>
  <c r="D17954" i="3"/>
  <c r="C17954" i="3"/>
  <c r="B17954" i="3"/>
  <c r="D17953" i="3"/>
  <c r="C17953" i="3"/>
  <c r="B17953" i="3"/>
  <c r="D17952" i="3"/>
  <c r="C17952" i="3"/>
  <c r="B17952" i="3"/>
  <c r="D17951" i="3"/>
  <c r="C17951" i="3"/>
  <c r="B17951" i="3"/>
  <c r="D17950" i="3"/>
  <c r="C17950" i="3"/>
  <c r="B17950" i="3"/>
  <c r="D17949" i="3"/>
  <c r="C17949" i="3"/>
  <c r="B17949" i="3"/>
  <c r="D17948" i="3"/>
  <c r="C17948" i="3"/>
  <c r="B17948" i="3"/>
  <c r="D17947" i="3"/>
  <c r="C17947" i="3"/>
  <c r="B17947" i="3"/>
  <c r="D17946" i="3"/>
  <c r="C17946" i="3"/>
  <c r="B17946" i="3"/>
  <c r="D17945" i="3"/>
  <c r="C17945" i="3"/>
  <c r="B17945" i="3"/>
  <c r="D17944" i="3"/>
  <c r="C17944" i="3"/>
  <c r="B17944" i="3"/>
  <c r="D17943" i="3"/>
  <c r="C17943" i="3"/>
  <c r="B17943" i="3"/>
  <c r="D17942" i="3"/>
  <c r="C17942" i="3"/>
  <c r="B17942" i="3"/>
  <c r="D17941" i="3"/>
  <c r="C17941" i="3"/>
  <c r="B17941" i="3"/>
  <c r="D17940" i="3"/>
  <c r="C17940" i="3"/>
  <c r="B17940" i="3"/>
  <c r="D17939" i="3"/>
  <c r="C17939" i="3"/>
  <c r="B17939" i="3"/>
  <c r="D17938" i="3"/>
  <c r="C17938" i="3"/>
  <c r="B17938" i="3"/>
  <c r="D17937" i="3"/>
  <c r="C17937" i="3"/>
  <c r="B17937" i="3"/>
  <c r="D17936" i="3"/>
  <c r="C17936" i="3"/>
  <c r="B17936" i="3"/>
  <c r="D17935" i="3"/>
  <c r="C17935" i="3"/>
  <c r="B17935" i="3"/>
  <c r="D17934" i="3"/>
  <c r="C17934" i="3"/>
  <c r="B17934" i="3"/>
  <c r="D17933" i="3"/>
  <c r="C17933" i="3"/>
  <c r="B17933" i="3"/>
  <c r="D17932" i="3"/>
  <c r="C17932" i="3"/>
  <c r="B17932" i="3"/>
  <c r="D17931" i="3"/>
  <c r="C17931" i="3"/>
  <c r="B17931" i="3"/>
  <c r="D17930" i="3"/>
  <c r="C17930" i="3"/>
  <c r="B17930" i="3"/>
  <c r="D17929" i="3"/>
  <c r="C17929" i="3"/>
  <c r="B17929" i="3"/>
  <c r="D17928" i="3"/>
  <c r="C17928" i="3"/>
  <c r="B17928" i="3"/>
  <c r="D17927" i="3"/>
  <c r="C17927" i="3"/>
  <c r="B17927" i="3"/>
  <c r="D17926" i="3"/>
  <c r="C17926" i="3"/>
  <c r="B17926" i="3"/>
  <c r="D17925" i="3"/>
  <c r="C17925" i="3"/>
  <c r="B17925" i="3"/>
  <c r="D17924" i="3"/>
  <c r="C17924" i="3"/>
  <c r="B17924" i="3"/>
  <c r="D17923" i="3"/>
  <c r="C17923" i="3"/>
  <c r="B17923" i="3"/>
  <c r="D17922" i="3"/>
  <c r="C17922" i="3"/>
  <c r="B17922" i="3"/>
  <c r="D17921" i="3"/>
  <c r="C17921" i="3"/>
  <c r="B17921" i="3"/>
  <c r="D17920" i="3"/>
  <c r="C17920" i="3"/>
  <c r="B17920" i="3"/>
  <c r="D17919" i="3"/>
  <c r="C17919" i="3"/>
  <c r="B17919" i="3"/>
  <c r="D17918" i="3"/>
  <c r="C17918" i="3"/>
  <c r="B17918" i="3"/>
  <c r="D17917" i="3"/>
  <c r="C17917" i="3"/>
  <c r="B17917" i="3"/>
  <c r="D17916" i="3"/>
  <c r="C17916" i="3"/>
  <c r="B17916" i="3"/>
  <c r="D17915" i="3"/>
  <c r="C17915" i="3"/>
  <c r="B17915" i="3"/>
  <c r="D17914" i="3"/>
  <c r="C17914" i="3"/>
  <c r="B17914" i="3"/>
  <c r="D17913" i="3"/>
  <c r="C17913" i="3"/>
  <c r="B17913" i="3"/>
  <c r="D17912" i="3"/>
  <c r="C17912" i="3"/>
  <c r="B17912" i="3"/>
  <c r="D17911" i="3"/>
  <c r="C17911" i="3"/>
  <c r="B17911" i="3"/>
  <c r="D17910" i="3"/>
  <c r="C17910" i="3"/>
  <c r="B17910" i="3"/>
  <c r="D17909" i="3"/>
  <c r="C17909" i="3"/>
  <c r="B17909" i="3"/>
  <c r="D17908" i="3"/>
  <c r="C17908" i="3"/>
  <c r="B17908" i="3"/>
  <c r="D17907" i="3"/>
  <c r="C17907" i="3"/>
  <c r="B17907" i="3"/>
  <c r="D17906" i="3"/>
  <c r="C17906" i="3"/>
  <c r="B17906" i="3"/>
  <c r="D17905" i="3"/>
  <c r="C17905" i="3"/>
  <c r="B17905" i="3"/>
  <c r="D17904" i="3"/>
  <c r="C17904" i="3"/>
  <c r="B17904" i="3"/>
  <c r="D17903" i="3"/>
  <c r="C17903" i="3"/>
  <c r="B17903" i="3"/>
  <c r="D17902" i="3"/>
  <c r="C17902" i="3"/>
  <c r="B17902" i="3"/>
  <c r="D17901" i="3"/>
  <c r="C17901" i="3"/>
  <c r="B17901" i="3"/>
  <c r="D17900" i="3"/>
  <c r="C17900" i="3"/>
  <c r="B17900" i="3"/>
  <c r="D17899" i="3"/>
  <c r="C17899" i="3"/>
  <c r="B17899" i="3"/>
  <c r="D17898" i="3"/>
  <c r="C17898" i="3"/>
  <c r="B17898" i="3"/>
  <c r="D17897" i="3"/>
  <c r="C17897" i="3"/>
  <c r="B17897" i="3"/>
  <c r="D17896" i="3"/>
  <c r="C17896" i="3"/>
  <c r="B17896" i="3"/>
  <c r="D17895" i="3"/>
  <c r="C17895" i="3"/>
  <c r="B17895" i="3"/>
  <c r="D17894" i="3"/>
  <c r="C17894" i="3"/>
  <c r="B17894" i="3"/>
  <c r="D17893" i="3"/>
  <c r="C17893" i="3"/>
  <c r="B17893" i="3"/>
  <c r="D17892" i="3"/>
  <c r="C17892" i="3"/>
  <c r="B17892" i="3"/>
  <c r="D17891" i="3"/>
  <c r="C17891" i="3"/>
  <c r="B17891" i="3"/>
  <c r="D17890" i="3"/>
  <c r="C17890" i="3"/>
  <c r="B17890" i="3"/>
  <c r="D17889" i="3"/>
  <c r="C17889" i="3"/>
  <c r="B17889" i="3"/>
  <c r="D17888" i="3"/>
  <c r="C17888" i="3"/>
  <c r="B17888" i="3"/>
  <c r="D17887" i="3"/>
  <c r="C17887" i="3"/>
  <c r="B17887" i="3"/>
  <c r="D17886" i="3"/>
  <c r="C17886" i="3"/>
  <c r="B17886" i="3"/>
  <c r="D17885" i="3"/>
  <c r="C17885" i="3"/>
  <c r="B17885" i="3"/>
  <c r="D17884" i="3"/>
  <c r="C17884" i="3"/>
  <c r="B17884" i="3"/>
  <c r="D17883" i="3"/>
  <c r="C17883" i="3"/>
  <c r="B17883" i="3"/>
  <c r="D17882" i="3"/>
  <c r="C17882" i="3"/>
  <c r="B17882" i="3"/>
  <c r="D17881" i="3"/>
  <c r="C17881" i="3"/>
  <c r="B17881" i="3"/>
  <c r="D17880" i="3"/>
  <c r="C17880" i="3"/>
  <c r="B17880" i="3"/>
  <c r="D17879" i="3"/>
  <c r="C17879" i="3"/>
  <c r="B17879" i="3"/>
  <c r="D17878" i="3"/>
  <c r="C17878" i="3"/>
  <c r="B17878" i="3"/>
  <c r="D17877" i="3"/>
  <c r="C17877" i="3"/>
  <c r="B17877" i="3"/>
  <c r="D17876" i="3"/>
  <c r="C17876" i="3"/>
  <c r="B17876" i="3"/>
  <c r="D17875" i="3"/>
  <c r="C17875" i="3"/>
  <c r="B17875" i="3"/>
  <c r="D17874" i="3"/>
  <c r="C17874" i="3"/>
  <c r="B17874" i="3"/>
  <c r="D17873" i="3"/>
  <c r="C17873" i="3"/>
  <c r="B17873" i="3"/>
  <c r="D17872" i="3"/>
  <c r="C17872" i="3"/>
  <c r="B17872" i="3"/>
  <c r="D17871" i="3"/>
  <c r="C17871" i="3"/>
  <c r="B17871" i="3"/>
  <c r="D17870" i="3"/>
  <c r="C17870" i="3"/>
  <c r="B17870" i="3"/>
  <c r="D17869" i="3"/>
  <c r="C17869" i="3"/>
  <c r="B17869" i="3"/>
  <c r="D17868" i="3"/>
  <c r="C17868" i="3"/>
  <c r="B17868" i="3"/>
  <c r="D17867" i="3"/>
  <c r="C17867" i="3"/>
  <c r="B17867" i="3"/>
  <c r="D17866" i="3"/>
  <c r="C17866" i="3"/>
  <c r="B17866" i="3"/>
  <c r="D17865" i="3"/>
  <c r="C17865" i="3"/>
  <c r="B17865" i="3"/>
  <c r="D17864" i="3"/>
  <c r="C17864" i="3"/>
  <c r="B17864" i="3"/>
  <c r="D17863" i="3"/>
  <c r="C17863" i="3"/>
  <c r="B17863" i="3"/>
  <c r="D17862" i="3"/>
  <c r="C17862" i="3"/>
  <c r="B17862" i="3"/>
  <c r="D17861" i="3"/>
  <c r="C17861" i="3"/>
  <c r="B17861" i="3"/>
  <c r="D17860" i="3"/>
  <c r="C17860" i="3"/>
  <c r="B17860" i="3"/>
  <c r="D17859" i="3"/>
  <c r="C17859" i="3"/>
  <c r="B17859" i="3"/>
  <c r="D17858" i="3"/>
  <c r="C17858" i="3"/>
  <c r="B17858" i="3"/>
  <c r="D17857" i="3"/>
  <c r="C17857" i="3"/>
  <c r="B17857" i="3"/>
  <c r="D17856" i="3"/>
  <c r="C17856" i="3"/>
  <c r="B17856" i="3"/>
  <c r="D17855" i="3"/>
  <c r="C17855" i="3"/>
  <c r="B17855" i="3"/>
  <c r="D17854" i="3"/>
  <c r="C17854" i="3"/>
  <c r="B17854" i="3"/>
  <c r="D17853" i="3"/>
  <c r="C17853" i="3"/>
  <c r="B17853" i="3"/>
  <c r="D17852" i="3"/>
  <c r="C17852" i="3"/>
  <c r="B17852" i="3"/>
  <c r="D17851" i="3"/>
  <c r="C17851" i="3"/>
  <c r="B17851" i="3"/>
  <c r="D17850" i="3"/>
  <c r="C17850" i="3"/>
  <c r="B17850" i="3"/>
  <c r="D17849" i="3"/>
  <c r="C17849" i="3"/>
  <c r="B17849" i="3"/>
  <c r="D17848" i="3"/>
  <c r="C17848" i="3"/>
  <c r="B17848" i="3"/>
  <c r="D17847" i="3"/>
  <c r="C17847" i="3"/>
  <c r="B17847" i="3"/>
  <c r="D17846" i="3"/>
  <c r="C17846" i="3"/>
  <c r="B17846" i="3"/>
  <c r="D17845" i="3"/>
  <c r="C17845" i="3"/>
  <c r="B17845" i="3"/>
  <c r="D17844" i="3"/>
  <c r="C17844" i="3"/>
  <c r="B17844" i="3"/>
  <c r="D17843" i="3"/>
  <c r="C17843" i="3"/>
  <c r="B17843" i="3"/>
  <c r="D17842" i="3"/>
  <c r="C17842" i="3"/>
  <c r="B17842" i="3"/>
  <c r="D17841" i="3"/>
  <c r="C17841" i="3"/>
  <c r="B17841" i="3"/>
  <c r="D17840" i="3"/>
  <c r="C17840" i="3"/>
  <c r="B17840" i="3"/>
  <c r="D17839" i="3"/>
  <c r="C17839" i="3"/>
  <c r="B17839" i="3"/>
  <c r="D17838" i="3"/>
  <c r="C17838" i="3"/>
  <c r="B17838" i="3"/>
  <c r="D17837" i="3"/>
  <c r="C17837" i="3"/>
  <c r="B17837" i="3"/>
  <c r="D17836" i="3"/>
  <c r="C17836" i="3"/>
  <c r="B17836" i="3"/>
  <c r="D17835" i="3"/>
  <c r="C17835" i="3"/>
  <c r="B17835" i="3"/>
  <c r="D17834" i="3"/>
  <c r="C17834" i="3"/>
  <c r="B17834" i="3"/>
  <c r="D17833" i="3"/>
  <c r="C17833" i="3"/>
  <c r="B17833" i="3"/>
  <c r="D17832" i="3"/>
  <c r="C17832" i="3"/>
  <c r="B17832" i="3"/>
  <c r="D17831" i="3"/>
  <c r="C17831" i="3"/>
  <c r="B17831" i="3"/>
  <c r="D17830" i="3"/>
  <c r="C17830" i="3"/>
  <c r="B17830" i="3"/>
  <c r="D17829" i="3"/>
  <c r="C17829" i="3"/>
  <c r="B17829" i="3"/>
  <c r="D17828" i="3"/>
  <c r="C17828" i="3"/>
  <c r="B17828" i="3"/>
  <c r="D17827" i="3"/>
  <c r="C17827" i="3"/>
  <c r="B17827" i="3"/>
  <c r="D17826" i="3"/>
  <c r="C17826" i="3"/>
  <c r="B17826" i="3"/>
  <c r="D17825" i="3"/>
  <c r="C17825" i="3"/>
  <c r="B17825" i="3"/>
  <c r="D17824" i="3"/>
  <c r="C17824" i="3"/>
  <c r="B17824" i="3"/>
  <c r="D17823" i="3"/>
  <c r="C17823" i="3"/>
  <c r="B17823" i="3"/>
  <c r="D17822" i="3"/>
  <c r="C17822" i="3"/>
  <c r="B17822" i="3"/>
  <c r="D17821" i="3"/>
  <c r="C17821" i="3"/>
  <c r="B17821" i="3"/>
  <c r="D17820" i="3"/>
  <c r="C17820" i="3"/>
  <c r="B17820" i="3"/>
  <c r="D17819" i="3"/>
  <c r="C17819" i="3"/>
  <c r="B17819" i="3"/>
  <c r="D17818" i="3"/>
  <c r="C17818" i="3"/>
  <c r="B17818" i="3"/>
  <c r="D17817" i="3"/>
  <c r="C17817" i="3"/>
  <c r="B17817" i="3"/>
  <c r="D17816" i="3"/>
  <c r="C17816" i="3"/>
  <c r="B17816" i="3"/>
  <c r="D17815" i="3"/>
  <c r="C17815" i="3"/>
  <c r="B17815" i="3"/>
  <c r="D17814" i="3"/>
  <c r="C17814" i="3"/>
  <c r="B17814" i="3"/>
  <c r="D17813" i="3"/>
  <c r="C17813" i="3"/>
  <c r="B17813" i="3"/>
  <c r="D17812" i="3"/>
  <c r="C17812" i="3"/>
  <c r="B17812" i="3"/>
  <c r="D17811" i="3"/>
  <c r="C17811" i="3"/>
  <c r="B17811" i="3"/>
  <c r="D17810" i="3"/>
  <c r="C17810" i="3"/>
  <c r="B17810" i="3"/>
  <c r="D17809" i="3"/>
  <c r="C17809" i="3"/>
  <c r="B17809" i="3"/>
  <c r="D17808" i="3"/>
  <c r="C17808" i="3"/>
  <c r="B17808" i="3"/>
  <c r="D17807" i="3"/>
  <c r="C17807" i="3"/>
  <c r="B17807" i="3"/>
  <c r="D17806" i="3"/>
  <c r="C17806" i="3"/>
  <c r="B17806" i="3"/>
  <c r="D17805" i="3"/>
  <c r="C17805" i="3"/>
  <c r="B17805" i="3"/>
  <c r="D17804" i="3"/>
  <c r="C17804" i="3"/>
  <c r="B17804" i="3"/>
  <c r="D17803" i="3"/>
  <c r="C17803" i="3"/>
  <c r="B17803" i="3"/>
  <c r="D17802" i="3"/>
  <c r="C17802" i="3"/>
  <c r="B17802" i="3"/>
  <c r="D17801" i="3"/>
  <c r="C17801" i="3"/>
  <c r="B17801" i="3"/>
  <c r="D17800" i="3"/>
  <c r="C17800" i="3"/>
  <c r="B17800" i="3"/>
  <c r="D17799" i="3"/>
  <c r="C17799" i="3"/>
  <c r="B17799" i="3"/>
  <c r="D17798" i="3"/>
  <c r="C17798" i="3"/>
  <c r="B17798" i="3"/>
  <c r="D17797" i="3"/>
  <c r="C17797" i="3"/>
  <c r="B17797" i="3"/>
  <c r="D17796" i="3"/>
  <c r="C17796" i="3"/>
  <c r="B17796" i="3"/>
  <c r="D17795" i="3"/>
  <c r="C17795" i="3"/>
  <c r="B17795" i="3"/>
  <c r="D17794" i="3"/>
  <c r="C17794" i="3"/>
  <c r="B17794" i="3"/>
  <c r="D17793" i="3"/>
  <c r="C17793" i="3"/>
  <c r="B17793" i="3"/>
  <c r="D17792" i="3"/>
  <c r="C17792" i="3"/>
  <c r="B17792" i="3"/>
  <c r="D17791" i="3"/>
  <c r="C17791" i="3"/>
  <c r="B17791" i="3"/>
  <c r="D17790" i="3"/>
  <c r="C17790" i="3"/>
  <c r="B17790" i="3"/>
  <c r="D17789" i="3"/>
  <c r="C17789" i="3"/>
  <c r="B17789" i="3"/>
  <c r="D17788" i="3"/>
  <c r="C17788" i="3"/>
  <c r="B17788" i="3"/>
  <c r="D17787" i="3"/>
  <c r="C17787" i="3"/>
  <c r="B17787" i="3"/>
  <c r="D17786" i="3"/>
  <c r="C17786" i="3"/>
  <c r="B17786" i="3"/>
  <c r="D17785" i="3"/>
  <c r="C17785" i="3"/>
  <c r="B17785" i="3"/>
  <c r="D17784" i="3"/>
  <c r="C17784" i="3"/>
  <c r="B17784" i="3"/>
  <c r="D17783" i="3"/>
  <c r="C17783" i="3"/>
  <c r="B17783" i="3"/>
  <c r="D17782" i="3"/>
  <c r="C17782" i="3"/>
  <c r="B17782" i="3"/>
  <c r="D17781" i="3"/>
  <c r="C17781" i="3"/>
  <c r="B17781" i="3"/>
  <c r="D17780" i="3"/>
  <c r="C17780" i="3"/>
  <c r="B17780" i="3"/>
  <c r="D17779" i="3"/>
  <c r="C17779" i="3"/>
  <c r="B17779" i="3"/>
  <c r="D17778" i="3"/>
  <c r="C17778" i="3"/>
  <c r="B17778" i="3"/>
  <c r="D17777" i="3"/>
  <c r="C17777" i="3"/>
  <c r="B17777" i="3"/>
  <c r="D17776" i="3"/>
  <c r="C17776" i="3"/>
  <c r="B17776" i="3"/>
  <c r="D17775" i="3"/>
  <c r="C17775" i="3"/>
  <c r="B17775" i="3"/>
  <c r="D17774" i="3"/>
  <c r="C17774" i="3"/>
  <c r="B17774" i="3"/>
  <c r="D17773" i="3"/>
  <c r="C17773" i="3"/>
  <c r="B17773" i="3"/>
  <c r="D17772" i="3"/>
  <c r="C17772" i="3"/>
  <c r="B17772" i="3"/>
  <c r="D17771" i="3"/>
  <c r="C17771" i="3"/>
  <c r="B17771" i="3"/>
  <c r="D17770" i="3"/>
  <c r="C17770" i="3"/>
  <c r="B17770" i="3"/>
  <c r="D17769" i="3"/>
  <c r="C17769" i="3"/>
  <c r="B17769" i="3"/>
  <c r="D17768" i="3"/>
  <c r="C17768" i="3"/>
  <c r="B17768" i="3"/>
  <c r="D17767" i="3"/>
  <c r="C17767" i="3"/>
  <c r="B17767" i="3"/>
  <c r="D17766" i="3"/>
  <c r="C17766" i="3"/>
  <c r="B17766" i="3"/>
  <c r="D17765" i="3"/>
  <c r="C17765" i="3"/>
  <c r="B17765" i="3"/>
  <c r="D17764" i="3"/>
  <c r="C17764" i="3"/>
  <c r="B17764" i="3"/>
  <c r="D17763" i="3"/>
  <c r="C17763" i="3"/>
  <c r="B17763" i="3"/>
  <c r="D17762" i="3"/>
  <c r="C17762" i="3"/>
  <c r="B17762" i="3"/>
  <c r="D17761" i="3"/>
  <c r="C17761" i="3"/>
  <c r="B17761" i="3"/>
  <c r="D17760" i="3"/>
  <c r="C17760" i="3"/>
  <c r="B17760" i="3"/>
  <c r="D17759" i="3"/>
  <c r="C17759" i="3"/>
  <c r="B17759" i="3"/>
  <c r="D17758" i="3"/>
  <c r="C17758" i="3"/>
  <c r="B17758" i="3"/>
  <c r="D17757" i="3"/>
  <c r="C17757" i="3"/>
  <c r="B17757" i="3"/>
  <c r="D17756" i="3"/>
  <c r="C17756" i="3"/>
  <c r="B17756" i="3"/>
  <c r="D17755" i="3"/>
  <c r="C17755" i="3"/>
  <c r="B17755" i="3"/>
  <c r="D17754" i="3"/>
  <c r="C17754" i="3"/>
  <c r="B17754" i="3"/>
  <c r="D17753" i="3"/>
  <c r="C17753" i="3"/>
  <c r="B17753" i="3"/>
  <c r="D17752" i="3"/>
  <c r="C17752" i="3"/>
  <c r="B17752" i="3"/>
  <c r="D17751" i="3"/>
  <c r="C17751" i="3"/>
  <c r="B17751" i="3"/>
  <c r="D17750" i="3"/>
  <c r="C17750" i="3"/>
  <c r="B17750" i="3"/>
  <c r="D17749" i="3"/>
  <c r="C17749" i="3"/>
  <c r="B17749" i="3"/>
  <c r="D17748" i="3"/>
  <c r="C17748" i="3"/>
  <c r="B17748" i="3"/>
  <c r="D17747" i="3"/>
  <c r="C17747" i="3"/>
  <c r="B17747" i="3"/>
  <c r="D17746" i="3"/>
  <c r="C17746" i="3"/>
  <c r="B17746" i="3"/>
  <c r="D17745" i="3"/>
  <c r="C17745" i="3"/>
  <c r="B17745" i="3"/>
  <c r="D17744" i="3"/>
  <c r="C17744" i="3"/>
  <c r="B17744" i="3"/>
  <c r="D17743" i="3"/>
  <c r="C17743" i="3"/>
  <c r="B17743" i="3"/>
  <c r="D17742" i="3"/>
  <c r="C17742" i="3"/>
  <c r="B17742" i="3"/>
  <c r="D17741" i="3"/>
  <c r="C17741" i="3"/>
  <c r="B17741" i="3"/>
  <c r="D17740" i="3"/>
  <c r="C17740" i="3"/>
  <c r="B17740" i="3"/>
  <c r="D17739" i="3"/>
  <c r="C17739" i="3"/>
  <c r="B17739" i="3"/>
  <c r="D17738" i="3"/>
  <c r="C17738" i="3"/>
  <c r="B17738" i="3"/>
  <c r="D17737" i="3"/>
  <c r="C17737" i="3"/>
  <c r="B17737" i="3"/>
  <c r="D17736" i="3"/>
  <c r="C17736" i="3"/>
  <c r="B17736" i="3"/>
  <c r="D17735" i="3"/>
  <c r="C17735" i="3"/>
  <c r="B17735" i="3"/>
  <c r="D17734" i="3"/>
  <c r="C17734" i="3"/>
  <c r="B17734" i="3"/>
  <c r="D17733" i="3"/>
  <c r="C17733" i="3"/>
  <c r="B17733" i="3"/>
  <c r="D17732" i="3"/>
  <c r="C17732" i="3"/>
  <c r="B17732" i="3"/>
  <c r="D17731" i="3"/>
  <c r="C17731" i="3"/>
  <c r="B17731" i="3"/>
  <c r="D17730" i="3"/>
  <c r="C17730" i="3"/>
  <c r="B17730" i="3"/>
  <c r="D17729" i="3"/>
  <c r="C17729" i="3"/>
  <c r="B17729" i="3"/>
  <c r="D17728" i="3"/>
  <c r="C17728" i="3"/>
  <c r="B17728" i="3"/>
  <c r="D17727" i="3"/>
  <c r="C17727" i="3"/>
  <c r="B17727" i="3"/>
  <c r="D17726" i="3"/>
  <c r="C17726" i="3"/>
  <c r="B17726" i="3"/>
  <c r="D17725" i="3"/>
  <c r="C17725" i="3"/>
  <c r="B17725" i="3"/>
  <c r="D17724" i="3"/>
  <c r="C17724" i="3"/>
  <c r="B17724" i="3"/>
  <c r="D17723" i="3"/>
  <c r="C17723" i="3"/>
  <c r="B17723" i="3"/>
  <c r="D17722" i="3"/>
  <c r="C17722" i="3"/>
  <c r="B17722" i="3"/>
  <c r="D17721" i="3"/>
  <c r="C17721" i="3"/>
  <c r="B17721" i="3"/>
  <c r="D17720" i="3"/>
  <c r="C17720" i="3"/>
  <c r="B17720" i="3"/>
  <c r="D17719" i="3"/>
  <c r="C17719" i="3"/>
  <c r="B17719" i="3"/>
  <c r="D17718" i="3"/>
  <c r="C17718" i="3"/>
  <c r="B17718" i="3"/>
  <c r="D17717" i="3"/>
  <c r="C17717" i="3"/>
  <c r="B17717" i="3"/>
  <c r="D17716" i="3"/>
  <c r="C17716" i="3"/>
  <c r="B17716" i="3"/>
  <c r="D17715" i="3"/>
  <c r="C17715" i="3"/>
  <c r="B17715" i="3"/>
  <c r="D17714" i="3"/>
  <c r="C17714" i="3"/>
  <c r="B17714" i="3"/>
  <c r="D17713" i="3"/>
  <c r="C17713" i="3"/>
  <c r="B17713" i="3"/>
  <c r="D17712" i="3"/>
  <c r="C17712" i="3"/>
  <c r="B17712" i="3"/>
  <c r="D17711" i="3"/>
  <c r="C17711" i="3"/>
  <c r="B17711" i="3"/>
  <c r="D17710" i="3"/>
  <c r="C17710" i="3"/>
  <c r="B17710" i="3"/>
  <c r="D17709" i="3"/>
  <c r="C17709" i="3"/>
  <c r="B17709" i="3"/>
  <c r="D17708" i="3"/>
  <c r="C17708" i="3"/>
  <c r="B17708" i="3"/>
  <c r="D17707" i="3"/>
  <c r="C17707" i="3"/>
  <c r="B17707" i="3"/>
  <c r="D17706" i="3"/>
  <c r="C17706" i="3"/>
  <c r="B17706" i="3"/>
  <c r="D17705" i="3"/>
  <c r="C17705" i="3"/>
  <c r="B17705" i="3"/>
  <c r="D17704" i="3"/>
  <c r="C17704" i="3"/>
  <c r="B17704" i="3"/>
  <c r="D17703" i="3"/>
  <c r="C17703" i="3"/>
  <c r="B17703" i="3"/>
  <c r="D17702" i="3"/>
  <c r="C17702" i="3"/>
  <c r="B17702" i="3"/>
  <c r="D17701" i="3"/>
  <c r="C17701" i="3"/>
  <c r="B17701" i="3"/>
  <c r="D17700" i="3"/>
  <c r="C17700" i="3"/>
  <c r="B17700" i="3"/>
  <c r="D17699" i="3"/>
  <c r="C17699" i="3"/>
  <c r="B17699" i="3"/>
  <c r="D17698" i="3"/>
  <c r="C17698" i="3"/>
  <c r="B17698" i="3"/>
  <c r="D17697" i="3"/>
  <c r="C17697" i="3"/>
  <c r="B17697" i="3"/>
  <c r="D17696" i="3"/>
  <c r="C17696" i="3"/>
  <c r="B17696" i="3"/>
  <c r="D17695" i="3"/>
  <c r="C17695" i="3"/>
  <c r="B17695" i="3"/>
  <c r="D17694" i="3"/>
  <c r="C17694" i="3"/>
  <c r="B17694" i="3"/>
  <c r="D17693" i="3"/>
  <c r="C17693" i="3"/>
  <c r="B17693" i="3"/>
  <c r="D17692" i="3"/>
  <c r="C17692" i="3"/>
  <c r="B17692" i="3"/>
  <c r="D17691" i="3"/>
  <c r="C17691" i="3"/>
  <c r="B17691" i="3"/>
  <c r="D17690" i="3"/>
  <c r="C17690" i="3"/>
  <c r="B17690" i="3"/>
  <c r="D17689" i="3"/>
  <c r="C17689" i="3"/>
  <c r="B17689" i="3"/>
  <c r="D17688" i="3"/>
  <c r="C17688" i="3"/>
  <c r="B17688" i="3"/>
  <c r="D17687" i="3"/>
  <c r="C17687" i="3"/>
  <c r="B17687" i="3"/>
  <c r="D17686" i="3"/>
  <c r="C17686" i="3"/>
  <c r="B17686" i="3"/>
  <c r="D17685" i="3"/>
  <c r="C17685" i="3"/>
  <c r="B17685" i="3"/>
  <c r="D17684" i="3"/>
  <c r="C17684" i="3"/>
  <c r="B17684" i="3"/>
  <c r="D17683" i="3"/>
  <c r="C17683" i="3"/>
  <c r="B17683" i="3"/>
  <c r="D17682" i="3"/>
  <c r="C17682" i="3"/>
  <c r="B17682" i="3"/>
  <c r="D17681" i="3"/>
  <c r="C17681" i="3"/>
  <c r="B17681" i="3"/>
  <c r="D17680" i="3"/>
  <c r="C17680" i="3"/>
  <c r="B17680" i="3"/>
  <c r="D17679" i="3"/>
  <c r="C17679" i="3"/>
  <c r="B17679" i="3"/>
  <c r="D17678" i="3"/>
  <c r="C17678" i="3"/>
  <c r="B17678" i="3"/>
  <c r="D17677" i="3"/>
  <c r="C17677" i="3"/>
  <c r="B17677" i="3"/>
  <c r="D17676" i="3"/>
  <c r="C17676" i="3"/>
  <c r="B17676" i="3"/>
  <c r="D17675" i="3"/>
  <c r="C17675" i="3"/>
  <c r="B17675" i="3"/>
  <c r="D17674" i="3"/>
  <c r="C17674" i="3"/>
  <c r="B17674" i="3"/>
  <c r="D17673" i="3"/>
  <c r="C17673" i="3"/>
  <c r="B17673" i="3"/>
  <c r="D17672" i="3"/>
  <c r="C17672" i="3"/>
  <c r="B17672" i="3"/>
  <c r="D17671" i="3"/>
  <c r="C17671" i="3"/>
  <c r="B17671" i="3"/>
  <c r="D17670" i="3"/>
  <c r="C17670" i="3"/>
  <c r="B17670" i="3"/>
  <c r="D17669" i="3"/>
  <c r="C17669" i="3"/>
  <c r="B17669" i="3"/>
  <c r="D17668" i="3"/>
  <c r="C17668" i="3"/>
  <c r="B17668" i="3"/>
  <c r="D17667" i="3"/>
  <c r="C17667" i="3"/>
  <c r="B17667" i="3"/>
  <c r="D17666" i="3"/>
  <c r="C17666" i="3"/>
  <c r="B17666" i="3"/>
  <c r="D17665" i="3"/>
  <c r="C17665" i="3"/>
  <c r="B17665" i="3"/>
  <c r="D17664" i="3"/>
  <c r="C17664" i="3"/>
  <c r="B17664" i="3"/>
  <c r="D17663" i="3"/>
  <c r="C17663" i="3"/>
  <c r="B17663" i="3"/>
  <c r="D17662" i="3"/>
  <c r="C17662" i="3"/>
  <c r="B17662" i="3"/>
  <c r="D17661" i="3"/>
  <c r="C17661" i="3"/>
  <c r="B17661" i="3"/>
  <c r="D17660" i="3"/>
  <c r="C17660" i="3"/>
  <c r="B17660" i="3"/>
  <c r="D17659" i="3"/>
  <c r="C17659" i="3"/>
  <c r="B17659" i="3"/>
  <c r="D17658" i="3"/>
  <c r="C17658" i="3"/>
  <c r="B17658" i="3"/>
  <c r="D17657" i="3"/>
  <c r="C17657" i="3"/>
  <c r="B17657" i="3"/>
  <c r="D17656" i="3"/>
  <c r="C17656" i="3"/>
  <c r="B17656" i="3"/>
  <c r="D17655" i="3"/>
  <c r="C17655" i="3"/>
  <c r="B17655" i="3"/>
  <c r="D17654" i="3"/>
  <c r="C17654" i="3"/>
  <c r="B17654" i="3"/>
  <c r="D17653" i="3"/>
  <c r="C17653" i="3"/>
  <c r="B17653" i="3"/>
  <c r="D17652" i="3"/>
  <c r="C17652" i="3"/>
  <c r="B17652" i="3"/>
  <c r="D17651" i="3"/>
  <c r="C17651" i="3"/>
  <c r="B17651" i="3"/>
  <c r="D17650" i="3"/>
  <c r="C17650" i="3"/>
  <c r="B17650" i="3"/>
  <c r="D17649" i="3"/>
  <c r="C17649" i="3"/>
  <c r="B17649" i="3"/>
  <c r="D17648" i="3"/>
  <c r="C17648" i="3"/>
  <c r="B17648" i="3"/>
  <c r="D17647" i="3"/>
  <c r="C17647" i="3"/>
  <c r="B17647" i="3"/>
  <c r="D17646" i="3"/>
  <c r="C17646" i="3"/>
  <c r="B17646" i="3"/>
  <c r="D17645" i="3"/>
  <c r="C17645" i="3"/>
  <c r="B17645" i="3"/>
  <c r="D17644" i="3"/>
  <c r="C17644" i="3"/>
  <c r="B17644" i="3"/>
  <c r="D17643" i="3"/>
  <c r="C17643" i="3"/>
  <c r="B17643" i="3"/>
  <c r="D17642" i="3"/>
  <c r="C17642" i="3"/>
  <c r="B17642" i="3"/>
  <c r="D17641" i="3"/>
  <c r="C17641" i="3"/>
  <c r="B17641" i="3"/>
  <c r="D17640" i="3"/>
  <c r="C17640" i="3"/>
  <c r="B17640" i="3"/>
  <c r="D17639" i="3"/>
  <c r="C17639" i="3"/>
  <c r="B17639" i="3"/>
  <c r="D17638" i="3"/>
  <c r="C17638" i="3"/>
  <c r="B17638" i="3"/>
  <c r="D17637" i="3"/>
  <c r="C17637" i="3"/>
  <c r="B17637" i="3"/>
  <c r="D17636" i="3"/>
  <c r="C17636" i="3"/>
  <c r="B17636" i="3"/>
  <c r="D17635" i="3"/>
  <c r="C17635" i="3"/>
  <c r="B17635" i="3"/>
  <c r="D17634" i="3"/>
  <c r="C17634" i="3"/>
  <c r="B17634" i="3"/>
  <c r="D17633" i="3"/>
  <c r="C17633" i="3"/>
  <c r="B17633" i="3"/>
  <c r="D17632" i="3"/>
  <c r="C17632" i="3"/>
  <c r="B17632" i="3"/>
  <c r="D17631" i="3"/>
  <c r="C17631" i="3"/>
  <c r="B17631" i="3"/>
  <c r="D17630" i="3"/>
  <c r="C17630" i="3"/>
  <c r="B17630" i="3"/>
  <c r="D17629" i="3"/>
  <c r="C17629" i="3"/>
  <c r="B17629" i="3"/>
  <c r="D17628" i="3"/>
  <c r="C17628" i="3"/>
  <c r="B17628" i="3"/>
  <c r="D17627" i="3"/>
  <c r="C17627" i="3"/>
  <c r="B17627" i="3"/>
  <c r="D17626" i="3"/>
  <c r="C17626" i="3"/>
  <c r="B17626" i="3"/>
  <c r="D17625" i="3"/>
  <c r="C17625" i="3"/>
  <c r="B17625" i="3"/>
  <c r="D17624" i="3"/>
  <c r="C17624" i="3"/>
  <c r="B17624" i="3"/>
  <c r="D17623" i="3"/>
  <c r="C17623" i="3"/>
  <c r="B17623" i="3"/>
  <c r="D17622" i="3"/>
  <c r="C17622" i="3"/>
  <c r="B17622" i="3"/>
  <c r="D17621" i="3"/>
  <c r="C17621" i="3"/>
  <c r="B17621" i="3"/>
  <c r="D17620" i="3"/>
  <c r="C17620" i="3"/>
  <c r="B17620" i="3"/>
  <c r="D17619" i="3"/>
  <c r="C17619" i="3"/>
  <c r="B17619" i="3"/>
  <c r="D17618" i="3"/>
  <c r="C17618" i="3"/>
  <c r="B17618" i="3"/>
  <c r="D17617" i="3"/>
  <c r="C17617" i="3"/>
  <c r="B17617" i="3"/>
  <c r="D17616" i="3"/>
  <c r="C17616" i="3"/>
  <c r="B17616" i="3"/>
  <c r="D17615" i="3"/>
  <c r="C17615" i="3"/>
  <c r="B17615" i="3"/>
  <c r="D17614" i="3"/>
  <c r="C17614" i="3"/>
  <c r="B17614" i="3"/>
  <c r="D17613" i="3"/>
  <c r="C17613" i="3"/>
  <c r="B17613" i="3"/>
  <c r="D17612" i="3"/>
  <c r="C17612" i="3"/>
  <c r="B17612" i="3"/>
  <c r="D17611" i="3"/>
  <c r="C17611" i="3"/>
  <c r="B17611" i="3"/>
  <c r="D17610" i="3"/>
  <c r="C17610" i="3"/>
  <c r="B17610" i="3"/>
  <c r="D17609" i="3"/>
  <c r="C17609" i="3"/>
  <c r="B17609" i="3"/>
  <c r="D17608" i="3"/>
  <c r="C17608" i="3"/>
  <c r="B17608" i="3"/>
  <c r="D17607" i="3"/>
  <c r="C17607" i="3"/>
  <c r="B17607" i="3"/>
  <c r="D17606" i="3"/>
  <c r="C17606" i="3"/>
  <c r="B17606" i="3"/>
  <c r="D17605" i="3"/>
  <c r="C17605" i="3"/>
  <c r="B17605" i="3"/>
  <c r="D17604" i="3"/>
  <c r="C17604" i="3"/>
  <c r="B17604" i="3"/>
  <c r="D17603" i="3"/>
  <c r="C17603" i="3"/>
  <c r="B17603" i="3"/>
  <c r="D17602" i="3"/>
  <c r="C17602" i="3"/>
  <c r="B17602" i="3"/>
  <c r="D17601" i="3"/>
  <c r="C17601" i="3"/>
  <c r="B17601" i="3"/>
  <c r="D17600" i="3"/>
  <c r="C17600" i="3"/>
  <c r="B17600" i="3"/>
  <c r="D17599" i="3"/>
  <c r="C17599" i="3"/>
  <c r="B17599" i="3"/>
  <c r="D17598" i="3"/>
  <c r="C17598" i="3"/>
  <c r="B17598" i="3"/>
  <c r="D17597" i="3"/>
  <c r="C17597" i="3"/>
  <c r="B17597" i="3"/>
  <c r="D17596" i="3"/>
  <c r="C17596" i="3"/>
  <c r="B17596" i="3"/>
  <c r="D17595" i="3"/>
  <c r="C17595" i="3"/>
  <c r="B17595" i="3"/>
  <c r="D17594" i="3"/>
  <c r="C17594" i="3"/>
  <c r="B17594" i="3"/>
  <c r="D17593" i="3"/>
  <c r="C17593" i="3"/>
  <c r="B17593" i="3"/>
  <c r="D17592" i="3"/>
  <c r="C17592" i="3"/>
  <c r="B17592" i="3"/>
  <c r="D17591" i="3"/>
  <c r="C17591" i="3"/>
  <c r="B17591" i="3"/>
  <c r="D17590" i="3"/>
  <c r="C17590" i="3"/>
  <c r="B17590" i="3"/>
  <c r="D17589" i="3"/>
  <c r="C17589" i="3"/>
  <c r="B17589" i="3"/>
  <c r="D17588" i="3"/>
  <c r="C17588" i="3"/>
  <c r="B17588" i="3"/>
  <c r="D17587" i="3"/>
  <c r="C17587" i="3"/>
  <c r="B17587" i="3"/>
  <c r="D17586" i="3"/>
  <c r="C17586" i="3"/>
  <c r="B17586" i="3"/>
  <c r="D17585" i="3"/>
  <c r="C17585" i="3"/>
  <c r="B17585" i="3"/>
  <c r="D17584" i="3"/>
  <c r="C17584" i="3"/>
  <c r="B17584" i="3"/>
  <c r="D17583" i="3"/>
  <c r="C17583" i="3"/>
  <c r="B17583" i="3"/>
  <c r="D17582" i="3"/>
  <c r="C17582" i="3"/>
  <c r="B17582" i="3"/>
  <c r="D17581" i="3"/>
  <c r="C17581" i="3"/>
  <c r="B17581" i="3"/>
  <c r="D17580" i="3"/>
  <c r="C17580" i="3"/>
  <c r="B17580" i="3"/>
  <c r="D17579" i="3"/>
  <c r="C17579" i="3"/>
  <c r="B17579" i="3"/>
  <c r="D17578" i="3"/>
  <c r="C17578" i="3"/>
  <c r="B17578" i="3"/>
  <c r="D17577" i="3"/>
  <c r="C17577" i="3"/>
  <c r="B17577" i="3"/>
  <c r="D17576" i="3"/>
  <c r="C17576" i="3"/>
  <c r="B17576" i="3"/>
  <c r="D17575" i="3"/>
  <c r="C17575" i="3"/>
  <c r="B17575" i="3"/>
  <c r="D17574" i="3"/>
  <c r="C17574" i="3"/>
  <c r="B17574" i="3"/>
  <c r="D17573" i="3"/>
  <c r="C17573" i="3"/>
  <c r="B17573" i="3"/>
  <c r="D17572" i="3"/>
  <c r="C17572" i="3"/>
  <c r="B17572" i="3"/>
  <c r="D17571" i="3"/>
  <c r="C17571" i="3"/>
  <c r="B17571" i="3"/>
  <c r="D17570" i="3"/>
  <c r="C17570" i="3"/>
  <c r="B17570" i="3"/>
  <c r="D17569" i="3"/>
  <c r="C17569" i="3"/>
  <c r="B17569" i="3"/>
  <c r="D17568" i="3"/>
  <c r="C17568" i="3"/>
  <c r="B17568" i="3"/>
  <c r="D17567" i="3"/>
  <c r="C17567" i="3"/>
  <c r="B17567" i="3"/>
  <c r="D17566" i="3"/>
  <c r="C17566" i="3"/>
  <c r="B17566" i="3"/>
  <c r="D17565" i="3"/>
  <c r="C17565" i="3"/>
  <c r="B17565" i="3"/>
  <c r="D17564" i="3"/>
  <c r="C17564" i="3"/>
  <c r="B17564" i="3"/>
  <c r="D17563" i="3"/>
  <c r="C17563" i="3"/>
  <c r="B17563" i="3"/>
  <c r="D17562" i="3"/>
  <c r="C17562" i="3"/>
  <c r="B17562" i="3"/>
  <c r="D17561" i="3"/>
  <c r="C17561" i="3"/>
  <c r="B17561" i="3"/>
  <c r="D17560" i="3"/>
  <c r="C17560" i="3"/>
  <c r="B17560" i="3"/>
  <c r="D17559" i="3"/>
  <c r="C17559" i="3"/>
  <c r="B17559" i="3"/>
  <c r="D17558" i="3"/>
  <c r="C17558" i="3"/>
  <c r="B17558" i="3"/>
  <c r="D17557" i="3"/>
  <c r="C17557" i="3"/>
  <c r="B17557" i="3"/>
  <c r="D17556" i="3"/>
  <c r="C17556" i="3"/>
  <c r="B17556" i="3"/>
  <c r="D17555" i="3"/>
  <c r="C17555" i="3"/>
  <c r="B17555" i="3"/>
  <c r="D17554" i="3"/>
  <c r="C17554" i="3"/>
  <c r="B17554" i="3"/>
  <c r="D17553" i="3"/>
  <c r="C17553" i="3"/>
  <c r="B17553" i="3"/>
  <c r="D17552" i="3"/>
  <c r="C17552" i="3"/>
  <c r="B17552" i="3"/>
  <c r="D17551" i="3"/>
  <c r="C17551" i="3"/>
  <c r="B17551" i="3"/>
  <c r="D17550" i="3"/>
  <c r="C17550" i="3"/>
  <c r="B17550" i="3"/>
  <c r="D17549" i="3"/>
  <c r="C17549" i="3"/>
  <c r="B17549" i="3"/>
  <c r="D17548" i="3"/>
  <c r="C17548" i="3"/>
  <c r="B17548" i="3"/>
  <c r="D17547" i="3"/>
  <c r="C17547" i="3"/>
  <c r="B17547" i="3"/>
  <c r="D17546" i="3"/>
  <c r="C17546" i="3"/>
  <c r="B17546" i="3"/>
  <c r="D17545" i="3"/>
  <c r="C17545" i="3"/>
  <c r="B17545" i="3"/>
  <c r="D17544" i="3"/>
  <c r="C17544" i="3"/>
  <c r="B17544" i="3"/>
  <c r="D17543" i="3"/>
  <c r="C17543" i="3"/>
  <c r="B17543" i="3"/>
  <c r="D17542" i="3"/>
  <c r="C17542" i="3"/>
  <c r="B17542" i="3"/>
  <c r="D17541" i="3"/>
  <c r="C17541" i="3"/>
  <c r="B17541" i="3"/>
  <c r="D17540" i="3"/>
  <c r="C17540" i="3"/>
  <c r="B17540" i="3"/>
  <c r="D17539" i="3"/>
  <c r="C17539" i="3"/>
  <c r="B17539" i="3"/>
  <c r="D17538" i="3"/>
  <c r="C17538" i="3"/>
  <c r="B17538" i="3"/>
  <c r="D17537" i="3"/>
  <c r="C17537" i="3"/>
  <c r="B17537" i="3"/>
  <c r="D17536" i="3"/>
  <c r="C17536" i="3"/>
  <c r="B17536" i="3"/>
  <c r="D17535" i="3"/>
  <c r="C17535" i="3"/>
  <c r="B17535" i="3"/>
  <c r="D17534" i="3"/>
  <c r="C17534" i="3"/>
  <c r="B17534" i="3"/>
  <c r="D17533" i="3"/>
  <c r="C17533" i="3"/>
  <c r="B17533" i="3"/>
  <c r="D17532" i="3"/>
  <c r="C17532" i="3"/>
  <c r="B17532" i="3"/>
  <c r="D17531" i="3"/>
  <c r="C17531" i="3"/>
  <c r="B17531" i="3"/>
  <c r="D17530" i="3"/>
  <c r="C17530" i="3"/>
  <c r="B17530" i="3"/>
  <c r="D17529" i="3"/>
  <c r="C17529" i="3"/>
  <c r="B17529" i="3"/>
  <c r="D17528" i="3"/>
  <c r="C17528" i="3"/>
  <c r="B17528" i="3"/>
  <c r="D17527" i="3"/>
  <c r="C17527" i="3"/>
  <c r="B17527" i="3"/>
  <c r="D17526" i="3"/>
  <c r="C17526" i="3"/>
  <c r="B17526" i="3"/>
  <c r="D17525" i="3"/>
  <c r="C17525" i="3"/>
  <c r="B17525" i="3"/>
  <c r="D17524" i="3"/>
  <c r="C17524" i="3"/>
  <c r="B17524" i="3"/>
  <c r="D17523" i="3"/>
  <c r="C17523" i="3"/>
  <c r="B17523" i="3"/>
  <c r="D17522" i="3"/>
  <c r="C17522" i="3"/>
  <c r="B17522" i="3"/>
  <c r="D17521" i="3"/>
  <c r="C17521" i="3"/>
  <c r="B17521" i="3"/>
  <c r="D17520" i="3"/>
  <c r="C17520" i="3"/>
  <c r="B17520" i="3"/>
  <c r="D17519" i="3"/>
  <c r="C17519" i="3"/>
  <c r="B17519" i="3"/>
  <c r="D17518" i="3"/>
  <c r="C17518" i="3"/>
  <c r="B17518" i="3"/>
  <c r="D17517" i="3"/>
  <c r="C17517" i="3"/>
  <c r="B17517" i="3"/>
  <c r="D17516" i="3"/>
  <c r="C17516" i="3"/>
  <c r="B17516" i="3"/>
  <c r="D17515" i="3"/>
  <c r="C17515" i="3"/>
  <c r="B17515" i="3"/>
  <c r="D17514" i="3"/>
  <c r="C17514" i="3"/>
  <c r="B17514" i="3"/>
  <c r="D17513" i="3"/>
  <c r="C17513" i="3"/>
  <c r="B17513" i="3"/>
  <c r="D17512" i="3"/>
  <c r="C17512" i="3"/>
  <c r="B17512" i="3"/>
  <c r="D17511" i="3"/>
  <c r="C17511" i="3"/>
  <c r="B17511" i="3"/>
  <c r="D17510" i="3"/>
  <c r="C17510" i="3"/>
  <c r="B17510" i="3"/>
  <c r="D17509" i="3"/>
  <c r="C17509" i="3"/>
  <c r="B17509" i="3"/>
  <c r="D17508" i="3"/>
  <c r="C17508" i="3"/>
  <c r="B17508" i="3"/>
  <c r="D17507" i="3"/>
  <c r="C17507" i="3"/>
  <c r="B17507" i="3"/>
  <c r="D17506" i="3"/>
  <c r="C17506" i="3"/>
  <c r="B17506" i="3"/>
  <c r="D17505" i="3"/>
  <c r="C17505" i="3"/>
  <c r="B17505" i="3"/>
  <c r="D17504" i="3"/>
  <c r="C17504" i="3"/>
  <c r="B17504" i="3"/>
  <c r="D17503" i="3"/>
  <c r="C17503" i="3"/>
  <c r="B17503" i="3"/>
  <c r="D17502" i="3"/>
  <c r="C17502" i="3"/>
  <c r="B17502" i="3"/>
  <c r="D17501" i="3"/>
  <c r="C17501" i="3"/>
  <c r="B17501" i="3"/>
  <c r="D17500" i="3"/>
  <c r="C17500" i="3"/>
  <c r="B17500" i="3"/>
  <c r="D17499" i="3"/>
  <c r="C17499" i="3"/>
  <c r="B17499" i="3"/>
  <c r="D17498" i="3"/>
  <c r="C17498" i="3"/>
  <c r="B17498" i="3"/>
  <c r="D17497" i="3"/>
  <c r="C17497" i="3"/>
  <c r="B17497" i="3"/>
  <c r="D17496" i="3"/>
  <c r="C17496" i="3"/>
  <c r="B17496" i="3"/>
  <c r="D17495" i="3"/>
  <c r="C17495" i="3"/>
  <c r="B17495" i="3"/>
  <c r="D17494" i="3"/>
  <c r="C17494" i="3"/>
  <c r="B17494" i="3"/>
  <c r="D17493" i="3"/>
  <c r="C17493" i="3"/>
  <c r="B17493" i="3"/>
  <c r="D17492" i="3"/>
  <c r="C17492" i="3"/>
  <c r="B17492" i="3"/>
  <c r="D17491" i="3"/>
  <c r="C17491" i="3"/>
  <c r="B17491" i="3"/>
  <c r="D17490" i="3"/>
  <c r="C17490" i="3"/>
  <c r="B17490" i="3"/>
  <c r="D17489" i="3"/>
  <c r="C17489" i="3"/>
  <c r="B17489" i="3"/>
  <c r="D17488" i="3"/>
  <c r="C17488" i="3"/>
  <c r="B17488" i="3"/>
  <c r="D17487" i="3"/>
  <c r="C17487" i="3"/>
  <c r="B17487" i="3"/>
  <c r="D17486" i="3"/>
  <c r="C17486" i="3"/>
  <c r="B17486" i="3"/>
  <c r="D17485" i="3"/>
  <c r="C17485" i="3"/>
  <c r="B17485" i="3"/>
  <c r="D17484" i="3"/>
  <c r="C17484" i="3"/>
  <c r="B17484" i="3"/>
  <c r="D17483" i="3"/>
  <c r="C17483" i="3"/>
  <c r="B17483" i="3"/>
  <c r="D17482" i="3"/>
  <c r="C17482" i="3"/>
  <c r="B17482" i="3"/>
  <c r="D17481" i="3"/>
  <c r="C17481" i="3"/>
  <c r="B17481" i="3"/>
  <c r="D17480" i="3"/>
  <c r="C17480" i="3"/>
  <c r="B17480" i="3"/>
  <c r="D17479" i="3"/>
  <c r="C17479" i="3"/>
  <c r="B17479" i="3"/>
  <c r="D17478" i="3"/>
  <c r="C17478" i="3"/>
  <c r="B17478" i="3"/>
  <c r="D17477" i="3"/>
  <c r="C17477" i="3"/>
  <c r="B17477" i="3"/>
  <c r="D17476" i="3"/>
  <c r="C17476" i="3"/>
  <c r="B17476" i="3"/>
  <c r="D17475" i="3"/>
  <c r="C17475" i="3"/>
  <c r="B17475" i="3"/>
  <c r="D17474" i="3"/>
  <c r="C17474" i="3"/>
  <c r="B17474" i="3"/>
  <c r="D17473" i="3"/>
  <c r="C17473" i="3"/>
  <c r="B17473" i="3"/>
  <c r="D17472" i="3"/>
  <c r="C17472" i="3"/>
  <c r="B17472" i="3"/>
  <c r="D17471" i="3"/>
  <c r="C17471" i="3"/>
  <c r="B17471" i="3"/>
  <c r="D17470" i="3"/>
  <c r="C17470" i="3"/>
  <c r="B17470" i="3"/>
  <c r="D17469" i="3"/>
  <c r="C17469" i="3"/>
  <c r="B17469" i="3"/>
  <c r="D17468" i="3"/>
  <c r="C17468" i="3"/>
  <c r="B17468" i="3"/>
  <c r="D17467" i="3"/>
  <c r="C17467" i="3"/>
  <c r="B17467" i="3"/>
  <c r="D17466" i="3"/>
  <c r="C17466" i="3"/>
  <c r="B17466" i="3"/>
  <c r="D17465" i="3"/>
  <c r="C17465" i="3"/>
  <c r="B17465" i="3"/>
  <c r="D17464" i="3"/>
  <c r="C17464" i="3"/>
  <c r="B17464" i="3"/>
  <c r="D17463" i="3"/>
  <c r="C17463" i="3"/>
  <c r="B17463" i="3"/>
  <c r="D17462" i="3"/>
  <c r="C17462" i="3"/>
  <c r="B17462" i="3"/>
  <c r="D17461" i="3"/>
  <c r="C17461" i="3"/>
  <c r="B17461" i="3"/>
  <c r="D17460" i="3"/>
  <c r="C17460" i="3"/>
  <c r="B17460" i="3"/>
  <c r="D17459" i="3"/>
  <c r="C17459" i="3"/>
  <c r="B17459" i="3"/>
  <c r="D17458" i="3"/>
  <c r="C17458" i="3"/>
  <c r="B17458" i="3"/>
  <c r="D17457" i="3"/>
  <c r="C17457" i="3"/>
  <c r="B17457" i="3"/>
  <c r="D17456" i="3"/>
  <c r="C17456" i="3"/>
  <c r="B17456" i="3"/>
  <c r="D17455" i="3"/>
  <c r="C17455" i="3"/>
  <c r="B17455" i="3"/>
  <c r="D17454" i="3"/>
  <c r="C17454" i="3"/>
  <c r="B17454" i="3"/>
  <c r="D17453" i="3"/>
  <c r="C17453" i="3"/>
  <c r="B17453" i="3"/>
  <c r="D17452" i="3"/>
  <c r="C17452" i="3"/>
  <c r="B17452" i="3"/>
  <c r="D17451" i="3"/>
  <c r="C17451" i="3"/>
  <c r="B17451" i="3"/>
  <c r="D17450" i="3"/>
  <c r="C17450" i="3"/>
  <c r="B17450" i="3"/>
  <c r="D17449" i="3"/>
  <c r="C17449" i="3"/>
  <c r="B17449" i="3"/>
  <c r="D17448" i="3"/>
  <c r="C17448" i="3"/>
  <c r="B17448" i="3"/>
  <c r="D17447" i="3"/>
  <c r="C17447" i="3"/>
  <c r="B17447" i="3"/>
  <c r="D17446" i="3"/>
  <c r="C17446" i="3"/>
  <c r="B17446" i="3"/>
  <c r="D17445" i="3"/>
  <c r="C17445" i="3"/>
  <c r="B17445" i="3"/>
  <c r="D17444" i="3"/>
  <c r="C17444" i="3"/>
  <c r="B17444" i="3"/>
  <c r="D17443" i="3"/>
  <c r="C17443" i="3"/>
  <c r="B17443" i="3"/>
  <c r="D17442" i="3"/>
  <c r="C17442" i="3"/>
  <c r="B17442" i="3"/>
  <c r="D17441" i="3"/>
  <c r="C17441" i="3"/>
  <c r="B17441" i="3"/>
  <c r="D17440" i="3"/>
  <c r="C17440" i="3"/>
  <c r="B17440" i="3"/>
  <c r="D17439" i="3"/>
  <c r="C17439" i="3"/>
  <c r="B17439" i="3"/>
  <c r="D17438" i="3"/>
  <c r="C17438" i="3"/>
  <c r="B17438" i="3"/>
  <c r="D17437" i="3"/>
  <c r="C17437" i="3"/>
  <c r="B17437" i="3"/>
  <c r="D17436" i="3"/>
  <c r="C17436" i="3"/>
  <c r="B17436" i="3"/>
  <c r="D17435" i="3"/>
  <c r="C17435" i="3"/>
  <c r="B17435" i="3"/>
  <c r="D17434" i="3"/>
  <c r="C17434" i="3"/>
  <c r="B17434" i="3"/>
  <c r="D17433" i="3"/>
  <c r="C17433" i="3"/>
  <c r="B17433" i="3"/>
  <c r="D17432" i="3"/>
  <c r="C17432" i="3"/>
  <c r="B17432" i="3"/>
  <c r="D17431" i="3"/>
  <c r="C17431" i="3"/>
  <c r="B17431" i="3"/>
  <c r="D17430" i="3"/>
  <c r="C17430" i="3"/>
  <c r="B17430" i="3"/>
  <c r="D17429" i="3"/>
  <c r="C17429" i="3"/>
  <c r="B17429" i="3"/>
  <c r="D17428" i="3"/>
  <c r="C17428" i="3"/>
  <c r="B17428" i="3"/>
  <c r="D17427" i="3"/>
  <c r="C17427" i="3"/>
  <c r="B17427" i="3"/>
  <c r="D17426" i="3"/>
  <c r="C17426" i="3"/>
  <c r="B17426" i="3"/>
  <c r="D17425" i="3"/>
  <c r="C17425" i="3"/>
  <c r="B17425" i="3"/>
  <c r="D17424" i="3"/>
  <c r="C17424" i="3"/>
  <c r="B17424" i="3"/>
  <c r="D17423" i="3"/>
  <c r="C17423" i="3"/>
  <c r="B17423" i="3"/>
  <c r="D17422" i="3"/>
  <c r="C17422" i="3"/>
  <c r="B17422" i="3"/>
  <c r="D17421" i="3"/>
  <c r="C17421" i="3"/>
  <c r="B17421" i="3"/>
  <c r="D17420" i="3"/>
  <c r="C17420" i="3"/>
  <c r="B17420" i="3"/>
  <c r="D17419" i="3"/>
  <c r="C17419" i="3"/>
  <c r="B17419" i="3"/>
  <c r="D17418" i="3"/>
  <c r="C17418" i="3"/>
  <c r="B17418" i="3"/>
  <c r="D17417" i="3"/>
  <c r="C17417" i="3"/>
  <c r="B17417" i="3"/>
  <c r="D17416" i="3"/>
  <c r="C17416" i="3"/>
  <c r="B17416" i="3"/>
  <c r="D17415" i="3"/>
  <c r="C17415" i="3"/>
  <c r="B17415" i="3"/>
  <c r="D17414" i="3"/>
  <c r="C17414" i="3"/>
  <c r="B17414" i="3"/>
  <c r="D17413" i="3"/>
  <c r="C17413" i="3"/>
  <c r="B17413" i="3"/>
  <c r="D17412" i="3"/>
  <c r="C17412" i="3"/>
  <c r="B17412" i="3"/>
  <c r="D17411" i="3"/>
  <c r="C17411" i="3"/>
  <c r="B17411" i="3"/>
  <c r="D17410" i="3"/>
  <c r="C17410" i="3"/>
  <c r="B17410" i="3"/>
  <c r="D17409" i="3"/>
  <c r="C17409" i="3"/>
  <c r="B17409" i="3"/>
  <c r="D17408" i="3"/>
  <c r="C17408" i="3"/>
  <c r="B17408" i="3"/>
  <c r="D17407" i="3"/>
  <c r="C17407" i="3"/>
  <c r="B17407" i="3"/>
  <c r="D17406" i="3"/>
  <c r="C17406" i="3"/>
  <c r="B17406" i="3"/>
  <c r="D17405" i="3"/>
  <c r="C17405" i="3"/>
  <c r="B17405" i="3"/>
  <c r="D17404" i="3"/>
  <c r="C17404" i="3"/>
  <c r="B17404" i="3"/>
  <c r="D17403" i="3"/>
  <c r="C17403" i="3"/>
  <c r="B17403" i="3"/>
  <c r="D17402" i="3"/>
  <c r="C17402" i="3"/>
  <c r="B17402" i="3"/>
  <c r="D17401" i="3"/>
  <c r="C17401" i="3"/>
  <c r="B17401" i="3"/>
  <c r="D17400" i="3"/>
  <c r="C17400" i="3"/>
  <c r="B17400" i="3"/>
  <c r="D17399" i="3"/>
  <c r="C17399" i="3"/>
  <c r="B17399" i="3"/>
  <c r="D17398" i="3"/>
  <c r="C17398" i="3"/>
  <c r="B17398" i="3"/>
  <c r="D17397" i="3"/>
  <c r="C17397" i="3"/>
  <c r="B17397" i="3"/>
  <c r="D17396" i="3"/>
  <c r="C17396" i="3"/>
  <c r="B17396" i="3"/>
  <c r="D17395" i="3"/>
  <c r="C17395" i="3"/>
  <c r="B17395" i="3"/>
  <c r="D17394" i="3"/>
  <c r="C17394" i="3"/>
  <c r="B17394" i="3"/>
  <c r="D17393" i="3"/>
  <c r="C17393" i="3"/>
  <c r="B17393" i="3"/>
  <c r="D17392" i="3"/>
  <c r="C17392" i="3"/>
  <c r="B17392" i="3"/>
  <c r="D17391" i="3"/>
  <c r="C17391" i="3"/>
  <c r="B17391" i="3"/>
  <c r="D17390" i="3"/>
  <c r="C17390" i="3"/>
  <c r="B17390" i="3"/>
  <c r="D17389" i="3"/>
  <c r="C17389" i="3"/>
  <c r="B17389" i="3"/>
  <c r="D17388" i="3"/>
  <c r="C17388" i="3"/>
  <c r="B17388" i="3"/>
  <c r="D17387" i="3"/>
  <c r="C17387" i="3"/>
  <c r="B17387" i="3"/>
  <c r="D17386" i="3"/>
  <c r="C17386" i="3"/>
  <c r="B17386" i="3"/>
  <c r="D17385" i="3"/>
  <c r="C17385" i="3"/>
  <c r="B17385" i="3"/>
  <c r="D17384" i="3"/>
  <c r="C17384" i="3"/>
  <c r="B17384" i="3"/>
  <c r="D17383" i="3"/>
  <c r="C17383" i="3"/>
  <c r="B17383" i="3"/>
  <c r="D17382" i="3"/>
  <c r="C17382" i="3"/>
  <c r="B17382" i="3"/>
  <c r="D17381" i="3"/>
  <c r="C17381" i="3"/>
  <c r="B17381" i="3"/>
  <c r="D17380" i="3"/>
  <c r="C17380" i="3"/>
  <c r="B17380" i="3"/>
  <c r="D17379" i="3"/>
  <c r="C17379" i="3"/>
  <c r="B17379" i="3"/>
  <c r="D17378" i="3"/>
  <c r="C17378" i="3"/>
  <c r="B17378" i="3"/>
  <c r="D17377" i="3"/>
  <c r="C17377" i="3"/>
  <c r="B17377" i="3"/>
  <c r="D17376" i="3"/>
  <c r="C17376" i="3"/>
  <c r="B17376" i="3"/>
  <c r="D17375" i="3"/>
  <c r="C17375" i="3"/>
  <c r="B17375" i="3"/>
  <c r="D17374" i="3"/>
  <c r="C17374" i="3"/>
  <c r="B17374" i="3"/>
  <c r="D17373" i="3"/>
  <c r="C17373" i="3"/>
  <c r="B17373" i="3"/>
  <c r="D17372" i="3"/>
  <c r="C17372" i="3"/>
  <c r="B17372" i="3"/>
  <c r="D17371" i="3"/>
  <c r="C17371" i="3"/>
  <c r="B17371" i="3"/>
  <c r="D17370" i="3"/>
  <c r="C17370" i="3"/>
  <c r="B17370" i="3"/>
  <c r="D17369" i="3"/>
  <c r="C17369" i="3"/>
  <c r="B17369" i="3"/>
  <c r="D17368" i="3"/>
  <c r="C17368" i="3"/>
  <c r="B17368" i="3"/>
  <c r="D17367" i="3"/>
  <c r="C17367" i="3"/>
  <c r="B17367" i="3"/>
  <c r="D17366" i="3"/>
  <c r="C17366" i="3"/>
  <c r="B17366" i="3"/>
  <c r="D17365" i="3"/>
  <c r="C17365" i="3"/>
  <c r="B17365" i="3"/>
  <c r="D17364" i="3"/>
  <c r="C17364" i="3"/>
  <c r="B17364" i="3"/>
  <c r="D17363" i="3"/>
  <c r="C17363" i="3"/>
  <c r="B17363" i="3"/>
  <c r="D17362" i="3"/>
  <c r="C17362" i="3"/>
  <c r="B17362" i="3"/>
  <c r="D17361" i="3"/>
  <c r="C17361" i="3"/>
  <c r="B17361" i="3"/>
  <c r="D17360" i="3"/>
  <c r="C17360" i="3"/>
  <c r="B17360" i="3"/>
  <c r="D17359" i="3"/>
  <c r="C17359" i="3"/>
  <c r="B17359" i="3"/>
  <c r="D17358" i="3"/>
  <c r="C17358" i="3"/>
  <c r="B17358" i="3"/>
  <c r="D17357" i="3"/>
  <c r="C17357" i="3"/>
  <c r="B17357" i="3"/>
  <c r="D17356" i="3"/>
  <c r="C17356" i="3"/>
  <c r="B17356" i="3"/>
  <c r="D17355" i="3"/>
  <c r="C17355" i="3"/>
  <c r="B17355" i="3"/>
  <c r="D17354" i="3"/>
  <c r="C17354" i="3"/>
  <c r="B17354" i="3"/>
  <c r="D17353" i="3"/>
  <c r="C17353" i="3"/>
  <c r="B17353" i="3"/>
  <c r="D17352" i="3"/>
  <c r="C17352" i="3"/>
  <c r="B17352" i="3"/>
  <c r="D17351" i="3"/>
  <c r="C17351" i="3"/>
  <c r="B17351" i="3"/>
  <c r="D17350" i="3"/>
  <c r="C17350" i="3"/>
  <c r="B17350" i="3"/>
  <c r="D17349" i="3"/>
  <c r="C17349" i="3"/>
  <c r="B17349" i="3"/>
  <c r="D17348" i="3"/>
  <c r="C17348" i="3"/>
  <c r="B17348" i="3"/>
  <c r="D17347" i="3"/>
  <c r="C17347" i="3"/>
  <c r="B17347" i="3"/>
  <c r="D17346" i="3"/>
  <c r="C17346" i="3"/>
  <c r="B17346" i="3"/>
  <c r="D17345" i="3"/>
  <c r="C17345" i="3"/>
  <c r="B17345" i="3"/>
  <c r="D17344" i="3"/>
  <c r="C17344" i="3"/>
  <c r="B17344" i="3"/>
  <c r="D17343" i="3"/>
  <c r="C17343" i="3"/>
  <c r="B17343" i="3"/>
  <c r="D17342" i="3"/>
  <c r="C17342" i="3"/>
  <c r="B17342" i="3"/>
  <c r="D17341" i="3"/>
  <c r="C17341" i="3"/>
  <c r="B17341" i="3"/>
  <c r="D17340" i="3"/>
  <c r="C17340" i="3"/>
  <c r="B17340" i="3"/>
  <c r="D17339" i="3"/>
  <c r="C17339" i="3"/>
  <c r="B17339" i="3"/>
  <c r="D17338" i="3"/>
  <c r="C17338" i="3"/>
  <c r="B17338" i="3"/>
  <c r="D17337" i="3"/>
  <c r="C17337" i="3"/>
  <c r="B17337" i="3"/>
  <c r="D17336" i="3"/>
  <c r="C17336" i="3"/>
  <c r="B17336" i="3"/>
  <c r="D17335" i="3"/>
  <c r="C17335" i="3"/>
  <c r="B17335" i="3"/>
  <c r="D17334" i="3"/>
  <c r="C17334" i="3"/>
  <c r="B17334" i="3"/>
  <c r="D17333" i="3"/>
  <c r="C17333" i="3"/>
  <c r="B17333" i="3"/>
  <c r="D17332" i="3"/>
  <c r="C17332" i="3"/>
  <c r="B17332" i="3"/>
  <c r="D17331" i="3"/>
  <c r="C17331" i="3"/>
  <c r="B17331" i="3"/>
  <c r="D17330" i="3"/>
  <c r="C17330" i="3"/>
  <c r="B17330" i="3"/>
  <c r="D17329" i="3"/>
  <c r="C17329" i="3"/>
  <c r="B17329" i="3"/>
  <c r="D17328" i="3"/>
  <c r="C17328" i="3"/>
  <c r="B17328" i="3"/>
  <c r="D17327" i="3"/>
  <c r="C17327" i="3"/>
  <c r="B17327" i="3"/>
  <c r="D17326" i="3"/>
  <c r="C17326" i="3"/>
  <c r="B17326" i="3"/>
  <c r="D17325" i="3"/>
  <c r="C17325" i="3"/>
  <c r="B17325" i="3"/>
  <c r="D17324" i="3"/>
  <c r="C17324" i="3"/>
  <c r="B17324" i="3"/>
  <c r="D17323" i="3"/>
  <c r="C17323" i="3"/>
  <c r="B17323" i="3"/>
  <c r="D17322" i="3"/>
  <c r="C17322" i="3"/>
  <c r="B17322" i="3"/>
  <c r="D17321" i="3"/>
  <c r="C17321" i="3"/>
  <c r="B17321" i="3"/>
  <c r="D17320" i="3"/>
  <c r="C17320" i="3"/>
  <c r="B17320" i="3"/>
  <c r="D17319" i="3"/>
  <c r="C17319" i="3"/>
  <c r="B17319" i="3"/>
  <c r="D17318" i="3"/>
  <c r="C17318" i="3"/>
  <c r="B17318" i="3"/>
  <c r="D17317" i="3"/>
  <c r="C17317" i="3"/>
  <c r="B17317" i="3"/>
  <c r="D17316" i="3"/>
  <c r="C17316" i="3"/>
  <c r="B17316" i="3"/>
  <c r="D17315" i="3"/>
  <c r="C17315" i="3"/>
  <c r="B17315" i="3"/>
  <c r="D17314" i="3"/>
  <c r="C17314" i="3"/>
  <c r="B17314" i="3"/>
  <c r="D17313" i="3"/>
  <c r="C17313" i="3"/>
  <c r="B17313" i="3"/>
  <c r="D17312" i="3"/>
  <c r="C17312" i="3"/>
  <c r="B17312" i="3"/>
  <c r="D17311" i="3"/>
  <c r="C17311" i="3"/>
  <c r="B17311" i="3"/>
  <c r="D17310" i="3"/>
  <c r="C17310" i="3"/>
  <c r="B17310" i="3"/>
  <c r="D17309" i="3"/>
  <c r="C17309" i="3"/>
  <c r="B17309" i="3"/>
  <c r="D17308" i="3"/>
  <c r="C17308" i="3"/>
  <c r="B17308" i="3"/>
  <c r="D17307" i="3"/>
  <c r="C17307" i="3"/>
  <c r="B17307" i="3"/>
  <c r="D17306" i="3"/>
  <c r="C17306" i="3"/>
  <c r="B17306" i="3"/>
  <c r="D17305" i="3"/>
  <c r="C17305" i="3"/>
  <c r="B17305" i="3"/>
  <c r="D17304" i="3"/>
  <c r="C17304" i="3"/>
  <c r="B17304" i="3"/>
  <c r="D17303" i="3"/>
  <c r="C17303" i="3"/>
  <c r="B17303" i="3"/>
  <c r="D17302" i="3"/>
  <c r="C17302" i="3"/>
  <c r="B17302" i="3"/>
  <c r="D17301" i="3"/>
  <c r="C17301" i="3"/>
  <c r="B17301" i="3"/>
  <c r="D17300" i="3"/>
  <c r="C17300" i="3"/>
  <c r="B17300" i="3"/>
  <c r="D17299" i="3"/>
  <c r="C17299" i="3"/>
  <c r="B17299" i="3"/>
  <c r="D17298" i="3"/>
  <c r="C17298" i="3"/>
  <c r="B17298" i="3"/>
  <c r="D17297" i="3"/>
  <c r="C17297" i="3"/>
  <c r="B17297" i="3"/>
  <c r="D17296" i="3"/>
  <c r="C17296" i="3"/>
  <c r="B17296" i="3"/>
  <c r="D17295" i="3"/>
  <c r="C17295" i="3"/>
  <c r="B17295" i="3"/>
  <c r="D17294" i="3"/>
  <c r="C17294" i="3"/>
  <c r="B17294" i="3"/>
  <c r="D17293" i="3"/>
  <c r="C17293" i="3"/>
  <c r="B17293" i="3"/>
  <c r="D17292" i="3"/>
  <c r="C17292" i="3"/>
  <c r="B17292" i="3"/>
  <c r="D17291" i="3"/>
  <c r="C17291" i="3"/>
  <c r="B17291" i="3"/>
  <c r="D17290" i="3"/>
  <c r="C17290" i="3"/>
  <c r="B17290" i="3"/>
  <c r="D17289" i="3"/>
  <c r="C17289" i="3"/>
  <c r="B17289" i="3"/>
  <c r="D17288" i="3"/>
  <c r="C17288" i="3"/>
  <c r="B17288" i="3"/>
  <c r="D17287" i="3"/>
  <c r="C17287" i="3"/>
  <c r="B17287" i="3"/>
  <c r="D17286" i="3"/>
  <c r="C17286" i="3"/>
  <c r="B17286" i="3"/>
  <c r="D17285" i="3"/>
  <c r="C17285" i="3"/>
  <c r="B17285" i="3"/>
  <c r="D17284" i="3"/>
  <c r="C17284" i="3"/>
  <c r="B17284" i="3"/>
  <c r="D17283" i="3"/>
  <c r="C17283" i="3"/>
  <c r="B17283" i="3"/>
  <c r="D17282" i="3"/>
  <c r="C17282" i="3"/>
  <c r="B17282" i="3"/>
  <c r="D17281" i="3"/>
  <c r="C17281" i="3"/>
  <c r="B17281" i="3"/>
  <c r="D17280" i="3"/>
  <c r="C17280" i="3"/>
  <c r="B17280" i="3"/>
  <c r="D17279" i="3"/>
  <c r="C17279" i="3"/>
  <c r="B17279" i="3"/>
  <c r="D17278" i="3"/>
  <c r="C17278" i="3"/>
  <c r="B17278" i="3"/>
  <c r="D17277" i="3"/>
  <c r="C17277" i="3"/>
  <c r="B17277" i="3"/>
  <c r="D17276" i="3"/>
  <c r="C17276" i="3"/>
  <c r="B17276" i="3"/>
  <c r="D17275" i="3"/>
  <c r="C17275" i="3"/>
  <c r="B17275" i="3"/>
  <c r="D17274" i="3"/>
  <c r="C17274" i="3"/>
  <c r="B17274" i="3"/>
  <c r="D17273" i="3"/>
  <c r="C17273" i="3"/>
  <c r="B17273" i="3"/>
  <c r="D17272" i="3"/>
  <c r="C17272" i="3"/>
  <c r="B17272" i="3"/>
  <c r="D17271" i="3"/>
  <c r="C17271" i="3"/>
  <c r="B17271" i="3"/>
  <c r="D17270" i="3"/>
  <c r="C17270" i="3"/>
  <c r="B17270" i="3"/>
  <c r="D17269" i="3"/>
  <c r="C17269" i="3"/>
  <c r="B17269" i="3"/>
  <c r="D17268" i="3"/>
  <c r="C17268" i="3"/>
  <c r="B17268" i="3"/>
  <c r="D17267" i="3"/>
  <c r="C17267" i="3"/>
  <c r="B17267" i="3"/>
  <c r="D17266" i="3"/>
  <c r="C17266" i="3"/>
  <c r="B17266" i="3"/>
  <c r="D17265" i="3"/>
  <c r="C17265" i="3"/>
  <c r="B17265" i="3"/>
  <c r="D17264" i="3"/>
  <c r="C17264" i="3"/>
  <c r="B17264" i="3"/>
  <c r="D17263" i="3"/>
  <c r="C17263" i="3"/>
  <c r="B17263" i="3"/>
  <c r="D17262" i="3"/>
  <c r="C17262" i="3"/>
  <c r="B17262" i="3"/>
  <c r="D17261" i="3"/>
  <c r="C17261" i="3"/>
  <c r="B17261" i="3"/>
  <c r="D17260" i="3"/>
  <c r="C17260" i="3"/>
  <c r="B17260" i="3"/>
  <c r="D17259" i="3"/>
  <c r="C17259" i="3"/>
  <c r="B17259" i="3"/>
  <c r="D17258" i="3"/>
  <c r="C17258" i="3"/>
  <c r="B17258" i="3"/>
  <c r="D17257" i="3"/>
  <c r="C17257" i="3"/>
  <c r="B17257" i="3"/>
  <c r="D17256" i="3"/>
  <c r="C17256" i="3"/>
  <c r="B17256" i="3"/>
  <c r="D17255" i="3"/>
  <c r="C17255" i="3"/>
  <c r="B17255" i="3"/>
  <c r="D17254" i="3"/>
  <c r="C17254" i="3"/>
  <c r="B17254" i="3"/>
  <c r="D17253" i="3"/>
  <c r="C17253" i="3"/>
  <c r="B17253" i="3"/>
  <c r="D17252" i="3"/>
  <c r="C17252" i="3"/>
  <c r="B17252" i="3"/>
  <c r="D17251" i="3"/>
  <c r="C17251" i="3"/>
  <c r="B17251" i="3"/>
  <c r="D17250" i="3"/>
  <c r="C17250" i="3"/>
  <c r="B17250" i="3"/>
  <c r="D17249" i="3"/>
  <c r="C17249" i="3"/>
  <c r="B17249" i="3"/>
  <c r="D17248" i="3"/>
  <c r="C17248" i="3"/>
  <c r="B17248" i="3"/>
  <c r="D17247" i="3"/>
  <c r="C17247" i="3"/>
  <c r="B17247" i="3"/>
  <c r="D17246" i="3"/>
  <c r="C17246" i="3"/>
  <c r="B17246" i="3"/>
  <c r="D17245" i="3"/>
  <c r="C17245" i="3"/>
  <c r="B17245" i="3"/>
  <c r="D17244" i="3"/>
  <c r="C17244" i="3"/>
  <c r="B17244" i="3"/>
  <c r="D17243" i="3"/>
  <c r="C17243" i="3"/>
  <c r="B17243" i="3"/>
  <c r="D17242" i="3"/>
  <c r="C17242" i="3"/>
  <c r="B17242" i="3"/>
  <c r="D17241" i="3"/>
  <c r="C17241" i="3"/>
  <c r="B17241" i="3"/>
  <c r="D17240" i="3"/>
  <c r="C17240" i="3"/>
  <c r="B17240" i="3"/>
  <c r="D17239" i="3"/>
  <c r="C17239" i="3"/>
  <c r="B17239" i="3"/>
  <c r="D17238" i="3"/>
  <c r="C17238" i="3"/>
  <c r="B17238" i="3"/>
  <c r="D17237" i="3"/>
  <c r="C17237" i="3"/>
  <c r="B17237" i="3"/>
  <c r="D17236" i="3"/>
  <c r="C17236" i="3"/>
  <c r="B17236" i="3"/>
  <c r="D17235" i="3"/>
  <c r="C17235" i="3"/>
  <c r="B17235" i="3"/>
  <c r="D17234" i="3"/>
  <c r="C17234" i="3"/>
  <c r="B17234" i="3"/>
  <c r="D17233" i="3"/>
  <c r="C17233" i="3"/>
  <c r="B17233" i="3"/>
  <c r="D17232" i="3"/>
  <c r="C17232" i="3"/>
  <c r="B17232" i="3"/>
  <c r="D17231" i="3"/>
  <c r="C17231" i="3"/>
  <c r="B17231" i="3"/>
  <c r="D17230" i="3"/>
  <c r="C17230" i="3"/>
  <c r="B17230" i="3"/>
  <c r="D17229" i="3"/>
  <c r="C17229" i="3"/>
  <c r="B17229" i="3"/>
  <c r="D17228" i="3"/>
  <c r="C17228" i="3"/>
  <c r="B17228" i="3"/>
  <c r="D17227" i="3"/>
  <c r="C17227" i="3"/>
  <c r="B17227" i="3"/>
  <c r="D17226" i="3"/>
  <c r="C17226" i="3"/>
  <c r="B17226" i="3"/>
  <c r="D17225" i="3"/>
  <c r="C17225" i="3"/>
  <c r="B17225" i="3"/>
  <c r="D17224" i="3"/>
  <c r="C17224" i="3"/>
  <c r="B17224" i="3"/>
  <c r="D17223" i="3"/>
  <c r="C17223" i="3"/>
  <c r="B17223" i="3"/>
  <c r="D17222" i="3"/>
  <c r="C17222" i="3"/>
  <c r="B17222" i="3"/>
  <c r="D17221" i="3"/>
  <c r="C17221" i="3"/>
  <c r="B17221" i="3"/>
  <c r="D17220" i="3"/>
  <c r="C17220" i="3"/>
  <c r="B17220" i="3"/>
  <c r="D17219" i="3"/>
  <c r="C17219" i="3"/>
  <c r="B17219" i="3"/>
  <c r="D17218" i="3"/>
  <c r="C17218" i="3"/>
  <c r="B17218" i="3"/>
  <c r="D17217" i="3"/>
  <c r="C17217" i="3"/>
  <c r="B17217" i="3"/>
  <c r="D17216" i="3"/>
  <c r="C17216" i="3"/>
  <c r="B17216" i="3"/>
  <c r="D17215" i="3"/>
  <c r="C17215" i="3"/>
  <c r="B17215" i="3"/>
  <c r="D17214" i="3"/>
  <c r="C17214" i="3"/>
  <c r="B17214" i="3"/>
  <c r="D17213" i="3"/>
  <c r="C17213" i="3"/>
  <c r="B17213" i="3"/>
  <c r="D17212" i="3"/>
  <c r="C17212" i="3"/>
  <c r="B17212" i="3"/>
  <c r="D17211" i="3"/>
  <c r="C17211" i="3"/>
  <c r="B17211" i="3"/>
  <c r="D17210" i="3"/>
  <c r="C17210" i="3"/>
  <c r="B17210" i="3"/>
  <c r="D17209" i="3"/>
  <c r="C17209" i="3"/>
  <c r="B17209" i="3"/>
  <c r="D17208" i="3"/>
  <c r="C17208" i="3"/>
  <c r="B17208" i="3"/>
  <c r="D17207" i="3"/>
  <c r="C17207" i="3"/>
  <c r="B17207" i="3"/>
  <c r="D17206" i="3"/>
  <c r="C17206" i="3"/>
  <c r="B17206" i="3"/>
  <c r="D17205" i="3"/>
  <c r="C17205" i="3"/>
  <c r="B17205" i="3"/>
  <c r="D17204" i="3"/>
  <c r="C17204" i="3"/>
  <c r="B17204" i="3"/>
  <c r="D17203" i="3"/>
  <c r="C17203" i="3"/>
  <c r="B17203" i="3"/>
  <c r="D17202" i="3"/>
  <c r="C17202" i="3"/>
  <c r="B17202" i="3"/>
  <c r="D17201" i="3"/>
  <c r="C17201" i="3"/>
  <c r="B17201" i="3"/>
  <c r="D17200" i="3"/>
  <c r="C17200" i="3"/>
  <c r="B17200" i="3"/>
  <c r="D17199" i="3"/>
  <c r="C17199" i="3"/>
  <c r="B17199" i="3"/>
  <c r="D17198" i="3"/>
  <c r="C17198" i="3"/>
  <c r="B17198" i="3"/>
  <c r="D17197" i="3"/>
  <c r="C17197" i="3"/>
  <c r="B17197" i="3"/>
  <c r="D17196" i="3"/>
  <c r="C17196" i="3"/>
  <c r="B17196" i="3"/>
  <c r="D17195" i="3"/>
  <c r="C17195" i="3"/>
  <c r="B17195" i="3"/>
  <c r="D17194" i="3"/>
  <c r="C17194" i="3"/>
  <c r="B17194" i="3"/>
  <c r="D17193" i="3"/>
  <c r="C17193" i="3"/>
  <c r="B17193" i="3"/>
  <c r="D17192" i="3"/>
  <c r="C17192" i="3"/>
  <c r="B17192" i="3"/>
  <c r="D17191" i="3"/>
  <c r="C17191" i="3"/>
  <c r="B17191" i="3"/>
  <c r="D17190" i="3"/>
  <c r="C17190" i="3"/>
  <c r="B17190" i="3"/>
  <c r="D17189" i="3"/>
  <c r="C17189" i="3"/>
  <c r="B17189" i="3"/>
  <c r="D17188" i="3"/>
  <c r="C17188" i="3"/>
  <c r="B17188" i="3"/>
  <c r="D17187" i="3"/>
  <c r="C17187" i="3"/>
  <c r="B17187" i="3"/>
  <c r="D17186" i="3"/>
  <c r="C17186" i="3"/>
  <c r="B17186" i="3"/>
  <c r="D17185" i="3"/>
  <c r="C17185" i="3"/>
  <c r="B17185" i="3"/>
  <c r="D17184" i="3"/>
  <c r="C17184" i="3"/>
  <c r="B17184" i="3"/>
  <c r="D17183" i="3"/>
  <c r="C17183" i="3"/>
  <c r="B17183" i="3"/>
  <c r="D17182" i="3"/>
  <c r="C17182" i="3"/>
  <c r="B17182" i="3"/>
  <c r="D17181" i="3"/>
  <c r="C17181" i="3"/>
  <c r="B17181" i="3"/>
  <c r="D17180" i="3"/>
  <c r="C17180" i="3"/>
  <c r="B17180" i="3"/>
  <c r="D17179" i="3"/>
  <c r="C17179" i="3"/>
  <c r="B17179" i="3"/>
  <c r="D17178" i="3"/>
  <c r="C17178" i="3"/>
  <c r="B17178" i="3"/>
  <c r="D17177" i="3"/>
  <c r="C17177" i="3"/>
  <c r="B17177" i="3"/>
  <c r="D17176" i="3"/>
  <c r="C17176" i="3"/>
  <c r="B17176" i="3"/>
  <c r="D17175" i="3"/>
  <c r="C17175" i="3"/>
  <c r="B17175" i="3"/>
  <c r="D17174" i="3"/>
  <c r="C17174" i="3"/>
  <c r="B17174" i="3"/>
  <c r="D17173" i="3"/>
  <c r="C17173" i="3"/>
  <c r="B17173" i="3"/>
  <c r="D17172" i="3"/>
  <c r="C17172" i="3"/>
  <c r="B17172" i="3"/>
  <c r="D17171" i="3"/>
  <c r="C17171" i="3"/>
  <c r="B17171" i="3"/>
  <c r="D17170" i="3"/>
  <c r="C17170" i="3"/>
  <c r="B17170" i="3"/>
  <c r="D17169" i="3"/>
  <c r="C17169" i="3"/>
  <c r="B17169" i="3"/>
  <c r="D17168" i="3"/>
  <c r="C17168" i="3"/>
  <c r="B17168" i="3"/>
  <c r="D17167" i="3"/>
  <c r="C17167" i="3"/>
  <c r="B17167" i="3"/>
  <c r="D17166" i="3"/>
  <c r="C17166" i="3"/>
  <c r="B17166" i="3"/>
  <c r="D17165" i="3"/>
  <c r="C17165" i="3"/>
  <c r="B17165" i="3"/>
  <c r="D17164" i="3"/>
  <c r="C17164" i="3"/>
  <c r="B17164" i="3"/>
  <c r="D17163" i="3"/>
  <c r="C17163" i="3"/>
  <c r="B17163" i="3"/>
  <c r="D17162" i="3"/>
  <c r="C17162" i="3"/>
  <c r="B17162" i="3"/>
  <c r="D17161" i="3"/>
  <c r="C17161" i="3"/>
  <c r="B17161" i="3"/>
  <c r="D17160" i="3"/>
  <c r="C17160" i="3"/>
  <c r="B17160" i="3"/>
  <c r="D17159" i="3"/>
  <c r="C17159" i="3"/>
  <c r="B17159" i="3"/>
  <c r="D17158" i="3"/>
  <c r="C17158" i="3"/>
  <c r="B17158" i="3"/>
  <c r="D17157" i="3"/>
  <c r="C17157" i="3"/>
  <c r="B17157" i="3"/>
  <c r="D17156" i="3"/>
  <c r="C17156" i="3"/>
  <c r="B17156" i="3"/>
  <c r="D17155" i="3"/>
  <c r="C17155" i="3"/>
  <c r="B17155" i="3"/>
  <c r="D17154" i="3"/>
  <c r="C17154" i="3"/>
  <c r="B17154" i="3"/>
  <c r="D17153" i="3"/>
  <c r="C17153" i="3"/>
  <c r="B17153" i="3"/>
  <c r="D17152" i="3"/>
  <c r="C17152" i="3"/>
  <c r="B17152" i="3"/>
  <c r="D17151" i="3"/>
  <c r="C17151" i="3"/>
  <c r="B17151" i="3"/>
  <c r="D17150" i="3"/>
  <c r="C17150" i="3"/>
  <c r="B17150" i="3"/>
  <c r="D17149" i="3"/>
  <c r="C17149" i="3"/>
  <c r="B17149" i="3"/>
  <c r="D17148" i="3"/>
  <c r="C17148" i="3"/>
  <c r="B17148" i="3"/>
  <c r="D17147" i="3"/>
  <c r="C17147" i="3"/>
  <c r="B17147" i="3"/>
  <c r="D17146" i="3"/>
  <c r="C17146" i="3"/>
  <c r="B17146" i="3"/>
  <c r="D17145" i="3"/>
  <c r="C17145" i="3"/>
  <c r="B17145" i="3"/>
  <c r="D17144" i="3"/>
  <c r="C17144" i="3"/>
  <c r="B17144" i="3"/>
  <c r="D17143" i="3"/>
  <c r="C17143" i="3"/>
  <c r="B17143" i="3"/>
  <c r="D17142" i="3"/>
  <c r="C17142" i="3"/>
  <c r="B17142" i="3"/>
  <c r="D17141" i="3"/>
  <c r="C17141" i="3"/>
  <c r="B17141" i="3"/>
  <c r="D17140" i="3"/>
  <c r="C17140" i="3"/>
  <c r="B17140" i="3"/>
  <c r="D17139" i="3"/>
  <c r="C17139" i="3"/>
  <c r="B17139" i="3"/>
  <c r="D17138" i="3"/>
  <c r="C17138" i="3"/>
  <c r="B17138" i="3"/>
  <c r="D17137" i="3"/>
  <c r="C17137" i="3"/>
  <c r="B17137" i="3"/>
  <c r="D17136" i="3"/>
  <c r="C17136" i="3"/>
  <c r="B17136" i="3"/>
  <c r="D17135" i="3"/>
  <c r="C17135" i="3"/>
  <c r="B17135" i="3"/>
  <c r="D17134" i="3"/>
  <c r="C17134" i="3"/>
  <c r="B17134" i="3"/>
  <c r="D17133" i="3"/>
  <c r="C17133" i="3"/>
  <c r="B17133" i="3"/>
  <c r="D17132" i="3"/>
  <c r="C17132" i="3"/>
  <c r="B17132" i="3"/>
  <c r="D17131" i="3"/>
  <c r="C17131" i="3"/>
  <c r="B17131" i="3"/>
  <c r="D17130" i="3"/>
  <c r="C17130" i="3"/>
  <c r="B17130" i="3"/>
  <c r="D17129" i="3"/>
  <c r="C17129" i="3"/>
  <c r="B17129" i="3"/>
  <c r="D17128" i="3"/>
  <c r="C17128" i="3"/>
  <c r="B17128" i="3"/>
  <c r="D17127" i="3"/>
  <c r="C17127" i="3"/>
  <c r="B17127" i="3"/>
  <c r="D17126" i="3"/>
  <c r="C17126" i="3"/>
  <c r="B17126" i="3"/>
  <c r="D17125" i="3"/>
  <c r="C17125" i="3"/>
  <c r="B17125" i="3"/>
  <c r="D17124" i="3"/>
  <c r="C17124" i="3"/>
  <c r="B17124" i="3"/>
  <c r="D17123" i="3"/>
  <c r="C17123" i="3"/>
  <c r="B17123" i="3"/>
  <c r="D17122" i="3"/>
  <c r="C17122" i="3"/>
  <c r="B17122" i="3"/>
  <c r="D17121" i="3"/>
  <c r="C17121" i="3"/>
  <c r="B17121" i="3"/>
  <c r="D17120" i="3"/>
  <c r="C17120" i="3"/>
  <c r="B17120" i="3"/>
  <c r="D17119" i="3"/>
  <c r="C17119" i="3"/>
  <c r="B17119" i="3"/>
  <c r="D17118" i="3"/>
  <c r="C17118" i="3"/>
  <c r="B17118" i="3"/>
  <c r="D17117" i="3"/>
  <c r="C17117" i="3"/>
  <c r="B17117" i="3"/>
  <c r="D17116" i="3"/>
  <c r="C17116" i="3"/>
  <c r="B17116" i="3"/>
  <c r="D17115" i="3"/>
  <c r="C17115" i="3"/>
  <c r="B17115" i="3"/>
  <c r="D17114" i="3"/>
  <c r="C17114" i="3"/>
  <c r="B17114" i="3"/>
  <c r="D17113" i="3"/>
  <c r="C17113" i="3"/>
  <c r="B17113" i="3"/>
  <c r="D17112" i="3"/>
  <c r="C17112" i="3"/>
  <c r="B17112" i="3"/>
  <c r="D17111" i="3"/>
  <c r="C17111" i="3"/>
  <c r="B17111" i="3"/>
  <c r="D17110" i="3"/>
  <c r="C17110" i="3"/>
  <c r="B17110" i="3"/>
  <c r="D17109" i="3"/>
  <c r="C17109" i="3"/>
  <c r="B17109" i="3"/>
  <c r="D17108" i="3"/>
  <c r="C17108" i="3"/>
  <c r="B17108" i="3"/>
  <c r="D17107" i="3"/>
  <c r="C17107" i="3"/>
  <c r="B17107" i="3"/>
  <c r="D17106" i="3"/>
  <c r="C17106" i="3"/>
  <c r="B17106" i="3"/>
  <c r="D17105" i="3"/>
  <c r="C17105" i="3"/>
  <c r="B17105" i="3"/>
  <c r="D17104" i="3"/>
  <c r="C17104" i="3"/>
  <c r="B17104" i="3"/>
  <c r="D17103" i="3"/>
  <c r="C17103" i="3"/>
  <c r="B17103" i="3"/>
  <c r="D17102" i="3"/>
  <c r="C17102" i="3"/>
  <c r="B17102" i="3"/>
  <c r="D17101" i="3"/>
  <c r="C17101" i="3"/>
  <c r="B17101" i="3"/>
  <c r="D17100" i="3"/>
  <c r="C17100" i="3"/>
  <c r="B17100" i="3"/>
  <c r="D17099" i="3"/>
  <c r="C17099" i="3"/>
  <c r="B17099" i="3"/>
  <c r="D17098" i="3"/>
  <c r="C17098" i="3"/>
  <c r="B17098" i="3"/>
  <c r="D17097" i="3"/>
  <c r="C17097" i="3"/>
  <c r="B17097" i="3"/>
  <c r="D17096" i="3"/>
  <c r="C17096" i="3"/>
  <c r="B17096" i="3"/>
  <c r="D17095" i="3"/>
  <c r="C17095" i="3"/>
  <c r="B17095" i="3"/>
  <c r="D17094" i="3"/>
  <c r="C17094" i="3"/>
  <c r="B17094" i="3"/>
  <c r="D17093" i="3"/>
  <c r="C17093" i="3"/>
  <c r="B17093" i="3"/>
  <c r="D17092" i="3"/>
  <c r="C17092" i="3"/>
  <c r="B17092" i="3"/>
  <c r="D17091" i="3"/>
  <c r="C17091" i="3"/>
  <c r="B17091" i="3"/>
  <c r="D17090" i="3"/>
  <c r="C17090" i="3"/>
  <c r="B17090" i="3"/>
  <c r="D17089" i="3"/>
  <c r="C17089" i="3"/>
  <c r="B17089" i="3"/>
  <c r="D17088" i="3"/>
  <c r="C17088" i="3"/>
  <c r="B17088" i="3"/>
  <c r="D17087" i="3"/>
  <c r="C17087" i="3"/>
  <c r="B17087" i="3"/>
  <c r="D17086" i="3"/>
  <c r="C17086" i="3"/>
  <c r="B17086" i="3"/>
  <c r="D17085" i="3"/>
  <c r="C17085" i="3"/>
  <c r="B17085" i="3"/>
  <c r="D17084" i="3"/>
  <c r="C17084" i="3"/>
  <c r="B17084" i="3"/>
  <c r="D17083" i="3"/>
  <c r="C17083" i="3"/>
  <c r="B17083" i="3"/>
  <c r="D17082" i="3"/>
  <c r="C17082" i="3"/>
  <c r="B17082" i="3"/>
  <c r="D17081" i="3"/>
  <c r="C17081" i="3"/>
  <c r="B17081" i="3"/>
  <c r="D17080" i="3"/>
  <c r="C17080" i="3"/>
  <c r="B17080" i="3"/>
  <c r="D17079" i="3"/>
  <c r="C17079" i="3"/>
  <c r="B17079" i="3"/>
  <c r="D17078" i="3"/>
  <c r="C17078" i="3"/>
  <c r="B17078" i="3"/>
  <c r="D17077" i="3"/>
  <c r="C17077" i="3"/>
  <c r="B17077" i="3"/>
  <c r="D17076" i="3"/>
  <c r="C17076" i="3"/>
  <c r="B17076" i="3"/>
  <c r="D17075" i="3"/>
  <c r="C17075" i="3"/>
  <c r="B17075" i="3"/>
  <c r="D17074" i="3"/>
  <c r="C17074" i="3"/>
  <c r="B17074" i="3"/>
  <c r="D17073" i="3"/>
  <c r="C17073" i="3"/>
  <c r="B17073" i="3"/>
  <c r="D17072" i="3"/>
  <c r="C17072" i="3"/>
  <c r="B17072" i="3"/>
  <c r="D17071" i="3"/>
  <c r="C17071" i="3"/>
  <c r="B17071" i="3"/>
  <c r="D17070" i="3"/>
  <c r="C17070" i="3"/>
  <c r="B17070" i="3"/>
  <c r="D17069" i="3"/>
  <c r="C17069" i="3"/>
  <c r="B17069" i="3"/>
  <c r="D17068" i="3"/>
  <c r="C17068" i="3"/>
  <c r="B17068" i="3"/>
  <c r="D17067" i="3"/>
  <c r="C17067" i="3"/>
  <c r="B17067" i="3"/>
  <c r="D17066" i="3"/>
  <c r="C17066" i="3"/>
  <c r="B17066" i="3"/>
  <c r="D17065" i="3"/>
  <c r="C17065" i="3"/>
  <c r="B17065" i="3"/>
  <c r="D17064" i="3"/>
  <c r="C17064" i="3"/>
  <c r="B17064" i="3"/>
  <c r="D17063" i="3"/>
  <c r="C17063" i="3"/>
  <c r="B17063" i="3"/>
  <c r="D17062" i="3"/>
  <c r="C17062" i="3"/>
  <c r="B17062" i="3"/>
  <c r="D17061" i="3"/>
  <c r="C17061" i="3"/>
  <c r="B17061" i="3"/>
  <c r="D17060" i="3"/>
  <c r="C17060" i="3"/>
  <c r="B17060" i="3"/>
  <c r="D17059" i="3"/>
  <c r="C17059" i="3"/>
  <c r="B17059" i="3"/>
  <c r="D17058" i="3"/>
  <c r="C17058" i="3"/>
  <c r="B17058" i="3"/>
  <c r="D17057" i="3"/>
  <c r="C17057" i="3"/>
  <c r="B17057" i="3"/>
  <c r="D17056" i="3"/>
  <c r="C17056" i="3"/>
  <c r="B17056" i="3"/>
  <c r="D17055" i="3"/>
  <c r="C17055" i="3"/>
  <c r="B17055" i="3"/>
  <c r="D17054" i="3"/>
  <c r="C17054" i="3"/>
  <c r="B17054" i="3"/>
  <c r="D17053" i="3"/>
  <c r="C17053" i="3"/>
  <c r="B17053" i="3"/>
  <c r="D17052" i="3"/>
  <c r="C17052" i="3"/>
  <c r="B17052" i="3"/>
  <c r="D17051" i="3"/>
  <c r="C17051" i="3"/>
  <c r="B17051" i="3"/>
  <c r="D17050" i="3"/>
  <c r="C17050" i="3"/>
  <c r="B17050" i="3"/>
  <c r="D17049" i="3"/>
  <c r="C17049" i="3"/>
  <c r="B17049" i="3"/>
  <c r="D17048" i="3"/>
  <c r="C17048" i="3"/>
  <c r="B17048" i="3"/>
  <c r="D17047" i="3"/>
  <c r="C17047" i="3"/>
  <c r="B17047" i="3"/>
  <c r="D17046" i="3"/>
  <c r="C17046" i="3"/>
  <c r="B17046" i="3"/>
  <c r="D17045" i="3"/>
  <c r="C17045" i="3"/>
  <c r="B17045" i="3"/>
  <c r="D17044" i="3"/>
  <c r="C17044" i="3"/>
  <c r="B17044" i="3"/>
  <c r="D17043" i="3"/>
  <c r="C17043" i="3"/>
  <c r="B17043" i="3"/>
  <c r="D17042" i="3"/>
  <c r="C17042" i="3"/>
  <c r="B17042" i="3"/>
  <c r="D17041" i="3"/>
  <c r="C17041" i="3"/>
  <c r="B17041" i="3"/>
  <c r="D17040" i="3"/>
  <c r="C17040" i="3"/>
  <c r="B17040" i="3"/>
  <c r="D17039" i="3"/>
  <c r="C17039" i="3"/>
  <c r="B17039" i="3"/>
  <c r="D17038" i="3"/>
  <c r="C17038" i="3"/>
  <c r="B17038" i="3"/>
  <c r="D17037" i="3"/>
  <c r="C17037" i="3"/>
  <c r="B17037" i="3"/>
  <c r="D17036" i="3"/>
  <c r="C17036" i="3"/>
  <c r="B17036" i="3"/>
  <c r="D17035" i="3"/>
  <c r="C17035" i="3"/>
  <c r="B17035" i="3"/>
  <c r="D17034" i="3"/>
  <c r="C17034" i="3"/>
  <c r="B17034" i="3"/>
  <c r="D17033" i="3"/>
  <c r="C17033" i="3"/>
  <c r="B17033" i="3"/>
  <c r="D17032" i="3"/>
  <c r="C17032" i="3"/>
  <c r="B17032" i="3"/>
  <c r="D17031" i="3"/>
  <c r="C17031" i="3"/>
  <c r="B17031" i="3"/>
  <c r="D17030" i="3"/>
  <c r="C17030" i="3"/>
  <c r="B17030" i="3"/>
  <c r="D17029" i="3"/>
  <c r="C17029" i="3"/>
  <c r="B17029" i="3"/>
  <c r="D17028" i="3"/>
  <c r="C17028" i="3"/>
  <c r="B17028" i="3"/>
  <c r="D17027" i="3"/>
  <c r="C17027" i="3"/>
  <c r="B17027" i="3"/>
  <c r="D17026" i="3"/>
  <c r="C17026" i="3"/>
  <c r="B17026" i="3"/>
  <c r="D17025" i="3"/>
  <c r="C17025" i="3"/>
  <c r="B17025" i="3"/>
  <c r="D17024" i="3"/>
  <c r="C17024" i="3"/>
  <c r="B17024" i="3"/>
  <c r="D17023" i="3"/>
  <c r="C17023" i="3"/>
  <c r="B17023" i="3"/>
  <c r="D17022" i="3"/>
  <c r="C17022" i="3"/>
  <c r="B17022" i="3"/>
  <c r="D17021" i="3"/>
  <c r="C17021" i="3"/>
  <c r="B17021" i="3"/>
  <c r="D17020" i="3"/>
  <c r="C17020" i="3"/>
  <c r="B17020" i="3"/>
  <c r="D17019" i="3"/>
  <c r="C17019" i="3"/>
  <c r="B17019" i="3"/>
  <c r="D17018" i="3"/>
  <c r="C17018" i="3"/>
  <c r="B17018" i="3"/>
  <c r="D17017" i="3"/>
  <c r="C17017" i="3"/>
  <c r="B17017" i="3"/>
  <c r="D17016" i="3"/>
  <c r="C17016" i="3"/>
  <c r="B17016" i="3"/>
  <c r="D17015" i="3"/>
  <c r="C17015" i="3"/>
  <c r="B17015" i="3"/>
  <c r="D17014" i="3"/>
  <c r="C17014" i="3"/>
  <c r="B17014" i="3"/>
  <c r="D17013" i="3"/>
  <c r="C17013" i="3"/>
  <c r="B17013" i="3"/>
  <c r="D17012" i="3"/>
  <c r="C17012" i="3"/>
  <c r="B17012" i="3"/>
  <c r="D17011" i="3"/>
  <c r="C17011" i="3"/>
  <c r="B17011" i="3"/>
  <c r="D17010" i="3"/>
  <c r="C17010" i="3"/>
  <c r="B17010" i="3"/>
  <c r="D17009" i="3"/>
  <c r="C17009" i="3"/>
  <c r="B17009" i="3"/>
  <c r="D17008" i="3"/>
  <c r="C17008" i="3"/>
  <c r="B17008" i="3"/>
  <c r="D17007" i="3"/>
  <c r="C17007" i="3"/>
  <c r="B17007" i="3"/>
  <c r="D17006" i="3"/>
  <c r="C17006" i="3"/>
  <c r="B17006" i="3"/>
  <c r="D17005" i="3"/>
  <c r="C17005" i="3"/>
  <c r="B17005" i="3"/>
  <c r="D17004" i="3"/>
  <c r="C17004" i="3"/>
  <c r="B17004" i="3"/>
  <c r="D17003" i="3"/>
  <c r="C17003" i="3"/>
  <c r="B17003" i="3"/>
  <c r="D17002" i="3"/>
  <c r="C17002" i="3"/>
  <c r="B17002" i="3"/>
  <c r="D17001" i="3"/>
  <c r="C17001" i="3"/>
  <c r="B17001" i="3"/>
  <c r="D17000" i="3"/>
  <c r="C17000" i="3"/>
  <c r="B17000" i="3"/>
  <c r="D16999" i="3"/>
  <c r="C16999" i="3"/>
  <c r="B16999" i="3"/>
  <c r="D16998" i="3"/>
  <c r="C16998" i="3"/>
  <c r="B16998" i="3"/>
  <c r="D16997" i="3"/>
  <c r="C16997" i="3"/>
  <c r="B16997" i="3"/>
  <c r="D16996" i="3"/>
  <c r="C16996" i="3"/>
  <c r="B16996" i="3"/>
  <c r="D16995" i="3"/>
  <c r="C16995" i="3"/>
  <c r="B16995" i="3"/>
  <c r="D16994" i="3"/>
  <c r="C16994" i="3"/>
  <c r="B16994" i="3"/>
  <c r="D16993" i="3"/>
  <c r="C16993" i="3"/>
  <c r="B16993" i="3"/>
  <c r="D16992" i="3"/>
  <c r="C16992" i="3"/>
  <c r="B16992" i="3"/>
  <c r="D16991" i="3"/>
  <c r="C16991" i="3"/>
  <c r="B16991" i="3"/>
  <c r="D16990" i="3"/>
  <c r="C16990" i="3"/>
  <c r="B16990" i="3"/>
  <c r="D16989" i="3"/>
  <c r="C16989" i="3"/>
  <c r="B16989" i="3"/>
  <c r="D16988" i="3"/>
  <c r="C16988" i="3"/>
  <c r="B16988" i="3"/>
  <c r="D16987" i="3"/>
  <c r="C16987" i="3"/>
  <c r="B16987" i="3"/>
  <c r="D16986" i="3"/>
  <c r="C16986" i="3"/>
  <c r="B16986" i="3"/>
  <c r="D16985" i="3"/>
  <c r="C16985" i="3"/>
  <c r="B16985" i="3"/>
  <c r="D16984" i="3"/>
  <c r="C16984" i="3"/>
  <c r="B16984" i="3"/>
  <c r="D16983" i="3"/>
  <c r="C16983" i="3"/>
  <c r="B16983" i="3"/>
  <c r="D16982" i="3"/>
  <c r="C16982" i="3"/>
  <c r="B16982" i="3"/>
  <c r="D16981" i="3"/>
  <c r="C16981" i="3"/>
  <c r="B16981" i="3"/>
  <c r="D16980" i="3"/>
  <c r="C16980" i="3"/>
  <c r="B16980" i="3"/>
  <c r="D16979" i="3"/>
  <c r="C16979" i="3"/>
  <c r="B16979" i="3"/>
  <c r="D16978" i="3"/>
  <c r="C16978" i="3"/>
  <c r="B16978" i="3"/>
  <c r="D16977" i="3"/>
  <c r="C16977" i="3"/>
  <c r="B16977" i="3"/>
  <c r="D16976" i="3"/>
  <c r="C16976" i="3"/>
  <c r="B16976" i="3"/>
  <c r="D16975" i="3"/>
  <c r="C16975" i="3"/>
  <c r="B16975" i="3"/>
  <c r="D16974" i="3"/>
  <c r="C16974" i="3"/>
  <c r="B16974" i="3"/>
  <c r="D16973" i="3"/>
  <c r="C16973" i="3"/>
  <c r="B16973" i="3"/>
  <c r="D16972" i="3"/>
  <c r="C16972" i="3"/>
  <c r="B16972" i="3"/>
  <c r="D16971" i="3"/>
  <c r="C16971" i="3"/>
  <c r="B16971" i="3"/>
  <c r="D16970" i="3"/>
  <c r="C16970" i="3"/>
  <c r="B16970" i="3"/>
  <c r="D16969" i="3"/>
  <c r="C16969" i="3"/>
  <c r="B16969" i="3"/>
  <c r="D16968" i="3"/>
  <c r="C16968" i="3"/>
  <c r="B16968" i="3"/>
  <c r="D16967" i="3"/>
  <c r="C16967" i="3"/>
  <c r="B16967" i="3"/>
  <c r="D16966" i="3"/>
  <c r="C16966" i="3"/>
  <c r="B16966" i="3"/>
  <c r="D16965" i="3"/>
  <c r="C16965" i="3"/>
  <c r="B16965" i="3"/>
  <c r="D16964" i="3"/>
  <c r="C16964" i="3"/>
  <c r="B16964" i="3"/>
  <c r="D16963" i="3"/>
  <c r="C16963" i="3"/>
  <c r="B16963" i="3"/>
  <c r="D16962" i="3"/>
  <c r="C16962" i="3"/>
  <c r="B16962" i="3"/>
  <c r="D16961" i="3"/>
  <c r="C16961" i="3"/>
  <c r="B16961" i="3"/>
  <c r="D16960" i="3"/>
  <c r="C16960" i="3"/>
  <c r="B16960" i="3"/>
  <c r="D16959" i="3"/>
  <c r="C16959" i="3"/>
  <c r="B16959" i="3"/>
  <c r="D16958" i="3"/>
  <c r="C16958" i="3"/>
  <c r="B16958" i="3"/>
  <c r="D16957" i="3"/>
  <c r="C16957" i="3"/>
  <c r="B16957" i="3"/>
  <c r="D16956" i="3"/>
  <c r="C16956" i="3"/>
  <c r="B16956" i="3"/>
  <c r="D16955" i="3"/>
  <c r="C16955" i="3"/>
  <c r="B16955" i="3"/>
  <c r="D16954" i="3"/>
  <c r="C16954" i="3"/>
  <c r="B16954" i="3"/>
  <c r="D16953" i="3"/>
  <c r="C16953" i="3"/>
  <c r="B16953" i="3"/>
  <c r="D16952" i="3"/>
  <c r="C16952" i="3"/>
  <c r="B16952" i="3"/>
  <c r="D16951" i="3"/>
  <c r="C16951" i="3"/>
  <c r="B16951" i="3"/>
  <c r="D16950" i="3"/>
  <c r="C16950" i="3"/>
  <c r="B16950" i="3"/>
  <c r="D16949" i="3"/>
  <c r="C16949" i="3"/>
  <c r="B16949" i="3"/>
  <c r="D16948" i="3"/>
  <c r="C16948" i="3"/>
  <c r="B16948" i="3"/>
  <c r="D16947" i="3"/>
  <c r="C16947" i="3"/>
  <c r="B16947" i="3"/>
  <c r="D16946" i="3"/>
  <c r="C16946" i="3"/>
  <c r="B16946" i="3"/>
  <c r="D16945" i="3"/>
  <c r="C16945" i="3"/>
  <c r="B16945" i="3"/>
  <c r="D16944" i="3"/>
  <c r="C16944" i="3"/>
  <c r="B16944" i="3"/>
  <c r="D16943" i="3"/>
  <c r="C16943" i="3"/>
  <c r="B16943" i="3"/>
  <c r="D16942" i="3"/>
  <c r="C16942" i="3"/>
  <c r="B16942" i="3"/>
  <c r="D16941" i="3"/>
  <c r="C16941" i="3"/>
  <c r="B16941" i="3"/>
  <c r="D16940" i="3"/>
  <c r="C16940" i="3"/>
  <c r="B16940" i="3"/>
  <c r="D16939" i="3"/>
  <c r="C16939" i="3"/>
  <c r="B16939" i="3"/>
  <c r="D16938" i="3"/>
  <c r="C16938" i="3"/>
  <c r="B16938" i="3"/>
  <c r="D16937" i="3"/>
  <c r="C16937" i="3"/>
  <c r="B16937" i="3"/>
  <c r="D16936" i="3"/>
  <c r="C16936" i="3"/>
  <c r="B16936" i="3"/>
  <c r="D16935" i="3"/>
  <c r="C16935" i="3"/>
  <c r="B16935" i="3"/>
  <c r="D16934" i="3"/>
  <c r="C16934" i="3"/>
  <c r="B16934" i="3"/>
  <c r="D16933" i="3"/>
  <c r="C16933" i="3"/>
  <c r="B16933" i="3"/>
  <c r="D16932" i="3"/>
  <c r="C16932" i="3"/>
  <c r="B16932" i="3"/>
  <c r="D16931" i="3"/>
  <c r="C16931" i="3"/>
  <c r="B16931" i="3"/>
  <c r="D16930" i="3"/>
  <c r="C16930" i="3"/>
  <c r="B16930" i="3"/>
  <c r="D16929" i="3"/>
  <c r="C16929" i="3"/>
  <c r="B16929" i="3"/>
  <c r="D16928" i="3"/>
  <c r="C16928" i="3"/>
  <c r="B16928" i="3"/>
  <c r="D16927" i="3"/>
  <c r="C16927" i="3"/>
  <c r="B16927" i="3"/>
  <c r="D16926" i="3"/>
  <c r="C16926" i="3"/>
  <c r="B16926" i="3"/>
  <c r="D16925" i="3"/>
  <c r="C16925" i="3"/>
  <c r="B16925" i="3"/>
  <c r="D16924" i="3"/>
  <c r="C16924" i="3"/>
  <c r="B16924" i="3"/>
  <c r="D16923" i="3"/>
  <c r="C16923" i="3"/>
  <c r="B16923" i="3"/>
  <c r="D16922" i="3"/>
  <c r="C16922" i="3"/>
  <c r="B16922" i="3"/>
  <c r="D16921" i="3"/>
  <c r="C16921" i="3"/>
  <c r="B16921" i="3"/>
  <c r="D16920" i="3"/>
  <c r="C16920" i="3"/>
  <c r="B16920" i="3"/>
  <c r="D16919" i="3"/>
  <c r="C16919" i="3"/>
  <c r="B16919" i="3"/>
  <c r="D16918" i="3"/>
  <c r="C16918" i="3"/>
  <c r="B16918" i="3"/>
  <c r="D16917" i="3"/>
  <c r="C16917" i="3"/>
  <c r="B16917" i="3"/>
  <c r="D16916" i="3"/>
  <c r="C16916" i="3"/>
  <c r="B16916" i="3"/>
  <c r="D16915" i="3"/>
  <c r="C16915" i="3"/>
  <c r="B16915" i="3"/>
  <c r="D16914" i="3"/>
  <c r="C16914" i="3"/>
  <c r="B16914" i="3"/>
  <c r="D16913" i="3"/>
  <c r="C16913" i="3"/>
  <c r="B16913" i="3"/>
  <c r="D16912" i="3"/>
  <c r="C16912" i="3"/>
  <c r="B16912" i="3"/>
  <c r="D16911" i="3"/>
  <c r="C16911" i="3"/>
  <c r="B16911" i="3"/>
  <c r="D16910" i="3"/>
  <c r="C16910" i="3"/>
  <c r="B16910" i="3"/>
  <c r="D16909" i="3"/>
  <c r="C16909" i="3"/>
  <c r="B16909" i="3"/>
  <c r="D16908" i="3"/>
  <c r="C16908" i="3"/>
  <c r="B16908" i="3"/>
  <c r="D16907" i="3"/>
  <c r="C16907" i="3"/>
  <c r="B16907" i="3"/>
  <c r="D16906" i="3"/>
  <c r="C16906" i="3"/>
  <c r="B16906" i="3"/>
  <c r="D16905" i="3"/>
  <c r="C16905" i="3"/>
  <c r="B16905" i="3"/>
  <c r="D16904" i="3"/>
  <c r="C16904" i="3"/>
  <c r="B16904" i="3"/>
  <c r="D16903" i="3"/>
  <c r="C16903" i="3"/>
  <c r="B16903" i="3"/>
  <c r="D16902" i="3"/>
  <c r="C16902" i="3"/>
  <c r="B16902" i="3"/>
  <c r="D16901" i="3"/>
  <c r="C16901" i="3"/>
  <c r="B16901" i="3"/>
  <c r="D16900" i="3"/>
  <c r="C16900" i="3"/>
  <c r="B16900" i="3"/>
  <c r="D16899" i="3"/>
  <c r="C16899" i="3"/>
  <c r="B16899" i="3"/>
  <c r="D16898" i="3"/>
  <c r="C16898" i="3"/>
  <c r="B16898" i="3"/>
  <c r="D16897" i="3"/>
  <c r="C16897" i="3"/>
  <c r="B16897" i="3"/>
  <c r="D16896" i="3"/>
  <c r="C16896" i="3"/>
  <c r="B16896" i="3"/>
  <c r="D16895" i="3"/>
  <c r="C16895" i="3"/>
  <c r="B16895" i="3"/>
  <c r="D16894" i="3"/>
  <c r="C16894" i="3"/>
  <c r="B16894" i="3"/>
  <c r="D16893" i="3"/>
  <c r="C16893" i="3"/>
  <c r="B16893" i="3"/>
  <c r="D16892" i="3"/>
  <c r="C16892" i="3"/>
  <c r="B16892" i="3"/>
  <c r="D16891" i="3"/>
  <c r="C16891" i="3"/>
  <c r="B16891" i="3"/>
  <c r="D16890" i="3"/>
  <c r="C16890" i="3"/>
  <c r="B16890" i="3"/>
  <c r="D16889" i="3"/>
  <c r="C16889" i="3"/>
  <c r="B16889" i="3"/>
  <c r="D16888" i="3"/>
  <c r="C16888" i="3"/>
  <c r="B16888" i="3"/>
  <c r="D16887" i="3"/>
  <c r="C16887" i="3"/>
  <c r="B16887" i="3"/>
  <c r="D16886" i="3"/>
  <c r="C16886" i="3"/>
  <c r="B16886" i="3"/>
  <c r="D16885" i="3"/>
  <c r="C16885" i="3"/>
  <c r="B16885" i="3"/>
  <c r="D16884" i="3"/>
  <c r="C16884" i="3"/>
  <c r="B16884" i="3"/>
  <c r="D16883" i="3"/>
  <c r="C16883" i="3"/>
  <c r="B16883" i="3"/>
  <c r="D16882" i="3"/>
  <c r="C16882" i="3"/>
  <c r="B16882" i="3"/>
  <c r="D16881" i="3"/>
  <c r="C16881" i="3"/>
  <c r="B16881" i="3"/>
  <c r="D16880" i="3"/>
  <c r="C16880" i="3"/>
  <c r="B16880" i="3"/>
  <c r="D16879" i="3"/>
  <c r="C16879" i="3"/>
  <c r="B16879" i="3"/>
  <c r="D16878" i="3"/>
  <c r="C16878" i="3"/>
  <c r="B16878" i="3"/>
  <c r="D16877" i="3"/>
  <c r="C16877" i="3"/>
  <c r="B16877" i="3"/>
  <c r="D16876" i="3"/>
  <c r="C16876" i="3"/>
  <c r="B16876" i="3"/>
  <c r="D16875" i="3"/>
  <c r="C16875" i="3"/>
  <c r="B16875" i="3"/>
  <c r="D16874" i="3"/>
  <c r="C16874" i="3"/>
  <c r="B16874" i="3"/>
  <c r="D16873" i="3"/>
  <c r="C16873" i="3"/>
  <c r="B16873" i="3"/>
  <c r="D16872" i="3"/>
  <c r="C16872" i="3"/>
  <c r="B16872" i="3"/>
  <c r="D16871" i="3"/>
  <c r="C16871" i="3"/>
  <c r="B16871" i="3"/>
  <c r="D16870" i="3"/>
  <c r="C16870" i="3"/>
  <c r="B16870" i="3"/>
  <c r="D16869" i="3"/>
  <c r="C16869" i="3"/>
  <c r="B16869" i="3"/>
  <c r="D16868" i="3"/>
  <c r="C16868" i="3"/>
  <c r="B16868" i="3"/>
  <c r="D16867" i="3"/>
  <c r="C16867" i="3"/>
  <c r="B16867" i="3"/>
  <c r="D16866" i="3"/>
  <c r="C16866" i="3"/>
  <c r="B16866" i="3"/>
  <c r="D16865" i="3"/>
  <c r="C16865" i="3"/>
  <c r="B16865" i="3"/>
  <c r="D16864" i="3"/>
  <c r="C16864" i="3"/>
  <c r="B16864" i="3"/>
  <c r="D16863" i="3"/>
  <c r="C16863" i="3"/>
  <c r="B16863" i="3"/>
  <c r="D16862" i="3"/>
  <c r="C16862" i="3"/>
  <c r="B16862" i="3"/>
  <c r="D16861" i="3"/>
  <c r="C16861" i="3"/>
  <c r="B16861" i="3"/>
  <c r="D16860" i="3"/>
  <c r="C16860" i="3"/>
  <c r="B16860" i="3"/>
  <c r="D16859" i="3"/>
  <c r="C16859" i="3"/>
  <c r="B16859" i="3"/>
  <c r="D16858" i="3"/>
  <c r="C16858" i="3"/>
  <c r="B16858" i="3"/>
  <c r="D16857" i="3"/>
  <c r="C16857" i="3"/>
  <c r="B16857" i="3"/>
  <c r="D16856" i="3"/>
  <c r="C16856" i="3"/>
  <c r="B16856" i="3"/>
  <c r="D16855" i="3"/>
  <c r="C16855" i="3"/>
  <c r="B16855" i="3"/>
  <c r="D16854" i="3"/>
  <c r="C16854" i="3"/>
  <c r="B16854" i="3"/>
  <c r="D16853" i="3"/>
  <c r="C16853" i="3"/>
  <c r="B16853" i="3"/>
  <c r="D16852" i="3"/>
  <c r="C16852" i="3"/>
  <c r="B16852" i="3"/>
  <c r="D16851" i="3"/>
  <c r="C16851" i="3"/>
  <c r="B16851" i="3"/>
  <c r="D16850" i="3"/>
  <c r="C16850" i="3"/>
  <c r="B16850" i="3"/>
  <c r="D16849" i="3"/>
  <c r="C16849" i="3"/>
  <c r="B16849" i="3"/>
  <c r="D16848" i="3"/>
  <c r="C16848" i="3"/>
  <c r="B16848" i="3"/>
  <c r="D16847" i="3"/>
  <c r="C16847" i="3"/>
  <c r="B16847" i="3"/>
  <c r="D16846" i="3"/>
  <c r="C16846" i="3"/>
  <c r="B16846" i="3"/>
  <c r="D16845" i="3"/>
  <c r="C16845" i="3"/>
  <c r="B16845" i="3"/>
  <c r="D16844" i="3"/>
  <c r="C16844" i="3"/>
  <c r="B16844" i="3"/>
  <c r="D16843" i="3"/>
  <c r="C16843" i="3"/>
  <c r="B16843" i="3"/>
  <c r="D16842" i="3"/>
  <c r="C16842" i="3"/>
  <c r="B16842" i="3"/>
  <c r="D16841" i="3"/>
  <c r="C16841" i="3"/>
  <c r="B16841" i="3"/>
  <c r="D16840" i="3"/>
  <c r="C16840" i="3"/>
  <c r="B16840" i="3"/>
  <c r="D16839" i="3"/>
  <c r="C16839" i="3"/>
  <c r="B16839" i="3"/>
  <c r="D16838" i="3"/>
  <c r="C16838" i="3"/>
  <c r="B16838" i="3"/>
  <c r="D16837" i="3"/>
  <c r="C16837" i="3"/>
  <c r="B16837" i="3"/>
  <c r="D16836" i="3"/>
  <c r="C16836" i="3"/>
  <c r="B16836" i="3"/>
  <c r="D16835" i="3"/>
  <c r="C16835" i="3"/>
  <c r="B16835" i="3"/>
  <c r="D16834" i="3"/>
  <c r="C16834" i="3"/>
  <c r="B16834" i="3"/>
  <c r="D16833" i="3"/>
  <c r="C16833" i="3"/>
  <c r="B16833" i="3"/>
  <c r="D16832" i="3"/>
  <c r="C16832" i="3"/>
  <c r="B16832" i="3"/>
  <c r="D16831" i="3"/>
  <c r="C16831" i="3"/>
  <c r="B16831" i="3"/>
  <c r="D16830" i="3"/>
  <c r="C16830" i="3"/>
  <c r="B16830" i="3"/>
  <c r="D16829" i="3"/>
  <c r="C16829" i="3"/>
  <c r="B16829" i="3"/>
  <c r="D16828" i="3"/>
  <c r="C16828" i="3"/>
  <c r="B16828" i="3"/>
  <c r="D16827" i="3"/>
  <c r="C16827" i="3"/>
  <c r="B16827" i="3"/>
  <c r="D16826" i="3"/>
  <c r="C16826" i="3"/>
  <c r="B16826" i="3"/>
  <c r="D16825" i="3"/>
  <c r="C16825" i="3"/>
  <c r="B16825" i="3"/>
  <c r="D16824" i="3"/>
  <c r="C16824" i="3"/>
  <c r="B16824" i="3"/>
  <c r="D16823" i="3"/>
  <c r="C16823" i="3"/>
  <c r="B16823" i="3"/>
  <c r="D16822" i="3"/>
  <c r="C16822" i="3"/>
  <c r="B16822" i="3"/>
  <c r="D16821" i="3"/>
  <c r="C16821" i="3"/>
  <c r="B16821" i="3"/>
  <c r="D16820" i="3"/>
  <c r="C16820" i="3"/>
  <c r="B16820" i="3"/>
  <c r="D16819" i="3"/>
  <c r="C16819" i="3"/>
  <c r="B16819" i="3"/>
  <c r="D16818" i="3"/>
  <c r="C16818" i="3"/>
  <c r="B16818" i="3"/>
  <c r="D16817" i="3"/>
  <c r="C16817" i="3"/>
  <c r="B16817" i="3"/>
  <c r="D16816" i="3"/>
  <c r="C16816" i="3"/>
  <c r="B16816" i="3"/>
  <c r="D16815" i="3"/>
  <c r="C16815" i="3"/>
  <c r="B16815" i="3"/>
  <c r="D16814" i="3"/>
  <c r="C16814" i="3"/>
  <c r="B16814" i="3"/>
  <c r="D16813" i="3"/>
  <c r="C16813" i="3"/>
  <c r="B16813" i="3"/>
  <c r="D16812" i="3"/>
  <c r="C16812" i="3"/>
  <c r="B16812" i="3"/>
  <c r="D16811" i="3"/>
  <c r="C16811" i="3"/>
  <c r="B16811" i="3"/>
  <c r="D16810" i="3"/>
  <c r="C16810" i="3"/>
  <c r="B16810" i="3"/>
  <c r="D16809" i="3"/>
  <c r="C16809" i="3"/>
  <c r="B16809" i="3"/>
  <c r="D16808" i="3"/>
  <c r="C16808" i="3"/>
  <c r="B16808" i="3"/>
  <c r="D16807" i="3"/>
  <c r="C16807" i="3"/>
  <c r="B16807" i="3"/>
  <c r="D16806" i="3"/>
  <c r="C16806" i="3"/>
  <c r="B16806" i="3"/>
  <c r="D16805" i="3"/>
  <c r="C16805" i="3"/>
  <c r="B16805" i="3"/>
  <c r="D16804" i="3"/>
  <c r="C16804" i="3"/>
  <c r="B16804" i="3"/>
  <c r="D16803" i="3"/>
  <c r="C16803" i="3"/>
  <c r="B16803" i="3"/>
  <c r="D16802" i="3"/>
  <c r="C16802" i="3"/>
  <c r="B16802" i="3"/>
  <c r="D16801" i="3"/>
  <c r="C16801" i="3"/>
  <c r="B16801" i="3"/>
  <c r="D16800" i="3"/>
  <c r="C16800" i="3"/>
  <c r="B16800" i="3"/>
  <c r="D16799" i="3"/>
  <c r="C16799" i="3"/>
  <c r="B16799" i="3"/>
  <c r="D16798" i="3"/>
  <c r="C16798" i="3"/>
  <c r="B16798" i="3"/>
  <c r="D16797" i="3"/>
  <c r="C16797" i="3"/>
  <c r="B16797" i="3"/>
  <c r="D16796" i="3"/>
  <c r="C16796" i="3"/>
  <c r="B16796" i="3"/>
  <c r="D16795" i="3"/>
  <c r="C16795" i="3"/>
  <c r="B16795" i="3"/>
  <c r="D16794" i="3"/>
  <c r="C16794" i="3"/>
  <c r="B16794" i="3"/>
  <c r="D16793" i="3"/>
  <c r="C16793" i="3"/>
  <c r="B16793" i="3"/>
  <c r="D16792" i="3"/>
  <c r="C16792" i="3"/>
  <c r="B16792" i="3"/>
  <c r="D16791" i="3"/>
  <c r="C16791" i="3"/>
  <c r="B16791" i="3"/>
  <c r="D16790" i="3"/>
  <c r="C16790" i="3"/>
  <c r="B16790" i="3"/>
  <c r="D16789" i="3"/>
  <c r="C16789" i="3"/>
  <c r="B16789" i="3"/>
  <c r="D16788" i="3"/>
  <c r="C16788" i="3"/>
  <c r="B16788" i="3"/>
  <c r="D16787" i="3"/>
  <c r="C16787" i="3"/>
  <c r="B16787" i="3"/>
  <c r="D16786" i="3"/>
  <c r="C16786" i="3"/>
  <c r="B16786" i="3"/>
  <c r="D16785" i="3"/>
  <c r="C16785" i="3"/>
  <c r="B16785" i="3"/>
  <c r="D16784" i="3"/>
  <c r="C16784" i="3"/>
  <c r="B16784" i="3"/>
  <c r="D16783" i="3"/>
  <c r="C16783" i="3"/>
  <c r="B16783" i="3"/>
  <c r="D16782" i="3"/>
  <c r="C16782" i="3"/>
  <c r="B16782" i="3"/>
  <c r="D16781" i="3"/>
  <c r="C16781" i="3"/>
  <c r="B16781" i="3"/>
  <c r="D16780" i="3"/>
  <c r="C16780" i="3"/>
  <c r="B16780" i="3"/>
  <c r="D16779" i="3"/>
  <c r="C16779" i="3"/>
  <c r="B16779" i="3"/>
  <c r="D16778" i="3"/>
  <c r="C16778" i="3"/>
  <c r="B16778" i="3"/>
  <c r="D16777" i="3"/>
  <c r="C16777" i="3"/>
  <c r="B16777" i="3"/>
  <c r="D16776" i="3"/>
  <c r="C16776" i="3"/>
  <c r="B16776" i="3"/>
  <c r="D16775" i="3"/>
  <c r="C16775" i="3"/>
  <c r="B16775" i="3"/>
  <c r="D16774" i="3"/>
  <c r="C16774" i="3"/>
  <c r="B16774" i="3"/>
  <c r="D16773" i="3"/>
  <c r="C16773" i="3"/>
  <c r="B16773" i="3"/>
  <c r="D16772" i="3"/>
  <c r="C16772" i="3"/>
  <c r="B16772" i="3"/>
  <c r="D16771" i="3"/>
  <c r="C16771" i="3"/>
  <c r="B16771" i="3"/>
  <c r="D16770" i="3"/>
  <c r="C16770" i="3"/>
  <c r="B16770" i="3"/>
  <c r="D16769" i="3"/>
  <c r="C16769" i="3"/>
  <c r="B16769" i="3"/>
  <c r="D16768" i="3"/>
  <c r="C16768" i="3"/>
  <c r="B16768" i="3"/>
  <c r="D16767" i="3"/>
  <c r="C16767" i="3"/>
  <c r="B16767" i="3"/>
  <c r="D16766" i="3"/>
  <c r="C16766" i="3"/>
  <c r="B16766" i="3"/>
  <c r="D16765" i="3"/>
  <c r="C16765" i="3"/>
  <c r="B16765" i="3"/>
  <c r="D16764" i="3"/>
  <c r="C16764" i="3"/>
  <c r="B16764" i="3"/>
  <c r="D16763" i="3"/>
  <c r="C16763" i="3"/>
  <c r="B16763" i="3"/>
  <c r="D16762" i="3"/>
  <c r="C16762" i="3"/>
  <c r="B16762" i="3"/>
  <c r="D16761" i="3"/>
  <c r="C16761" i="3"/>
  <c r="B16761" i="3"/>
  <c r="D16760" i="3"/>
  <c r="C16760" i="3"/>
  <c r="B16760" i="3"/>
  <c r="D16759" i="3"/>
  <c r="C16759" i="3"/>
  <c r="B16759" i="3"/>
  <c r="D16758" i="3"/>
  <c r="C16758" i="3"/>
  <c r="B16758" i="3"/>
  <c r="D16757" i="3"/>
  <c r="C16757" i="3"/>
  <c r="B16757" i="3"/>
  <c r="D16756" i="3"/>
  <c r="C16756" i="3"/>
  <c r="B16756" i="3"/>
  <c r="D16755" i="3"/>
  <c r="C16755" i="3"/>
  <c r="B16755" i="3"/>
  <c r="D16754" i="3"/>
  <c r="C16754" i="3"/>
  <c r="B16754" i="3"/>
  <c r="D16753" i="3"/>
  <c r="C16753" i="3"/>
  <c r="B16753" i="3"/>
  <c r="D16752" i="3"/>
  <c r="C16752" i="3"/>
  <c r="B16752" i="3"/>
  <c r="D16751" i="3"/>
  <c r="C16751" i="3"/>
  <c r="B16751" i="3"/>
  <c r="D16750" i="3"/>
  <c r="C16750" i="3"/>
  <c r="B16750" i="3"/>
  <c r="D16749" i="3"/>
  <c r="C16749" i="3"/>
  <c r="B16749" i="3"/>
  <c r="D16748" i="3"/>
  <c r="C16748" i="3"/>
  <c r="B16748" i="3"/>
  <c r="D16747" i="3"/>
  <c r="C16747" i="3"/>
  <c r="B16747" i="3"/>
  <c r="D16746" i="3"/>
  <c r="C16746" i="3"/>
  <c r="B16746" i="3"/>
  <c r="D16745" i="3"/>
  <c r="C16745" i="3"/>
  <c r="B16745" i="3"/>
  <c r="D16744" i="3"/>
  <c r="C16744" i="3"/>
  <c r="B16744" i="3"/>
  <c r="D16743" i="3"/>
  <c r="C16743" i="3"/>
  <c r="B16743" i="3"/>
  <c r="D16742" i="3"/>
  <c r="C16742" i="3"/>
  <c r="B16742" i="3"/>
  <c r="D16741" i="3"/>
  <c r="C16741" i="3"/>
  <c r="B16741" i="3"/>
  <c r="D16740" i="3"/>
  <c r="C16740" i="3"/>
  <c r="B16740" i="3"/>
  <c r="D16739" i="3"/>
  <c r="C16739" i="3"/>
  <c r="B16739" i="3"/>
  <c r="D16738" i="3"/>
  <c r="C16738" i="3"/>
  <c r="B16738" i="3"/>
  <c r="D16737" i="3"/>
  <c r="C16737" i="3"/>
  <c r="B16737" i="3"/>
  <c r="D16736" i="3"/>
  <c r="C16736" i="3"/>
  <c r="B16736" i="3"/>
  <c r="D16735" i="3"/>
  <c r="C16735" i="3"/>
  <c r="B16735" i="3"/>
  <c r="D16734" i="3"/>
  <c r="C16734" i="3"/>
  <c r="B16734" i="3"/>
  <c r="D16733" i="3"/>
  <c r="C16733" i="3"/>
  <c r="B16733" i="3"/>
  <c r="D16732" i="3"/>
  <c r="C16732" i="3"/>
  <c r="B16732" i="3"/>
  <c r="D16731" i="3"/>
  <c r="C16731" i="3"/>
  <c r="B16731" i="3"/>
  <c r="D16730" i="3"/>
  <c r="C16730" i="3"/>
  <c r="B16730" i="3"/>
  <c r="D16729" i="3"/>
  <c r="C16729" i="3"/>
  <c r="B16729" i="3"/>
  <c r="D16728" i="3"/>
  <c r="C16728" i="3"/>
  <c r="B16728" i="3"/>
  <c r="D16727" i="3"/>
  <c r="C16727" i="3"/>
  <c r="B16727" i="3"/>
  <c r="D16726" i="3"/>
  <c r="C16726" i="3"/>
  <c r="B16726" i="3"/>
  <c r="D16725" i="3"/>
  <c r="C16725" i="3"/>
  <c r="B16725" i="3"/>
  <c r="D16724" i="3"/>
  <c r="C16724" i="3"/>
  <c r="B16724" i="3"/>
  <c r="D16723" i="3"/>
  <c r="C16723" i="3"/>
  <c r="B16723" i="3"/>
  <c r="D16722" i="3"/>
  <c r="C16722" i="3"/>
  <c r="B16722" i="3"/>
  <c r="D16721" i="3"/>
  <c r="C16721" i="3"/>
  <c r="B16721" i="3"/>
  <c r="D16720" i="3"/>
  <c r="C16720" i="3"/>
  <c r="B16720" i="3"/>
  <c r="D16719" i="3"/>
  <c r="C16719" i="3"/>
  <c r="B16719" i="3"/>
  <c r="D16718" i="3"/>
  <c r="C16718" i="3"/>
  <c r="B16718" i="3"/>
  <c r="D16717" i="3"/>
  <c r="C16717" i="3"/>
  <c r="B16717" i="3"/>
  <c r="D16716" i="3"/>
  <c r="C16716" i="3"/>
  <c r="B16716" i="3"/>
  <c r="D16715" i="3"/>
  <c r="C16715" i="3"/>
  <c r="B16715" i="3"/>
  <c r="D16714" i="3"/>
  <c r="C16714" i="3"/>
  <c r="B16714" i="3"/>
  <c r="D16713" i="3"/>
  <c r="C16713" i="3"/>
  <c r="B16713" i="3"/>
  <c r="D16712" i="3"/>
  <c r="C16712" i="3"/>
  <c r="B16712" i="3"/>
  <c r="D16711" i="3"/>
  <c r="C16711" i="3"/>
  <c r="B16711" i="3"/>
  <c r="D16710" i="3"/>
  <c r="C16710" i="3"/>
  <c r="B16710" i="3"/>
  <c r="D16709" i="3"/>
  <c r="C16709" i="3"/>
  <c r="B16709" i="3"/>
  <c r="D16708" i="3"/>
  <c r="C16708" i="3"/>
  <c r="B16708" i="3"/>
  <c r="D16707" i="3"/>
  <c r="C16707" i="3"/>
  <c r="B16707" i="3"/>
  <c r="D16706" i="3"/>
  <c r="C16706" i="3"/>
  <c r="B16706" i="3"/>
  <c r="D16705" i="3"/>
  <c r="C16705" i="3"/>
  <c r="B16705" i="3"/>
  <c r="D16704" i="3"/>
  <c r="C16704" i="3"/>
  <c r="B16704" i="3"/>
  <c r="D16703" i="3"/>
  <c r="C16703" i="3"/>
  <c r="B16703" i="3"/>
  <c r="D16702" i="3"/>
  <c r="C16702" i="3"/>
  <c r="B16702" i="3"/>
  <c r="D16701" i="3"/>
  <c r="C16701" i="3"/>
  <c r="B16701" i="3"/>
  <c r="D16700" i="3"/>
  <c r="C16700" i="3"/>
  <c r="B16700" i="3"/>
  <c r="D16699" i="3"/>
  <c r="C16699" i="3"/>
  <c r="B16699" i="3"/>
  <c r="D16698" i="3"/>
  <c r="C16698" i="3"/>
  <c r="B16698" i="3"/>
  <c r="D16697" i="3"/>
  <c r="C16697" i="3"/>
  <c r="B16697" i="3"/>
  <c r="D16696" i="3"/>
  <c r="C16696" i="3"/>
  <c r="B16696" i="3"/>
  <c r="D16695" i="3"/>
  <c r="C16695" i="3"/>
  <c r="B16695" i="3"/>
  <c r="D16694" i="3"/>
  <c r="C16694" i="3"/>
  <c r="B16694" i="3"/>
  <c r="D16693" i="3"/>
  <c r="C16693" i="3"/>
  <c r="B16693" i="3"/>
  <c r="D16692" i="3"/>
  <c r="C16692" i="3"/>
  <c r="B16692" i="3"/>
  <c r="D16691" i="3"/>
  <c r="C16691" i="3"/>
  <c r="B16691" i="3"/>
  <c r="D16690" i="3"/>
  <c r="C16690" i="3"/>
  <c r="B16690" i="3"/>
  <c r="D16689" i="3"/>
  <c r="C16689" i="3"/>
  <c r="B16689" i="3"/>
  <c r="D16688" i="3"/>
  <c r="C16688" i="3"/>
  <c r="B16688" i="3"/>
  <c r="D16687" i="3"/>
  <c r="C16687" i="3"/>
  <c r="B16687" i="3"/>
  <c r="D16686" i="3"/>
  <c r="C16686" i="3"/>
  <c r="B16686" i="3"/>
  <c r="D16685" i="3"/>
  <c r="C16685" i="3"/>
  <c r="B16685" i="3"/>
  <c r="D16684" i="3"/>
  <c r="C16684" i="3"/>
  <c r="B16684" i="3"/>
  <c r="D16683" i="3"/>
  <c r="C16683" i="3"/>
  <c r="B16683" i="3"/>
  <c r="D16682" i="3"/>
  <c r="C16682" i="3"/>
  <c r="B16682" i="3"/>
  <c r="D16681" i="3"/>
  <c r="C16681" i="3"/>
  <c r="B16681" i="3"/>
  <c r="D16680" i="3"/>
  <c r="C16680" i="3"/>
  <c r="B16680" i="3"/>
  <c r="D16679" i="3"/>
  <c r="C16679" i="3"/>
  <c r="B16679" i="3"/>
  <c r="D16678" i="3"/>
  <c r="C16678" i="3"/>
  <c r="B16678" i="3"/>
  <c r="D16677" i="3"/>
  <c r="C16677" i="3"/>
  <c r="B16677" i="3"/>
  <c r="D16676" i="3"/>
  <c r="C16676" i="3"/>
  <c r="B16676" i="3"/>
  <c r="D16675" i="3"/>
  <c r="C16675" i="3"/>
  <c r="B16675" i="3"/>
  <c r="D16674" i="3"/>
  <c r="C16674" i="3"/>
  <c r="B16674" i="3"/>
  <c r="D16673" i="3"/>
  <c r="C16673" i="3"/>
  <c r="B16673" i="3"/>
  <c r="D16672" i="3"/>
  <c r="C16672" i="3"/>
  <c r="B16672" i="3"/>
  <c r="D16671" i="3"/>
  <c r="C16671" i="3"/>
  <c r="B16671" i="3"/>
  <c r="D16670" i="3"/>
  <c r="C16670" i="3"/>
  <c r="B16670" i="3"/>
  <c r="D16669" i="3"/>
  <c r="C16669" i="3"/>
  <c r="B16669" i="3"/>
  <c r="D16668" i="3"/>
  <c r="C16668" i="3"/>
  <c r="B16668" i="3"/>
  <c r="D16667" i="3"/>
  <c r="C16667" i="3"/>
  <c r="B16667" i="3"/>
  <c r="D16666" i="3"/>
  <c r="C16666" i="3"/>
  <c r="B16666" i="3"/>
  <c r="D16665" i="3"/>
  <c r="C16665" i="3"/>
  <c r="B16665" i="3"/>
  <c r="D16664" i="3"/>
  <c r="C16664" i="3"/>
  <c r="B16664" i="3"/>
  <c r="D16663" i="3"/>
  <c r="C16663" i="3"/>
  <c r="B16663" i="3"/>
  <c r="D16662" i="3"/>
  <c r="C16662" i="3"/>
  <c r="B16662" i="3"/>
  <c r="D16661" i="3"/>
  <c r="C16661" i="3"/>
  <c r="B16661" i="3"/>
  <c r="D16660" i="3"/>
  <c r="C16660" i="3"/>
  <c r="B16660" i="3"/>
  <c r="D16659" i="3"/>
  <c r="C16659" i="3"/>
  <c r="B16659" i="3"/>
  <c r="D16658" i="3"/>
  <c r="C16658" i="3"/>
  <c r="B16658" i="3"/>
  <c r="D16657" i="3"/>
  <c r="C16657" i="3"/>
  <c r="B16657" i="3"/>
  <c r="D16656" i="3"/>
  <c r="C16656" i="3"/>
  <c r="B16656" i="3"/>
  <c r="D16655" i="3"/>
  <c r="C16655" i="3"/>
  <c r="B16655" i="3"/>
  <c r="D16654" i="3"/>
  <c r="C16654" i="3"/>
  <c r="B16654" i="3"/>
  <c r="D16653" i="3"/>
  <c r="C16653" i="3"/>
  <c r="B16653" i="3"/>
  <c r="D16652" i="3"/>
  <c r="C16652" i="3"/>
  <c r="B16652" i="3"/>
  <c r="D16651" i="3"/>
  <c r="C16651" i="3"/>
  <c r="B16651" i="3"/>
  <c r="D16650" i="3"/>
  <c r="C16650" i="3"/>
  <c r="B16650" i="3"/>
  <c r="D16649" i="3"/>
  <c r="C16649" i="3"/>
  <c r="B16649" i="3"/>
  <c r="D16648" i="3"/>
  <c r="C16648" i="3"/>
  <c r="B16648" i="3"/>
  <c r="D16647" i="3"/>
  <c r="C16647" i="3"/>
  <c r="B16647" i="3"/>
  <c r="D16646" i="3"/>
  <c r="C16646" i="3"/>
  <c r="B16646" i="3"/>
  <c r="D16645" i="3"/>
  <c r="C16645" i="3"/>
  <c r="B16645" i="3"/>
  <c r="D16644" i="3"/>
  <c r="C16644" i="3"/>
  <c r="B16644" i="3"/>
  <c r="D16643" i="3"/>
  <c r="C16643" i="3"/>
  <c r="B16643" i="3"/>
  <c r="D16642" i="3"/>
  <c r="C16642" i="3"/>
  <c r="B16642" i="3"/>
  <c r="D16641" i="3"/>
  <c r="C16641" i="3"/>
  <c r="B16641" i="3"/>
  <c r="D16640" i="3"/>
  <c r="C16640" i="3"/>
  <c r="B16640" i="3"/>
  <c r="D16639" i="3"/>
  <c r="C16639" i="3"/>
  <c r="B16639" i="3"/>
  <c r="D16638" i="3"/>
  <c r="C16638" i="3"/>
  <c r="B16638" i="3"/>
  <c r="D16637" i="3"/>
  <c r="C16637" i="3"/>
  <c r="B16637" i="3"/>
  <c r="D16636" i="3"/>
  <c r="C16636" i="3"/>
  <c r="B16636" i="3"/>
  <c r="D16635" i="3"/>
  <c r="C16635" i="3"/>
  <c r="B16635" i="3"/>
  <c r="D16634" i="3"/>
  <c r="C16634" i="3"/>
  <c r="B16634" i="3"/>
  <c r="D16633" i="3"/>
  <c r="C16633" i="3"/>
  <c r="B16633" i="3"/>
  <c r="D16632" i="3"/>
  <c r="C16632" i="3"/>
  <c r="B16632" i="3"/>
  <c r="D16631" i="3"/>
  <c r="C16631" i="3"/>
  <c r="B16631" i="3"/>
  <c r="D16630" i="3"/>
  <c r="C16630" i="3"/>
  <c r="B16630" i="3"/>
  <c r="D16629" i="3"/>
  <c r="C16629" i="3"/>
  <c r="B16629" i="3"/>
  <c r="D16628" i="3"/>
  <c r="C16628" i="3"/>
  <c r="B16628" i="3"/>
  <c r="D16627" i="3"/>
  <c r="C16627" i="3"/>
  <c r="B16627" i="3"/>
  <c r="D16626" i="3"/>
  <c r="C16626" i="3"/>
  <c r="B16626" i="3"/>
  <c r="D16625" i="3"/>
  <c r="C16625" i="3"/>
  <c r="B16625" i="3"/>
  <c r="D16624" i="3"/>
  <c r="C16624" i="3"/>
  <c r="B16624" i="3"/>
  <c r="D16623" i="3"/>
  <c r="C16623" i="3"/>
  <c r="B16623" i="3"/>
  <c r="D16622" i="3"/>
  <c r="C16622" i="3"/>
  <c r="B16622" i="3"/>
  <c r="D16621" i="3"/>
  <c r="C16621" i="3"/>
  <c r="B16621" i="3"/>
  <c r="D16620" i="3"/>
  <c r="C16620" i="3"/>
  <c r="B16620" i="3"/>
  <c r="D16619" i="3"/>
  <c r="C16619" i="3"/>
  <c r="B16619" i="3"/>
  <c r="D16618" i="3"/>
  <c r="C16618" i="3"/>
  <c r="B16618" i="3"/>
  <c r="D16617" i="3"/>
  <c r="C16617" i="3"/>
  <c r="B16617" i="3"/>
  <c r="D16616" i="3"/>
  <c r="C16616" i="3"/>
  <c r="B16616" i="3"/>
  <c r="D16615" i="3"/>
  <c r="C16615" i="3"/>
  <c r="B16615" i="3"/>
  <c r="D16614" i="3"/>
  <c r="C16614" i="3"/>
  <c r="B16614" i="3"/>
  <c r="D16613" i="3"/>
  <c r="C16613" i="3"/>
  <c r="B16613" i="3"/>
  <c r="D16612" i="3"/>
  <c r="C16612" i="3"/>
  <c r="B16612" i="3"/>
  <c r="D16611" i="3"/>
  <c r="C16611" i="3"/>
  <c r="B16611" i="3"/>
  <c r="D16610" i="3"/>
  <c r="C16610" i="3"/>
  <c r="B16610" i="3"/>
  <c r="D16609" i="3"/>
  <c r="C16609" i="3"/>
  <c r="B16609" i="3"/>
  <c r="D16608" i="3"/>
  <c r="C16608" i="3"/>
  <c r="B16608" i="3"/>
  <c r="D16607" i="3"/>
  <c r="C16607" i="3"/>
  <c r="B16607" i="3"/>
  <c r="D16606" i="3"/>
  <c r="C16606" i="3"/>
  <c r="B16606" i="3"/>
  <c r="D16605" i="3"/>
  <c r="C16605" i="3"/>
  <c r="B16605" i="3"/>
  <c r="D16604" i="3"/>
  <c r="C16604" i="3"/>
  <c r="B16604" i="3"/>
  <c r="D16603" i="3"/>
  <c r="C16603" i="3"/>
  <c r="B16603" i="3"/>
  <c r="D16602" i="3"/>
  <c r="C16602" i="3"/>
  <c r="B16602" i="3"/>
  <c r="D16601" i="3"/>
  <c r="C16601" i="3"/>
  <c r="B16601" i="3"/>
  <c r="D16600" i="3"/>
  <c r="C16600" i="3"/>
  <c r="B16600" i="3"/>
  <c r="D16599" i="3"/>
  <c r="C16599" i="3"/>
  <c r="B16599" i="3"/>
  <c r="D16598" i="3"/>
  <c r="C16598" i="3"/>
  <c r="B16598" i="3"/>
  <c r="D16597" i="3"/>
  <c r="C16597" i="3"/>
  <c r="B16597" i="3"/>
  <c r="D16596" i="3"/>
  <c r="C16596" i="3"/>
  <c r="B16596" i="3"/>
  <c r="D16595" i="3"/>
  <c r="C16595" i="3"/>
  <c r="B16595" i="3"/>
  <c r="D16594" i="3"/>
  <c r="C16594" i="3"/>
  <c r="B16594" i="3"/>
  <c r="D16593" i="3"/>
  <c r="C16593" i="3"/>
  <c r="B16593" i="3"/>
  <c r="D16592" i="3"/>
  <c r="C16592" i="3"/>
  <c r="B16592" i="3"/>
  <c r="D16591" i="3"/>
  <c r="C16591" i="3"/>
  <c r="B16591" i="3"/>
  <c r="D16590" i="3"/>
  <c r="C16590" i="3"/>
  <c r="B16590" i="3"/>
  <c r="D16589" i="3"/>
  <c r="C16589" i="3"/>
  <c r="B16589" i="3"/>
  <c r="D16588" i="3"/>
  <c r="C16588" i="3"/>
  <c r="B16588" i="3"/>
  <c r="D16587" i="3"/>
  <c r="C16587" i="3"/>
  <c r="B16587" i="3"/>
  <c r="D16586" i="3"/>
  <c r="C16586" i="3"/>
  <c r="B16586" i="3"/>
  <c r="D16585" i="3"/>
  <c r="C16585" i="3"/>
  <c r="B16585" i="3"/>
  <c r="D16584" i="3"/>
  <c r="C16584" i="3"/>
  <c r="B16584" i="3"/>
  <c r="D16583" i="3"/>
  <c r="C16583" i="3"/>
  <c r="B16583" i="3"/>
  <c r="D16582" i="3"/>
  <c r="C16582" i="3"/>
  <c r="B16582" i="3"/>
  <c r="D16581" i="3"/>
  <c r="C16581" i="3"/>
  <c r="B16581" i="3"/>
  <c r="D16580" i="3"/>
  <c r="C16580" i="3"/>
  <c r="B16580" i="3"/>
  <c r="D16579" i="3"/>
  <c r="C16579" i="3"/>
  <c r="B16579" i="3"/>
  <c r="D16578" i="3"/>
  <c r="C16578" i="3"/>
  <c r="B16578" i="3"/>
  <c r="D16577" i="3"/>
  <c r="C16577" i="3"/>
  <c r="B16577" i="3"/>
  <c r="D16576" i="3"/>
  <c r="C16576" i="3"/>
  <c r="B16576" i="3"/>
  <c r="D16575" i="3"/>
  <c r="C16575" i="3"/>
  <c r="B16575" i="3"/>
  <c r="D16574" i="3"/>
  <c r="C16574" i="3"/>
  <c r="B16574" i="3"/>
  <c r="D16573" i="3"/>
  <c r="C16573" i="3"/>
  <c r="B16573" i="3"/>
  <c r="D16572" i="3"/>
  <c r="C16572" i="3"/>
  <c r="B16572" i="3"/>
  <c r="D16571" i="3"/>
  <c r="C16571" i="3"/>
  <c r="B16571" i="3"/>
  <c r="D16570" i="3"/>
  <c r="C16570" i="3"/>
  <c r="B16570" i="3"/>
  <c r="D16569" i="3"/>
  <c r="C16569" i="3"/>
  <c r="B16569" i="3"/>
  <c r="D16568" i="3"/>
  <c r="C16568" i="3"/>
  <c r="B16568" i="3"/>
  <c r="D16567" i="3"/>
  <c r="C16567" i="3"/>
  <c r="B16567" i="3"/>
  <c r="D16566" i="3"/>
  <c r="C16566" i="3"/>
  <c r="B16566" i="3"/>
  <c r="D16565" i="3"/>
  <c r="C16565" i="3"/>
  <c r="B16565" i="3"/>
  <c r="D16564" i="3"/>
  <c r="C16564" i="3"/>
  <c r="B16564" i="3"/>
  <c r="D16563" i="3"/>
  <c r="C16563" i="3"/>
  <c r="B16563" i="3"/>
  <c r="D16562" i="3"/>
  <c r="C16562" i="3"/>
  <c r="B16562" i="3"/>
  <c r="D16561" i="3"/>
  <c r="C16561" i="3"/>
  <c r="B16561" i="3"/>
  <c r="D16560" i="3"/>
  <c r="C16560" i="3"/>
  <c r="B16560" i="3"/>
  <c r="D16559" i="3"/>
  <c r="C16559" i="3"/>
  <c r="B16559" i="3"/>
  <c r="D16558" i="3"/>
  <c r="C16558" i="3"/>
  <c r="B16558" i="3"/>
  <c r="D16557" i="3"/>
  <c r="C16557" i="3"/>
  <c r="B16557" i="3"/>
  <c r="D16556" i="3"/>
  <c r="C16556" i="3"/>
  <c r="B16556" i="3"/>
  <c r="D16555" i="3"/>
  <c r="C16555" i="3"/>
  <c r="B16555" i="3"/>
  <c r="D16554" i="3"/>
  <c r="C16554" i="3"/>
  <c r="B16554" i="3"/>
  <c r="D16553" i="3"/>
  <c r="C16553" i="3"/>
  <c r="B16553" i="3"/>
  <c r="D16552" i="3"/>
  <c r="C16552" i="3"/>
  <c r="B16552" i="3"/>
  <c r="D16551" i="3"/>
  <c r="C16551" i="3"/>
  <c r="B16551" i="3"/>
  <c r="D16550" i="3"/>
  <c r="C16550" i="3"/>
  <c r="B16550" i="3"/>
  <c r="D16549" i="3"/>
  <c r="C16549" i="3"/>
  <c r="B16549" i="3"/>
  <c r="D16548" i="3"/>
  <c r="C16548" i="3"/>
  <c r="B16548" i="3"/>
  <c r="D16547" i="3"/>
  <c r="C16547" i="3"/>
  <c r="B16547" i="3"/>
  <c r="D16546" i="3"/>
  <c r="C16546" i="3"/>
  <c r="B16546" i="3"/>
  <c r="D16545" i="3"/>
  <c r="C16545" i="3"/>
  <c r="B16545" i="3"/>
  <c r="D16544" i="3"/>
  <c r="C16544" i="3"/>
  <c r="B16544" i="3"/>
  <c r="D16543" i="3"/>
  <c r="C16543" i="3"/>
  <c r="B16543" i="3"/>
  <c r="D16542" i="3"/>
  <c r="C16542" i="3"/>
  <c r="B16542" i="3"/>
  <c r="D16541" i="3"/>
  <c r="C16541" i="3"/>
  <c r="B16541" i="3"/>
  <c r="D16540" i="3"/>
  <c r="C16540" i="3"/>
  <c r="B16540" i="3"/>
  <c r="D16539" i="3"/>
  <c r="C16539" i="3"/>
  <c r="B16539" i="3"/>
  <c r="D16538" i="3"/>
  <c r="C16538" i="3"/>
  <c r="B16538" i="3"/>
  <c r="D16537" i="3"/>
  <c r="C16537" i="3"/>
  <c r="B16537" i="3"/>
  <c r="D16536" i="3"/>
  <c r="C16536" i="3"/>
  <c r="B16536" i="3"/>
  <c r="D16535" i="3"/>
  <c r="C16535" i="3"/>
  <c r="B16535" i="3"/>
  <c r="D16534" i="3"/>
  <c r="C16534" i="3"/>
  <c r="B16534" i="3"/>
  <c r="D16533" i="3"/>
  <c r="C16533" i="3"/>
  <c r="B16533" i="3"/>
  <c r="D16532" i="3"/>
  <c r="C16532" i="3"/>
  <c r="B16532" i="3"/>
  <c r="D16531" i="3"/>
  <c r="C16531" i="3"/>
  <c r="B16531" i="3"/>
  <c r="D16530" i="3"/>
  <c r="C16530" i="3"/>
  <c r="B16530" i="3"/>
  <c r="D16529" i="3"/>
  <c r="C16529" i="3"/>
  <c r="B16529" i="3"/>
  <c r="D16528" i="3"/>
  <c r="C16528" i="3"/>
  <c r="B16528" i="3"/>
  <c r="D16527" i="3"/>
  <c r="C16527" i="3"/>
  <c r="B16527" i="3"/>
  <c r="D16526" i="3"/>
  <c r="C16526" i="3"/>
  <c r="B16526" i="3"/>
  <c r="D16525" i="3"/>
  <c r="C16525" i="3"/>
  <c r="B16525" i="3"/>
  <c r="D16524" i="3"/>
  <c r="C16524" i="3"/>
  <c r="B16524" i="3"/>
  <c r="D16523" i="3"/>
  <c r="C16523" i="3"/>
  <c r="B16523" i="3"/>
  <c r="D16522" i="3"/>
  <c r="C16522" i="3"/>
  <c r="B16522" i="3"/>
  <c r="D16521" i="3"/>
  <c r="C16521" i="3"/>
  <c r="B16521" i="3"/>
  <c r="D16520" i="3"/>
  <c r="C16520" i="3"/>
  <c r="B16520" i="3"/>
  <c r="D16519" i="3"/>
  <c r="C16519" i="3"/>
  <c r="B16519" i="3"/>
  <c r="D16518" i="3"/>
  <c r="C16518" i="3"/>
  <c r="B16518" i="3"/>
  <c r="D16517" i="3"/>
  <c r="C16517" i="3"/>
  <c r="B16517" i="3"/>
  <c r="D16516" i="3"/>
  <c r="C16516" i="3"/>
  <c r="B16516" i="3"/>
  <c r="D16515" i="3"/>
  <c r="C16515" i="3"/>
  <c r="B16515" i="3"/>
  <c r="D16514" i="3"/>
  <c r="C16514" i="3"/>
  <c r="B16514" i="3"/>
  <c r="D16513" i="3"/>
  <c r="C16513" i="3"/>
  <c r="B16513" i="3"/>
  <c r="D16512" i="3"/>
  <c r="C16512" i="3"/>
  <c r="B16512" i="3"/>
  <c r="D16511" i="3"/>
  <c r="C16511" i="3"/>
  <c r="B16511" i="3"/>
  <c r="D16510" i="3"/>
  <c r="C16510" i="3"/>
  <c r="B16510" i="3"/>
  <c r="D16509" i="3"/>
  <c r="C16509" i="3"/>
  <c r="B16509" i="3"/>
  <c r="D16508" i="3"/>
  <c r="C16508" i="3"/>
  <c r="B16508" i="3"/>
  <c r="D16507" i="3"/>
  <c r="C16507" i="3"/>
  <c r="B16507" i="3"/>
  <c r="D16506" i="3"/>
  <c r="C16506" i="3"/>
  <c r="B16506" i="3"/>
  <c r="D16505" i="3"/>
  <c r="C16505" i="3"/>
  <c r="B16505" i="3"/>
  <c r="D16504" i="3"/>
  <c r="C16504" i="3"/>
  <c r="B16504" i="3"/>
  <c r="D16503" i="3"/>
  <c r="C16503" i="3"/>
  <c r="B16503" i="3"/>
  <c r="D16502" i="3"/>
  <c r="C16502" i="3"/>
  <c r="B16502" i="3"/>
  <c r="D16501" i="3"/>
  <c r="C16501" i="3"/>
  <c r="B16501" i="3"/>
  <c r="D16500" i="3"/>
  <c r="C16500" i="3"/>
  <c r="B16500" i="3"/>
  <c r="D16499" i="3"/>
  <c r="C16499" i="3"/>
  <c r="B16499" i="3"/>
  <c r="D16498" i="3"/>
  <c r="C16498" i="3"/>
  <c r="B16498" i="3"/>
  <c r="D16497" i="3"/>
  <c r="C16497" i="3"/>
  <c r="B16497" i="3"/>
  <c r="D16496" i="3"/>
  <c r="C16496" i="3"/>
  <c r="B16496" i="3"/>
  <c r="D16495" i="3"/>
  <c r="C16495" i="3"/>
  <c r="B16495" i="3"/>
  <c r="D16494" i="3"/>
  <c r="C16494" i="3"/>
  <c r="B16494" i="3"/>
  <c r="D16493" i="3"/>
  <c r="C16493" i="3"/>
  <c r="B16493" i="3"/>
  <c r="D16492" i="3"/>
  <c r="C16492" i="3"/>
  <c r="B16492" i="3"/>
  <c r="D16491" i="3"/>
  <c r="C16491" i="3"/>
  <c r="B16491" i="3"/>
  <c r="D16490" i="3"/>
  <c r="C16490" i="3"/>
  <c r="B16490" i="3"/>
  <c r="D16489" i="3"/>
  <c r="C16489" i="3"/>
  <c r="B16489" i="3"/>
  <c r="D16488" i="3"/>
  <c r="C16488" i="3"/>
  <c r="B16488" i="3"/>
  <c r="D16487" i="3"/>
  <c r="C16487" i="3"/>
  <c r="B16487" i="3"/>
  <c r="D16486" i="3"/>
  <c r="C16486" i="3"/>
  <c r="B16486" i="3"/>
  <c r="D16485" i="3"/>
  <c r="C16485" i="3"/>
  <c r="B16485" i="3"/>
  <c r="D16484" i="3"/>
  <c r="C16484" i="3"/>
  <c r="B16484" i="3"/>
  <c r="D16483" i="3"/>
  <c r="C16483" i="3"/>
  <c r="B16483" i="3"/>
  <c r="D16482" i="3"/>
  <c r="C16482" i="3"/>
  <c r="B16482" i="3"/>
  <c r="D16481" i="3"/>
  <c r="C16481" i="3"/>
  <c r="B16481" i="3"/>
  <c r="D16480" i="3"/>
  <c r="C16480" i="3"/>
  <c r="B16480" i="3"/>
  <c r="D16479" i="3"/>
  <c r="C16479" i="3"/>
  <c r="B16479" i="3"/>
  <c r="D16478" i="3"/>
  <c r="C16478" i="3"/>
  <c r="B16478" i="3"/>
  <c r="D16477" i="3"/>
  <c r="C16477" i="3"/>
  <c r="B16477" i="3"/>
  <c r="D16476" i="3"/>
  <c r="C16476" i="3"/>
  <c r="B16476" i="3"/>
  <c r="D16475" i="3"/>
  <c r="C16475" i="3"/>
  <c r="B16475" i="3"/>
  <c r="D16474" i="3"/>
  <c r="C16474" i="3"/>
  <c r="B16474" i="3"/>
  <c r="D16473" i="3"/>
  <c r="C16473" i="3"/>
  <c r="B16473" i="3"/>
  <c r="D16472" i="3"/>
  <c r="C16472" i="3"/>
  <c r="B16472" i="3"/>
  <c r="D16471" i="3"/>
  <c r="C16471" i="3"/>
  <c r="B16471" i="3"/>
  <c r="D16470" i="3"/>
  <c r="C16470" i="3"/>
  <c r="B16470" i="3"/>
  <c r="D16469" i="3"/>
  <c r="C16469" i="3"/>
  <c r="B16469" i="3"/>
  <c r="D16468" i="3"/>
  <c r="C16468" i="3"/>
  <c r="B16468" i="3"/>
  <c r="D16467" i="3"/>
  <c r="C16467" i="3"/>
  <c r="B16467" i="3"/>
  <c r="D16466" i="3"/>
  <c r="C16466" i="3"/>
  <c r="B16466" i="3"/>
  <c r="D16465" i="3"/>
  <c r="C16465" i="3"/>
  <c r="B16465" i="3"/>
  <c r="D16464" i="3"/>
  <c r="C16464" i="3"/>
  <c r="B16464" i="3"/>
  <c r="D16463" i="3"/>
  <c r="C16463" i="3"/>
  <c r="B16463" i="3"/>
  <c r="D16462" i="3"/>
  <c r="C16462" i="3"/>
  <c r="B16462" i="3"/>
  <c r="D16461" i="3"/>
  <c r="C16461" i="3"/>
  <c r="B16461" i="3"/>
  <c r="D16460" i="3"/>
  <c r="C16460" i="3"/>
  <c r="B16460" i="3"/>
  <c r="D16459" i="3"/>
  <c r="C16459" i="3"/>
  <c r="B16459" i="3"/>
  <c r="D16458" i="3"/>
  <c r="C16458" i="3"/>
  <c r="B16458" i="3"/>
  <c r="D16457" i="3"/>
  <c r="C16457" i="3"/>
  <c r="B16457" i="3"/>
  <c r="D16456" i="3"/>
  <c r="C16456" i="3"/>
  <c r="B16456" i="3"/>
  <c r="D16455" i="3"/>
  <c r="C16455" i="3"/>
  <c r="B16455" i="3"/>
  <c r="D16454" i="3"/>
  <c r="C16454" i="3"/>
  <c r="B16454" i="3"/>
  <c r="D16453" i="3"/>
  <c r="C16453" i="3"/>
  <c r="B16453" i="3"/>
  <c r="D16452" i="3"/>
  <c r="C16452" i="3"/>
  <c r="B16452" i="3"/>
  <c r="D16451" i="3"/>
  <c r="C16451" i="3"/>
  <c r="B16451" i="3"/>
  <c r="D16450" i="3"/>
  <c r="C16450" i="3"/>
  <c r="B16450" i="3"/>
  <c r="D16449" i="3"/>
  <c r="C16449" i="3"/>
  <c r="B16449" i="3"/>
  <c r="D16448" i="3"/>
  <c r="C16448" i="3"/>
  <c r="B16448" i="3"/>
  <c r="D16447" i="3"/>
  <c r="C16447" i="3"/>
  <c r="B16447" i="3"/>
  <c r="D16446" i="3"/>
  <c r="C16446" i="3"/>
  <c r="B16446" i="3"/>
  <c r="D16445" i="3"/>
  <c r="C16445" i="3"/>
  <c r="B16445" i="3"/>
  <c r="D16444" i="3"/>
  <c r="C16444" i="3"/>
  <c r="B16444" i="3"/>
  <c r="D16443" i="3"/>
  <c r="C16443" i="3"/>
  <c r="B16443" i="3"/>
  <c r="D16442" i="3"/>
  <c r="C16442" i="3"/>
  <c r="B16442" i="3"/>
  <c r="D16441" i="3"/>
  <c r="C16441" i="3"/>
  <c r="B16441" i="3"/>
  <c r="D16440" i="3"/>
  <c r="C16440" i="3"/>
  <c r="B16440" i="3"/>
  <c r="D16439" i="3"/>
  <c r="C16439" i="3"/>
  <c r="B16439" i="3"/>
  <c r="D16438" i="3"/>
  <c r="C16438" i="3"/>
  <c r="B16438" i="3"/>
  <c r="D16437" i="3"/>
  <c r="C16437" i="3"/>
  <c r="B16437" i="3"/>
  <c r="D16436" i="3"/>
  <c r="C16436" i="3"/>
  <c r="B16436" i="3"/>
  <c r="D16435" i="3"/>
  <c r="C16435" i="3"/>
  <c r="B16435" i="3"/>
  <c r="D16434" i="3"/>
  <c r="C16434" i="3"/>
  <c r="B16434" i="3"/>
  <c r="D16433" i="3"/>
  <c r="C16433" i="3"/>
  <c r="B16433" i="3"/>
  <c r="D16432" i="3"/>
  <c r="C16432" i="3"/>
  <c r="B16432" i="3"/>
  <c r="D16431" i="3"/>
  <c r="C16431" i="3"/>
  <c r="B16431" i="3"/>
  <c r="D16430" i="3"/>
  <c r="C16430" i="3"/>
  <c r="B16430" i="3"/>
  <c r="D16429" i="3"/>
  <c r="C16429" i="3"/>
  <c r="B16429" i="3"/>
  <c r="D16428" i="3"/>
  <c r="C16428" i="3"/>
  <c r="B16428" i="3"/>
  <c r="D16427" i="3"/>
  <c r="C16427" i="3"/>
  <c r="B16427" i="3"/>
  <c r="D16426" i="3"/>
  <c r="C16426" i="3"/>
  <c r="B16426" i="3"/>
  <c r="D16425" i="3"/>
  <c r="C16425" i="3"/>
  <c r="B16425" i="3"/>
  <c r="D16424" i="3"/>
  <c r="C16424" i="3"/>
  <c r="B16424" i="3"/>
  <c r="D16423" i="3"/>
  <c r="C16423" i="3"/>
  <c r="B16423" i="3"/>
  <c r="D16422" i="3"/>
  <c r="C16422" i="3"/>
  <c r="B16422" i="3"/>
  <c r="D16421" i="3"/>
  <c r="C16421" i="3"/>
  <c r="B16421" i="3"/>
  <c r="D16420" i="3"/>
  <c r="C16420" i="3"/>
  <c r="B16420" i="3"/>
  <c r="D16419" i="3"/>
  <c r="C16419" i="3"/>
  <c r="B16419" i="3"/>
  <c r="D16418" i="3"/>
  <c r="C16418" i="3"/>
  <c r="B16418" i="3"/>
  <c r="D16417" i="3"/>
  <c r="C16417" i="3"/>
  <c r="B16417" i="3"/>
  <c r="D16416" i="3"/>
  <c r="C16416" i="3"/>
  <c r="B16416" i="3"/>
  <c r="D16415" i="3"/>
  <c r="C16415" i="3"/>
  <c r="B16415" i="3"/>
  <c r="D16414" i="3"/>
  <c r="C16414" i="3"/>
  <c r="B16414" i="3"/>
  <c r="D16413" i="3"/>
  <c r="C16413" i="3"/>
  <c r="B16413" i="3"/>
  <c r="D16412" i="3"/>
  <c r="C16412" i="3"/>
  <c r="B16412" i="3"/>
  <c r="D16411" i="3"/>
  <c r="C16411" i="3"/>
  <c r="B16411" i="3"/>
  <c r="D16410" i="3"/>
  <c r="C16410" i="3"/>
  <c r="B16410" i="3"/>
  <c r="D16409" i="3"/>
  <c r="C16409" i="3"/>
  <c r="B16409" i="3"/>
  <c r="D16408" i="3"/>
  <c r="C16408" i="3"/>
  <c r="B16408" i="3"/>
  <c r="D16407" i="3"/>
  <c r="C16407" i="3"/>
  <c r="B16407" i="3"/>
  <c r="D16406" i="3"/>
  <c r="C16406" i="3"/>
  <c r="B16406" i="3"/>
  <c r="D16405" i="3"/>
  <c r="C16405" i="3"/>
  <c r="B16405" i="3"/>
  <c r="D16404" i="3"/>
  <c r="C16404" i="3"/>
  <c r="B16404" i="3"/>
  <c r="D16403" i="3"/>
  <c r="C16403" i="3"/>
  <c r="B16403" i="3"/>
  <c r="D16402" i="3"/>
  <c r="C16402" i="3"/>
  <c r="B16402" i="3"/>
  <c r="D16401" i="3"/>
  <c r="C16401" i="3"/>
  <c r="B16401" i="3"/>
  <c r="D16400" i="3"/>
  <c r="C16400" i="3"/>
  <c r="B16400" i="3"/>
  <c r="D16399" i="3"/>
  <c r="C16399" i="3"/>
  <c r="B16399" i="3"/>
  <c r="D16398" i="3"/>
  <c r="C16398" i="3"/>
  <c r="B16398" i="3"/>
  <c r="D16397" i="3"/>
  <c r="C16397" i="3"/>
  <c r="B16397" i="3"/>
  <c r="D16396" i="3"/>
  <c r="C16396" i="3"/>
  <c r="B16396" i="3"/>
  <c r="D16395" i="3"/>
  <c r="C16395" i="3"/>
  <c r="B16395" i="3"/>
  <c r="D16394" i="3"/>
  <c r="C16394" i="3"/>
  <c r="B16394" i="3"/>
  <c r="D16393" i="3"/>
  <c r="C16393" i="3"/>
  <c r="B16393" i="3"/>
  <c r="D16392" i="3"/>
  <c r="C16392" i="3"/>
  <c r="B16392" i="3"/>
  <c r="D16391" i="3"/>
  <c r="C16391" i="3"/>
  <c r="B16391" i="3"/>
  <c r="D16390" i="3"/>
  <c r="C16390" i="3"/>
  <c r="B16390" i="3"/>
  <c r="D16389" i="3"/>
  <c r="C16389" i="3"/>
  <c r="B16389" i="3"/>
  <c r="D16388" i="3"/>
  <c r="C16388" i="3"/>
  <c r="B16388" i="3"/>
  <c r="D16387" i="3"/>
  <c r="C16387" i="3"/>
  <c r="B16387" i="3"/>
  <c r="D16386" i="3"/>
  <c r="C16386" i="3"/>
  <c r="B16386" i="3"/>
  <c r="D16385" i="3"/>
  <c r="C16385" i="3"/>
  <c r="B16385" i="3"/>
  <c r="D16384" i="3"/>
  <c r="C16384" i="3"/>
  <c r="B16384" i="3"/>
  <c r="D16383" i="3"/>
  <c r="C16383" i="3"/>
  <c r="B16383" i="3"/>
  <c r="D16382" i="3"/>
  <c r="C16382" i="3"/>
  <c r="B16382" i="3"/>
  <c r="D16381" i="3"/>
  <c r="C16381" i="3"/>
  <c r="B16381" i="3"/>
  <c r="D16380" i="3"/>
  <c r="C16380" i="3"/>
  <c r="B16380" i="3"/>
  <c r="D16379" i="3"/>
  <c r="C16379" i="3"/>
  <c r="B16379" i="3"/>
  <c r="D16378" i="3"/>
  <c r="C16378" i="3"/>
  <c r="B16378" i="3"/>
  <c r="D16377" i="3"/>
  <c r="C16377" i="3"/>
  <c r="B16377" i="3"/>
  <c r="D16376" i="3"/>
  <c r="C16376" i="3"/>
  <c r="B16376" i="3"/>
  <c r="D16375" i="3"/>
  <c r="C16375" i="3"/>
  <c r="B16375" i="3"/>
  <c r="D16374" i="3"/>
  <c r="C16374" i="3"/>
  <c r="B16374" i="3"/>
  <c r="D16373" i="3"/>
  <c r="C16373" i="3"/>
  <c r="B16373" i="3"/>
  <c r="D16372" i="3"/>
  <c r="C16372" i="3"/>
  <c r="B16372" i="3"/>
  <c r="D16371" i="3"/>
  <c r="C16371" i="3"/>
  <c r="B16371" i="3"/>
  <c r="D16370" i="3"/>
  <c r="C16370" i="3"/>
  <c r="B16370" i="3"/>
  <c r="D16369" i="3"/>
  <c r="C16369" i="3"/>
  <c r="B16369" i="3"/>
  <c r="D16368" i="3"/>
  <c r="C16368" i="3"/>
  <c r="B16368" i="3"/>
  <c r="D16367" i="3"/>
  <c r="C16367" i="3"/>
  <c r="B16367" i="3"/>
  <c r="D16366" i="3"/>
  <c r="C16366" i="3"/>
  <c r="B16366" i="3"/>
  <c r="D16365" i="3"/>
  <c r="C16365" i="3"/>
  <c r="B16365" i="3"/>
  <c r="D16364" i="3"/>
  <c r="C16364" i="3"/>
  <c r="B16364" i="3"/>
  <c r="D16363" i="3"/>
  <c r="C16363" i="3"/>
  <c r="B16363" i="3"/>
  <c r="D16362" i="3"/>
  <c r="C16362" i="3"/>
  <c r="B16362" i="3"/>
  <c r="D16361" i="3"/>
  <c r="C16361" i="3"/>
  <c r="B16361" i="3"/>
  <c r="D16360" i="3"/>
  <c r="C16360" i="3"/>
  <c r="B16360" i="3"/>
  <c r="D16359" i="3"/>
  <c r="C16359" i="3"/>
  <c r="B16359" i="3"/>
  <c r="D16358" i="3"/>
  <c r="C16358" i="3"/>
  <c r="B16358" i="3"/>
  <c r="D16357" i="3"/>
  <c r="C16357" i="3"/>
  <c r="B16357" i="3"/>
  <c r="D16356" i="3"/>
  <c r="C16356" i="3"/>
  <c r="B16356" i="3"/>
  <c r="D16355" i="3"/>
  <c r="C16355" i="3"/>
  <c r="B16355" i="3"/>
  <c r="D16354" i="3"/>
  <c r="C16354" i="3"/>
  <c r="B16354" i="3"/>
  <c r="D16353" i="3"/>
  <c r="C16353" i="3"/>
  <c r="B16353" i="3"/>
  <c r="D16352" i="3"/>
  <c r="C16352" i="3"/>
  <c r="B16352" i="3"/>
  <c r="D16351" i="3"/>
  <c r="C16351" i="3"/>
  <c r="B16351" i="3"/>
  <c r="D16350" i="3"/>
  <c r="C16350" i="3"/>
  <c r="B16350" i="3"/>
  <c r="D16349" i="3"/>
  <c r="C16349" i="3"/>
  <c r="B16349" i="3"/>
  <c r="D16348" i="3"/>
  <c r="C16348" i="3"/>
  <c r="B16348" i="3"/>
  <c r="D16347" i="3"/>
  <c r="C16347" i="3"/>
  <c r="B16347" i="3"/>
  <c r="D16346" i="3"/>
  <c r="C16346" i="3"/>
  <c r="B16346" i="3"/>
  <c r="D16345" i="3"/>
  <c r="C16345" i="3"/>
  <c r="B16345" i="3"/>
  <c r="D16344" i="3"/>
  <c r="C16344" i="3"/>
  <c r="B16344" i="3"/>
  <c r="D16343" i="3"/>
  <c r="C16343" i="3"/>
  <c r="B16343" i="3"/>
  <c r="D16342" i="3"/>
  <c r="C16342" i="3"/>
  <c r="B16342" i="3"/>
  <c r="D16341" i="3"/>
  <c r="C16341" i="3"/>
  <c r="B16341" i="3"/>
  <c r="D16340" i="3"/>
  <c r="C16340" i="3"/>
  <c r="B16340" i="3"/>
  <c r="D16339" i="3"/>
  <c r="C16339" i="3"/>
  <c r="B16339" i="3"/>
  <c r="D16338" i="3"/>
  <c r="C16338" i="3"/>
  <c r="B16338" i="3"/>
  <c r="D16337" i="3"/>
  <c r="C16337" i="3"/>
  <c r="B16337" i="3"/>
  <c r="D16336" i="3"/>
  <c r="C16336" i="3"/>
  <c r="B16336" i="3"/>
  <c r="D16335" i="3"/>
  <c r="C16335" i="3"/>
  <c r="B16335" i="3"/>
  <c r="D16334" i="3"/>
  <c r="C16334" i="3"/>
  <c r="B16334" i="3"/>
  <c r="D16333" i="3"/>
  <c r="C16333" i="3"/>
  <c r="B16333" i="3"/>
  <c r="D16332" i="3"/>
  <c r="C16332" i="3"/>
  <c r="B16332" i="3"/>
  <c r="D16331" i="3"/>
  <c r="C16331" i="3"/>
  <c r="B16331" i="3"/>
  <c r="D16330" i="3"/>
  <c r="C16330" i="3"/>
  <c r="B16330" i="3"/>
  <c r="D16329" i="3"/>
  <c r="C16329" i="3"/>
  <c r="B16329" i="3"/>
  <c r="D16328" i="3"/>
  <c r="C16328" i="3"/>
  <c r="B16328" i="3"/>
  <c r="D16327" i="3"/>
  <c r="C16327" i="3"/>
  <c r="B16327" i="3"/>
  <c r="D16326" i="3"/>
  <c r="C16326" i="3"/>
  <c r="B16326" i="3"/>
  <c r="D16325" i="3"/>
  <c r="C16325" i="3"/>
  <c r="B16325" i="3"/>
  <c r="D16324" i="3"/>
  <c r="C16324" i="3"/>
  <c r="B16324" i="3"/>
  <c r="D16323" i="3"/>
  <c r="C16323" i="3"/>
  <c r="B16323" i="3"/>
  <c r="D16322" i="3"/>
  <c r="C16322" i="3"/>
  <c r="B16322" i="3"/>
  <c r="D16321" i="3"/>
  <c r="C16321" i="3"/>
  <c r="B16321" i="3"/>
  <c r="D16320" i="3"/>
  <c r="C16320" i="3"/>
  <c r="B16320" i="3"/>
  <c r="D16319" i="3"/>
  <c r="C16319" i="3"/>
  <c r="B16319" i="3"/>
  <c r="D16318" i="3"/>
  <c r="C16318" i="3"/>
  <c r="B16318" i="3"/>
  <c r="D16317" i="3"/>
  <c r="C16317" i="3"/>
  <c r="B16317" i="3"/>
  <c r="D16316" i="3"/>
  <c r="C16316" i="3"/>
  <c r="B16316" i="3"/>
  <c r="D16315" i="3"/>
  <c r="C16315" i="3"/>
  <c r="B16315" i="3"/>
  <c r="D16314" i="3"/>
  <c r="C16314" i="3"/>
  <c r="B16314" i="3"/>
  <c r="D16313" i="3"/>
  <c r="C16313" i="3"/>
  <c r="B16313" i="3"/>
  <c r="D16312" i="3"/>
  <c r="C16312" i="3"/>
  <c r="B16312" i="3"/>
  <c r="D16311" i="3"/>
  <c r="C16311" i="3"/>
  <c r="B16311" i="3"/>
  <c r="D16310" i="3"/>
  <c r="C16310" i="3"/>
  <c r="B16310" i="3"/>
  <c r="D16309" i="3"/>
  <c r="C16309" i="3"/>
  <c r="B16309" i="3"/>
  <c r="D16308" i="3"/>
  <c r="C16308" i="3"/>
  <c r="B16308" i="3"/>
  <c r="D16307" i="3"/>
  <c r="C16307" i="3"/>
  <c r="B16307" i="3"/>
  <c r="D16306" i="3"/>
  <c r="C16306" i="3"/>
  <c r="B16306" i="3"/>
  <c r="D16305" i="3"/>
  <c r="C16305" i="3"/>
  <c r="B16305" i="3"/>
  <c r="D16304" i="3"/>
  <c r="C16304" i="3"/>
  <c r="B16304" i="3"/>
  <c r="D16303" i="3"/>
  <c r="C16303" i="3"/>
  <c r="B16303" i="3"/>
  <c r="D16302" i="3"/>
  <c r="C16302" i="3"/>
  <c r="B16302" i="3"/>
  <c r="D16301" i="3"/>
  <c r="C16301" i="3"/>
  <c r="B16301" i="3"/>
  <c r="D16300" i="3"/>
  <c r="C16300" i="3"/>
  <c r="B16300" i="3"/>
  <c r="D16299" i="3"/>
  <c r="C16299" i="3"/>
  <c r="B16299" i="3"/>
  <c r="D16298" i="3"/>
  <c r="C16298" i="3"/>
  <c r="B16298" i="3"/>
  <c r="D16297" i="3"/>
  <c r="C16297" i="3"/>
  <c r="B16297" i="3"/>
  <c r="D16296" i="3"/>
  <c r="C16296" i="3"/>
  <c r="B16296" i="3"/>
  <c r="D16295" i="3"/>
  <c r="C16295" i="3"/>
  <c r="B16295" i="3"/>
  <c r="D16294" i="3"/>
  <c r="C16294" i="3"/>
  <c r="B16294" i="3"/>
  <c r="D16293" i="3"/>
  <c r="C16293" i="3"/>
  <c r="B16293" i="3"/>
  <c r="D16292" i="3"/>
  <c r="C16292" i="3"/>
  <c r="B16292" i="3"/>
  <c r="D16291" i="3"/>
  <c r="C16291" i="3"/>
  <c r="B16291" i="3"/>
  <c r="D16290" i="3"/>
  <c r="C16290" i="3"/>
  <c r="B16290" i="3"/>
  <c r="D16289" i="3"/>
  <c r="C16289" i="3"/>
  <c r="B16289" i="3"/>
  <c r="D16288" i="3"/>
  <c r="C16288" i="3"/>
  <c r="B16288" i="3"/>
  <c r="D16287" i="3"/>
  <c r="C16287" i="3"/>
  <c r="B16287" i="3"/>
  <c r="D16286" i="3"/>
  <c r="C16286" i="3"/>
  <c r="B16286" i="3"/>
  <c r="D16285" i="3"/>
  <c r="C16285" i="3"/>
  <c r="B16285" i="3"/>
  <c r="D16284" i="3"/>
  <c r="C16284" i="3"/>
  <c r="B16284" i="3"/>
  <c r="D16283" i="3"/>
  <c r="C16283" i="3"/>
  <c r="B16283" i="3"/>
  <c r="D16282" i="3"/>
  <c r="C16282" i="3"/>
  <c r="B16282" i="3"/>
  <c r="D16281" i="3"/>
  <c r="C16281" i="3"/>
  <c r="B16281" i="3"/>
  <c r="D16280" i="3"/>
  <c r="C16280" i="3"/>
  <c r="B16280" i="3"/>
  <c r="D16279" i="3"/>
  <c r="C16279" i="3"/>
  <c r="B16279" i="3"/>
  <c r="D16278" i="3"/>
  <c r="C16278" i="3"/>
  <c r="B16278" i="3"/>
  <c r="D16277" i="3"/>
  <c r="C16277" i="3"/>
  <c r="B16277" i="3"/>
  <c r="D16276" i="3"/>
  <c r="C16276" i="3"/>
  <c r="B16276" i="3"/>
  <c r="D16275" i="3"/>
  <c r="C16275" i="3"/>
  <c r="B16275" i="3"/>
  <c r="D16274" i="3"/>
  <c r="C16274" i="3"/>
  <c r="B16274" i="3"/>
  <c r="D16273" i="3"/>
  <c r="C16273" i="3"/>
  <c r="B16273" i="3"/>
  <c r="D16272" i="3"/>
  <c r="C16272" i="3"/>
  <c r="B16272" i="3"/>
  <c r="D16271" i="3"/>
  <c r="C16271" i="3"/>
  <c r="B16271" i="3"/>
  <c r="D16270" i="3"/>
  <c r="C16270" i="3"/>
  <c r="B16270" i="3"/>
  <c r="D16269" i="3"/>
  <c r="C16269" i="3"/>
  <c r="B16269" i="3"/>
  <c r="D16268" i="3"/>
  <c r="C16268" i="3"/>
  <c r="B16268" i="3"/>
  <c r="D16267" i="3"/>
  <c r="C16267" i="3"/>
  <c r="B16267" i="3"/>
  <c r="D16266" i="3"/>
  <c r="C16266" i="3"/>
  <c r="B16266" i="3"/>
  <c r="D16265" i="3"/>
  <c r="C16265" i="3"/>
  <c r="B16265" i="3"/>
  <c r="D16264" i="3"/>
  <c r="C16264" i="3"/>
  <c r="B16264" i="3"/>
  <c r="D16263" i="3"/>
  <c r="C16263" i="3"/>
  <c r="B16263" i="3"/>
  <c r="D16262" i="3"/>
  <c r="C16262" i="3"/>
  <c r="B16262" i="3"/>
  <c r="D16261" i="3"/>
  <c r="C16261" i="3"/>
  <c r="B16261" i="3"/>
  <c r="D16260" i="3"/>
  <c r="C16260" i="3"/>
  <c r="B16260" i="3"/>
  <c r="D16259" i="3"/>
  <c r="C16259" i="3"/>
  <c r="B16259" i="3"/>
  <c r="D16258" i="3"/>
  <c r="C16258" i="3"/>
  <c r="B16258" i="3"/>
  <c r="D16257" i="3"/>
  <c r="C16257" i="3"/>
  <c r="B16257" i="3"/>
  <c r="D16256" i="3"/>
  <c r="C16256" i="3"/>
  <c r="B16256" i="3"/>
  <c r="D16255" i="3"/>
  <c r="C16255" i="3"/>
  <c r="B16255" i="3"/>
  <c r="D16254" i="3"/>
  <c r="C16254" i="3"/>
  <c r="B16254" i="3"/>
  <c r="D16253" i="3"/>
  <c r="C16253" i="3"/>
  <c r="B16253" i="3"/>
  <c r="D16252" i="3"/>
  <c r="C16252" i="3"/>
  <c r="B16252" i="3"/>
  <c r="D16251" i="3"/>
  <c r="C16251" i="3"/>
  <c r="B16251" i="3"/>
  <c r="D16250" i="3"/>
  <c r="C16250" i="3"/>
  <c r="B16250" i="3"/>
  <c r="D16249" i="3"/>
  <c r="C16249" i="3"/>
  <c r="B16249" i="3"/>
  <c r="D16248" i="3"/>
  <c r="C16248" i="3"/>
  <c r="B16248" i="3"/>
  <c r="D16247" i="3"/>
  <c r="C16247" i="3"/>
  <c r="B16247" i="3"/>
  <c r="D16246" i="3"/>
  <c r="C16246" i="3"/>
  <c r="B16246" i="3"/>
  <c r="D16245" i="3"/>
  <c r="C16245" i="3"/>
  <c r="B16245" i="3"/>
  <c r="D16244" i="3"/>
  <c r="C16244" i="3"/>
  <c r="B16244" i="3"/>
  <c r="D16243" i="3"/>
  <c r="C16243" i="3"/>
  <c r="B16243" i="3"/>
  <c r="D16242" i="3"/>
  <c r="C16242" i="3"/>
  <c r="B16242" i="3"/>
  <c r="D16241" i="3"/>
  <c r="C16241" i="3"/>
  <c r="B16241" i="3"/>
  <c r="D16240" i="3"/>
  <c r="C16240" i="3"/>
  <c r="B16240" i="3"/>
  <c r="D16239" i="3"/>
  <c r="C16239" i="3"/>
  <c r="B16239" i="3"/>
  <c r="D16238" i="3"/>
  <c r="C16238" i="3"/>
  <c r="B16238" i="3"/>
  <c r="D16237" i="3"/>
  <c r="C16237" i="3"/>
  <c r="B16237" i="3"/>
  <c r="D16236" i="3"/>
  <c r="C16236" i="3"/>
  <c r="B16236" i="3"/>
  <c r="D16235" i="3"/>
  <c r="C16235" i="3"/>
  <c r="B16235" i="3"/>
  <c r="D16234" i="3"/>
  <c r="C16234" i="3"/>
  <c r="B16234" i="3"/>
  <c r="D16233" i="3"/>
  <c r="C16233" i="3"/>
  <c r="B16233" i="3"/>
  <c r="D16232" i="3"/>
  <c r="C16232" i="3"/>
  <c r="B16232" i="3"/>
  <c r="D16231" i="3"/>
  <c r="C16231" i="3"/>
  <c r="B16231" i="3"/>
  <c r="D16230" i="3"/>
  <c r="C16230" i="3"/>
  <c r="B16230" i="3"/>
  <c r="D16229" i="3"/>
  <c r="C16229" i="3"/>
  <c r="B16229" i="3"/>
  <c r="D16228" i="3"/>
  <c r="C16228" i="3"/>
  <c r="B16228" i="3"/>
  <c r="D16227" i="3"/>
  <c r="C16227" i="3"/>
  <c r="B16227" i="3"/>
  <c r="D16226" i="3"/>
  <c r="C16226" i="3"/>
  <c r="B16226" i="3"/>
  <c r="D16225" i="3"/>
  <c r="C16225" i="3"/>
  <c r="B16225" i="3"/>
  <c r="D16224" i="3"/>
  <c r="C16224" i="3"/>
  <c r="B16224" i="3"/>
  <c r="D16223" i="3"/>
  <c r="C16223" i="3"/>
  <c r="B16223" i="3"/>
  <c r="D16222" i="3"/>
  <c r="C16222" i="3"/>
  <c r="B16222" i="3"/>
  <c r="D16221" i="3"/>
  <c r="C16221" i="3"/>
  <c r="B16221" i="3"/>
  <c r="D16220" i="3"/>
  <c r="C16220" i="3"/>
  <c r="B16220" i="3"/>
  <c r="D16219" i="3"/>
  <c r="C16219" i="3"/>
  <c r="B16219" i="3"/>
  <c r="D16218" i="3"/>
  <c r="C16218" i="3"/>
  <c r="B16218" i="3"/>
  <c r="D16217" i="3"/>
  <c r="C16217" i="3"/>
  <c r="B16217" i="3"/>
  <c r="D16216" i="3"/>
  <c r="C16216" i="3"/>
  <c r="B16216" i="3"/>
  <c r="D16215" i="3"/>
  <c r="C16215" i="3"/>
  <c r="B16215" i="3"/>
  <c r="D16214" i="3"/>
  <c r="C16214" i="3"/>
  <c r="B16214" i="3"/>
  <c r="D16213" i="3"/>
  <c r="C16213" i="3"/>
  <c r="B16213" i="3"/>
  <c r="D16212" i="3"/>
  <c r="C16212" i="3"/>
  <c r="B16212" i="3"/>
  <c r="D16211" i="3"/>
  <c r="C16211" i="3"/>
  <c r="B16211" i="3"/>
  <c r="D16210" i="3"/>
  <c r="C16210" i="3"/>
  <c r="B16210" i="3"/>
  <c r="D16209" i="3"/>
  <c r="C16209" i="3"/>
  <c r="B16209" i="3"/>
  <c r="D16208" i="3"/>
  <c r="C16208" i="3"/>
  <c r="B16208" i="3"/>
  <c r="D16207" i="3"/>
  <c r="C16207" i="3"/>
  <c r="B16207" i="3"/>
  <c r="D16206" i="3"/>
  <c r="C16206" i="3"/>
  <c r="B16206" i="3"/>
  <c r="D16205" i="3"/>
  <c r="C16205" i="3"/>
  <c r="B16205" i="3"/>
  <c r="D16204" i="3"/>
  <c r="C16204" i="3"/>
  <c r="B16204" i="3"/>
  <c r="D16203" i="3"/>
  <c r="C16203" i="3"/>
  <c r="B16203" i="3"/>
  <c r="D16202" i="3"/>
  <c r="C16202" i="3"/>
  <c r="B16202" i="3"/>
  <c r="D16201" i="3"/>
  <c r="C16201" i="3"/>
  <c r="B16201" i="3"/>
  <c r="D16200" i="3"/>
  <c r="C16200" i="3"/>
  <c r="B16200" i="3"/>
  <c r="D16199" i="3"/>
  <c r="C16199" i="3"/>
  <c r="B16199" i="3"/>
  <c r="D16198" i="3"/>
  <c r="C16198" i="3"/>
  <c r="B16198" i="3"/>
  <c r="D16197" i="3"/>
  <c r="C16197" i="3"/>
  <c r="B16197" i="3"/>
  <c r="D16196" i="3"/>
  <c r="C16196" i="3"/>
  <c r="B16196" i="3"/>
  <c r="D16195" i="3"/>
  <c r="C16195" i="3"/>
  <c r="B16195" i="3"/>
  <c r="D16194" i="3"/>
  <c r="C16194" i="3"/>
  <c r="B16194" i="3"/>
  <c r="D16193" i="3"/>
  <c r="C16193" i="3"/>
  <c r="B16193" i="3"/>
  <c r="D16192" i="3"/>
  <c r="C16192" i="3"/>
  <c r="B16192" i="3"/>
  <c r="D16191" i="3"/>
  <c r="C16191" i="3"/>
  <c r="B16191" i="3"/>
  <c r="D16190" i="3"/>
  <c r="C16190" i="3"/>
  <c r="B16190" i="3"/>
  <c r="D16189" i="3"/>
  <c r="C16189" i="3"/>
  <c r="B16189" i="3"/>
  <c r="D16188" i="3"/>
  <c r="C16188" i="3"/>
  <c r="B16188" i="3"/>
  <c r="D16187" i="3"/>
  <c r="C16187" i="3"/>
  <c r="B16187" i="3"/>
  <c r="D16186" i="3"/>
  <c r="C16186" i="3"/>
  <c r="B16186" i="3"/>
  <c r="D16185" i="3"/>
  <c r="C16185" i="3"/>
  <c r="B16185" i="3"/>
  <c r="D16184" i="3"/>
  <c r="C16184" i="3"/>
  <c r="B16184" i="3"/>
  <c r="D16183" i="3"/>
  <c r="C16183" i="3"/>
  <c r="B16183" i="3"/>
  <c r="D16182" i="3"/>
  <c r="C16182" i="3"/>
  <c r="B16182" i="3"/>
  <c r="D16181" i="3"/>
  <c r="C16181" i="3"/>
  <c r="B16181" i="3"/>
  <c r="D16180" i="3"/>
  <c r="C16180" i="3"/>
  <c r="B16180" i="3"/>
  <c r="D16179" i="3"/>
  <c r="C16179" i="3"/>
  <c r="B16179" i="3"/>
  <c r="D16178" i="3"/>
  <c r="C16178" i="3"/>
  <c r="B16178" i="3"/>
  <c r="D16177" i="3"/>
  <c r="C16177" i="3"/>
  <c r="B16177" i="3"/>
  <c r="D16176" i="3"/>
  <c r="C16176" i="3"/>
  <c r="B16176" i="3"/>
  <c r="D16175" i="3"/>
  <c r="C16175" i="3"/>
  <c r="B16175" i="3"/>
  <c r="D16174" i="3"/>
  <c r="C16174" i="3"/>
  <c r="B16174" i="3"/>
  <c r="D16173" i="3"/>
  <c r="C16173" i="3"/>
  <c r="B16173" i="3"/>
  <c r="D16172" i="3"/>
  <c r="C16172" i="3"/>
  <c r="B16172" i="3"/>
  <c r="D16171" i="3"/>
  <c r="C16171" i="3"/>
  <c r="B16171" i="3"/>
  <c r="D16170" i="3"/>
  <c r="C16170" i="3"/>
  <c r="B16170" i="3"/>
  <c r="D16169" i="3"/>
  <c r="C16169" i="3"/>
  <c r="B16169" i="3"/>
  <c r="D16168" i="3"/>
  <c r="C16168" i="3"/>
  <c r="B16168" i="3"/>
  <c r="D16167" i="3"/>
  <c r="C16167" i="3"/>
  <c r="B16167" i="3"/>
  <c r="D16166" i="3"/>
  <c r="C16166" i="3"/>
  <c r="B16166" i="3"/>
  <c r="D16165" i="3"/>
  <c r="C16165" i="3"/>
  <c r="B16165" i="3"/>
  <c r="D16164" i="3"/>
  <c r="C16164" i="3"/>
  <c r="B16164" i="3"/>
  <c r="D16163" i="3"/>
  <c r="C16163" i="3"/>
  <c r="B16163" i="3"/>
  <c r="D16162" i="3"/>
  <c r="C16162" i="3"/>
  <c r="B16162" i="3"/>
  <c r="D16161" i="3"/>
  <c r="C16161" i="3"/>
  <c r="B16161" i="3"/>
  <c r="D16160" i="3"/>
  <c r="C16160" i="3"/>
  <c r="B16160" i="3"/>
  <c r="D16159" i="3"/>
  <c r="C16159" i="3"/>
  <c r="B16159" i="3"/>
  <c r="D16158" i="3"/>
  <c r="C16158" i="3"/>
  <c r="B16158" i="3"/>
  <c r="D16157" i="3"/>
  <c r="C16157" i="3"/>
  <c r="B16157" i="3"/>
  <c r="D16156" i="3"/>
  <c r="C16156" i="3"/>
  <c r="B16156" i="3"/>
  <c r="D16155" i="3"/>
  <c r="C16155" i="3"/>
  <c r="B16155" i="3"/>
  <c r="D16154" i="3"/>
  <c r="C16154" i="3"/>
  <c r="B16154" i="3"/>
  <c r="D16153" i="3"/>
  <c r="C16153" i="3"/>
  <c r="B16153" i="3"/>
  <c r="D16152" i="3"/>
  <c r="C16152" i="3"/>
  <c r="B16152" i="3"/>
  <c r="D16151" i="3"/>
  <c r="C16151" i="3"/>
  <c r="B16151" i="3"/>
  <c r="D16150" i="3"/>
  <c r="C16150" i="3"/>
  <c r="B16150" i="3"/>
  <c r="D16149" i="3"/>
  <c r="C16149" i="3"/>
  <c r="B16149" i="3"/>
  <c r="D16148" i="3"/>
  <c r="C16148" i="3"/>
  <c r="B16148" i="3"/>
  <c r="D16147" i="3"/>
  <c r="C16147" i="3"/>
  <c r="B16147" i="3"/>
  <c r="D16146" i="3"/>
  <c r="C16146" i="3"/>
  <c r="B16146" i="3"/>
  <c r="D16145" i="3"/>
  <c r="C16145" i="3"/>
  <c r="B16145" i="3"/>
  <c r="D16144" i="3"/>
  <c r="C16144" i="3"/>
  <c r="B16144" i="3"/>
  <c r="D16143" i="3"/>
  <c r="C16143" i="3"/>
  <c r="B16143" i="3"/>
  <c r="D16142" i="3"/>
  <c r="C16142" i="3"/>
  <c r="B16142" i="3"/>
  <c r="D16141" i="3"/>
  <c r="C16141" i="3"/>
  <c r="B16141" i="3"/>
  <c r="D16140" i="3"/>
  <c r="C16140" i="3"/>
  <c r="B16140" i="3"/>
  <c r="D16139" i="3"/>
  <c r="C16139" i="3"/>
  <c r="B16139" i="3"/>
  <c r="D16138" i="3"/>
  <c r="C16138" i="3"/>
  <c r="B16138" i="3"/>
  <c r="D16137" i="3"/>
  <c r="C16137" i="3"/>
  <c r="B16137" i="3"/>
  <c r="D16136" i="3"/>
  <c r="C16136" i="3"/>
  <c r="B16136" i="3"/>
  <c r="D16135" i="3"/>
  <c r="C16135" i="3"/>
  <c r="B16135" i="3"/>
  <c r="D16134" i="3"/>
  <c r="C16134" i="3"/>
  <c r="B16134" i="3"/>
  <c r="D16133" i="3"/>
  <c r="C16133" i="3"/>
  <c r="B16133" i="3"/>
  <c r="D16132" i="3"/>
  <c r="C16132" i="3"/>
  <c r="B16132" i="3"/>
  <c r="D16131" i="3"/>
  <c r="C16131" i="3"/>
  <c r="B16131" i="3"/>
  <c r="D16130" i="3"/>
  <c r="C16130" i="3"/>
  <c r="B16130" i="3"/>
  <c r="D16129" i="3"/>
  <c r="C16129" i="3"/>
  <c r="B16129" i="3"/>
  <c r="D16128" i="3"/>
  <c r="C16128" i="3"/>
  <c r="B16128" i="3"/>
  <c r="D16127" i="3"/>
  <c r="C16127" i="3"/>
  <c r="B16127" i="3"/>
  <c r="D16126" i="3"/>
  <c r="C16126" i="3"/>
  <c r="B16126" i="3"/>
  <c r="D16125" i="3"/>
  <c r="C16125" i="3"/>
  <c r="B16125" i="3"/>
  <c r="D16124" i="3"/>
  <c r="C16124" i="3"/>
  <c r="B16124" i="3"/>
  <c r="D16123" i="3"/>
  <c r="C16123" i="3"/>
  <c r="B16123" i="3"/>
  <c r="D16122" i="3"/>
  <c r="C16122" i="3"/>
  <c r="B16122" i="3"/>
  <c r="D16121" i="3"/>
  <c r="C16121" i="3"/>
  <c r="B16121" i="3"/>
  <c r="D16120" i="3"/>
  <c r="C16120" i="3"/>
  <c r="B16120" i="3"/>
  <c r="D16119" i="3"/>
  <c r="C16119" i="3"/>
  <c r="B16119" i="3"/>
  <c r="D16118" i="3"/>
  <c r="C16118" i="3"/>
  <c r="B16118" i="3"/>
  <c r="D16117" i="3"/>
  <c r="C16117" i="3"/>
  <c r="B16117" i="3"/>
  <c r="D16116" i="3"/>
  <c r="C16116" i="3"/>
  <c r="B16116" i="3"/>
  <c r="D16115" i="3"/>
  <c r="C16115" i="3"/>
  <c r="B16115" i="3"/>
  <c r="D16114" i="3"/>
  <c r="C16114" i="3"/>
  <c r="B16114" i="3"/>
  <c r="D16113" i="3"/>
  <c r="C16113" i="3"/>
  <c r="B16113" i="3"/>
  <c r="D16112" i="3"/>
  <c r="C16112" i="3"/>
  <c r="B16112" i="3"/>
  <c r="D16111" i="3"/>
  <c r="C16111" i="3"/>
  <c r="B16111" i="3"/>
  <c r="D16110" i="3"/>
  <c r="C16110" i="3"/>
  <c r="B16110" i="3"/>
  <c r="D16109" i="3"/>
  <c r="C16109" i="3"/>
  <c r="B16109" i="3"/>
  <c r="D16108" i="3"/>
  <c r="C16108" i="3"/>
  <c r="B16108" i="3"/>
  <c r="D16107" i="3"/>
  <c r="C16107" i="3"/>
  <c r="B16107" i="3"/>
  <c r="D16106" i="3"/>
  <c r="C16106" i="3"/>
  <c r="B16106" i="3"/>
  <c r="D16105" i="3"/>
  <c r="C16105" i="3"/>
  <c r="B16105" i="3"/>
  <c r="D16104" i="3"/>
  <c r="C16104" i="3"/>
  <c r="B16104" i="3"/>
  <c r="D16103" i="3"/>
  <c r="C16103" i="3"/>
  <c r="B16103" i="3"/>
  <c r="D16102" i="3"/>
  <c r="C16102" i="3"/>
  <c r="B16102" i="3"/>
  <c r="D16101" i="3"/>
  <c r="C16101" i="3"/>
  <c r="B16101" i="3"/>
  <c r="D16100" i="3"/>
  <c r="C16100" i="3"/>
  <c r="B16100" i="3"/>
  <c r="D16099" i="3"/>
  <c r="C16099" i="3"/>
  <c r="B16099" i="3"/>
  <c r="D16098" i="3"/>
  <c r="C16098" i="3"/>
  <c r="B16098" i="3"/>
  <c r="D16097" i="3"/>
  <c r="C16097" i="3"/>
  <c r="B16097" i="3"/>
  <c r="D16096" i="3"/>
  <c r="C16096" i="3"/>
  <c r="B16096" i="3"/>
  <c r="D16095" i="3"/>
  <c r="C16095" i="3"/>
  <c r="B16095" i="3"/>
  <c r="D16094" i="3"/>
  <c r="C16094" i="3"/>
  <c r="B16094" i="3"/>
  <c r="D16093" i="3"/>
  <c r="C16093" i="3"/>
  <c r="B16093" i="3"/>
  <c r="D16092" i="3"/>
  <c r="C16092" i="3"/>
  <c r="B16092" i="3"/>
  <c r="D16091" i="3"/>
  <c r="C16091" i="3"/>
  <c r="B16091" i="3"/>
  <c r="D16090" i="3"/>
  <c r="C16090" i="3"/>
  <c r="B16090" i="3"/>
  <c r="D16089" i="3"/>
  <c r="C16089" i="3"/>
  <c r="B16089" i="3"/>
  <c r="D16088" i="3"/>
  <c r="C16088" i="3"/>
  <c r="B16088" i="3"/>
  <c r="D16087" i="3"/>
  <c r="C16087" i="3"/>
  <c r="B16087" i="3"/>
  <c r="D16086" i="3"/>
  <c r="C16086" i="3"/>
  <c r="B16086" i="3"/>
  <c r="D16085" i="3"/>
  <c r="C16085" i="3"/>
  <c r="B16085" i="3"/>
  <c r="D16084" i="3"/>
  <c r="C16084" i="3"/>
  <c r="B16084" i="3"/>
  <c r="D16083" i="3"/>
  <c r="C16083" i="3"/>
  <c r="B16083" i="3"/>
  <c r="D16082" i="3"/>
  <c r="C16082" i="3"/>
  <c r="B16082" i="3"/>
  <c r="D16081" i="3"/>
  <c r="C16081" i="3"/>
  <c r="B16081" i="3"/>
  <c r="D16080" i="3"/>
  <c r="C16080" i="3"/>
  <c r="B16080" i="3"/>
  <c r="D16079" i="3"/>
  <c r="C16079" i="3"/>
  <c r="B16079" i="3"/>
  <c r="D16078" i="3"/>
  <c r="C16078" i="3"/>
  <c r="B16078" i="3"/>
  <c r="D16077" i="3"/>
  <c r="C16077" i="3"/>
  <c r="B16077" i="3"/>
  <c r="D16076" i="3"/>
  <c r="C16076" i="3"/>
  <c r="B16076" i="3"/>
  <c r="D16075" i="3"/>
  <c r="C16075" i="3"/>
  <c r="B16075" i="3"/>
  <c r="D16074" i="3"/>
  <c r="C16074" i="3"/>
  <c r="B16074" i="3"/>
  <c r="D16073" i="3"/>
  <c r="C16073" i="3"/>
  <c r="B16073" i="3"/>
  <c r="D16072" i="3"/>
  <c r="C16072" i="3"/>
  <c r="B16072" i="3"/>
  <c r="D16071" i="3"/>
  <c r="C16071" i="3"/>
  <c r="B16071" i="3"/>
  <c r="D16070" i="3"/>
  <c r="C16070" i="3"/>
  <c r="B16070" i="3"/>
  <c r="D16069" i="3"/>
  <c r="C16069" i="3"/>
  <c r="B16069" i="3"/>
  <c r="D16068" i="3"/>
  <c r="C16068" i="3"/>
  <c r="B16068" i="3"/>
  <c r="D16067" i="3"/>
  <c r="C16067" i="3"/>
  <c r="B16067" i="3"/>
  <c r="D16066" i="3"/>
  <c r="C16066" i="3"/>
  <c r="B16066" i="3"/>
  <c r="D16065" i="3"/>
  <c r="C16065" i="3"/>
  <c r="B16065" i="3"/>
  <c r="D16064" i="3"/>
  <c r="C16064" i="3"/>
  <c r="B16064" i="3"/>
  <c r="D16063" i="3"/>
  <c r="C16063" i="3"/>
  <c r="B16063" i="3"/>
  <c r="D16062" i="3"/>
  <c r="C16062" i="3"/>
  <c r="B16062" i="3"/>
  <c r="D16061" i="3"/>
  <c r="C16061" i="3"/>
  <c r="B16061" i="3"/>
  <c r="D16060" i="3"/>
  <c r="C16060" i="3"/>
  <c r="B16060" i="3"/>
  <c r="D16059" i="3"/>
  <c r="C16059" i="3"/>
  <c r="B16059" i="3"/>
  <c r="D16058" i="3"/>
  <c r="C16058" i="3"/>
  <c r="B16058" i="3"/>
  <c r="D16057" i="3"/>
  <c r="C16057" i="3"/>
  <c r="B16057" i="3"/>
  <c r="D16056" i="3"/>
  <c r="C16056" i="3"/>
  <c r="B16056" i="3"/>
  <c r="D16055" i="3"/>
  <c r="C16055" i="3"/>
  <c r="B16055" i="3"/>
  <c r="D16054" i="3"/>
  <c r="C16054" i="3"/>
  <c r="B16054" i="3"/>
  <c r="D16053" i="3"/>
  <c r="C16053" i="3"/>
  <c r="B16053" i="3"/>
  <c r="D16052" i="3"/>
  <c r="C16052" i="3"/>
  <c r="B16052" i="3"/>
  <c r="D16051" i="3"/>
  <c r="C16051" i="3"/>
  <c r="B16051" i="3"/>
  <c r="D16050" i="3"/>
  <c r="C16050" i="3"/>
  <c r="B16050" i="3"/>
  <c r="D16049" i="3"/>
  <c r="C16049" i="3"/>
  <c r="B16049" i="3"/>
  <c r="D16048" i="3"/>
  <c r="C16048" i="3"/>
  <c r="B16048" i="3"/>
  <c r="D16047" i="3"/>
  <c r="C16047" i="3"/>
  <c r="B16047" i="3"/>
  <c r="D16046" i="3"/>
  <c r="C16046" i="3"/>
  <c r="B16046" i="3"/>
  <c r="D16045" i="3"/>
  <c r="C16045" i="3"/>
  <c r="B16045" i="3"/>
  <c r="D16044" i="3"/>
  <c r="C16044" i="3"/>
  <c r="B16044" i="3"/>
  <c r="D16043" i="3"/>
  <c r="C16043" i="3"/>
  <c r="B16043" i="3"/>
  <c r="D16042" i="3"/>
  <c r="C16042" i="3"/>
  <c r="B16042" i="3"/>
  <c r="D16041" i="3"/>
  <c r="C16041" i="3"/>
  <c r="B16041" i="3"/>
  <c r="D16040" i="3"/>
  <c r="C16040" i="3"/>
  <c r="B16040" i="3"/>
  <c r="D16039" i="3"/>
  <c r="C16039" i="3"/>
  <c r="B16039" i="3"/>
  <c r="D16038" i="3"/>
  <c r="C16038" i="3"/>
  <c r="B16038" i="3"/>
  <c r="D16037" i="3"/>
  <c r="C16037" i="3"/>
  <c r="B16037" i="3"/>
  <c r="D16036" i="3"/>
  <c r="C16036" i="3"/>
  <c r="B16036" i="3"/>
  <c r="D16035" i="3"/>
  <c r="C16035" i="3"/>
  <c r="B16035" i="3"/>
  <c r="D16034" i="3"/>
  <c r="C16034" i="3"/>
  <c r="B16034" i="3"/>
  <c r="D16033" i="3"/>
  <c r="C16033" i="3"/>
  <c r="B16033" i="3"/>
  <c r="D16032" i="3"/>
  <c r="C16032" i="3"/>
  <c r="B16032" i="3"/>
  <c r="D16031" i="3"/>
  <c r="C16031" i="3"/>
  <c r="B16031" i="3"/>
  <c r="D16030" i="3"/>
  <c r="C16030" i="3"/>
  <c r="B16030" i="3"/>
  <c r="D16029" i="3"/>
  <c r="C16029" i="3"/>
  <c r="B16029" i="3"/>
  <c r="D16028" i="3"/>
  <c r="C16028" i="3"/>
  <c r="B16028" i="3"/>
  <c r="D16027" i="3"/>
  <c r="C16027" i="3"/>
  <c r="B16027" i="3"/>
  <c r="D16026" i="3"/>
  <c r="C16026" i="3"/>
  <c r="B16026" i="3"/>
  <c r="D16025" i="3"/>
  <c r="C16025" i="3"/>
  <c r="B16025" i="3"/>
  <c r="D16024" i="3"/>
  <c r="C16024" i="3"/>
  <c r="B16024" i="3"/>
  <c r="D16023" i="3"/>
  <c r="C16023" i="3"/>
  <c r="B16023" i="3"/>
  <c r="D16022" i="3"/>
  <c r="C16022" i="3"/>
  <c r="B16022" i="3"/>
  <c r="D16021" i="3"/>
  <c r="C16021" i="3"/>
  <c r="B16021" i="3"/>
  <c r="D16020" i="3"/>
  <c r="C16020" i="3"/>
  <c r="B16020" i="3"/>
  <c r="D16019" i="3"/>
  <c r="C16019" i="3"/>
  <c r="B16019" i="3"/>
  <c r="D16018" i="3"/>
  <c r="C16018" i="3"/>
  <c r="B16018" i="3"/>
  <c r="D16017" i="3"/>
  <c r="C16017" i="3"/>
  <c r="B16017" i="3"/>
  <c r="D16016" i="3"/>
  <c r="C16016" i="3"/>
  <c r="B16016" i="3"/>
  <c r="D16015" i="3"/>
  <c r="C16015" i="3"/>
  <c r="B16015" i="3"/>
  <c r="D16014" i="3"/>
  <c r="C16014" i="3"/>
  <c r="B16014" i="3"/>
  <c r="D16013" i="3"/>
  <c r="C16013" i="3"/>
  <c r="B16013" i="3"/>
  <c r="D16012" i="3"/>
  <c r="C16012" i="3"/>
  <c r="B16012" i="3"/>
  <c r="D16011" i="3"/>
  <c r="C16011" i="3"/>
  <c r="B16011" i="3"/>
  <c r="D16010" i="3"/>
  <c r="C16010" i="3"/>
  <c r="B16010" i="3"/>
  <c r="D16009" i="3"/>
  <c r="C16009" i="3"/>
  <c r="B16009" i="3"/>
  <c r="D16008" i="3"/>
  <c r="C16008" i="3"/>
  <c r="B16008" i="3"/>
  <c r="D16007" i="3"/>
  <c r="C16007" i="3"/>
  <c r="B16007" i="3"/>
  <c r="D16006" i="3"/>
  <c r="C16006" i="3"/>
  <c r="B16006" i="3"/>
  <c r="D16005" i="3"/>
  <c r="C16005" i="3"/>
  <c r="B16005" i="3"/>
  <c r="D16004" i="3"/>
  <c r="C16004" i="3"/>
  <c r="B16004" i="3"/>
  <c r="D16003" i="3"/>
  <c r="C16003" i="3"/>
  <c r="B16003" i="3"/>
  <c r="D16002" i="3"/>
  <c r="C16002" i="3"/>
  <c r="B16002" i="3"/>
  <c r="D16001" i="3"/>
  <c r="C16001" i="3"/>
  <c r="B16001" i="3"/>
  <c r="D16000" i="3"/>
  <c r="C16000" i="3"/>
  <c r="B16000" i="3"/>
  <c r="D15999" i="3"/>
  <c r="C15999" i="3"/>
  <c r="B15999" i="3"/>
  <c r="D15998" i="3"/>
  <c r="C15998" i="3"/>
  <c r="B15998" i="3"/>
  <c r="D15997" i="3"/>
  <c r="C15997" i="3"/>
  <c r="B15997" i="3"/>
  <c r="D15996" i="3"/>
  <c r="C15996" i="3"/>
  <c r="B15996" i="3"/>
  <c r="D15995" i="3"/>
  <c r="C15995" i="3"/>
  <c r="B15995" i="3"/>
  <c r="D15994" i="3"/>
  <c r="C15994" i="3"/>
  <c r="B15994" i="3"/>
  <c r="D15993" i="3"/>
  <c r="C15993" i="3"/>
  <c r="B15993" i="3"/>
  <c r="D15992" i="3"/>
  <c r="C15992" i="3"/>
  <c r="B15992" i="3"/>
  <c r="D15991" i="3"/>
  <c r="C15991" i="3"/>
  <c r="B15991" i="3"/>
  <c r="D15990" i="3"/>
  <c r="C15990" i="3"/>
  <c r="B15990" i="3"/>
  <c r="D15989" i="3"/>
  <c r="C15989" i="3"/>
  <c r="B15989" i="3"/>
  <c r="D15988" i="3"/>
  <c r="C15988" i="3"/>
  <c r="B15988" i="3"/>
  <c r="D15987" i="3"/>
  <c r="C15987" i="3"/>
  <c r="B15987" i="3"/>
  <c r="D15986" i="3"/>
  <c r="C15986" i="3"/>
  <c r="B15986" i="3"/>
  <c r="D15985" i="3"/>
  <c r="C15985" i="3"/>
  <c r="B15985" i="3"/>
  <c r="D15984" i="3"/>
  <c r="C15984" i="3"/>
  <c r="B15984" i="3"/>
  <c r="D15983" i="3"/>
  <c r="C15983" i="3"/>
  <c r="B15983" i="3"/>
  <c r="D15982" i="3"/>
  <c r="C15982" i="3"/>
  <c r="B15982" i="3"/>
  <c r="D15981" i="3"/>
  <c r="C15981" i="3"/>
  <c r="B15981" i="3"/>
  <c r="D15980" i="3"/>
  <c r="C15980" i="3"/>
  <c r="B15980" i="3"/>
  <c r="D15979" i="3"/>
  <c r="C15979" i="3"/>
  <c r="B15979" i="3"/>
  <c r="D15978" i="3"/>
  <c r="C15978" i="3"/>
  <c r="B15978" i="3"/>
  <c r="D15977" i="3"/>
  <c r="C15977" i="3"/>
  <c r="B15977" i="3"/>
  <c r="D15976" i="3"/>
  <c r="C15976" i="3"/>
  <c r="B15976" i="3"/>
  <c r="D15975" i="3"/>
  <c r="C15975" i="3"/>
  <c r="B15975" i="3"/>
  <c r="D15974" i="3"/>
  <c r="C15974" i="3"/>
  <c r="B15974" i="3"/>
  <c r="D15973" i="3"/>
  <c r="C15973" i="3"/>
  <c r="B15973" i="3"/>
  <c r="D15972" i="3"/>
  <c r="C15972" i="3"/>
  <c r="B15972" i="3"/>
  <c r="D15971" i="3"/>
  <c r="C15971" i="3"/>
  <c r="B15971" i="3"/>
  <c r="D15970" i="3"/>
  <c r="C15970" i="3"/>
  <c r="B15970" i="3"/>
  <c r="D15969" i="3"/>
  <c r="C15969" i="3"/>
  <c r="B15969" i="3"/>
  <c r="D15968" i="3"/>
  <c r="C15968" i="3"/>
  <c r="B15968" i="3"/>
  <c r="D15967" i="3"/>
  <c r="C15967" i="3"/>
  <c r="B15967" i="3"/>
  <c r="D15966" i="3"/>
  <c r="C15966" i="3"/>
  <c r="B15966" i="3"/>
  <c r="D15965" i="3"/>
  <c r="C15965" i="3"/>
  <c r="B15965" i="3"/>
  <c r="D15964" i="3"/>
  <c r="C15964" i="3"/>
  <c r="B15964" i="3"/>
  <c r="D15963" i="3"/>
  <c r="C15963" i="3"/>
  <c r="B15963" i="3"/>
  <c r="D15962" i="3"/>
  <c r="C15962" i="3"/>
  <c r="B15962" i="3"/>
  <c r="D15961" i="3"/>
  <c r="C15961" i="3"/>
  <c r="B15961" i="3"/>
  <c r="D15960" i="3"/>
  <c r="C15960" i="3"/>
  <c r="B15960" i="3"/>
  <c r="D15959" i="3"/>
  <c r="C15959" i="3"/>
  <c r="B15959" i="3"/>
  <c r="D15958" i="3"/>
  <c r="C15958" i="3"/>
  <c r="B15958" i="3"/>
  <c r="D15957" i="3"/>
  <c r="C15957" i="3"/>
  <c r="B15957" i="3"/>
  <c r="D15956" i="3"/>
  <c r="C15956" i="3"/>
  <c r="B15956" i="3"/>
  <c r="D15955" i="3"/>
  <c r="C15955" i="3"/>
  <c r="B15955" i="3"/>
  <c r="D15954" i="3"/>
  <c r="C15954" i="3"/>
  <c r="B15954" i="3"/>
  <c r="D15953" i="3"/>
  <c r="C15953" i="3"/>
  <c r="B15953" i="3"/>
  <c r="D15952" i="3"/>
  <c r="C15952" i="3"/>
  <c r="B15952" i="3"/>
  <c r="D15951" i="3"/>
  <c r="C15951" i="3"/>
  <c r="B15951" i="3"/>
  <c r="D15950" i="3"/>
  <c r="C15950" i="3"/>
  <c r="B15950" i="3"/>
  <c r="D15949" i="3"/>
  <c r="C15949" i="3"/>
  <c r="B15949" i="3"/>
  <c r="D15948" i="3"/>
  <c r="C15948" i="3"/>
  <c r="B15948" i="3"/>
  <c r="D15947" i="3"/>
  <c r="C15947" i="3"/>
  <c r="B15947" i="3"/>
  <c r="D15946" i="3"/>
  <c r="C15946" i="3"/>
  <c r="B15946" i="3"/>
  <c r="D15945" i="3"/>
  <c r="C15945" i="3"/>
  <c r="B15945" i="3"/>
  <c r="D15944" i="3"/>
  <c r="C15944" i="3"/>
  <c r="B15944" i="3"/>
  <c r="D15943" i="3"/>
  <c r="C15943" i="3"/>
  <c r="B15943" i="3"/>
  <c r="D15942" i="3"/>
  <c r="C15942" i="3"/>
  <c r="B15942" i="3"/>
  <c r="D15941" i="3"/>
  <c r="C15941" i="3"/>
  <c r="B15941" i="3"/>
  <c r="D15940" i="3"/>
  <c r="C15940" i="3"/>
  <c r="B15940" i="3"/>
  <c r="D15939" i="3"/>
  <c r="C15939" i="3"/>
  <c r="B15939" i="3"/>
  <c r="D15938" i="3"/>
  <c r="C15938" i="3"/>
  <c r="B15938" i="3"/>
  <c r="D15937" i="3"/>
  <c r="C15937" i="3"/>
  <c r="B15937" i="3"/>
  <c r="D15936" i="3"/>
  <c r="C15936" i="3"/>
  <c r="B15936" i="3"/>
  <c r="D15935" i="3"/>
  <c r="C15935" i="3"/>
  <c r="B15935" i="3"/>
  <c r="D15934" i="3"/>
  <c r="C15934" i="3"/>
  <c r="B15934" i="3"/>
  <c r="D15933" i="3"/>
  <c r="C15933" i="3"/>
  <c r="B15933" i="3"/>
  <c r="D15932" i="3"/>
  <c r="C15932" i="3"/>
  <c r="B15932" i="3"/>
  <c r="D15931" i="3"/>
  <c r="C15931" i="3"/>
  <c r="B15931" i="3"/>
  <c r="D15930" i="3"/>
  <c r="C15930" i="3"/>
  <c r="B15930" i="3"/>
  <c r="D15929" i="3"/>
  <c r="C15929" i="3"/>
  <c r="B15929" i="3"/>
  <c r="D15928" i="3"/>
  <c r="C15928" i="3"/>
  <c r="B15928" i="3"/>
  <c r="D15927" i="3"/>
  <c r="C15927" i="3"/>
  <c r="B15927" i="3"/>
  <c r="D15926" i="3"/>
  <c r="C15926" i="3"/>
  <c r="B15926" i="3"/>
  <c r="D15925" i="3"/>
  <c r="C15925" i="3"/>
  <c r="B15925" i="3"/>
  <c r="D15924" i="3"/>
  <c r="C15924" i="3"/>
  <c r="B15924" i="3"/>
  <c r="D15923" i="3"/>
  <c r="C15923" i="3"/>
  <c r="B15923" i="3"/>
  <c r="D15922" i="3"/>
  <c r="C15922" i="3"/>
  <c r="B15922" i="3"/>
  <c r="D15921" i="3"/>
  <c r="C15921" i="3"/>
  <c r="B15921" i="3"/>
  <c r="D15920" i="3"/>
  <c r="C15920" i="3"/>
  <c r="B15920" i="3"/>
  <c r="D15919" i="3"/>
  <c r="C15919" i="3"/>
  <c r="B15919" i="3"/>
  <c r="D15918" i="3"/>
  <c r="C15918" i="3"/>
  <c r="B15918" i="3"/>
  <c r="D15917" i="3"/>
  <c r="C15917" i="3"/>
  <c r="B15917" i="3"/>
  <c r="D15916" i="3"/>
  <c r="C15916" i="3"/>
  <c r="B15916" i="3"/>
  <c r="D15915" i="3"/>
  <c r="C15915" i="3"/>
  <c r="B15915" i="3"/>
  <c r="D15914" i="3"/>
  <c r="C15914" i="3"/>
  <c r="B15914" i="3"/>
  <c r="D15913" i="3"/>
  <c r="C15913" i="3"/>
  <c r="B15913" i="3"/>
  <c r="D15912" i="3"/>
  <c r="C15912" i="3"/>
  <c r="B15912" i="3"/>
  <c r="D15911" i="3"/>
  <c r="C15911" i="3"/>
  <c r="B15911" i="3"/>
  <c r="D15910" i="3"/>
  <c r="C15910" i="3"/>
  <c r="B15910" i="3"/>
  <c r="D15909" i="3"/>
  <c r="C15909" i="3"/>
  <c r="B15909" i="3"/>
  <c r="D15908" i="3"/>
  <c r="C15908" i="3"/>
  <c r="B15908" i="3"/>
  <c r="D15907" i="3"/>
  <c r="C15907" i="3"/>
  <c r="B15907" i="3"/>
  <c r="D15906" i="3"/>
  <c r="C15906" i="3"/>
  <c r="B15906" i="3"/>
  <c r="D15905" i="3"/>
  <c r="C15905" i="3"/>
  <c r="B15905" i="3"/>
  <c r="D15904" i="3"/>
  <c r="C15904" i="3"/>
  <c r="B15904" i="3"/>
  <c r="D15903" i="3"/>
  <c r="C15903" i="3"/>
  <c r="B15903" i="3"/>
  <c r="D15902" i="3"/>
  <c r="C15902" i="3"/>
  <c r="B15902" i="3"/>
  <c r="D15901" i="3"/>
  <c r="C15901" i="3"/>
  <c r="B15901" i="3"/>
  <c r="D15900" i="3"/>
  <c r="C15900" i="3"/>
  <c r="B15900" i="3"/>
  <c r="D15899" i="3"/>
  <c r="C15899" i="3"/>
  <c r="B15899" i="3"/>
  <c r="D15898" i="3"/>
  <c r="C15898" i="3"/>
  <c r="B15898" i="3"/>
  <c r="D15897" i="3"/>
  <c r="C15897" i="3"/>
  <c r="B15897" i="3"/>
  <c r="D15896" i="3"/>
  <c r="C15896" i="3"/>
  <c r="B15896" i="3"/>
  <c r="D15895" i="3"/>
  <c r="C15895" i="3"/>
  <c r="B15895" i="3"/>
  <c r="D15894" i="3"/>
  <c r="C15894" i="3"/>
  <c r="B15894" i="3"/>
  <c r="D15893" i="3"/>
  <c r="C15893" i="3"/>
  <c r="B15893" i="3"/>
  <c r="D15892" i="3"/>
  <c r="C15892" i="3"/>
  <c r="B15892" i="3"/>
  <c r="D15891" i="3"/>
  <c r="C15891" i="3"/>
  <c r="B15891" i="3"/>
  <c r="D15890" i="3"/>
  <c r="C15890" i="3"/>
  <c r="B15890" i="3"/>
  <c r="D15889" i="3"/>
  <c r="C15889" i="3"/>
  <c r="B15889" i="3"/>
  <c r="D15888" i="3"/>
  <c r="C15888" i="3"/>
  <c r="B15888" i="3"/>
  <c r="D15887" i="3"/>
  <c r="C15887" i="3"/>
  <c r="B15887" i="3"/>
  <c r="D15886" i="3"/>
  <c r="C15886" i="3"/>
  <c r="B15886" i="3"/>
  <c r="D15885" i="3"/>
  <c r="C15885" i="3"/>
  <c r="B15885" i="3"/>
  <c r="D15884" i="3"/>
  <c r="C15884" i="3"/>
  <c r="B15884" i="3"/>
  <c r="D15883" i="3"/>
  <c r="C15883" i="3"/>
  <c r="B15883" i="3"/>
  <c r="D15882" i="3"/>
  <c r="C15882" i="3"/>
  <c r="B15882" i="3"/>
  <c r="D15881" i="3"/>
  <c r="C15881" i="3"/>
  <c r="B15881" i="3"/>
  <c r="D15880" i="3"/>
  <c r="C15880" i="3"/>
  <c r="B15880" i="3"/>
  <c r="D15879" i="3"/>
  <c r="C15879" i="3"/>
  <c r="B15879" i="3"/>
  <c r="D15878" i="3"/>
  <c r="C15878" i="3"/>
  <c r="B15878" i="3"/>
  <c r="D15877" i="3"/>
  <c r="C15877" i="3"/>
  <c r="B15877" i="3"/>
  <c r="D15876" i="3"/>
  <c r="C15876" i="3"/>
  <c r="B15876" i="3"/>
  <c r="D15875" i="3"/>
  <c r="C15875" i="3"/>
  <c r="B15875" i="3"/>
  <c r="D15874" i="3"/>
  <c r="C15874" i="3"/>
  <c r="B15874" i="3"/>
  <c r="D15873" i="3"/>
  <c r="C15873" i="3"/>
  <c r="B15873" i="3"/>
  <c r="D15872" i="3"/>
  <c r="C15872" i="3"/>
  <c r="B15872" i="3"/>
  <c r="D15871" i="3"/>
  <c r="C15871" i="3"/>
  <c r="B15871" i="3"/>
  <c r="D15870" i="3"/>
  <c r="C15870" i="3"/>
  <c r="B15870" i="3"/>
  <c r="D15869" i="3"/>
  <c r="C15869" i="3"/>
  <c r="B15869" i="3"/>
  <c r="D15868" i="3"/>
  <c r="C15868" i="3"/>
  <c r="B15868" i="3"/>
  <c r="D15867" i="3"/>
  <c r="C15867" i="3"/>
  <c r="B15867" i="3"/>
  <c r="D15866" i="3"/>
  <c r="C15866" i="3"/>
  <c r="B15866" i="3"/>
  <c r="D15865" i="3"/>
  <c r="C15865" i="3"/>
  <c r="B15865" i="3"/>
  <c r="D15864" i="3"/>
  <c r="C15864" i="3"/>
  <c r="B15864" i="3"/>
  <c r="D15863" i="3"/>
  <c r="C15863" i="3"/>
  <c r="B15863" i="3"/>
  <c r="D15862" i="3"/>
  <c r="C15862" i="3"/>
  <c r="B15862" i="3"/>
  <c r="D15861" i="3"/>
  <c r="C15861" i="3"/>
  <c r="B15861" i="3"/>
  <c r="D15860" i="3"/>
  <c r="C15860" i="3"/>
  <c r="B15860" i="3"/>
  <c r="D15859" i="3"/>
  <c r="C15859" i="3"/>
  <c r="B15859" i="3"/>
  <c r="D15858" i="3"/>
  <c r="C15858" i="3"/>
  <c r="B15858" i="3"/>
  <c r="D15857" i="3"/>
  <c r="C15857" i="3"/>
  <c r="B15857" i="3"/>
  <c r="D15856" i="3"/>
  <c r="C15856" i="3"/>
  <c r="B15856" i="3"/>
  <c r="D15855" i="3"/>
  <c r="C15855" i="3"/>
  <c r="B15855" i="3"/>
  <c r="D15854" i="3"/>
  <c r="C15854" i="3"/>
  <c r="B15854" i="3"/>
  <c r="D15853" i="3"/>
  <c r="C15853" i="3"/>
  <c r="B15853" i="3"/>
  <c r="D15852" i="3"/>
  <c r="C15852" i="3"/>
  <c r="B15852" i="3"/>
  <c r="D15851" i="3"/>
  <c r="C15851" i="3"/>
  <c r="B15851" i="3"/>
  <c r="D15850" i="3"/>
  <c r="C15850" i="3"/>
  <c r="B15850" i="3"/>
  <c r="D15849" i="3"/>
  <c r="C15849" i="3"/>
  <c r="B15849" i="3"/>
  <c r="D15848" i="3"/>
  <c r="C15848" i="3"/>
  <c r="B15848" i="3"/>
  <c r="D15847" i="3"/>
  <c r="C15847" i="3"/>
  <c r="B15847" i="3"/>
  <c r="D15846" i="3"/>
  <c r="C15846" i="3"/>
  <c r="B15846" i="3"/>
  <c r="D15845" i="3"/>
  <c r="C15845" i="3"/>
  <c r="B15845" i="3"/>
  <c r="D15844" i="3"/>
  <c r="C15844" i="3"/>
  <c r="B15844" i="3"/>
  <c r="D15843" i="3"/>
  <c r="C15843" i="3"/>
  <c r="B15843" i="3"/>
  <c r="D15842" i="3"/>
  <c r="C15842" i="3"/>
  <c r="B15842" i="3"/>
  <c r="D15841" i="3"/>
  <c r="C15841" i="3"/>
  <c r="B15841" i="3"/>
  <c r="D15840" i="3"/>
  <c r="C15840" i="3"/>
  <c r="B15840" i="3"/>
  <c r="D15839" i="3"/>
  <c r="C15839" i="3"/>
  <c r="B15839" i="3"/>
  <c r="D15838" i="3"/>
  <c r="C15838" i="3"/>
  <c r="B15838" i="3"/>
  <c r="D15837" i="3"/>
  <c r="C15837" i="3"/>
  <c r="B15837" i="3"/>
  <c r="D15836" i="3"/>
  <c r="C15836" i="3"/>
  <c r="B15836" i="3"/>
  <c r="D15835" i="3"/>
  <c r="C15835" i="3"/>
  <c r="B15835" i="3"/>
  <c r="D15834" i="3"/>
  <c r="C15834" i="3"/>
  <c r="B15834" i="3"/>
  <c r="D15833" i="3"/>
  <c r="C15833" i="3"/>
  <c r="B15833" i="3"/>
  <c r="D15832" i="3"/>
  <c r="C15832" i="3"/>
  <c r="B15832" i="3"/>
  <c r="D15831" i="3"/>
  <c r="C15831" i="3"/>
  <c r="B15831" i="3"/>
  <c r="D15830" i="3"/>
  <c r="C15830" i="3"/>
  <c r="B15830" i="3"/>
  <c r="D15829" i="3"/>
  <c r="C15829" i="3"/>
  <c r="B15829" i="3"/>
  <c r="D15828" i="3"/>
  <c r="C15828" i="3"/>
  <c r="B15828" i="3"/>
  <c r="D15827" i="3"/>
  <c r="C15827" i="3"/>
  <c r="B15827" i="3"/>
  <c r="D15826" i="3"/>
  <c r="C15826" i="3"/>
  <c r="B15826" i="3"/>
  <c r="D15825" i="3"/>
  <c r="C15825" i="3"/>
  <c r="B15825" i="3"/>
  <c r="D15824" i="3"/>
  <c r="C15824" i="3"/>
  <c r="B15824" i="3"/>
  <c r="D15823" i="3"/>
  <c r="C15823" i="3"/>
  <c r="B15823" i="3"/>
  <c r="D15822" i="3"/>
  <c r="C15822" i="3"/>
  <c r="B15822" i="3"/>
  <c r="D15821" i="3"/>
  <c r="C15821" i="3"/>
  <c r="B15821" i="3"/>
  <c r="D15820" i="3"/>
  <c r="C15820" i="3"/>
  <c r="B15820" i="3"/>
  <c r="D15819" i="3"/>
  <c r="C15819" i="3"/>
  <c r="B15819" i="3"/>
  <c r="D15818" i="3"/>
  <c r="C15818" i="3"/>
  <c r="B15818" i="3"/>
  <c r="D15817" i="3"/>
  <c r="C15817" i="3"/>
  <c r="B15817" i="3"/>
  <c r="D15816" i="3"/>
  <c r="C15816" i="3"/>
  <c r="B15816" i="3"/>
  <c r="D15815" i="3"/>
  <c r="C15815" i="3"/>
  <c r="B15815" i="3"/>
  <c r="D15814" i="3"/>
  <c r="C15814" i="3"/>
  <c r="B15814" i="3"/>
  <c r="D15813" i="3"/>
  <c r="C15813" i="3"/>
  <c r="B15813" i="3"/>
  <c r="D15812" i="3"/>
  <c r="C15812" i="3"/>
  <c r="B15812" i="3"/>
  <c r="D15811" i="3"/>
  <c r="C15811" i="3"/>
  <c r="B15811" i="3"/>
  <c r="D15810" i="3"/>
  <c r="C15810" i="3"/>
  <c r="B15810" i="3"/>
  <c r="D15809" i="3"/>
  <c r="C15809" i="3"/>
  <c r="B15809" i="3"/>
  <c r="D15808" i="3"/>
  <c r="C15808" i="3"/>
  <c r="B15808" i="3"/>
  <c r="D15807" i="3"/>
  <c r="C15807" i="3"/>
  <c r="B15807" i="3"/>
  <c r="D15806" i="3"/>
  <c r="C15806" i="3"/>
  <c r="B15806" i="3"/>
  <c r="D15805" i="3"/>
  <c r="C15805" i="3"/>
  <c r="B15805" i="3"/>
  <c r="D15804" i="3"/>
  <c r="C15804" i="3"/>
  <c r="B15804" i="3"/>
  <c r="D15803" i="3"/>
  <c r="C15803" i="3"/>
  <c r="B15803" i="3"/>
  <c r="D15802" i="3"/>
  <c r="C15802" i="3"/>
  <c r="B15802" i="3"/>
  <c r="D15801" i="3"/>
  <c r="C15801" i="3"/>
  <c r="B15801" i="3"/>
  <c r="D15800" i="3"/>
  <c r="C15800" i="3"/>
  <c r="B15800" i="3"/>
  <c r="D15799" i="3"/>
  <c r="C15799" i="3"/>
  <c r="B15799" i="3"/>
  <c r="D15798" i="3"/>
  <c r="C15798" i="3"/>
  <c r="B15798" i="3"/>
  <c r="D15797" i="3"/>
  <c r="C15797" i="3"/>
  <c r="B15797" i="3"/>
  <c r="D15796" i="3"/>
  <c r="C15796" i="3"/>
  <c r="B15796" i="3"/>
  <c r="D15795" i="3"/>
  <c r="C15795" i="3"/>
  <c r="B15795" i="3"/>
  <c r="D15794" i="3"/>
  <c r="C15794" i="3"/>
  <c r="B15794" i="3"/>
  <c r="D15793" i="3"/>
  <c r="C15793" i="3"/>
  <c r="B15793" i="3"/>
  <c r="D15792" i="3"/>
  <c r="C15792" i="3"/>
  <c r="B15792" i="3"/>
  <c r="D15791" i="3"/>
  <c r="C15791" i="3"/>
  <c r="B15791" i="3"/>
  <c r="D15790" i="3"/>
  <c r="C15790" i="3"/>
  <c r="B15790" i="3"/>
  <c r="D15789" i="3"/>
  <c r="C15789" i="3"/>
  <c r="B15789" i="3"/>
  <c r="D15788" i="3"/>
  <c r="C15788" i="3"/>
  <c r="B15788" i="3"/>
  <c r="D15787" i="3"/>
  <c r="C15787" i="3"/>
  <c r="B15787" i="3"/>
  <c r="D15786" i="3"/>
  <c r="C15786" i="3"/>
  <c r="B15786" i="3"/>
  <c r="D15785" i="3"/>
  <c r="C15785" i="3"/>
  <c r="B15785" i="3"/>
  <c r="D15784" i="3"/>
  <c r="C15784" i="3"/>
  <c r="B15784" i="3"/>
  <c r="D15783" i="3"/>
  <c r="C15783" i="3"/>
  <c r="B15783" i="3"/>
  <c r="D15782" i="3"/>
  <c r="C15782" i="3"/>
  <c r="B15782" i="3"/>
  <c r="D15781" i="3"/>
  <c r="C15781" i="3"/>
  <c r="B15781" i="3"/>
  <c r="D15780" i="3"/>
  <c r="C15780" i="3"/>
  <c r="B15780" i="3"/>
  <c r="D15779" i="3"/>
  <c r="C15779" i="3"/>
  <c r="B15779" i="3"/>
  <c r="D15778" i="3"/>
  <c r="C15778" i="3"/>
  <c r="B15778" i="3"/>
  <c r="D15777" i="3"/>
  <c r="C15777" i="3"/>
  <c r="B15777" i="3"/>
  <c r="D15776" i="3"/>
  <c r="C15776" i="3"/>
  <c r="B15776" i="3"/>
  <c r="D15775" i="3"/>
  <c r="C15775" i="3"/>
  <c r="B15775" i="3"/>
  <c r="D15774" i="3"/>
  <c r="C15774" i="3"/>
  <c r="B15774" i="3"/>
  <c r="D15773" i="3"/>
  <c r="C15773" i="3"/>
  <c r="B15773" i="3"/>
  <c r="D15772" i="3"/>
  <c r="C15772" i="3"/>
  <c r="B15772" i="3"/>
  <c r="D15771" i="3"/>
  <c r="C15771" i="3"/>
  <c r="B15771" i="3"/>
  <c r="D15770" i="3"/>
  <c r="C15770" i="3"/>
  <c r="B15770" i="3"/>
  <c r="D15769" i="3"/>
  <c r="C15769" i="3"/>
  <c r="B15769" i="3"/>
  <c r="D15768" i="3"/>
  <c r="C15768" i="3"/>
  <c r="B15768" i="3"/>
  <c r="D15767" i="3"/>
  <c r="C15767" i="3"/>
  <c r="B15767" i="3"/>
  <c r="D15766" i="3"/>
  <c r="C15766" i="3"/>
  <c r="B15766" i="3"/>
  <c r="D15765" i="3"/>
  <c r="C15765" i="3"/>
  <c r="B15765" i="3"/>
  <c r="D15764" i="3"/>
  <c r="C15764" i="3"/>
  <c r="B15764" i="3"/>
  <c r="D15763" i="3"/>
  <c r="C15763" i="3"/>
  <c r="B15763" i="3"/>
  <c r="D15762" i="3"/>
  <c r="C15762" i="3"/>
  <c r="B15762" i="3"/>
  <c r="D15761" i="3"/>
  <c r="C15761" i="3"/>
  <c r="B15761" i="3"/>
  <c r="D15760" i="3"/>
  <c r="C15760" i="3"/>
  <c r="B15760" i="3"/>
  <c r="D15759" i="3"/>
  <c r="C15759" i="3"/>
  <c r="B15759" i="3"/>
  <c r="D15758" i="3"/>
  <c r="C15758" i="3"/>
  <c r="B15758" i="3"/>
  <c r="D15757" i="3"/>
  <c r="C15757" i="3"/>
  <c r="B15757" i="3"/>
  <c r="D15756" i="3"/>
  <c r="C15756" i="3"/>
  <c r="B15756" i="3"/>
  <c r="D15755" i="3"/>
  <c r="C15755" i="3"/>
  <c r="B15755" i="3"/>
  <c r="D15754" i="3"/>
  <c r="C15754" i="3"/>
  <c r="B15754" i="3"/>
  <c r="D15753" i="3"/>
  <c r="C15753" i="3"/>
  <c r="B15753" i="3"/>
  <c r="D15752" i="3"/>
  <c r="C15752" i="3"/>
  <c r="B15752" i="3"/>
  <c r="D15751" i="3"/>
  <c r="C15751" i="3"/>
  <c r="B15751" i="3"/>
  <c r="D15750" i="3"/>
  <c r="C15750" i="3"/>
  <c r="B15750" i="3"/>
  <c r="D15749" i="3"/>
  <c r="C15749" i="3"/>
  <c r="B15749" i="3"/>
  <c r="D15748" i="3"/>
  <c r="C15748" i="3"/>
  <c r="B15748" i="3"/>
  <c r="D15747" i="3"/>
  <c r="C15747" i="3"/>
  <c r="B15747" i="3"/>
  <c r="D15746" i="3"/>
  <c r="C15746" i="3"/>
  <c r="B15746" i="3"/>
  <c r="D15745" i="3"/>
  <c r="C15745" i="3"/>
  <c r="B15745" i="3"/>
  <c r="D15744" i="3"/>
  <c r="C15744" i="3"/>
  <c r="B15744" i="3"/>
  <c r="D15743" i="3"/>
  <c r="C15743" i="3"/>
  <c r="B15743" i="3"/>
  <c r="D15742" i="3"/>
  <c r="C15742" i="3"/>
  <c r="B15742" i="3"/>
  <c r="D15741" i="3"/>
  <c r="C15741" i="3"/>
  <c r="B15741" i="3"/>
  <c r="D15740" i="3"/>
  <c r="C15740" i="3"/>
  <c r="B15740" i="3"/>
  <c r="D15739" i="3"/>
  <c r="C15739" i="3"/>
  <c r="B15739" i="3"/>
  <c r="D15738" i="3"/>
  <c r="C15738" i="3"/>
  <c r="B15738" i="3"/>
  <c r="D15737" i="3"/>
  <c r="C15737" i="3"/>
  <c r="B15737" i="3"/>
  <c r="D15736" i="3"/>
  <c r="C15736" i="3"/>
  <c r="B15736" i="3"/>
  <c r="D15735" i="3"/>
  <c r="C15735" i="3"/>
  <c r="B15735" i="3"/>
  <c r="D15734" i="3"/>
  <c r="C15734" i="3"/>
  <c r="B15734" i="3"/>
  <c r="D15733" i="3"/>
  <c r="C15733" i="3"/>
  <c r="B15733" i="3"/>
  <c r="D15732" i="3"/>
  <c r="C15732" i="3"/>
  <c r="B15732" i="3"/>
  <c r="D15731" i="3"/>
  <c r="C15731" i="3"/>
  <c r="B15731" i="3"/>
  <c r="D15730" i="3"/>
  <c r="C15730" i="3"/>
  <c r="B15730" i="3"/>
  <c r="D15729" i="3"/>
  <c r="C15729" i="3"/>
  <c r="B15729" i="3"/>
  <c r="D15728" i="3"/>
  <c r="C15728" i="3"/>
  <c r="B15728" i="3"/>
  <c r="D15727" i="3"/>
  <c r="C15727" i="3"/>
  <c r="B15727" i="3"/>
  <c r="D15726" i="3"/>
  <c r="C15726" i="3"/>
  <c r="B15726" i="3"/>
  <c r="D15725" i="3"/>
  <c r="C15725" i="3"/>
  <c r="B15725" i="3"/>
  <c r="D15724" i="3"/>
  <c r="C15724" i="3"/>
  <c r="B15724" i="3"/>
  <c r="D15723" i="3"/>
  <c r="C15723" i="3"/>
  <c r="B15723" i="3"/>
  <c r="D15722" i="3"/>
  <c r="C15722" i="3"/>
  <c r="B15722" i="3"/>
  <c r="D15721" i="3"/>
  <c r="C15721" i="3"/>
  <c r="B15721" i="3"/>
  <c r="D15720" i="3"/>
  <c r="C15720" i="3"/>
  <c r="B15720" i="3"/>
  <c r="D15719" i="3"/>
  <c r="C15719" i="3"/>
  <c r="B15719" i="3"/>
  <c r="D15718" i="3"/>
  <c r="C15718" i="3"/>
  <c r="B15718" i="3"/>
  <c r="D15717" i="3"/>
  <c r="C15717" i="3"/>
  <c r="B15717" i="3"/>
  <c r="D15716" i="3"/>
  <c r="C15716" i="3"/>
  <c r="B15716" i="3"/>
  <c r="D15715" i="3"/>
  <c r="C15715" i="3"/>
  <c r="B15715" i="3"/>
  <c r="D15714" i="3"/>
  <c r="C15714" i="3"/>
  <c r="B15714" i="3"/>
  <c r="D15713" i="3"/>
  <c r="C15713" i="3"/>
  <c r="B15713" i="3"/>
  <c r="D15712" i="3"/>
  <c r="C15712" i="3"/>
  <c r="B15712" i="3"/>
  <c r="D15711" i="3"/>
  <c r="C15711" i="3"/>
  <c r="B15711" i="3"/>
  <c r="D15710" i="3"/>
  <c r="C15710" i="3"/>
  <c r="B15710" i="3"/>
  <c r="D15709" i="3"/>
  <c r="C15709" i="3"/>
  <c r="B15709" i="3"/>
  <c r="D15708" i="3"/>
  <c r="C15708" i="3"/>
  <c r="B15708" i="3"/>
  <c r="D15707" i="3"/>
  <c r="C15707" i="3"/>
  <c r="B15707" i="3"/>
  <c r="D15706" i="3"/>
  <c r="C15706" i="3"/>
  <c r="B15706" i="3"/>
  <c r="D15705" i="3"/>
  <c r="C15705" i="3"/>
  <c r="B15705" i="3"/>
  <c r="D15704" i="3"/>
  <c r="C15704" i="3"/>
  <c r="B15704" i="3"/>
  <c r="D15703" i="3"/>
  <c r="C15703" i="3"/>
  <c r="B15703" i="3"/>
  <c r="D15702" i="3"/>
  <c r="C15702" i="3"/>
  <c r="B15702" i="3"/>
  <c r="D15701" i="3"/>
  <c r="C15701" i="3"/>
  <c r="B15701" i="3"/>
  <c r="D15700" i="3"/>
  <c r="C15700" i="3"/>
  <c r="B15700" i="3"/>
  <c r="D15699" i="3"/>
  <c r="C15699" i="3"/>
  <c r="B15699" i="3"/>
  <c r="D15698" i="3"/>
  <c r="C15698" i="3"/>
  <c r="B15698" i="3"/>
  <c r="D15697" i="3"/>
  <c r="C15697" i="3"/>
  <c r="B15697" i="3"/>
  <c r="D15696" i="3"/>
  <c r="C15696" i="3"/>
  <c r="B15696" i="3"/>
  <c r="D15695" i="3"/>
  <c r="C15695" i="3"/>
  <c r="B15695" i="3"/>
  <c r="D15694" i="3"/>
  <c r="C15694" i="3"/>
  <c r="B15694" i="3"/>
  <c r="D15693" i="3"/>
  <c r="C15693" i="3"/>
  <c r="B15693" i="3"/>
  <c r="D15692" i="3"/>
  <c r="C15692" i="3"/>
  <c r="B15692" i="3"/>
  <c r="D15691" i="3"/>
  <c r="C15691" i="3"/>
  <c r="B15691" i="3"/>
  <c r="D15690" i="3"/>
  <c r="C15690" i="3"/>
  <c r="B15690" i="3"/>
  <c r="D15689" i="3"/>
  <c r="C15689" i="3"/>
  <c r="B15689" i="3"/>
  <c r="D15688" i="3"/>
  <c r="C15688" i="3"/>
  <c r="B15688" i="3"/>
  <c r="D15687" i="3"/>
  <c r="C15687" i="3"/>
  <c r="B15687" i="3"/>
  <c r="D15686" i="3"/>
  <c r="C15686" i="3"/>
  <c r="B15686" i="3"/>
  <c r="D15685" i="3"/>
  <c r="C15685" i="3"/>
  <c r="B15685" i="3"/>
  <c r="D15684" i="3"/>
  <c r="C15684" i="3"/>
  <c r="B15684" i="3"/>
  <c r="D15683" i="3"/>
  <c r="C15683" i="3"/>
  <c r="B15683" i="3"/>
  <c r="D15682" i="3"/>
  <c r="C15682" i="3"/>
  <c r="B15682" i="3"/>
  <c r="D15681" i="3"/>
  <c r="C15681" i="3"/>
  <c r="B15681" i="3"/>
  <c r="D15680" i="3"/>
  <c r="C15680" i="3"/>
  <c r="B15680" i="3"/>
  <c r="D15679" i="3"/>
  <c r="C15679" i="3"/>
  <c r="B15679" i="3"/>
  <c r="D15678" i="3"/>
  <c r="C15678" i="3"/>
  <c r="B15678" i="3"/>
  <c r="D15677" i="3"/>
  <c r="C15677" i="3"/>
  <c r="B15677" i="3"/>
  <c r="D15676" i="3"/>
  <c r="C15676" i="3"/>
  <c r="B15676" i="3"/>
  <c r="D15675" i="3"/>
  <c r="C15675" i="3"/>
  <c r="B15675" i="3"/>
  <c r="D15674" i="3"/>
  <c r="C15674" i="3"/>
  <c r="B15674" i="3"/>
  <c r="D15673" i="3"/>
  <c r="C15673" i="3"/>
  <c r="B15673" i="3"/>
  <c r="D15672" i="3"/>
  <c r="C15672" i="3"/>
  <c r="B15672" i="3"/>
  <c r="D15671" i="3"/>
  <c r="C15671" i="3"/>
  <c r="B15671" i="3"/>
  <c r="D15670" i="3"/>
  <c r="C15670" i="3"/>
  <c r="B15670" i="3"/>
  <c r="D15669" i="3"/>
  <c r="C15669" i="3"/>
  <c r="B15669" i="3"/>
  <c r="D15668" i="3"/>
  <c r="C15668" i="3"/>
  <c r="B15668" i="3"/>
  <c r="D15667" i="3"/>
  <c r="C15667" i="3"/>
  <c r="B15667" i="3"/>
  <c r="D15666" i="3"/>
  <c r="C15666" i="3"/>
  <c r="B15666" i="3"/>
  <c r="D15665" i="3"/>
  <c r="C15665" i="3"/>
  <c r="B15665" i="3"/>
  <c r="D15664" i="3"/>
  <c r="C15664" i="3"/>
  <c r="B15664" i="3"/>
  <c r="D15663" i="3"/>
  <c r="C15663" i="3"/>
  <c r="B15663" i="3"/>
  <c r="D15662" i="3"/>
  <c r="C15662" i="3"/>
  <c r="B15662" i="3"/>
  <c r="D15661" i="3"/>
  <c r="C15661" i="3"/>
  <c r="B15661" i="3"/>
  <c r="D15660" i="3"/>
  <c r="C15660" i="3"/>
  <c r="B15660" i="3"/>
  <c r="D15659" i="3"/>
  <c r="C15659" i="3"/>
  <c r="B15659" i="3"/>
  <c r="D15658" i="3"/>
  <c r="C15658" i="3"/>
  <c r="B15658" i="3"/>
  <c r="D15657" i="3"/>
  <c r="C15657" i="3"/>
  <c r="B15657" i="3"/>
  <c r="D15656" i="3"/>
  <c r="C15656" i="3"/>
  <c r="B15656" i="3"/>
  <c r="D15655" i="3"/>
  <c r="C15655" i="3"/>
  <c r="B15655" i="3"/>
  <c r="D15654" i="3"/>
  <c r="C15654" i="3"/>
  <c r="B15654" i="3"/>
  <c r="D15653" i="3"/>
  <c r="C15653" i="3"/>
  <c r="B15653" i="3"/>
  <c r="D15652" i="3"/>
  <c r="C15652" i="3"/>
  <c r="B15652" i="3"/>
  <c r="D15651" i="3"/>
  <c r="C15651" i="3"/>
  <c r="B15651" i="3"/>
  <c r="D15650" i="3"/>
  <c r="C15650" i="3"/>
  <c r="B15650" i="3"/>
  <c r="D15649" i="3"/>
  <c r="C15649" i="3"/>
  <c r="B15649" i="3"/>
  <c r="D15648" i="3"/>
  <c r="C15648" i="3"/>
  <c r="B15648" i="3"/>
  <c r="D15647" i="3"/>
  <c r="C15647" i="3"/>
  <c r="B15647" i="3"/>
  <c r="D15646" i="3"/>
  <c r="C15646" i="3"/>
  <c r="B15646" i="3"/>
  <c r="D15645" i="3"/>
  <c r="C15645" i="3"/>
  <c r="B15645" i="3"/>
  <c r="D15644" i="3"/>
  <c r="C15644" i="3"/>
  <c r="B15644" i="3"/>
  <c r="D15643" i="3"/>
  <c r="C15643" i="3"/>
  <c r="B15643" i="3"/>
  <c r="D15642" i="3"/>
  <c r="C15642" i="3"/>
  <c r="B15642" i="3"/>
  <c r="D15641" i="3"/>
  <c r="C15641" i="3"/>
  <c r="B15641" i="3"/>
  <c r="D15640" i="3"/>
  <c r="C15640" i="3"/>
  <c r="B15640" i="3"/>
  <c r="D15639" i="3"/>
  <c r="C15639" i="3"/>
  <c r="B15639" i="3"/>
  <c r="D15638" i="3"/>
  <c r="C15638" i="3"/>
  <c r="B15638" i="3"/>
  <c r="D15637" i="3"/>
  <c r="C15637" i="3"/>
  <c r="B15637" i="3"/>
  <c r="D15636" i="3"/>
  <c r="C15636" i="3"/>
  <c r="B15636" i="3"/>
  <c r="D15635" i="3"/>
  <c r="C15635" i="3"/>
  <c r="B15635" i="3"/>
  <c r="D15634" i="3"/>
  <c r="C15634" i="3"/>
  <c r="B15634" i="3"/>
  <c r="D15633" i="3"/>
  <c r="C15633" i="3"/>
  <c r="B15633" i="3"/>
  <c r="D15632" i="3"/>
  <c r="C15632" i="3"/>
  <c r="B15632" i="3"/>
  <c r="D15631" i="3"/>
  <c r="C15631" i="3"/>
  <c r="B15631" i="3"/>
  <c r="D15630" i="3"/>
  <c r="C15630" i="3"/>
  <c r="B15630" i="3"/>
  <c r="D15629" i="3"/>
  <c r="C15629" i="3"/>
  <c r="B15629" i="3"/>
  <c r="D15628" i="3"/>
  <c r="C15628" i="3"/>
  <c r="B15628" i="3"/>
  <c r="D15627" i="3"/>
  <c r="C15627" i="3"/>
  <c r="B15627" i="3"/>
  <c r="D15626" i="3"/>
  <c r="C15626" i="3"/>
  <c r="B15626" i="3"/>
  <c r="D15625" i="3"/>
  <c r="C15625" i="3"/>
  <c r="B15625" i="3"/>
  <c r="D15624" i="3"/>
  <c r="C15624" i="3"/>
  <c r="B15624" i="3"/>
  <c r="D15623" i="3"/>
  <c r="C15623" i="3"/>
  <c r="B15623" i="3"/>
  <c r="D15622" i="3"/>
  <c r="C15622" i="3"/>
  <c r="B15622" i="3"/>
  <c r="D15621" i="3"/>
  <c r="C15621" i="3"/>
  <c r="B15621" i="3"/>
  <c r="D15620" i="3"/>
  <c r="C15620" i="3"/>
  <c r="B15620" i="3"/>
  <c r="D15619" i="3"/>
  <c r="C15619" i="3"/>
  <c r="B15619" i="3"/>
  <c r="D15618" i="3"/>
  <c r="C15618" i="3"/>
  <c r="B15618" i="3"/>
  <c r="D15617" i="3"/>
  <c r="C15617" i="3"/>
  <c r="B15617" i="3"/>
  <c r="D15616" i="3"/>
  <c r="C15616" i="3"/>
  <c r="B15616" i="3"/>
  <c r="D15615" i="3"/>
  <c r="C15615" i="3"/>
  <c r="B15615" i="3"/>
  <c r="D15614" i="3"/>
  <c r="C15614" i="3"/>
  <c r="B15614" i="3"/>
  <c r="D15613" i="3"/>
  <c r="C15613" i="3"/>
  <c r="B15613" i="3"/>
  <c r="D15612" i="3"/>
  <c r="C15612" i="3"/>
  <c r="B15612" i="3"/>
  <c r="D15611" i="3"/>
  <c r="C15611" i="3"/>
  <c r="B15611" i="3"/>
  <c r="D15610" i="3"/>
  <c r="C15610" i="3"/>
  <c r="B15610" i="3"/>
  <c r="D15609" i="3"/>
  <c r="C15609" i="3"/>
  <c r="B15609" i="3"/>
  <c r="D15608" i="3"/>
  <c r="C15608" i="3"/>
  <c r="B15608" i="3"/>
  <c r="D15607" i="3"/>
  <c r="C15607" i="3"/>
  <c r="B15607" i="3"/>
  <c r="D15606" i="3"/>
  <c r="C15606" i="3"/>
  <c r="B15606" i="3"/>
  <c r="D15605" i="3"/>
  <c r="C15605" i="3"/>
  <c r="B15605" i="3"/>
  <c r="D15604" i="3"/>
  <c r="C15604" i="3"/>
  <c r="B15604" i="3"/>
  <c r="D15603" i="3"/>
  <c r="C15603" i="3"/>
  <c r="B15603" i="3"/>
  <c r="D15602" i="3"/>
  <c r="C15602" i="3"/>
  <c r="B15602" i="3"/>
  <c r="D15601" i="3"/>
  <c r="C15601" i="3"/>
  <c r="B15601" i="3"/>
  <c r="D15600" i="3"/>
  <c r="C15600" i="3"/>
  <c r="B15600" i="3"/>
  <c r="D15599" i="3"/>
  <c r="C15599" i="3"/>
  <c r="B15599" i="3"/>
  <c r="D15598" i="3"/>
  <c r="C15598" i="3"/>
  <c r="B15598" i="3"/>
  <c r="D15597" i="3"/>
  <c r="C15597" i="3"/>
  <c r="B15597" i="3"/>
  <c r="D15596" i="3"/>
  <c r="C15596" i="3"/>
  <c r="B15596" i="3"/>
  <c r="D15595" i="3"/>
  <c r="C15595" i="3"/>
  <c r="B15595" i="3"/>
  <c r="D15594" i="3"/>
  <c r="C15594" i="3"/>
  <c r="B15594" i="3"/>
  <c r="D15593" i="3"/>
  <c r="C15593" i="3"/>
  <c r="B15593" i="3"/>
  <c r="D15592" i="3"/>
  <c r="C15592" i="3"/>
  <c r="B15592" i="3"/>
  <c r="D15591" i="3"/>
  <c r="C15591" i="3"/>
  <c r="B15591" i="3"/>
  <c r="D15590" i="3"/>
  <c r="C15590" i="3"/>
  <c r="B15590" i="3"/>
  <c r="D15589" i="3"/>
  <c r="C15589" i="3"/>
  <c r="B15589" i="3"/>
  <c r="D15588" i="3"/>
  <c r="C15588" i="3"/>
  <c r="B15588" i="3"/>
  <c r="D15587" i="3"/>
  <c r="C15587" i="3"/>
  <c r="B15587" i="3"/>
  <c r="D15586" i="3"/>
  <c r="C15586" i="3"/>
  <c r="B15586" i="3"/>
  <c r="D15585" i="3"/>
  <c r="C15585" i="3"/>
  <c r="B15585" i="3"/>
  <c r="D15584" i="3"/>
  <c r="C15584" i="3"/>
  <c r="B15584" i="3"/>
  <c r="D15583" i="3"/>
  <c r="C15583" i="3"/>
  <c r="B15583" i="3"/>
  <c r="D15582" i="3"/>
  <c r="C15582" i="3"/>
  <c r="B15582" i="3"/>
  <c r="D15581" i="3"/>
  <c r="C15581" i="3"/>
  <c r="B15581" i="3"/>
  <c r="D15580" i="3"/>
  <c r="C15580" i="3"/>
  <c r="B15580" i="3"/>
  <c r="D15579" i="3"/>
  <c r="C15579" i="3"/>
  <c r="B15579" i="3"/>
  <c r="D15578" i="3"/>
  <c r="C15578" i="3"/>
  <c r="B15578" i="3"/>
  <c r="D15577" i="3"/>
  <c r="C15577" i="3"/>
  <c r="B15577" i="3"/>
  <c r="D15576" i="3"/>
  <c r="C15576" i="3"/>
  <c r="B15576" i="3"/>
  <c r="D15575" i="3"/>
  <c r="C15575" i="3"/>
  <c r="B15575" i="3"/>
  <c r="D15574" i="3"/>
  <c r="C15574" i="3"/>
  <c r="B15574" i="3"/>
  <c r="D15573" i="3"/>
  <c r="C15573" i="3"/>
  <c r="B15573" i="3"/>
  <c r="D15572" i="3"/>
  <c r="C15572" i="3"/>
  <c r="B15572" i="3"/>
  <c r="D15571" i="3"/>
  <c r="C15571" i="3"/>
  <c r="B15571" i="3"/>
  <c r="D15570" i="3"/>
  <c r="C15570" i="3"/>
  <c r="B15570" i="3"/>
  <c r="D15569" i="3"/>
  <c r="C15569" i="3"/>
  <c r="B15569" i="3"/>
  <c r="D15568" i="3"/>
  <c r="C15568" i="3"/>
  <c r="B15568" i="3"/>
  <c r="D15567" i="3"/>
  <c r="C15567" i="3"/>
  <c r="B15567" i="3"/>
  <c r="D15566" i="3"/>
  <c r="C15566" i="3"/>
  <c r="B15566" i="3"/>
  <c r="D15565" i="3"/>
  <c r="C15565" i="3"/>
  <c r="B15565" i="3"/>
  <c r="D15564" i="3"/>
  <c r="C15564" i="3"/>
  <c r="B15564" i="3"/>
  <c r="D15563" i="3"/>
  <c r="C15563" i="3"/>
  <c r="B15563" i="3"/>
  <c r="D15562" i="3"/>
  <c r="C15562" i="3"/>
  <c r="B15562" i="3"/>
  <c r="D15561" i="3"/>
  <c r="C15561" i="3"/>
  <c r="B15561" i="3"/>
  <c r="D15560" i="3"/>
  <c r="C15560" i="3"/>
  <c r="B15560" i="3"/>
  <c r="D15559" i="3"/>
  <c r="C15559" i="3"/>
  <c r="B15559" i="3"/>
  <c r="D15558" i="3"/>
  <c r="C15558" i="3"/>
  <c r="B15558" i="3"/>
  <c r="D15557" i="3"/>
  <c r="C15557" i="3"/>
  <c r="B15557" i="3"/>
  <c r="D15556" i="3"/>
  <c r="C15556" i="3"/>
  <c r="B15556" i="3"/>
  <c r="D15555" i="3"/>
  <c r="C15555" i="3"/>
  <c r="B15555" i="3"/>
  <c r="D15554" i="3"/>
  <c r="C15554" i="3"/>
  <c r="B15554" i="3"/>
  <c r="D15553" i="3"/>
  <c r="C15553" i="3"/>
  <c r="B15553" i="3"/>
  <c r="D15552" i="3"/>
  <c r="C15552" i="3"/>
  <c r="B15552" i="3"/>
  <c r="D15551" i="3"/>
  <c r="C15551" i="3"/>
  <c r="B15551" i="3"/>
  <c r="D15550" i="3"/>
  <c r="C15550" i="3"/>
  <c r="B15550" i="3"/>
  <c r="D15549" i="3"/>
  <c r="C15549" i="3"/>
  <c r="B15549" i="3"/>
  <c r="D15548" i="3"/>
  <c r="C15548" i="3"/>
  <c r="B15548" i="3"/>
  <c r="D15547" i="3"/>
  <c r="C15547" i="3"/>
  <c r="B15547" i="3"/>
  <c r="D15546" i="3"/>
  <c r="C15546" i="3"/>
  <c r="B15546" i="3"/>
  <c r="D15545" i="3"/>
  <c r="C15545" i="3"/>
  <c r="B15545" i="3"/>
  <c r="D15544" i="3"/>
  <c r="C15544" i="3"/>
  <c r="B15544" i="3"/>
  <c r="D15543" i="3"/>
  <c r="C15543" i="3"/>
  <c r="B15543" i="3"/>
  <c r="D15542" i="3"/>
  <c r="C15542" i="3"/>
  <c r="B15542" i="3"/>
  <c r="D15541" i="3"/>
  <c r="C15541" i="3"/>
  <c r="B15541" i="3"/>
  <c r="D15540" i="3"/>
  <c r="C15540" i="3"/>
  <c r="B15540" i="3"/>
  <c r="D15539" i="3"/>
  <c r="C15539" i="3"/>
  <c r="B15539" i="3"/>
  <c r="D15538" i="3"/>
  <c r="C15538" i="3"/>
  <c r="B15538" i="3"/>
  <c r="D15537" i="3"/>
  <c r="C15537" i="3"/>
  <c r="B15537" i="3"/>
  <c r="D15536" i="3"/>
  <c r="C15536" i="3"/>
  <c r="B15536" i="3"/>
  <c r="D15535" i="3"/>
  <c r="C15535" i="3"/>
  <c r="B15535" i="3"/>
  <c r="D15534" i="3"/>
  <c r="C15534" i="3"/>
  <c r="B15534" i="3"/>
  <c r="D15533" i="3"/>
  <c r="C15533" i="3"/>
  <c r="B15533" i="3"/>
  <c r="D15532" i="3"/>
  <c r="C15532" i="3"/>
  <c r="B15532" i="3"/>
  <c r="D15531" i="3"/>
  <c r="C15531" i="3"/>
  <c r="B15531" i="3"/>
  <c r="D15530" i="3"/>
  <c r="C15530" i="3"/>
  <c r="B15530" i="3"/>
  <c r="D15529" i="3"/>
  <c r="C15529" i="3"/>
  <c r="B15529" i="3"/>
  <c r="D15528" i="3"/>
  <c r="C15528" i="3"/>
  <c r="B15528" i="3"/>
  <c r="D15527" i="3"/>
  <c r="C15527" i="3"/>
  <c r="B15527" i="3"/>
  <c r="D15526" i="3"/>
  <c r="C15526" i="3"/>
  <c r="B15526" i="3"/>
  <c r="D15525" i="3"/>
  <c r="C15525" i="3"/>
  <c r="B15525" i="3"/>
  <c r="D15524" i="3"/>
  <c r="C15524" i="3"/>
  <c r="B15524" i="3"/>
  <c r="D15523" i="3"/>
  <c r="C15523" i="3"/>
  <c r="B15523" i="3"/>
  <c r="D15522" i="3"/>
  <c r="C15522" i="3"/>
  <c r="B15522" i="3"/>
  <c r="D15521" i="3"/>
  <c r="C15521" i="3"/>
  <c r="B15521" i="3"/>
  <c r="D15520" i="3"/>
  <c r="C15520" i="3"/>
  <c r="B15520" i="3"/>
  <c r="D15519" i="3"/>
  <c r="C15519" i="3"/>
  <c r="B15519" i="3"/>
  <c r="D15518" i="3"/>
  <c r="C15518" i="3"/>
  <c r="B15518" i="3"/>
  <c r="D15517" i="3"/>
  <c r="C15517" i="3"/>
  <c r="B15517" i="3"/>
  <c r="D15516" i="3"/>
  <c r="C15516" i="3"/>
  <c r="B15516" i="3"/>
  <c r="D15515" i="3"/>
  <c r="C15515" i="3"/>
  <c r="B15515" i="3"/>
  <c r="D15514" i="3"/>
  <c r="C15514" i="3"/>
  <c r="B15514" i="3"/>
  <c r="D15513" i="3"/>
  <c r="C15513" i="3"/>
  <c r="B15513" i="3"/>
  <c r="D15512" i="3"/>
  <c r="C15512" i="3"/>
  <c r="B15512" i="3"/>
  <c r="D15511" i="3"/>
  <c r="C15511" i="3"/>
  <c r="B15511" i="3"/>
  <c r="D15510" i="3"/>
  <c r="C15510" i="3"/>
  <c r="B15510" i="3"/>
  <c r="D15509" i="3"/>
  <c r="C15509" i="3"/>
  <c r="B15509" i="3"/>
  <c r="D15508" i="3"/>
  <c r="C15508" i="3"/>
  <c r="B15508" i="3"/>
  <c r="D15507" i="3"/>
  <c r="C15507" i="3"/>
  <c r="B15507" i="3"/>
  <c r="D15506" i="3"/>
  <c r="C15506" i="3"/>
  <c r="B15506" i="3"/>
  <c r="D15505" i="3"/>
  <c r="C15505" i="3"/>
  <c r="B15505" i="3"/>
  <c r="D15504" i="3"/>
  <c r="C15504" i="3"/>
  <c r="B15504" i="3"/>
  <c r="D15503" i="3"/>
  <c r="C15503" i="3"/>
  <c r="B15503" i="3"/>
  <c r="D15502" i="3"/>
  <c r="C15502" i="3"/>
  <c r="B15502" i="3"/>
  <c r="D15501" i="3"/>
  <c r="C15501" i="3"/>
  <c r="B15501" i="3"/>
  <c r="D15500" i="3"/>
  <c r="C15500" i="3"/>
  <c r="B15500" i="3"/>
  <c r="D15499" i="3"/>
  <c r="C15499" i="3"/>
  <c r="B15499" i="3"/>
  <c r="D15498" i="3"/>
  <c r="C15498" i="3"/>
  <c r="B15498" i="3"/>
  <c r="D15497" i="3"/>
  <c r="C15497" i="3"/>
  <c r="B15497" i="3"/>
  <c r="D15496" i="3"/>
  <c r="C15496" i="3"/>
  <c r="B15496" i="3"/>
  <c r="D15495" i="3"/>
  <c r="C15495" i="3"/>
  <c r="B15495" i="3"/>
  <c r="D15494" i="3"/>
  <c r="C15494" i="3"/>
  <c r="B15494" i="3"/>
  <c r="D15493" i="3"/>
  <c r="C15493" i="3"/>
  <c r="B15493" i="3"/>
  <c r="D15492" i="3"/>
  <c r="C15492" i="3"/>
  <c r="B15492" i="3"/>
  <c r="D15491" i="3"/>
  <c r="C15491" i="3"/>
  <c r="B15491" i="3"/>
  <c r="D15490" i="3"/>
  <c r="C15490" i="3"/>
  <c r="B15490" i="3"/>
  <c r="D15489" i="3"/>
  <c r="C15489" i="3"/>
  <c r="B15489" i="3"/>
  <c r="D15488" i="3"/>
  <c r="C15488" i="3"/>
  <c r="B15488" i="3"/>
  <c r="D15487" i="3"/>
  <c r="C15487" i="3"/>
  <c r="B15487" i="3"/>
  <c r="D15486" i="3"/>
  <c r="C15486" i="3"/>
  <c r="B15486" i="3"/>
  <c r="D15485" i="3"/>
  <c r="C15485" i="3"/>
  <c r="B15485" i="3"/>
  <c r="D15484" i="3"/>
  <c r="C15484" i="3"/>
  <c r="B15484" i="3"/>
  <c r="D15483" i="3"/>
  <c r="C15483" i="3"/>
  <c r="B15483" i="3"/>
  <c r="D15482" i="3"/>
  <c r="C15482" i="3"/>
  <c r="B15482" i="3"/>
  <c r="D15481" i="3"/>
  <c r="C15481" i="3"/>
  <c r="B15481" i="3"/>
  <c r="D15480" i="3"/>
  <c r="C15480" i="3"/>
  <c r="B15480" i="3"/>
  <c r="D15479" i="3"/>
  <c r="C15479" i="3"/>
  <c r="B15479" i="3"/>
  <c r="D15478" i="3"/>
  <c r="C15478" i="3"/>
  <c r="B15478" i="3"/>
  <c r="D15477" i="3"/>
  <c r="C15477" i="3"/>
  <c r="B15477" i="3"/>
  <c r="D15476" i="3"/>
  <c r="C15476" i="3"/>
  <c r="B15476" i="3"/>
  <c r="D15475" i="3"/>
  <c r="C15475" i="3"/>
  <c r="B15475" i="3"/>
  <c r="D15474" i="3"/>
  <c r="C15474" i="3"/>
  <c r="B15474" i="3"/>
  <c r="D15473" i="3"/>
  <c r="C15473" i="3"/>
  <c r="B15473" i="3"/>
  <c r="D15472" i="3"/>
  <c r="C15472" i="3"/>
  <c r="B15472" i="3"/>
  <c r="D15471" i="3"/>
  <c r="C15471" i="3"/>
  <c r="B15471" i="3"/>
  <c r="D15470" i="3"/>
  <c r="C15470" i="3"/>
  <c r="B15470" i="3"/>
  <c r="D15469" i="3"/>
  <c r="C15469" i="3"/>
  <c r="B15469" i="3"/>
  <c r="D15468" i="3"/>
  <c r="C15468" i="3"/>
  <c r="B15468" i="3"/>
  <c r="D15467" i="3"/>
  <c r="C15467" i="3"/>
  <c r="B15467" i="3"/>
  <c r="D15466" i="3"/>
  <c r="C15466" i="3"/>
  <c r="B15466" i="3"/>
  <c r="D15465" i="3"/>
  <c r="C15465" i="3"/>
  <c r="B15465" i="3"/>
  <c r="D15464" i="3"/>
  <c r="C15464" i="3"/>
  <c r="B15464" i="3"/>
  <c r="D15463" i="3"/>
  <c r="C15463" i="3"/>
  <c r="B15463" i="3"/>
  <c r="D15462" i="3"/>
  <c r="C15462" i="3"/>
  <c r="B15462" i="3"/>
  <c r="D15461" i="3"/>
  <c r="C15461" i="3"/>
  <c r="B15461" i="3"/>
  <c r="D15460" i="3"/>
  <c r="C15460" i="3"/>
  <c r="B15460" i="3"/>
  <c r="D15459" i="3"/>
  <c r="C15459" i="3"/>
  <c r="B15459" i="3"/>
  <c r="D15458" i="3"/>
  <c r="C15458" i="3"/>
  <c r="B15458" i="3"/>
  <c r="D15457" i="3"/>
  <c r="C15457" i="3"/>
  <c r="B15457" i="3"/>
  <c r="D15456" i="3"/>
  <c r="C15456" i="3"/>
  <c r="B15456" i="3"/>
  <c r="D15455" i="3"/>
  <c r="C15455" i="3"/>
  <c r="B15455" i="3"/>
  <c r="D15454" i="3"/>
  <c r="C15454" i="3"/>
  <c r="B15454" i="3"/>
  <c r="D15453" i="3"/>
  <c r="C15453" i="3"/>
  <c r="B15453" i="3"/>
  <c r="D15452" i="3"/>
  <c r="C15452" i="3"/>
  <c r="B15452" i="3"/>
  <c r="D15451" i="3"/>
  <c r="C15451" i="3"/>
  <c r="B15451" i="3"/>
  <c r="D15450" i="3"/>
  <c r="C15450" i="3"/>
  <c r="B15450" i="3"/>
  <c r="D15449" i="3"/>
  <c r="C15449" i="3"/>
  <c r="B15449" i="3"/>
  <c r="D15448" i="3"/>
  <c r="C15448" i="3"/>
  <c r="B15448" i="3"/>
  <c r="D15447" i="3"/>
  <c r="C15447" i="3"/>
  <c r="B15447" i="3"/>
  <c r="D15446" i="3"/>
  <c r="C15446" i="3"/>
  <c r="B15446" i="3"/>
  <c r="D15445" i="3"/>
  <c r="C15445" i="3"/>
  <c r="B15445" i="3"/>
  <c r="D15444" i="3"/>
  <c r="C15444" i="3"/>
  <c r="B15444" i="3"/>
  <c r="D15443" i="3"/>
  <c r="C15443" i="3"/>
  <c r="B15443" i="3"/>
  <c r="D15442" i="3"/>
  <c r="C15442" i="3"/>
  <c r="B15442" i="3"/>
  <c r="D15441" i="3"/>
  <c r="C15441" i="3"/>
  <c r="B15441" i="3"/>
  <c r="D15440" i="3"/>
  <c r="C15440" i="3"/>
  <c r="B15440" i="3"/>
  <c r="D15439" i="3"/>
  <c r="C15439" i="3"/>
  <c r="B15439" i="3"/>
  <c r="D15438" i="3"/>
  <c r="C15438" i="3"/>
  <c r="B15438" i="3"/>
  <c r="D15437" i="3"/>
  <c r="C15437" i="3"/>
  <c r="B15437" i="3"/>
  <c r="D15436" i="3"/>
  <c r="C15436" i="3"/>
  <c r="B15436" i="3"/>
  <c r="D15435" i="3"/>
  <c r="C15435" i="3"/>
  <c r="B15435" i="3"/>
  <c r="D15434" i="3"/>
  <c r="C15434" i="3"/>
  <c r="B15434" i="3"/>
  <c r="D15433" i="3"/>
  <c r="C15433" i="3"/>
  <c r="B15433" i="3"/>
  <c r="D15432" i="3"/>
  <c r="C15432" i="3"/>
  <c r="B15432" i="3"/>
  <c r="D15431" i="3"/>
  <c r="C15431" i="3"/>
  <c r="B15431" i="3"/>
  <c r="D15430" i="3"/>
  <c r="C15430" i="3"/>
  <c r="B15430" i="3"/>
  <c r="D15429" i="3"/>
  <c r="C15429" i="3"/>
  <c r="B15429" i="3"/>
  <c r="D15428" i="3"/>
  <c r="C15428" i="3"/>
  <c r="B15428" i="3"/>
  <c r="D15427" i="3"/>
  <c r="C15427" i="3"/>
  <c r="B15427" i="3"/>
  <c r="D15426" i="3"/>
  <c r="C15426" i="3"/>
  <c r="B15426" i="3"/>
  <c r="D15425" i="3"/>
  <c r="C15425" i="3"/>
  <c r="B15425" i="3"/>
  <c r="D15424" i="3"/>
  <c r="C15424" i="3"/>
  <c r="B15424" i="3"/>
  <c r="D15423" i="3"/>
  <c r="C15423" i="3"/>
  <c r="B15423" i="3"/>
  <c r="D15422" i="3"/>
  <c r="C15422" i="3"/>
  <c r="B15422" i="3"/>
  <c r="D15421" i="3"/>
  <c r="C15421" i="3"/>
  <c r="B15421" i="3"/>
  <c r="D15420" i="3"/>
  <c r="C15420" i="3"/>
  <c r="B15420" i="3"/>
  <c r="D15419" i="3"/>
  <c r="C15419" i="3"/>
  <c r="B15419" i="3"/>
  <c r="D15418" i="3"/>
  <c r="C15418" i="3"/>
  <c r="B15418" i="3"/>
  <c r="D15417" i="3"/>
  <c r="C15417" i="3"/>
  <c r="B15417" i="3"/>
  <c r="D15416" i="3"/>
  <c r="C15416" i="3"/>
  <c r="B15416" i="3"/>
  <c r="D15415" i="3"/>
  <c r="C15415" i="3"/>
  <c r="B15415" i="3"/>
  <c r="D15414" i="3"/>
  <c r="C15414" i="3"/>
  <c r="B15414" i="3"/>
  <c r="D15413" i="3"/>
  <c r="C15413" i="3"/>
  <c r="B15413" i="3"/>
  <c r="D15412" i="3"/>
  <c r="C15412" i="3"/>
  <c r="B15412" i="3"/>
  <c r="D15411" i="3"/>
  <c r="C15411" i="3"/>
  <c r="B15411" i="3"/>
  <c r="D15410" i="3"/>
  <c r="C15410" i="3"/>
  <c r="B15410" i="3"/>
  <c r="D15409" i="3"/>
  <c r="C15409" i="3"/>
  <c r="B15409" i="3"/>
  <c r="D15408" i="3"/>
  <c r="C15408" i="3"/>
  <c r="B15408" i="3"/>
  <c r="D15407" i="3"/>
  <c r="C15407" i="3"/>
  <c r="B15407" i="3"/>
  <c r="D15406" i="3"/>
  <c r="C15406" i="3"/>
  <c r="B15406" i="3"/>
  <c r="D15405" i="3"/>
  <c r="C15405" i="3"/>
  <c r="B15405" i="3"/>
  <c r="D15404" i="3"/>
  <c r="C15404" i="3"/>
  <c r="B15404" i="3"/>
  <c r="D15403" i="3"/>
  <c r="C15403" i="3"/>
  <c r="B15403" i="3"/>
  <c r="D15402" i="3"/>
  <c r="C15402" i="3"/>
  <c r="B15402" i="3"/>
  <c r="D15401" i="3"/>
  <c r="C15401" i="3"/>
  <c r="B15401" i="3"/>
  <c r="D15400" i="3"/>
  <c r="C15400" i="3"/>
  <c r="B15400" i="3"/>
  <c r="D15399" i="3"/>
  <c r="C15399" i="3"/>
  <c r="B15399" i="3"/>
  <c r="D15398" i="3"/>
  <c r="C15398" i="3"/>
  <c r="B15398" i="3"/>
  <c r="D15397" i="3"/>
  <c r="C15397" i="3"/>
  <c r="B15397" i="3"/>
  <c r="D15396" i="3"/>
  <c r="C15396" i="3"/>
  <c r="B15396" i="3"/>
  <c r="D15395" i="3"/>
  <c r="C15395" i="3"/>
  <c r="B15395" i="3"/>
  <c r="D15394" i="3"/>
  <c r="C15394" i="3"/>
  <c r="B15394" i="3"/>
  <c r="D15393" i="3"/>
  <c r="C15393" i="3"/>
  <c r="B15393" i="3"/>
  <c r="D15392" i="3"/>
  <c r="C15392" i="3"/>
  <c r="B15392" i="3"/>
  <c r="D15391" i="3"/>
  <c r="C15391" i="3"/>
  <c r="B15391" i="3"/>
  <c r="D15390" i="3"/>
  <c r="C15390" i="3"/>
  <c r="B15390" i="3"/>
  <c r="D15389" i="3"/>
  <c r="C15389" i="3"/>
  <c r="B15389" i="3"/>
  <c r="D15388" i="3"/>
  <c r="C15388" i="3"/>
  <c r="B15388" i="3"/>
  <c r="D15387" i="3"/>
  <c r="C15387" i="3"/>
  <c r="B15387" i="3"/>
  <c r="D15386" i="3"/>
  <c r="C15386" i="3"/>
  <c r="B15386" i="3"/>
  <c r="D15385" i="3"/>
  <c r="C15385" i="3"/>
  <c r="B15385" i="3"/>
  <c r="D15384" i="3"/>
  <c r="C15384" i="3"/>
  <c r="B15384" i="3"/>
  <c r="D15383" i="3"/>
  <c r="C15383" i="3"/>
  <c r="B15383" i="3"/>
  <c r="D15382" i="3"/>
  <c r="C15382" i="3"/>
  <c r="B15382" i="3"/>
  <c r="D15381" i="3"/>
  <c r="C15381" i="3"/>
  <c r="B15381" i="3"/>
  <c r="D15380" i="3"/>
  <c r="C15380" i="3"/>
  <c r="B15380" i="3"/>
  <c r="D15379" i="3"/>
  <c r="C15379" i="3"/>
  <c r="B15379" i="3"/>
  <c r="D15378" i="3"/>
  <c r="C15378" i="3"/>
  <c r="B15378" i="3"/>
  <c r="D15377" i="3"/>
  <c r="C15377" i="3"/>
  <c r="B15377" i="3"/>
  <c r="D15376" i="3"/>
  <c r="C15376" i="3"/>
  <c r="B15376" i="3"/>
  <c r="D15375" i="3"/>
  <c r="C15375" i="3"/>
  <c r="B15375" i="3"/>
  <c r="D15374" i="3"/>
  <c r="C15374" i="3"/>
  <c r="B15374" i="3"/>
  <c r="D15373" i="3"/>
  <c r="C15373" i="3"/>
  <c r="B15373" i="3"/>
  <c r="D15372" i="3"/>
  <c r="C15372" i="3"/>
  <c r="B15372" i="3"/>
  <c r="D15371" i="3"/>
  <c r="C15371" i="3"/>
  <c r="B15371" i="3"/>
  <c r="D15370" i="3"/>
  <c r="C15370" i="3"/>
  <c r="B15370" i="3"/>
  <c r="D15369" i="3"/>
  <c r="C15369" i="3"/>
  <c r="B15369" i="3"/>
  <c r="D15368" i="3"/>
  <c r="C15368" i="3"/>
  <c r="B15368" i="3"/>
  <c r="D15367" i="3"/>
  <c r="C15367" i="3"/>
  <c r="B15367" i="3"/>
  <c r="D15366" i="3"/>
  <c r="C15366" i="3"/>
  <c r="B15366" i="3"/>
  <c r="D15365" i="3"/>
  <c r="C15365" i="3"/>
  <c r="B15365" i="3"/>
  <c r="D15364" i="3"/>
  <c r="C15364" i="3"/>
  <c r="B15364" i="3"/>
  <c r="D15363" i="3"/>
  <c r="C15363" i="3"/>
  <c r="B15363" i="3"/>
  <c r="D15362" i="3"/>
  <c r="C15362" i="3"/>
  <c r="B15362" i="3"/>
  <c r="D15361" i="3"/>
  <c r="C15361" i="3"/>
  <c r="B15361" i="3"/>
  <c r="D15360" i="3"/>
  <c r="C15360" i="3"/>
  <c r="B15360" i="3"/>
  <c r="D15359" i="3"/>
  <c r="C15359" i="3"/>
  <c r="B15359" i="3"/>
  <c r="D15358" i="3"/>
  <c r="C15358" i="3"/>
  <c r="B15358" i="3"/>
  <c r="D15357" i="3"/>
  <c r="C15357" i="3"/>
  <c r="B15357" i="3"/>
  <c r="D15356" i="3"/>
  <c r="C15356" i="3"/>
  <c r="B15356" i="3"/>
  <c r="D15355" i="3"/>
  <c r="C15355" i="3"/>
  <c r="B15355" i="3"/>
  <c r="D15354" i="3"/>
  <c r="C15354" i="3"/>
  <c r="B15354" i="3"/>
  <c r="D15353" i="3"/>
  <c r="C15353" i="3"/>
  <c r="B15353" i="3"/>
  <c r="D15352" i="3"/>
  <c r="C15352" i="3"/>
  <c r="B15352" i="3"/>
  <c r="D15351" i="3"/>
  <c r="C15351" i="3"/>
  <c r="B15351" i="3"/>
  <c r="D15350" i="3"/>
  <c r="C15350" i="3"/>
  <c r="B15350" i="3"/>
  <c r="D15349" i="3"/>
  <c r="C15349" i="3"/>
  <c r="B15349" i="3"/>
  <c r="D15348" i="3"/>
  <c r="C15348" i="3"/>
  <c r="B15348" i="3"/>
  <c r="D15347" i="3"/>
  <c r="C15347" i="3"/>
  <c r="B15347" i="3"/>
  <c r="D15346" i="3"/>
  <c r="C15346" i="3"/>
  <c r="B15346" i="3"/>
  <c r="D15345" i="3"/>
  <c r="C15345" i="3"/>
  <c r="B15345" i="3"/>
  <c r="D15344" i="3"/>
  <c r="C15344" i="3"/>
  <c r="B15344" i="3"/>
  <c r="D15343" i="3"/>
  <c r="C15343" i="3"/>
  <c r="B15343" i="3"/>
  <c r="D15342" i="3"/>
  <c r="C15342" i="3"/>
  <c r="B15342" i="3"/>
  <c r="D15341" i="3"/>
  <c r="C15341" i="3"/>
  <c r="B15341" i="3"/>
  <c r="D15340" i="3"/>
  <c r="C15340" i="3"/>
  <c r="B15340" i="3"/>
  <c r="D15339" i="3"/>
  <c r="C15339" i="3"/>
  <c r="B15339" i="3"/>
  <c r="D15338" i="3"/>
  <c r="C15338" i="3"/>
  <c r="B15338" i="3"/>
  <c r="D15337" i="3"/>
  <c r="C15337" i="3"/>
  <c r="B15337" i="3"/>
  <c r="D15336" i="3"/>
  <c r="C15336" i="3"/>
  <c r="B15336" i="3"/>
  <c r="D15335" i="3"/>
  <c r="C15335" i="3"/>
  <c r="B15335" i="3"/>
  <c r="D15334" i="3"/>
  <c r="C15334" i="3"/>
  <c r="B15334" i="3"/>
  <c r="D15333" i="3"/>
  <c r="C15333" i="3"/>
  <c r="B15333" i="3"/>
  <c r="D15332" i="3"/>
  <c r="C15332" i="3"/>
  <c r="B15332" i="3"/>
  <c r="D15331" i="3"/>
  <c r="C15331" i="3"/>
  <c r="B15331" i="3"/>
  <c r="D15330" i="3"/>
  <c r="C15330" i="3"/>
  <c r="B15330" i="3"/>
  <c r="D15329" i="3"/>
  <c r="C15329" i="3"/>
  <c r="B15329" i="3"/>
  <c r="D15328" i="3"/>
  <c r="C15328" i="3"/>
  <c r="B15328" i="3"/>
  <c r="D15327" i="3"/>
  <c r="C15327" i="3"/>
  <c r="B15327" i="3"/>
  <c r="D15326" i="3"/>
  <c r="C15326" i="3"/>
  <c r="B15326" i="3"/>
  <c r="D15325" i="3"/>
  <c r="C15325" i="3"/>
  <c r="B15325" i="3"/>
  <c r="D15324" i="3"/>
  <c r="C15324" i="3"/>
  <c r="B15324" i="3"/>
  <c r="D15323" i="3"/>
  <c r="C15323" i="3"/>
  <c r="B15323" i="3"/>
  <c r="D15322" i="3"/>
  <c r="C15322" i="3"/>
  <c r="B15322" i="3"/>
  <c r="D15321" i="3"/>
  <c r="C15321" i="3"/>
  <c r="B15321" i="3"/>
  <c r="D15320" i="3"/>
  <c r="C15320" i="3"/>
  <c r="B15320" i="3"/>
  <c r="D15319" i="3"/>
  <c r="C15319" i="3"/>
  <c r="B15319" i="3"/>
  <c r="D15318" i="3"/>
  <c r="C15318" i="3"/>
  <c r="B15318" i="3"/>
  <c r="D15317" i="3"/>
  <c r="C15317" i="3"/>
  <c r="B15317" i="3"/>
  <c r="D15316" i="3"/>
  <c r="C15316" i="3"/>
  <c r="B15316" i="3"/>
  <c r="D15315" i="3"/>
  <c r="C15315" i="3"/>
  <c r="B15315" i="3"/>
  <c r="D15314" i="3"/>
  <c r="C15314" i="3"/>
  <c r="B15314" i="3"/>
  <c r="D15313" i="3"/>
  <c r="C15313" i="3"/>
  <c r="B15313" i="3"/>
  <c r="D15312" i="3"/>
  <c r="C15312" i="3"/>
  <c r="B15312" i="3"/>
  <c r="D15311" i="3"/>
  <c r="C15311" i="3"/>
  <c r="B15311" i="3"/>
  <c r="D15310" i="3"/>
  <c r="C15310" i="3"/>
  <c r="B15310" i="3"/>
  <c r="D15309" i="3"/>
  <c r="C15309" i="3"/>
  <c r="B15309" i="3"/>
  <c r="D15308" i="3"/>
  <c r="C15308" i="3"/>
  <c r="B15308" i="3"/>
  <c r="D15307" i="3"/>
  <c r="C15307" i="3"/>
  <c r="B15307" i="3"/>
  <c r="D15306" i="3"/>
  <c r="C15306" i="3"/>
  <c r="B15306" i="3"/>
  <c r="D15305" i="3"/>
  <c r="C15305" i="3"/>
  <c r="B15305" i="3"/>
  <c r="D15304" i="3"/>
  <c r="C15304" i="3"/>
  <c r="B15304" i="3"/>
  <c r="D15303" i="3"/>
  <c r="C15303" i="3"/>
  <c r="B15303" i="3"/>
  <c r="D15302" i="3"/>
  <c r="C15302" i="3"/>
  <c r="B15302" i="3"/>
  <c r="D15301" i="3"/>
  <c r="C15301" i="3"/>
  <c r="B15301" i="3"/>
  <c r="D15300" i="3"/>
  <c r="C15300" i="3"/>
  <c r="B15300" i="3"/>
  <c r="D15299" i="3"/>
  <c r="C15299" i="3"/>
  <c r="B15299" i="3"/>
  <c r="D15298" i="3"/>
  <c r="C15298" i="3"/>
  <c r="B15298" i="3"/>
  <c r="D15297" i="3"/>
  <c r="C15297" i="3"/>
  <c r="B15297" i="3"/>
  <c r="D15296" i="3"/>
  <c r="C15296" i="3"/>
  <c r="B15296" i="3"/>
  <c r="D15295" i="3"/>
  <c r="C15295" i="3"/>
  <c r="B15295" i="3"/>
  <c r="D15294" i="3"/>
  <c r="C15294" i="3"/>
  <c r="B15294" i="3"/>
  <c r="D15293" i="3"/>
  <c r="C15293" i="3"/>
  <c r="B15293" i="3"/>
  <c r="D15292" i="3"/>
  <c r="C15292" i="3"/>
  <c r="B15292" i="3"/>
  <c r="D15291" i="3"/>
  <c r="C15291" i="3"/>
  <c r="B15291" i="3"/>
  <c r="D15290" i="3"/>
  <c r="C15290" i="3"/>
  <c r="B15290" i="3"/>
  <c r="D15289" i="3"/>
  <c r="C15289" i="3"/>
  <c r="B15289" i="3"/>
  <c r="D15288" i="3"/>
  <c r="C15288" i="3"/>
  <c r="B15288" i="3"/>
  <c r="D15287" i="3"/>
  <c r="C15287" i="3"/>
  <c r="B15287" i="3"/>
  <c r="D15286" i="3"/>
  <c r="C15286" i="3"/>
  <c r="B15286" i="3"/>
  <c r="D15285" i="3"/>
  <c r="C15285" i="3"/>
  <c r="B15285" i="3"/>
  <c r="D15284" i="3"/>
  <c r="C15284" i="3"/>
  <c r="B15284" i="3"/>
  <c r="D15283" i="3"/>
  <c r="C15283" i="3"/>
  <c r="B15283" i="3"/>
  <c r="D15282" i="3"/>
  <c r="C15282" i="3"/>
  <c r="B15282" i="3"/>
  <c r="D15281" i="3"/>
  <c r="C15281" i="3"/>
  <c r="B15281" i="3"/>
  <c r="D15280" i="3"/>
  <c r="C15280" i="3"/>
  <c r="B15280" i="3"/>
  <c r="D15279" i="3"/>
  <c r="C15279" i="3"/>
  <c r="B15279" i="3"/>
  <c r="D15278" i="3"/>
  <c r="C15278" i="3"/>
  <c r="B15278" i="3"/>
  <c r="D15277" i="3"/>
  <c r="C15277" i="3"/>
  <c r="B15277" i="3"/>
  <c r="D15276" i="3"/>
  <c r="C15276" i="3"/>
  <c r="B15276" i="3"/>
  <c r="D15275" i="3"/>
  <c r="C15275" i="3"/>
  <c r="B15275" i="3"/>
  <c r="D15274" i="3"/>
  <c r="C15274" i="3"/>
  <c r="B15274" i="3"/>
  <c r="D15273" i="3"/>
  <c r="C15273" i="3"/>
  <c r="B15273" i="3"/>
  <c r="D15272" i="3"/>
  <c r="C15272" i="3"/>
  <c r="B15272" i="3"/>
  <c r="D15271" i="3"/>
  <c r="C15271" i="3"/>
  <c r="B15271" i="3"/>
  <c r="D15270" i="3"/>
  <c r="C15270" i="3"/>
  <c r="B15270" i="3"/>
  <c r="D15269" i="3"/>
  <c r="C15269" i="3"/>
  <c r="B15269" i="3"/>
  <c r="D15268" i="3"/>
  <c r="C15268" i="3"/>
  <c r="B15268" i="3"/>
  <c r="D15267" i="3"/>
  <c r="C15267" i="3"/>
  <c r="B15267" i="3"/>
  <c r="D15266" i="3"/>
  <c r="C15266" i="3"/>
  <c r="B15266" i="3"/>
  <c r="D15265" i="3"/>
  <c r="C15265" i="3"/>
  <c r="B15265" i="3"/>
  <c r="D15264" i="3"/>
  <c r="C15264" i="3"/>
  <c r="B15264" i="3"/>
  <c r="D15263" i="3"/>
  <c r="C15263" i="3"/>
  <c r="B15263" i="3"/>
  <c r="D15262" i="3"/>
  <c r="C15262" i="3"/>
  <c r="B15262" i="3"/>
  <c r="D15261" i="3"/>
  <c r="C15261" i="3"/>
  <c r="B15261" i="3"/>
  <c r="D15260" i="3"/>
  <c r="C15260" i="3"/>
  <c r="B15260" i="3"/>
  <c r="D15259" i="3"/>
  <c r="C15259" i="3"/>
  <c r="B15259" i="3"/>
  <c r="D15258" i="3"/>
  <c r="C15258" i="3"/>
  <c r="B15258" i="3"/>
  <c r="D15257" i="3"/>
  <c r="C15257" i="3"/>
  <c r="B15257" i="3"/>
  <c r="D15256" i="3"/>
  <c r="C15256" i="3"/>
  <c r="B15256" i="3"/>
  <c r="D15255" i="3"/>
  <c r="C15255" i="3"/>
  <c r="B15255" i="3"/>
  <c r="D15254" i="3"/>
  <c r="C15254" i="3"/>
  <c r="B15254" i="3"/>
  <c r="D15253" i="3"/>
  <c r="C15253" i="3"/>
  <c r="B15253" i="3"/>
  <c r="D15252" i="3"/>
  <c r="C15252" i="3"/>
  <c r="B15252" i="3"/>
  <c r="D15251" i="3"/>
  <c r="C15251" i="3"/>
  <c r="B15251" i="3"/>
  <c r="D15250" i="3"/>
  <c r="C15250" i="3"/>
  <c r="B15250" i="3"/>
  <c r="D15249" i="3"/>
  <c r="C15249" i="3"/>
  <c r="B15249" i="3"/>
  <c r="D15248" i="3"/>
  <c r="C15248" i="3"/>
  <c r="B15248" i="3"/>
  <c r="D15247" i="3"/>
  <c r="C15247" i="3"/>
  <c r="B15247" i="3"/>
  <c r="D15246" i="3"/>
  <c r="C15246" i="3"/>
  <c r="B15246" i="3"/>
  <c r="D15245" i="3"/>
  <c r="C15245" i="3"/>
  <c r="B15245" i="3"/>
  <c r="D15244" i="3"/>
  <c r="C15244" i="3"/>
  <c r="B15244" i="3"/>
  <c r="D15243" i="3"/>
  <c r="C15243" i="3"/>
  <c r="B15243" i="3"/>
  <c r="D15242" i="3"/>
  <c r="C15242" i="3"/>
  <c r="B15242" i="3"/>
  <c r="D15241" i="3"/>
  <c r="C15241" i="3"/>
  <c r="B15241" i="3"/>
  <c r="D15240" i="3"/>
  <c r="C15240" i="3"/>
  <c r="B15240" i="3"/>
  <c r="D15239" i="3"/>
  <c r="C15239" i="3"/>
  <c r="B15239" i="3"/>
  <c r="D15238" i="3"/>
  <c r="C15238" i="3"/>
  <c r="B15238" i="3"/>
  <c r="D15237" i="3"/>
  <c r="C15237" i="3"/>
  <c r="B15237" i="3"/>
  <c r="D15236" i="3"/>
  <c r="C15236" i="3"/>
  <c r="B15236" i="3"/>
  <c r="D15235" i="3"/>
  <c r="C15235" i="3"/>
  <c r="B15235" i="3"/>
  <c r="D15234" i="3"/>
  <c r="C15234" i="3"/>
  <c r="B15234" i="3"/>
  <c r="D15233" i="3"/>
  <c r="C15233" i="3"/>
  <c r="B15233" i="3"/>
  <c r="D15232" i="3"/>
  <c r="C15232" i="3"/>
  <c r="B15232" i="3"/>
  <c r="D15231" i="3"/>
  <c r="C15231" i="3"/>
  <c r="B15231" i="3"/>
  <c r="D15230" i="3"/>
  <c r="C15230" i="3"/>
  <c r="B15230" i="3"/>
  <c r="D15229" i="3"/>
  <c r="C15229" i="3"/>
  <c r="B15229" i="3"/>
  <c r="D15228" i="3"/>
  <c r="C15228" i="3"/>
  <c r="B15228" i="3"/>
  <c r="D15227" i="3"/>
  <c r="C15227" i="3"/>
  <c r="B15227" i="3"/>
  <c r="D15226" i="3"/>
  <c r="C15226" i="3"/>
  <c r="B15226" i="3"/>
  <c r="D15225" i="3"/>
  <c r="C15225" i="3"/>
  <c r="B15225" i="3"/>
  <c r="D15224" i="3"/>
  <c r="C15224" i="3"/>
  <c r="B15224" i="3"/>
  <c r="D15223" i="3"/>
  <c r="C15223" i="3"/>
  <c r="B15223" i="3"/>
  <c r="D15222" i="3"/>
  <c r="C15222" i="3"/>
  <c r="B15222" i="3"/>
  <c r="D15221" i="3"/>
  <c r="C15221" i="3"/>
  <c r="B15221" i="3"/>
  <c r="D15220" i="3"/>
  <c r="C15220" i="3"/>
  <c r="B15220" i="3"/>
  <c r="D15219" i="3"/>
  <c r="C15219" i="3"/>
  <c r="B15219" i="3"/>
  <c r="D15218" i="3"/>
  <c r="C15218" i="3"/>
  <c r="B15218" i="3"/>
  <c r="D15217" i="3"/>
  <c r="C15217" i="3"/>
  <c r="B15217" i="3"/>
  <c r="D15216" i="3"/>
  <c r="C15216" i="3"/>
  <c r="B15216" i="3"/>
  <c r="D15215" i="3"/>
  <c r="C15215" i="3"/>
  <c r="B15215" i="3"/>
  <c r="D15214" i="3"/>
  <c r="C15214" i="3"/>
  <c r="B15214" i="3"/>
  <c r="D15213" i="3"/>
  <c r="C15213" i="3"/>
  <c r="B15213" i="3"/>
  <c r="D15212" i="3"/>
  <c r="C15212" i="3"/>
  <c r="B15212" i="3"/>
  <c r="D15211" i="3"/>
  <c r="C15211" i="3"/>
  <c r="B15211" i="3"/>
  <c r="D15210" i="3"/>
  <c r="C15210" i="3"/>
  <c r="B15210" i="3"/>
  <c r="D15209" i="3"/>
  <c r="C15209" i="3"/>
  <c r="B15209" i="3"/>
  <c r="D15208" i="3"/>
  <c r="C15208" i="3"/>
  <c r="B15208" i="3"/>
  <c r="D15207" i="3"/>
  <c r="C15207" i="3"/>
  <c r="B15207" i="3"/>
  <c r="D15206" i="3"/>
  <c r="C15206" i="3"/>
  <c r="B15206" i="3"/>
  <c r="D15205" i="3"/>
  <c r="C15205" i="3"/>
  <c r="B15205" i="3"/>
  <c r="D15204" i="3"/>
  <c r="C15204" i="3"/>
  <c r="B15204" i="3"/>
  <c r="D15203" i="3"/>
  <c r="C15203" i="3"/>
  <c r="B15203" i="3"/>
  <c r="D15202" i="3"/>
  <c r="C15202" i="3"/>
  <c r="B15202" i="3"/>
  <c r="D15201" i="3"/>
  <c r="C15201" i="3"/>
  <c r="B15201" i="3"/>
  <c r="D15200" i="3"/>
  <c r="C15200" i="3"/>
  <c r="B15200" i="3"/>
  <c r="D15199" i="3"/>
  <c r="C15199" i="3"/>
  <c r="B15199" i="3"/>
  <c r="D15198" i="3"/>
  <c r="C15198" i="3"/>
  <c r="B15198" i="3"/>
  <c r="D15197" i="3"/>
  <c r="C15197" i="3"/>
  <c r="B15197" i="3"/>
  <c r="D15196" i="3"/>
  <c r="C15196" i="3"/>
  <c r="B15196" i="3"/>
  <c r="D15195" i="3"/>
  <c r="C15195" i="3"/>
  <c r="B15195" i="3"/>
  <c r="D15194" i="3"/>
  <c r="C15194" i="3"/>
  <c r="B15194" i="3"/>
  <c r="D15193" i="3"/>
  <c r="C15193" i="3"/>
  <c r="B15193" i="3"/>
  <c r="D15192" i="3"/>
  <c r="C15192" i="3"/>
  <c r="B15192" i="3"/>
  <c r="D15191" i="3"/>
  <c r="C15191" i="3"/>
  <c r="B15191" i="3"/>
  <c r="D15190" i="3"/>
  <c r="C15190" i="3"/>
  <c r="B15190" i="3"/>
  <c r="D15189" i="3"/>
  <c r="C15189" i="3"/>
  <c r="B15189" i="3"/>
  <c r="D15188" i="3"/>
  <c r="C15188" i="3"/>
  <c r="B15188" i="3"/>
  <c r="D15187" i="3"/>
  <c r="C15187" i="3"/>
  <c r="B15187" i="3"/>
  <c r="D15186" i="3"/>
  <c r="C15186" i="3"/>
  <c r="B15186" i="3"/>
  <c r="D15185" i="3"/>
  <c r="C15185" i="3"/>
  <c r="B15185" i="3"/>
  <c r="D15184" i="3"/>
  <c r="C15184" i="3"/>
  <c r="B15184" i="3"/>
  <c r="D15183" i="3"/>
  <c r="C15183" i="3"/>
  <c r="B15183" i="3"/>
  <c r="D15182" i="3"/>
  <c r="C15182" i="3"/>
  <c r="B15182" i="3"/>
  <c r="D15181" i="3"/>
  <c r="C15181" i="3"/>
  <c r="B15181" i="3"/>
  <c r="D15180" i="3"/>
  <c r="C15180" i="3"/>
  <c r="B15180" i="3"/>
  <c r="D15179" i="3"/>
  <c r="C15179" i="3"/>
  <c r="B15179" i="3"/>
  <c r="D15178" i="3"/>
  <c r="C15178" i="3"/>
  <c r="B15178" i="3"/>
  <c r="D15177" i="3"/>
  <c r="C15177" i="3"/>
  <c r="B15177" i="3"/>
  <c r="D15176" i="3"/>
  <c r="C15176" i="3"/>
  <c r="B15176" i="3"/>
  <c r="D15175" i="3"/>
  <c r="C15175" i="3"/>
  <c r="B15175" i="3"/>
  <c r="D15174" i="3"/>
  <c r="C15174" i="3"/>
  <c r="B15174" i="3"/>
  <c r="D15173" i="3"/>
  <c r="C15173" i="3"/>
  <c r="B15173" i="3"/>
  <c r="D15172" i="3"/>
  <c r="C15172" i="3"/>
  <c r="B15172" i="3"/>
  <c r="D15171" i="3"/>
  <c r="C15171" i="3"/>
  <c r="B15171" i="3"/>
  <c r="D15170" i="3"/>
  <c r="C15170" i="3"/>
  <c r="B15170" i="3"/>
  <c r="D15169" i="3"/>
  <c r="C15169" i="3"/>
  <c r="B15169" i="3"/>
  <c r="D15168" i="3"/>
  <c r="C15168" i="3"/>
  <c r="B15168" i="3"/>
  <c r="D15167" i="3"/>
  <c r="C15167" i="3"/>
  <c r="B15167" i="3"/>
  <c r="D15166" i="3"/>
  <c r="C15166" i="3"/>
  <c r="B15166" i="3"/>
  <c r="D15165" i="3"/>
  <c r="C15165" i="3"/>
  <c r="B15165" i="3"/>
  <c r="D15164" i="3"/>
  <c r="C15164" i="3"/>
  <c r="B15164" i="3"/>
  <c r="D15163" i="3"/>
  <c r="C15163" i="3"/>
  <c r="B15163" i="3"/>
  <c r="D15162" i="3"/>
  <c r="C15162" i="3"/>
  <c r="B15162" i="3"/>
  <c r="D15161" i="3"/>
  <c r="C15161" i="3"/>
  <c r="B15161" i="3"/>
  <c r="D15160" i="3"/>
  <c r="C15160" i="3"/>
  <c r="B15160" i="3"/>
  <c r="D15159" i="3"/>
  <c r="C15159" i="3"/>
  <c r="B15159" i="3"/>
  <c r="D15158" i="3"/>
  <c r="C15158" i="3"/>
  <c r="B15158" i="3"/>
  <c r="D15157" i="3"/>
  <c r="C15157" i="3"/>
  <c r="B15157" i="3"/>
  <c r="D15156" i="3"/>
  <c r="C15156" i="3"/>
  <c r="B15156" i="3"/>
  <c r="D15155" i="3"/>
  <c r="C15155" i="3"/>
  <c r="B15155" i="3"/>
  <c r="D15154" i="3"/>
  <c r="C15154" i="3"/>
  <c r="B15154" i="3"/>
  <c r="D15153" i="3"/>
  <c r="C15153" i="3"/>
  <c r="B15153" i="3"/>
  <c r="D15152" i="3"/>
  <c r="C15152" i="3"/>
  <c r="B15152" i="3"/>
  <c r="D15151" i="3"/>
  <c r="C15151" i="3"/>
  <c r="B15151" i="3"/>
  <c r="D15150" i="3"/>
  <c r="C15150" i="3"/>
  <c r="B15150" i="3"/>
  <c r="D15149" i="3"/>
  <c r="C15149" i="3"/>
  <c r="B15149" i="3"/>
  <c r="D15148" i="3"/>
  <c r="C15148" i="3"/>
  <c r="B15148" i="3"/>
  <c r="D15147" i="3"/>
  <c r="C15147" i="3"/>
  <c r="B15147" i="3"/>
  <c r="D15146" i="3"/>
  <c r="C15146" i="3"/>
  <c r="B15146" i="3"/>
  <c r="D15145" i="3"/>
  <c r="C15145" i="3"/>
  <c r="B15145" i="3"/>
  <c r="D15144" i="3"/>
  <c r="C15144" i="3"/>
  <c r="B15144" i="3"/>
  <c r="D15143" i="3"/>
  <c r="C15143" i="3"/>
  <c r="B15143" i="3"/>
  <c r="D15142" i="3"/>
  <c r="C15142" i="3"/>
  <c r="B15142" i="3"/>
  <c r="D15141" i="3"/>
  <c r="C15141" i="3"/>
  <c r="B15141" i="3"/>
  <c r="D15140" i="3"/>
  <c r="C15140" i="3"/>
  <c r="B15140" i="3"/>
  <c r="D15139" i="3"/>
  <c r="C15139" i="3"/>
  <c r="B15139" i="3"/>
  <c r="D15138" i="3"/>
  <c r="C15138" i="3"/>
  <c r="B15138" i="3"/>
  <c r="D15137" i="3"/>
  <c r="C15137" i="3"/>
  <c r="B15137" i="3"/>
  <c r="D15136" i="3"/>
  <c r="C15136" i="3"/>
  <c r="B15136" i="3"/>
  <c r="D15135" i="3"/>
  <c r="C15135" i="3"/>
  <c r="B15135" i="3"/>
  <c r="D15134" i="3"/>
  <c r="C15134" i="3"/>
  <c r="B15134" i="3"/>
  <c r="D15133" i="3"/>
  <c r="C15133" i="3"/>
  <c r="B15133" i="3"/>
  <c r="D15132" i="3"/>
  <c r="C15132" i="3"/>
  <c r="B15132" i="3"/>
  <c r="D15131" i="3"/>
  <c r="C15131" i="3"/>
  <c r="B15131" i="3"/>
  <c r="D15130" i="3"/>
  <c r="C15130" i="3"/>
  <c r="B15130" i="3"/>
  <c r="D15129" i="3"/>
  <c r="C15129" i="3"/>
  <c r="B15129" i="3"/>
  <c r="D15128" i="3"/>
  <c r="C15128" i="3"/>
  <c r="B15128" i="3"/>
  <c r="D15127" i="3"/>
  <c r="C15127" i="3"/>
  <c r="B15127" i="3"/>
  <c r="D15126" i="3"/>
  <c r="C15126" i="3"/>
  <c r="B15126" i="3"/>
  <c r="D15125" i="3"/>
  <c r="C15125" i="3"/>
  <c r="B15125" i="3"/>
  <c r="D15124" i="3"/>
  <c r="C15124" i="3"/>
  <c r="B15124" i="3"/>
  <c r="D15123" i="3"/>
  <c r="C15123" i="3"/>
  <c r="B15123" i="3"/>
  <c r="D15122" i="3"/>
  <c r="C15122" i="3"/>
  <c r="B15122" i="3"/>
  <c r="D15121" i="3"/>
  <c r="C15121" i="3"/>
  <c r="B15121" i="3"/>
  <c r="D15120" i="3"/>
  <c r="C15120" i="3"/>
  <c r="B15120" i="3"/>
  <c r="D15119" i="3"/>
  <c r="C15119" i="3"/>
  <c r="B15119" i="3"/>
  <c r="D15118" i="3"/>
  <c r="C15118" i="3"/>
  <c r="B15118" i="3"/>
  <c r="D15117" i="3"/>
  <c r="C15117" i="3"/>
  <c r="B15117" i="3"/>
  <c r="D15116" i="3"/>
  <c r="C15116" i="3"/>
  <c r="B15116" i="3"/>
  <c r="D15115" i="3"/>
  <c r="C15115" i="3"/>
  <c r="B15115" i="3"/>
  <c r="D15114" i="3"/>
  <c r="C15114" i="3"/>
  <c r="B15114" i="3"/>
  <c r="D15113" i="3"/>
  <c r="C15113" i="3"/>
  <c r="B15113" i="3"/>
  <c r="D15112" i="3"/>
  <c r="C15112" i="3"/>
  <c r="B15112" i="3"/>
  <c r="D15111" i="3"/>
  <c r="C15111" i="3"/>
  <c r="B15111" i="3"/>
  <c r="D15110" i="3"/>
  <c r="C15110" i="3"/>
  <c r="B15110" i="3"/>
  <c r="D15109" i="3"/>
  <c r="C15109" i="3"/>
  <c r="B15109" i="3"/>
  <c r="D15108" i="3"/>
  <c r="C15108" i="3"/>
  <c r="B15108" i="3"/>
  <c r="D15107" i="3"/>
  <c r="C15107" i="3"/>
  <c r="B15107" i="3"/>
  <c r="D15106" i="3"/>
  <c r="C15106" i="3"/>
  <c r="B15106" i="3"/>
  <c r="D15105" i="3"/>
  <c r="C15105" i="3"/>
  <c r="B15105" i="3"/>
  <c r="D15104" i="3"/>
  <c r="C15104" i="3"/>
  <c r="B15104" i="3"/>
  <c r="D15103" i="3"/>
  <c r="C15103" i="3"/>
  <c r="B15103" i="3"/>
  <c r="D15102" i="3"/>
  <c r="C15102" i="3"/>
  <c r="B15102" i="3"/>
  <c r="D15101" i="3"/>
  <c r="C15101" i="3"/>
  <c r="B15101" i="3"/>
  <c r="D15100" i="3"/>
  <c r="C15100" i="3"/>
  <c r="B15100" i="3"/>
  <c r="D15099" i="3"/>
  <c r="C15099" i="3"/>
  <c r="B15099" i="3"/>
  <c r="D15098" i="3"/>
  <c r="C15098" i="3"/>
  <c r="B15098" i="3"/>
  <c r="D15097" i="3"/>
  <c r="C15097" i="3"/>
  <c r="B15097" i="3"/>
  <c r="D15096" i="3"/>
  <c r="C15096" i="3"/>
  <c r="B15096" i="3"/>
  <c r="D15095" i="3"/>
  <c r="C15095" i="3"/>
  <c r="B15095" i="3"/>
  <c r="D15094" i="3"/>
  <c r="C15094" i="3"/>
  <c r="B15094" i="3"/>
  <c r="D15093" i="3"/>
  <c r="C15093" i="3"/>
  <c r="B15093" i="3"/>
  <c r="D15092" i="3"/>
  <c r="C15092" i="3"/>
  <c r="B15092" i="3"/>
  <c r="D15091" i="3"/>
  <c r="C15091" i="3"/>
  <c r="B15091" i="3"/>
  <c r="D15090" i="3"/>
  <c r="C15090" i="3"/>
  <c r="B15090" i="3"/>
  <c r="D15089" i="3"/>
  <c r="C15089" i="3"/>
  <c r="B15089" i="3"/>
  <c r="D15088" i="3"/>
  <c r="C15088" i="3"/>
  <c r="B15088" i="3"/>
  <c r="D15087" i="3"/>
  <c r="C15087" i="3"/>
  <c r="B15087" i="3"/>
  <c r="D15086" i="3"/>
  <c r="C15086" i="3"/>
  <c r="B15086" i="3"/>
  <c r="D15085" i="3"/>
  <c r="C15085" i="3"/>
  <c r="B15085" i="3"/>
  <c r="D15084" i="3"/>
  <c r="C15084" i="3"/>
  <c r="B15084" i="3"/>
  <c r="D15083" i="3"/>
  <c r="C15083" i="3"/>
  <c r="B15083" i="3"/>
  <c r="D15082" i="3"/>
  <c r="C15082" i="3"/>
  <c r="B15082" i="3"/>
  <c r="D15081" i="3"/>
  <c r="C15081" i="3"/>
  <c r="B15081" i="3"/>
  <c r="D15080" i="3"/>
  <c r="C15080" i="3"/>
  <c r="B15080" i="3"/>
  <c r="D15079" i="3"/>
  <c r="C15079" i="3"/>
  <c r="B15079" i="3"/>
  <c r="D15078" i="3"/>
  <c r="C15078" i="3"/>
  <c r="B15078" i="3"/>
  <c r="D15077" i="3"/>
  <c r="C15077" i="3"/>
  <c r="B15077" i="3"/>
  <c r="D15076" i="3"/>
  <c r="C15076" i="3"/>
  <c r="B15076" i="3"/>
  <c r="D15075" i="3"/>
  <c r="C15075" i="3"/>
  <c r="B15075" i="3"/>
  <c r="D15074" i="3"/>
  <c r="C15074" i="3"/>
  <c r="B15074" i="3"/>
  <c r="D15073" i="3"/>
  <c r="C15073" i="3"/>
  <c r="B15073" i="3"/>
  <c r="D15072" i="3"/>
  <c r="C15072" i="3"/>
  <c r="B15072" i="3"/>
  <c r="D15071" i="3"/>
  <c r="C15071" i="3"/>
  <c r="B15071" i="3"/>
  <c r="D15070" i="3"/>
  <c r="C15070" i="3"/>
  <c r="B15070" i="3"/>
  <c r="D15069" i="3"/>
  <c r="C15069" i="3"/>
  <c r="B15069" i="3"/>
  <c r="D15068" i="3"/>
  <c r="C15068" i="3"/>
  <c r="B15068" i="3"/>
  <c r="D15067" i="3"/>
  <c r="C15067" i="3"/>
  <c r="B15067" i="3"/>
  <c r="D15066" i="3"/>
  <c r="C15066" i="3"/>
  <c r="B15066" i="3"/>
  <c r="D15065" i="3"/>
  <c r="C15065" i="3"/>
  <c r="B15065" i="3"/>
  <c r="D15064" i="3"/>
  <c r="C15064" i="3"/>
  <c r="B15064" i="3"/>
  <c r="D15063" i="3"/>
  <c r="C15063" i="3"/>
  <c r="B15063" i="3"/>
  <c r="D15062" i="3"/>
  <c r="C15062" i="3"/>
  <c r="B15062" i="3"/>
  <c r="D15061" i="3"/>
  <c r="C15061" i="3"/>
  <c r="B15061" i="3"/>
  <c r="D15060" i="3"/>
  <c r="C15060" i="3"/>
  <c r="B15060" i="3"/>
  <c r="D15059" i="3"/>
  <c r="C15059" i="3"/>
  <c r="B15059" i="3"/>
  <c r="D15058" i="3"/>
  <c r="C15058" i="3"/>
  <c r="B15058" i="3"/>
  <c r="D15057" i="3"/>
  <c r="C15057" i="3"/>
  <c r="B15057" i="3"/>
  <c r="D15056" i="3"/>
  <c r="C15056" i="3"/>
  <c r="B15056" i="3"/>
  <c r="D15055" i="3"/>
  <c r="C15055" i="3"/>
  <c r="B15055" i="3"/>
  <c r="D15054" i="3"/>
  <c r="C15054" i="3"/>
  <c r="B15054" i="3"/>
  <c r="D15053" i="3"/>
  <c r="C15053" i="3"/>
  <c r="B15053" i="3"/>
  <c r="D15052" i="3"/>
  <c r="C15052" i="3"/>
  <c r="B15052" i="3"/>
  <c r="D15051" i="3"/>
  <c r="C15051" i="3"/>
  <c r="B15051" i="3"/>
  <c r="D15050" i="3"/>
  <c r="C15050" i="3"/>
  <c r="B15050" i="3"/>
  <c r="D15049" i="3"/>
  <c r="C15049" i="3"/>
  <c r="B15049" i="3"/>
  <c r="D15048" i="3"/>
  <c r="C15048" i="3"/>
  <c r="B15048" i="3"/>
  <c r="D15047" i="3"/>
  <c r="C15047" i="3"/>
  <c r="B15047" i="3"/>
  <c r="D15046" i="3"/>
  <c r="C15046" i="3"/>
  <c r="B15046" i="3"/>
  <c r="D15045" i="3"/>
  <c r="C15045" i="3"/>
  <c r="B15045" i="3"/>
  <c r="D15044" i="3"/>
  <c r="C15044" i="3"/>
  <c r="B15044" i="3"/>
  <c r="D15043" i="3"/>
  <c r="C15043" i="3"/>
  <c r="B15043" i="3"/>
  <c r="D15042" i="3"/>
  <c r="C15042" i="3"/>
  <c r="B15042" i="3"/>
  <c r="D15041" i="3"/>
  <c r="C15041" i="3"/>
  <c r="B15041" i="3"/>
  <c r="D15040" i="3"/>
  <c r="C15040" i="3"/>
  <c r="B15040" i="3"/>
  <c r="D15039" i="3"/>
  <c r="C15039" i="3"/>
  <c r="B15039" i="3"/>
  <c r="D15038" i="3"/>
  <c r="C15038" i="3"/>
  <c r="B15038" i="3"/>
  <c r="D15037" i="3"/>
  <c r="C15037" i="3"/>
  <c r="B15037" i="3"/>
  <c r="D15036" i="3"/>
  <c r="C15036" i="3"/>
  <c r="B15036" i="3"/>
  <c r="D15035" i="3"/>
  <c r="C15035" i="3"/>
  <c r="B15035" i="3"/>
  <c r="D15034" i="3"/>
  <c r="C15034" i="3"/>
  <c r="B15034" i="3"/>
  <c r="D15033" i="3"/>
  <c r="C15033" i="3"/>
  <c r="B15033" i="3"/>
  <c r="D15032" i="3"/>
  <c r="C15032" i="3"/>
  <c r="B15032" i="3"/>
  <c r="D15031" i="3"/>
  <c r="C15031" i="3"/>
  <c r="B15031" i="3"/>
  <c r="D15030" i="3"/>
  <c r="C15030" i="3"/>
  <c r="B15030" i="3"/>
  <c r="D15029" i="3"/>
  <c r="C15029" i="3"/>
  <c r="B15029" i="3"/>
  <c r="D15028" i="3"/>
  <c r="C15028" i="3"/>
  <c r="B15028" i="3"/>
  <c r="D15027" i="3"/>
  <c r="C15027" i="3"/>
  <c r="B15027" i="3"/>
  <c r="D15026" i="3"/>
  <c r="C15026" i="3"/>
  <c r="B15026" i="3"/>
  <c r="D15025" i="3"/>
  <c r="C15025" i="3"/>
  <c r="B15025" i="3"/>
  <c r="D15024" i="3"/>
  <c r="C15024" i="3"/>
  <c r="B15024" i="3"/>
  <c r="D15023" i="3"/>
  <c r="C15023" i="3"/>
  <c r="B15023" i="3"/>
  <c r="D15022" i="3"/>
  <c r="C15022" i="3"/>
  <c r="B15022" i="3"/>
  <c r="D15021" i="3"/>
  <c r="C15021" i="3"/>
  <c r="B15021" i="3"/>
  <c r="D15020" i="3"/>
  <c r="C15020" i="3"/>
  <c r="B15020" i="3"/>
  <c r="D15019" i="3"/>
  <c r="C15019" i="3"/>
  <c r="B15019" i="3"/>
  <c r="D15018" i="3"/>
  <c r="C15018" i="3"/>
  <c r="B15018" i="3"/>
  <c r="D15017" i="3"/>
  <c r="C15017" i="3"/>
  <c r="B15017" i="3"/>
  <c r="D15016" i="3"/>
  <c r="C15016" i="3"/>
  <c r="B15016" i="3"/>
  <c r="D15015" i="3"/>
  <c r="C15015" i="3"/>
  <c r="B15015" i="3"/>
  <c r="D15014" i="3"/>
  <c r="C15014" i="3"/>
  <c r="B15014" i="3"/>
  <c r="D15013" i="3"/>
  <c r="C15013" i="3"/>
  <c r="B15013" i="3"/>
  <c r="D15012" i="3"/>
  <c r="C15012" i="3"/>
  <c r="B15012" i="3"/>
  <c r="D15011" i="3"/>
  <c r="C15011" i="3"/>
  <c r="B15011" i="3"/>
  <c r="D15010" i="3"/>
  <c r="C15010" i="3"/>
  <c r="B15010" i="3"/>
  <c r="D15009" i="3"/>
  <c r="C15009" i="3"/>
  <c r="B15009" i="3"/>
  <c r="D15008" i="3"/>
  <c r="C15008" i="3"/>
  <c r="B15008" i="3"/>
  <c r="D15007" i="3"/>
  <c r="C15007" i="3"/>
  <c r="B15007" i="3"/>
  <c r="D15006" i="3"/>
  <c r="C15006" i="3"/>
  <c r="B15006" i="3"/>
  <c r="D15005" i="3"/>
  <c r="C15005" i="3"/>
  <c r="B15005" i="3"/>
  <c r="D15004" i="3"/>
  <c r="C15004" i="3"/>
  <c r="B15004" i="3"/>
  <c r="D15003" i="3"/>
  <c r="C15003" i="3"/>
  <c r="B15003" i="3"/>
  <c r="D15002" i="3"/>
  <c r="C15002" i="3"/>
  <c r="B15002" i="3"/>
  <c r="D15001" i="3"/>
  <c r="C15001" i="3"/>
  <c r="B15001" i="3"/>
  <c r="D15000" i="3"/>
  <c r="C15000" i="3"/>
  <c r="B15000" i="3"/>
  <c r="D14999" i="3"/>
  <c r="C14999" i="3"/>
  <c r="B14999" i="3"/>
  <c r="D14998" i="3"/>
  <c r="C14998" i="3"/>
  <c r="B14998" i="3"/>
  <c r="D14997" i="3"/>
  <c r="C14997" i="3"/>
  <c r="B14997" i="3"/>
  <c r="D14996" i="3"/>
  <c r="C14996" i="3"/>
  <c r="B14996" i="3"/>
  <c r="D14995" i="3"/>
  <c r="C14995" i="3"/>
  <c r="B14995" i="3"/>
  <c r="D14994" i="3"/>
  <c r="C14994" i="3"/>
  <c r="B14994" i="3"/>
  <c r="D14993" i="3"/>
  <c r="C14993" i="3"/>
  <c r="B14993" i="3"/>
  <c r="D14992" i="3"/>
  <c r="C14992" i="3"/>
  <c r="B14992" i="3"/>
  <c r="D14991" i="3"/>
  <c r="C14991" i="3"/>
  <c r="B14991" i="3"/>
  <c r="D14990" i="3"/>
  <c r="C14990" i="3"/>
  <c r="B14990" i="3"/>
  <c r="D14989" i="3"/>
  <c r="C14989" i="3"/>
  <c r="B14989" i="3"/>
  <c r="D14988" i="3"/>
  <c r="C14988" i="3"/>
  <c r="B14988" i="3"/>
  <c r="D14987" i="3"/>
  <c r="C14987" i="3"/>
  <c r="B14987" i="3"/>
  <c r="D14986" i="3"/>
  <c r="C14986" i="3"/>
  <c r="B14986" i="3"/>
  <c r="D14985" i="3"/>
  <c r="C14985" i="3"/>
  <c r="B14985" i="3"/>
  <c r="D14984" i="3"/>
  <c r="C14984" i="3"/>
  <c r="B14984" i="3"/>
  <c r="D14983" i="3"/>
  <c r="C14983" i="3"/>
  <c r="B14983" i="3"/>
  <c r="D14982" i="3"/>
  <c r="C14982" i="3"/>
  <c r="B14982" i="3"/>
  <c r="D14981" i="3"/>
  <c r="C14981" i="3"/>
  <c r="B14981" i="3"/>
  <c r="D14980" i="3"/>
  <c r="C14980" i="3"/>
  <c r="B14980" i="3"/>
  <c r="D14979" i="3"/>
  <c r="C14979" i="3"/>
  <c r="B14979" i="3"/>
  <c r="D14978" i="3"/>
  <c r="C14978" i="3"/>
  <c r="B14978" i="3"/>
  <c r="D14977" i="3"/>
  <c r="C14977" i="3"/>
  <c r="B14977" i="3"/>
  <c r="D14976" i="3"/>
  <c r="C14976" i="3"/>
  <c r="B14976" i="3"/>
  <c r="D14975" i="3"/>
  <c r="C14975" i="3"/>
  <c r="B14975" i="3"/>
  <c r="D14974" i="3"/>
  <c r="C14974" i="3"/>
  <c r="B14974" i="3"/>
  <c r="D14973" i="3"/>
  <c r="C14973" i="3"/>
  <c r="B14973" i="3"/>
  <c r="D14972" i="3"/>
  <c r="C14972" i="3"/>
  <c r="B14972" i="3"/>
  <c r="D14971" i="3"/>
  <c r="C14971" i="3"/>
  <c r="B14971" i="3"/>
  <c r="D14970" i="3"/>
  <c r="C14970" i="3"/>
  <c r="B14970" i="3"/>
  <c r="D14969" i="3"/>
  <c r="C14969" i="3"/>
  <c r="B14969" i="3"/>
  <c r="D14968" i="3"/>
  <c r="C14968" i="3"/>
  <c r="B14968" i="3"/>
  <c r="D14967" i="3"/>
  <c r="C14967" i="3"/>
  <c r="B14967" i="3"/>
  <c r="D14966" i="3"/>
  <c r="C14966" i="3"/>
  <c r="B14966" i="3"/>
  <c r="D14965" i="3"/>
  <c r="C14965" i="3"/>
  <c r="B14965" i="3"/>
  <c r="D14964" i="3"/>
  <c r="C14964" i="3"/>
  <c r="B14964" i="3"/>
  <c r="D14963" i="3"/>
  <c r="C14963" i="3"/>
  <c r="B14963" i="3"/>
  <c r="D14962" i="3"/>
  <c r="C14962" i="3"/>
  <c r="B14962" i="3"/>
  <c r="D14961" i="3"/>
  <c r="C14961" i="3"/>
  <c r="B14961" i="3"/>
  <c r="D14960" i="3"/>
  <c r="C14960" i="3"/>
  <c r="B14960" i="3"/>
  <c r="D14959" i="3"/>
  <c r="C14959" i="3"/>
  <c r="B14959" i="3"/>
  <c r="D14958" i="3"/>
  <c r="C14958" i="3"/>
  <c r="B14958" i="3"/>
  <c r="D14957" i="3"/>
  <c r="C14957" i="3"/>
  <c r="B14957" i="3"/>
  <c r="D14956" i="3"/>
  <c r="C14956" i="3"/>
  <c r="B14956" i="3"/>
  <c r="D14955" i="3"/>
  <c r="C14955" i="3"/>
  <c r="B14955" i="3"/>
  <c r="D14954" i="3"/>
  <c r="C14954" i="3"/>
  <c r="B14954" i="3"/>
  <c r="D14953" i="3"/>
  <c r="C14953" i="3"/>
  <c r="B14953" i="3"/>
  <c r="D14952" i="3"/>
  <c r="C14952" i="3"/>
  <c r="B14952" i="3"/>
  <c r="D14951" i="3"/>
  <c r="C14951" i="3"/>
  <c r="B14951" i="3"/>
  <c r="D14950" i="3"/>
  <c r="C14950" i="3"/>
  <c r="B14950" i="3"/>
  <c r="D14949" i="3"/>
  <c r="C14949" i="3"/>
  <c r="B14949" i="3"/>
  <c r="D14948" i="3"/>
  <c r="C14948" i="3"/>
  <c r="B14948" i="3"/>
  <c r="D14947" i="3"/>
  <c r="C14947" i="3"/>
  <c r="B14947" i="3"/>
  <c r="D14946" i="3"/>
  <c r="C14946" i="3"/>
  <c r="B14946" i="3"/>
  <c r="D14945" i="3"/>
  <c r="C14945" i="3"/>
  <c r="B14945" i="3"/>
  <c r="D14944" i="3"/>
  <c r="C14944" i="3"/>
  <c r="B14944" i="3"/>
  <c r="D14943" i="3"/>
  <c r="C14943" i="3"/>
  <c r="B14943" i="3"/>
  <c r="D14942" i="3"/>
  <c r="C14942" i="3"/>
  <c r="B14942" i="3"/>
  <c r="D14941" i="3"/>
  <c r="C14941" i="3"/>
  <c r="B14941" i="3"/>
  <c r="D14940" i="3"/>
  <c r="C14940" i="3"/>
  <c r="B14940" i="3"/>
  <c r="D14939" i="3"/>
  <c r="C14939" i="3"/>
  <c r="B14939" i="3"/>
  <c r="D14938" i="3"/>
  <c r="C14938" i="3"/>
  <c r="B14938" i="3"/>
  <c r="D14937" i="3"/>
  <c r="C14937" i="3"/>
  <c r="B14937" i="3"/>
  <c r="D14936" i="3"/>
  <c r="C14936" i="3"/>
  <c r="B14936" i="3"/>
  <c r="D14935" i="3"/>
  <c r="C14935" i="3"/>
  <c r="B14935" i="3"/>
  <c r="D14934" i="3"/>
  <c r="C14934" i="3"/>
  <c r="B14934" i="3"/>
  <c r="D14933" i="3"/>
  <c r="C14933" i="3"/>
  <c r="B14933" i="3"/>
  <c r="D14932" i="3"/>
  <c r="C14932" i="3"/>
  <c r="B14932" i="3"/>
  <c r="D14931" i="3"/>
  <c r="C14931" i="3"/>
  <c r="B14931" i="3"/>
  <c r="D14930" i="3"/>
  <c r="C14930" i="3"/>
  <c r="B14930" i="3"/>
  <c r="D14929" i="3"/>
  <c r="C14929" i="3"/>
  <c r="B14929" i="3"/>
  <c r="D14928" i="3"/>
  <c r="C14928" i="3"/>
  <c r="B14928" i="3"/>
  <c r="D14927" i="3"/>
  <c r="C14927" i="3"/>
  <c r="B14927" i="3"/>
  <c r="D14926" i="3"/>
  <c r="C14926" i="3"/>
  <c r="B14926" i="3"/>
  <c r="D14925" i="3"/>
  <c r="C14925" i="3"/>
  <c r="B14925" i="3"/>
  <c r="D14924" i="3"/>
  <c r="C14924" i="3"/>
  <c r="B14924" i="3"/>
  <c r="D14923" i="3"/>
  <c r="C14923" i="3"/>
  <c r="B14923" i="3"/>
  <c r="D14922" i="3"/>
  <c r="C14922" i="3"/>
  <c r="B14922" i="3"/>
  <c r="D14921" i="3"/>
  <c r="C14921" i="3"/>
  <c r="B14921" i="3"/>
  <c r="D14920" i="3"/>
  <c r="C14920" i="3"/>
  <c r="B14920" i="3"/>
  <c r="D14919" i="3"/>
  <c r="C14919" i="3"/>
  <c r="B14919" i="3"/>
  <c r="D14918" i="3"/>
  <c r="C14918" i="3"/>
  <c r="B14918" i="3"/>
  <c r="D14917" i="3"/>
  <c r="C14917" i="3"/>
  <c r="B14917" i="3"/>
  <c r="D14916" i="3"/>
  <c r="C14916" i="3"/>
  <c r="B14916" i="3"/>
  <c r="D14915" i="3"/>
  <c r="C14915" i="3"/>
  <c r="B14915" i="3"/>
  <c r="D14914" i="3"/>
  <c r="C14914" i="3"/>
  <c r="B14914" i="3"/>
  <c r="D14913" i="3"/>
  <c r="C14913" i="3"/>
  <c r="B14913" i="3"/>
  <c r="D14912" i="3"/>
  <c r="C14912" i="3"/>
  <c r="B14912" i="3"/>
  <c r="D14911" i="3"/>
  <c r="C14911" i="3"/>
  <c r="B14911" i="3"/>
  <c r="D14910" i="3"/>
  <c r="C14910" i="3"/>
  <c r="B14910" i="3"/>
  <c r="D14909" i="3"/>
  <c r="C14909" i="3"/>
  <c r="B14909" i="3"/>
  <c r="D14908" i="3"/>
  <c r="C14908" i="3"/>
  <c r="B14908" i="3"/>
  <c r="D14907" i="3"/>
  <c r="C14907" i="3"/>
  <c r="B14907" i="3"/>
  <c r="D14906" i="3"/>
  <c r="C14906" i="3"/>
  <c r="B14906" i="3"/>
  <c r="D14905" i="3"/>
  <c r="C14905" i="3"/>
  <c r="B14905" i="3"/>
  <c r="D14904" i="3"/>
  <c r="C14904" i="3"/>
  <c r="B14904" i="3"/>
  <c r="D14903" i="3"/>
  <c r="C14903" i="3"/>
  <c r="B14903" i="3"/>
  <c r="D14902" i="3"/>
  <c r="C14902" i="3"/>
  <c r="B14902" i="3"/>
  <c r="D14901" i="3"/>
  <c r="C14901" i="3"/>
  <c r="B14901" i="3"/>
  <c r="D14900" i="3"/>
  <c r="C14900" i="3"/>
  <c r="B14900" i="3"/>
  <c r="D14899" i="3"/>
  <c r="C14899" i="3"/>
  <c r="B14899" i="3"/>
  <c r="D14898" i="3"/>
  <c r="C14898" i="3"/>
  <c r="B14898" i="3"/>
  <c r="D14897" i="3"/>
  <c r="C14897" i="3"/>
  <c r="B14897" i="3"/>
  <c r="D14896" i="3"/>
  <c r="C14896" i="3"/>
  <c r="B14896" i="3"/>
  <c r="D14895" i="3"/>
  <c r="C14895" i="3"/>
  <c r="B14895" i="3"/>
  <c r="D14894" i="3"/>
  <c r="C14894" i="3"/>
  <c r="B14894" i="3"/>
  <c r="D14893" i="3"/>
  <c r="C14893" i="3"/>
  <c r="B14893" i="3"/>
  <c r="D14892" i="3"/>
  <c r="C14892" i="3"/>
  <c r="B14892" i="3"/>
  <c r="D14891" i="3"/>
  <c r="C14891" i="3"/>
  <c r="B14891" i="3"/>
  <c r="D14890" i="3"/>
  <c r="C14890" i="3"/>
  <c r="B14890" i="3"/>
  <c r="D14889" i="3"/>
  <c r="C14889" i="3"/>
  <c r="B14889" i="3"/>
  <c r="D14888" i="3"/>
  <c r="C14888" i="3"/>
  <c r="B14888" i="3"/>
  <c r="D14887" i="3"/>
  <c r="C14887" i="3"/>
  <c r="B14887" i="3"/>
  <c r="D14886" i="3"/>
  <c r="C14886" i="3"/>
  <c r="B14886" i="3"/>
  <c r="D14885" i="3"/>
  <c r="C14885" i="3"/>
  <c r="B14885" i="3"/>
  <c r="D14884" i="3"/>
  <c r="C14884" i="3"/>
  <c r="B14884" i="3"/>
  <c r="D14883" i="3"/>
  <c r="C14883" i="3"/>
  <c r="B14883" i="3"/>
  <c r="D14882" i="3"/>
  <c r="C14882" i="3"/>
  <c r="B14882" i="3"/>
  <c r="D14881" i="3"/>
  <c r="C14881" i="3"/>
  <c r="B14881" i="3"/>
  <c r="D14880" i="3"/>
  <c r="C14880" i="3"/>
  <c r="B14880" i="3"/>
  <c r="D14879" i="3"/>
  <c r="C14879" i="3"/>
  <c r="B14879" i="3"/>
  <c r="D14878" i="3"/>
  <c r="C14878" i="3"/>
  <c r="B14878" i="3"/>
  <c r="D14877" i="3"/>
  <c r="C14877" i="3"/>
  <c r="B14877" i="3"/>
  <c r="D14876" i="3"/>
  <c r="C14876" i="3"/>
  <c r="B14876" i="3"/>
  <c r="D14875" i="3"/>
  <c r="C14875" i="3"/>
  <c r="B14875" i="3"/>
  <c r="D14874" i="3"/>
  <c r="C14874" i="3"/>
  <c r="B14874" i="3"/>
  <c r="D14873" i="3"/>
  <c r="C14873" i="3"/>
  <c r="B14873" i="3"/>
  <c r="D14872" i="3"/>
  <c r="C14872" i="3"/>
  <c r="B14872" i="3"/>
  <c r="D14871" i="3"/>
  <c r="C14871" i="3"/>
  <c r="B14871" i="3"/>
  <c r="D14870" i="3"/>
  <c r="C14870" i="3"/>
  <c r="B14870" i="3"/>
  <c r="D14869" i="3"/>
  <c r="C14869" i="3"/>
  <c r="B14869" i="3"/>
  <c r="D14868" i="3"/>
  <c r="C14868" i="3"/>
  <c r="B14868" i="3"/>
  <c r="D14867" i="3"/>
  <c r="C14867" i="3"/>
  <c r="B14867" i="3"/>
  <c r="D14866" i="3"/>
  <c r="C14866" i="3"/>
  <c r="B14866" i="3"/>
  <c r="D14865" i="3"/>
  <c r="C14865" i="3"/>
  <c r="B14865" i="3"/>
  <c r="D14864" i="3"/>
  <c r="C14864" i="3"/>
  <c r="B14864" i="3"/>
  <c r="D14863" i="3"/>
  <c r="C14863" i="3"/>
  <c r="B14863" i="3"/>
  <c r="D14862" i="3"/>
  <c r="C14862" i="3"/>
  <c r="B14862" i="3"/>
  <c r="D14861" i="3"/>
  <c r="C14861" i="3"/>
  <c r="B14861" i="3"/>
  <c r="D14860" i="3"/>
  <c r="C14860" i="3"/>
  <c r="B14860" i="3"/>
  <c r="D14859" i="3"/>
  <c r="C14859" i="3"/>
  <c r="B14859" i="3"/>
  <c r="D14858" i="3"/>
  <c r="C14858" i="3"/>
  <c r="B14858" i="3"/>
  <c r="D14857" i="3"/>
  <c r="C14857" i="3"/>
  <c r="B14857" i="3"/>
  <c r="D14856" i="3"/>
  <c r="C14856" i="3"/>
  <c r="B14856" i="3"/>
  <c r="D14855" i="3"/>
  <c r="C14855" i="3"/>
  <c r="B14855" i="3"/>
  <c r="D14854" i="3"/>
  <c r="C14854" i="3"/>
  <c r="B14854" i="3"/>
  <c r="D14853" i="3"/>
  <c r="C14853" i="3"/>
  <c r="B14853" i="3"/>
  <c r="D14852" i="3"/>
  <c r="C14852" i="3"/>
  <c r="B14852" i="3"/>
  <c r="D14851" i="3"/>
  <c r="C14851" i="3"/>
  <c r="B14851" i="3"/>
  <c r="D14850" i="3"/>
  <c r="C14850" i="3"/>
  <c r="B14850" i="3"/>
  <c r="D14849" i="3"/>
  <c r="C14849" i="3"/>
  <c r="B14849" i="3"/>
  <c r="D14848" i="3"/>
  <c r="C14848" i="3"/>
  <c r="B14848" i="3"/>
  <c r="D14847" i="3"/>
  <c r="C14847" i="3"/>
  <c r="B14847" i="3"/>
  <c r="D14846" i="3"/>
  <c r="C14846" i="3"/>
  <c r="B14846" i="3"/>
  <c r="D14845" i="3"/>
  <c r="C14845" i="3"/>
  <c r="B14845" i="3"/>
  <c r="D14844" i="3"/>
  <c r="C14844" i="3"/>
  <c r="B14844" i="3"/>
  <c r="D14843" i="3"/>
  <c r="C14843" i="3"/>
  <c r="B14843" i="3"/>
  <c r="D14842" i="3"/>
  <c r="C14842" i="3"/>
  <c r="B14842" i="3"/>
  <c r="D14841" i="3"/>
  <c r="C14841" i="3"/>
  <c r="B14841" i="3"/>
  <c r="D14840" i="3"/>
  <c r="C14840" i="3"/>
  <c r="B14840" i="3"/>
  <c r="D14839" i="3"/>
  <c r="C14839" i="3"/>
  <c r="B14839" i="3"/>
  <c r="D14838" i="3"/>
  <c r="C14838" i="3"/>
  <c r="B14838" i="3"/>
  <c r="D14837" i="3"/>
  <c r="C14837" i="3"/>
  <c r="B14837" i="3"/>
  <c r="D14836" i="3"/>
  <c r="C14836" i="3"/>
  <c r="B14836" i="3"/>
  <c r="D14835" i="3"/>
  <c r="C14835" i="3"/>
  <c r="B14835" i="3"/>
  <c r="D14834" i="3"/>
  <c r="C14834" i="3"/>
  <c r="B14834" i="3"/>
  <c r="D14833" i="3"/>
  <c r="C14833" i="3"/>
  <c r="B14833" i="3"/>
  <c r="D14832" i="3"/>
  <c r="C14832" i="3"/>
  <c r="B14832" i="3"/>
  <c r="D14831" i="3"/>
  <c r="C14831" i="3"/>
  <c r="B14831" i="3"/>
  <c r="D14830" i="3"/>
  <c r="C14830" i="3"/>
  <c r="B14830" i="3"/>
  <c r="D14829" i="3"/>
  <c r="C14829" i="3"/>
  <c r="B14829" i="3"/>
  <c r="D14828" i="3"/>
  <c r="C14828" i="3"/>
  <c r="B14828" i="3"/>
  <c r="D14827" i="3"/>
  <c r="C14827" i="3"/>
  <c r="B14827" i="3"/>
  <c r="D14826" i="3"/>
  <c r="C14826" i="3"/>
  <c r="B14826" i="3"/>
  <c r="D14825" i="3"/>
  <c r="C14825" i="3"/>
  <c r="B14825" i="3"/>
  <c r="D14824" i="3"/>
  <c r="C14824" i="3"/>
  <c r="B14824" i="3"/>
  <c r="D14823" i="3"/>
  <c r="C14823" i="3"/>
  <c r="B14823" i="3"/>
  <c r="D14822" i="3"/>
  <c r="C14822" i="3"/>
  <c r="B14822" i="3"/>
  <c r="D14821" i="3"/>
  <c r="C14821" i="3"/>
  <c r="B14821" i="3"/>
  <c r="D14820" i="3"/>
  <c r="C14820" i="3"/>
  <c r="B14820" i="3"/>
  <c r="D14819" i="3"/>
  <c r="C14819" i="3"/>
  <c r="B14819" i="3"/>
  <c r="D14818" i="3"/>
  <c r="C14818" i="3"/>
  <c r="B14818" i="3"/>
  <c r="D14817" i="3"/>
  <c r="C14817" i="3"/>
  <c r="B14817" i="3"/>
  <c r="D14816" i="3"/>
  <c r="C14816" i="3"/>
  <c r="B14816" i="3"/>
  <c r="D14815" i="3"/>
  <c r="C14815" i="3"/>
  <c r="B14815" i="3"/>
  <c r="D14814" i="3"/>
  <c r="C14814" i="3"/>
  <c r="B14814" i="3"/>
  <c r="D14813" i="3"/>
  <c r="C14813" i="3"/>
  <c r="B14813" i="3"/>
  <c r="D14812" i="3"/>
  <c r="C14812" i="3"/>
  <c r="B14812" i="3"/>
  <c r="D14811" i="3"/>
  <c r="C14811" i="3"/>
  <c r="B14811" i="3"/>
  <c r="D14810" i="3"/>
  <c r="C14810" i="3"/>
  <c r="B14810" i="3"/>
  <c r="D14809" i="3"/>
  <c r="C14809" i="3"/>
  <c r="B14809" i="3"/>
  <c r="D14808" i="3"/>
  <c r="C14808" i="3"/>
  <c r="B14808" i="3"/>
  <c r="D14807" i="3"/>
  <c r="C14807" i="3"/>
  <c r="B14807" i="3"/>
  <c r="D14806" i="3"/>
  <c r="C14806" i="3"/>
  <c r="B14806" i="3"/>
  <c r="D14805" i="3"/>
  <c r="C14805" i="3"/>
  <c r="B14805" i="3"/>
  <c r="D14804" i="3"/>
  <c r="C14804" i="3"/>
  <c r="B14804" i="3"/>
  <c r="D14803" i="3"/>
  <c r="C14803" i="3"/>
  <c r="B14803" i="3"/>
  <c r="D14802" i="3"/>
  <c r="C14802" i="3"/>
  <c r="B14802" i="3"/>
  <c r="D14801" i="3"/>
  <c r="C14801" i="3"/>
  <c r="B14801" i="3"/>
  <c r="D14800" i="3"/>
  <c r="C14800" i="3"/>
  <c r="B14800" i="3"/>
  <c r="D14799" i="3"/>
  <c r="C14799" i="3"/>
  <c r="B14799" i="3"/>
  <c r="D14798" i="3"/>
  <c r="C14798" i="3"/>
  <c r="B14798" i="3"/>
  <c r="D14797" i="3"/>
  <c r="C14797" i="3"/>
  <c r="B14797" i="3"/>
  <c r="D14796" i="3"/>
  <c r="C14796" i="3"/>
  <c r="B14796" i="3"/>
  <c r="D14795" i="3"/>
  <c r="C14795" i="3"/>
  <c r="B14795" i="3"/>
  <c r="D14794" i="3"/>
  <c r="C14794" i="3"/>
  <c r="B14794" i="3"/>
  <c r="D14793" i="3"/>
  <c r="C14793" i="3"/>
  <c r="B14793" i="3"/>
  <c r="D14792" i="3"/>
  <c r="C14792" i="3"/>
  <c r="B14792" i="3"/>
  <c r="D14791" i="3"/>
  <c r="C14791" i="3"/>
  <c r="B14791" i="3"/>
  <c r="D14790" i="3"/>
  <c r="C14790" i="3"/>
  <c r="B14790" i="3"/>
  <c r="D14789" i="3"/>
  <c r="C14789" i="3"/>
  <c r="B14789" i="3"/>
  <c r="D14788" i="3"/>
  <c r="C14788" i="3"/>
  <c r="B14788" i="3"/>
  <c r="D14787" i="3"/>
  <c r="C14787" i="3"/>
  <c r="B14787" i="3"/>
  <c r="D14786" i="3"/>
  <c r="C14786" i="3"/>
  <c r="B14786" i="3"/>
  <c r="D14785" i="3"/>
  <c r="C14785" i="3"/>
  <c r="B14785" i="3"/>
  <c r="D14784" i="3"/>
  <c r="C14784" i="3"/>
  <c r="B14784" i="3"/>
  <c r="D14783" i="3"/>
  <c r="C14783" i="3"/>
  <c r="B14783" i="3"/>
  <c r="D14782" i="3"/>
  <c r="C14782" i="3"/>
  <c r="B14782" i="3"/>
  <c r="D14781" i="3"/>
  <c r="C14781" i="3"/>
  <c r="B14781" i="3"/>
  <c r="D14780" i="3"/>
  <c r="C14780" i="3"/>
  <c r="B14780" i="3"/>
  <c r="D14779" i="3"/>
  <c r="C14779" i="3"/>
  <c r="B14779" i="3"/>
  <c r="D14778" i="3"/>
  <c r="C14778" i="3"/>
  <c r="B14778" i="3"/>
  <c r="D14777" i="3"/>
  <c r="C14777" i="3"/>
  <c r="B14777" i="3"/>
  <c r="D14776" i="3"/>
  <c r="C14776" i="3"/>
  <c r="B14776" i="3"/>
  <c r="D14775" i="3"/>
  <c r="C14775" i="3"/>
  <c r="B14775" i="3"/>
  <c r="D14774" i="3"/>
  <c r="C14774" i="3"/>
  <c r="B14774" i="3"/>
  <c r="D14773" i="3"/>
  <c r="C14773" i="3"/>
  <c r="B14773" i="3"/>
  <c r="D14772" i="3"/>
  <c r="C14772" i="3"/>
  <c r="B14772" i="3"/>
  <c r="D14771" i="3"/>
  <c r="C14771" i="3"/>
  <c r="B14771" i="3"/>
  <c r="D14770" i="3"/>
  <c r="C14770" i="3"/>
  <c r="B14770" i="3"/>
  <c r="D14769" i="3"/>
  <c r="C14769" i="3"/>
  <c r="B14769" i="3"/>
  <c r="D14768" i="3"/>
  <c r="C14768" i="3"/>
  <c r="B14768" i="3"/>
  <c r="D14767" i="3"/>
  <c r="C14767" i="3"/>
  <c r="B14767" i="3"/>
  <c r="D14766" i="3"/>
  <c r="C14766" i="3"/>
  <c r="B14766" i="3"/>
  <c r="D14765" i="3"/>
  <c r="C14765" i="3"/>
  <c r="B14765" i="3"/>
  <c r="D14764" i="3"/>
  <c r="C14764" i="3"/>
  <c r="B14764" i="3"/>
  <c r="D14763" i="3"/>
  <c r="C14763" i="3"/>
  <c r="B14763" i="3"/>
  <c r="D14762" i="3"/>
  <c r="C14762" i="3"/>
  <c r="B14762" i="3"/>
  <c r="D14761" i="3"/>
  <c r="C14761" i="3"/>
  <c r="B14761" i="3"/>
  <c r="D14760" i="3"/>
  <c r="C14760" i="3"/>
  <c r="B14760" i="3"/>
  <c r="D14759" i="3"/>
  <c r="C14759" i="3"/>
  <c r="B14759" i="3"/>
  <c r="D14758" i="3"/>
  <c r="C14758" i="3"/>
  <c r="B14758" i="3"/>
  <c r="D14757" i="3"/>
  <c r="C14757" i="3"/>
  <c r="B14757" i="3"/>
  <c r="D14756" i="3"/>
  <c r="C14756" i="3"/>
  <c r="B14756" i="3"/>
  <c r="D14755" i="3"/>
  <c r="C14755" i="3"/>
  <c r="B14755" i="3"/>
  <c r="D14754" i="3"/>
  <c r="C14754" i="3"/>
  <c r="B14754" i="3"/>
  <c r="D14753" i="3"/>
  <c r="C14753" i="3"/>
  <c r="B14753" i="3"/>
  <c r="D14752" i="3"/>
  <c r="C14752" i="3"/>
  <c r="B14752" i="3"/>
  <c r="D14751" i="3"/>
  <c r="C14751" i="3"/>
  <c r="B14751" i="3"/>
  <c r="D14750" i="3"/>
  <c r="C14750" i="3"/>
  <c r="B14750" i="3"/>
  <c r="D14749" i="3"/>
  <c r="C14749" i="3"/>
  <c r="B14749" i="3"/>
  <c r="D14748" i="3"/>
  <c r="C14748" i="3"/>
  <c r="B14748" i="3"/>
  <c r="D14747" i="3"/>
  <c r="C14747" i="3"/>
  <c r="B14747" i="3"/>
  <c r="D14746" i="3"/>
  <c r="C14746" i="3"/>
  <c r="B14746" i="3"/>
  <c r="D14745" i="3"/>
  <c r="C14745" i="3"/>
  <c r="B14745" i="3"/>
  <c r="D14744" i="3"/>
  <c r="C14744" i="3"/>
  <c r="B14744" i="3"/>
  <c r="D14743" i="3"/>
  <c r="C14743" i="3"/>
  <c r="B14743" i="3"/>
  <c r="D14742" i="3"/>
  <c r="C14742" i="3"/>
  <c r="B14742" i="3"/>
  <c r="D14741" i="3"/>
  <c r="C14741" i="3"/>
  <c r="B14741" i="3"/>
  <c r="D14740" i="3"/>
  <c r="C14740" i="3"/>
  <c r="B14740" i="3"/>
  <c r="D14739" i="3"/>
  <c r="C14739" i="3"/>
  <c r="B14739" i="3"/>
  <c r="D14738" i="3"/>
  <c r="C14738" i="3"/>
  <c r="B14738" i="3"/>
  <c r="D14737" i="3"/>
  <c r="C14737" i="3"/>
  <c r="B14737" i="3"/>
  <c r="D14736" i="3"/>
  <c r="C14736" i="3"/>
  <c r="B14736" i="3"/>
  <c r="D14735" i="3"/>
  <c r="C14735" i="3"/>
  <c r="B14735" i="3"/>
  <c r="D14734" i="3"/>
  <c r="C14734" i="3"/>
  <c r="B14734" i="3"/>
  <c r="D14733" i="3"/>
  <c r="C14733" i="3"/>
  <c r="B14733" i="3"/>
  <c r="D14732" i="3"/>
  <c r="C14732" i="3"/>
  <c r="B14732" i="3"/>
  <c r="D14731" i="3"/>
  <c r="C14731" i="3"/>
  <c r="B14731" i="3"/>
  <c r="D14730" i="3"/>
  <c r="C14730" i="3"/>
  <c r="B14730" i="3"/>
  <c r="D14729" i="3"/>
  <c r="C14729" i="3"/>
  <c r="B14729" i="3"/>
  <c r="D14728" i="3"/>
  <c r="C14728" i="3"/>
  <c r="B14728" i="3"/>
  <c r="D14727" i="3"/>
  <c r="C14727" i="3"/>
  <c r="B14727" i="3"/>
  <c r="D14726" i="3"/>
  <c r="C14726" i="3"/>
  <c r="B14726" i="3"/>
  <c r="D14725" i="3"/>
  <c r="C14725" i="3"/>
  <c r="B14725" i="3"/>
  <c r="D14724" i="3"/>
  <c r="C14724" i="3"/>
  <c r="B14724" i="3"/>
  <c r="D14723" i="3"/>
  <c r="C14723" i="3"/>
  <c r="B14723" i="3"/>
  <c r="D14722" i="3"/>
  <c r="C14722" i="3"/>
  <c r="B14722" i="3"/>
  <c r="D14721" i="3"/>
  <c r="C14721" i="3"/>
  <c r="B14721" i="3"/>
  <c r="D14720" i="3"/>
  <c r="C14720" i="3"/>
  <c r="B14720" i="3"/>
  <c r="D14719" i="3"/>
  <c r="C14719" i="3"/>
  <c r="B14719" i="3"/>
  <c r="D14718" i="3"/>
  <c r="C14718" i="3"/>
  <c r="B14718" i="3"/>
  <c r="D14717" i="3"/>
  <c r="C14717" i="3"/>
  <c r="B14717" i="3"/>
  <c r="D14716" i="3"/>
  <c r="C14716" i="3"/>
  <c r="B14716" i="3"/>
  <c r="D14715" i="3"/>
  <c r="C14715" i="3"/>
  <c r="B14715" i="3"/>
  <c r="D14714" i="3"/>
  <c r="C14714" i="3"/>
  <c r="B14714" i="3"/>
  <c r="D14713" i="3"/>
  <c r="C14713" i="3"/>
  <c r="B14713" i="3"/>
  <c r="D14712" i="3"/>
  <c r="C14712" i="3"/>
  <c r="B14712" i="3"/>
  <c r="D14711" i="3"/>
  <c r="C14711" i="3"/>
  <c r="B14711" i="3"/>
  <c r="D14710" i="3"/>
  <c r="C14710" i="3"/>
  <c r="B14710" i="3"/>
  <c r="D14709" i="3"/>
  <c r="C14709" i="3"/>
  <c r="B14709" i="3"/>
  <c r="D14708" i="3"/>
  <c r="C14708" i="3"/>
  <c r="B14708" i="3"/>
  <c r="D14707" i="3"/>
  <c r="C14707" i="3"/>
  <c r="B14707" i="3"/>
  <c r="D14706" i="3"/>
  <c r="C14706" i="3"/>
  <c r="B14706" i="3"/>
  <c r="D14705" i="3"/>
  <c r="C14705" i="3"/>
  <c r="B14705" i="3"/>
  <c r="D14704" i="3"/>
  <c r="C14704" i="3"/>
  <c r="B14704" i="3"/>
  <c r="D14703" i="3"/>
  <c r="C14703" i="3"/>
  <c r="B14703" i="3"/>
  <c r="D14702" i="3"/>
  <c r="C14702" i="3"/>
  <c r="B14702" i="3"/>
  <c r="D14701" i="3"/>
  <c r="C14701" i="3"/>
  <c r="B14701" i="3"/>
  <c r="D14700" i="3"/>
  <c r="C14700" i="3"/>
  <c r="B14700" i="3"/>
  <c r="D14699" i="3"/>
  <c r="C14699" i="3"/>
  <c r="B14699" i="3"/>
  <c r="D14698" i="3"/>
  <c r="C14698" i="3"/>
  <c r="B14698" i="3"/>
  <c r="D14697" i="3"/>
  <c r="C14697" i="3"/>
  <c r="B14697" i="3"/>
  <c r="D14696" i="3"/>
  <c r="C14696" i="3"/>
  <c r="B14696" i="3"/>
  <c r="D14695" i="3"/>
  <c r="C14695" i="3"/>
  <c r="B14695" i="3"/>
  <c r="D14694" i="3"/>
  <c r="C14694" i="3"/>
  <c r="B14694" i="3"/>
  <c r="D14693" i="3"/>
  <c r="C14693" i="3"/>
  <c r="B14693" i="3"/>
  <c r="D14692" i="3"/>
  <c r="C14692" i="3"/>
  <c r="B14692" i="3"/>
  <c r="D14691" i="3"/>
  <c r="C14691" i="3"/>
  <c r="B14691" i="3"/>
  <c r="D14690" i="3"/>
  <c r="C14690" i="3"/>
  <c r="B14690" i="3"/>
  <c r="D14689" i="3"/>
  <c r="C14689" i="3"/>
  <c r="B14689" i="3"/>
  <c r="D14688" i="3"/>
  <c r="C14688" i="3"/>
  <c r="B14688" i="3"/>
  <c r="D14687" i="3"/>
  <c r="C14687" i="3"/>
  <c r="B14687" i="3"/>
  <c r="D14686" i="3"/>
  <c r="C14686" i="3"/>
  <c r="B14686" i="3"/>
  <c r="D14685" i="3"/>
  <c r="C14685" i="3"/>
  <c r="B14685" i="3"/>
  <c r="D14684" i="3"/>
  <c r="C14684" i="3"/>
  <c r="B14684" i="3"/>
  <c r="D14683" i="3"/>
  <c r="C14683" i="3"/>
  <c r="B14683" i="3"/>
  <c r="D14682" i="3"/>
  <c r="C14682" i="3"/>
  <c r="B14682" i="3"/>
  <c r="D14681" i="3"/>
  <c r="C14681" i="3"/>
  <c r="B14681" i="3"/>
  <c r="D14680" i="3"/>
  <c r="C14680" i="3"/>
  <c r="B14680" i="3"/>
  <c r="D14679" i="3"/>
  <c r="C14679" i="3"/>
  <c r="B14679" i="3"/>
  <c r="D14678" i="3"/>
  <c r="C14678" i="3"/>
  <c r="B14678" i="3"/>
  <c r="D14677" i="3"/>
  <c r="C14677" i="3"/>
  <c r="B14677" i="3"/>
  <c r="D14676" i="3"/>
  <c r="C14676" i="3"/>
  <c r="B14676" i="3"/>
  <c r="D14675" i="3"/>
  <c r="C14675" i="3"/>
  <c r="B14675" i="3"/>
  <c r="D14674" i="3"/>
  <c r="C14674" i="3"/>
  <c r="B14674" i="3"/>
  <c r="D14673" i="3"/>
  <c r="C14673" i="3"/>
  <c r="B14673" i="3"/>
  <c r="D14672" i="3"/>
  <c r="C14672" i="3"/>
  <c r="B14672" i="3"/>
  <c r="D14671" i="3"/>
  <c r="C14671" i="3"/>
  <c r="B14671" i="3"/>
  <c r="D14670" i="3"/>
  <c r="C14670" i="3"/>
  <c r="B14670" i="3"/>
  <c r="D14669" i="3"/>
  <c r="C14669" i="3"/>
  <c r="B14669" i="3"/>
  <c r="D14668" i="3"/>
  <c r="C14668" i="3"/>
  <c r="B14668" i="3"/>
  <c r="D14667" i="3"/>
  <c r="C14667" i="3"/>
  <c r="B14667" i="3"/>
  <c r="D14666" i="3"/>
  <c r="C14666" i="3"/>
  <c r="B14666" i="3"/>
  <c r="D14665" i="3"/>
  <c r="C14665" i="3"/>
  <c r="B14665" i="3"/>
  <c r="D14664" i="3"/>
  <c r="C14664" i="3"/>
  <c r="B14664" i="3"/>
  <c r="D14663" i="3"/>
  <c r="C14663" i="3"/>
  <c r="B14663" i="3"/>
  <c r="D14662" i="3"/>
  <c r="C14662" i="3"/>
  <c r="B14662" i="3"/>
  <c r="D14661" i="3"/>
  <c r="C14661" i="3"/>
  <c r="B14661" i="3"/>
  <c r="D14660" i="3"/>
  <c r="C14660" i="3"/>
  <c r="B14660" i="3"/>
  <c r="D14659" i="3"/>
  <c r="C14659" i="3"/>
  <c r="B14659" i="3"/>
  <c r="D14658" i="3"/>
  <c r="C14658" i="3"/>
  <c r="B14658" i="3"/>
  <c r="D14657" i="3"/>
  <c r="C14657" i="3"/>
  <c r="B14657" i="3"/>
  <c r="D14656" i="3"/>
  <c r="C14656" i="3"/>
  <c r="B14656" i="3"/>
  <c r="D14655" i="3"/>
  <c r="C14655" i="3"/>
  <c r="B14655" i="3"/>
  <c r="D14654" i="3"/>
  <c r="C14654" i="3"/>
  <c r="B14654" i="3"/>
  <c r="D14653" i="3"/>
  <c r="C14653" i="3"/>
  <c r="B14653" i="3"/>
  <c r="D14652" i="3"/>
  <c r="C14652" i="3"/>
  <c r="B14652" i="3"/>
  <c r="D14651" i="3"/>
  <c r="C14651" i="3"/>
  <c r="B14651" i="3"/>
  <c r="D14650" i="3"/>
  <c r="C14650" i="3"/>
  <c r="B14650" i="3"/>
  <c r="D14649" i="3"/>
  <c r="C14649" i="3"/>
  <c r="B14649" i="3"/>
  <c r="D14648" i="3"/>
  <c r="C14648" i="3"/>
  <c r="B14648" i="3"/>
  <c r="D14647" i="3"/>
  <c r="C14647" i="3"/>
  <c r="B14647" i="3"/>
  <c r="D14646" i="3"/>
  <c r="C14646" i="3"/>
  <c r="B14646" i="3"/>
  <c r="D14645" i="3"/>
  <c r="C14645" i="3"/>
  <c r="B14645" i="3"/>
  <c r="D14644" i="3"/>
  <c r="C14644" i="3"/>
  <c r="B14644" i="3"/>
  <c r="D14643" i="3"/>
  <c r="C14643" i="3"/>
  <c r="B14643" i="3"/>
  <c r="D14642" i="3"/>
  <c r="C14642" i="3"/>
  <c r="B14642" i="3"/>
  <c r="D14641" i="3"/>
  <c r="C14641" i="3"/>
  <c r="B14641" i="3"/>
  <c r="D14640" i="3"/>
  <c r="C14640" i="3"/>
  <c r="B14640" i="3"/>
  <c r="D14639" i="3"/>
  <c r="C14639" i="3"/>
  <c r="B14639" i="3"/>
  <c r="D14638" i="3"/>
  <c r="C14638" i="3"/>
  <c r="B14638" i="3"/>
  <c r="D14637" i="3"/>
  <c r="C14637" i="3"/>
  <c r="B14637" i="3"/>
  <c r="D14636" i="3"/>
  <c r="C14636" i="3"/>
  <c r="B14636" i="3"/>
  <c r="D14635" i="3"/>
  <c r="C14635" i="3"/>
  <c r="B14635" i="3"/>
  <c r="D14634" i="3"/>
  <c r="C14634" i="3"/>
  <c r="B14634" i="3"/>
  <c r="D14633" i="3"/>
  <c r="C14633" i="3"/>
  <c r="B14633" i="3"/>
  <c r="D14632" i="3"/>
  <c r="C14632" i="3"/>
  <c r="B14632" i="3"/>
  <c r="D14631" i="3"/>
  <c r="C14631" i="3"/>
  <c r="B14631" i="3"/>
  <c r="D14630" i="3"/>
  <c r="C14630" i="3"/>
  <c r="B14630" i="3"/>
  <c r="D14629" i="3"/>
  <c r="C14629" i="3"/>
  <c r="B14629" i="3"/>
  <c r="D14628" i="3"/>
  <c r="C14628" i="3"/>
  <c r="B14628" i="3"/>
  <c r="D14627" i="3"/>
  <c r="C14627" i="3"/>
  <c r="B14627" i="3"/>
  <c r="D14626" i="3"/>
  <c r="C14626" i="3"/>
  <c r="B14626" i="3"/>
  <c r="D14625" i="3"/>
  <c r="C14625" i="3"/>
  <c r="B14625" i="3"/>
  <c r="D14624" i="3"/>
  <c r="C14624" i="3"/>
  <c r="B14624" i="3"/>
  <c r="D14623" i="3"/>
  <c r="C14623" i="3"/>
  <c r="B14623" i="3"/>
  <c r="D14622" i="3"/>
  <c r="C14622" i="3"/>
  <c r="B14622" i="3"/>
  <c r="D14621" i="3"/>
  <c r="C14621" i="3"/>
  <c r="B14621" i="3"/>
  <c r="D14620" i="3"/>
  <c r="C14620" i="3"/>
  <c r="B14620" i="3"/>
  <c r="D14619" i="3"/>
  <c r="C14619" i="3"/>
  <c r="B14619" i="3"/>
  <c r="D14618" i="3"/>
  <c r="C14618" i="3"/>
  <c r="B14618" i="3"/>
  <c r="D14617" i="3"/>
  <c r="C14617" i="3"/>
  <c r="B14617" i="3"/>
  <c r="D14616" i="3"/>
  <c r="C14616" i="3"/>
  <c r="B14616" i="3"/>
  <c r="D14615" i="3"/>
  <c r="C14615" i="3"/>
  <c r="B14615" i="3"/>
  <c r="D14614" i="3"/>
  <c r="C14614" i="3"/>
  <c r="B14614" i="3"/>
  <c r="D14613" i="3"/>
  <c r="C14613" i="3"/>
  <c r="B14613" i="3"/>
  <c r="D14612" i="3"/>
  <c r="C14612" i="3"/>
  <c r="B14612" i="3"/>
  <c r="D14611" i="3"/>
  <c r="C14611" i="3"/>
  <c r="B14611" i="3"/>
  <c r="D14610" i="3"/>
  <c r="C14610" i="3"/>
  <c r="B14610" i="3"/>
  <c r="D14609" i="3"/>
  <c r="C14609" i="3"/>
  <c r="B14609" i="3"/>
  <c r="D14608" i="3"/>
  <c r="C14608" i="3"/>
  <c r="B14608" i="3"/>
  <c r="D14607" i="3"/>
  <c r="C14607" i="3"/>
  <c r="B14607" i="3"/>
  <c r="D14606" i="3"/>
  <c r="C14606" i="3"/>
  <c r="B14606" i="3"/>
  <c r="D14605" i="3"/>
  <c r="C14605" i="3"/>
  <c r="B14605" i="3"/>
  <c r="D14604" i="3"/>
  <c r="C14604" i="3"/>
  <c r="B14604" i="3"/>
  <c r="D14603" i="3"/>
  <c r="C14603" i="3"/>
  <c r="B14603" i="3"/>
  <c r="D14602" i="3"/>
  <c r="C14602" i="3"/>
  <c r="B14602" i="3"/>
  <c r="D14601" i="3"/>
  <c r="C14601" i="3"/>
  <c r="B14601" i="3"/>
  <c r="D14600" i="3"/>
  <c r="C14600" i="3"/>
  <c r="B14600" i="3"/>
  <c r="D14599" i="3"/>
  <c r="C14599" i="3"/>
  <c r="B14599" i="3"/>
  <c r="D14598" i="3"/>
  <c r="C14598" i="3"/>
  <c r="B14598" i="3"/>
  <c r="D14597" i="3"/>
  <c r="C14597" i="3"/>
  <c r="B14597" i="3"/>
  <c r="D14596" i="3"/>
  <c r="C14596" i="3"/>
  <c r="B14596" i="3"/>
  <c r="D14595" i="3"/>
  <c r="C14595" i="3"/>
  <c r="B14595" i="3"/>
  <c r="D14594" i="3"/>
  <c r="C14594" i="3"/>
  <c r="B14594" i="3"/>
  <c r="D14593" i="3"/>
  <c r="C14593" i="3"/>
  <c r="B14593" i="3"/>
  <c r="D14592" i="3"/>
  <c r="C14592" i="3"/>
  <c r="B14592" i="3"/>
  <c r="D14591" i="3"/>
  <c r="C14591" i="3"/>
  <c r="B14591" i="3"/>
  <c r="D14590" i="3"/>
  <c r="C14590" i="3"/>
  <c r="B14590" i="3"/>
  <c r="D14589" i="3"/>
  <c r="C14589" i="3"/>
  <c r="B14589" i="3"/>
  <c r="D14588" i="3"/>
  <c r="C14588" i="3"/>
  <c r="B14588" i="3"/>
  <c r="D14587" i="3"/>
  <c r="C14587" i="3"/>
  <c r="B14587" i="3"/>
  <c r="D14586" i="3"/>
  <c r="C14586" i="3"/>
  <c r="B14586" i="3"/>
  <c r="D14585" i="3"/>
  <c r="C14585" i="3"/>
  <c r="B14585" i="3"/>
  <c r="D14584" i="3"/>
  <c r="C14584" i="3"/>
  <c r="B14584" i="3"/>
  <c r="D14583" i="3"/>
  <c r="C14583" i="3"/>
  <c r="B14583" i="3"/>
  <c r="D14582" i="3"/>
  <c r="C14582" i="3"/>
  <c r="B14582" i="3"/>
  <c r="D14581" i="3"/>
  <c r="C14581" i="3"/>
  <c r="B14581" i="3"/>
  <c r="D14580" i="3"/>
  <c r="C14580" i="3"/>
  <c r="B14580" i="3"/>
  <c r="D14579" i="3"/>
  <c r="C14579" i="3"/>
  <c r="B14579" i="3"/>
  <c r="D14578" i="3"/>
  <c r="C14578" i="3"/>
  <c r="B14578" i="3"/>
  <c r="D14577" i="3"/>
  <c r="C14577" i="3"/>
  <c r="B14577" i="3"/>
  <c r="D14576" i="3"/>
  <c r="C14576" i="3"/>
  <c r="B14576" i="3"/>
  <c r="D14575" i="3"/>
  <c r="C14575" i="3"/>
  <c r="B14575" i="3"/>
  <c r="D14574" i="3"/>
  <c r="C14574" i="3"/>
  <c r="B14574" i="3"/>
  <c r="D14573" i="3"/>
  <c r="C14573" i="3"/>
  <c r="B14573" i="3"/>
  <c r="D14572" i="3"/>
  <c r="C14572" i="3"/>
  <c r="B14572" i="3"/>
  <c r="D14571" i="3"/>
  <c r="C14571" i="3"/>
  <c r="B14571" i="3"/>
  <c r="D14570" i="3"/>
  <c r="C14570" i="3"/>
  <c r="B14570" i="3"/>
  <c r="D14569" i="3"/>
  <c r="C14569" i="3"/>
  <c r="B14569" i="3"/>
  <c r="D14568" i="3"/>
  <c r="C14568" i="3"/>
  <c r="B14568" i="3"/>
  <c r="D14567" i="3"/>
  <c r="C14567" i="3"/>
  <c r="B14567" i="3"/>
  <c r="D14566" i="3"/>
  <c r="C14566" i="3"/>
  <c r="B14566" i="3"/>
  <c r="D14565" i="3"/>
  <c r="C14565" i="3"/>
  <c r="B14565" i="3"/>
  <c r="D14564" i="3"/>
  <c r="C14564" i="3"/>
  <c r="B14564" i="3"/>
  <c r="D14563" i="3"/>
  <c r="C14563" i="3"/>
  <c r="B14563" i="3"/>
  <c r="D14562" i="3"/>
  <c r="C14562" i="3"/>
  <c r="B14562" i="3"/>
  <c r="D14561" i="3"/>
  <c r="C14561" i="3"/>
  <c r="B14561" i="3"/>
  <c r="D14560" i="3"/>
  <c r="C14560" i="3"/>
  <c r="B14560" i="3"/>
  <c r="D14559" i="3"/>
  <c r="C14559" i="3"/>
  <c r="B14559" i="3"/>
  <c r="D14558" i="3"/>
  <c r="C14558" i="3"/>
  <c r="B14558" i="3"/>
  <c r="D14557" i="3"/>
  <c r="C14557" i="3"/>
  <c r="B14557" i="3"/>
  <c r="D14556" i="3"/>
  <c r="C14556" i="3"/>
  <c r="B14556" i="3"/>
  <c r="D14555" i="3"/>
  <c r="C14555" i="3"/>
  <c r="B14555" i="3"/>
  <c r="D14554" i="3"/>
  <c r="C14554" i="3"/>
  <c r="B14554" i="3"/>
  <c r="D14553" i="3"/>
  <c r="C14553" i="3"/>
  <c r="B14553" i="3"/>
  <c r="D14552" i="3"/>
  <c r="C14552" i="3"/>
  <c r="B14552" i="3"/>
  <c r="D14551" i="3"/>
  <c r="C14551" i="3"/>
  <c r="B14551" i="3"/>
  <c r="D14550" i="3"/>
  <c r="C14550" i="3"/>
  <c r="B14550" i="3"/>
  <c r="D14549" i="3"/>
  <c r="C14549" i="3"/>
  <c r="B14549" i="3"/>
  <c r="D14548" i="3"/>
  <c r="C14548" i="3"/>
  <c r="B14548" i="3"/>
  <c r="D14547" i="3"/>
  <c r="C14547" i="3"/>
  <c r="B14547" i="3"/>
  <c r="D14546" i="3"/>
  <c r="C14546" i="3"/>
  <c r="B14546" i="3"/>
  <c r="D14545" i="3"/>
  <c r="C14545" i="3"/>
  <c r="B14545" i="3"/>
  <c r="D14544" i="3"/>
  <c r="C14544" i="3"/>
  <c r="B14544" i="3"/>
  <c r="D14543" i="3"/>
  <c r="C14543" i="3"/>
  <c r="B14543" i="3"/>
  <c r="D14542" i="3"/>
  <c r="C14542" i="3"/>
  <c r="B14542" i="3"/>
  <c r="D14541" i="3"/>
  <c r="C14541" i="3"/>
  <c r="B14541" i="3"/>
  <c r="D14540" i="3"/>
  <c r="C14540" i="3"/>
  <c r="B14540" i="3"/>
  <c r="D14539" i="3"/>
  <c r="C14539" i="3"/>
  <c r="B14539" i="3"/>
  <c r="D14538" i="3"/>
  <c r="C14538" i="3"/>
  <c r="B14538" i="3"/>
  <c r="D14537" i="3"/>
  <c r="C14537" i="3"/>
  <c r="B14537" i="3"/>
  <c r="D14536" i="3"/>
  <c r="C14536" i="3"/>
  <c r="B14536" i="3"/>
  <c r="D14535" i="3"/>
  <c r="C14535" i="3"/>
  <c r="B14535" i="3"/>
  <c r="D14534" i="3"/>
  <c r="C14534" i="3"/>
  <c r="B14534" i="3"/>
  <c r="D14533" i="3"/>
  <c r="C14533" i="3"/>
  <c r="B14533" i="3"/>
  <c r="D14532" i="3"/>
  <c r="C14532" i="3"/>
  <c r="B14532" i="3"/>
  <c r="D14531" i="3"/>
  <c r="C14531" i="3"/>
  <c r="B14531" i="3"/>
  <c r="D14530" i="3"/>
  <c r="C14530" i="3"/>
  <c r="B14530" i="3"/>
  <c r="D14529" i="3"/>
  <c r="C14529" i="3"/>
  <c r="B14529" i="3"/>
  <c r="D14528" i="3"/>
  <c r="C14528" i="3"/>
  <c r="B14528" i="3"/>
  <c r="D14527" i="3"/>
  <c r="C14527" i="3"/>
  <c r="B14527" i="3"/>
  <c r="D14526" i="3"/>
  <c r="C14526" i="3"/>
  <c r="B14526" i="3"/>
  <c r="D14525" i="3"/>
  <c r="C14525" i="3"/>
  <c r="B14525" i="3"/>
  <c r="D14524" i="3"/>
  <c r="C14524" i="3"/>
  <c r="B14524" i="3"/>
  <c r="D14523" i="3"/>
  <c r="C14523" i="3"/>
  <c r="B14523" i="3"/>
  <c r="D14522" i="3"/>
  <c r="C14522" i="3"/>
  <c r="B14522" i="3"/>
  <c r="D14521" i="3"/>
  <c r="C14521" i="3"/>
  <c r="B14521" i="3"/>
  <c r="D14520" i="3"/>
  <c r="C14520" i="3"/>
  <c r="B14520" i="3"/>
  <c r="D14519" i="3"/>
  <c r="C14519" i="3"/>
  <c r="B14519" i="3"/>
  <c r="D14518" i="3"/>
  <c r="C14518" i="3"/>
  <c r="B14518" i="3"/>
  <c r="D14517" i="3"/>
  <c r="C14517" i="3"/>
  <c r="B14517" i="3"/>
  <c r="D14516" i="3"/>
  <c r="C14516" i="3"/>
  <c r="B14516" i="3"/>
  <c r="D14515" i="3"/>
  <c r="C14515" i="3"/>
  <c r="B14515" i="3"/>
  <c r="D14514" i="3"/>
  <c r="C14514" i="3"/>
  <c r="B14514" i="3"/>
  <c r="D14513" i="3"/>
  <c r="C14513" i="3"/>
  <c r="B14513" i="3"/>
  <c r="D14512" i="3"/>
  <c r="C14512" i="3"/>
  <c r="B14512" i="3"/>
  <c r="D14511" i="3"/>
  <c r="C14511" i="3"/>
  <c r="B14511" i="3"/>
  <c r="D14510" i="3"/>
  <c r="C14510" i="3"/>
  <c r="B14510" i="3"/>
  <c r="D14509" i="3"/>
  <c r="C14509" i="3"/>
  <c r="B14509" i="3"/>
  <c r="D14508" i="3"/>
  <c r="C14508" i="3"/>
  <c r="B14508" i="3"/>
  <c r="D14507" i="3"/>
  <c r="C14507" i="3"/>
  <c r="B14507" i="3"/>
  <c r="D14506" i="3"/>
  <c r="C14506" i="3"/>
  <c r="B14506" i="3"/>
  <c r="D14505" i="3"/>
  <c r="C14505" i="3"/>
  <c r="B14505" i="3"/>
  <c r="D14504" i="3"/>
  <c r="C14504" i="3"/>
  <c r="B14504" i="3"/>
  <c r="D14503" i="3"/>
  <c r="C14503" i="3"/>
  <c r="B14503" i="3"/>
  <c r="D14502" i="3"/>
  <c r="C14502" i="3"/>
  <c r="B14502" i="3"/>
  <c r="D14501" i="3"/>
  <c r="C14501" i="3"/>
  <c r="B14501" i="3"/>
  <c r="D14500" i="3"/>
  <c r="C14500" i="3"/>
  <c r="B14500" i="3"/>
  <c r="D14499" i="3"/>
  <c r="C14499" i="3"/>
  <c r="B14499" i="3"/>
  <c r="D14498" i="3"/>
  <c r="C14498" i="3"/>
  <c r="B14498" i="3"/>
  <c r="D14497" i="3"/>
  <c r="C14497" i="3"/>
  <c r="B14497" i="3"/>
  <c r="D14496" i="3"/>
  <c r="C14496" i="3"/>
  <c r="B14496" i="3"/>
  <c r="D14495" i="3"/>
  <c r="C14495" i="3"/>
  <c r="B14495" i="3"/>
  <c r="D14494" i="3"/>
  <c r="C14494" i="3"/>
  <c r="B14494" i="3"/>
  <c r="D14493" i="3"/>
  <c r="C14493" i="3"/>
  <c r="B14493" i="3"/>
  <c r="D14492" i="3"/>
  <c r="C14492" i="3"/>
  <c r="B14492" i="3"/>
  <c r="D14491" i="3"/>
  <c r="C14491" i="3"/>
  <c r="B14491" i="3"/>
  <c r="D14490" i="3"/>
  <c r="C14490" i="3"/>
  <c r="B14490" i="3"/>
  <c r="D14489" i="3"/>
  <c r="C14489" i="3"/>
  <c r="B14489" i="3"/>
  <c r="D14488" i="3"/>
  <c r="C14488" i="3"/>
  <c r="B14488" i="3"/>
  <c r="D14487" i="3"/>
  <c r="C14487" i="3"/>
  <c r="B14487" i="3"/>
  <c r="D14486" i="3"/>
  <c r="C14486" i="3"/>
  <c r="B14486" i="3"/>
  <c r="D14485" i="3"/>
  <c r="C14485" i="3"/>
  <c r="B14485" i="3"/>
  <c r="D14484" i="3"/>
  <c r="C14484" i="3"/>
  <c r="B14484" i="3"/>
  <c r="D14483" i="3"/>
  <c r="C14483" i="3"/>
  <c r="B14483" i="3"/>
  <c r="D14482" i="3"/>
  <c r="C14482" i="3"/>
  <c r="B14482" i="3"/>
  <c r="D14481" i="3"/>
  <c r="C14481" i="3"/>
  <c r="B14481" i="3"/>
  <c r="D14480" i="3"/>
  <c r="C14480" i="3"/>
  <c r="B14480" i="3"/>
  <c r="D14479" i="3"/>
  <c r="C14479" i="3"/>
  <c r="B14479" i="3"/>
  <c r="D14478" i="3"/>
  <c r="C14478" i="3"/>
  <c r="B14478" i="3"/>
  <c r="D14477" i="3"/>
  <c r="C14477" i="3"/>
  <c r="B14477" i="3"/>
  <c r="D14476" i="3"/>
  <c r="C14476" i="3"/>
  <c r="B14476" i="3"/>
  <c r="D14475" i="3"/>
  <c r="C14475" i="3"/>
  <c r="B14475" i="3"/>
  <c r="D14474" i="3"/>
  <c r="C14474" i="3"/>
  <c r="B14474" i="3"/>
  <c r="D14473" i="3"/>
  <c r="C14473" i="3"/>
  <c r="B14473" i="3"/>
  <c r="D14472" i="3"/>
  <c r="C14472" i="3"/>
  <c r="B14472" i="3"/>
  <c r="D14471" i="3"/>
  <c r="C14471" i="3"/>
  <c r="B14471" i="3"/>
  <c r="D14470" i="3"/>
  <c r="C14470" i="3"/>
  <c r="B14470" i="3"/>
  <c r="D14469" i="3"/>
  <c r="C14469" i="3"/>
  <c r="B14469" i="3"/>
  <c r="D14468" i="3"/>
  <c r="C14468" i="3"/>
  <c r="B14468" i="3"/>
  <c r="D14467" i="3"/>
  <c r="C14467" i="3"/>
  <c r="B14467" i="3"/>
  <c r="D14466" i="3"/>
  <c r="C14466" i="3"/>
  <c r="B14466" i="3"/>
  <c r="D14465" i="3"/>
  <c r="C14465" i="3"/>
  <c r="B14465" i="3"/>
  <c r="D14464" i="3"/>
  <c r="C14464" i="3"/>
  <c r="B14464" i="3"/>
  <c r="D14463" i="3"/>
  <c r="C14463" i="3"/>
  <c r="B14463" i="3"/>
  <c r="D14462" i="3"/>
  <c r="C14462" i="3"/>
  <c r="B14462" i="3"/>
  <c r="D14461" i="3"/>
  <c r="C14461" i="3"/>
  <c r="B14461" i="3"/>
  <c r="D14460" i="3"/>
  <c r="C14460" i="3"/>
  <c r="B14460" i="3"/>
  <c r="D14459" i="3"/>
  <c r="C14459" i="3"/>
  <c r="B14459" i="3"/>
  <c r="D14458" i="3"/>
  <c r="C14458" i="3"/>
  <c r="B14458" i="3"/>
  <c r="D14457" i="3"/>
  <c r="C14457" i="3"/>
  <c r="B14457" i="3"/>
  <c r="D14456" i="3"/>
  <c r="C14456" i="3"/>
  <c r="B14456" i="3"/>
  <c r="D14455" i="3"/>
  <c r="C14455" i="3"/>
  <c r="B14455" i="3"/>
  <c r="D14454" i="3"/>
  <c r="C14454" i="3"/>
  <c r="B14454" i="3"/>
  <c r="D14453" i="3"/>
  <c r="C14453" i="3"/>
  <c r="B14453" i="3"/>
  <c r="D14452" i="3"/>
  <c r="C14452" i="3"/>
  <c r="B14452" i="3"/>
  <c r="D14451" i="3"/>
  <c r="C14451" i="3"/>
  <c r="B14451" i="3"/>
  <c r="D14450" i="3"/>
  <c r="C14450" i="3"/>
  <c r="B14450" i="3"/>
  <c r="D14449" i="3"/>
  <c r="C14449" i="3"/>
  <c r="B14449" i="3"/>
  <c r="D14448" i="3"/>
  <c r="C14448" i="3"/>
  <c r="B14448" i="3"/>
  <c r="D14447" i="3"/>
  <c r="C14447" i="3"/>
  <c r="B14447" i="3"/>
  <c r="D14446" i="3"/>
  <c r="C14446" i="3"/>
  <c r="B14446" i="3"/>
  <c r="D14445" i="3"/>
  <c r="C14445" i="3"/>
  <c r="B14445" i="3"/>
  <c r="D14444" i="3"/>
  <c r="C14444" i="3"/>
  <c r="B14444" i="3"/>
  <c r="D14443" i="3"/>
  <c r="C14443" i="3"/>
  <c r="B14443" i="3"/>
  <c r="D14442" i="3"/>
  <c r="C14442" i="3"/>
  <c r="B14442" i="3"/>
  <c r="D14441" i="3"/>
  <c r="C14441" i="3"/>
  <c r="B14441" i="3"/>
  <c r="D14440" i="3"/>
  <c r="C14440" i="3"/>
  <c r="B14440" i="3"/>
  <c r="D14439" i="3"/>
  <c r="C14439" i="3"/>
  <c r="B14439" i="3"/>
  <c r="D14438" i="3"/>
  <c r="C14438" i="3"/>
  <c r="B14438" i="3"/>
  <c r="D14437" i="3"/>
  <c r="C14437" i="3"/>
  <c r="B14437" i="3"/>
  <c r="D14436" i="3"/>
  <c r="C14436" i="3"/>
  <c r="B14436" i="3"/>
  <c r="D14435" i="3"/>
  <c r="C14435" i="3"/>
  <c r="B14435" i="3"/>
  <c r="D14434" i="3"/>
  <c r="C14434" i="3"/>
  <c r="B14434" i="3"/>
  <c r="D14433" i="3"/>
  <c r="C14433" i="3"/>
  <c r="B14433" i="3"/>
  <c r="D14432" i="3"/>
  <c r="C14432" i="3"/>
  <c r="B14432" i="3"/>
  <c r="D14431" i="3"/>
  <c r="C14431" i="3"/>
  <c r="B14431" i="3"/>
  <c r="D14430" i="3"/>
  <c r="C14430" i="3"/>
  <c r="B14430" i="3"/>
  <c r="D14429" i="3"/>
  <c r="C14429" i="3"/>
  <c r="B14429" i="3"/>
  <c r="D14428" i="3"/>
  <c r="C14428" i="3"/>
  <c r="B14428" i="3"/>
  <c r="D14427" i="3"/>
  <c r="C14427" i="3"/>
  <c r="B14427" i="3"/>
  <c r="D14426" i="3"/>
  <c r="C14426" i="3"/>
  <c r="B14426" i="3"/>
  <c r="D14425" i="3"/>
  <c r="C14425" i="3"/>
  <c r="B14425" i="3"/>
  <c r="D14424" i="3"/>
  <c r="C14424" i="3"/>
  <c r="B14424" i="3"/>
  <c r="D14423" i="3"/>
  <c r="C14423" i="3"/>
  <c r="B14423" i="3"/>
  <c r="D14422" i="3"/>
  <c r="C14422" i="3"/>
  <c r="B14422" i="3"/>
  <c r="D14421" i="3"/>
  <c r="C14421" i="3"/>
  <c r="B14421" i="3"/>
  <c r="D14420" i="3"/>
  <c r="C14420" i="3"/>
  <c r="B14420" i="3"/>
  <c r="D14419" i="3"/>
  <c r="C14419" i="3"/>
  <c r="B14419" i="3"/>
  <c r="D14418" i="3"/>
  <c r="C14418" i="3"/>
  <c r="B14418" i="3"/>
  <c r="D14417" i="3"/>
  <c r="C14417" i="3"/>
  <c r="B14417" i="3"/>
  <c r="D14416" i="3"/>
  <c r="C14416" i="3"/>
  <c r="B14416" i="3"/>
  <c r="D14415" i="3"/>
  <c r="C14415" i="3"/>
  <c r="B14415" i="3"/>
  <c r="D14414" i="3"/>
  <c r="C14414" i="3"/>
  <c r="B14414" i="3"/>
  <c r="D14413" i="3"/>
  <c r="C14413" i="3"/>
  <c r="B14413" i="3"/>
  <c r="D14412" i="3"/>
  <c r="C14412" i="3"/>
  <c r="B14412" i="3"/>
  <c r="D14411" i="3"/>
  <c r="C14411" i="3"/>
  <c r="B14411" i="3"/>
  <c r="D14410" i="3"/>
  <c r="C14410" i="3"/>
  <c r="B14410" i="3"/>
  <c r="D14409" i="3"/>
  <c r="C14409" i="3"/>
  <c r="B14409" i="3"/>
  <c r="D14408" i="3"/>
  <c r="C14408" i="3"/>
  <c r="B14408" i="3"/>
  <c r="D14407" i="3"/>
  <c r="C14407" i="3"/>
  <c r="B14407" i="3"/>
  <c r="D14406" i="3"/>
  <c r="C14406" i="3"/>
  <c r="B14406" i="3"/>
  <c r="D14405" i="3"/>
  <c r="C14405" i="3"/>
  <c r="B14405" i="3"/>
  <c r="D14404" i="3"/>
  <c r="C14404" i="3"/>
  <c r="B14404" i="3"/>
  <c r="D14403" i="3"/>
  <c r="C14403" i="3"/>
  <c r="B14403" i="3"/>
  <c r="D14402" i="3"/>
  <c r="C14402" i="3"/>
  <c r="B14402" i="3"/>
  <c r="D14401" i="3"/>
  <c r="C14401" i="3"/>
  <c r="B14401" i="3"/>
  <c r="D14400" i="3"/>
  <c r="C14400" i="3"/>
  <c r="B14400" i="3"/>
  <c r="D14399" i="3"/>
  <c r="C14399" i="3"/>
  <c r="B14399" i="3"/>
  <c r="D14398" i="3"/>
  <c r="C14398" i="3"/>
  <c r="B14398" i="3"/>
  <c r="D14397" i="3"/>
  <c r="C14397" i="3"/>
  <c r="B14397" i="3"/>
  <c r="D14396" i="3"/>
  <c r="C14396" i="3"/>
  <c r="B14396" i="3"/>
  <c r="D14395" i="3"/>
  <c r="C14395" i="3"/>
  <c r="B14395" i="3"/>
  <c r="D14394" i="3"/>
  <c r="C14394" i="3"/>
  <c r="B14394" i="3"/>
  <c r="D14393" i="3"/>
  <c r="C14393" i="3"/>
  <c r="B14393" i="3"/>
  <c r="D14392" i="3"/>
  <c r="C14392" i="3"/>
  <c r="B14392" i="3"/>
  <c r="D14391" i="3"/>
  <c r="C14391" i="3"/>
  <c r="B14391" i="3"/>
  <c r="D14390" i="3"/>
  <c r="C14390" i="3"/>
  <c r="B14390" i="3"/>
  <c r="D14389" i="3"/>
  <c r="C14389" i="3"/>
  <c r="B14389" i="3"/>
  <c r="D14388" i="3"/>
  <c r="C14388" i="3"/>
  <c r="B14388" i="3"/>
  <c r="D14387" i="3"/>
  <c r="C14387" i="3"/>
  <c r="B14387" i="3"/>
  <c r="D14386" i="3"/>
  <c r="C14386" i="3"/>
  <c r="B14386" i="3"/>
  <c r="D14385" i="3"/>
  <c r="C14385" i="3"/>
  <c r="B14385" i="3"/>
  <c r="D14384" i="3"/>
  <c r="C14384" i="3"/>
  <c r="B14384" i="3"/>
  <c r="D14383" i="3"/>
  <c r="C14383" i="3"/>
  <c r="B14383" i="3"/>
  <c r="D14382" i="3"/>
  <c r="C14382" i="3"/>
  <c r="B14382" i="3"/>
  <c r="D14381" i="3"/>
  <c r="C14381" i="3"/>
  <c r="B14381" i="3"/>
  <c r="D14380" i="3"/>
  <c r="C14380" i="3"/>
  <c r="B14380" i="3"/>
  <c r="D14379" i="3"/>
  <c r="C14379" i="3"/>
  <c r="B14379" i="3"/>
  <c r="D14378" i="3"/>
  <c r="C14378" i="3"/>
  <c r="B14378" i="3"/>
  <c r="D14377" i="3"/>
  <c r="C14377" i="3"/>
  <c r="B14377" i="3"/>
  <c r="D14376" i="3"/>
  <c r="C14376" i="3"/>
  <c r="B14376" i="3"/>
  <c r="D14375" i="3"/>
  <c r="C14375" i="3"/>
  <c r="B14375" i="3"/>
  <c r="D14374" i="3"/>
  <c r="C14374" i="3"/>
  <c r="B14374" i="3"/>
  <c r="D14373" i="3"/>
  <c r="C14373" i="3"/>
  <c r="B14373" i="3"/>
  <c r="D14372" i="3"/>
  <c r="C14372" i="3"/>
  <c r="B14372" i="3"/>
  <c r="D14371" i="3"/>
  <c r="C14371" i="3"/>
  <c r="B14371" i="3"/>
  <c r="D14370" i="3"/>
  <c r="C14370" i="3"/>
  <c r="B14370" i="3"/>
  <c r="D14369" i="3"/>
  <c r="C14369" i="3"/>
  <c r="B14369" i="3"/>
  <c r="D14368" i="3"/>
  <c r="C14368" i="3"/>
  <c r="B14368" i="3"/>
  <c r="D14367" i="3"/>
  <c r="C14367" i="3"/>
  <c r="B14367" i="3"/>
  <c r="D14366" i="3"/>
  <c r="C14366" i="3"/>
  <c r="B14366" i="3"/>
  <c r="D14365" i="3"/>
  <c r="C14365" i="3"/>
  <c r="B14365" i="3"/>
  <c r="D14364" i="3"/>
  <c r="C14364" i="3"/>
  <c r="B14364" i="3"/>
  <c r="D14363" i="3"/>
  <c r="C14363" i="3"/>
  <c r="B14363" i="3"/>
  <c r="D14362" i="3"/>
  <c r="C14362" i="3"/>
  <c r="B14362" i="3"/>
  <c r="D14361" i="3"/>
  <c r="C14361" i="3"/>
  <c r="B14361" i="3"/>
  <c r="D14360" i="3"/>
  <c r="C14360" i="3"/>
  <c r="B14360" i="3"/>
  <c r="D14359" i="3"/>
  <c r="C14359" i="3"/>
  <c r="B14359" i="3"/>
  <c r="D14358" i="3"/>
  <c r="C14358" i="3"/>
  <c r="B14358" i="3"/>
  <c r="D14357" i="3"/>
  <c r="C14357" i="3"/>
  <c r="B14357" i="3"/>
  <c r="D14356" i="3"/>
  <c r="C14356" i="3"/>
  <c r="B14356" i="3"/>
  <c r="D14355" i="3"/>
  <c r="C14355" i="3"/>
  <c r="B14355" i="3"/>
  <c r="D14354" i="3"/>
  <c r="C14354" i="3"/>
  <c r="B14354" i="3"/>
  <c r="D14353" i="3"/>
  <c r="C14353" i="3"/>
  <c r="B14353" i="3"/>
  <c r="D14352" i="3"/>
  <c r="C14352" i="3"/>
  <c r="B14352" i="3"/>
  <c r="D14351" i="3"/>
  <c r="C14351" i="3"/>
  <c r="B14351" i="3"/>
  <c r="D14350" i="3"/>
  <c r="C14350" i="3"/>
  <c r="B14350" i="3"/>
  <c r="D14349" i="3"/>
  <c r="C14349" i="3"/>
  <c r="B14349" i="3"/>
  <c r="D14348" i="3"/>
  <c r="C14348" i="3"/>
  <c r="B14348" i="3"/>
  <c r="D14347" i="3"/>
  <c r="C14347" i="3"/>
  <c r="B14347" i="3"/>
  <c r="D14346" i="3"/>
  <c r="C14346" i="3"/>
  <c r="B14346" i="3"/>
  <c r="D14345" i="3"/>
  <c r="C14345" i="3"/>
  <c r="B14345" i="3"/>
  <c r="D14344" i="3"/>
  <c r="C14344" i="3"/>
  <c r="B14344" i="3"/>
  <c r="D14343" i="3"/>
  <c r="C14343" i="3"/>
  <c r="B14343" i="3"/>
  <c r="D14342" i="3"/>
  <c r="C14342" i="3"/>
  <c r="B14342" i="3"/>
  <c r="D14341" i="3"/>
  <c r="C14341" i="3"/>
  <c r="B14341" i="3"/>
  <c r="D14340" i="3"/>
  <c r="C14340" i="3"/>
  <c r="B14340" i="3"/>
  <c r="D14339" i="3"/>
  <c r="C14339" i="3"/>
  <c r="B14339" i="3"/>
  <c r="D14338" i="3"/>
  <c r="C14338" i="3"/>
  <c r="B14338" i="3"/>
  <c r="D14337" i="3"/>
  <c r="C14337" i="3"/>
  <c r="B14337" i="3"/>
  <c r="D14336" i="3"/>
  <c r="C14336" i="3"/>
  <c r="B14336" i="3"/>
  <c r="D14335" i="3"/>
  <c r="C14335" i="3"/>
  <c r="B14335" i="3"/>
  <c r="D14334" i="3"/>
  <c r="C14334" i="3"/>
  <c r="B14334" i="3"/>
  <c r="D14333" i="3"/>
  <c r="C14333" i="3"/>
  <c r="B14333" i="3"/>
  <c r="D14332" i="3"/>
  <c r="C14332" i="3"/>
  <c r="B14332" i="3"/>
  <c r="D14331" i="3"/>
  <c r="C14331" i="3"/>
  <c r="B14331" i="3"/>
  <c r="D14330" i="3"/>
  <c r="C14330" i="3"/>
  <c r="B14330" i="3"/>
  <c r="D14329" i="3"/>
  <c r="C14329" i="3"/>
  <c r="B14329" i="3"/>
  <c r="D14328" i="3"/>
  <c r="C14328" i="3"/>
  <c r="B14328" i="3"/>
  <c r="D14327" i="3"/>
  <c r="C14327" i="3"/>
  <c r="B14327" i="3"/>
  <c r="D14326" i="3"/>
  <c r="C14326" i="3"/>
  <c r="B14326" i="3"/>
  <c r="D14325" i="3"/>
  <c r="C14325" i="3"/>
  <c r="B14325" i="3"/>
  <c r="D14324" i="3"/>
  <c r="C14324" i="3"/>
  <c r="B14324" i="3"/>
  <c r="D14323" i="3"/>
  <c r="C14323" i="3"/>
  <c r="B14323" i="3"/>
  <c r="D14322" i="3"/>
  <c r="C14322" i="3"/>
  <c r="B14322" i="3"/>
  <c r="D14321" i="3"/>
  <c r="C14321" i="3"/>
  <c r="B14321" i="3"/>
  <c r="D14320" i="3"/>
  <c r="C14320" i="3"/>
  <c r="B14320" i="3"/>
  <c r="D14319" i="3"/>
  <c r="C14319" i="3"/>
  <c r="B14319" i="3"/>
  <c r="D14318" i="3"/>
  <c r="C14318" i="3"/>
  <c r="B14318" i="3"/>
  <c r="D14317" i="3"/>
  <c r="C14317" i="3"/>
  <c r="B14317" i="3"/>
  <c r="D14316" i="3"/>
  <c r="C14316" i="3"/>
  <c r="B14316" i="3"/>
  <c r="D14315" i="3"/>
  <c r="C14315" i="3"/>
  <c r="B14315" i="3"/>
  <c r="D14314" i="3"/>
  <c r="C14314" i="3"/>
  <c r="B14314" i="3"/>
  <c r="D14313" i="3"/>
  <c r="C14313" i="3"/>
  <c r="B14313" i="3"/>
  <c r="D14312" i="3"/>
  <c r="C14312" i="3"/>
  <c r="B14312" i="3"/>
  <c r="D14311" i="3"/>
  <c r="C14311" i="3"/>
  <c r="B14311" i="3"/>
  <c r="D14310" i="3"/>
  <c r="C14310" i="3"/>
  <c r="B14310" i="3"/>
  <c r="D14309" i="3"/>
  <c r="C14309" i="3"/>
  <c r="B14309" i="3"/>
  <c r="D14308" i="3"/>
  <c r="C14308" i="3"/>
  <c r="B14308" i="3"/>
  <c r="D14307" i="3"/>
  <c r="C14307" i="3"/>
  <c r="B14307" i="3"/>
  <c r="D14306" i="3"/>
  <c r="C14306" i="3"/>
  <c r="B14306" i="3"/>
  <c r="D14305" i="3"/>
  <c r="C14305" i="3"/>
  <c r="B14305" i="3"/>
  <c r="D14304" i="3"/>
  <c r="C14304" i="3"/>
  <c r="B14304" i="3"/>
  <c r="D14303" i="3"/>
  <c r="C14303" i="3"/>
  <c r="B14303" i="3"/>
  <c r="D14302" i="3"/>
  <c r="C14302" i="3"/>
  <c r="B14302" i="3"/>
  <c r="D14301" i="3"/>
  <c r="C14301" i="3"/>
  <c r="B14301" i="3"/>
  <c r="D14300" i="3"/>
  <c r="C14300" i="3"/>
  <c r="B14300" i="3"/>
  <c r="D14299" i="3"/>
  <c r="C14299" i="3"/>
  <c r="B14299" i="3"/>
  <c r="D14298" i="3"/>
  <c r="C14298" i="3"/>
  <c r="B14298" i="3"/>
  <c r="D14297" i="3"/>
  <c r="C14297" i="3"/>
  <c r="B14297" i="3"/>
  <c r="D14296" i="3"/>
  <c r="C14296" i="3"/>
  <c r="B14296" i="3"/>
  <c r="D14295" i="3"/>
  <c r="C14295" i="3"/>
  <c r="B14295" i="3"/>
  <c r="D14294" i="3"/>
  <c r="C14294" i="3"/>
  <c r="B14294" i="3"/>
  <c r="D14293" i="3"/>
  <c r="C14293" i="3"/>
  <c r="B14293" i="3"/>
  <c r="D14292" i="3"/>
  <c r="C14292" i="3"/>
  <c r="B14292" i="3"/>
  <c r="D14291" i="3"/>
  <c r="C14291" i="3"/>
  <c r="B14291" i="3"/>
  <c r="D14290" i="3"/>
  <c r="C14290" i="3"/>
  <c r="B14290" i="3"/>
  <c r="D14289" i="3"/>
  <c r="C14289" i="3"/>
  <c r="B14289" i="3"/>
  <c r="D14288" i="3"/>
  <c r="C14288" i="3"/>
  <c r="B14288" i="3"/>
  <c r="D14287" i="3"/>
  <c r="C14287" i="3"/>
  <c r="B14287" i="3"/>
  <c r="D14286" i="3"/>
  <c r="C14286" i="3"/>
  <c r="B14286" i="3"/>
  <c r="D14285" i="3"/>
  <c r="C14285" i="3"/>
  <c r="B14285" i="3"/>
  <c r="D14284" i="3"/>
  <c r="C14284" i="3"/>
  <c r="B14284" i="3"/>
  <c r="D14283" i="3"/>
  <c r="C14283" i="3"/>
  <c r="B14283" i="3"/>
  <c r="D14282" i="3"/>
  <c r="C14282" i="3"/>
  <c r="B14282" i="3"/>
  <c r="D14281" i="3"/>
  <c r="C14281" i="3"/>
  <c r="B14281" i="3"/>
  <c r="D14280" i="3"/>
  <c r="C14280" i="3"/>
  <c r="B14280" i="3"/>
  <c r="D14279" i="3"/>
  <c r="C14279" i="3"/>
  <c r="B14279" i="3"/>
  <c r="D14278" i="3"/>
  <c r="C14278" i="3"/>
  <c r="B14278" i="3"/>
  <c r="D14277" i="3"/>
  <c r="C14277" i="3"/>
  <c r="B14277" i="3"/>
  <c r="D14276" i="3"/>
  <c r="C14276" i="3"/>
  <c r="B14276" i="3"/>
  <c r="D14275" i="3"/>
  <c r="C14275" i="3"/>
  <c r="B14275" i="3"/>
  <c r="D14274" i="3"/>
  <c r="C14274" i="3"/>
  <c r="B14274" i="3"/>
  <c r="D14273" i="3"/>
  <c r="C14273" i="3"/>
  <c r="B14273" i="3"/>
  <c r="D14272" i="3"/>
  <c r="C14272" i="3"/>
  <c r="B14272" i="3"/>
  <c r="D14271" i="3"/>
  <c r="C14271" i="3"/>
  <c r="B14271" i="3"/>
  <c r="D14270" i="3"/>
  <c r="C14270" i="3"/>
  <c r="B14270" i="3"/>
  <c r="D14269" i="3"/>
  <c r="C14269" i="3"/>
  <c r="B14269" i="3"/>
  <c r="D14268" i="3"/>
  <c r="C14268" i="3"/>
  <c r="B14268" i="3"/>
  <c r="D14267" i="3"/>
  <c r="C14267" i="3"/>
  <c r="B14267" i="3"/>
  <c r="D14266" i="3"/>
  <c r="C14266" i="3"/>
  <c r="B14266" i="3"/>
  <c r="D14265" i="3"/>
  <c r="C14265" i="3"/>
  <c r="B14265" i="3"/>
  <c r="D14264" i="3"/>
  <c r="C14264" i="3"/>
  <c r="B14264" i="3"/>
  <c r="D14263" i="3"/>
  <c r="C14263" i="3"/>
  <c r="B14263" i="3"/>
  <c r="D14262" i="3"/>
  <c r="C14262" i="3"/>
  <c r="B14262" i="3"/>
  <c r="D14261" i="3"/>
  <c r="C14261" i="3"/>
  <c r="B14261" i="3"/>
  <c r="D14260" i="3"/>
  <c r="C14260" i="3"/>
  <c r="B14260" i="3"/>
  <c r="D14259" i="3"/>
  <c r="C14259" i="3"/>
  <c r="B14259" i="3"/>
  <c r="D14258" i="3"/>
  <c r="C14258" i="3"/>
  <c r="B14258" i="3"/>
  <c r="D14257" i="3"/>
  <c r="C14257" i="3"/>
  <c r="B14257" i="3"/>
  <c r="D14256" i="3"/>
  <c r="C14256" i="3"/>
  <c r="B14256" i="3"/>
  <c r="D14255" i="3"/>
  <c r="C14255" i="3"/>
  <c r="B14255" i="3"/>
  <c r="D14254" i="3"/>
  <c r="C14254" i="3"/>
  <c r="B14254" i="3"/>
  <c r="D14253" i="3"/>
  <c r="C14253" i="3"/>
  <c r="B14253" i="3"/>
  <c r="D14252" i="3"/>
  <c r="C14252" i="3"/>
  <c r="B14252" i="3"/>
  <c r="D14251" i="3"/>
  <c r="C14251" i="3"/>
  <c r="B14251" i="3"/>
  <c r="D14250" i="3"/>
  <c r="C14250" i="3"/>
  <c r="B14250" i="3"/>
  <c r="D14249" i="3"/>
  <c r="C14249" i="3"/>
  <c r="B14249" i="3"/>
  <c r="D14248" i="3"/>
  <c r="C14248" i="3"/>
  <c r="B14248" i="3"/>
  <c r="D14247" i="3"/>
  <c r="C14247" i="3"/>
  <c r="B14247" i="3"/>
  <c r="D14246" i="3"/>
  <c r="C14246" i="3"/>
  <c r="B14246" i="3"/>
  <c r="D14245" i="3"/>
  <c r="C14245" i="3"/>
  <c r="B14245" i="3"/>
  <c r="D14244" i="3"/>
  <c r="C14244" i="3"/>
  <c r="B14244" i="3"/>
  <c r="D14243" i="3"/>
  <c r="C14243" i="3"/>
  <c r="B14243" i="3"/>
  <c r="D14242" i="3"/>
  <c r="C14242" i="3"/>
  <c r="B14242" i="3"/>
  <c r="D14241" i="3"/>
  <c r="C14241" i="3"/>
  <c r="B14241" i="3"/>
  <c r="D14240" i="3"/>
  <c r="C14240" i="3"/>
  <c r="B14240" i="3"/>
  <c r="D14239" i="3"/>
  <c r="C14239" i="3"/>
  <c r="B14239" i="3"/>
  <c r="D14238" i="3"/>
  <c r="C14238" i="3"/>
  <c r="B14238" i="3"/>
  <c r="D14237" i="3"/>
  <c r="C14237" i="3"/>
  <c r="B14237" i="3"/>
  <c r="D14236" i="3"/>
  <c r="C14236" i="3"/>
  <c r="B14236" i="3"/>
  <c r="D14235" i="3"/>
  <c r="C14235" i="3"/>
  <c r="B14235" i="3"/>
  <c r="D14234" i="3"/>
  <c r="C14234" i="3"/>
  <c r="B14234" i="3"/>
  <c r="D14233" i="3"/>
  <c r="C14233" i="3"/>
  <c r="B14233" i="3"/>
  <c r="D14232" i="3"/>
  <c r="C14232" i="3"/>
  <c r="B14232" i="3"/>
  <c r="D14231" i="3"/>
  <c r="C14231" i="3"/>
  <c r="B14231" i="3"/>
  <c r="D14230" i="3"/>
  <c r="C14230" i="3"/>
  <c r="B14230" i="3"/>
  <c r="D14229" i="3"/>
  <c r="C14229" i="3"/>
  <c r="B14229" i="3"/>
  <c r="D14228" i="3"/>
  <c r="C14228" i="3"/>
  <c r="B14228" i="3"/>
  <c r="D14227" i="3"/>
  <c r="C14227" i="3"/>
  <c r="B14227" i="3"/>
  <c r="D14226" i="3"/>
  <c r="C14226" i="3"/>
  <c r="B14226" i="3"/>
  <c r="D14225" i="3"/>
  <c r="C14225" i="3"/>
  <c r="B14225" i="3"/>
  <c r="D14224" i="3"/>
  <c r="C14224" i="3"/>
  <c r="B14224" i="3"/>
  <c r="D14223" i="3"/>
  <c r="C14223" i="3"/>
  <c r="B14223" i="3"/>
  <c r="D14222" i="3"/>
  <c r="C14222" i="3"/>
  <c r="B14222" i="3"/>
  <c r="D14221" i="3"/>
  <c r="C14221" i="3"/>
  <c r="B14221" i="3"/>
  <c r="D14220" i="3"/>
  <c r="C14220" i="3"/>
  <c r="B14220" i="3"/>
  <c r="D14219" i="3"/>
  <c r="C14219" i="3"/>
  <c r="B14219" i="3"/>
  <c r="D14218" i="3"/>
  <c r="C14218" i="3"/>
  <c r="B14218" i="3"/>
  <c r="D14217" i="3"/>
  <c r="C14217" i="3"/>
  <c r="B14217" i="3"/>
  <c r="D14216" i="3"/>
  <c r="C14216" i="3"/>
  <c r="B14216" i="3"/>
  <c r="D14215" i="3"/>
  <c r="C14215" i="3"/>
  <c r="B14215" i="3"/>
  <c r="D14214" i="3"/>
  <c r="C14214" i="3"/>
  <c r="B14214" i="3"/>
  <c r="D14213" i="3"/>
  <c r="C14213" i="3"/>
  <c r="B14213" i="3"/>
  <c r="D14212" i="3"/>
  <c r="C14212" i="3"/>
  <c r="B14212" i="3"/>
  <c r="D14211" i="3"/>
  <c r="C14211" i="3"/>
  <c r="B14211" i="3"/>
  <c r="D14210" i="3"/>
  <c r="C14210" i="3"/>
  <c r="B14210" i="3"/>
  <c r="D14209" i="3"/>
  <c r="C14209" i="3"/>
  <c r="B14209" i="3"/>
  <c r="D14208" i="3"/>
  <c r="C14208" i="3"/>
  <c r="B14208" i="3"/>
  <c r="D14207" i="3"/>
  <c r="C14207" i="3"/>
  <c r="B14207" i="3"/>
  <c r="D14206" i="3"/>
  <c r="C14206" i="3"/>
  <c r="B14206" i="3"/>
  <c r="D14205" i="3"/>
  <c r="C14205" i="3"/>
  <c r="B14205" i="3"/>
  <c r="D14204" i="3"/>
  <c r="C14204" i="3"/>
  <c r="B14204" i="3"/>
  <c r="D14203" i="3"/>
  <c r="C14203" i="3"/>
  <c r="B14203" i="3"/>
  <c r="D14202" i="3"/>
  <c r="C14202" i="3"/>
  <c r="B14202" i="3"/>
  <c r="D14201" i="3"/>
  <c r="C14201" i="3"/>
  <c r="B14201" i="3"/>
  <c r="D14200" i="3"/>
  <c r="C14200" i="3"/>
  <c r="B14200" i="3"/>
  <c r="D14199" i="3"/>
  <c r="C14199" i="3"/>
  <c r="B14199" i="3"/>
  <c r="D14198" i="3"/>
  <c r="C14198" i="3"/>
  <c r="B14198" i="3"/>
  <c r="D14197" i="3"/>
  <c r="C14197" i="3"/>
  <c r="B14197" i="3"/>
  <c r="D14196" i="3"/>
  <c r="C14196" i="3"/>
  <c r="B14196" i="3"/>
  <c r="D14195" i="3"/>
  <c r="C14195" i="3"/>
  <c r="B14195" i="3"/>
  <c r="D14194" i="3"/>
  <c r="C14194" i="3"/>
  <c r="B14194" i="3"/>
  <c r="D14193" i="3"/>
  <c r="C14193" i="3"/>
  <c r="B14193" i="3"/>
  <c r="D14192" i="3"/>
  <c r="C14192" i="3"/>
  <c r="B14192" i="3"/>
  <c r="D14191" i="3"/>
  <c r="C14191" i="3"/>
  <c r="B14191" i="3"/>
  <c r="D14190" i="3"/>
  <c r="C14190" i="3"/>
  <c r="B14190" i="3"/>
  <c r="D14189" i="3"/>
  <c r="C14189" i="3"/>
  <c r="B14189" i="3"/>
  <c r="D14188" i="3"/>
  <c r="C14188" i="3"/>
  <c r="B14188" i="3"/>
  <c r="D14187" i="3"/>
  <c r="C14187" i="3"/>
  <c r="B14187" i="3"/>
  <c r="D14186" i="3"/>
  <c r="C14186" i="3"/>
  <c r="B14186" i="3"/>
  <c r="D14185" i="3"/>
  <c r="C14185" i="3"/>
  <c r="B14185" i="3"/>
  <c r="D14184" i="3"/>
  <c r="C14184" i="3"/>
  <c r="B14184" i="3"/>
  <c r="D14183" i="3"/>
  <c r="C14183" i="3"/>
  <c r="B14183" i="3"/>
  <c r="D14182" i="3"/>
  <c r="C14182" i="3"/>
  <c r="B14182" i="3"/>
  <c r="D14181" i="3"/>
  <c r="C14181" i="3"/>
  <c r="B14181" i="3"/>
  <c r="D14180" i="3"/>
  <c r="C14180" i="3"/>
  <c r="B14180" i="3"/>
  <c r="D14179" i="3"/>
  <c r="C14179" i="3"/>
  <c r="B14179" i="3"/>
  <c r="D14178" i="3"/>
  <c r="C14178" i="3"/>
  <c r="B14178" i="3"/>
  <c r="D14177" i="3"/>
  <c r="C14177" i="3"/>
  <c r="B14177" i="3"/>
  <c r="D14176" i="3"/>
  <c r="C14176" i="3"/>
  <c r="B14176" i="3"/>
  <c r="D14175" i="3"/>
  <c r="C14175" i="3"/>
  <c r="B14175" i="3"/>
  <c r="D14174" i="3"/>
  <c r="C14174" i="3"/>
  <c r="B14174" i="3"/>
  <c r="D14173" i="3"/>
  <c r="C14173" i="3"/>
  <c r="B14173" i="3"/>
  <c r="D14172" i="3"/>
  <c r="C14172" i="3"/>
  <c r="B14172" i="3"/>
  <c r="D14171" i="3"/>
  <c r="C14171" i="3"/>
  <c r="B14171" i="3"/>
  <c r="D14170" i="3"/>
  <c r="C14170" i="3"/>
  <c r="B14170" i="3"/>
  <c r="D14169" i="3"/>
  <c r="C14169" i="3"/>
  <c r="B14169" i="3"/>
  <c r="D14168" i="3"/>
  <c r="C14168" i="3"/>
  <c r="B14168" i="3"/>
  <c r="D14167" i="3"/>
  <c r="C14167" i="3"/>
  <c r="B14167" i="3"/>
  <c r="D14166" i="3"/>
  <c r="C14166" i="3"/>
  <c r="B14166" i="3"/>
  <c r="D14165" i="3"/>
  <c r="C14165" i="3"/>
  <c r="B14165" i="3"/>
  <c r="D14164" i="3"/>
  <c r="C14164" i="3"/>
  <c r="B14164" i="3"/>
  <c r="D14163" i="3"/>
  <c r="C14163" i="3"/>
  <c r="B14163" i="3"/>
  <c r="D14162" i="3"/>
  <c r="C14162" i="3"/>
  <c r="B14162" i="3"/>
  <c r="D14161" i="3"/>
  <c r="C14161" i="3"/>
  <c r="B14161" i="3"/>
  <c r="D14160" i="3"/>
  <c r="C14160" i="3"/>
  <c r="B14160" i="3"/>
  <c r="D14159" i="3"/>
  <c r="C14159" i="3"/>
  <c r="B14159" i="3"/>
  <c r="D14158" i="3"/>
  <c r="C14158" i="3"/>
  <c r="B14158" i="3"/>
  <c r="D14157" i="3"/>
  <c r="C14157" i="3"/>
  <c r="B14157" i="3"/>
  <c r="D14156" i="3"/>
  <c r="C14156" i="3"/>
  <c r="B14156" i="3"/>
  <c r="D14155" i="3"/>
  <c r="C14155" i="3"/>
  <c r="B14155" i="3"/>
  <c r="D14154" i="3"/>
  <c r="C14154" i="3"/>
  <c r="B14154" i="3"/>
  <c r="D14153" i="3"/>
  <c r="C14153" i="3"/>
  <c r="B14153" i="3"/>
  <c r="D14152" i="3"/>
  <c r="C14152" i="3"/>
  <c r="B14152" i="3"/>
  <c r="D14151" i="3"/>
  <c r="C14151" i="3"/>
  <c r="B14151" i="3"/>
  <c r="D14150" i="3"/>
  <c r="C14150" i="3"/>
  <c r="B14150" i="3"/>
  <c r="D14149" i="3"/>
  <c r="C14149" i="3"/>
  <c r="B14149" i="3"/>
  <c r="D14148" i="3"/>
  <c r="C14148" i="3"/>
  <c r="B14148" i="3"/>
  <c r="D14147" i="3"/>
  <c r="C14147" i="3"/>
  <c r="B14147" i="3"/>
  <c r="D14146" i="3"/>
  <c r="C14146" i="3"/>
  <c r="B14146" i="3"/>
  <c r="D14145" i="3"/>
  <c r="C14145" i="3"/>
  <c r="B14145" i="3"/>
  <c r="D14144" i="3"/>
  <c r="C14144" i="3"/>
  <c r="B14144" i="3"/>
  <c r="D14143" i="3"/>
  <c r="C14143" i="3"/>
  <c r="B14143" i="3"/>
  <c r="D14142" i="3"/>
  <c r="C14142" i="3"/>
  <c r="B14142" i="3"/>
  <c r="D14141" i="3"/>
  <c r="C14141" i="3"/>
  <c r="B14141" i="3"/>
  <c r="D14140" i="3"/>
  <c r="C14140" i="3"/>
  <c r="B14140" i="3"/>
  <c r="D14139" i="3"/>
  <c r="C14139" i="3"/>
  <c r="B14139" i="3"/>
  <c r="D14138" i="3"/>
  <c r="C14138" i="3"/>
  <c r="B14138" i="3"/>
  <c r="D14137" i="3"/>
  <c r="C14137" i="3"/>
  <c r="B14137" i="3"/>
  <c r="D14136" i="3"/>
  <c r="C14136" i="3"/>
  <c r="B14136" i="3"/>
  <c r="D14135" i="3"/>
  <c r="C14135" i="3"/>
  <c r="B14135" i="3"/>
  <c r="D14134" i="3"/>
  <c r="C14134" i="3"/>
  <c r="B14134" i="3"/>
  <c r="D14133" i="3"/>
  <c r="C14133" i="3"/>
  <c r="B14133" i="3"/>
  <c r="D14132" i="3"/>
  <c r="C14132" i="3"/>
  <c r="B14132" i="3"/>
  <c r="D14131" i="3"/>
  <c r="C14131" i="3"/>
  <c r="B14131" i="3"/>
  <c r="D14130" i="3"/>
  <c r="C14130" i="3"/>
  <c r="B14130" i="3"/>
  <c r="D14129" i="3"/>
  <c r="C14129" i="3"/>
  <c r="B14129" i="3"/>
  <c r="D14128" i="3"/>
  <c r="C14128" i="3"/>
  <c r="B14128" i="3"/>
  <c r="D14127" i="3"/>
  <c r="C14127" i="3"/>
  <c r="B14127" i="3"/>
  <c r="D14126" i="3"/>
  <c r="C14126" i="3"/>
  <c r="B14126" i="3"/>
  <c r="D14125" i="3"/>
  <c r="C14125" i="3"/>
  <c r="B14125" i="3"/>
  <c r="D14124" i="3"/>
  <c r="C14124" i="3"/>
  <c r="B14124" i="3"/>
  <c r="D14123" i="3"/>
  <c r="C14123" i="3"/>
  <c r="B14123" i="3"/>
  <c r="D14122" i="3"/>
  <c r="C14122" i="3"/>
  <c r="B14122" i="3"/>
  <c r="D14121" i="3"/>
  <c r="C14121" i="3"/>
  <c r="B14121" i="3"/>
  <c r="D14120" i="3"/>
  <c r="C14120" i="3"/>
  <c r="B14120" i="3"/>
  <c r="D14119" i="3"/>
  <c r="C14119" i="3"/>
  <c r="B14119" i="3"/>
  <c r="D14118" i="3"/>
  <c r="C14118" i="3"/>
  <c r="B14118" i="3"/>
  <c r="D14117" i="3"/>
  <c r="C14117" i="3"/>
  <c r="B14117" i="3"/>
  <c r="D14116" i="3"/>
  <c r="C14116" i="3"/>
  <c r="B14116" i="3"/>
  <c r="D14115" i="3"/>
  <c r="C14115" i="3"/>
  <c r="B14115" i="3"/>
  <c r="D14114" i="3"/>
  <c r="C14114" i="3"/>
  <c r="B14114" i="3"/>
  <c r="D14113" i="3"/>
  <c r="C14113" i="3"/>
  <c r="B14113" i="3"/>
  <c r="D14112" i="3"/>
  <c r="C14112" i="3"/>
  <c r="B14112" i="3"/>
  <c r="D14111" i="3"/>
  <c r="C14111" i="3"/>
  <c r="B14111" i="3"/>
  <c r="D14110" i="3"/>
  <c r="C14110" i="3"/>
  <c r="B14110" i="3"/>
  <c r="D14109" i="3"/>
  <c r="C14109" i="3"/>
  <c r="B14109" i="3"/>
  <c r="D14108" i="3"/>
  <c r="C14108" i="3"/>
  <c r="B14108" i="3"/>
  <c r="D14107" i="3"/>
  <c r="C14107" i="3"/>
  <c r="B14107" i="3"/>
  <c r="D14106" i="3"/>
  <c r="C14106" i="3"/>
  <c r="B14106" i="3"/>
  <c r="D14105" i="3"/>
  <c r="C14105" i="3"/>
  <c r="B14105" i="3"/>
  <c r="D14104" i="3"/>
  <c r="C14104" i="3"/>
  <c r="B14104" i="3"/>
  <c r="D14103" i="3"/>
  <c r="C14103" i="3"/>
  <c r="B14103" i="3"/>
  <c r="D14102" i="3"/>
  <c r="C14102" i="3"/>
  <c r="B14102" i="3"/>
  <c r="D14101" i="3"/>
  <c r="C14101" i="3"/>
  <c r="B14101" i="3"/>
  <c r="D14100" i="3"/>
  <c r="C14100" i="3"/>
  <c r="B14100" i="3"/>
  <c r="D14099" i="3"/>
  <c r="C14099" i="3"/>
  <c r="B14099" i="3"/>
  <c r="D14098" i="3"/>
  <c r="C14098" i="3"/>
  <c r="B14098" i="3"/>
  <c r="D14097" i="3"/>
  <c r="C14097" i="3"/>
  <c r="B14097" i="3"/>
  <c r="D14096" i="3"/>
  <c r="C14096" i="3"/>
  <c r="B14096" i="3"/>
  <c r="D14095" i="3"/>
  <c r="C14095" i="3"/>
  <c r="B14095" i="3"/>
  <c r="D14094" i="3"/>
  <c r="C14094" i="3"/>
  <c r="B14094" i="3"/>
  <c r="D14093" i="3"/>
  <c r="C14093" i="3"/>
  <c r="B14093" i="3"/>
  <c r="D14092" i="3"/>
  <c r="C14092" i="3"/>
  <c r="B14092" i="3"/>
  <c r="D14091" i="3"/>
  <c r="C14091" i="3"/>
  <c r="B14091" i="3"/>
  <c r="D14090" i="3"/>
  <c r="C14090" i="3"/>
  <c r="B14090" i="3"/>
  <c r="D14089" i="3"/>
  <c r="C14089" i="3"/>
  <c r="B14089" i="3"/>
  <c r="D14088" i="3"/>
  <c r="C14088" i="3"/>
  <c r="B14088" i="3"/>
  <c r="D14087" i="3"/>
  <c r="C14087" i="3"/>
  <c r="B14087" i="3"/>
  <c r="D14086" i="3"/>
  <c r="C14086" i="3"/>
  <c r="B14086" i="3"/>
  <c r="D14085" i="3"/>
  <c r="C14085" i="3"/>
  <c r="B14085" i="3"/>
  <c r="D14084" i="3"/>
  <c r="C14084" i="3"/>
  <c r="B14084" i="3"/>
  <c r="D14083" i="3"/>
  <c r="C14083" i="3"/>
  <c r="B14083" i="3"/>
  <c r="D14082" i="3"/>
  <c r="C14082" i="3"/>
  <c r="B14082" i="3"/>
  <c r="D14081" i="3"/>
  <c r="C14081" i="3"/>
  <c r="B14081" i="3"/>
  <c r="D14080" i="3"/>
  <c r="C14080" i="3"/>
  <c r="B14080" i="3"/>
  <c r="D14079" i="3"/>
  <c r="C14079" i="3"/>
  <c r="B14079" i="3"/>
  <c r="D14078" i="3"/>
  <c r="C14078" i="3"/>
  <c r="B14078" i="3"/>
  <c r="D14077" i="3"/>
  <c r="C14077" i="3"/>
  <c r="B14077" i="3"/>
  <c r="D14076" i="3"/>
  <c r="C14076" i="3"/>
  <c r="B14076" i="3"/>
  <c r="D14075" i="3"/>
  <c r="C14075" i="3"/>
  <c r="B14075" i="3"/>
  <c r="D14074" i="3"/>
  <c r="C14074" i="3"/>
  <c r="B14074" i="3"/>
  <c r="D14073" i="3"/>
  <c r="C14073" i="3"/>
  <c r="B14073" i="3"/>
  <c r="D14072" i="3"/>
  <c r="C14072" i="3"/>
  <c r="B14072" i="3"/>
  <c r="D14071" i="3"/>
  <c r="C14071" i="3"/>
  <c r="B14071" i="3"/>
  <c r="D14070" i="3"/>
  <c r="C14070" i="3"/>
  <c r="B14070" i="3"/>
  <c r="D14069" i="3"/>
  <c r="C14069" i="3"/>
  <c r="B14069" i="3"/>
  <c r="D14068" i="3"/>
  <c r="C14068" i="3"/>
  <c r="B14068" i="3"/>
  <c r="D14067" i="3"/>
  <c r="C14067" i="3"/>
  <c r="B14067" i="3"/>
  <c r="D14066" i="3"/>
  <c r="C14066" i="3"/>
  <c r="B14066" i="3"/>
  <c r="D14065" i="3"/>
  <c r="C14065" i="3"/>
  <c r="B14065" i="3"/>
  <c r="D14064" i="3"/>
  <c r="C14064" i="3"/>
  <c r="B14064" i="3"/>
  <c r="D14063" i="3"/>
  <c r="C14063" i="3"/>
  <c r="B14063" i="3"/>
  <c r="D14062" i="3"/>
  <c r="C14062" i="3"/>
  <c r="B14062" i="3"/>
  <c r="D14061" i="3"/>
  <c r="C14061" i="3"/>
  <c r="B14061" i="3"/>
  <c r="D14060" i="3"/>
  <c r="C14060" i="3"/>
  <c r="B14060" i="3"/>
  <c r="D14059" i="3"/>
  <c r="C14059" i="3"/>
  <c r="B14059" i="3"/>
  <c r="D14058" i="3"/>
  <c r="C14058" i="3"/>
  <c r="B14058" i="3"/>
  <c r="D14057" i="3"/>
  <c r="C14057" i="3"/>
  <c r="B14057" i="3"/>
  <c r="D14056" i="3"/>
  <c r="C14056" i="3"/>
  <c r="B14056" i="3"/>
  <c r="D14055" i="3"/>
  <c r="C14055" i="3"/>
  <c r="B14055" i="3"/>
  <c r="D14054" i="3"/>
  <c r="C14054" i="3"/>
  <c r="B14054" i="3"/>
  <c r="D14053" i="3"/>
  <c r="C14053" i="3"/>
  <c r="B14053" i="3"/>
  <c r="D14052" i="3"/>
  <c r="C14052" i="3"/>
  <c r="B14052" i="3"/>
  <c r="D14051" i="3"/>
  <c r="C14051" i="3"/>
  <c r="B14051" i="3"/>
  <c r="D14050" i="3"/>
  <c r="C14050" i="3"/>
  <c r="B14050" i="3"/>
  <c r="D14049" i="3"/>
  <c r="C14049" i="3"/>
  <c r="B14049" i="3"/>
  <c r="D14048" i="3"/>
  <c r="C14048" i="3"/>
  <c r="B14048" i="3"/>
  <c r="D14047" i="3"/>
  <c r="C14047" i="3"/>
  <c r="B14047" i="3"/>
  <c r="D14046" i="3"/>
  <c r="C14046" i="3"/>
  <c r="B14046" i="3"/>
  <c r="D14045" i="3"/>
  <c r="C14045" i="3"/>
  <c r="B14045" i="3"/>
  <c r="D14044" i="3"/>
  <c r="C14044" i="3"/>
  <c r="B14044" i="3"/>
  <c r="D14043" i="3"/>
  <c r="C14043" i="3"/>
  <c r="B14043" i="3"/>
  <c r="D14042" i="3"/>
  <c r="C14042" i="3"/>
  <c r="B14042" i="3"/>
  <c r="D14041" i="3"/>
  <c r="C14041" i="3"/>
  <c r="B14041" i="3"/>
  <c r="D14040" i="3"/>
  <c r="C14040" i="3"/>
  <c r="B14040" i="3"/>
  <c r="D14039" i="3"/>
  <c r="C14039" i="3"/>
  <c r="B14039" i="3"/>
  <c r="D14038" i="3"/>
  <c r="C14038" i="3"/>
  <c r="B14038" i="3"/>
  <c r="D14037" i="3"/>
  <c r="C14037" i="3"/>
  <c r="B14037" i="3"/>
  <c r="D14036" i="3"/>
  <c r="C14036" i="3"/>
  <c r="B14036" i="3"/>
  <c r="D14035" i="3"/>
  <c r="C14035" i="3"/>
  <c r="B14035" i="3"/>
  <c r="D14034" i="3"/>
  <c r="C14034" i="3"/>
  <c r="B14034" i="3"/>
  <c r="D14033" i="3"/>
  <c r="C14033" i="3"/>
  <c r="B14033" i="3"/>
  <c r="D14032" i="3"/>
  <c r="C14032" i="3"/>
  <c r="B14032" i="3"/>
  <c r="D14031" i="3"/>
  <c r="C14031" i="3"/>
  <c r="B14031" i="3"/>
  <c r="D14030" i="3"/>
  <c r="C14030" i="3"/>
  <c r="B14030" i="3"/>
  <c r="D14029" i="3"/>
  <c r="C14029" i="3"/>
  <c r="B14029" i="3"/>
  <c r="D14028" i="3"/>
  <c r="C14028" i="3"/>
  <c r="B14028" i="3"/>
  <c r="D14027" i="3"/>
  <c r="C14027" i="3"/>
  <c r="B14027" i="3"/>
  <c r="D14026" i="3"/>
  <c r="C14026" i="3"/>
  <c r="B14026" i="3"/>
  <c r="D14025" i="3"/>
  <c r="C14025" i="3"/>
  <c r="B14025" i="3"/>
  <c r="D14024" i="3"/>
  <c r="C14024" i="3"/>
  <c r="B14024" i="3"/>
  <c r="D14023" i="3"/>
  <c r="C14023" i="3"/>
  <c r="B14023" i="3"/>
  <c r="D14022" i="3"/>
  <c r="C14022" i="3"/>
  <c r="B14022" i="3"/>
  <c r="D14021" i="3"/>
  <c r="C14021" i="3"/>
  <c r="B14021" i="3"/>
  <c r="D14020" i="3"/>
  <c r="C14020" i="3"/>
  <c r="B14020" i="3"/>
  <c r="D14019" i="3"/>
  <c r="C14019" i="3"/>
  <c r="B14019" i="3"/>
  <c r="D14018" i="3"/>
  <c r="C14018" i="3"/>
  <c r="B14018" i="3"/>
  <c r="D14017" i="3"/>
  <c r="C14017" i="3"/>
  <c r="B14017" i="3"/>
  <c r="D14016" i="3"/>
  <c r="C14016" i="3"/>
  <c r="B14016" i="3"/>
  <c r="D14015" i="3"/>
  <c r="C14015" i="3"/>
  <c r="B14015" i="3"/>
  <c r="D14014" i="3"/>
  <c r="C14014" i="3"/>
  <c r="B14014" i="3"/>
  <c r="D14013" i="3"/>
  <c r="C14013" i="3"/>
  <c r="B14013" i="3"/>
  <c r="D14012" i="3"/>
  <c r="C14012" i="3"/>
  <c r="B14012" i="3"/>
  <c r="D14011" i="3"/>
  <c r="C14011" i="3"/>
  <c r="B14011" i="3"/>
  <c r="D14010" i="3"/>
  <c r="C14010" i="3"/>
  <c r="B14010" i="3"/>
  <c r="D14009" i="3"/>
  <c r="C14009" i="3"/>
  <c r="B14009" i="3"/>
  <c r="D14008" i="3"/>
  <c r="C14008" i="3"/>
  <c r="B14008" i="3"/>
  <c r="D14007" i="3"/>
  <c r="C14007" i="3"/>
  <c r="B14007" i="3"/>
  <c r="D14006" i="3"/>
  <c r="C14006" i="3"/>
  <c r="B14006" i="3"/>
  <c r="D14005" i="3"/>
  <c r="C14005" i="3"/>
  <c r="B14005" i="3"/>
  <c r="D14004" i="3"/>
  <c r="C14004" i="3"/>
  <c r="B14004" i="3"/>
  <c r="D14003" i="3"/>
  <c r="C14003" i="3"/>
  <c r="B14003" i="3"/>
  <c r="D14002" i="3"/>
  <c r="C14002" i="3"/>
  <c r="B14002" i="3"/>
  <c r="D14001" i="3"/>
  <c r="C14001" i="3"/>
  <c r="B14001" i="3"/>
  <c r="D14000" i="3"/>
  <c r="C14000" i="3"/>
  <c r="B14000" i="3"/>
  <c r="D13999" i="3"/>
  <c r="C13999" i="3"/>
  <c r="B13999" i="3"/>
  <c r="D13998" i="3"/>
  <c r="C13998" i="3"/>
  <c r="B13998" i="3"/>
  <c r="D13997" i="3"/>
  <c r="C13997" i="3"/>
  <c r="B13997" i="3"/>
  <c r="D13996" i="3"/>
  <c r="C13996" i="3"/>
  <c r="B13996" i="3"/>
  <c r="D13995" i="3"/>
  <c r="C13995" i="3"/>
  <c r="B13995" i="3"/>
  <c r="D13994" i="3"/>
  <c r="C13994" i="3"/>
  <c r="B13994" i="3"/>
  <c r="D13993" i="3"/>
  <c r="C13993" i="3"/>
  <c r="B13993" i="3"/>
  <c r="D13992" i="3"/>
  <c r="C13992" i="3"/>
  <c r="B13992" i="3"/>
  <c r="D13991" i="3"/>
  <c r="C13991" i="3"/>
  <c r="B13991" i="3"/>
  <c r="D13990" i="3"/>
  <c r="C13990" i="3"/>
  <c r="B13990" i="3"/>
  <c r="D13989" i="3"/>
  <c r="C13989" i="3"/>
  <c r="B13989" i="3"/>
  <c r="D13988" i="3"/>
  <c r="C13988" i="3"/>
  <c r="B13988" i="3"/>
  <c r="D13987" i="3"/>
  <c r="C13987" i="3"/>
  <c r="B13987" i="3"/>
  <c r="D13986" i="3"/>
  <c r="C13986" i="3"/>
  <c r="B13986" i="3"/>
  <c r="D13985" i="3"/>
  <c r="C13985" i="3"/>
  <c r="B13985" i="3"/>
  <c r="D13984" i="3"/>
  <c r="C13984" i="3"/>
  <c r="B13984" i="3"/>
  <c r="D13983" i="3"/>
  <c r="C13983" i="3"/>
  <c r="B13983" i="3"/>
  <c r="D13982" i="3"/>
  <c r="C13982" i="3"/>
  <c r="B13982" i="3"/>
  <c r="D13981" i="3"/>
  <c r="C13981" i="3"/>
  <c r="B13981" i="3"/>
  <c r="D13980" i="3"/>
  <c r="C13980" i="3"/>
  <c r="B13980" i="3"/>
  <c r="D13979" i="3"/>
  <c r="C13979" i="3"/>
  <c r="B13979" i="3"/>
  <c r="D13978" i="3"/>
  <c r="C13978" i="3"/>
  <c r="B13978" i="3"/>
  <c r="D13977" i="3"/>
  <c r="C13977" i="3"/>
  <c r="B13977" i="3"/>
  <c r="D13976" i="3"/>
  <c r="C13976" i="3"/>
  <c r="B13976" i="3"/>
  <c r="D13975" i="3"/>
  <c r="C13975" i="3"/>
  <c r="B13975" i="3"/>
  <c r="D13974" i="3"/>
  <c r="C13974" i="3"/>
  <c r="B13974" i="3"/>
  <c r="D13973" i="3"/>
  <c r="C13973" i="3"/>
  <c r="B13973" i="3"/>
  <c r="D13972" i="3"/>
  <c r="C13972" i="3"/>
  <c r="B13972" i="3"/>
  <c r="D13971" i="3"/>
  <c r="C13971" i="3"/>
  <c r="B13971" i="3"/>
  <c r="D13970" i="3"/>
  <c r="C13970" i="3"/>
  <c r="B13970" i="3"/>
  <c r="D13969" i="3"/>
  <c r="C13969" i="3"/>
  <c r="B13969" i="3"/>
  <c r="D13968" i="3"/>
  <c r="C13968" i="3"/>
  <c r="B13968" i="3"/>
  <c r="D13967" i="3"/>
  <c r="C13967" i="3"/>
  <c r="B13967" i="3"/>
  <c r="D13966" i="3"/>
  <c r="C13966" i="3"/>
  <c r="B13966" i="3"/>
  <c r="D13965" i="3"/>
  <c r="C13965" i="3"/>
  <c r="B13965" i="3"/>
  <c r="D13964" i="3"/>
  <c r="C13964" i="3"/>
  <c r="B13964" i="3"/>
  <c r="D13963" i="3"/>
  <c r="C13963" i="3"/>
  <c r="B13963" i="3"/>
  <c r="D13962" i="3"/>
  <c r="C13962" i="3"/>
  <c r="B13962" i="3"/>
  <c r="D13961" i="3"/>
  <c r="C13961" i="3"/>
  <c r="B13961" i="3"/>
  <c r="D13960" i="3"/>
  <c r="C13960" i="3"/>
  <c r="B13960" i="3"/>
  <c r="D13959" i="3"/>
  <c r="C13959" i="3"/>
  <c r="B13959" i="3"/>
  <c r="D13958" i="3"/>
  <c r="C13958" i="3"/>
  <c r="B13958" i="3"/>
  <c r="D13957" i="3"/>
  <c r="C13957" i="3"/>
  <c r="B13957" i="3"/>
  <c r="D13956" i="3"/>
  <c r="C13956" i="3"/>
  <c r="B13956" i="3"/>
  <c r="D13955" i="3"/>
  <c r="C13955" i="3"/>
  <c r="B13955" i="3"/>
  <c r="D13954" i="3"/>
  <c r="C13954" i="3"/>
  <c r="B13954" i="3"/>
  <c r="D13953" i="3"/>
  <c r="C13953" i="3"/>
  <c r="B13953" i="3"/>
  <c r="D13952" i="3"/>
  <c r="C13952" i="3"/>
  <c r="B13952" i="3"/>
  <c r="D13951" i="3"/>
  <c r="C13951" i="3"/>
  <c r="B13951" i="3"/>
  <c r="D13950" i="3"/>
  <c r="C13950" i="3"/>
  <c r="B13950" i="3"/>
  <c r="D13949" i="3"/>
  <c r="C13949" i="3"/>
  <c r="B13949" i="3"/>
  <c r="D13948" i="3"/>
  <c r="C13948" i="3"/>
  <c r="B13948" i="3"/>
  <c r="D13947" i="3"/>
  <c r="C13947" i="3"/>
  <c r="B13947" i="3"/>
  <c r="D13946" i="3"/>
  <c r="C13946" i="3"/>
  <c r="B13946" i="3"/>
  <c r="D13945" i="3"/>
  <c r="C13945" i="3"/>
  <c r="B13945" i="3"/>
  <c r="D13944" i="3"/>
  <c r="C13944" i="3"/>
  <c r="B13944" i="3"/>
  <c r="D13943" i="3"/>
  <c r="C13943" i="3"/>
  <c r="B13943" i="3"/>
  <c r="D13942" i="3"/>
  <c r="C13942" i="3"/>
  <c r="B13942" i="3"/>
  <c r="D13941" i="3"/>
  <c r="C13941" i="3"/>
  <c r="B13941" i="3"/>
  <c r="D13940" i="3"/>
  <c r="C13940" i="3"/>
  <c r="B13940" i="3"/>
  <c r="D13939" i="3"/>
  <c r="C13939" i="3"/>
  <c r="B13939" i="3"/>
  <c r="D13938" i="3"/>
  <c r="C13938" i="3"/>
  <c r="B13938" i="3"/>
  <c r="D13937" i="3"/>
  <c r="C13937" i="3"/>
  <c r="B13937" i="3"/>
  <c r="D13936" i="3"/>
  <c r="C13936" i="3"/>
  <c r="B13936" i="3"/>
  <c r="D13935" i="3"/>
  <c r="C13935" i="3"/>
  <c r="B13935" i="3"/>
  <c r="D13934" i="3"/>
  <c r="C13934" i="3"/>
  <c r="B13934" i="3"/>
  <c r="D13933" i="3"/>
  <c r="C13933" i="3"/>
  <c r="B13933" i="3"/>
  <c r="D13932" i="3"/>
  <c r="C13932" i="3"/>
  <c r="B13932" i="3"/>
  <c r="D13931" i="3"/>
  <c r="C13931" i="3"/>
  <c r="B13931" i="3"/>
  <c r="D13930" i="3"/>
  <c r="C13930" i="3"/>
  <c r="B13930" i="3"/>
  <c r="D13929" i="3"/>
  <c r="C13929" i="3"/>
  <c r="B13929" i="3"/>
  <c r="D13928" i="3"/>
  <c r="C13928" i="3"/>
  <c r="B13928" i="3"/>
  <c r="D13927" i="3"/>
  <c r="C13927" i="3"/>
  <c r="B13927" i="3"/>
  <c r="D13926" i="3"/>
  <c r="C13926" i="3"/>
  <c r="B13926" i="3"/>
  <c r="D13925" i="3"/>
  <c r="C13925" i="3"/>
  <c r="B13925" i="3"/>
  <c r="D13924" i="3"/>
  <c r="C13924" i="3"/>
  <c r="B13924" i="3"/>
  <c r="D13923" i="3"/>
  <c r="C13923" i="3"/>
  <c r="B13923" i="3"/>
  <c r="D13922" i="3"/>
  <c r="C13922" i="3"/>
  <c r="B13922" i="3"/>
  <c r="D13921" i="3"/>
  <c r="C13921" i="3"/>
  <c r="B13921" i="3"/>
  <c r="D13920" i="3"/>
  <c r="C13920" i="3"/>
  <c r="B13920" i="3"/>
  <c r="D13919" i="3"/>
  <c r="C13919" i="3"/>
  <c r="B13919" i="3"/>
  <c r="D13918" i="3"/>
  <c r="C13918" i="3"/>
  <c r="B13918" i="3"/>
  <c r="D13917" i="3"/>
  <c r="C13917" i="3"/>
  <c r="B13917" i="3"/>
  <c r="D13916" i="3"/>
  <c r="C13916" i="3"/>
  <c r="B13916" i="3"/>
  <c r="D13915" i="3"/>
  <c r="C13915" i="3"/>
  <c r="B13915" i="3"/>
  <c r="D13914" i="3"/>
  <c r="C13914" i="3"/>
  <c r="B13914" i="3"/>
  <c r="D13913" i="3"/>
  <c r="C13913" i="3"/>
  <c r="B13913" i="3"/>
  <c r="D13912" i="3"/>
  <c r="C13912" i="3"/>
  <c r="B13912" i="3"/>
  <c r="D13911" i="3"/>
  <c r="C13911" i="3"/>
  <c r="B13911" i="3"/>
  <c r="D13910" i="3"/>
  <c r="C13910" i="3"/>
  <c r="B13910" i="3"/>
  <c r="D13909" i="3"/>
  <c r="C13909" i="3"/>
  <c r="B13909" i="3"/>
  <c r="D13908" i="3"/>
  <c r="C13908" i="3"/>
  <c r="B13908" i="3"/>
  <c r="D13907" i="3"/>
  <c r="C13907" i="3"/>
  <c r="B13907" i="3"/>
  <c r="D13906" i="3"/>
  <c r="C13906" i="3"/>
  <c r="B13906" i="3"/>
  <c r="D13905" i="3"/>
  <c r="C13905" i="3"/>
  <c r="B13905" i="3"/>
  <c r="D13904" i="3"/>
  <c r="C13904" i="3"/>
  <c r="B13904" i="3"/>
  <c r="D13903" i="3"/>
  <c r="C13903" i="3"/>
  <c r="B13903" i="3"/>
  <c r="D13902" i="3"/>
  <c r="C13902" i="3"/>
  <c r="B13902" i="3"/>
  <c r="D13901" i="3"/>
  <c r="C13901" i="3"/>
  <c r="B13901" i="3"/>
  <c r="D13900" i="3"/>
  <c r="C13900" i="3"/>
  <c r="B13900" i="3"/>
  <c r="D13899" i="3"/>
  <c r="C13899" i="3"/>
  <c r="B13899" i="3"/>
  <c r="D13898" i="3"/>
  <c r="C13898" i="3"/>
  <c r="B13898" i="3"/>
  <c r="D13897" i="3"/>
  <c r="C13897" i="3"/>
  <c r="B13897" i="3"/>
  <c r="D13896" i="3"/>
  <c r="C13896" i="3"/>
  <c r="B13896" i="3"/>
  <c r="D13895" i="3"/>
  <c r="C13895" i="3"/>
  <c r="B13895" i="3"/>
  <c r="D13894" i="3"/>
  <c r="C13894" i="3"/>
  <c r="B13894" i="3"/>
  <c r="D13893" i="3"/>
  <c r="C13893" i="3"/>
  <c r="B13893" i="3"/>
  <c r="D13892" i="3"/>
  <c r="C13892" i="3"/>
  <c r="B13892" i="3"/>
  <c r="D13891" i="3"/>
  <c r="C13891" i="3"/>
  <c r="B13891" i="3"/>
  <c r="D13890" i="3"/>
  <c r="C13890" i="3"/>
  <c r="B13890" i="3"/>
  <c r="D13889" i="3"/>
  <c r="C13889" i="3"/>
  <c r="B13889" i="3"/>
  <c r="D13888" i="3"/>
  <c r="C13888" i="3"/>
  <c r="B13888" i="3"/>
  <c r="D13887" i="3"/>
  <c r="C13887" i="3"/>
  <c r="B13887" i="3"/>
  <c r="D13886" i="3"/>
  <c r="C13886" i="3"/>
  <c r="B13886" i="3"/>
  <c r="D13885" i="3"/>
  <c r="C13885" i="3"/>
  <c r="B13885" i="3"/>
  <c r="D13884" i="3"/>
  <c r="C13884" i="3"/>
  <c r="B13884" i="3"/>
  <c r="D13883" i="3"/>
  <c r="C13883" i="3"/>
  <c r="B13883" i="3"/>
  <c r="D13882" i="3"/>
  <c r="C13882" i="3"/>
  <c r="B13882" i="3"/>
  <c r="D13881" i="3"/>
  <c r="C13881" i="3"/>
  <c r="B13881" i="3"/>
  <c r="D13880" i="3"/>
  <c r="C13880" i="3"/>
  <c r="B13880" i="3"/>
  <c r="D13879" i="3"/>
  <c r="C13879" i="3"/>
  <c r="B13879" i="3"/>
  <c r="D13878" i="3"/>
  <c r="C13878" i="3"/>
  <c r="B13878" i="3"/>
  <c r="D13877" i="3"/>
  <c r="C13877" i="3"/>
  <c r="B13877" i="3"/>
  <c r="D13876" i="3"/>
  <c r="C13876" i="3"/>
  <c r="B13876" i="3"/>
  <c r="D13875" i="3"/>
  <c r="C13875" i="3"/>
  <c r="B13875" i="3"/>
  <c r="D13874" i="3"/>
  <c r="C13874" i="3"/>
  <c r="B13874" i="3"/>
  <c r="D13873" i="3"/>
  <c r="C13873" i="3"/>
  <c r="B13873" i="3"/>
  <c r="D13872" i="3"/>
  <c r="C13872" i="3"/>
  <c r="B13872" i="3"/>
  <c r="D13871" i="3"/>
  <c r="C13871" i="3"/>
  <c r="B13871" i="3"/>
  <c r="D13870" i="3"/>
  <c r="C13870" i="3"/>
  <c r="B13870" i="3"/>
  <c r="D13869" i="3"/>
  <c r="C13869" i="3"/>
  <c r="B13869" i="3"/>
  <c r="D13868" i="3"/>
  <c r="C13868" i="3"/>
  <c r="B13868" i="3"/>
  <c r="D13867" i="3"/>
  <c r="C13867" i="3"/>
  <c r="B13867" i="3"/>
  <c r="D13866" i="3"/>
  <c r="C13866" i="3"/>
  <c r="B13866" i="3"/>
  <c r="D13865" i="3"/>
  <c r="C13865" i="3"/>
  <c r="B13865" i="3"/>
  <c r="D13864" i="3"/>
  <c r="C13864" i="3"/>
  <c r="B13864" i="3"/>
  <c r="D13863" i="3"/>
  <c r="C13863" i="3"/>
  <c r="B13863" i="3"/>
  <c r="D13862" i="3"/>
  <c r="C13862" i="3"/>
  <c r="B13862" i="3"/>
  <c r="D13861" i="3"/>
  <c r="C13861" i="3"/>
  <c r="B13861" i="3"/>
  <c r="D13860" i="3"/>
  <c r="C13860" i="3"/>
  <c r="B13860" i="3"/>
  <c r="D13859" i="3"/>
  <c r="C13859" i="3"/>
  <c r="B13859" i="3"/>
  <c r="D13858" i="3"/>
  <c r="C13858" i="3"/>
  <c r="B13858" i="3"/>
  <c r="D13857" i="3"/>
  <c r="C13857" i="3"/>
  <c r="B13857" i="3"/>
  <c r="D13856" i="3"/>
  <c r="C13856" i="3"/>
  <c r="B13856" i="3"/>
  <c r="D13855" i="3"/>
  <c r="C13855" i="3"/>
  <c r="B13855" i="3"/>
  <c r="D13854" i="3"/>
  <c r="C13854" i="3"/>
  <c r="B13854" i="3"/>
  <c r="D13853" i="3"/>
  <c r="C13853" i="3"/>
  <c r="B13853" i="3"/>
  <c r="D13852" i="3"/>
  <c r="C13852" i="3"/>
  <c r="B13852" i="3"/>
  <c r="D13851" i="3"/>
  <c r="C13851" i="3"/>
  <c r="B13851" i="3"/>
  <c r="D13850" i="3"/>
  <c r="C13850" i="3"/>
  <c r="B13850" i="3"/>
  <c r="D13849" i="3"/>
  <c r="C13849" i="3"/>
  <c r="B13849" i="3"/>
  <c r="D13848" i="3"/>
  <c r="C13848" i="3"/>
  <c r="B13848" i="3"/>
  <c r="D13847" i="3"/>
  <c r="C13847" i="3"/>
  <c r="B13847" i="3"/>
  <c r="D13846" i="3"/>
  <c r="C13846" i="3"/>
  <c r="B13846" i="3"/>
  <c r="D13845" i="3"/>
  <c r="C13845" i="3"/>
  <c r="B13845" i="3"/>
  <c r="D13844" i="3"/>
  <c r="C13844" i="3"/>
  <c r="B13844" i="3"/>
  <c r="D13843" i="3"/>
  <c r="C13843" i="3"/>
  <c r="B13843" i="3"/>
  <c r="D13842" i="3"/>
  <c r="C13842" i="3"/>
  <c r="B13842" i="3"/>
  <c r="D13841" i="3"/>
  <c r="C13841" i="3"/>
  <c r="B13841" i="3"/>
  <c r="D13840" i="3"/>
  <c r="C13840" i="3"/>
  <c r="B13840" i="3"/>
  <c r="D13839" i="3"/>
  <c r="C13839" i="3"/>
  <c r="B13839" i="3"/>
  <c r="D13838" i="3"/>
  <c r="C13838" i="3"/>
  <c r="B13838" i="3"/>
  <c r="D13837" i="3"/>
  <c r="C13837" i="3"/>
  <c r="B13837" i="3"/>
  <c r="D13836" i="3"/>
  <c r="C13836" i="3"/>
  <c r="B13836" i="3"/>
  <c r="D13835" i="3"/>
  <c r="C13835" i="3"/>
  <c r="B13835" i="3"/>
  <c r="D13834" i="3"/>
  <c r="C13834" i="3"/>
  <c r="B13834" i="3"/>
  <c r="D13833" i="3"/>
  <c r="C13833" i="3"/>
  <c r="B13833" i="3"/>
  <c r="D13832" i="3"/>
  <c r="C13832" i="3"/>
  <c r="B13832" i="3"/>
  <c r="D13831" i="3"/>
  <c r="C13831" i="3"/>
  <c r="B13831" i="3"/>
  <c r="D13830" i="3"/>
  <c r="C13830" i="3"/>
  <c r="B13830" i="3"/>
  <c r="D13829" i="3"/>
  <c r="C13829" i="3"/>
  <c r="B13829" i="3"/>
  <c r="D13828" i="3"/>
  <c r="C13828" i="3"/>
  <c r="B13828" i="3"/>
  <c r="D13827" i="3"/>
  <c r="C13827" i="3"/>
  <c r="B13827" i="3"/>
  <c r="D13826" i="3"/>
  <c r="C13826" i="3"/>
  <c r="B13826" i="3"/>
  <c r="D13825" i="3"/>
  <c r="C13825" i="3"/>
  <c r="B13825" i="3"/>
  <c r="D13824" i="3"/>
  <c r="C13824" i="3"/>
  <c r="B13824" i="3"/>
  <c r="D13823" i="3"/>
  <c r="C13823" i="3"/>
  <c r="B13823" i="3"/>
  <c r="D13822" i="3"/>
  <c r="C13822" i="3"/>
  <c r="B13822" i="3"/>
  <c r="D13821" i="3"/>
  <c r="C13821" i="3"/>
  <c r="B13821" i="3"/>
  <c r="D13820" i="3"/>
  <c r="C13820" i="3"/>
  <c r="B13820" i="3"/>
  <c r="D13819" i="3"/>
  <c r="C13819" i="3"/>
  <c r="B13819" i="3"/>
  <c r="D13818" i="3"/>
  <c r="C13818" i="3"/>
  <c r="B13818" i="3"/>
  <c r="D13817" i="3"/>
  <c r="C13817" i="3"/>
  <c r="B13817" i="3"/>
  <c r="D13816" i="3"/>
  <c r="C13816" i="3"/>
  <c r="B13816" i="3"/>
  <c r="D13815" i="3"/>
  <c r="C13815" i="3"/>
  <c r="B13815" i="3"/>
  <c r="D13814" i="3"/>
  <c r="C13814" i="3"/>
  <c r="B13814" i="3"/>
  <c r="D13813" i="3"/>
  <c r="C13813" i="3"/>
  <c r="B13813" i="3"/>
  <c r="D13812" i="3"/>
  <c r="C13812" i="3"/>
  <c r="B13812" i="3"/>
  <c r="D13811" i="3"/>
  <c r="C13811" i="3"/>
  <c r="B13811" i="3"/>
  <c r="D13810" i="3"/>
  <c r="C13810" i="3"/>
  <c r="B13810" i="3"/>
  <c r="D13809" i="3"/>
  <c r="C13809" i="3"/>
  <c r="B13809" i="3"/>
  <c r="D13808" i="3"/>
  <c r="C13808" i="3"/>
  <c r="B13808" i="3"/>
  <c r="D13807" i="3"/>
  <c r="C13807" i="3"/>
  <c r="B13807" i="3"/>
  <c r="D13806" i="3"/>
  <c r="C13806" i="3"/>
  <c r="B13806" i="3"/>
  <c r="D13805" i="3"/>
  <c r="C13805" i="3"/>
  <c r="B13805" i="3"/>
  <c r="D13804" i="3"/>
  <c r="C13804" i="3"/>
  <c r="B13804" i="3"/>
  <c r="D13803" i="3"/>
  <c r="C13803" i="3"/>
  <c r="B13803" i="3"/>
  <c r="D13802" i="3"/>
  <c r="C13802" i="3"/>
  <c r="B13802" i="3"/>
  <c r="D13801" i="3"/>
  <c r="C13801" i="3"/>
  <c r="B13801" i="3"/>
  <c r="D13800" i="3"/>
  <c r="C13800" i="3"/>
  <c r="B13800" i="3"/>
  <c r="D13799" i="3"/>
  <c r="C13799" i="3"/>
  <c r="B13799" i="3"/>
  <c r="D13798" i="3"/>
  <c r="C13798" i="3"/>
  <c r="B13798" i="3"/>
  <c r="D13797" i="3"/>
  <c r="C13797" i="3"/>
  <c r="B13797" i="3"/>
  <c r="D13796" i="3"/>
  <c r="C13796" i="3"/>
  <c r="B13796" i="3"/>
  <c r="D13795" i="3"/>
  <c r="C13795" i="3"/>
  <c r="B13795" i="3"/>
  <c r="D13794" i="3"/>
  <c r="C13794" i="3"/>
  <c r="B13794" i="3"/>
  <c r="D13793" i="3"/>
  <c r="C13793" i="3"/>
  <c r="B13793" i="3"/>
  <c r="D13792" i="3"/>
  <c r="C13792" i="3"/>
  <c r="B13792" i="3"/>
  <c r="D13791" i="3"/>
  <c r="C13791" i="3"/>
  <c r="B13791" i="3"/>
  <c r="D13790" i="3"/>
  <c r="C13790" i="3"/>
  <c r="B13790" i="3"/>
  <c r="D13789" i="3"/>
  <c r="C13789" i="3"/>
  <c r="B13789" i="3"/>
  <c r="D13788" i="3"/>
  <c r="C13788" i="3"/>
  <c r="B13788" i="3"/>
  <c r="D13787" i="3"/>
  <c r="C13787" i="3"/>
  <c r="B13787" i="3"/>
  <c r="D13786" i="3"/>
  <c r="C13786" i="3"/>
  <c r="B13786" i="3"/>
  <c r="D13785" i="3"/>
  <c r="C13785" i="3"/>
  <c r="B13785" i="3"/>
  <c r="D13784" i="3"/>
  <c r="C13784" i="3"/>
  <c r="B13784" i="3"/>
  <c r="D13783" i="3"/>
  <c r="C13783" i="3"/>
  <c r="B13783" i="3"/>
  <c r="D13782" i="3"/>
  <c r="C13782" i="3"/>
  <c r="B13782" i="3"/>
  <c r="D13781" i="3"/>
  <c r="C13781" i="3"/>
  <c r="B13781" i="3"/>
  <c r="D13780" i="3"/>
  <c r="C13780" i="3"/>
  <c r="B13780" i="3"/>
  <c r="D13779" i="3"/>
  <c r="C13779" i="3"/>
  <c r="B13779" i="3"/>
  <c r="D13778" i="3"/>
  <c r="C13778" i="3"/>
  <c r="B13778" i="3"/>
  <c r="D13777" i="3"/>
  <c r="C13777" i="3"/>
  <c r="B13777" i="3"/>
  <c r="D13776" i="3"/>
  <c r="C13776" i="3"/>
  <c r="B13776" i="3"/>
  <c r="D13775" i="3"/>
  <c r="C13775" i="3"/>
  <c r="B13775" i="3"/>
  <c r="D13774" i="3"/>
  <c r="C13774" i="3"/>
  <c r="B13774" i="3"/>
  <c r="D13773" i="3"/>
  <c r="C13773" i="3"/>
  <c r="B13773" i="3"/>
  <c r="D13772" i="3"/>
  <c r="C13772" i="3"/>
  <c r="B13772" i="3"/>
  <c r="D13771" i="3"/>
  <c r="C13771" i="3"/>
  <c r="B13771" i="3"/>
  <c r="D13770" i="3"/>
  <c r="C13770" i="3"/>
  <c r="B13770" i="3"/>
  <c r="D13769" i="3"/>
  <c r="C13769" i="3"/>
  <c r="B13769" i="3"/>
  <c r="D13768" i="3"/>
  <c r="C13768" i="3"/>
  <c r="B13768" i="3"/>
  <c r="D13767" i="3"/>
  <c r="C13767" i="3"/>
  <c r="B13767" i="3"/>
  <c r="D13766" i="3"/>
  <c r="C13766" i="3"/>
  <c r="B13766" i="3"/>
  <c r="D13765" i="3"/>
  <c r="C13765" i="3"/>
  <c r="B13765" i="3"/>
  <c r="D13764" i="3"/>
  <c r="C13764" i="3"/>
  <c r="B13764" i="3"/>
  <c r="D13763" i="3"/>
  <c r="C13763" i="3"/>
  <c r="B13763" i="3"/>
  <c r="D13762" i="3"/>
  <c r="C13762" i="3"/>
  <c r="B13762" i="3"/>
  <c r="D13761" i="3"/>
  <c r="C13761" i="3"/>
  <c r="B13761" i="3"/>
  <c r="D13760" i="3"/>
  <c r="C13760" i="3"/>
  <c r="B13760" i="3"/>
  <c r="D13759" i="3"/>
  <c r="C13759" i="3"/>
  <c r="B13759" i="3"/>
  <c r="D13758" i="3"/>
  <c r="C13758" i="3"/>
  <c r="B13758" i="3"/>
  <c r="D13757" i="3"/>
  <c r="C13757" i="3"/>
  <c r="B13757" i="3"/>
  <c r="D13756" i="3"/>
  <c r="C13756" i="3"/>
  <c r="B13756" i="3"/>
  <c r="D13755" i="3"/>
  <c r="C13755" i="3"/>
  <c r="B13755" i="3"/>
  <c r="D13754" i="3"/>
  <c r="C13754" i="3"/>
  <c r="B13754" i="3"/>
  <c r="D13753" i="3"/>
  <c r="C13753" i="3"/>
  <c r="B13753" i="3"/>
  <c r="D13752" i="3"/>
  <c r="C13752" i="3"/>
  <c r="B13752" i="3"/>
  <c r="D13751" i="3"/>
  <c r="C13751" i="3"/>
  <c r="B13751" i="3"/>
  <c r="D13750" i="3"/>
  <c r="C13750" i="3"/>
  <c r="B13750" i="3"/>
  <c r="D13749" i="3"/>
  <c r="C13749" i="3"/>
  <c r="B13749" i="3"/>
  <c r="D13748" i="3"/>
  <c r="C13748" i="3"/>
  <c r="B13748" i="3"/>
  <c r="D13747" i="3"/>
  <c r="C13747" i="3"/>
  <c r="B13747" i="3"/>
  <c r="D13746" i="3"/>
  <c r="C13746" i="3"/>
  <c r="B13746" i="3"/>
  <c r="D13745" i="3"/>
  <c r="C13745" i="3"/>
  <c r="B13745" i="3"/>
  <c r="D13744" i="3"/>
  <c r="C13744" i="3"/>
  <c r="B13744" i="3"/>
  <c r="D13743" i="3"/>
  <c r="C13743" i="3"/>
  <c r="B13743" i="3"/>
  <c r="D13742" i="3"/>
  <c r="C13742" i="3"/>
  <c r="B13742" i="3"/>
  <c r="D13741" i="3"/>
  <c r="C13741" i="3"/>
  <c r="B13741" i="3"/>
  <c r="D13740" i="3"/>
  <c r="C13740" i="3"/>
  <c r="B13740" i="3"/>
  <c r="D13739" i="3"/>
  <c r="C13739" i="3"/>
  <c r="B13739" i="3"/>
  <c r="D13738" i="3"/>
  <c r="C13738" i="3"/>
  <c r="B13738" i="3"/>
  <c r="D13737" i="3"/>
  <c r="C13737" i="3"/>
  <c r="B13737" i="3"/>
  <c r="D13736" i="3"/>
  <c r="C13736" i="3"/>
  <c r="B13736" i="3"/>
  <c r="D13735" i="3"/>
  <c r="C13735" i="3"/>
  <c r="B13735" i="3"/>
  <c r="D13734" i="3"/>
  <c r="C13734" i="3"/>
  <c r="B13734" i="3"/>
  <c r="D13733" i="3"/>
  <c r="C13733" i="3"/>
  <c r="B13733" i="3"/>
  <c r="D13732" i="3"/>
  <c r="C13732" i="3"/>
  <c r="B13732" i="3"/>
  <c r="D13731" i="3"/>
  <c r="C13731" i="3"/>
  <c r="B13731" i="3"/>
  <c r="D13730" i="3"/>
  <c r="C13730" i="3"/>
  <c r="B13730" i="3"/>
  <c r="D13729" i="3"/>
  <c r="C13729" i="3"/>
  <c r="B13729" i="3"/>
  <c r="D13728" i="3"/>
  <c r="C13728" i="3"/>
  <c r="B13728" i="3"/>
  <c r="D13727" i="3"/>
  <c r="C13727" i="3"/>
  <c r="B13727" i="3"/>
  <c r="D13726" i="3"/>
  <c r="C13726" i="3"/>
  <c r="B13726" i="3"/>
  <c r="D13725" i="3"/>
  <c r="C13725" i="3"/>
  <c r="B13725" i="3"/>
  <c r="D13724" i="3"/>
  <c r="C13724" i="3"/>
  <c r="B13724" i="3"/>
  <c r="D13723" i="3"/>
  <c r="C13723" i="3"/>
  <c r="B13723" i="3"/>
  <c r="D13722" i="3"/>
  <c r="C13722" i="3"/>
  <c r="B13722" i="3"/>
  <c r="D13721" i="3"/>
  <c r="C13721" i="3"/>
  <c r="B13721" i="3"/>
  <c r="D13720" i="3"/>
  <c r="C13720" i="3"/>
  <c r="B13720" i="3"/>
  <c r="D13719" i="3"/>
  <c r="C13719" i="3"/>
  <c r="B13719" i="3"/>
  <c r="D13718" i="3"/>
  <c r="C13718" i="3"/>
  <c r="B13718" i="3"/>
  <c r="D13717" i="3"/>
  <c r="C13717" i="3"/>
  <c r="B13717" i="3"/>
  <c r="D13716" i="3"/>
  <c r="C13716" i="3"/>
  <c r="B13716" i="3"/>
  <c r="D13715" i="3"/>
  <c r="C13715" i="3"/>
  <c r="B13715" i="3"/>
  <c r="D13714" i="3"/>
  <c r="C13714" i="3"/>
  <c r="B13714" i="3"/>
  <c r="D13713" i="3"/>
  <c r="C13713" i="3"/>
  <c r="B13713" i="3"/>
  <c r="D13712" i="3"/>
  <c r="C13712" i="3"/>
  <c r="B13712" i="3"/>
  <c r="D13711" i="3"/>
  <c r="C13711" i="3"/>
  <c r="B13711" i="3"/>
  <c r="D13710" i="3"/>
  <c r="C13710" i="3"/>
  <c r="B13710" i="3"/>
  <c r="D13709" i="3"/>
  <c r="C13709" i="3"/>
  <c r="B13709" i="3"/>
  <c r="D13708" i="3"/>
  <c r="C13708" i="3"/>
  <c r="B13708" i="3"/>
  <c r="D13707" i="3"/>
  <c r="C13707" i="3"/>
  <c r="B13707" i="3"/>
  <c r="D13706" i="3"/>
  <c r="C13706" i="3"/>
  <c r="B13706" i="3"/>
  <c r="D13705" i="3"/>
  <c r="C13705" i="3"/>
  <c r="B13705" i="3"/>
  <c r="D13704" i="3"/>
  <c r="C13704" i="3"/>
  <c r="B13704" i="3"/>
  <c r="D13703" i="3"/>
  <c r="C13703" i="3"/>
  <c r="B13703" i="3"/>
  <c r="D13702" i="3"/>
  <c r="C13702" i="3"/>
  <c r="B13702" i="3"/>
  <c r="D13701" i="3"/>
  <c r="C13701" i="3"/>
  <c r="B13701" i="3"/>
  <c r="D13700" i="3"/>
  <c r="C13700" i="3"/>
  <c r="B13700" i="3"/>
  <c r="D13699" i="3"/>
  <c r="C13699" i="3"/>
  <c r="B13699" i="3"/>
  <c r="D13698" i="3"/>
  <c r="C13698" i="3"/>
  <c r="B13698" i="3"/>
  <c r="D13697" i="3"/>
  <c r="C13697" i="3"/>
  <c r="B13697" i="3"/>
  <c r="D13696" i="3"/>
  <c r="C13696" i="3"/>
  <c r="B13696" i="3"/>
  <c r="D13695" i="3"/>
  <c r="C13695" i="3"/>
  <c r="B13695" i="3"/>
  <c r="D13694" i="3"/>
  <c r="C13694" i="3"/>
  <c r="B13694" i="3"/>
  <c r="D13693" i="3"/>
  <c r="C13693" i="3"/>
  <c r="B13693" i="3"/>
  <c r="D13692" i="3"/>
  <c r="C13692" i="3"/>
  <c r="B13692" i="3"/>
  <c r="D13691" i="3"/>
  <c r="C13691" i="3"/>
  <c r="B13691" i="3"/>
  <c r="D13690" i="3"/>
  <c r="C13690" i="3"/>
  <c r="B13690" i="3"/>
  <c r="D13689" i="3"/>
  <c r="C13689" i="3"/>
  <c r="B13689" i="3"/>
  <c r="D13688" i="3"/>
  <c r="C13688" i="3"/>
  <c r="B13688" i="3"/>
  <c r="D13687" i="3"/>
  <c r="C13687" i="3"/>
  <c r="B13687" i="3"/>
  <c r="D13686" i="3"/>
  <c r="C13686" i="3"/>
  <c r="B13686" i="3"/>
  <c r="D13685" i="3"/>
  <c r="C13685" i="3"/>
  <c r="B13685" i="3"/>
  <c r="D13684" i="3"/>
  <c r="C13684" i="3"/>
  <c r="B13684" i="3"/>
  <c r="D13683" i="3"/>
  <c r="C13683" i="3"/>
  <c r="B13683" i="3"/>
  <c r="D13682" i="3"/>
  <c r="C13682" i="3"/>
  <c r="B13682" i="3"/>
  <c r="D13681" i="3"/>
  <c r="C13681" i="3"/>
  <c r="B13681" i="3"/>
  <c r="D13680" i="3"/>
  <c r="C13680" i="3"/>
  <c r="B13680" i="3"/>
  <c r="D13679" i="3"/>
  <c r="C13679" i="3"/>
  <c r="B13679" i="3"/>
  <c r="D13678" i="3"/>
  <c r="C13678" i="3"/>
  <c r="B13678" i="3"/>
  <c r="D13677" i="3"/>
  <c r="C13677" i="3"/>
  <c r="B13677" i="3"/>
  <c r="D13676" i="3"/>
  <c r="C13676" i="3"/>
  <c r="B13676" i="3"/>
  <c r="D13675" i="3"/>
  <c r="C13675" i="3"/>
  <c r="B13675" i="3"/>
  <c r="D13674" i="3"/>
  <c r="C13674" i="3"/>
  <c r="B13674" i="3"/>
  <c r="D13673" i="3"/>
  <c r="C13673" i="3"/>
  <c r="B13673" i="3"/>
  <c r="D13672" i="3"/>
  <c r="C13672" i="3"/>
  <c r="B13672" i="3"/>
  <c r="D13671" i="3"/>
  <c r="C13671" i="3"/>
  <c r="B13671" i="3"/>
  <c r="D13670" i="3"/>
  <c r="C13670" i="3"/>
  <c r="B13670" i="3"/>
  <c r="D13669" i="3"/>
  <c r="C13669" i="3"/>
  <c r="B13669" i="3"/>
  <c r="D13668" i="3"/>
  <c r="C13668" i="3"/>
  <c r="B13668" i="3"/>
  <c r="D13667" i="3"/>
  <c r="C13667" i="3"/>
  <c r="B13667" i="3"/>
  <c r="D13666" i="3"/>
  <c r="C13666" i="3"/>
  <c r="B13666" i="3"/>
  <c r="D13665" i="3"/>
  <c r="C13665" i="3"/>
  <c r="B13665" i="3"/>
  <c r="D13664" i="3"/>
  <c r="C13664" i="3"/>
  <c r="B13664" i="3"/>
  <c r="D13663" i="3"/>
  <c r="C13663" i="3"/>
  <c r="B13663" i="3"/>
  <c r="D13662" i="3"/>
  <c r="C13662" i="3"/>
  <c r="B13662" i="3"/>
  <c r="D13661" i="3"/>
  <c r="C13661" i="3"/>
  <c r="B13661" i="3"/>
  <c r="D13660" i="3"/>
  <c r="C13660" i="3"/>
  <c r="B13660" i="3"/>
  <c r="D13659" i="3"/>
  <c r="C13659" i="3"/>
  <c r="B13659" i="3"/>
  <c r="D13658" i="3"/>
  <c r="C13658" i="3"/>
  <c r="B13658" i="3"/>
  <c r="D13657" i="3"/>
  <c r="C13657" i="3"/>
  <c r="B13657" i="3"/>
  <c r="D13656" i="3"/>
  <c r="C13656" i="3"/>
  <c r="B13656" i="3"/>
  <c r="D13655" i="3"/>
  <c r="C13655" i="3"/>
  <c r="B13655" i="3"/>
  <c r="D13654" i="3"/>
  <c r="C13654" i="3"/>
  <c r="B13654" i="3"/>
  <c r="D13653" i="3"/>
  <c r="C13653" i="3"/>
  <c r="B13653" i="3"/>
  <c r="D13652" i="3"/>
  <c r="C13652" i="3"/>
  <c r="B13652" i="3"/>
  <c r="D13651" i="3"/>
  <c r="C13651" i="3"/>
  <c r="B13651" i="3"/>
  <c r="D13650" i="3"/>
  <c r="C13650" i="3"/>
  <c r="B13650" i="3"/>
  <c r="D13649" i="3"/>
  <c r="C13649" i="3"/>
  <c r="B13649" i="3"/>
  <c r="D13648" i="3"/>
  <c r="C13648" i="3"/>
  <c r="B13648" i="3"/>
  <c r="D13647" i="3"/>
  <c r="C13647" i="3"/>
  <c r="B13647" i="3"/>
  <c r="D13646" i="3"/>
  <c r="C13646" i="3"/>
  <c r="B13646" i="3"/>
  <c r="D13645" i="3"/>
  <c r="C13645" i="3"/>
  <c r="B13645" i="3"/>
  <c r="D13644" i="3"/>
  <c r="C13644" i="3"/>
  <c r="B13644" i="3"/>
  <c r="D13643" i="3"/>
  <c r="C13643" i="3"/>
  <c r="B13643" i="3"/>
  <c r="D13642" i="3"/>
  <c r="C13642" i="3"/>
  <c r="B13642" i="3"/>
  <c r="D13641" i="3"/>
  <c r="C13641" i="3"/>
  <c r="B13641" i="3"/>
  <c r="D13640" i="3"/>
  <c r="C13640" i="3"/>
  <c r="B13640" i="3"/>
  <c r="D13639" i="3"/>
  <c r="C13639" i="3"/>
  <c r="B13639" i="3"/>
  <c r="D13638" i="3"/>
  <c r="C13638" i="3"/>
  <c r="B13638" i="3"/>
  <c r="D13637" i="3"/>
  <c r="C13637" i="3"/>
  <c r="B13637" i="3"/>
  <c r="D13636" i="3"/>
  <c r="C13636" i="3"/>
  <c r="B13636" i="3"/>
  <c r="D13635" i="3"/>
  <c r="C13635" i="3"/>
  <c r="B13635" i="3"/>
  <c r="D13634" i="3"/>
  <c r="C13634" i="3"/>
  <c r="B13634" i="3"/>
  <c r="D13633" i="3"/>
  <c r="C13633" i="3"/>
  <c r="B13633" i="3"/>
  <c r="D13632" i="3"/>
  <c r="C13632" i="3"/>
  <c r="B13632" i="3"/>
  <c r="D13631" i="3"/>
  <c r="C13631" i="3"/>
  <c r="B13631" i="3"/>
  <c r="D13630" i="3"/>
  <c r="C13630" i="3"/>
  <c r="B13630" i="3"/>
  <c r="D13629" i="3"/>
  <c r="C13629" i="3"/>
  <c r="B13629" i="3"/>
  <c r="D13628" i="3"/>
  <c r="C13628" i="3"/>
  <c r="B13628" i="3"/>
  <c r="D13627" i="3"/>
  <c r="C13627" i="3"/>
  <c r="B13627" i="3"/>
  <c r="D13626" i="3"/>
  <c r="C13626" i="3"/>
  <c r="B13626" i="3"/>
  <c r="D13625" i="3"/>
  <c r="C13625" i="3"/>
  <c r="B13625" i="3"/>
  <c r="D13624" i="3"/>
  <c r="C13624" i="3"/>
  <c r="B13624" i="3"/>
  <c r="D13623" i="3"/>
  <c r="C13623" i="3"/>
  <c r="B13623" i="3"/>
  <c r="D13622" i="3"/>
  <c r="C13622" i="3"/>
  <c r="B13622" i="3"/>
  <c r="D13621" i="3"/>
  <c r="C13621" i="3"/>
  <c r="B13621" i="3"/>
  <c r="D13620" i="3"/>
  <c r="C13620" i="3"/>
  <c r="B13620" i="3"/>
  <c r="D13619" i="3"/>
  <c r="C13619" i="3"/>
  <c r="B13619" i="3"/>
  <c r="D13618" i="3"/>
  <c r="C13618" i="3"/>
  <c r="B13618" i="3"/>
  <c r="D13617" i="3"/>
  <c r="C13617" i="3"/>
  <c r="B13617" i="3"/>
  <c r="D13616" i="3"/>
  <c r="C13616" i="3"/>
  <c r="B13616" i="3"/>
  <c r="D13615" i="3"/>
  <c r="C13615" i="3"/>
  <c r="B13615" i="3"/>
  <c r="D13614" i="3"/>
  <c r="C13614" i="3"/>
  <c r="B13614" i="3"/>
  <c r="D13613" i="3"/>
  <c r="C13613" i="3"/>
  <c r="B13613" i="3"/>
  <c r="D13612" i="3"/>
  <c r="C13612" i="3"/>
  <c r="B13612" i="3"/>
  <c r="D13611" i="3"/>
  <c r="C13611" i="3"/>
  <c r="B13611" i="3"/>
  <c r="D13610" i="3"/>
  <c r="C13610" i="3"/>
  <c r="B13610" i="3"/>
  <c r="D13609" i="3"/>
  <c r="C13609" i="3"/>
  <c r="B13609" i="3"/>
  <c r="D13608" i="3"/>
  <c r="C13608" i="3"/>
  <c r="B13608" i="3"/>
  <c r="D13607" i="3"/>
  <c r="C13607" i="3"/>
  <c r="B13607" i="3"/>
  <c r="D13606" i="3"/>
  <c r="C13606" i="3"/>
  <c r="B13606" i="3"/>
  <c r="D13605" i="3"/>
  <c r="C13605" i="3"/>
  <c r="B13605" i="3"/>
  <c r="D13604" i="3"/>
  <c r="C13604" i="3"/>
  <c r="B13604" i="3"/>
  <c r="D13603" i="3"/>
  <c r="C13603" i="3"/>
  <c r="B13603" i="3"/>
  <c r="D13602" i="3"/>
  <c r="C13602" i="3"/>
  <c r="B13602" i="3"/>
  <c r="D13601" i="3"/>
  <c r="C13601" i="3"/>
  <c r="B13601" i="3"/>
  <c r="D13600" i="3"/>
  <c r="C13600" i="3"/>
  <c r="B13600" i="3"/>
  <c r="D13599" i="3"/>
  <c r="C13599" i="3"/>
  <c r="B13599" i="3"/>
  <c r="D13598" i="3"/>
  <c r="C13598" i="3"/>
  <c r="B13598" i="3"/>
  <c r="D13597" i="3"/>
  <c r="C13597" i="3"/>
  <c r="B13597" i="3"/>
  <c r="D13596" i="3"/>
  <c r="C13596" i="3"/>
  <c r="B13596" i="3"/>
  <c r="D13595" i="3"/>
  <c r="C13595" i="3"/>
  <c r="B13595" i="3"/>
  <c r="D13594" i="3"/>
  <c r="C13594" i="3"/>
  <c r="B13594" i="3"/>
  <c r="D13593" i="3"/>
  <c r="C13593" i="3"/>
  <c r="B13593" i="3"/>
  <c r="D13592" i="3"/>
  <c r="C13592" i="3"/>
  <c r="B13592" i="3"/>
  <c r="D13591" i="3"/>
  <c r="C13591" i="3"/>
  <c r="B13591" i="3"/>
  <c r="D13590" i="3"/>
  <c r="C13590" i="3"/>
  <c r="B13590" i="3"/>
  <c r="D13589" i="3"/>
  <c r="C13589" i="3"/>
  <c r="B13589" i="3"/>
  <c r="D13588" i="3"/>
  <c r="C13588" i="3"/>
  <c r="B13588" i="3"/>
  <c r="D13587" i="3"/>
  <c r="C13587" i="3"/>
  <c r="B13587" i="3"/>
  <c r="D13586" i="3"/>
  <c r="C13586" i="3"/>
  <c r="B13586" i="3"/>
  <c r="D13585" i="3"/>
  <c r="C13585" i="3"/>
  <c r="B13585" i="3"/>
  <c r="D13584" i="3"/>
  <c r="C13584" i="3"/>
  <c r="B13584" i="3"/>
  <c r="D13583" i="3"/>
  <c r="C13583" i="3"/>
  <c r="B13583" i="3"/>
  <c r="D13582" i="3"/>
  <c r="C13582" i="3"/>
  <c r="B13582" i="3"/>
  <c r="D13581" i="3"/>
  <c r="C13581" i="3"/>
  <c r="B13581" i="3"/>
  <c r="D13580" i="3"/>
  <c r="C13580" i="3"/>
  <c r="B13580" i="3"/>
  <c r="D13579" i="3"/>
  <c r="C13579" i="3"/>
  <c r="B13579" i="3"/>
  <c r="D13578" i="3"/>
  <c r="C13578" i="3"/>
  <c r="B13578" i="3"/>
  <c r="D13577" i="3"/>
  <c r="C13577" i="3"/>
  <c r="B13577" i="3"/>
  <c r="D13576" i="3"/>
  <c r="C13576" i="3"/>
  <c r="B13576" i="3"/>
  <c r="D13575" i="3"/>
  <c r="C13575" i="3"/>
  <c r="B13575" i="3"/>
  <c r="D13574" i="3"/>
  <c r="C13574" i="3"/>
  <c r="B13574" i="3"/>
  <c r="D13573" i="3"/>
  <c r="C13573" i="3"/>
  <c r="B13573" i="3"/>
  <c r="D13572" i="3"/>
  <c r="C13572" i="3"/>
  <c r="B13572" i="3"/>
  <c r="D13571" i="3"/>
  <c r="C13571" i="3"/>
  <c r="B13571" i="3"/>
  <c r="D13570" i="3"/>
  <c r="C13570" i="3"/>
  <c r="B13570" i="3"/>
  <c r="D13569" i="3"/>
  <c r="C13569" i="3"/>
  <c r="B13569" i="3"/>
  <c r="D13568" i="3"/>
  <c r="C13568" i="3"/>
  <c r="B13568" i="3"/>
  <c r="D13567" i="3"/>
  <c r="C13567" i="3"/>
  <c r="B13567" i="3"/>
  <c r="D13566" i="3"/>
  <c r="C13566" i="3"/>
  <c r="B13566" i="3"/>
  <c r="D13565" i="3"/>
  <c r="C13565" i="3"/>
  <c r="B13565" i="3"/>
  <c r="D13564" i="3"/>
  <c r="C13564" i="3"/>
  <c r="B13564" i="3"/>
  <c r="D13563" i="3"/>
  <c r="C13563" i="3"/>
  <c r="B13563" i="3"/>
  <c r="D13562" i="3"/>
  <c r="C13562" i="3"/>
  <c r="B13562" i="3"/>
  <c r="D13561" i="3"/>
  <c r="C13561" i="3"/>
  <c r="B13561" i="3"/>
  <c r="D13560" i="3"/>
  <c r="C13560" i="3"/>
  <c r="B13560" i="3"/>
  <c r="D13559" i="3"/>
  <c r="C13559" i="3"/>
  <c r="B13559" i="3"/>
  <c r="D13558" i="3"/>
  <c r="C13558" i="3"/>
  <c r="B13558" i="3"/>
  <c r="D13557" i="3"/>
  <c r="C13557" i="3"/>
  <c r="B13557" i="3"/>
  <c r="D13556" i="3"/>
  <c r="C13556" i="3"/>
  <c r="B13556" i="3"/>
  <c r="D13555" i="3"/>
  <c r="C13555" i="3"/>
  <c r="B13555" i="3"/>
  <c r="D13554" i="3"/>
  <c r="C13554" i="3"/>
  <c r="B13554" i="3"/>
  <c r="D13553" i="3"/>
  <c r="C13553" i="3"/>
  <c r="B13553" i="3"/>
  <c r="D13552" i="3"/>
  <c r="C13552" i="3"/>
  <c r="B13552" i="3"/>
  <c r="D13551" i="3"/>
  <c r="C13551" i="3"/>
  <c r="B13551" i="3"/>
  <c r="D13550" i="3"/>
  <c r="C13550" i="3"/>
  <c r="B13550" i="3"/>
  <c r="D13549" i="3"/>
  <c r="C13549" i="3"/>
  <c r="B13549" i="3"/>
  <c r="D13548" i="3"/>
  <c r="C13548" i="3"/>
  <c r="B13548" i="3"/>
  <c r="D13547" i="3"/>
  <c r="C13547" i="3"/>
  <c r="B13547" i="3"/>
  <c r="D13546" i="3"/>
  <c r="C13546" i="3"/>
  <c r="B13546" i="3"/>
  <c r="D13545" i="3"/>
  <c r="C13545" i="3"/>
  <c r="B13545" i="3"/>
  <c r="D13544" i="3"/>
  <c r="C13544" i="3"/>
  <c r="B13544" i="3"/>
  <c r="D13543" i="3"/>
  <c r="C13543" i="3"/>
  <c r="B13543" i="3"/>
  <c r="D13542" i="3"/>
  <c r="C13542" i="3"/>
  <c r="B13542" i="3"/>
  <c r="D13541" i="3"/>
  <c r="C13541" i="3"/>
  <c r="B13541" i="3"/>
  <c r="D13540" i="3"/>
  <c r="C13540" i="3"/>
  <c r="B13540" i="3"/>
  <c r="D13539" i="3"/>
  <c r="C13539" i="3"/>
  <c r="B13539" i="3"/>
  <c r="D13538" i="3"/>
  <c r="C13538" i="3"/>
  <c r="B13538" i="3"/>
  <c r="D13537" i="3"/>
  <c r="C13537" i="3"/>
  <c r="B13537" i="3"/>
  <c r="D13536" i="3"/>
  <c r="C13536" i="3"/>
  <c r="B13536" i="3"/>
  <c r="D13535" i="3"/>
  <c r="C13535" i="3"/>
  <c r="B13535" i="3"/>
  <c r="D13534" i="3"/>
  <c r="C13534" i="3"/>
  <c r="B13534" i="3"/>
  <c r="D13533" i="3"/>
  <c r="C13533" i="3"/>
  <c r="B13533" i="3"/>
  <c r="D13532" i="3"/>
  <c r="C13532" i="3"/>
  <c r="B13532" i="3"/>
  <c r="D13531" i="3"/>
  <c r="C13531" i="3"/>
  <c r="B13531" i="3"/>
  <c r="D13530" i="3"/>
  <c r="C13530" i="3"/>
  <c r="B13530" i="3"/>
  <c r="D13529" i="3"/>
  <c r="C13529" i="3"/>
  <c r="B13529" i="3"/>
  <c r="D13528" i="3"/>
  <c r="C13528" i="3"/>
  <c r="B13528" i="3"/>
  <c r="D13527" i="3"/>
  <c r="C13527" i="3"/>
  <c r="B13527" i="3"/>
  <c r="D13526" i="3"/>
  <c r="C13526" i="3"/>
  <c r="B13526" i="3"/>
  <c r="D13525" i="3"/>
  <c r="C13525" i="3"/>
  <c r="B13525" i="3"/>
  <c r="D13524" i="3"/>
  <c r="C13524" i="3"/>
  <c r="B13524" i="3"/>
  <c r="D13523" i="3"/>
  <c r="C13523" i="3"/>
  <c r="B13523" i="3"/>
  <c r="D13522" i="3"/>
  <c r="C13522" i="3"/>
  <c r="B13522" i="3"/>
  <c r="D13521" i="3"/>
  <c r="C13521" i="3"/>
  <c r="B13521" i="3"/>
  <c r="D13520" i="3"/>
  <c r="C13520" i="3"/>
  <c r="B13520" i="3"/>
  <c r="D13519" i="3"/>
  <c r="C13519" i="3"/>
  <c r="B13519" i="3"/>
  <c r="D13518" i="3"/>
  <c r="C13518" i="3"/>
  <c r="B13518" i="3"/>
  <c r="D13517" i="3"/>
  <c r="C13517" i="3"/>
  <c r="B13517" i="3"/>
  <c r="D13516" i="3"/>
  <c r="C13516" i="3"/>
  <c r="B13516" i="3"/>
  <c r="D13515" i="3"/>
  <c r="C13515" i="3"/>
  <c r="B13515" i="3"/>
  <c r="D13514" i="3"/>
  <c r="C13514" i="3"/>
  <c r="B13514" i="3"/>
  <c r="D13513" i="3"/>
  <c r="C13513" i="3"/>
  <c r="B13513" i="3"/>
  <c r="D13512" i="3"/>
  <c r="C13512" i="3"/>
  <c r="B13512" i="3"/>
  <c r="D13511" i="3"/>
  <c r="C13511" i="3"/>
  <c r="B13511" i="3"/>
  <c r="D13510" i="3"/>
  <c r="C13510" i="3"/>
  <c r="B13510" i="3"/>
  <c r="D13509" i="3"/>
  <c r="C13509" i="3"/>
  <c r="B13509" i="3"/>
  <c r="D13508" i="3"/>
  <c r="C13508" i="3"/>
  <c r="B13508" i="3"/>
  <c r="D13507" i="3"/>
  <c r="C13507" i="3"/>
  <c r="B13507" i="3"/>
  <c r="D13506" i="3"/>
  <c r="C13506" i="3"/>
  <c r="B13506" i="3"/>
  <c r="D13505" i="3"/>
  <c r="C13505" i="3"/>
  <c r="B13505" i="3"/>
  <c r="D13504" i="3"/>
  <c r="C13504" i="3"/>
  <c r="B13504" i="3"/>
  <c r="D13503" i="3"/>
  <c r="C13503" i="3"/>
  <c r="B13503" i="3"/>
  <c r="D13502" i="3"/>
  <c r="C13502" i="3"/>
  <c r="B13502" i="3"/>
  <c r="D13501" i="3"/>
  <c r="C13501" i="3"/>
  <c r="B13501" i="3"/>
  <c r="D13500" i="3"/>
  <c r="C13500" i="3"/>
  <c r="B13500" i="3"/>
  <c r="D13499" i="3"/>
  <c r="C13499" i="3"/>
  <c r="B13499" i="3"/>
  <c r="D13498" i="3"/>
  <c r="C13498" i="3"/>
  <c r="B13498" i="3"/>
  <c r="D13497" i="3"/>
  <c r="C13497" i="3"/>
  <c r="B13497" i="3"/>
  <c r="D13496" i="3"/>
  <c r="C13496" i="3"/>
  <c r="B13496" i="3"/>
  <c r="D13495" i="3"/>
  <c r="C13495" i="3"/>
  <c r="B13495" i="3"/>
  <c r="D13494" i="3"/>
  <c r="C13494" i="3"/>
  <c r="B13494" i="3"/>
  <c r="D13493" i="3"/>
  <c r="C13493" i="3"/>
  <c r="B13493" i="3"/>
  <c r="D13492" i="3"/>
  <c r="C13492" i="3"/>
  <c r="B13492" i="3"/>
  <c r="D13491" i="3"/>
  <c r="C13491" i="3"/>
  <c r="B13491" i="3"/>
  <c r="D13490" i="3"/>
  <c r="C13490" i="3"/>
  <c r="B13490" i="3"/>
  <c r="D13489" i="3"/>
  <c r="C13489" i="3"/>
  <c r="B13489" i="3"/>
  <c r="D13488" i="3"/>
  <c r="C13488" i="3"/>
  <c r="B13488" i="3"/>
  <c r="D13487" i="3"/>
  <c r="C13487" i="3"/>
  <c r="B13487" i="3"/>
  <c r="D13486" i="3"/>
  <c r="C13486" i="3"/>
  <c r="B13486" i="3"/>
  <c r="D13485" i="3"/>
  <c r="C13485" i="3"/>
  <c r="B13485" i="3"/>
  <c r="D13484" i="3"/>
  <c r="C13484" i="3"/>
  <c r="B13484" i="3"/>
  <c r="D13483" i="3"/>
  <c r="C13483" i="3"/>
  <c r="B13483" i="3"/>
  <c r="D13482" i="3"/>
  <c r="C13482" i="3"/>
  <c r="B13482" i="3"/>
  <c r="D13481" i="3"/>
  <c r="C13481" i="3"/>
  <c r="B13481" i="3"/>
  <c r="D13480" i="3"/>
  <c r="C13480" i="3"/>
  <c r="B13480" i="3"/>
  <c r="D13479" i="3"/>
  <c r="C13479" i="3"/>
  <c r="B13479" i="3"/>
  <c r="D13478" i="3"/>
  <c r="C13478" i="3"/>
  <c r="B13478" i="3"/>
  <c r="D13477" i="3"/>
  <c r="C13477" i="3"/>
  <c r="B13477" i="3"/>
  <c r="D13476" i="3"/>
  <c r="C13476" i="3"/>
  <c r="B13476" i="3"/>
  <c r="D13475" i="3"/>
  <c r="C13475" i="3"/>
  <c r="B13475" i="3"/>
  <c r="D13474" i="3"/>
  <c r="C13474" i="3"/>
  <c r="B13474" i="3"/>
  <c r="D13473" i="3"/>
  <c r="C13473" i="3"/>
  <c r="B13473" i="3"/>
  <c r="D13472" i="3"/>
  <c r="C13472" i="3"/>
  <c r="B13472" i="3"/>
  <c r="D13471" i="3"/>
  <c r="C13471" i="3"/>
  <c r="B13471" i="3"/>
  <c r="D13470" i="3"/>
  <c r="C13470" i="3"/>
  <c r="B13470" i="3"/>
  <c r="D13469" i="3"/>
  <c r="C13469" i="3"/>
  <c r="B13469" i="3"/>
  <c r="D13468" i="3"/>
  <c r="C13468" i="3"/>
  <c r="B13468" i="3"/>
  <c r="D13467" i="3"/>
  <c r="C13467" i="3"/>
  <c r="B13467" i="3"/>
  <c r="D13466" i="3"/>
  <c r="C13466" i="3"/>
  <c r="B13466" i="3"/>
  <c r="D13465" i="3"/>
  <c r="C13465" i="3"/>
  <c r="B13465" i="3"/>
  <c r="D13464" i="3"/>
  <c r="C13464" i="3"/>
  <c r="B13464" i="3"/>
  <c r="D13463" i="3"/>
  <c r="C13463" i="3"/>
  <c r="B13463" i="3"/>
  <c r="D13462" i="3"/>
  <c r="C13462" i="3"/>
  <c r="B13462" i="3"/>
  <c r="D13461" i="3"/>
  <c r="C13461" i="3"/>
  <c r="B13461" i="3"/>
  <c r="D13460" i="3"/>
  <c r="C13460" i="3"/>
  <c r="B13460" i="3"/>
  <c r="D13459" i="3"/>
  <c r="C13459" i="3"/>
  <c r="B13459" i="3"/>
  <c r="D13458" i="3"/>
  <c r="C13458" i="3"/>
  <c r="B13458" i="3"/>
  <c r="D13457" i="3"/>
  <c r="C13457" i="3"/>
  <c r="B13457" i="3"/>
  <c r="D13456" i="3"/>
  <c r="C13456" i="3"/>
  <c r="B13456" i="3"/>
  <c r="D13455" i="3"/>
  <c r="C13455" i="3"/>
  <c r="B13455" i="3"/>
  <c r="D13454" i="3"/>
  <c r="C13454" i="3"/>
  <c r="B13454" i="3"/>
  <c r="D13453" i="3"/>
  <c r="C13453" i="3"/>
  <c r="B13453" i="3"/>
  <c r="D13452" i="3"/>
  <c r="C13452" i="3"/>
  <c r="B13452" i="3"/>
  <c r="D13451" i="3"/>
  <c r="C13451" i="3"/>
  <c r="B13451" i="3"/>
  <c r="D13450" i="3"/>
  <c r="C13450" i="3"/>
  <c r="B13450" i="3"/>
  <c r="D13449" i="3"/>
  <c r="C13449" i="3"/>
  <c r="B13449" i="3"/>
  <c r="D13448" i="3"/>
  <c r="C13448" i="3"/>
  <c r="B13448" i="3"/>
  <c r="D13447" i="3"/>
  <c r="C13447" i="3"/>
  <c r="B13447" i="3"/>
  <c r="D13446" i="3"/>
  <c r="C13446" i="3"/>
  <c r="B13446" i="3"/>
  <c r="D13445" i="3"/>
  <c r="C13445" i="3"/>
  <c r="B13445" i="3"/>
  <c r="D13444" i="3"/>
  <c r="C13444" i="3"/>
  <c r="B13444" i="3"/>
  <c r="D13443" i="3"/>
  <c r="C13443" i="3"/>
  <c r="B13443" i="3"/>
  <c r="D13442" i="3"/>
  <c r="C13442" i="3"/>
  <c r="B13442" i="3"/>
  <c r="D13441" i="3"/>
  <c r="C13441" i="3"/>
  <c r="B13441" i="3"/>
  <c r="D13440" i="3"/>
  <c r="C13440" i="3"/>
  <c r="B13440" i="3"/>
  <c r="D13439" i="3"/>
  <c r="C13439" i="3"/>
  <c r="B13439" i="3"/>
  <c r="D13438" i="3"/>
  <c r="C13438" i="3"/>
  <c r="B13438" i="3"/>
  <c r="D13437" i="3"/>
  <c r="C13437" i="3"/>
  <c r="B13437" i="3"/>
  <c r="D13436" i="3"/>
  <c r="C13436" i="3"/>
  <c r="B13436" i="3"/>
  <c r="D13435" i="3"/>
  <c r="C13435" i="3"/>
  <c r="B13435" i="3"/>
  <c r="D13434" i="3"/>
  <c r="C13434" i="3"/>
  <c r="B13434" i="3"/>
  <c r="D13433" i="3"/>
  <c r="C13433" i="3"/>
  <c r="B13433" i="3"/>
  <c r="D13432" i="3"/>
  <c r="C13432" i="3"/>
  <c r="B13432" i="3"/>
  <c r="D13431" i="3"/>
  <c r="C13431" i="3"/>
  <c r="B13431" i="3"/>
  <c r="D13430" i="3"/>
  <c r="C13430" i="3"/>
  <c r="B13430" i="3"/>
  <c r="D13429" i="3"/>
  <c r="C13429" i="3"/>
  <c r="B13429" i="3"/>
  <c r="D13428" i="3"/>
  <c r="C13428" i="3"/>
  <c r="B13428" i="3"/>
  <c r="D13427" i="3"/>
  <c r="C13427" i="3"/>
  <c r="B13427" i="3"/>
  <c r="D13426" i="3"/>
  <c r="C13426" i="3"/>
  <c r="B13426" i="3"/>
  <c r="D13425" i="3"/>
  <c r="C13425" i="3"/>
  <c r="B13425" i="3"/>
  <c r="D13424" i="3"/>
  <c r="C13424" i="3"/>
  <c r="B13424" i="3"/>
  <c r="D13423" i="3"/>
  <c r="C13423" i="3"/>
  <c r="B13423" i="3"/>
  <c r="D13422" i="3"/>
  <c r="C13422" i="3"/>
  <c r="B13422" i="3"/>
  <c r="D13421" i="3"/>
  <c r="C13421" i="3"/>
  <c r="B13421" i="3"/>
  <c r="D13420" i="3"/>
  <c r="C13420" i="3"/>
  <c r="B13420" i="3"/>
  <c r="D13419" i="3"/>
  <c r="C13419" i="3"/>
  <c r="B13419" i="3"/>
  <c r="D13418" i="3"/>
  <c r="C13418" i="3"/>
  <c r="B13418" i="3"/>
  <c r="D13417" i="3"/>
  <c r="C13417" i="3"/>
  <c r="B13417" i="3"/>
  <c r="D13416" i="3"/>
  <c r="C13416" i="3"/>
  <c r="B13416" i="3"/>
  <c r="D13415" i="3"/>
  <c r="C13415" i="3"/>
  <c r="B13415" i="3"/>
  <c r="D13414" i="3"/>
  <c r="C13414" i="3"/>
  <c r="B13414" i="3"/>
  <c r="D13413" i="3"/>
  <c r="C13413" i="3"/>
  <c r="B13413" i="3"/>
  <c r="D13412" i="3"/>
  <c r="C13412" i="3"/>
  <c r="B13412" i="3"/>
  <c r="D13411" i="3"/>
  <c r="C13411" i="3"/>
  <c r="B13411" i="3"/>
  <c r="D13410" i="3"/>
  <c r="C13410" i="3"/>
  <c r="B13410" i="3"/>
  <c r="D13409" i="3"/>
  <c r="C13409" i="3"/>
  <c r="B13409" i="3"/>
  <c r="D13408" i="3"/>
  <c r="C13408" i="3"/>
  <c r="B13408" i="3"/>
  <c r="D13407" i="3"/>
  <c r="C13407" i="3"/>
  <c r="B13407" i="3"/>
  <c r="D13406" i="3"/>
  <c r="C13406" i="3"/>
  <c r="B13406" i="3"/>
  <c r="D13405" i="3"/>
  <c r="C13405" i="3"/>
  <c r="B13405" i="3"/>
  <c r="D13404" i="3"/>
  <c r="C13404" i="3"/>
  <c r="B13404" i="3"/>
  <c r="D13403" i="3"/>
  <c r="C13403" i="3"/>
  <c r="B13403" i="3"/>
  <c r="D13402" i="3"/>
  <c r="C13402" i="3"/>
  <c r="B13402" i="3"/>
  <c r="D13401" i="3"/>
  <c r="C13401" i="3"/>
  <c r="B13401" i="3"/>
  <c r="D13400" i="3"/>
  <c r="C13400" i="3"/>
  <c r="B13400" i="3"/>
  <c r="D13399" i="3"/>
  <c r="C13399" i="3"/>
  <c r="B13399" i="3"/>
  <c r="D13398" i="3"/>
  <c r="C13398" i="3"/>
  <c r="B13398" i="3"/>
  <c r="D13397" i="3"/>
  <c r="C13397" i="3"/>
  <c r="B13397" i="3"/>
  <c r="D13396" i="3"/>
  <c r="C13396" i="3"/>
  <c r="B13396" i="3"/>
  <c r="D13395" i="3"/>
  <c r="C13395" i="3"/>
  <c r="B13395" i="3"/>
  <c r="D13394" i="3"/>
  <c r="C13394" i="3"/>
  <c r="B13394" i="3"/>
  <c r="D13393" i="3"/>
  <c r="C13393" i="3"/>
  <c r="B13393" i="3"/>
  <c r="D13392" i="3"/>
  <c r="C13392" i="3"/>
  <c r="B13392" i="3"/>
  <c r="D13391" i="3"/>
  <c r="C13391" i="3"/>
  <c r="B13391" i="3"/>
  <c r="D13390" i="3"/>
  <c r="C13390" i="3"/>
  <c r="B13390" i="3"/>
  <c r="D13389" i="3"/>
  <c r="C13389" i="3"/>
  <c r="B13389" i="3"/>
  <c r="D13388" i="3"/>
  <c r="C13388" i="3"/>
  <c r="B13388" i="3"/>
  <c r="D13387" i="3"/>
  <c r="C13387" i="3"/>
  <c r="B13387" i="3"/>
  <c r="D13386" i="3"/>
  <c r="C13386" i="3"/>
  <c r="B13386" i="3"/>
  <c r="D13385" i="3"/>
  <c r="C13385" i="3"/>
  <c r="B13385" i="3"/>
  <c r="D13384" i="3"/>
  <c r="C13384" i="3"/>
  <c r="B13384" i="3"/>
  <c r="D13383" i="3"/>
  <c r="C13383" i="3"/>
  <c r="B13383" i="3"/>
  <c r="D13382" i="3"/>
  <c r="C13382" i="3"/>
  <c r="B13382" i="3"/>
  <c r="D13381" i="3"/>
  <c r="C13381" i="3"/>
  <c r="B13381" i="3"/>
  <c r="D13380" i="3"/>
  <c r="C13380" i="3"/>
  <c r="B13380" i="3"/>
  <c r="D13379" i="3"/>
  <c r="C13379" i="3"/>
  <c r="B13379" i="3"/>
  <c r="D13378" i="3"/>
  <c r="C13378" i="3"/>
  <c r="B13378" i="3"/>
  <c r="D13377" i="3"/>
  <c r="C13377" i="3"/>
  <c r="B13377" i="3"/>
  <c r="D13376" i="3"/>
  <c r="C13376" i="3"/>
  <c r="B13376" i="3"/>
  <c r="D13375" i="3"/>
  <c r="C13375" i="3"/>
  <c r="B13375" i="3"/>
  <c r="D13374" i="3"/>
  <c r="C13374" i="3"/>
  <c r="B13374" i="3"/>
  <c r="D13373" i="3"/>
  <c r="C13373" i="3"/>
  <c r="B13373" i="3"/>
  <c r="D13372" i="3"/>
  <c r="C13372" i="3"/>
  <c r="B13372" i="3"/>
  <c r="D13371" i="3"/>
  <c r="C13371" i="3"/>
  <c r="B13371" i="3"/>
  <c r="D13370" i="3"/>
  <c r="C13370" i="3"/>
  <c r="B13370" i="3"/>
  <c r="D13369" i="3"/>
  <c r="C13369" i="3"/>
  <c r="B13369" i="3"/>
  <c r="D13368" i="3"/>
  <c r="C13368" i="3"/>
  <c r="B13368" i="3"/>
  <c r="D13367" i="3"/>
  <c r="C13367" i="3"/>
  <c r="B13367" i="3"/>
  <c r="D13366" i="3"/>
  <c r="C13366" i="3"/>
  <c r="B13366" i="3"/>
  <c r="D13365" i="3"/>
  <c r="C13365" i="3"/>
  <c r="B13365" i="3"/>
  <c r="D13364" i="3"/>
  <c r="C13364" i="3"/>
  <c r="B13364" i="3"/>
  <c r="D13363" i="3"/>
  <c r="C13363" i="3"/>
  <c r="B13363" i="3"/>
  <c r="D13362" i="3"/>
  <c r="C13362" i="3"/>
  <c r="B13362" i="3"/>
  <c r="D13361" i="3"/>
  <c r="C13361" i="3"/>
  <c r="B13361" i="3"/>
  <c r="D13360" i="3"/>
  <c r="C13360" i="3"/>
  <c r="B13360" i="3"/>
  <c r="D13359" i="3"/>
  <c r="C13359" i="3"/>
  <c r="B13359" i="3"/>
  <c r="D13358" i="3"/>
  <c r="C13358" i="3"/>
  <c r="B13358" i="3"/>
  <c r="D13357" i="3"/>
  <c r="C13357" i="3"/>
  <c r="B13357" i="3"/>
  <c r="D13356" i="3"/>
  <c r="C13356" i="3"/>
  <c r="B13356" i="3"/>
  <c r="D13355" i="3"/>
  <c r="C13355" i="3"/>
  <c r="B13355" i="3"/>
  <c r="D13354" i="3"/>
  <c r="C13354" i="3"/>
  <c r="B13354" i="3"/>
  <c r="D13353" i="3"/>
  <c r="C13353" i="3"/>
  <c r="B13353" i="3"/>
  <c r="D13352" i="3"/>
  <c r="C13352" i="3"/>
  <c r="B13352" i="3"/>
  <c r="D13351" i="3"/>
  <c r="C13351" i="3"/>
  <c r="B13351" i="3"/>
  <c r="D13350" i="3"/>
  <c r="C13350" i="3"/>
  <c r="B13350" i="3"/>
  <c r="D13349" i="3"/>
  <c r="C13349" i="3"/>
  <c r="B13349" i="3"/>
  <c r="D13348" i="3"/>
  <c r="C13348" i="3"/>
  <c r="B13348" i="3"/>
  <c r="D13347" i="3"/>
  <c r="C13347" i="3"/>
  <c r="B13347" i="3"/>
  <c r="D13346" i="3"/>
  <c r="C13346" i="3"/>
  <c r="B13346" i="3"/>
  <c r="D13345" i="3"/>
  <c r="C13345" i="3"/>
  <c r="B13345" i="3"/>
  <c r="D13344" i="3"/>
  <c r="C13344" i="3"/>
  <c r="B13344" i="3"/>
  <c r="D13343" i="3"/>
  <c r="C13343" i="3"/>
  <c r="B13343" i="3"/>
  <c r="D13342" i="3"/>
  <c r="C13342" i="3"/>
  <c r="B13342" i="3"/>
  <c r="D13341" i="3"/>
  <c r="C13341" i="3"/>
  <c r="B13341" i="3"/>
  <c r="D13340" i="3"/>
  <c r="C13340" i="3"/>
  <c r="B13340" i="3"/>
  <c r="D13339" i="3"/>
  <c r="C13339" i="3"/>
  <c r="B13339" i="3"/>
  <c r="D13338" i="3"/>
  <c r="C13338" i="3"/>
  <c r="B13338" i="3"/>
  <c r="D13337" i="3"/>
  <c r="C13337" i="3"/>
  <c r="B13337" i="3"/>
  <c r="D13336" i="3"/>
  <c r="C13336" i="3"/>
  <c r="B13336" i="3"/>
  <c r="D13335" i="3"/>
  <c r="C13335" i="3"/>
  <c r="B13335" i="3"/>
  <c r="D13334" i="3"/>
  <c r="C13334" i="3"/>
  <c r="B13334" i="3"/>
  <c r="D13333" i="3"/>
  <c r="C13333" i="3"/>
  <c r="B13333" i="3"/>
  <c r="D13332" i="3"/>
  <c r="C13332" i="3"/>
  <c r="B13332" i="3"/>
  <c r="D13331" i="3"/>
  <c r="C13331" i="3"/>
  <c r="B13331" i="3"/>
  <c r="D13330" i="3"/>
  <c r="C13330" i="3"/>
  <c r="B13330" i="3"/>
  <c r="D13329" i="3"/>
  <c r="C13329" i="3"/>
  <c r="B13329" i="3"/>
  <c r="D13328" i="3"/>
  <c r="C13328" i="3"/>
  <c r="B13328" i="3"/>
  <c r="D13327" i="3"/>
  <c r="C13327" i="3"/>
  <c r="B13327" i="3"/>
  <c r="D13326" i="3"/>
  <c r="C13326" i="3"/>
  <c r="B13326" i="3"/>
  <c r="D13325" i="3"/>
  <c r="C13325" i="3"/>
  <c r="B13325" i="3"/>
  <c r="D13324" i="3"/>
  <c r="C13324" i="3"/>
  <c r="B13324" i="3"/>
  <c r="D13323" i="3"/>
  <c r="C13323" i="3"/>
  <c r="B13323" i="3"/>
  <c r="D13322" i="3"/>
  <c r="C13322" i="3"/>
  <c r="B13322" i="3"/>
  <c r="D13321" i="3"/>
  <c r="C13321" i="3"/>
  <c r="B13321" i="3"/>
  <c r="D13320" i="3"/>
  <c r="C13320" i="3"/>
  <c r="B13320" i="3"/>
  <c r="D13319" i="3"/>
  <c r="C13319" i="3"/>
  <c r="B13319" i="3"/>
  <c r="D13318" i="3"/>
  <c r="C13318" i="3"/>
  <c r="B13318" i="3"/>
  <c r="D13317" i="3"/>
  <c r="C13317" i="3"/>
  <c r="B13317" i="3"/>
  <c r="D13316" i="3"/>
  <c r="C13316" i="3"/>
  <c r="B13316" i="3"/>
  <c r="D13315" i="3"/>
  <c r="C13315" i="3"/>
  <c r="B13315" i="3"/>
  <c r="D13314" i="3"/>
  <c r="C13314" i="3"/>
  <c r="B13314" i="3"/>
  <c r="D13313" i="3"/>
  <c r="C13313" i="3"/>
  <c r="B13313" i="3"/>
  <c r="D13312" i="3"/>
  <c r="C13312" i="3"/>
  <c r="B13312" i="3"/>
  <c r="D13311" i="3"/>
  <c r="C13311" i="3"/>
  <c r="B13311" i="3"/>
  <c r="D13310" i="3"/>
  <c r="C13310" i="3"/>
  <c r="B13310" i="3"/>
  <c r="D13309" i="3"/>
  <c r="C13309" i="3"/>
  <c r="B13309" i="3"/>
  <c r="D13308" i="3"/>
  <c r="C13308" i="3"/>
  <c r="B13308" i="3"/>
  <c r="D13307" i="3"/>
  <c r="C13307" i="3"/>
  <c r="B13307" i="3"/>
  <c r="D13306" i="3"/>
  <c r="C13306" i="3"/>
  <c r="B13306" i="3"/>
  <c r="D13305" i="3"/>
  <c r="C13305" i="3"/>
  <c r="B13305" i="3"/>
  <c r="D13304" i="3"/>
  <c r="C13304" i="3"/>
  <c r="B13304" i="3"/>
  <c r="D13303" i="3"/>
  <c r="C13303" i="3"/>
  <c r="B13303" i="3"/>
  <c r="D13302" i="3"/>
  <c r="C13302" i="3"/>
  <c r="B13302" i="3"/>
  <c r="D13301" i="3"/>
  <c r="C13301" i="3"/>
  <c r="B13301" i="3"/>
  <c r="D13300" i="3"/>
  <c r="C13300" i="3"/>
  <c r="B13300" i="3"/>
  <c r="D13299" i="3"/>
  <c r="C13299" i="3"/>
  <c r="B13299" i="3"/>
  <c r="D13298" i="3"/>
  <c r="C13298" i="3"/>
  <c r="B13298" i="3"/>
  <c r="D13297" i="3"/>
  <c r="C13297" i="3"/>
  <c r="B13297" i="3"/>
  <c r="D13296" i="3"/>
  <c r="C13296" i="3"/>
  <c r="B13296" i="3"/>
  <c r="D13295" i="3"/>
  <c r="C13295" i="3"/>
  <c r="B13295" i="3"/>
  <c r="D13294" i="3"/>
  <c r="C13294" i="3"/>
  <c r="B13294" i="3"/>
  <c r="D13293" i="3"/>
  <c r="C13293" i="3"/>
  <c r="B13293" i="3"/>
  <c r="D13292" i="3"/>
  <c r="C13292" i="3"/>
  <c r="B13292" i="3"/>
  <c r="D13291" i="3"/>
  <c r="C13291" i="3"/>
  <c r="B13291" i="3"/>
  <c r="D13290" i="3"/>
  <c r="C13290" i="3"/>
  <c r="B13290" i="3"/>
  <c r="D13289" i="3"/>
  <c r="C13289" i="3"/>
  <c r="B13289" i="3"/>
  <c r="D13288" i="3"/>
  <c r="C13288" i="3"/>
  <c r="B13288" i="3"/>
  <c r="D13287" i="3"/>
  <c r="C13287" i="3"/>
  <c r="B13287" i="3"/>
  <c r="D13286" i="3"/>
  <c r="C13286" i="3"/>
  <c r="B13286" i="3"/>
  <c r="D13285" i="3"/>
  <c r="C13285" i="3"/>
  <c r="B13285" i="3"/>
  <c r="D13284" i="3"/>
  <c r="C13284" i="3"/>
  <c r="B13284" i="3"/>
  <c r="D13283" i="3"/>
  <c r="C13283" i="3"/>
  <c r="B13283" i="3"/>
  <c r="D13282" i="3"/>
  <c r="C13282" i="3"/>
  <c r="B13282" i="3"/>
  <c r="D13281" i="3"/>
  <c r="C13281" i="3"/>
  <c r="B13281" i="3"/>
  <c r="D13280" i="3"/>
  <c r="C13280" i="3"/>
  <c r="B13280" i="3"/>
  <c r="D13279" i="3"/>
  <c r="C13279" i="3"/>
  <c r="B13279" i="3"/>
  <c r="D13278" i="3"/>
  <c r="C13278" i="3"/>
  <c r="B13278" i="3"/>
  <c r="D13277" i="3"/>
  <c r="C13277" i="3"/>
  <c r="B13277" i="3"/>
  <c r="D13276" i="3"/>
  <c r="C13276" i="3"/>
  <c r="B13276" i="3"/>
  <c r="D13275" i="3"/>
  <c r="C13275" i="3"/>
  <c r="B13275" i="3"/>
  <c r="D13274" i="3"/>
  <c r="C13274" i="3"/>
  <c r="B13274" i="3"/>
  <c r="D13273" i="3"/>
  <c r="C13273" i="3"/>
  <c r="B13273" i="3"/>
  <c r="D13272" i="3"/>
  <c r="C13272" i="3"/>
  <c r="B13272" i="3"/>
  <c r="D13271" i="3"/>
  <c r="C13271" i="3"/>
  <c r="B13271" i="3"/>
  <c r="D13270" i="3"/>
  <c r="C13270" i="3"/>
  <c r="B13270" i="3"/>
  <c r="D13269" i="3"/>
  <c r="C13269" i="3"/>
  <c r="B13269" i="3"/>
  <c r="D13268" i="3"/>
  <c r="C13268" i="3"/>
  <c r="B13268" i="3"/>
  <c r="D13267" i="3"/>
  <c r="C13267" i="3"/>
  <c r="B13267" i="3"/>
  <c r="D13266" i="3"/>
  <c r="C13266" i="3"/>
  <c r="B13266" i="3"/>
  <c r="D13265" i="3"/>
  <c r="C13265" i="3"/>
  <c r="B13265" i="3"/>
  <c r="D13264" i="3"/>
  <c r="C13264" i="3"/>
  <c r="B13264" i="3"/>
  <c r="D13263" i="3"/>
  <c r="C13263" i="3"/>
  <c r="B13263" i="3"/>
  <c r="D13262" i="3"/>
  <c r="C13262" i="3"/>
  <c r="B13262" i="3"/>
  <c r="D13261" i="3"/>
  <c r="C13261" i="3"/>
  <c r="B13261" i="3"/>
  <c r="D13260" i="3"/>
  <c r="C13260" i="3"/>
  <c r="B13260" i="3"/>
  <c r="D13259" i="3"/>
  <c r="C13259" i="3"/>
  <c r="B13259" i="3"/>
  <c r="D13258" i="3"/>
  <c r="C13258" i="3"/>
  <c r="B13258" i="3"/>
  <c r="D13257" i="3"/>
  <c r="C13257" i="3"/>
  <c r="B13257" i="3"/>
  <c r="D13256" i="3"/>
  <c r="C13256" i="3"/>
  <c r="B13256" i="3"/>
  <c r="D13255" i="3"/>
  <c r="C13255" i="3"/>
  <c r="B13255" i="3"/>
  <c r="D13254" i="3"/>
  <c r="C13254" i="3"/>
  <c r="B13254" i="3"/>
  <c r="D13253" i="3"/>
  <c r="C13253" i="3"/>
  <c r="B13253" i="3"/>
  <c r="D13252" i="3"/>
  <c r="C13252" i="3"/>
  <c r="B13252" i="3"/>
  <c r="D13251" i="3"/>
  <c r="C13251" i="3"/>
  <c r="B13251" i="3"/>
  <c r="D13250" i="3"/>
  <c r="C13250" i="3"/>
  <c r="B13250" i="3"/>
  <c r="D13249" i="3"/>
  <c r="C13249" i="3"/>
  <c r="B13249" i="3"/>
  <c r="D13248" i="3"/>
  <c r="C13248" i="3"/>
  <c r="B13248" i="3"/>
  <c r="D13247" i="3"/>
  <c r="C13247" i="3"/>
  <c r="B13247" i="3"/>
  <c r="D13246" i="3"/>
  <c r="C13246" i="3"/>
  <c r="B13246" i="3"/>
  <c r="D13245" i="3"/>
  <c r="C13245" i="3"/>
  <c r="B13245" i="3"/>
  <c r="D13244" i="3"/>
  <c r="C13244" i="3"/>
  <c r="B13244" i="3"/>
  <c r="D13243" i="3"/>
  <c r="C13243" i="3"/>
  <c r="B13243" i="3"/>
  <c r="D13242" i="3"/>
  <c r="C13242" i="3"/>
  <c r="B13242" i="3"/>
  <c r="D13241" i="3"/>
  <c r="C13241" i="3"/>
  <c r="B13241" i="3"/>
  <c r="D13240" i="3"/>
  <c r="C13240" i="3"/>
  <c r="B13240" i="3"/>
  <c r="D13239" i="3"/>
  <c r="C13239" i="3"/>
  <c r="B13239" i="3"/>
  <c r="D13238" i="3"/>
  <c r="C13238" i="3"/>
  <c r="B13238" i="3"/>
  <c r="D13237" i="3"/>
  <c r="C13237" i="3"/>
  <c r="B13237" i="3"/>
  <c r="D13236" i="3"/>
  <c r="C13236" i="3"/>
  <c r="B13236" i="3"/>
  <c r="D13235" i="3"/>
  <c r="C13235" i="3"/>
  <c r="B13235" i="3"/>
  <c r="D13234" i="3"/>
  <c r="C13234" i="3"/>
  <c r="B13234" i="3"/>
  <c r="D13233" i="3"/>
  <c r="C13233" i="3"/>
  <c r="B13233" i="3"/>
  <c r="D13232" i="3"/>
  <c r="C13232" i="3"/>
  <c r="B13232" i="3"/>
  <c r="D13231" i="3"/>
  <c r="C13231" i="3"/>
  <c r="B13231" i="3"/>
  <c r="D13230" i="3"/>
  <c r="C13230" i="3"/>
  <c r="B13230" i="3"/>
  <c r="D13229" i="3"/>
  <c r="C13229" i="3"/>
  <c r="B13229" i="3"/>
  <c r="D13228" i="3"/>
  <c r="C13228" i="3"/>
  <c r="B13228" i="3"/>
  <c r="D13227" i="3"/>
  <c r="C13227" i="3"/>
  <c r="B13227" i="3"/>
  <c r="D13226" i="3"/>
  <c r="C13226" i="3"/>
  <c r="B13226" i="3"/>
  <c r="D13225" i="3"/>
  <c r="C13225" i="3"/>
  <c r="B13225" i="3"/>
  <c r="D13224" i="3"/>
  <c r="C13224" i="3"/>
  <c r="B13224" i="3"/>
  <c r="D13223" i="3"/>
  <c r="C13223" i="3"/>
  <c r="B13223" i="3"/>
  <c r="D13222" i="3"/>
  <c r="C13222" i="3"/>
  <c r="B13222" i="3"/>
  <c r="D13221" i="3"/>
  <c r="C13221" i="3"/>
  <c r="B13221" i="3"/>
  <c r="D13220" i="3"/>
  <c r="C13220" i="3"/>
  <c r="B13220" i="3"/>
  <c r="D13219" i="3"/>
  <c r="C13219" i="3"/>
  <c r="B13219" i="3"/>
  <c r="D13218" i="3"/>
  <c r="C13218" i="3"/>
  <c r="B13218" i="3"/>
  <c r="D13217" i="3"/>
  <c r="C13217" i="3"/>
  <c r="B13217" i="3"/>
  <c r="D13216" i="3"/>
  <c r="C13216" i="3"/>
  <c r="B13216" i="3"/>
  <c r="D13215" i="3"/>
  <c r="C13215" i="3"/>
  <c r="B13215" i="3"/>
  <c r="D13214" i="3"/>
  <c r="C13214" i="3"/>
  <c r="B13214" i="3"/>
  <c r="D13213" i="3"/>
  <c r="C13213" i="3"/>
  <c r="B13213" i="3"/>
  <c r="D13212" i="3"/>
  <c r="C13212" i="3"/>
  <c r="B13212" i="3"/>
  <c r="D13211" i="3"/>
  <c r="C13211" i="3"/>
  <c r="B13211" i="3"/>
  <c r="D13210" i="3"/>
  <c r="C13210" i="3"/>
  <c r="B13210" i="3"/>
  <c r="D13209" i="3"/>
  <c r="C13209" i="3"/>
  <c r="B13209" i="3"/>
  <c r="D13208" i="3"/>
  <c r="C13208" i="3"/>
  <c r="B13208" i="3"/>
  <c r="D13207" i="3"/>
  <c r="C13207" i="3"/>
  <c r="B13207" i="3"/>
  <c r="D13206" i="3"/>
  <c r="C13206" i="3"/>
  <c r="B13206" i="3"/>
  <c r="D13205" i="3"/>
  <c r="C13205" i="3"/>
  <c r="B13205" i="3"/>
  <c r="D13204" i="3"/>
  <c r="C13204" i="3"/>
  <c r="B13204" i="3"/>
  <c r="D13203" i="3"/>
  <c r="C13203" i="3"/>
  <c r="B13203" i="3"/>
  <c r="D13202" i="3"/>
  <c r="C13202" i="3"/>
  <c r="B13202" i="3"/>
  <c r="D13201" i="3"/>
  <c r="C13201" i="3"/>
  <c r="B13201" i="3"/>
  <c r="D13200" i="3"/>
  <c r="C13200" i="3"/>
  <c r="B13200" i="3"/>
  <c r="D13199" i="3"/>
  <c r="C13199" i="3"/>
  <c r="B13199" i="3"/>
  <c r="D13198" i="3"/>
  <c r="C13198" i="3"/>
  <c r="B13198" i="3"/>
  <c r="D13197" i="3"/>
  <c r="C13197" i="3"/>
  <c r="B13197" i="3"/>
  <c r="D13196" i="3"/>
  <c r="C13196" i="3"/>
  <c r="B13196" i="3"/>
  <c r="D13195" i="3"/>
  <c r="C13195" i="3"/>
  <c r="B13195" i="3"/>
  <c r="D13194" i="3"/>
  <c r="C13194" i="3"/>
  <c r="B13194" i="3"/>
  <c r="D13193" i="3"/>
  <c r="C13193" i="3"/>
  <c r="B13193" i="3"/>
  <c r="D13192" i="3"/>
  <c r="C13192" i="3"/>
  <c r="B13192" i="3"/>
  <c r="D13191" i="3"/>
  <c r="C13191" i="3"/>
  <c r="B13191" i="3"/>
  <c r="D13190" i="3"/>
  <c r="C13190" i="3"/>
  <c r="B13190" i="3"/>
  <c r="D13189" i="3"/>
  <c r="C13189" i="3"/>
  <c r="B13189" i="3"/>
  <c r="D13188" i="3"/>
  <c r="C13188" i="3"/>
  <c r="B13188" i="3"/>
  <c r="D13187" i="3"/>
  <c r="C13187" i="3"/>
  <c r="B13187" i="3"/>
  <c r="D13186" i="3"/>
  <c r="C13186" i="3"/>
  <c r="B13186" i="3"/>
  <c r="D13185" i="3"/>
  <c r="C13185" i="3"/>
  <c r="B13185" i="3"/>
  <c r="D13184" i="3"/>
  <c r="C13184" i="3"/>
  <c r="B13184" i="3"/>
  <c r="D13183" i="3"/>
  <c r="C13183" i="3"/>
  <c r="B13183" i="3"/>
  <c r="D13182" i="3"/>
  <c r="C13182" i="3"/>
  <c r="B13182" i="3"/>
  <c r="D13181" i="3"/>
  <c r="C13181" i="3"/>
  <c r="B13181" i="3"/>
  <c r="D13180" i="3"/>
  <c r="C13180" i="3"/>
  <c r="B13180" i="3"/>
  <c r="D13179" i="3"/>
  <c r="C13179" i="3"/>
  <c r="B13179" i="3"/>
  <c r="D13178" i="3"/>
  <c r="C13178" i="3"/>
  <c r="B13178" i="3"/>
  <c r="D13177" i="3"/>
  <c r="C13177" i="3"/>
  <c r="B13177" i="3"/>
  <c r="D13176" i="3"/>
  <c r="C13176" i="3"/>
  <c r="B13176" i="3"/>
  <c r="D13175" i="3"/>
  <c r="C13175" i="3"/>
  <c r="B13175" i="3"/>
  <c r="D13174" i="3"/>
  <c r="C13174" i="3"/>
  <c r="B13174" i="3"/>
  <c r="D13173" i="3"/>
  <c r="C13173" i="3"/>
  <c r="B13173" i="3"/>
  <c r="D13172" i="3"/>
  <c r="C13172" i="3"/>
  <c r="B13172" i="3"/>
  <c r="D13171" i="3"/>
  <c r="C13171" i="3"/>
  <c r="B13171" i="3"/>
  <c r="D13170" i="3"/>
  <c r="C13170" i="3"/>
  <c r="B13170" i="3"/>
  <c r="D13169" i="3"/>
  <c r="C13169" i="3"/>
  <c r="B13169" i="3"/>
  <c r="D13168" i="3"/>
  <c r="C13168" i="3"/>
  <c r="B13168" i="3"/>
  <c r="D13167" i="3"/>
  <c r="C13167" i="3"/>
  <c r="B13167" i="3"/>
  <c r="D13166" i="3"/>
  <c r="C13166" i="3"/>
  <c r="B13166" i="3"/>
  <c r="D13165" i="3"/>
  <c r="C13165" i="3"/>
  <c r="B13165" i="3"/>
  <c r="D13164" i="3"/>
  <c r="C13164" i="3"/>
  <c r="B13164" i="3"/>
  <c r="D13163" i="3"/>
  <c r="C13163" i="3"/>
  <c r="B13163" i="3"/>
  <c r="D13162" i="3"/>
  <c r="C13162" i="3"/>
  <c r="B13162" i="3"/>
  <c r="D13161" i="3"/>
  <c r="C13161" i="3"/>
  <c r="B13161" i="3"/>
  <c r="D13160" i="3"/>
  <c r="C13160" i="3"/>
  <c r="B13160" i="3"/>
  <c r="D13159" i="3"/>
  <c r="C13159" i="3"/>
  <c r="B13159" i="3"/>
  <c r="D13158" i="3"/>
  <c r="C13158" i="3"/>
  <c r="B13158" i="3"/>
  <c r="D13157" i="3"/>
  <c r="C13157" i="3"/>
  <c r="B13157" i="3"/>
  <c r="D13156" i="3"/>
  <c r="C13156" i="3"/>
  <c r="B13156" i="3"/>
  <c r="D13155" i="3"/>
  <c r="C13155" i="3"/>
  <c r="B13155" i="3"/>
  <c r="D13154" i="3"/>
  <c r="C13154" i="3"/>
  <c r="B13154" i="3"/>
  <c r="D13153" i="3"/>
  <c r="C13153" i="3"/>
  <c r="B13153" i="3"/>
  <c r="D13152" i="3"/>
  <c r="C13152" i="3"/>
  <c r="B13152" i="3"/>
  <c r="D13151" i="3"/>
  <c r="C13151" i="3"/>
  <c r="B13151" i="3"/>
  <c r="D13150" i="3"/>
  <c r="C13150" i="3"/>
  <c r="B13150" i="3"/>
  <c r="D13149" i="3"/>
  <c r="C13149" i="3"/>
  <c r="B13149" i="3"/>
  <c r="D13148" i="3"/>
  <c r="C13148" i="3"/>
  <c r="B13148" i="3"/>
  <c r="D13147" i="3"/>
  <c r="C13147" i="3"/>
  <c r="B13147" i="3"/>
  <c r="D13146" i="3"/>
  <c r="C13146" i="3"/>
  <c r="B13146" i="3"/>
  <c r="D13145" i="3"/>
  <c r="C13145" i="3"/>
  <c r="B13145" i="3"/>
  <c r="D13144" i="3"/>
  <c r="C13144" i="3"/>
  <c r="B13144" i="3"/>
  <c r="D13143" i="3"/>
  <c r="C13143" i="3"/>
  <c r="B13143" i="3"/>
  <c r="D13142" i="3"/>
  <c r="C13142" i="3"/>
  <c r="B13142" i="3"/>
  <c r="D13141" i="3"/>
  <c r="C13141" i="3"/>
  <c r="B13141" i="3"/>
  <c r="D13140" i="3"/>
  <c r="C13140" i="3"/>
  <c r="B13140" i="3"/>
  <c r="D13139" i="3"/>
  <c r="C13139" i="3"/>
  <c r="B13139" i="3"/>
  <c r="D13138" i="3"/>
  <c r="C13138" i="3"/>
  <c r="B13138" i="3"/>
  <c r="D13137" i="3"/>
  <c r="C13137" i="3"/>
  <c r="B13137" i="3"/>
  <c r="D13136" i="3"/>
  <c r="C13136" i="3"/>
  <c r="B13136" i="3"/>
  <c r="D13135" i="3"/>
  <c r="C13135" i="3"/>
  <c r="B13135" i="3"/>
  <c r="D13134" i="3"/>
  <c r="C13134" i="3"/>
  <c r="B13134" i="3"/>
  <c r="D13133" i="3"/>
  <c r="C13133" i="3"/>
  <c r="B13133" i="3"/>
  <c r="D13132" i="3"/>
  <c r="C13132" i="3"/>
  <c r="B13132" i="3"/>
  <c r="D13131" i="3"/>
  <c r="C13131" i="3"/>
  <c r="B13131" i="3"/>
  <c r="D13130" i="3"/>
  <c r="C13130" i="3"/>
  <c r="B13130" i="3"/>
  <c r="D13129" i="3"/>
  <c r="C13129" i="3"/>
  <c r="B13129" i="3"/>
  <c r="D13128" i="3"/>
  <c r="C13128" i="3"/>
  <c r="B13128" i="3"/>
  <c r="D13127" i="3"/>
  <c r="C13127" i="3"/>
  <c r="B13127" i="3"/>
  <c r="D13126" i="3"/>
  <c r="C13126" i="3"/>
  <c r="B13126" i="3"/>
  <c r="D13125" i="3"/>
  <c r="C13125" i="3"/>
  <c r="B13125" i="3"/>
  <c r="D13124" i="3"/>
  <c r="C13124" i="3"/>
  <c r="B13124" i="3"/>
  <c r="D13123" i="3"/>
  <c r="C13123" i="3"/>
  <c r="B13123" i="3"/>
  <c r="D13122" i="3"/>
  <c r="C13122" i="3"/>
  <c r="B13122" i="3"/>
  <c r="D13121" i="3"/>
  <c r="C13121" i="3"/>
  <c r="B13121" i="3"/>
  <c r="D13120" i="3"/>
  <c r="C13120" i="3"/>
  <c r="B13120" i="3"/>
  <c r="D13119" i="3"/>
  <c r="C13119" i="3"/>
  <c r="B13119" i="3"/>
  <c r="D13118" i="3"/>
  <c r="C13118" i="3"/>
  <c r="B13118" i="3"/>
  <c r="D13117" i="3"/>
  <c r="C13117" i="3"/>
  <c r="B13117" i="3"/>
  <c r="D13116" i="3"/>
  <c r="C13116" i="3"/>
  <c r="B13116" i="3"/>
  <c r="D13115" i="3"/>
  <c r="C13115" i="3"/>
  <c r="B13115" i="3"/>
  <c r="D13114" i="3"/>
  <c r="C13114" i="3"/>
  <c r="B13114" i="3"/>
  <c r="D13113" i="3"/>
  <c r="C13113" i="3"/>
  <c r="B13113" i="3"/>
  <c r="D13112" i="3"/>
  <c r="C13112" i="3"/>
  <c r="B13112" i="3"/>
  <c r="D13111" i="3"/>
  <c r="C13111" i="3"/>
  <c r="B13111" i="3"/>
  <c r="D13110" i="3"/>
  <c r="C13110" i="3"/>
  <c r="B13110" i="3"/>
  <c r="D13109" i="3"/>
  <c r="C13109" i="3"/>
  <c r="B13109" i="3"/>
  <c r="D13108" i="3"/>
  <c r="C13108" i="3"/>
  <c r="B13108" i="3"/>
  <c r="D13107" i="3"/>
  <c r="C13107" i="3"/>
  <c r="B13107" i="3"/>
  <c r="D13106" i="3"/>
  <c r="C13106" i="3"/>
  <c r="B13106" i="3"/>
  <c r="D13105" i="3"/>
  <c r="C13105" i="3"/>
  <c r="B13105" i="3"/>
  <c r="D13104" i="3"/>
  <c r="C13104" i="3"/>
  <c r="B13104" i="3"/>
  <c r="D13103" i="3"/>
  <c r="C13103" i="3"/>
  <c r="B13103" i="3"/>
  <c r="D13102" i="3"/>
  <c r="C13102" i="3"/>
  <c r="B13102" i="3"/>
  <c r="D13101" i="3"/>
  <c r="C13101" i="3"/>
  <c r="B13101" i="3"/>
  <c r="D13100" i="3"/>
  <c r="C13100" i="3"/>
  <c r="B13100" i="3"/>
  <c r="D13099" i="3"/>
  <c r="C13099" i="3"/>
  <c r="B13099" i="3"/>
  <c r="D13098" i="3"/>
  <c r="C13098" i="3"/>
  <c r="B13098" i="3"/>
  <c r="D13097" i="3"/>
  <c r="C13097" i="3"/>
  <c r="B13097" i="3"/>
  <c r="D13096" i="3"/>
  <c r="C13096" i="3"/>
  <c r="B13096" i="3"/>
  <c r="D13095" i="3"/>
  <c r="C13095" i="3"/>
  <c r="B13095" i="3"/>
  <c r="D13094" i="3"/>
  <c r="C13094" i="3"/>
  <c r="B13094" i="3"/>
  <c r="D13093" i="3"/>
  <c r="C13093" i="3"/>
  <c r="B13093" i="3"/>
  <c r="D13092" i="3"/>
  <c r="C13092" i="3"/>
  <c r="B13092" i="3"/>
  <c r="D13091" i="3"/>
  <c r="C13091" i="3"/>
  <c r="B13091" i="3"/>
  <c r="D13090" i="3"/>
  <c r="C13090" i="3"/>
  <c r="B13090" i="3"/>
  <c r="D13089" i="3"/>
  <c r="C13089" i="3"/>
  <c r="B13089" i="3"/>
  <c r="D13088" i="3"/>
  <c r="C13088" i="3"/>
  <c r="B13088" i="3"/>
  <c r="D13087" i="3"/>
  <c r="C13087" i="3"/>
  <c r="B13087" i="3"/>
  <c r="D13086" i="3"/>
  <c r="C13086" i="3"/>
  <c r="B13086" i="3"/>
  <c r="D13085" i="3"/>
  <c r="C13085" i="3"/>
  <c r="B13085" i="3"/>
  <c r="D13084" i="3"/>
  <c r="C13084" i="3"/>
  <c r="B13084" i="3"/>
  <c r="D13083" i="3"/>
  <c r="C13083" i="3"/>
  <c r="B13083" i="3"/>
  <c r="D13082" i="3"/>
  <c r="C13082" i="3"/>
  <c r="B13082" i="3"/>
  <c r="D13081" i="3"/>
  <c r="C13081" i="3"/>
  <c r="B13081" i="3"/>
  <c r="D13080" i="3"/>
  <c r="C13080" i="3"/>
  <c r="B13080" i="3"/>
  <c r="D13079" i="3"/>
  <c r="C13079" i="3"/>
  <c r="B13079" i="3"/>
  <c r="D13078" i="3"/>
  <c r="C13078" i="3"/>
  <c r="B13078" i="3"/>
  <c r="D13077" i="3"/>
  <c r="C13077" i="3"/>
  <c r="B13077" i="3"/>
  <c r="D13076" i="3"/>
  <c r="C13076" i="3"/>
  <c r="B13076" i="3"/>
  <c r="D13075" i="3"/>
  <c r="C13075" i="3"/>
  <c r="B13075" i="3"/>
  <c r="D13074" i="3"/>
  <c r="C13074" i="3"/>
  <c r="B13074" i="3"/>
  <c r="D13073" i="3"/>
  <c r="C13073" i="3"/>
  <c r="B13073" i="3"/>
  <c r="D13072" i="3"/>
  <c r="C13072" i="3"/>
  <c r="B13072" i="3"/>
  <c r="D13071" i="3"/>
  <c r="C13071" i="3"/>
  <c r="B13071" i="3"/>
  <c r="D13070" i="3"/>
  <c r="C13070" i="3"/>
  <c r="B13070" i="3"/>
  <c r="D13069" i="3"/>
  <c r="C13069" i="3"/>
  <c r="B13069" i="3"/>
  <c r="D13068" i="3"/>
  <c r="C13068" i="3"/>
  <c r="B13068" i="3"/>
  <c r="D13067" i="3"/>
  <c r="C13067" i="3"/>
  <c r="B13067" i="3"/>
  <c r="D13066" i="3"/>
  <c r="C13066" i="3"/>
  <c r="B13066" i="3"/>
  <c r="D13065" i="3"/>
  <c r="C13065" i="3"/>
  <c r="B13065" i="3"/>
  <c r="D13064" i="3"/>
  <c r="C13064" i="3"/>
  <c r="B13064" i="3"/>
  <c r="D13063" i="3"/>
  <c r="C13063" i="3"/>
  <c r="B13063" i="3"/>
  <c r="D13062" i="3"/>
  <c r="C13062" i="3"/>
  <c r="B13062" i="3"/>
  <c r="D13061" i="3"/>
  <c r="C13061" i="3"/>
  <c r="B13061" i="3"/>
  <c r="D13060" i="3"/>
  <c r="C13060" i="3"/>
  <c r="B13060" i="3"/>
  <c r="D13059" i="3"/>
  <c r="C13059" i="3"/>
  <c r="B13059" i="3"/>
  <c r="D13058" i="3"/>
  <c r="C13058" i="3"/>
  <c r="B13058" i="3"/>
  <c r="D13057" i="3"/>
  <c r="C13057" i="3"/>
  <c r="B13057" i="3"/>
  <c r="D13056" i="3"/>
  <c r="C13056" i="3"/>
  <c r="B13056" i="3"/>
  <c r="D13055" i="3"/>
  <c r="C13055" i="3"/>
  <c r="B13055" i="3"/>
  <c r="D13054" i="3"/>
  <c r="C13054" i="3"/>
  <c r="B13054" i="3"/>
  <c r="D13053" i="3"/>
  <c r="C13053" i="3"/>
  <c r="B13053" i="3"/>
  <c r="D13052" i="3"/>
  <c r="C13052" i="3"/>
  <c r="B13052" i="3"/>
  <c r="D13051" i="3"/>
  <c r="C13051" i="3"/>
  <c r="B13051" i="3"/>
  <c r="D13050" i="3"/>
  <c r="C13050" i="3"/>
  <c r="B13050" i="3"/>
  <c r="D13049" i="3"/>
  <c r="C13049" i="3"/>
  <c r="B13049" i="3"/>
  <c r="D13048" i="3"/>
  <c r="C13048" i="3"/>
  <c r="B13048" i="3"/>
  <c r="D13047" i="3"/>
  <c r="C13047" i="3"/>
  <c r="B13047" i="3"/>
  <c r="D13046" i="3"/>
  <c r="C13046" i="3"/>
  <c r="B13046" i="3"/>
  <c r="D13045" i="3"/>
  <c r="C13045" i="3"/>
  <c r="B13045" i="3"/>
  <c r="D13044" i="3"/>
  <c r="C13044" i="3"/>
  <c r="B13044" i="3"/>
  <c r="D13043" i="3"/>
  <c r="C13043" i="3"/>
  <c r="B13043" i="3"/>
  <c r="D13042" i="3"/>
  <c r="C13042" i="3"/>
  <c r="B13042" i="3"/>
  <c r="D13041" i="3"/>
  <c r="C13041" i="3"/>
  <c r="B13041" i="3"/>
  <c r="D13040" i="3"/>
  <c r="C13040" i="3"/>
  <c r="B13040" i="3"/>
  <c r="D13039" i="3"/>
  <c r="C13039" i="3"/>
  <c r="B13039" i="3"/>
  <c r="D13038" i="3"/>
  <c r="C13038" i="3"/>
  <c r="B13038" i="3"/>
  <c r="D13037" i="3"/>
  <c r="C13037" i="3"/>
  <c r="B13037" i="3"/>
  <c r="D13036" i="3"/>
  <c r="C13036" i="3"/>
  <c r="B13036" i="3"/>
  <c r="D13035" i="3"/>
  <c r="C13035" i="3"/>
  <c r="B13035" i="3"/>
  <c r="D13034" i="3"/>
  <c r="C13034" i="3"/>
  <c r="B13034" i="3"/>
  <c r="D13033" i="3"/>
  <c r="C13033" i="3"/>
  <c r="B13033" i="3"/>
  <c r="D13032" i="3"/>
  <c r="C13032" i="3"/>
  <c r="B13032" i="3"/>
  <c r="D13031" i="3"/>
  <c r="C13031" i="3"/>
  <c r="B13031" i="3"/>
  <c r="D13030" i="3"/>
  <c r="C13030" i="3"/>
  <c r="B13030" i="3"/>
  <c r="D13029" i="3"/>
  <c r="C13029" i="3"/>
  <c r="B13029" i="3"/>
  <c r="D13028" i="3"/>
  <c r="C13028" i="3"/>
  <c r="B13028" i="3"/>
  <c r="D13027" i="3"/>
  <c r="C13027" i="3"/>
  <c r="B13027" i="3"/>
  <c r="D13026" i="3"/>
  <c r="C13026" i="3"/>
  <c r="B13026" i="3"/>
  <c r="D13025" i="3"/>
  <c r="C13025" i="3"/>
  <c r="B13025" i="3"/>
  <c r="D13024" i="3"/>
  <c r="C13024" i="3"/>
  <c r="B13024" i="3"/>
  <c r="D13023" i="3"/>
  <c r="C13023" i="3"/>
  <c r="B13023" i="3"/>
  <c r="D13022" i="3"/>
  <c r="C13022" i="3"/>
  <c r="B13022" i="3"/>
  <c r="D13021" i="3"/>
  <c r="C13021" i="3"/>
  <c r="B13021" i="3"/>
  <c r="D13020" i="3"/>
  <c r="C13020" i="3"/>
  <c r="B13020" i="3"/>
  <c r="D13019" i="3"/>
  <c r="C13019" i="3"/>
  <c r="B13019" i="3"/>
  <c r="D13018" i="3"/>
  <c r="C13018" i="3"/>
  <c r="B13018" i="3"/>
  <c r="D13017" i="3"/>
  <c r="C13017" i="3"/>
  <c r="B13017" i="3"/>
  <c r="D13016" i="3"/>
  <c r="C13016" i="3"/>
  <c r="B13016" i="3"/>
  <c r="D13015" i="3"/>
  <c r="C13015" i="3"/>
  <c r="B13015" i="3"/>
  <c r="D13014" i="3"/>
  <c r="C13014" i="3"/>
  <c r="B13014" i="3"/>
  <c r="D13013" i="3"/>
  <c r="C13013" i="3"/>
  <c r="B13013" i="3"/>
  <c r="D13012" i="3"/>
  <c r="C13012" i="3"/>
  <c r="B13012" i="3"/>
  <c r="D13011" i="3"/>
  <c r="C13011" i="3"/>
  <c r="B13011" i="3"/>
  <c r="D13010" i="3"/>
  <c r="C13010" i="3"/>
  <c r="B13010" i="3"/>
  <c r="D13009" i="3"/>
  <c r="C13009" i="3"/>
  <c r="B13009" i="3"/>
  <c r="D13008" i="3"/>
  <c r="C13008" i="3"/>
  <c r="B13008" i="3"/>
  <c r="D13007" i="3"/>
  <c r="C13007" i="3"/>
  <c r="B13007" i="3"/>
  <c r="D13006" i="3"/>
  <c r="C13006" i="3"/>
  <c r="B13006" i="3"/>
  <c r="D13005" i="3"/>
  <c r="C13005" i="3"/>
  <c r="B13005" i="3"/>
  <c r="D13004" i="3"/>
  <c r="C13004" i="3"/>
  <c r="B13004" i="3"/>
  <c r="D13003" i="3"/>
  <c r="C13003" i="3"/>
  <c r="B13003" i="3"/>
  <c r="D13002" i="3"/>
  <c r="C13002" i="3"/>
  <c r="B13002" i="3"/>
  <c r="D13001" i="3"/>
  <c r="C13001" i="3"/>
  <c r="B13001" i="3"/>
  <c r="D13000" i="3"/>
  <c r="C13000" i="3"/>
  <c r="B13000" i="3"/>
  <c r="D12999" i="3"/>
  <c r="C12999" i="3"/>
  <c r="B12999" i="3"/>
  <c r="D12998" i="3"/>
  <c r="C12998" i="3"/>
  <c r="B12998" i="3"/>
  <c r="D12997" i="3"/>
  <c r="C12997" i="3"/>
  <c r="B12997" i="3"/>
  <c r="D12996" i="3"/>
  <c r="C12996" i="3"/>
  <c r="B12996" i="3"/>
  <c r="D12995" i="3"/>
  <c r="C12995" i="3"/>
  <c r="B12995" i="3"/>
  <c r="D12994" i="3"/>
  <c r="C12994" i="3"/>
  <c r="B12994" i="3"/>
  <c r="D12993" i="3"/>
  <c r="C12993" i="3"/>
  <c r="B12993" i="3"/>
  <c r="D12992" i="3"/>
  <c r="C12992" i="3"/>
  <c r="B12992" i="3"/>
  <c r="D12991" i="3"/>
  <c r="C12991" i="3"/>
  <c r="B12991" i="3"/>
  <c r="D12990" i="3"/>
  <c r="C12990" i="3"/>
  <c r="B12990" i="3"/>
  <c r="D12989" i="3"/>
  <c r="C12989" i="3"/>
  <c r="B12989" i="3"/>
  <c r="D12988" i="3"/>
  <c r="C12988" i="3"/>
  <c r="B12988" i="3"/>
  <c r="D12987" i="3"/>
  <c r="C12987" i="3"/>
  <c r="B12987" i="3"/>
  <c r="D12986" i="3"/>
  <c r="C12986" i="3"/>
  <c r="B12986" i="3"/>
  <c r="D12985" i="3"/>
  <c r="C12985" i="3"/>
  <c r="B12985" i="3"/>
  <c r="D12984" i="3"/>
  <c r="C12984" i="3"/>
  <c r="B12984" i="3"/>
  <c r="D12983" i="3"/>
  <c r="C12983" i="3"/>
  <c r="B12983" i="3"/>
  <c r="D12982" i="3"/>
  <c r="C12982" i="3"/>
  <c r="B12982" i="3"/>
  <c r="D12981" i="3"/>
  <c r="C12981" i="3"/>
  <c r="B12981" i="3"/>
  <c r="D12980" i="3"/>
  <c r="C12980" i="3"/>
  <c r="B12980" i="3"/>
  <c r="D12979" i="3"/>
  <c r="C12979" i="3"/>
  <c r="B12979" i="3"/>
  <c r="D12978" i="3"/>
  <c r="C12978" i="3"/>
  <c r="B12978" i="3"/>
  <c r="D12977" i="3"/>
  <c r="C12977" i="3"/>
  <c r="B12977" i="3"/>
  <c r="D12976" i="3"/>
  <c r="C12976" i="3"/>
  <c r="B12976" i="3"/>
  <c r="D12975" i="3"/>
  <c r="C12975" i="3"/>
  <c r="B12975" i="3"/>
  <c r="D12974" i="3"/>
  <c r="C12974" i="3"/>
  <c r="B12974" i="3"/>
  <c r="D12973" i="3"/>
  <c r="C12973" i="3"/>
  <c r="B12973" i="3"/>
  <c r="D12972" i="3"/>
  <c r="C12972" i="3"/>
  <c r="B12972" i="3"/>
  <c r="D12971" i="3"/>
  <c r="C12971" i="3"/>
  <c r="B12971" i="3"/>
  <c r="D12970" i="3"/>
  <c r="C12970" i="3"/>
  <c r="B12970" i="3"/>
  <c r="D12969" i="3"/>
  <c r="C12969" i="3"/>
  <c r="B12969" i="3"/>
  <c r="D12968" i="3"/>
  <c r="C12968" i="3"/>
  <c r="B12968" i="3"/>
  <c r="D12967" i="3"/>
  <c r="C12967" i="3"/>
  <c r="B12967" i="3"/>
  <c r="D12966" i="3"/>
  <c r="C12966" i="3"/>
  <c r="B12966" i="3"/>
  <c r="D12965" i="3"/>
  <c r="C12965" i="3"/>
  <c r="B12965" i="3"/>
  <c r="D12964" i="3"/>
  <c r="C12964" i="3"/>
  <c r="B12964" i="3"/>
  <c r="D12963" i="3"/>
  <c r="C12963" i="3"/>
  <c r="B12963" i="3"/>
  <c r="D12962" i="3"/>
  <c r="C12962" i="3"/>
  <c r="B12962" i="3"/>
  <c r="D12961" i="3"/>
  <c r="C12961" i="3"/>
  <c r="B12961" i="3"/>
  <c r="D12960" i="3"/>
  <c r="C12960" i="3"/>
  <c r="B12960" i="3"/>
  <c r="D12959" i="3"/>
  <c r="C12959" i="3"/>
  <c r="B12959" i="3"/>
  <c r="D12958" i="3"/>
  <c r="C12958" i="3"/>
  <c r="B12958" i="3"/>
  <c r="D12957" i="3"/>
  <c r="C12957" i="3"/>
  <c r="B12957" i="3"/>
  <c r="D12956" i="3"/>
  <c r="C12956" i="3"/>
  <c r="B12956" i="3"/>
  <c r="D12955" i="3"/>
  <c r="C12955" i="3"/>
  <c r="B12955" i="3"/>
  <c r="D12954" i="3"/>
  <c r="C12954" i="3"/>
  <c r="B12954" i="3"/>
  <c r="D12953" i="3"/>
  <c r="C12953" i="3"/>
  <c r="B12953" i="3"/>
  <c r="D12952" i="3"/>
  <c r="C12952" i="3"/>
  <c r="B12952" i="3"/>
  <c r="D12951" i="3"/>
  <c r="C12951" i="3"/>
  <c r="B12951" i="3"/>
  <c r="D12950" i="3"/>
  <c r="C12950" i="3"/>
  <c r="B12950" i="3"/>
  <c r="D12949" i="3"/>
  <c r="C12949" i="3"/>
  <c r="B12949" i="3"/>
  <c r="D12948" i="3"/>
  <c r="C12948" i="3"/>
  <c r="B12948" i="3"/>
  <c r="D12947" i="3"/>
  <c r="C12947" i="3"/>
  <c r="B12947" i="3"/>
  <c r="D12946" i="3"/>
  <c r="C12946" i="3"/>
  <c r="B12946" i="3"/>
  <c r="D12945" i="3"/>
  <c r="C12945" i="3"/>
  <c r="B12945" i="3"/>
  <c r="D12944" i="3"/>
  <c r="C12944" i="3"/>
  <c r="B12944" i="3"/>
  <c r="D12943" i="3"/>
  <c r="C12943" i="3"/>
  <c r="B12943" i="3"/>
  <c r="D12942" i="3"/>
  <c r="C12942" i="3"/>
  <c r="B12942" i="3"/>
  <c r="D12941" i="3"/>
  <c r="C12941" i="3"/>
  <c r="B12941" i="3"/>
  <c r="D12940" i="3"/>
  <c r="C12940" i="3"/>
  <c r="B12940" i="3"/>
  <c r="D12939" i="3"/>
  <c r="C12939" i="3"/>
  <c r="B12939" i="3"/>
  <c r="D12938" i="3"/>
  <c r="C12938" i="3"/>
  <c r="B12938" i="3"/>
  <c r="D12937" i="3"/>
  <c r="C12937" i="3"/>
  <c r="B12937" i="3"/>
  <c r="D12936" i="3"/>
  <c r="C12936" i="3"/>
  <c r="B12936" i="3"/>
  <c r="D12935" i="3"/>
  <c r="C12935" i="3"/>
  <c r="B12935" i="3"/>
  <c r="D12934" i="3"/>
  <c r="C12934" i="3"/>
  <c r="B12934" i="3"/>
  <c r="D12933" i="3"/>
  <c r="C12933" i="3"/>
  <c r="B12933" i="3"/>
  <c r="D12932" i="3"/>
  <c r="C12932" i="3"/>
  <c r="B12932" i="3"/>
  <c r="D12931" i="3"/>
  <c r="C12931" i="3"/>
  <c r="B12931" i="3"/>
  <c r="D12930" i="3"/>
  <c r="C12930" i="3"/>
  <c r="B12930" i="3"/>
  <c r="D12929" i="3"/>
  <c r="C12929" i="3"/>
  <c r="B12929" i="3"/>
  <c r="D12928" i="3"/>
  <c r="C12928" i="3"/>
  <c r="B12928" i="3"/>
  <c r="D12927" i="3"/>
  <c r="C12927" i="3"/>
  <c r="B12927" i="3"/>
  <c r="D12926" i="3"/>
  <c r="C12926" i="3"/>
  <c r="B12926" i="3"/>
  <c r="D12925" i="3"/>
  <c r="C12925" i="3"/>
  <c r="B12925" i="3"/>
  <c r="D12924" i="3"/>
  <c r="C12924" i="3"/>
  <c r="B12924" i="3"/>
  <c r="D12923" i="3"/>
  <c r="C12923" i="3"/>
  <c r="B12923" i="3"/>
  <c r="D12922" i="3"/>
  <c r="C12922" i="3"/>
  <c r="B12922" i="3"/>
  <c r="D12921" i="3"/>
  <c r="C12921" i="3"/>
  <c r="B12921" i="3"/>
  <c r="D12920" i="3"/>
  <c r="C12920" i="3"/>
  <c r="B12920" i="3"/>
  <c r="D12919" i="3"/>
  <c r="C12919" i="3"/>
  <c r="B12919" i="3"/>
  <c r="D12918" i="3"/>
  <c r="C12918" i="3"/>
  <c r="B12918" i="3"/>
  <c r="D12917" i="3"/>
  <c r="C12917" i="3"/>
  <c r="B12917" i="3"/>
  <c r="D12916" i="3"/>
  <c r="C12916" i="3"/>
  <c r="B12916" i="3"/>
  <c r="D12915" i="3"/>
  <c r="C12915" i="3"/>
  <c r="B12915" i="3"/>
  <c r="D12914" i="3"/>
  <c r="C12914" i="3"/>
  <c r="B12914" i="3"/>
  <c r="D12913" i="3"/>
  <c r="C12913" i="3"/>
  <c r="B12913" i="3"/>
  <c r="D12912" i="3"/>
  <c r="C12912" i="3"/>
  <c r="B12912" i="3"/>
  <c r="D12911" i="3"/>
  <c r="C12911" i="3"/>
  <c r="B12911" i="3"/>
  <c r="D12910" i="3"/>
  <c r="C12910" i="3"/>
  <c r="B12910" i="3"/>
  <c r="D12909" i="3"/>
  <c r="C12909" i="3"/>
  <c r="B12909" i="3"/>
  <c r="D12908" i="3"/>
  <c r="C12908" i="3"/>
  <c r="B12908" i="3"/>
  <c r="D12907" i="3"/>
  <c r="C12907" i="3"/>
  <c r="B12907" i="3"/>
  <c r="D12906" i="3"/>
  <c r="C12906" i="3"/>
  <c r="B12906" i="3"/>
  <c r="D12905" i="3"/>
  <c r="C12905" i="3"/>
  <c r="B12905" i="3"/>
  <c r="D12904" i="3"/>
  <c r="C12904" i="3"/>
  <c r="B12904" i="3"/>
  <c r="D12903" i="3"/>
  <c r="C12903" i="3"/>
  <c r="B12903" i="3"/>
  <c r="D12902" i="3"/>
  <c r="C12902" i="3"/>
  <c r="B12902" i="3"/>
  <c r="D12901" i="3"/>
  <c r="C12901" i="3"/>
  <c r="B12901" i="3"/>
  <c r="D12900" i="3"/>
  <c r="C12900" i="3"/>
  <c r="B12900" i="3"/>
  <c r="D12899" i="3"/>
  <c r="C12899" i="3"/>
  <c r="B12899" i="3"/>
  <c r="D12898" i="3"/>
  <c r="C12898" i="3"/>
  <c r="B12898" i="3"/>
  <c r="D12897" i="3"/>
  <c r="C12897" i="3"/>
  <c r="B12897" i="3"/>
  <c r="D12896" i="3"/>
  <c r="C12896" i="3"/>
  <c r="B12896" i="3"/>
  <c r="D12895" i="3"/>
  <c r="C12895" i="3"/>
  <c r="B12895" i="3"/>
  <c r="D12894" i="3"/>
  <c r="C12894" i="3"/>
  <c r="B12894" i="3"/>
  <c r="D12893" i="3"/>
  <c r="C12893" i="3"/>
  <c r="B12893" i="3"/>
  <c r="D12892" i="3"/>
  <c r="C12892" i="3"/>
  <c r="B12892" i="3"/>
  <c r="D12891" i="3"/>
  <c r="C12891" i="3"/>
  <c r="B12891" i="3"/>
  <c r="D12890" i="3"/>
  <c r="C12890" i="3"/>
  <c r="B12890" i="3"/>
  <c r="D12889" i="3"/>
  <c r="C12889" i="3"/>
  <c r="B12889" i="3"/>
  <c r="D12888" i="3"/>
  <c r="C12888" i="3"/>
  <c r="B12888" i="3"/>
  <c r="D12887" i="3"/>
  <c r="C12887" i="3"/>
  <c r="B12887" i="3"/>
  <c r="D12886" i="3"/>
  <c r="C12886" i="3"/>
  <c r="B12886" i="3"/>
  <c r="D12885" i="3"/>
  <c r="C12885" i="3"/>
  <c r="B12885" i="3"/>
  <c r="D12884" i="3"/>
  <c r="C12884" i="3"/>
  <c r="B12884" i="3"/>
  <c r="D12883" i="3"/>
  <c r="C12883" i="3"/>
  <c r="B12883" i="3"/>
  <c r="D12882" i="3"/>
  <c r="C12882" i="3"/>
  <c r="B12882" i="3"/>
  <c r="D12881" i="3"/>
  <c r="C12881" i="3"/>
  <c r="B12881" i="3"/>
  <c r="D12880" i="3"/>
  <c r="C12880" i="3"/>
  <c r="B12880" i="3"/>
  <c r="D12879" i="3"/>
  <c r="C12879" i="3"/>
  <c r="B12879" i="3"/>
  <c r="D12878" i="3"/>
  <c r="C12878" i="3"/>
  <c r="B12878" i="3"/>
  <c r="D12877" i="3"/>
  <c r="C12877" i="3"/>
  <c r="B12877" i="3"/>
  <c r="D12876" i="3"/>
  <c r="C12876" i="3"/>
  <c r="B12876" i="3"/>
  <c r="D12875" i="3"/>
  <c r="C12875" i="3"/>
  <c r="B12875" i="3"/>
  <c r="D12874" i="3"/>
  <c r="C12874" i="3"/>
  <c r="B12874" i="3"/>
  <c r="D12873" i="3"/>
  <c r="C12873" i="3"/>
  <c r="B12873" i="3"/>
  <c r="D12872" i="3"/>
  <c r="C12872" i="3"/>
  <c r="B12872" i="3"/>
  <c r="D12871" i="3"/>
  <c r="C12871" i="3"/>
  <c r="B12871" i="3"/>
  <c r="D12870" i="3"/>
  <c r="C12870" i="3"/>
  <c r="B12870" i="3"/>
  <c r="D12869" i="3"/>
  <c r="C12869" i="3"/>
  <c r="B12869" i="3"/>
  <c r="D12868" i="3"/>
  <c r="C12868" i="3"/>
  <c r="B12868" i="3"/>
  <c r="D12867" i="3"/>
  <c r="C12867" i="3"/>
  <c r="B12867" i="3"/>
  <c r="D12866" i="3"/>
  <c r="C12866" i="3"/>
  <c r="B12866" i="3"/>
  <c r="D12865" i="3"/>
  <c r="C12865" i="3"/>
  <c r="B12865" i="3"/>
  <c r="D12864" i="3"/>
  <c r="C12864" i="3"/>
  <c r="B12864" i="3"/>
  <c r="D12863" i="3"/>
  <c r="C12863" i="3"/>
  <c r="B12863" i="3"/>
  <c r="D12862" i="3"/>
  <c r="C12862" i="3"/>
  <c r="B12862" i="3"/>
  <c r="D12861" i="3"/>
  <c r="C12861" i="3"/>
  <c r="B12861" i="3"/>
  <c r="D12860" i="3"/>
  <c r="C12860" i="3"/>
  <c r="B12860" i="3"/>
  <c r="D12859" i="3"/>
  <c r="C12859" i="3"/>
  <c r="B12859" i="3"/>
  <c r="D12858" i="3"/>
  <c r="C12858" i="3"/>
  <c r="B12858" i="3"/>
  <c r="D12857" i="3"/>
  <c r="C12857" i="3"/>
  <c r="B12857" i="3"/>
  <c r="D12856" i="3"/>
  <c r="C12856" i="3"/>
  <c r="B12856" i="3"/>
  <c r="D12855" i="3"/>
  <c r="C12855" i="3"/>
  <c r="B12855" i="3"/>
  <c r="D12854" i="3"/>
  <c r="C12854" i="3"/>
  <c r="B12854" i="3"/>
  <c r="D12853" i="3"/>
  <c r="C12853" i="3"/>
  <c r="B12853" i="3"/>
  <c r="D12852" i="3"/>
  <c r="C12852" i="3"/>
  <c r="B12852" i="3"/>
  <c r="D12851" i="3"/>
  <c r="C12851" i="3"/>
  <c r="B12851" i="3"/>
  <c r="D12850" i="3"/>
  <c r="C12850" i="3"/>
  <c r="B12850" i="3"/>
  <c r="D12849" i="3"/>
  <c r="C12849" i="3"/>
  <c r="B12849" i="3"/>
  <c r="D12848" i="3"/>
  <c r="C12848" i="3"/>
  <c r="B12848" i="3"/>
  <c r="D12847" i="3"/>
  <c r="C12847" i="3"/>
  <c r="B12847" i="3"/>
  <c r="D12846" i="3"/>
  <c r="C12846" i="3"/>
  <c r="B12846" i="3"/>
  <c r="D12845" i="3"/>
  <c r="C12845" i="3"/>
  <c r="B12845" i="3"/>
  <c r="D12844" i="3"/>
  <c r="C12844" i="3"/>
  <c r="B12844" i="3"/>
  <c r="D12843" i="3"/>
  <c r="C12843" i="3"/>
  <c r="B12843" i="3"/>
  <c r="D12842" i="3"/>
  <c r="C12842" i="3"/>
  <c r="B12842" i="3"/>
  <c r="D12841" i="3"/>
  <c r="C12841" i="3"/>
  <c r="B12841" i="3"/>
  <c r="D12840" i="3"/>
  <c r="C12840" i="3"/>
  <c r="B12840" i="3"/>
  <c r="D12839" i="3"/>
  <c r="C12839" i="3"/>
  <c r="B12839" i="3"/>
  <c r="D12838" i="3"/>
  <c r="C12838" i="3"/>
  <c r="B12838" i="3"/>
  <c r="D12837" i="3"/>
  <c r="C12837" i="3"/>
  <c r="B12837" i="3"/>
  <c r="D12836" i="3"/>
  <c r="C12836" i="3"/>
  <c r="B12836" i="3"/>
  <c r="D12835" i="3"/>
  <c r="C12835" i="3"/>
  <c r="B12835" i="3"/>
  <c r="D12834" i="3"/>
  <c r="C12834" i="3"/>
  <c r="B12834" i="3"/>
  <c r="D12833" i="3"/>
  <c r="C12833" i="3"/>
  <c r="B12833" i="3"/>
  <c r="D12832" i="3"/>
  <c r="C12832" i="3"/>
  <c r="B12832" i="3"/>
  <c r="D12831" i="3"/>
  <c r="C12831" i="3"/>
  <c r="B12831" i="3"/>
  <c r="D12830" i="3"/>
  <c r="C12830" i="3"/>
  <c r="B12830" i="3"/>
  <c r="D12829" i="3"/>
  <c r="C12829" i="3"/>
  <c r="B12829" i="3"/>
  <c r="D12828" i="3"/>
  <c r="C12828" i="3"/>
  <c r="B12828" i="3"/>
  <c r="D12827" i="3"/>
  <c r="C12827" i="3"/>
  <c r="B12827" i="3"/>
  <c r="D12826" i="3"/>
  <c r="C12826" i="3"/>
  <c r="B12826" i="3"/>
  <c r="D12825" i="3"/>
  <c r="C12825" i="3"/>
  <c r="B12825" i="3"/>
  <c r="D12824" i="3"/>
  <c r="C12824" i="3"/>
  <c r="B12824" i="3"/>
  <c r="D12823" i="3"/>
  <c r="C12823" i="3"/>
  <c r="B12823" i="3"/>
  <c r="D12822" i="3"/>
  <c r="C12822" i="3"/>
  <c r="B12822" i="3"/>
  <c r="D12821" i="3"/>
  <c r="C12821" i="3"/>
  <c r="B12821" i="3"/>
  <c r="D12820" i="3"/>
  <c r="C12820" i="3"/>
  <c r="B12820" i="3"/>
  <c r="D12819" i="3"/>
  <c r="C12819" i="3"/>
  <c r="B12819" i="3"/>
  <c r="D12818" i="3"/>
  <c r="C12818" i="3"/>
  <c r="B12818" i="3"/>
  <c r="D12817" i="3"/>
  <c r="C12817" i="3"/>
  <c r="B12817" i="3"/>
  <c r="D12816" i="3"/>
  <c r="C12816" i="3"/>
  <c r="B12816" i="3"/>
  <c r="D12815" i="3"/>
  <c r="C12815" i="3"/>
  <c r="B12815" i="3"/>
  <c r="D12814" i="3"/>
  <c r="C12814" i="3"/>
  <c r="B12814" i="3"/>
  <c r="D12813" i="3"/>
  <c r="C12813" i="3"/>
  <c r="B12813" i="3"/>
  <c r="D12812" i="3"/>
  <c r="C12812" i="3"/>
  <c r="B12812" i="3"/>
  <c r="D12811" i="3"/>
  <c r="C12811" i="3"/>
  <c r="B12811" i="3"/>
  <c r="D12810" i="3"/>
  <c r="C12810" i="3"/>
  <c r="B12810" i="3"/>
  <c r="D12809" i="3"/>
  <c r="C12809" i="3"/>
  <c r="B12809" i="3"/>
  <c r="D12808" i="3"/>
  <c r="C12808" i="3"/>
  <c r="B12808" i="3"/>
  <c r="D12807" i="3"/>
  <c r="C12807" i="3"/>
  <c r="B12807" i="3"/>
  <c r="D12806" i="3"/>
  <c r="C12806" i="3"/>
  <c r="B12806" i="3"/>
  <c r="D12805" i="3"/>
  <c r="C12805" i="3"/>
  <c r="B12805" i="3"/>
  <c r="D12804" i="3"/>
  <c r="C12804" i="3"/>
  <c r="B12804" i="3"/>
  <c r="D12803" i="3"/>
  <c r="C12803" i="3"/>
  <c r="B12803" i="3"/>
  <c r="D12802" i="3"/>
  <c r="C12802" i="3"/>
  <c r="B12802" i="3"/>
  <c r="D12801" i="3"/>
  <c r="C12801" i="3"/>
  <c r="B12801" i="3"/>
  <c r="D12800" i="3"/>
  <c r="C12800" i="3"/>
  <c r="B12800" i="3"/>
  <c r="D12799" i="3"/>
  <c r="C12799" i="3"/>
  <c r="B12799" i="3"/>
  <c r="D12798" i="3"/>
  <c r="C12798" i="3"/>
  <c r="B12798" i="3"/>
  <c r="D12797" i="3"/>
  <c r="C12797" i="3"/>
  <c r="B12797" i="3"/>
  <c r="D12796" i="3"/>
  <c r="C12796" i="3"/>
  <c r="B12796" i="3"/>
  <c r="D12795" i="3"/>
  <c r="C12795" i="3"/>
  <c r="B12795" i="3"/>
  <c r="D12794" i="3"/>
  <c r="C12794" i="3"/>
  <c r="B12794" i="3"/>
  <c r="D12793" i="3"/>
  <c r="C12793" i="3"/>
  <c r="B12793" i="3"/>
  <c r="D12792" i="3"/>
  <c r="C12792" i="3"/>
  <c r="B12792" i="3"/>
  <c r="D12791" i="3"/>
  <c r="C12791" i="3"/>
  <c r="B12791" i="3"/>
  <c r="D12790" i="3"/>
  <c r="C12790" i="3"/>
  <c r="B12790" i="3"/>
  <c r="D12789" i="3"/>
  <c r="C12789" i="3"/>
  <c r="B12789" i="3"/>
  <c r="D12788" i="3"/>
  <c r="C12788" i="3"/>
  <c r="B12788" i="3"/>
  <c r="D12787" i="3"/>
  <c r="C12787" i="3"/>
  <c r="B12787" i="3"/>
  <c r="D12786" i="3"/>
  <c r="C12786" i="3"/>
  <c r="B12786" i="3"/>
  <c r="D12785" i="3"/>
  <c r="C12785" i="3"/>
  <c r="B12785" i="3"/>
  <c r="D12784" i="3"/>
  <c r="C12784" i="3"/>
  <c r="B12784" i="3"/>
  <c r="D12783" i="3"/>
  <c r="C12783" i="3"/>
  <c r="B12783" i="3"/>
  <c r="D12782" i="3"/>
  <c r="C12782" i="3"/>
  <c r="B12782" i="3"/>
  <c r="D12781" i="3"/>
  <c r="C12781" i="3"/>
  <c r="B12781" i="3"/>
  <c r="D12780" i="3"/>
  <c r="C12780" i="3"/>
  <c r="B12780" i="3"/>
  <c r="D12779" i="3"/>
  <c r="C12779" i="3"/>
  <c r="B12779" i="3"/>
  <c r="D12778" i="3"/>
  <c r="C12778" i="3"/>
  <c r="B12778" i="3"/>
  <c r="D12777" i="3"/>
  <c r="C12777" i="3"/>
  <c r="B12777" i="3"/>
  <c r="D12776" i="3"/>
  <c r="C12776" i="3"/>
  <c r="B12776" i="3"/>
  <c r="D12775" i="3"/>
  <c r="C12775" i="3"/>
  <c r="B12775" i="3"/>
  <c r="D12774" i="3"/>
  <c r="C12774" i="3"/>
  <c r="B12774" i="3"/>
  <c r="D12773" i="3"/>
  <c r="C12773" i="3"/>
  <c r="B12773" i="3"/>
  <c r="D12772" i="3"/>
  <c r="C12772" i="3"/>
  <c r="B12772" i="3"/>
  <c r="D12771" i="3"/>
  <c r="C12771" i="3"/>
  <c r="B12771" i="3"/>
  <c r="D12770" i="3"/>
  <c r="C12770" i="3"/>
  <c r="B12770" i="3"/>
  <c r="D12769" i="3"/>
  <c r="C12769" i="3"/>
  <c r="B12769" i="3"/>
  <c r="D12768" i="3"/>
  <c r="C12768" i="3"/>
  <c r="B12768" i="3"/>
  <c r="D12767" i="3"/>
  <c r="C12767" i="3"/>
  <c r="B12767" i="3"/>
  <c r="D12766" i="3"/>
  <c r="C12766" i="3"/>
  <c r="B12766" i="3"/>
  <c r="D12765" i="3"/>
  <c r="C12765" i="3"/>
  <c r="B12765" i="3"/>
  <c r="D12764" i="3"/>
  <c r="C12764" i="3"/>
  <c r="B12764" i="3"/>
  <c r="D12763" i="3"/>
  <c r="C12763" i="3"/>
  <c r="B12763" i="3"/>
  <c r="D12762" i="3"/>
  <c r="C12762" i="3"/>
  <c r="B12762" i="3"/>
  <c r="D12761" i="3"/>
  <c r="C12761" i="3"/>
  <c r="B12761" i="3"/>
  <c r="D12760" i="3"/>
  <c r="C12760" i="3"/>
  <c r="B12760" i="3"/>
  <c r="D12759" i="3"/>
  <c r="C12759" i="3"/>
  <c r="B12759" i="3"/>
  <c r="D12758" i="3"/>
  <c r="C12758" i="3"/>
  <c r="B12758" i="3"/>
  <c r="D12757" i="3"/>
  <c r="C12757" i="3"/>
  <c r="B12757" i="3"/>
  <c r="D12756" i="3"/>
  <c r="C12756" i="3"/>
  <c r="B12756" i="3"/>
  <c r="D12755" i="3"/>
  <c r="C12755" i="3"/>
  <c r="B12755" i="3"/>
  <c r="D12754" i="3"/>
  <c r="C12754" i="3"/>
  <c r="B12754" i="3"/>
  <c r="D12753" i="3"/>
  <c r="C12753" i="3"/>
  <c r="B12753" i="3"/>
  <c r="D12752" i="3"/>
  <c r="C12752" i="3"/>
  <c r="B12752" i="3"/>
  <c r="D12751" i="3"/>
  <c r="C12751" i="3"/>
  <c r="B12751" i="3"/>
  <c r="D12750" i="3"/>
  <c r="C12750" i="3"/>
  <c r="B12750" i="3"/>
  <c r="D12749" i="3"/>
  <c r="C12749" i="3"/>
  <c r="B12749" i="3"/>
  <c r="D12748" i="3"/>
  <c r="C12748" i="3"/>
  <c r="B12748" i="3"/>
  <c r="D12747" i="3"/>
  <c r="C12747" i="3"/>
  <c r="B12747" i="3"/>
  <c r="D12746" i="3"/>
  <c r="C12746" i="3"/>
  <c r="B12746" i="3"/>
  <c r="D12745" i="3"/>
  <c r="C12745" i="3"/>
  <c r="B12745" i="3"/>
  <c r="D12744" i="3"/>
  <c r="C12744" i="3"/>
  <c r="B12744" i="3"/>
  <c r="D12743" i="3"/>
  <c r="C12743" i="3"/>
  <c r="B12743" i="3"/>
  <c r="D12742" i="3"/>
  <c r="C12742" i="3"/>
  <c r="B12742" i="3"/>
  <c r="D12741" i="3"/>
  <c r="C12741" i="3"/>
  <c r="B12741" i="3"/>
  <c r="D12740" i="3"/>
  <c r="C12740" i="3"/>
  <c r="B12740" i="3"/>
  <c r="D12739" i="3"/>
  <c r="C12739" i="3"/>
  <c r="B12739" i="3"/>
  <c r="D12738" i="3"/>
  <c r="C12738" i="3"/>
  <c r="B12738" i="3"/>
  <c r="D12737" i="3"/>
  <c r="C12737" i="3"/>
  <c r="B12737" i="3"/>
  <c r="D12736" i="3"/>
  <c r="C12736" i="3"/>
  <c r="B12736" i="3"/>
  <c r="D12735" i="3"/>
  <c r="C12735" i="3"/>
  <c r="B12735" i="3"/>
  <c r="D12734" i="3"/>
  <c r="C12734" i="3"/>
  <c r="B12734" i="3"/>
  <c r="D12733" i="3"/>
  <c r="C12733" i="3"/>
  <c r="B12733" i="3"/>
  <c r="D12732" i="3"/>
  <c r="C12732" i="3"/>
  <c r="B12732" i="3"/>
  <c r="D12731" i="3"/>
  <c r="C12731" i="3"/>
  <c r="B12731" i="3"/>
  <c r="D12730" i="3"/>
  <c r="C12730" i="3"/>
  <c r="B12730" i="3"/>
  <c r="D12729" i="3"/>
  <c r="C12729" i="3"/>
  <c r="B12729" i="3"/>
  <c r="D12728" i="3"/>
  <c r="C12728" i="3"/>
  <c r="B12728" i="3"/>
  <c r="D12727" i="3"/>
  <c r="C12727" i="3"/>
  <c r="B12727" i="3"/>
  <c r="D12726" i="3"/>
  <c r="C12726" i="3"/>
  <c r="B12726" i="3"/>
  <c r="D12725" i="3"/>
  <c r="C12725" i="3"/>
  <c r="B12725" i="3"/>
  <c r="D12724" i="3"/>
  <c r="C12724" i="3"/>
  <c r="B12724" i="3"/>
  <c r="D12723" i="3"/>
  <c r="C12723" i="3"/>
  <c r="B12723" i="3"/>
  <c r="D12722" i="3"/>
  <c r="C12722" i="3"/>
  <c r="B12722" i="3"/>
  <c r="D12721" i="3"/>
  <c r="C12721" i="3"/>
  <c r="B12721" i="3"/>
  <c r="D12720" i="3"/>
  <c r="C12720" i="3"/>
  <c r="B12720" i="3"/>
  <c r="D12719" i="3"/>
  <c r="C12719" i="3"/>
  <c r="B12719" i="3"/>
  <c r="D12718" i="3"/>
  <c r="C12718" i="3"/>
  <c r="B12718" i="3"/>
  <c r="D12717" i="3"/>
  <c r="C12717" i="3"/>
  <c r="B12717" i="3"/>
  <c r="D12716" i="3"/>
  <c r="C12716" i="3"/>
  <c r="B12716" i="3"/>
  <c r="D12715" i="3"/>
  <c r="C12715" i="3"/>
  <c r="B12715" i="3"/>
  <c r="D12714" i="3"/>
  <c r="C12714" i="3"/>
  <c r="B12714" i="3"/>
  <c r="D12713" i="3"/>
  <c r="C12713" i="3"/>
  <c r="B12713" i="3"/>
  <c r="D12712" i="3"/>
  <c r="C12712" i="3"/>
  <c r="B12712" i="3"/>
  <c r="D12711" i="3"/>
  <c r="C12711" i="3"/>
  <c r="B12711" i="3"/>
  <c r="D12710" i="3"/>
  <c r="C12710" i="3"/>
  <c r="B12710" i="3"/>
  <c r="D12709" i="3"/>
  <c r="C12709" i="3"/>
  <c r="B12709" i="3"/>
  <c r="D12708" i="3"/>
  <c r="C12708" i="3"/>
  <c r="B12708" i="3"/>
  <c r="D12707" i="3"/>
  <c r="C12707" i="3"/>
  <c r="B12707" i="3"/>
  <c r="D12706" i="3"/>
  <c r="C12706" i="3"/>
  <c r="B12706" i="3"/>
  <c r="D12705" i="3"/>
  <c r="C12705" i="3"/>
  <c r="B12705" i="3"/>
  <c r="D12704" i="3"/>
  <c r="C12704" i="3"/>
  <c r="B12704" i="3"/>
  <c r="D12703" i="3"/>
  <c r="C12703" i="3"/>
  <c r="B12703" i="3"/>
  <c r="D12702" i="3"/>
  <c r="C12702" i="3"/>
  <c r="B12702" i="3"/>
  <c r="D12701" i="3"/>
  <c r="C12701" i="3"/>
  <c r="B12701" i="3"/>
  <c r="D12700" i="3"/>
  <c r="C12700" i="3"/>
  <c r="B12700" i="3"/>
  <c r="D12699" i="3"/>
  <c r="C12699" i="3"/>
  <c r="B12699" i="3"/>
  <c r="D12698" i="3"/>
  <c r="C12698" i="3"/>
  <c r="B12698" i="3"/>
  <c r="D12697" i="3"/>
  <c r="C12697" i="3"/>
  <c r="B12697" i="3"/>
  <c r="D12696" i="3"/>
  <c r="C12696" i="3"/>
  <c r="B12696" i="3"/>
  <c r="D12695" i="3"/>
  <c r="C12695" i="3"/>
  <c r="B12695" i="3"/>
  <c r="D12694" i="3"/>
  <c r="C12694" i="3"/>
  <c r="B12694" i="3"/>
  <c r="D12693" i="3"/>
  <c r="C12693" i="3"/>
  <c r="B12693" i="3"/>
  <c r="D12692" i="3"/>
  <c r="C12692" i="3"/>
  <c r="B12692" i="3"/>
  <c r="D12691" i="3"/>
  <c r="C12691" i="3"/>
  <c r="B12691" i="3"/>
  <c r="D12690" i="3"/>
  <c r="C12690" i="3"/>
  <c r="B12690" i="3"/>
  <c r="D12689" i="3"/>
  <c r="C12689" i="3"/>
  <c r="B12689" i="3"/>
  <c r="D12688" i="3"/>
  <c r="C12688" i="3"/>
  <c r="B12688" i="3"/>
  <c r="D12687" i="3"/>
  <c r="C12687" i="3"/>
  <c r="B12687" i="3"/>
  <c r="D12686" i="3"/>
  <c r="C12686" i="3"/>
  <c r="B12686" i="3"/>
  <c r="D12685" i="3"/>
  <c r="C12685" i="3"/>
  <c r="B12685" i="3"/>
  <c r="D12684" i="3"/>
  <c r="C12684" i="3"/>
  <c r="B12684" i="3"/>
  <c r="D12683" i="3"/>
  <c r="C12683" i="3"/>
  <c r="B12683" i="3"/>
  <c r="D12682" i="3"/>
  <c r="C12682" i="3"/>
  <c r="B12682" i="3"/>
  <c r="D12681" i="3"/>
  <c r="C12681" i="3"/>
  <c r="B12681" i="3"/>
  <c r="D12680" i="3"/>
  <c r="C12680" i="3"/>
  <c r="B12680" i="3"/>
  <c r="D12679" i="3"/>
  <c r="C12679" i="3"/>
  <c r="B12679" i="3"/>
  <c r="D12678" i="3"/>
  <c r="C12678" i="3"/>
  <c r="B12678" i="3"/>
  <c r="D12677" i="3"/>
  <c r="C12677" i="3"/>
  <c r="B12677" i="3"/>
  <c r="D12676" i="3"/>
  <c r="C12676" i="3"/>
  <c r="B12676" i="3"/>
  <c r="D12675" i="3"/>
  <c r="C12675" i="3"/>
  <c r="B12675" i="3"/>
  <c r="D12674" i="3"/>
  <c r="C12674" i="3"/>
  <c r="B12674" i="3"/>
  <c r="D12673" i="3"/>
  <c r="C12673" i="3"/>
  <c r="B12673" i="3"/>
  <c r="D12672" i="3"/>
  <c r="C12672" i="3"/>
  <c r="B12672" i="3"/>
  <c r="D12671" i="3"/>
  <c r="C12671" i="3"/>
  <c r="B12671" i="3"/>
  <c r="D12670" i="3"/>
  <c r="C12670" i="3"/>
  <c r="B12670" i="3"/>
  <c r="D12669" i="3"/>
  <c r="C12669" i="3"/>
  <c r="B12669" i="3"/>
  <c r="D12668" i="3"/>
  <c r="C12668" i="3"/>
  <c r="B12668" i="3"/>
  <c r="D12667" i="3"/>
  <c r="C12667" i="3"/>
  <c r="B12667" i="3"/>
  <c r="D12666" i="3"/>
  <c r="C12666" i="3"/>
  <c r="B12666" i="3"/>
  <c r="D12665" i="3"/>
  <c r="C12665" i="3"/>
  <c r="B12665" i="3"/>
  <c r="D12664" i="3"/>
  <c r="C12664" i="3"/>
  <c r="B12664" i="3"/>
  <c r="D12663" i="3"/>
  <c r="C12663" i="3"/>
  <c r="B12663" i="3"/>
  <c r="D12662" i="3"/>
  <c r="C12662" i="3"/>
  <c r="B12662" i="3"/>
  <c r="D12661" i="3"/>
  <c r="C12661" i="3"/>
  <c r="B12661" i="3"/>
  <c r="D12660" i="3"/>
  <c r="C12660" i="3"/>
  <c r="B12660" i="3"/>
  <c r="D12659" i="3"/>
  <c r="C12659" i="3"/>
  <c r="B12659" i="3"/>
  <c r="D12658" i="3"/>
  <c r="C12658" i="3"/>
  <c r="B12658" i="3"/>
  <c r="D12657" i="3"/>
  <c r="C12657" i="3"/>
  <c r="B12657" i="3"/>
  <c r="D12656" i="3"/>
  <c r="C12656" i="3"/>
  <c r="B12656" i="3"/>
  <c r="D12655" i="3"/>
  <c r="C12655" i="3"/>
  <c r="B12655" i="3"/>
  <c r="D12654" i="3"/>
  <c r="C12654" i="3"/>
  <c r="B12654" i="3"/>
  <c r="D12653" i="3"/>
  <c r="C12653" i="3"/>
  <c r="B12653" i="3"/>
  <c r="D12652" i="3"/>
  <c r="C12652" i="3"/>
  <c r="B12652" i="3"/>
  <c r="D12651" i="3"/>
  <c r="C12651" i="3"/>
  <c r="B12651" i="3"/>
  <c r="D12650" i="3"/>
  <c r="C12650" i="3"/>
  <c r="B12650" i="3"/>
  <c r="D12649" i="3"/>
  <c r="C12649" i="3"/>
  <c r="B12649" i="3"/>
  <c r="D12648" i="3"/>
  <c r="C12648" i="3"/>
  <c r="B12648" i="3"/>
  <c r="D12647" i="3"/>
  <c r="C12647" i="3"/>
  <c r="B12647" i="3"/>
  <c r="D12646" i="3"/>
  <c r="C12646" i="3"/>
  <c r="B12646" i="3"/>
  <c r="D12645" i="3"/>
  <c r="C12645" i="3"/>
  <c r="B12645" i="3"/>
  <c r="D12644" i="3"/>
  <c r="C12644" i="3"/>
  <c r="B12644" i="3"/>
  <c r="D12643" i="3"/>
  <c r="C12643" i="3"/>
  <c r="B12643" i="3"/>
  <c r="D12642" i="3"/>
  <c r="C12642" i="3"/>
  <c r="B12642" i="3"/>
  <c r="D12641" i="3"/>
  <c r="C12641" i="3"/>
  <c r="B12641" i="3"/>
  <c r="D12640" i="3"/>
  <c r="C12640" i="3"/>
  <c r="B12640" i="3"/>
  <c r="D12639" i="3"/>
  <c r="C12639" i="3"/>
  <c r="B12639" i="3"/>
  <c r="D12638" i="3"/>
  <c r="C12638" i="3"/>
  <c r="B12638" i="3"/>
  <c r="D12637" i="3"/>
  <c r="C12637" i="3"/>
  <c r="B12637" i="3"/>
  <c r="D12636" i="3"/>
  <c r="C12636" i="3"/>
  <c r="B12636" i="3"/>
  <c r="D12635" i="3"/>
  <c r="C12635" i="3"/>
  <c r="B12635" i="3"/>
  <c r="D12634" i="3"/>
  <c r="C12634" i="3"/>
  <c r="B12634" i="3"/>
  <c r="D12633" i="3"/>
  <c r="C12633" i="3"/>
  <c r="B12633" i="3"/>
  <c r="D12632" i="3"/>
  <c r="C12632" i="3"/>
  <c r="B12632" i="3"/>
  <c r="D12631" i="3"/>
  <c r="C12631" i="3"/>
  <c r="B12631" i="3"/>
  <c r="D12630" i="3"/>
  <c r="C12630" i="3"/>
  <c r="B12630" i="3"/>
  <c r="D12629" i="3"/>
  <c r="C12629" i="3"/>
  <c r="B12629" i="3"/>
  <c r="D12628" i="3"/>
  <c r="C12628" i="3"/>
  <c r="B12628" i="3"/>
  <c r="D12627" i="3"/>
  <c r="C12627" i="3"/>
  <c r="B12627" i="3"/>
  <c r="D12626" i="3"/>
  <c r="C12626" i="3"/>
  <c r="B12626" i="3"/>
  <c r="D12625" i="3"/>
  <c r="C12625" i="3"/>
  <c r="B12625" i="3"/>
  <c r="D12624" i="3"/>
  <c r="C12624" i="3"/>
  <c r="B12624" i="3"/>
  <c r="D12623" i="3"/>
  <c r="C12623" i="3"/>
  <c r="B12623" i="3"/>
  <c r="D12622" i="3"/>
  <c r="C12622" i="3"/>
  <c r="B12622" i="3"/>
  <c r="D12621" i="3"/>
  <c r="C12621" i="3"/>
  <c r="B12621" i="3"/>
  <c r="D12620" i="3"/>
  <c r="C12620" i="3"/>
  <c r="B12620" i="3"/>
  <c r="D12619" i="3"/>
  <c r="C12619" i="3"/>
  <c r="B12619" i="3"/>
  <c r="D12618" i="3"/>
  <c r="C12618" i="3"/>
  <c r="B12618" i="3"/>
  <c r="D12617" i="3"/>
  <c r="C12617" i="3"/>
  <c r="B12617" i="3"/>
  <c r="D12616" i="3"/>
  <c r="C12616" i="3"/>
  <c r="B12616" i="3"/>
  <c r="D12615" i="3"/>
  <c r="C12615" i="3"/>
  <c r="B12615" i="3"/>
  <c r="D12614" i="3"/>
  <c r="C12614" i="3"/>
  <c r="B12614" i="3"/>
  <c r="D12613" i="3"/>
  <c r="C12613" i="3"/>
  <c r="B12613" i="3"/>
  <c r="D12612" i="3"/>
  <c r="C12612" i="3"/>
  <c r="B12612" i="3"/>
  <c r="D12611" i="3"/>
  <c r="C12611" i="3"/>
  <c r="B12611" i="3"/>
  <c r="D12610" i="3"/>
  <c r="C12610" i="3"/>
  <c r="B12610" i="3"/>
  <c r="D12609" i="3"/>
  <c r="C12609" i="3"/>
  <c r="B12609" i="3"/>
  <c r="D12608" i="3"/>
  <c r="C12608" i="3"/>
  <c r="B12608" i="3"/>
  <c r="D12607" i="3"/>
  <c r="C12607" i="3"/>
  <c r="B12607" i="3"/>
  <c r="D12606" i="3"/>
  <c r="C12606" i="3"/>
  <c r="B12606" i="3"/>
  <c r="D12605" i="3"/>
  <c r="C12605" i="3"/>
  <c r="B12605" i="3"/>
  <c r="D12604" i="3"/>
  <c r="C12604" i="3"/>
  <c r="B12604" i="3"/>
  <c r="D12603" i="3"/>
  <c r="C12603" i="3"/>
  <c r="B12603" i="3"/>
  <c r="D12602" i="3"/>
  <c r="C12602" i="3"/>
  <c r="B12602" i="3"/>
  <c r="D12601" i="3"/>
  <c r="C12601" i="3"/>
  <c r="B12601" i="3"/>
  <c r="D12600" i="3"/>
  <c r="C12600" i="3"/>
  <c r="B12600" i="3"/>
  <c r="D12599" i="3"/>
  <c r="C12599" i="3"/>
  <c r="B12599" i="3"/>
  <c r="D12598" i="3"/>
  <c r="C12598" i="3"/>
  <c r="B12598" i="3"/>
  <c r="D12597" i="3"/>
  <c r="C12597" i="3"/>
  <c r="B12597" i="3"/>
  <c r="D12596" i="3"/>
  <c r="C12596" i="3"/>
  <c r="B12596" i="3"/>
  <c r="D12595" i="3"/>
  <c r="C12595" i="3"/>
  <c r="B12595" i="3"/>
  <c r="D12594" i="3"/>
  <c r="C12594" i="3"/>
  <c r="B12594" i="3"/>
  <c r="D12593" i="3"/>
  <c r="C12593" i="3"/>
  <c r="B12593" i="3"/>
  <c r="D12592" i="3"/>
  <c r="C12592" i="3"/>
  <c r="B12592" i="3"/>
  <c r="D12591" i="3"/>
  <c r="C12591" i="3"/>
  <c r="B12591" i="3"/>
  <c r="D12590" i="3"/>
  <c r="C12590" i="3"/>
  <c r="B12590" i="3"/>
  <c r="D12589" i="3"/>
  <c r="C12589" i="3"/>
  <c r="B12589" i="3"/>
  <c r="D12588" i="3"/>
  <c r="C12588" i="3"/>
  <c r="B12588" i="3"/>
  <c r="D12587" i="3"/>
  <c r="C12587" i="3"/>
  <c r="B12587" i="3"/>
  <c r="D12586" i="3"/>
  <c r="C12586" i="3"/>
  <c r="B12586" i="3"/>
  <c r="D12585" i="3"/>
  <c r="C12585" i="3"/>
  <c r="B12585" i="3"/>
  <c r="D12584" i="3"/>
  <c r="C12584" i="3"/>
  <c r="B12584" i="3"/>
  <c r="D12583" i="3"/>
  <c r="C12583" i="3"/>
  <c r="B12583" i="3"/>
  <c r="D12582" i="3"/>
  <c r="C12582" i="3"/>
  <c r="B12582" i="3"/>
  <c r="D12581" i="3"/>
  <c r="C12581" i="3"/>
  <c r="B12581" i="3"/>
  <c r="D12580" i="3"/>
  <c r="C12580" i="3"/>
  <c r="B12580" i="3"/>
  <c r="D12579" i="3"/>
  <c r="C12579" i="3"/>
  <c r="B12579" i="3"/>
  <c r="D12578" i="3"/>
  <c r="C12578" i="3"/>
  <c r="B12578" i="3"/>
  <c r="D12577" i="3"/>
  <c r="C12577" i="3"/>
  <c r="B12577" i="3"/>
  <c r="D12576" i="3"/>
  <c r="C12576" i="3"/>
  <c r="B12576" i="3"/>
  <c r="D12575" i="3"/>
  <c r="C12575" i="3"/>
  <c r="B12575" i="3"/>
  <c r="D12574" i="3"/>
  <c r="C12574" i="3"/>
  <c r="B12574" i="3"/>
  <c r="D12573" i="3"/>
  <c r="C12573" i="3"/>
  <c r="B12573" i="3"/>
  <c r="D12572" i="3"/>
  <c r="C12572" i="3"/>
  <c r="B12572" i="3"/>
  <c r="D12571" i="3"/>
  <c r="C12571" i="3"/>
  <c r="B12571" i="3"/>
  <c r="D12570" i="3"/>
  <c r="C12570" i="3"/>
  <c r="B12570" i="3"/>
  <c r="D12569" i="3"/>
  <c r="C12569" i="3"/>
  <c r="B12569" i="3"/>
  <c r="D12568" i="3"/>
  <c r="C12568" i="3"/>
  <c r="B12568" i="3"/>
  <c r="D12567" i="3"/>
  <c r="C12567" i="3"/>
  <c r="B12567" i="3"/>
  <c r="D12566" i="3"/>
  <c r="C12566" i="3"/>
  <c r="B12566" i="3"/>
  <c r="D12565" i="3"/>
  <c r="C12565" i="3"/>
  <c r="B12565" i="3"/>
  <c r="D12564" i="3"/>
  <c r="C12564" i="3"/>
  <c r="B12564" i="3"/>
  <c r="D12563" i="3"/>
  <c r="C12563" i="3"/>
  <c r="B12563" i="3"/>
  <c r="D12562" i="3"/>
  <c r="C12562" i="3"/>
  <c r="B12562" i="3"/>
  <c r="D12561" i="3"/>
  <c r="C12561" i="3"/>
  <c r="B12561" i="3"/>
  <c r="D12560" i="3"/>
  <c r="C12560" i="3"/>
  <c r="B12560" i="3"/>
  <c r="D12559" i="3"/>
  <c r="C12559" i="3"/>
  <c r="B12559" i="3"/>
  <c r="D12558" i="3"/>
  <c r="C12558" i="3"/>
  <c r="B12558" i="3"/>
  <c r="D12557" i="3"/>
  <c r="C12557" i="3"/>
  <c r="B12557" i="3"/>
  <c r="D12556" i="3"/>
  <c r="C12556" i="3"/>
  <c r="B12556" i="3"/>
  <c r="D12555" i="3"/>
  <c r="C12555" i="3"/>
  <c r="B12555" i="3"/>
  <c r="D12554" i="3"/>
  <c r="C12554" i="3"/>
  <c r="B12554" i="3"/>
  <c r="D12553" i="3"/>
  <c r="C12553" i="3"/>
  <c r="B12553" i="3"/>
  <c r="D12552" i="3"/>
  <c r="C12552" i="3"/>
  <c r="B12552" i="3"/>
  <c r="D12551" i="3"/>
  <c r="C12551" i="3"/>
  <c r="B12551" i="3"/>
  <c r="D12550" i="3"/>
  <c r="C12550" i="3"/>
  <c r="B12550" i="3"/>
  <c r="D12549" i="3"/>
  <c r="C12549" i="3"/>
  <c r="B12549" i="3"/>
  <c r="D12548" i="3"/>
  <c r="C12548" i="3"/>
  <c r="B12548" i="3"/>
  <c r="D12547" i="3"/>
  <c r="C12547" i="3"/>
  <c r="B12547" i="3"/>
  <c r="D12546" i="3"/>
  <c r="C12546" i="3"/>
  <c r="B12546" i="3"/>
  <c r="D12545" i="3"/>
  <c r="C12545" i="3"/>
  <c r="B12545" i="3"/>
  <c r="D12544" i="3"/>
  <c r="C12544" i="3"/>
  <c r="B12544" i="3"/>
  <c r="D12543" i="3"/>
  <c r="C12543" i="3"/>
  <c r="B12543" i="3"/>
  <c r="D12542" i="3"/>
  <c r="C12542" i="3"/>
  <c r="B12542" i="3"/>
  <c r="D12541" i="3"/>
  <c r="C12541" i="3"/>
  <c r="B12541" i="3"/>
  <c r="D12540" i="3"/>
  <c r="C12540" i="3"/>
  <c r="B12540" i="3"/>
  <c r="D12539" i="3"/>
  <c r="C12539" i="3"/>
  <c r="B12539" i="3"/>
  <c r="D12538" i="3"/>
  <c r="C12538" i="3"/>
  <c r="B12538" i="3"/>
  <c r="D12537" i="3"/>
  <c r="C12537" i="3"/>
  <c r="B12537" i="3"/>
  <c r="D12536" i="3"/>
  <c r="C12536" i="3"/>
  <c r="B12536" i="3"/>
  <c r="D12535" i="3"/>
  <c r="C12535" i="3"/>
  <c r="B12535" i="3"/>
  <c r="D12534" i="3"/>
  <c r="C12534" i="3"/>
  <c r="B12534" i="3"/>
  <c r="D12533" i="3"/>
  <c r="C12533" i="3"/>
  <c r="B12533" i="3"/>
  <c r="D12532" i="3"/>
  <c r="C12532" i="3"/>
  <c r="B12532" i="3"/>
  <c r="D12531" i="3"/>
  <c r="C12531" i="3"/>
  <c r="B12531" i="3"/>
  <c r="D12530" i="3"/>
  <c r="C12530" i="3"/>
  <c r="B12530" i="3"/>
  <c r="D12529" i="3"/>
  <c r="C12529" i="3"/>
  <c r="B12529" i="3"/>
  <c r="D12528" i="3"/>
  <c r="C12528" i="3"/>
  <c r="B12528" i="3"/>
  <c r="D12527" i="3"/>
  <c r="C12527" i="3"/>
  <c r="B12527" i="3"/>
  <c r="D12526" i="3"/>
  <c r="C12526" i="3"/>
  <c r="B12526" i="3"/>
  <c r="D12525" i="3"/>
  <c r="C12525" i="3"/>
  <c r="B12525" i="3"/>
  <c r="D12524" i="3"/>
  <c r="C12524" i="3"/>
  <c r="B12524" i="3"/>
  <c r="D12523" i="3"/>
  <c r="C12523" i="3"/>
  <c r="B12523" i="3"/>
  <c r="D12522" i="3"/>
  <c r="C12522" i="3"/>
  <c r="B12522" i="3"/>
  <c r="D12521" i="3"/>
  <c r="C12521" i="3"/>
  <c r="B12521" i="3"/>
  <c r="D12520" i="3"/>
  <c r="C12520" i="3"/>
  <c r="B12520" i="3"/>
  <c r="D12519" i="3"/>
  <c r="C12519" i="3"/>
  <c r="B12519" i="3"/>
  <c r="D12518" i="3"/>
  <c r="C12518" i="3"/>
  <c r="B12518" i="3"/>
  <c r="D12517" i="3"/>
  <c r="C12517" i="3"/>
  <c r="B12517" i="3"/>
  <c r="D12516" i="3"/>
  <c r="C12516" i="3"/>
  <c r="B12516" i="3"/>
  <c r="D12515" i="3"/>
  <c r="C12515" i="3"/>
  <c r="B12515" i="3"/>
  <c r="D12514" i="3"/>
  <c r="C12514" i="3"/>
  <c r="B12514" i="3"/>
  <c r="D12513" i="3"/>
  <c r="C12513" i="3"/>
  <c r="B12513" i="3"/>
  <c r="D12512" i="3"/>
  <c r="C12512" i="3"/>
  <c r="B12512" i="3"/>
  <c r="D12511" i="3"/>
  <c r="C12511" i="3"/>
  <c r="B12511" i="3"/>
  <c r="D12510" i="3"/>
  <c r="C12510" i="3"/>
  <c r="B12510" i="3"/>
  <c r="D12509" i="3"/>
  <c r="C12509" i="3"/>
  <c r="B12509" i="3"/>
  <c r="D12508" i="3"/>
  <c r="C12508" i="3"/>
  <c r="B12508" i="3"/>
  <c r="D12507" i="3"/>
  <c r="C12507" i="3"/>
  <c r="B12507" i="3"/>
  <c r="D12506" i="3"/>
  <c r="C12506" i="3"/>
  <c r="B12506" i="3"/>
  <c r="D12505" i="3"/>
  <c r="C12505" i="3"/>
  <c r="B12505" i="3"/>
  <c r="D12504" i="3"/>
  <c r="C12504" i="3"/>
  <c r="B12504" i="3"/>
  <c r="D12503" i="3"/>
  <c r="C12503" i="3"/>
  <c r="B12503" i="3"/>
  <c r="D12502" i="3"/>
  <c r="C12502" i="3"/>
  <c r="B12502" i="3"/>
  <c r="D12501" i="3"/>
  <c r="C12501" i="3"/>
  <c r="B12501" i="3"/>
  <c r="D12500" i="3"/>
  <c r="C12500" i="3"/>
  <c r="B12500" i="3"/>
  <c r="D12499" i="3"/>
  <c r="C12499" i="3"/>
  <c r="B12499" i="3"/>
  <c r="D12498" i="3"/>
  <c r="C12498" i="3"/>
  <c r="B12498" i="3"/>
  <c r="D12497" i="3"/>
  <c r="C12497" i="3"/>
  <c r="B12497" i="3"/>
  <c r="D12496" i="3"/>
  <c r="C12496" i="3"/>
  <c r="B12496" i="3"/>
  <c r="D12495" i="3"/>
  <c r="C12495" i="3"/>
  <c r="B12495" i="3"/>
  <c r="D12494" i="3"/>
  <c r="C12494" i="3"/>
  <c r="B12494" i="3"/>
  <c r="D12493" i="3"/>
  <c r="C12493" i="3"/>
  <c r="B12493" i="3"/>
  <c r="D12492" i="3"/>
  <c r="C12492" i="3"/>
  <c r="B12492" i="3"/>
  <c r="D12491" i="3"/>
  <c r="C12491" i="3"/>
  <c r="B12491" i="3"/>
  <c r="D12490" i="3"/>
  <c r="C12490" i="3"/>
  <c r="B12490" i="3"/>
  <c r="D12489" i="3"/>
  <c r="C12489" i="3"/>
  <c r="B12489" i="3"/>
  <c r="D12488" i="3"/>
  <c r="C12488" i="3"/>
  <c r="B12488" i="3"/>
  <c r="D12487" i="3"/>
  <c r="C12487" i="3"/>
  <c r="B12487" i="3"/>
  <c r="D12486" i="3"/>
  <c r="C12486" i="3"/>
  <c r="B12486" i="3"/>
  <c r="D12485" i="3"/>
  <c r="C12485" i="3"/>
  <c r="B12485" i="3"/>
  <c r="D12484" i="3"/>
  <c r="C12484" i="3"/>
  <c r="B12484" i="3"/>
  <c r="D12483" i="3"/>
  <c r="C12483" i="3"/>
  <c r="B12483" i="3"/>
  <c r="D12482" i="3"/>
  <c r="C12482" i="3"/>
  <c r="B12482" i="3"/>
  <c r="D12481" i="3"/>
  <c r="C12481" i="3"/>
  <c r="B12481" i="3"/>
  <c r="D12480" i="3"/>
  <c r="C12480" i="3"/>
  <c r="B12480" i="3"/>
  <c r="D12479" i="3"/>
  <c r="C12479" i="3"/>
  <c r="B12479" i="3"/>
  <c r="D12478" i="3"/>
  <c r="C12478" i="3"/>
  <c r="B12478" i="3"/>
  <c r="D12477" i="3"/>
  <c r="C12477" i="3"/>
  <c r="B12477" i="3"/>
  <c r="D12476" i="3"/>
  <c r="C12476" i="3"/>
  <c r="B12476" i="3"/>
  <c r="D12475" i="3"/>
  <c r="C12475" i="3"/>
  <c r="B12475" i="3"/>
  <c r="D12474" i="3"/>
  <c r="C12474" i="3"/>
  <c r="B12474" i="3"/>
  <c r="D12473" i="3"/>
  <c r="C12473" i="3"/>
  <c r="B12473" i="3"/>
  <c r="D12472" i="3"/>
  <c r="C12472" i="3"/>
  <c r="B12472" i="3"/>
  <c r="D12471" i="3"/>
  <c r="C12471" i="3"/>
  <c r="B12471" i="3"/>
  <c r="D12470" i="3"/>
  <c r="C12470" i="3"/>
  <c r="B12470" i="3"/>
  <c r="D12469" i="3"/>
  <c r="C12469" i="3"/>
  <c r="B12469" i="3"/>
  <c r="D12468" i="3"/>
  <c r="C12468" i="3"/>
  <c r="B12468" i="3"/>
  <c r="D12467" i="3"/>
  <c r="C12467" i="3"/>
  <c r="B12467" i="3"/>
  <c r="D12466" i="3"/>
  <c r="C12466" i="3"/>
  <c r="B12466" i="3"/>
  <c r="D12465" i="3"/>
  <c r="C12465" i="3"/>
  <c r="B12465" i="3"/>
  <c r="D12464" i="3"/>
  <c r="C12464" i="3"/>
  <c r="B12464" i="3"/>
  <c r="D12463" i="3"/>
  <c r="C12463" i="3"/>
  <c r="B12463" i="3"/>
  <c r="D12462" i="3"/>
  <c r="C12462" i="3"/>
  <c r="B12462" i="3"/>
  <c r="D12461" i="3"/>
  <c r="C12461" i="3"/>
  <c r="B12461" i="3"/>
  <c r="D12460" i="3"/>
  <c r="C12460" i="3"/>
  <c r="B12460" i="3"/>
  <c r="D12459" i="3"/>
  <c r="C12459" i="3"/>
  <c r="B12459" i="3"/>
  <c r="D12458" i="3"/>
  <c r="C12458" i="3"/>
  <c r="B12458" i="3"/>
  <c r="D12457" i="3"/>
  <c r="C12457" i="3"/>
  <c r="B12457" i="3"/>
  <c r="D12456" i="3"/>
  <c r="C12456" i="3"/>
  <c r="B12456" i="3"/>
  <c r="D12455" i="3"/>
  <c r="C12455" i="3"/>
  <c r="B12455" i="3"/>
  <c r="D12454" i="3"/>
  <c r="C12454" i="3"/>
  <c r="B12454" i="3"/>
  <c r="D12453" i="3"/>
  <c r="C12453" i="3"/>
  <c r="B12453" i="3"/>
  <c r="D12452" i="3"/>
  <c r="C12452" i="3"/>
  <c r="B12452" i="3"/>
  <c r="D12451" i="3"/>
  <c r="C12451" i="3"/>
  <c r="B12451" i="3"/>
  <c r="D12450" i="3"/>
  <c r="C12450" i="3"/>
  <c r="B12450" i="3"/>
  <c r="D12449" i="3"/>
  <c r="C12449" i="3"/>
  <c r="B12449" i="3"/>
  <c r="D12448" i="3"/>
  <c r="C12448" i="3"/>
  <c r="B12448" i="3"/>
  <c r="D12447" i="3"/>
  <c r="C12447" i="3"/>
  <c r="B12447" i="3"/>
  <c r="D12446" i="3"/>
  <c r="C12446" i="3"/>
  <c r="B12446" i="3"/>
  <c r="D12445" i="3"/>
  <c r="C12445" i="3"/>
  <c r="B12445" i="3"/>
  <c r="D12444" i="3"/>
  <c r="C12444" i="3"/>
  <c r="B12444" i="3"/>
  <c r="D12443" i="3"/>
  <c r="C12443" i="3"/>
  <c r="B12443" i="3"/>
  <c r="D12442" i="3"/>
  <c r="C12442" i="3"/>
  <c r="B12442" i="3"/>
  <c r="D12441" i="3"/>
  <c r="C12441" i="3"/>
  <c r="B12441" i="3"/>
  <c r="D12440" i="3"/>
  <c r="C12440" i="3"/>
  <c r="B12440" i="3"/>
  <c r="D12439" i="3"/>
  <c r="C12439" i="3"/>
  <c r="B12439" i="3"/>
  <c r="D12438" i="3"/>
  <c r="C12438" i="3"/>
  <c r="B12438" i="3"/>
  <c r="D12437" i="3"/>
  <c r="C12437" i="3"/>
  <c r="B12437" i="3"/>
  <c r="D12436" i="3"/>
  <c r="C12436" i="3"/>
  <c r="B12436" i="3"/>
  <c r="D12435" i="3"/>
  <c r="C12435" i="3"/>
  <c r="B12435" i="3"/>
  <c r="D12434" i="3"/>
  <c r="C12434" i="3"/>
  <c r="B12434" i="3"/>
  <c r="D12433" i="3"/>
  <c r="C12433" i="3"/>
  <c r="B12433" i="3"/>
  <c r="D12432" i="3"/>
  <c r="C12432" i="3"/>
  <c r="B12432" i="3"/>
  <c r="D12431" i="3"/>
  <c r="C12431" i="3"/>
  <c r="B12431" i="3"/>
  <c r="D12430" i="3"/>
  <c r="C12430" i="3"/>
  <c r="B12430" i="3"/>
  <c r="D12429" i="3"/>
  <c r="C12429" i="3"/>
  <c r="B12429" i="3"/>
  <c r="D12428" i="3"/>
  <c r="C12428" i="3"/>
  <c r="B12428" i="3"/>
  <c r="D12427" i="3"/>
  <c r="C12427" i="3"/>
  <c r="B12427" i="3"/>
  <c r="D12426" i="3"/>
  <c r="C12426" i="3"/>
  <c r="B12426" i="3"/>
  <c r="D12425" i="3"/>
  <c r="C12425" i="3"/>
  <c r="B12425" i="3"/>
  <c r="D12424" i="3"/>
  <c r="C12424" i="3"/>
  <c r="B12424" i="3"/>
  <c r="D12423" i="3"/>
  <c r="C12423" i="3"/>
  <c r="B12423" i="3"/>
  <c r="D12422" i="3"/>
  <c r="C12422" i="3"/>
  <c r="B12422" i="3"/>
  <c r="D12421" i="3"/>
  <c r="C12421" i="3"/>
  <c r="B12421" i="3"/>
  <c r="D12420" i="3"/>
  <c r="C12420" i="3"/>
  <c r="B12420" i="3"/>
  <c r="D12419" i="3"/>
  <c r="C12419" i="3"/>
  <c r="B12419" i="3"/>
  <c r="D12418" i="3"/>
  <c r="C12418" i="3"/>
  <c r="B12418" i="3"/>
  <c r="D12417" i="3"/>
  <c r="C12417" i="3"/>
  <c r="B12417" i="3"/>
  <c r="D12416" i="3"/>
  <c r="C12416" i="3"/>
  <c r="B12416" i="3"/>
  <c r="D12415" i="3"/>
  <c r="C12415" i="3"/>
  <c r="B12415" i="3"/>
  <c r="D12414" i="3"/>
  <c r="C12414" i="3"/>
  <c r="B12414" i="3"/>
  <c r="D12413" i="3"/>
  <c r="C12413" i="3"/>
  <c r="B12413" i="3"/>
  <c r="D12412" i="3"/>
  <c r="C12412" i="3"/>
  <c r="B12412" i="3"/>
  <c r="D12411" i="3"/>
  <c r="C12411" i="3"/>
  <c r="B12411" i="3"/>
  <c r="D12410" i="3"/>
  <c r="C12410" i="3"/>
  <c r="B12410" i="3"/>
  <c r="D12409" i="3"/>
  <c r="C12409" i="3"/>
  <c r="B12409" i="3"/>
  <c r="D12408" i="3"/>
  <c r="C12408" i="3"/>
  <c r="B12408" i="3"/>
  <c r="D12407" i="3"/>
  <c r="C12407" i="3"/>
  <c r="B12407" i="3"/>
  <c r="D12406" i="3"/>
  <c r="C12406" i="3"/>
  <c r="B12406" i="3"/>
  <c r="D12405" i="3"/>
  <c r="C12405" i="3"/>
  <c r="B12405" i="3"/>
  <c r="D12404" i="3"/>
  <c r="C12404" i="3"/>
  <c r="B12404" i="3"/>
  <c r="D12403" i="3"/>
  <c r="C12403" i="3"/>
  <c r="B12403" i="3"/>
  <c r="D12402" i="3"/>
  <c r="C12402" i="3"/>
  <c r="B12402" i="3"/>
  <c r="D12401" i="3"/>
  <c r="C12401" i="3"/>
  <c r="B12401" i="3"/>
  <c r="D12400" i="3"/>
  <c r="C12400" i="3"/>
  <c r="B12400" i="3"/>
  <c r="D12399" i="3"/>
  <c r="C12399" i="3"/>
  <c r="B12399" i="3"/>
  <c r="D12398" i="3"/>
  <c r="C12398" i="3"/>
  <c r="B12398" i="3"/>
  <c r="D12397" i="3"/>
  <c r="C12397" i="3"/>
  <c r="B12397" i="3"/>
  <c r="D12396" i="3"/>
  <c r="C12396" i="3"/>
  <c r="B12396" i="3"/>
  <c r="D12395" i="3"/>
  <c r="C12395" i="3"/>
  <c r="B12395" i="3"/>
  <c r="D12394" i="3"/>
  <c r="C12394" i="3"/>
  <c r="B12394" i="3"/>
  <c r="D12393" i="3"/>
  <c r="C12393" i="3"/>
  <c r="B12393" i="3"/>
  <c r="D12392" i="3"/>
  <c r="C12392" i="3"/>
  <c r="B12392" i="3"/>
  <c r="D12391" i="3"/>
  <c r="C12391" i="3"/>
  <c r="B12391" i="3"/>
  <c r="D12390" i="3"/>
  <c r="C12390" i="3"/>
  <c r="B12390" i="3"/>
  <c r="D12389" i="3"/>
  <c r="C12389" i="3"/>
  <c r="B12389" i="3"/>
  <c r="D12388" i="3"/>
  <c r="C12388" i="3"/>
  <c r="B12388" i="3"/>
  <c r="D12387" i="3"/>
  <c r="C12387" i="3"/>
  <c r="B12387" i="3"/>
  <c r="D12386" i="3"/>
  <c r="C12386" i="3"/>
  <c r="B12386" i="3"/>
  <c r="D12385" i="3"/>
  <c r="C12385" i="3"/>
  <c r="B12385" i="3"/>
  <c r="D12384" i="3"/>
  <c r="C12384" i="3"/>
  <c r="B12384" i="3"/>
  <c r="D12383" i="3"/>
  <c r="C12383" i="3"/>
  <c r="B12383" i="3"/>
  <c r="D12382" i="3"/>
  <c r="C12382" i="3"/>
  <c r="B12382" i="3"/>
  <c r="D12381" i="3"/>
  <c r="C12381" i="3"/>
  <c r="B12381" i="3"/>
  <c r="D12380" i="3"/>
  <c r="C12380" i="3"/>
  <c r="B12380" i="3"/>
  <c r="D12379" i="3"/>
  <c r="C12379" i="3"/>
  <c r="B12379" i="3"/>
  <c r="D12378" i="3"/>
  <c r="C12378" i="3"/>
  <c r="B12378" i="3"/>
  <c r="D12377" i="3"/>
  <c r="C12377" i="3"/>
  <c r="B12377" i="3"/>
  <c r="D12376" i="3"/>
  <c r="C12376" i="3"/>
  <c r="B12376" i="3"/>
  <c r="D12375" i="3"/>
  <c r="C12375" i="3"/>
  <c r="B12375" i="3"/>
  <c r="D12374" i="3"/>
  <c r="C12374" i="3"/>
  <c r="B12374" i="3"/>
  <c r="D12373" i="3"/>
  <c r="C12373" i="3"/>
  <c r="B12373" i="3"/>
  <c r="D12372" i="3"/>
  <c r="C12372" i="3"/>
  <c r="B12372" i="3"/>
  <c r="D12371" i="3"/>
  <c r="C12371" i="3"/>
  <c r="B12371" i="3"/>
  <c r="D12370" i="3"/>
  <c r="C12370" i="3"/>
  <c r="B12370" i="3"/>
  <c r="D12369" i="3"/>
  <c r="C12369" i="3"/>
  <c r="B12369" i="3"/>
  <c r="D12368" i="3"/>
  <c r="C12368" i="3"/>
  <c r="B12368" i="3"/>
  <c r="D12367" i="3"/>
  <c r="C12367" i="3"/>
  <c r="B12367" i="3"/>
  <c r="D12366" i="3"/>
  <c r="C12366" i="3"/>
  <c r="B12366" i="3"/>
  <c r="D12365" i="3"/>
  <c r="C12365" i="3"/>
  <c r="B12365" i="3"/>
  <c r="D12364" i="3"/>
  <c r="C12364" i="3"/>
  <c r="B12364" i="3"/>
  <c r="D12363" i="3"/>
  <c r="C12363" i="3"/>
  <c r="B12363" i="3"/>
  <c r="D12362" i="3"/>
  <c r="C12362" i="3"/>
  <c r="B12362" i="3"/>
  <c r="D12361" i="3"/>
  <c r="C12361" i="3"/>
  <c r="B12361" i="3"/>
  <c r="D12360" i="3"/>
  <c r="C12360" i="3"/>
  <c r="B12360" i="3"/>
  <c r="D12359" i="3"/>
  <c r="C12359" i="3"/>
  <c r="B12359" i="3"/>
  <c r="D12358" i="3"/>
  <c r="C12358" i="3"/>
  <c r="B12358" i="3"/>
  <c r="D12357" i="3"/>
  <c r="C12357" i="3"/>
  <c r="B12357" i="3"/>
  <c r="D12356" i="3"/>
  <c r="C12356" i="3"/>
  <c r="B12356" i="3"/>
  <c r="D12355" i="3"/>
  <c r="C12355" i="3"/>
  <c r="B12355" i="3"/>
  <c r="D12354" i="3"/>
  <c r="C12354" i="3"/>
  <c r="B12354" i="3"/>
  <c r="D12353" i="3"/>
  <c r="C12353" i="3"/>
  <c r="B12353" i="3"/>
  <c r="D12352" i="3"/>
  <c r="C12352" i="3"/>
  <c r="B12352" i="3"/>
  <c r="D12351" i="3"/>
  <c r="C12351" i="3"/>
  <c r="B12351" i="3"/>
  <c r="D12350" i="3"/>
  <c r="C12350" i="3"/>
  <c r="B12350" i="3"/>
  <c r="D12349" i="3"/>
  <c r="C12349" i="3"/>
  <c r="B12349" i="3"/>
  <c r="D12348" i="3"/>
  <c r="C12348" i="3"/>
  <c r="B12348" i="3"/>
  <c r="D12347" i="3"/>
  <c r="C12347" i="3"/>
  <c r="B12347" i="3"/>
  <c r="D12346" i="3"/>
  <c r="C12346" i="3"/>
  <c r="B12346" i="3"/>
  <c r="D12345" i="3"/>
  <c r="C12345" i="3"/>
  <c r="B12345" i="3"/>
  <c r="D12344" i="3"/>
  <c r="C12344" i="3"/>
  <c r="B12344" i="3"/>
  <c r="D12343" i="3"/>
  <c r="C12343" i="3"/>
  <c r="B12343" i="3"/>
  <c r="D12342" i="3"/>
  <c r="C12342" i="3"/>
  <c r="B12342" i="3"/>
  <c r="D12341" i="3"/>
  <c r="C12341" i="3"/>
  <c r="B12341" i="3"/>
  <c r="D12340" i="3"/>
  <c r="C12340" i="3"/>
  <c r="B12340" i="3"/>
  <c r="D12339" i="3"/>
  <c r="C12339" i="3"/>
  <c r="B12339" i="3"/>
  <c r="D12338" i="3"/>
  <c r="C12338" i="3"/>
  <c r="B12338" i="3"/>
  <c r="D12337" i="3"/>
  <c r="C12337" i="3"/>
  <c r="B12337" i="3"/>
  <c r="D12336" i="3"/>
  <c r="C12336" i="3"/>
  <c r="B12336" i="3"/>
  <c r="D12335" i="3"/>
  <c r="C12335" i="3"/>
  <c r="B12335" i="3"/>
  <c r="D12334" i="3"/>
  <c r="C12334" i="3"/>
  <c r="B12334" i="3"/>
  <c r="D12333" i="3"/>
  <c r="C12333" i="3"/>
  <c r="B12333" i="3"/>
  <c r="D12332" i="3"/>
  <c r="C12332" i="3"/>
  <c r="B12332" i="3"/>
  <c r="D12331" i="3"/>
  <c r="C12331" i="3"/>
  <c r="B12331" i="3"/>
  <c r="D12330" i="3"/>
  <c r="C12330" i="3"/>
  <c r="B12330" i="3"/>
  <c r="D12329" i="3"/>
  <c r="C12329" i="3"/>
  <c r="B12329" i="3"/>
  <c r="D12328" i="3"/>
  <c r="C12328" i="3"/>
  <c r="B12328" i="3"/>
  <c r="D12327" i="3"/>
  <c r="C12327" i="3"/>
  <c r="B12327" i="3"/>
  <c r="D12326" i="3"/>
  <c r="C12326" i="3"/>
  <c r="B12326" i="3"/>
  <c r="D12325" i="3"/>
  <c r="C12325" i="3"/>
  <c r="B12325" i="3"/>
  <c r="D12324" i="3"/>
  <c r="C12324" i="3"/>
  <c r="B12324" i="3"/>
  <c r="D12323" i="3"/>
  <c r="C12323" i="3"/>
  <c r="B12323" i="3"/>
  <c r="D12322" i="3"/>
  <c r="C12322" i="3"/>
  <c r="B12322" i="3"/>
  <c r="D12321" i="3"/>
  <c r="C12321" i="3"/>
  <c r="B12321" i="3"/>
  <c r="D12320" i="3"/>
  <c r="C12320" i="3"/>
  <c r="B12320" i="3"/>
  <c r="D12319" i="3"/>
  <c r="C12319" i="3"/>
  <c r="B12319" i="3"/>
  <c r="D12318" i="3"/>
  <c r="C12318" i="3"/>
  <c r="B12318" i="3"/>
  <c r="D12317" i="3"/>
  <c r="C12317" i="3"/>
  <c r="B12317" i="3"/>
  <c r="D12316" i="3"/>
  <c r="C12316" i="3"/>
  <c r="B12316" i="3"/>
  <c r="D12315" i="3"/>
  <c r="C12315" i="3"/>
  <c r="B12315" i="3"/>
  <c r="D12314" i="3"/>
  <c r="C12314" i="3"/>
  <c r="B12314" i="3"/>
  <c r="D12313" i="3"/>
  <c r="C12313" i="3"/>
  <c r="B12313" i="3"/>
  <c r="D12312" i="3"/>
  <c r="C12312" i="3"/>
  <c r="B12312" i="3"/>
  <c r="D12311" i="3"/>
  <c r="C12311" i="3"/>
  <c r="B12311" i="3"/>
  <c r="D12310" i="3"/>
  <c r="C12310" i="3"/>
  <c r="B12310" i="3"/>
  <c r="D12309" i="3"/>
  <c r="C12309" i="3"/>
  <c r="B12309" i="3"/>
  <c r="D12308" i="3"/>
  <c r="C12308" i="3"/>
  <c r="B12308" i="3"/>
  <c r="D12307" i="3"/>
  <c r="C12307" i="3"/>
  <c r="B12307" i="3"/>
  <c r="D12306" i="3"/>
  <c r="C12306" i="3"/>
  <c r="B12306" i="3"/>
  <c r="D12305" i="3"/>
  <c r="C12305" i="3"/>
  <c r="B12305" i="3"/>
  <c r="D12304" i="3"/>
  <c r="C12304" i="3"/>
  <c r="B12304" i="3"/>
  <c r="D12303" i="3"/>
  <c r="C12303" i="3"/>
  <c r="B12303" i="3"/>
  <c r="D12302" i="3"/>
  <c r="C12302" i="3"/>
  <c r="B12302" i="3"/>
  <c r="D12301" i="3"/>
  <c r="C12301" i="3"/>
  <c r="B12301" i="3"/>
  <c r="D12300" i="3"/>
  <c r="C12300" i="3"/>
  <c r="B12300" i="3"/>
  <c r="D12299" i="3"/>
  <c r="C12299" i="3"/>
  <c r="B12299" i="3"/>
  <c r="D12298" i="3"/>
  <c r="C12298" i="3"/>
  <c r="B12298" i="3"/>
  <c r="D12297" i="3"/>
  <c r="C12297" i="3"/>
  <c r="B12297" i="3"/>
  <c r="D12296" i="3"/>
  <c r="C12296" i="3"/>
  <c r="B12296" i="3"/>
  <c r="D12295" i="3"/>
  <c r="C12295" i="3"/>
  <c r="B12295" i="3"/>
  <c r="D12294" i="3"/>
  <c r="C12294" i="3"/>
  <c r="B12294" i="3"/>
  <c r="D12293" i="3"/>
  <c r="C12293" i="3"/>
  <c r="B12293" i="3"/>
  <c r="D12292" i="3"/>
  <c r="C12292" i="3"/>
  <c r="B12292" i="3"/>
  <c r="D12291" i="3"/>
  <c r="C12291" i="3"/>
  <c r="B12291" i="3"/>
  <c r="D12290" i="3"/>
  <c r="C12290" i="3"/>
  <c r="B12290" i="3"/>
  <c r="D12289" i="3"/>
  <c r="C12289" i="3"/>
  <c r="B12289" i="3"/>
  <c r="D12288" i="3"/>
  <c r="C12288" i="3"/>
  <c r="B12288" i="3"/>
  <c r="D12287" i="3"/>
  <c r="C12287" i="3"/>
  <c r="B12287" i="3"/>
  <c r="D12286" i="3"/>
  <c r="C12286" i="3"/>
  <c r="B12286" i="3"/>
  <c r="D12285" i="3"/>
  <c r="C12285" i="3"/>
  <c r="B12285" i="3"/>
  <c r="D12284" i="3"/>
  <c r="C12284" i="3"/>
  <c r="B12284" i="3"/>
  <c r="D12283" i="3"/>
  <c r="C12283" i="3"/>
  <c r="B12283" i="3"/>
  <c r="D12282" i="3"/>
  <c r="C12282" i="3"/>
  <c r="B12282" i="3"/>
  <c r="D12281" i="3"/>
  <c r="C12281" i="3"/>
  <c r="B12281" i="3"/>
  <c r="D12280" i="3"/>
  <c r="C12280" i="3"/>
  <c r="B12280" i="3"/>
  <c r="D12279" i="3"/>
  <c r="C12279" i="3"/>
  <c r="B12279" i="3"/>
  <c r="D12278" i="3"/>
  <c r="C12278" i="3"/>
  <c r="B12278" i="3"/>
  <c r="D12277" i="3"/>
  <c r="C12277" i="3"/>
  <c r="B12277" i="3"/>
  <c r="D12276" i="3"/>
  <c r="C12276" i="3"/>
  <c r="B12276" i="3"/>
  <c r="D12275" i="3"/>
  <c r="C12275" i="3"/>
  <c r="B12275" i="3"/>
  <c r="D12274" i="3"/>
  <c r="C12274" i="3"/>
  <c r="B12274" i="3"/>
  <c r="D12273" i="3"/>
  <c r="C12273" i="3"/>
  <c r="B12273" i="3"/>
  <c r="D12272" i="3"/>
  <c r="C12272" i="3"/>
  <c r="B12272" i="3"/>
  <c r="D12271" i="3"/>
  <c r="C12271" i="3"/>
  <c r="B12271" i="3"/>
  <c r="D12270" i="3"/>
  <c r="C12270" i="3"/>
  <c r="B12270" i="3"/>
  <c r="D12269" i="3"/>
  <c r="C12269" i="3"/>
  <c r="B12269" i="3"/>
  <c r="D12268" i="3"/>
  <c r="C12268" i="3"/>
  <c r="B12268" i="3"/>
  <c r="D12267" i="3"/>
  <c r="C12267" i="3"/>
  <c r="B12267" i="3"/>
  <c r="D12266" i="3"/>
  <c r="C12266" i="3"/>
  <c r="B12266" i="3"/>
  <c r="D12265" i="3"/>
  <c r="C12265" i="3"/>
  <c r="B12265" i="3"/>
  <c r="D12264" i="3"/>
  <c r="C12264" i="3"/>
  <c r="B12264" i="3"/>
  <c r="D12263" i="3"/>
  <c r="C12263" i="3"/>
  <c r="B12263" i="3"/>
  <c r="D12262" i="3"/>
  <c r="C12262" i="3"/>
  <c r="B12262" i="3"/>
  <c r="D12261" i="3"/>
  <c r="C12261" i="3"/>
  <c r="B12261" i="3"/>
  <c r="D12260" i="3"/>
  <c r="C12260" i="3"/>
  <c r="B12260" i="3"/>
  <c r="D12259" i="3"/>
  <c r="C12259" i="3"/>
  <c r="B12259" i="3"/>
  <c r="D12258" i="3"/>
  <c r="C12258" i="3"/>
  <c r="B12258" i="3"/>
  <c r="D12257" i="3"/>
  <c r="C12257" i="3"/>
  <c r="B12257" i="3"/>
  <c r="D12256" i="3"/>
  <c r="C12256" i="3"/>
  <c r="B12256" i="3"/>
  <c r="D12255" i="3"/>
  <c r="C12255" i="3"/>
  <c r="B12255" i="3"/>
  <c r="D12254" i="3"/>
  <c r="C12254" i="3"/>
  <c r="B12254" i="3"/>
  <c r="D12253" i="3"/>
  <c r="C12253" i="3"/>
  <c r="B12253" i="3"/>
  <c r="D12252" i="3"/>
  <c r="C12252" i="3"/>
  <c r="B12252" i="3"/>
  <c r="D12251" i="3"/>
  <c r="C12251" i="3"/>
  <c r="B12251" i="3"/>
  <c r="D12250" i="3"/>
  <c r="C12250" i="3"/>
  <c r="B12250" i="3"/>
  <c r="D12249" i="3"/>
  <c r="C12249" i="3"/>
  <c r="B12249" i="3"/>
  <c r="D12248" i="3"/>
  <c r="C12248" i="3"/>
  <c r="B12248" i="3"/>
  <c r="D12247" i="3"/>
  <c r="C12247" i="3"/>
  <c r="B12247" i="3"/>
  <c r="D12246" i="3"/>
  <c r="C12246" i="3"/>
  <c r="B12246" i="3"/>
  <c r="D12245" i="3"/>
  <c r="C12245" i="3"/>
  <c r="B12245" i="3"/>
  <c r="D12244" i="3"/>
  <c r="C12244" i="3"/>
  <c r="B12244" i="3"/>
  <c r="D12243" i="3"/>
  <c r="C12243" i="3"/>
  <c r="B12243" i="3"/>
  <c r="D12242" i="3"/>
  <c r="C12242" i="3"/>
  <c r="B12242" i="3"/>
  <c r="D12241" i="3"/>
  <c r="C12241" i="3"/>
  <c r="B12241" i="3"/>
  <c r="D12240" i="3"/>
  <c r="C12240" i="3"/>
  <c r="B12240" i="3"/>
  <c r="D12239" i="3"/>
  <c r="C12239" i="3"/>
  <c r="B12239" i="3"/>
  <c r="D12238" i="3"/>
  <c r="C12238" i="3"/>
  <c r="B12238" i="3"/>
  <c r="D12237" i="3"/>
  <c r="C12237" i="3"/>
  <c r="B12237" i="3"/>
  <c r="D12236" i="3"/>
  <c r="C12236" i="3"/>
  <c r="B12236" i="3"/>
  <c r="D12235" i="3"/>
  <c r="C12235" i="3"/>
  <c r="B12235" i="3"/>
  <c r="D12234" i="3"/>
  <c r="C12234" i="3"/>
  <c r="B12234" i="3"/>
  <c r="D12233" i="3"/>
  <c r="C12233" i="3"/>
  <c r="B12233" i="3"/>
  <c r="D12232" i="3"/>
  <c r="C12232" i="3"/>
  <c r="B12232" i="3"/>
  <c r="D12231" i="3"/>
  <c r="C12231" i="3"/>
  <c r="B12231" i="3"/>
  <c r="D12230" i="3"/>
  <c r="C12230" i="3"/>
  <c r="B12230" i="3"/>
  <c r="D12229" i="3"/>
  <c r="C12229" i="3"/>
  <c r="B12229" i="3"/>
  <c r="D12228" i="3"/>
  <c r="C12228" i="3"/>
  <c r="B12228" i="3"/>
  <c r="D12227" i="3"/>
  <c r="C12227" i="3"/>
  <c r="B12227" i="3"/>
  <c r="D12226" i="3"/>
  <c r="C12226" i="3"/>
  <c r="B12226" i="3"/>
  <c r="D12225" i="3"/>
  <c r="C12225" i="3"/>
  <c r="B12225" i="3"/>
  <c r="D12224" i="3"/>
  <c r="C12224" i="3"/>
  <c r="B12224" i="3"/>
  <c r="D12223" i="3"/>
  <c r="C12223" i="3"/>
  <c r="B12223" i="3"/>
  <c r="D12222" i="3"/>
  <c r="C12222" i="3"/>
  <c r="B12222" i="3"/>
  <c r="D12221" i="3"/>
  <c r="C12221" i="3"/>
  <c r="B12221" i="3"/>
  <c r="D12220" i="3"/>
  <c r="C12220" i="3"/>
  <c r="B12220" i="3"/>
  <c r="D12219" i="3"/>
  <c r="C12219" i="3"/>
  <c r="B12219" i="3"/>
  <c r="D12218" i="3"/>
  <c r="C12218" i="3"/>
  <c r="B12218" i="3"/>
  <c r="D12217" i="3"/>
  <c r="C12217" i="3"/>
  <c r="B12217" i="3"/>
  <c r="D12216" i="3"/>
  <c r="C12216" i="3"/>
  <c r="B12216" i="3"/>
  <c r="D12215" i="3"/>
  <c r="C12215" i="3"/>
  <c r="B12215" i="3"/>
  <c r="D12214" i="3"/>
  <c r="C12214" i="3"/>
  <c r="B12214" i="3"/>
  <c r="D12213" i="3"/>
  <c r="C12213" i="3"/>
  <c r="B12213" i="3"/>
  <c r="D12212" i="3"/>
  <c r="C12212" i="3"/>
  <c r="B12212" i="3"/>
  <c r="D12211" i="3"/>
  <c r="C12211" i="3"/>
  <c r="B12211" i="3"/>
  <c r="D12210" i="3"/>
  <c r="C12210" i="3"/>
  <c r="B12210" i="3"/>
  <c r="D12209" i="3"/>
  <c r="C12209" i="3"/>
  <c r="B12209" i="3"/>
  <c r="D12208" i="3"/>
  <c r="C12208" i="3"/>
  <c r="B12208" i="3"/>
  <c r="D12207" i="3"/>
  <c r="C12207" i="3"/>
  <c r="B12207" i="3"/>
  <c r="D12206" i="3"/>
  <c r="C12206" i="3"/>
  <c r="B12206" i="3"/>
  <c r="D12205" i="3"/>
  <c r="C12205" i="3"/>
  <c r="B12205" i="3"/>
  <c r="D12204" i="3"/>
  <c r="C12204" i="3"/>
  <c r="B12204" i="3"/>
  <c r="D12203" i="3"/>
  <c r="C12203" i="3"/>
  <c r="B12203" i="3"/>
  <c r="D12202" i="3"/>
  <c r="C12202" i="3"/>
  <c r="B12202" i="3"/>
  <c r="D12201" i="3"/>
  <c r="C12201" i="3"/>
  <c r="B12201" i="3"/>
  <c r="D12200" i="3"/>
  <c r="C12200" i="3"/>
  <c r="B12200" i="3"/>
  <c r="D12199" i="3"/>
  <c r="C12199" i="3"/>
  <c r="B12199" i="3"/>
  <c r="D12198" i="3"/>
  <c r="C12198" i="3"/>
  <c r="B12198" i="3"/>
  <c r="D12197" i="3"/>
  <c r="C12197" i="3"/>
  <c r="B12197" i="3"/>
  <c r="D12196" i="3"/>
  <c r="C12196" i="3"/>
  <c r="B12196" i="3"/>
  <c r="D12195" i="3"/>
  <c r="C12195" i="3"/>
  <c r="B12195" i="3"/>
  <c r="D12194" i="3"/>
  <c r="C12194" i="3"/>
  <c r="B12194" i="3"/>
  <c r="D12193" i="3"/>
  <c r="C12193" i="3"/>
  <c r="B12193" i="3"/>
  <c r="D12192" i="3"/>
  <c r="C12192" i="3"/>
  <c r="B12192" i="3"/>
  <c r="D12191" i="3"/>
  <c r="C12191" i="3"/>
  <c r="B12191" i="3"/>
  <c r="D12190" i="3"/>
  <c r="C12190" i="3"/>
  <c r="B12190" i="3"/>
  <c r="D12189" i="3"/>
  <c r="C12189" i="3"/>
  <c r="B12189" i="3"/>
  <c r="D12188" i="3"/>
  <c r="C12188" i="3"/>
  <c r="B12188" i="3"/>
  <c r="D12187" i="3"/>
  <c r="C12187" i="3"/>
  <c r="B12187" i="3"/>
  <c r="D12186" i="3"/>
  <c r="C12186" i="3"/>
  <c r="B12186" i="3"/>
  <c r="D12185" i="3"/>
  <c r="C12185" i="3"/>
  <c r="B12185" i="3"/>
  <c r="D12184" i="3"/>
  <c r="C12184" i="3"/>
  <c r="B12184" i="3"/>
  <c r="D12183" i="3"/>
  <c r="C12183" i="3"/>
  <c r="B12183" i="3"/>
  <c r="D12182" i="3"/>
  <c r="C12182" i="3"/>
  <c r="B12182" i="3"/>
  <c r="D12181" i="3"/>
  <c r="C12181" i="3"/>
  <c r="B12181" i="3"/>
  <c r="D12180" i="3"/>
  <c r="C12180" i="3"/>
  <c r="B12180" i="3"/>
  <c r="D12179" i="3"/>
  <c r="C12179" i="3"/>
  <c r="B12179" i="3"/>
  <c r="D12178" i="3"/>
  <c r="C12178" i="3"/>
  <c r="B12178" i="3"/>
  <c r="D12177" i="3"/>
  <c r="C12177" i="3"/>
  <c r="B12177" i="3"/>
  <c r="D12176" i="3"/>
  <c r="C12176" i="3"/>
  <c r="B12176" i="3"/>
  <c r="D12175" i="3"/>
  <c r="C12175" i="3"/>
  <c r="B12175" i="3"/>
  <c r="D12174" i="3"/>
  <c r="C12174" i="3"/>
  <c r="B12174" i="3"/>
  <c r="D12173" i="3"/>
  <c r="C12173" i="3"/>
  <c r="B12173" i="3"/>
  <c r="D12172" i="3"/>
  <c r="C12172" i="3"/>
  <c r="B12172" i="3"/>
  <c r="D12171" i="3"/>
  <c r="C12171" i="3"/>
  <c r="B12171" i="3"/>
  <c r="D12170" i="3"/>
  <c r="C12170" i="3"/>
  <c r="B12170" i="3"/>
  <c r="D12169" i="3"/>
  <c r="C12169" i="3"/>
  <c r="B12169" i="3"/>
  <c r="D12168" i="3"/>
  <c r="C12168" i="3"/>
  <c r="B12168" i="3"/>
  <c r="D12167" i="3"/>
  <c r="C12167" i="3"/>
  <c r="B12167" i="3"/>
  <c r="D12166" i="3"/>
  <c r="C12166" i="3"/>
  <c r="B12166" i="3"/>
  <c r="D12165" i="3"/>
  <c r="C12165" i="3"/>
  <c r="B12165" i="3"/>
  <c r="D12164" i="3"/>
  <c r="C12164" i="3"/>
  <c r="B12164" i="3"/>
  <c r="D12163" i="3"/>
  <c r="C12163" i="3"/>
  <c r="B12163" i="3"/>
  <c r="D12162" i="3"/>
  <c r="C12162" i="3"/>
  <c r="B12162" i="3"/>
  <c r="D12161" i="3"/>
  <c r="C12161" i="3"/>
  <c r="B12161" i="3"/>
  <c r="D12160" i="3"/>
  <c r="C12160" i="3"/>
  <c r="B12160" i="3"/>
  <c r="D12159" i="3"/>
  <c r="C12159" i="3"/>
  <c r="B12159" i="3"/>
  <c r="D12158" i="3"/>
  <c r="C12158" i="3"/>
  <c r="B12158" i="3"/>
  <c r="D12157" i="3"/>
  <c r="C12157" i="3"/>
  <c r="B12157" i="3"/>
  <c r="D12156" i="3"/>
  <c r="C12156" i="3"/>
  <c r="B12156" i="3"/>
  <c r="D12155" i="3"/>
  <c r="C12155" i="3"/>
  <c r="B12155" i="3"/>
  <c r="D12154" i="3"/>
  <c r="C12154" i="3"/>
  <c r="B12154" i="3"/>
  <c r="D12153" i="3"/>
  <c r="C12153" i="3"/>
  <c r="B12153" i="3"/>
  <c r="D12152" i="3"/>
  <c r="C12152" i="3"/>
  <c r="B12152" i="3"/>
  <c r="D12151" i="3"/>
  <c r="C12151" i="3"/>
  <c r="B12151" i="3"/>
  <c r="D12150" i="3"/>
  <c r="C12150" i="3"/>
  <c r="B12150" i="3"/>
  <c r="D12149" i="3"/>
  <c r="C12149" i="3"/>
  <c r="B12149" i="3"/>
  <c r="D12148" i="3"/>
  <c r="C12148" i="3"/>
  <c r="B12148" i="3"/>
  <c r="D12147" i="3"/>
  <c r="C12147" i="3"/>
  <c r="B12147" i="3"/>
  <c r="D12146" i="3"/>
  <c r="C12146" i="3"/>
  <c r="B12146" i="3"/>
  <c r="D12145" i="3"/>
  <c r="C12145" i="3"/>
  <c r="B12145" i="3"/>
  <c r="D12144" i="3"/>
  <c r="C12144" i="3"/>
  <c r="B12144" i="3"/>
  <c r="D12143" i="3"/>
  <c r="C12143" i="3"/>
  <c r="B12143" i="3"/>
  <c r="D12142" i="3"/>
  <c r="C12142" i="3"/>
  <c r="B12142" i="3"/>
  <c r="D12141" i="3"/>
  <c r="C12141" i="3"/>
  <c r="B12141" i="3"/>
  <c r="D12140" i="3"/>
  <c r="C12140" i="3"/>
  <c r="B12140" i="3"/>
  <c r="D12139" i="3"/>
  <c r="C12139" i="3"/>
  <c r="B12139" i="3"/>
  <c r="D12138" i="3"/>
  <c r="C12138" i="3"/>
  <c r="B12138" i="3"/>
  <c r="D12137" i="3"/>
  <c r="C12137" i="3"/>
  <c r="B12137" i="3"/>
  <c r="D12136" i="3"/>
  <c r="C12136" i="3"/>
  <c r="B12136" i="3"/>
  <c r="D12135" i="3"/>
  <c r="C12135" i="3"/>
  <c r="B12135" i="3"/>
  <c r="D12134" i="3"/>
  <c r="C12134" i="3"/>
  <c r="B12134" i="3"/>
  <c r="D12133" i="3"/>
  <c r="C12133" i="3"/>
  <c r="B12133" i="3"/>
  <c r="D12132" i="3"/>
  <c r="C12132" i="3"/>
  <c r="B12132" i="3"/>
  <c r="D12131" i="3"/>
  <c r="C12131" i="3"/>
  <c r="B12131" i="3"/>
  <c r="D12130" i="3"/>
  <c r="C12130" i="3"/>
  <c r="B12130" i="3"/>
  <c r="D12129" i="3"/>
  <c r="C12129" i="3"/>
  <c r="B12129" i="3"/>
  <c r="D12128" i="3"/>
  <c r="C12128" i="3"/>
  <c r="B12128" i="3"/>
  <c r="D12127" i="3"/>
  <c r="C12127" i="3"/>
  <c r="B12127" i="3"/>
  <c r="D12126" i="3"/>
  <c r="C12126" i="3"/>
  <c r="B12126" i="3"/>
  <c r="D12125" i="3"/>
  <c r="C12125" i="3"/>
  <c r="B12125" i="3"/>
  <c r="D12124" i="3"/>
  <c r="C12124" i="3"/>
  <c r="B12124" i="3"/>
  <c r="D12123" i="3"/>
  <c r="C12123" i="3"/>
  <c r="B12123" i="3"/>
  <c r="D12122" i="3"/>
  <c r="C12122" i="3"/>
  <c r="B12122" i="3"/>
  <c r="D12121" i="3"/>
  <c r="C12121" i="3"/>
  <c r="B12121" i="3"/>
  <c r="D12120" i="3"/>
  <c r="C12120" i="3"/>
  <c r="B12120" i="3"/>
  <c r="D12119" i="3"/>
  <c r="C12119" i="3"/>
  <c r="B12119" i="3"/>
  <c r="D12118" i="3"/>
  <c r="C12118" i="3"/>
  <c r="B12118" i="3"/>
  <c r="D12117" i="3"/>
  <c r="C12117" i="3"/>
  <c r="B12117" i="3"/>
  <c r="D12116" i="3"/>
  <c r="C12116" i="3"/>
  <c r="B12116" i="3"/>
  <c r="D12115" i="3"/>
  <c r="C12115" i="3"/>
  <c r="B12115" i="3"/>
  <c r="D12114" i="3"/>
  <c r="C12114" i="3"/>
  <c r="B12114" i="3"/>
  <c r="D12113" i="3"/>
  <c r="C12113" i="3"/>
  <c r="B12113" i="3"/>
  <c r="D12112" i="3"/>
  <c r="C12112" i="3"/>
  <c r="B12112" i="3"/>
  <c r="D12111" i="3"/>
  <c r="C12111" i="3"/>
  <c r="B12111" i="3"/>
  <c r="D12110" i="3"/>
  <c r="C12110" i="3"/>
  <c r="B12110" i="3"/>
  <c r="D12109" i="3"/>
  <c r="C12109" i="3"/>
  <c r="B12109" i="3"/>
  <c r="D12108" i="3"/>
  <c r="C12108" i="3"/>
  <c r="B12108" i="3"/>
  <c r="D12107" i="3"/>
  <c r="C12107" i="3"/>
  <c r="B12107" i="3"/>
  <c r="D12106" i="3"/>
  <c r="C12106" i="3"/>
  <c r="B12106" i="3"/>
  <c r="D12105" i="3"/>
  <c r="C12105" i="3"/>
  <c r="B12105" i="3"/>
  <c r="D12104" i="3"/>
  <c r="C12104" i="3"/>
  <c r="B12104" i="3"/>
  <c r="D12103" i="3"/>
  <c r="C12103" i="3"/>
  <c r="B12103" i="3"/>
  <c r="D12102" i="3"/>
  <c r="C12102" i="3"/>
  <c r="B12102" i="3"/>
  <c r="D12101" i="3"/>
  <c r="C12101" i="3"/>
  <c r="B12101" i="3"/>
  <c r="D12100" i="3"/>
  <c r="C12100" i="3"/>
  <c r="B12100" i="3"/>
  <c r="D12099" i="3"/>
  <c r="C12099" i="3"/>
  <c r="B12099" i="3"/>
  <c r="D12098" i="3"/>
  <c r="C12098" i="3"/>
  <c r="B12098" i="3"/>
  <c r="D12097" i="3"/>
  <c r="C12097" i="3"/>
  <c r="B12097" i="3"/>
  <c r="D12096" i="3"/>
  <c r="C12096" i="3"/>
  <c r="B12096" i="3"/>
  <c r="D12095" i="3"/>
  <c r="C12095" i="3"/>
  <c r="B12095" i="3"/>
  <c r="D12094" i="3"/>
  <c r="C12094" i="3"/>
  <c r="B12094" i="3"/>
  <c r="D12093" i="3"/>
  <c r="C12093" i="3"/>
  <c r="B12093" i="3"/>
  <c r="D12092" i="3"/>
  <c r="C12092" i="3"/>
  <c r="B12092" i="3"/>
  <c r="D12091" i="3"/>
  <c r="C12091" i="3"/>
  <c r="B12091" i="3"/>
  <c r="D12090" i="3"/>
  <c r="C12090" i="3"/>
  <c r="B12090" i="3"/>
  <c r="D12089" i="3"/>
  <c r="C12089" i="3"/>
  <c r="B12089" i="3"/>
  <c r="D12088" i="3"/>
  <c r="C12088" i="3"/>
  <c r="B12088" i="3"/>
  <c r="D12087" i="3"/>
  <c r="C12087" i="3"/>
  <c r="B12087" i="3"/>
  <c r="D12086" i="3"/>
  <c r="C12086" i="3"/>
  <c r="B12086" i="3"/>
  <c r="D12085" i="3"/>
  <c r="C12085" i="3"/>
  <c r="B12085" i="3"/>
  <c r="D12084" i="3"/>
  <c r="C12084" i="3"/>
  <c r="B12084" i="3"/>
  <c r="D12083" i="3"/>
  <c r="C12083" i="3"/>
  <c r="B12083" i="3"/>
  <c r="D12082" i="3"/>
  <c r="C12082" i="3"/>
  <c r="B12082" i="3"/>
  <c r="D12081" i="3"/>
  <c r="C12081" i="3"/>
  <c r="B12081" i="3"/>
  <c r="D12080" i="3"/>
  <c r="C12080" i="3"/>
  <c r="B12080" i="3"/>
  <c r="D12079" i="3"/>
  <c r="C12079" i="3"/>
  <c r="B12079" i="3"/>
  <c r="D12078" i="3"/>
  <c r="C12078" i="3"/>
  <c r="B12078" i="3"/>
  <c r="D12077" i="3"/>
  <c r="C12077" i="3"/>
  <c r="B12077" i="3"/>
  <c r="D12076" i="3"/>
  <c r="C12076" i="3"/>
  <c r="B12076" i="3"/>
  <c r="D12075" i="3"/>
  <c r="C12075" i="3"/>
  <c r="B12075" i="3"/>
  <c r="D12074" i="3"/>
  <c r="C12074" i="3"/>
  <c r="B12074" i="3"/>
  <c r="D12073" i="3"/>
  <c r="C12073" i="3"/>
  <c r="B12073" i="3"/>
  <c r="D12072" i="3"/>
  <c r="C12072" i="3"/>
  <c r="B12072" i="3"/>
  <c r="D12071" i="3"/>
  <c r="C12071" i="3"/>
  <c r="B12071" i="3"/>
  <c r="D12070" i="3"/>
  <c r="C12070" i="3"/>
  <c r="B12070" i="3"/>
  <c r="D12069" i="3"/>
  <c r="C12069" i="3"/>
  <c r="B12069" i="3"/>
  <c r="D12068" i="3"/>
  <c r="C12068" i="3"/>
  <c r="B12068" i="3"/>
  <c r="D12067" i="3"/>
  <c r="C12067" i="3"/>
  <c r="B12067" i="3"/>
  <c r="D12066" i="3"/>
  <c r="C12066" i="3"/>
  <c r="B12066" i="3"/>
  <c r="D12065" i="3"/>
  <c r="C12065" i="3"/>
  <c r="B12065" i="3"/>
  <c r="D12064" i="3"/>
  <c r="C12064" i="3"/>
  <c r="B12064" i="3"/>
  <c r="D12063" i="3"/>
  <c r="C12063" i="3"/>
  <c r="B12063" i="3"/>
  <c r="D12062" i="3"/>
  <c r="C12062" i="3"/>
  <c r="B12062" i="3"/>
  <c r="D12061" i="3"/>
  <c r="C12061" i="3"/>
  <c r="B12061" i="3"/>
  <c r="D12060" i="3"/>
  <c r="C12060" i="3"/>
  <c r="B12060" i="3"/>
  <c r="D12059" i="3"/>
  <c r="C12059" i="3"/>
  <c r="B12059" i="3"/>
  <c r="D12058" i="3"/>
  <c r="C12058" i="3"/>
  <c r="B12058" i="3"/>
  <c r="D12057" i="3"/>
  <c r="C12057" i="3"/>
  <c r="B12057" i="3"/>
  <c r="D12056" i="3"/>
  <c r="C12056" i="3"/>
  <c r="B12056" i="3"/>
  <c r="D12055" i="3"/>
  <c r="C12055" i="3"/>
  <c r="B12055" i="3"/>
  <c r="D12054" i="3"/>
  <c r="C12054" i="3"/>
  <c r="B12054" i="3"/>
  <c r="D12053" i="3"/>
  <c r="C12053" i="3"/>
  <c r="B12053" i="3"/>
  <c r="D12052" i="3"/>
  <c r="C12052" i="3"/>
  <c r="B12052" i="3"/>
  <c r="D12051" i="3"/>
  <c r="C12051" i="3"/>
  <c r="B12051" i="3"/>
  <c r="D12050" i="3"/>
  <c r="C12050" i="3"/>
  <c r="B12050" i="3"/>
  <c r="D12049" i="3"/>
  <c r="C12049" i="3"/>
  <c r="B12049" i="3"/>
  <c r="D12048" i="3"/>
  <c r="C12048" i="3"/>
  <c r="B12048" i="3"/>
  <c r="D12047" i="3"/>
  <c r="C12047" i="3"/>
  <c r="B12047" i="3"/>
  <c r="D12046" i="3"/>
  <c r="C12046" i="3"/>
  <c r="B12046" i="3"/>
  <c r="D12045" i="3"/>
  <c r="C12045" i="3"/>
  <c r="B12045" i="3"/>
  <c r="D12044" i="3"/>
  <c r="C12044" i="3"/>
  <c r="B12044" i="3"/>
  <c r="D12043" i="3"/>
  <c r="C12043" i="3"/>
  <c r="B12043" i="3"/>
  <c r="D12042" i="3"/>
  <c r="C12042" i="3"/>
  <c r="B12042" i="3"/>
  <c r="D12041" i="3"/>
  <c r="C12041" i="3"/>
  <c r="B12041" i="3"/>
  <c r="D12040" i="3"/>
  <c r="C12040" i="3"/>
  <c r="B12040" i="3"/>
  <c r="D12039" i="3"/>
  <c r="C12039" i="3"/>
  <c r="B12039" i="3"/>
  <c r="D12038" i="3"/>
  <c r="C12038" i="3"/>
  <c r="B12038" i="3"/>
  <c r="D12037" i="3"/>
  <c r="C12037" i="3"/>
  <c r="B12037" i="3"/>
  <c r="D12036" i="3"/>
  <c r="C12036" i="3"/>
  <c r="B12036" i="3"/>
  <c r="D12035" i="3"/>
  <c r="C12035" i="3"/>
  <c r="B12035" i="3"/>
  <c r="D12034" i="3"/>
  <c r="C12034" i="3"/>
  <c r="B12034" i="3"/>
  <c r="D12033" i="3"/>
  <c r="C12033" i="3"/>
  <c r="B12033" i="3"/>
  <c r="D12032" i="3"/>
  <c r="C12032" i="3"/>
  <c r="B12032" i="3"/>
  <c r="D12031" i="3"/>
  <c r="C12031" i="3"/>
  <c r="B12031" i="3"/>
  <c r="D12030" i="3"/>
  <c r="C12030" i="3"/>
  <c r="B12030" i="3"/>
  <c r="D12029" i="3"/>
  <c r="C12029" i="3"/>
  <c r="B12029" i="3"/>
  <c r="D12028" i="3"/>
  <c r="C12028" i="3"/>
  <c r="B12028" i="3"/>
  <c r="D12027" i="3"/>
  <c r="C12027" i="3"/>
  <c r="B12027" i="3"/>
  <c r="D12026" i="3"/>
  <c r="C12026" i="3"/>
  <c r="B12026" i="3"/>
  <c r="D12025" i="3"/>
  <c r="C12025" i="3"/>
  <c r="B12025" i="3"/>
  <c r="D12024" i="3"/>
  <c r="C12024" i="3"/>
  <c r="B12024" i="3"/>
  <c r="D12023" i="3"/>
  <c r="C12023" i="3"/>
  <c r="B12023" i="3"/>
  <c r="D12022" i="3"/>
  <c r="C12022" i="3"/>
  <c r="B12022" i="3"/>
  <c r="D12021" i="3"/>
  <c r="C12021" i="3"/>
  <c r="B12021" i="3"/>
  <c r="D12020" i="3"/>
  <c r="C12020" i="3"/>
  <c r="B12020" i="3"/>
  <c r="D12019" i="3"/>
  <c r="C12019" i="3"/>
  <c r="B12019" i="3"/>
  <c r="D12018" i="3"/>
  <c r="C12018" i="3"/>
  <c r="B12018" i="3"/>
  <c r="D12017" i="3"/>
  <c r="C12017" i="3"/>
  <c r="B12017" i="3"/>
  <c r="D12016" i="3"/>
  <c r="C12016" i="3"/>
  <c r="B12016" i="3"/>
  <c r="D12015" i="3"/>
  <c r="C12015" i="3"/>
  <c r="B12015" i="3"/>
  <c r="D12014" i="3"/>
  <c r="C12014" i="3"/>
  <c r="B12014" i="3"/>
  <c r="D12013" i="3"/>
  <c r="C12013" i="3"/>
  <c r="B12013" i="3"/>
  <c r="D12012" i="3"/>
  <c r="C12012" i="3"/>
  <c r="B12012" i="3"/>
  <c r="D12011" i="3"/>
  <c r="C12011" i="3"/>
  <c r="B12011" i="3"/>
  <c r="D12010" i="3"/>
  <c r="C12010" i="3"/>
  <c r="B12010" i="3"/>
  <c r="D12009" i="3"/>
  <c r="C12009" i="3"/>
  <c r="B12009" i="3"/>
  <c r="D12008" i="3"/>
  <c r="C12008" i="3"/>
  <c r="B12008" i="3"/>
  <c r="D12007" i="3"/>
  <c r="C12007" i="3"/>
  <c r="B12007" i="3"/>
  <c r="D12006" i="3"/>
  <c r="C12006" i="3"/>
  <c r="B12006" i="3"/>
  <c r="D12005" i="3"/>
  <c r="C12005" i="3"/>
  <c r="B12005" i="3"/>
  <c r="D12004" i="3"/>
  <c r="C12004" i="3"/>
  <c r="B12004" i="3"/>
  <c r="D12003" i="3"/>
  <c r="C12003" i="3"/>
  <c r="B12003" i="3"/>
  <c r="D12002" i="3"/>
  <c r="C12002" i="3"/>
  <c r="B12002" i="3"/>
  <c r="D12001" i="3"/>
  <c r="C12001" i="3"/>
  <c r="B12001" i="3"/>
  <c r="D12000" i="3"/>
  <c r="C12000" i="3"/>
  <c r="B12000" i="3"/>
  <c r="D11999" i="3"/>
  <c r="C11999" i="3"/>
  <c r="B11999" i="3"/>
  <c r="D11998" i="3"/>
  <c r="C11998" i="3"/>
  <c r="B11998" i="3"/>
  <c r="D11997" i="3"/>
  <c r="C11997" i="3"/>
  <c r="B11997" i="3"/>
  <c r="D11996" i="3"/>
  <c r="C11996" i="3"/>
  <c r="B11996" i="3"/>
  <c r="D11995" i="3"/>
  <c r="C11995" i="3"/>
  <c r="B11995" i="3"/>
  <c r="D11994" i="3"/>
  <c r="C11994" i="3"/>
  <c r="B11994" i="3"/>
  <c r="D11993" i="3"/>
  <c r="C11993" i="3"/>
  <c r="B11993" i="3"/>
  <c r="D11992" i="3"/>
  <c r="C11992" i="3"/>
  <c r="B11992" i="3"/>
  <c r="D11991" i="3"/>
  <c r="C11991" i="3"/>
  <c r="B11991" i="3"/>
  <c r="D11990" i="3"/>
  <c r="C11990" i="3"/>
  <c r="B11990" i="3"/>
  <c r="D11989" i="3"/>
  <c r="C11989" i="3"/>
  <c r="B11989" i="3"/>
  <c r="D11988" i="3"/>
  <c r="C11988" i="3"/>
  <c r="B11988" i="3"/>
  <c r="D11987" i="3"/>
  <c r="C11987" i="3"/>
  <c r="B11987" i="3"/>
  <c r="D11986" i="3"/>
  <c r="C11986" i="3"/>
  <c r="B11986" i="3"/>
  <c r="D11985" i="3"/>
  <c r="C11985" i="3"/>
  <c r="B11985" i="3"/>
  <c r="D11984" i="3"/>
  <c r="C11984" i="3"/>
  <c r="B11984" i="3"/>
  <c r="D11983" i="3"/>
  <c r="C11983" i="3"/>
  <c r="B11983" i="3"/>
  <c r="D11982" i="3"/>
  <c r="C11982" i="3"/>
  <c r="B11982" i="3"/>
  <c r="D11981" i="3"/>
  <c r="C11981" i="3"/>
  <c r="B11981" i="3"/>
  <c r="D11980" i="3"/>
  <c r="C11980" i="3"/>
  <c r="B11980" i="3"/>
  <c r="D11979" i="3"/>
  <c r="C11979" i="3"/>
  <c r="B11979" i="3"/>
  <c r="D11978" i="3"/>
  <c r="C11978" i="3"/>
  <c r="B11978" i="3"/>
  <c r="D11977" i="3"/>
  <c r="C11977" i="3"/>
  <c r="B11977" i="3"/>
  <c r="D11976" i="3"/>
  <c r="C11976" i="3"/>
  <c r="B11976" i="3"/>
  <c r="D11975" i="3"/>
  <c r="C11975" i="3"/>
  <c r="B11975" i="3"/>
  <c r="D11974" i="3"/>
  <c r="C11974" i="3"/>
  <c r="B11974" i="3"/>
  <c r="D11973" i="3"/>
  <c r="C11973" i="3"/>
  <c r="B11973" i="3"/>
  <c r="D11972" i="3"/>
  <c r="C11972" i="3"/>
  <c r="B11972" i="3"/>
  <c r="D11971" i="3"/>
  <c r="C11971" i="3"/>
  <c r="B11971" i="3"/>
  <c r="D11970" i="3"/>
  <c r="C11970" i="3"/>
  <c r="B11970" i="3"/>
  <c r="D11969" i="3"/>
  <c r="C11969" i="3"/>
  <c r="B11969" i="3"/>
  <c r="D11968" i="3"/>
  <c r="C11968" i="3"/>
  <c r="B11968" i="3"/>
  <c r="D11967" i="3"/>
  <c r="C11967" i="3"/>
  <c r="B11967" i="3"/>
  <c r="D11966" i="3"/>
  <c r="C11966" i="3"/>
  <c r="B11966" i="3"/>
  <c r="D11965" i="3"/>
  <c r="C11965" i="3"/>
  <c r="B11965" i="3"/>
  <c r="D11964" i="3"/>
  <c r="C11964" i="3"/>
  <c r="B11964" i="3"/>
  <c r="D11963" i="3"/>
  <c r="C11963" i="3"/>
  <c r="B11963" i="3"/>
  <c r="D11962" i="3"/>
  <c r="C11962" i="3"/>
  <c r="B11962" i="3"/>
  <c r="D11961" i="3"/>
  <c r="C11961" i="3"/>
  <c r="B11961" i="3"/>
  <c r="D11960" i="3"/>
  <c r="C11960" i="3"/>
  <c r="B11960" i="3"/>
  <c r="D11959" i="3"/>
  <c r="C11959" i="3"/>
  <c r="B11959" i="3"/>
  <c r="D11958" i="3"/>
  <c r="C11958" i="3"/>
  <c r="B11958" i="3"/>
  <c r="D11957" i="3"/>
  <c r="C11957" i="3"/>
  <c r="B11957" i="3"/>
  <c r="D11956" i="3"/>
  <c r="C11956" i="3"/>
  <c r="B11956" i="3"/>
  <c r="D11955" i="3"/>
  <c r="C11955" i="3"/>
  <c r="B11955" i="3"/>
  <c r="D11954" i="3"/>
  <c r="C11954" i="3"/>
  <c r="B11954" i="3"/>
  <c r="D11953" i="3"/>
  <c r="C11953" i="3"/>
  <c r="B11953" i="3"/>
  <c r="D11952" i="3"/>
  <c r="C11952" i="3"/>
  <c r="B11952" i="3"/>
  <c r="D11951" i="3"/>
  <c r="C11951" i="3"/>
  <c r="B11951" i="3"/>
  <c r="D11950" i="3"/>
  <c r="C11950" i="3"/>
  <c r="B11950" i="3"/>
  <c r="D11949" i="3"/>
  <c r="C11949" i="3"/>
  <c r="B11949" i="3"/>
  <c r="D11948" i="3"/>
  <c r="C11948" i="3"/>
  <c r="B11948" i="3"/>
  <c r="D11947" i="3"/>
  <c r="C11947" i="3"/>
  <c r="B11947" i="3"/>
  <c r="D11946" i="3"/>
  <c r="C11946" i="3"/>
  <c r="B11946" i="3"/>
  <c r="D11945" i="3"/>
  <c r="C11945" i="3"/>
  <c r="B11945" i="3"/>
  <c r="D11944" i="3"/>
  <c r="C11944" i="3"/>
  <c r="B11944" i="3"/>
  <c r="D11943" i="3"/>
  <c r="C11943" i="3"/>
  <c r="B11943" i="3"/>
  <c r="D11942" i="3"/>
  <c r="C11942" i="3"/>
  <c r="B11942" i="3"/>
  <c r="D11941" i="3"/>
  <c r="C11941" i="3"/>
  <c r="B11941" i="3"/>
  <c r="D11940" i="3"/>
  <c r="C11940" i="3"/>
  <c r="B11940" i="3"/>
  <c r="D11939" i="3"/>
  <c r="C11939" i="3"/>
  <c r="B11939" i="3"/>
  <c r="D11938" i="3"/>
  <c r="C11938" i="3"/>
  <c r="B11938" i="3"/>
  <c r="D11937" i="3"/>
  <c r="C11937" i="3"/>
  <c r="B11937" i="3"/>
  <c r="D11936" i="3"/>
  <c r="C11936" i="3"/>
  <c r="B11936" i="3"/>
  <c r="D11935" i="3"/>
  <c r="C11935" i="3"/>
  <c r="B11935" i="3"/>
  <c r="D11934" i="3"/>
  <c r="C11934" i="3"/>
  <c r="B11934" i="3"/>
  <c r="D11933" i="3"/>
  <c r="C11933" i="3"/>
  <c r="B11933" i="3"/>
  <c r="D11932" i="3"/>
  <c r="C11932" i="3"/>
  <c r="B11932" i="3"/>
  <c r="D11931" i="3"/>
  <c r="C11931" i="3"/>
  <c r="B11931" i="3"/>
  <c r="D11930" i="3"/>
  <c r="C11930" i="3"/>
  <c r="B11930" i="3"/>
  <c r="D11929" i="3"/>
  <c r="C11929" i="3"/>
  <c r="B11929" i="3"/>
  <c r="D11928" i="3"/>
  <c r="C11928" i="3"/>
  <c r="B11928" i="3"/>
  <c r="D11927" i="3"/>
  <c r="C11927" i="3"/>
  <c r="B11927" i="3"/>
  <c r="D11926" i="3"/>
  <c r="C11926" i="3"/>
  <c r="B11926" i="3"/>
  <c r="D11925" i="3"/>
  <c r="C11925" i="3"/>
  <c r="B11925" i="3"/>
  <c r="D11924" i="3"/>
  <c r="C11924" i="3"/>
  <c r="B11924" i="3"/>
  <c r="D11923" i="3"/>
  <c r="C11923" i="3"/>
  <c r="B11923" i="3"/>
  <c r="D11922" i="3"/>
  <c r="C11922" i="3"/>
  <c r="B11922" i="3"/>
  <c r="D11921" i="3"/>
  <c r="C11921" i="3"/>
  <c r="B11921" i="3"/>
  <c r="D11920" i="3"/>
  <c r="C11920" i="3"/>
  <c r="B11920" i="3"/>
  <c r="D11919" i="3"/>
  <c r="C11919" i="3"/>
  <c r="B11919" i="3"/>
  <c r="D11918" i="3"/>
  <c r="C11918" i="3"/>
  <c r="B11918" i="3"/>
  <c r="D11917" i="3"/>
  <c r="C11917" i="3"/>
  <c r="B11917" i="3"/>
  <c r="D11916" i="3"/>
  <c r="C11916" i="3"/>
  <c r="B11916" i="3"/>
  <c r="D11915" i="3"/>
  <c r="C11915" i="3"/>
  <c r="B11915" i="3"/>
  <c r="D11914" i="3"/>
  <c r="C11914" i="3"/>
  <c r="B11914" i="3"/>
  <c r="D11913" i="3"/>
  <c r="C11913" i="3"/>
  <c r="B11913" i="3"/>
  <c r="D11912" i="3"/>
  <c r="C11912" i="3"/>
  <c r="B11912" i="3"/>
  <c r="D11911" i="3"/>
  <c r="C11911" i="3"/>
  <c r="B11911" i="3"/>
  <c r="D11910" i="3"/>
  <c r="C11910" i="3"/>
  <c r="B11910" i="3"/>
  <c r="D11909" i="3"/>
  <c r="C11909" i="3"/>
  <c r="B11909" i="3"/>
  <c r="D11908" i="3"/>
  <c r="C11908" i="3"/>
  <c r="B11908" i="3"/>
  <c r="D11907" i="3"/>
  <c r="C11907" i="3"/>
  <c r="B11907" i="3"/>
  <c r="D11906" i="3"/>
  <c r="C11906" i="3"/>
  <c r="B11906" i="3"/>
  <c r="D11905" i="3"/>
  <c r="C11905" i="3"/>
  <c r="B11905" i="3"/>
  <c r="D11904" i="3"/>
  <c r="C11904" i="3"/>
  <c r="B11904" i="3"/>
  <c r="D11903" i="3"/>
  <c r="C11903" i="3"/>
  <c r="B11903" i="3"/>
  <c r="D11902" i="3"/>
  <c r="C11902" i="3"/>
  <c r="B11902" i="3"/>
  <c r="D11901" i="3"/>
  <c r="C11901" i="3"/>
  <c r="B11901" i="3"/>
  <c r="D11900" i="3"/>
  <c r="C11900" i="3"/>
  <c r="B11900" i="3"/>
  <c r="D11899" i="3"/>
  <c r="C11899" i="3"/>
  <c r="B11899" i="3"/>
  <c r="D11898" i="3"/>
  <c r="C11898" i="3"/>
  <c r="B11898" i="3"/>
  <c r="D11897" i="3"/>
  <c r="C11897" i="3"/>
  <c r="B11897" i="3"/>
  <c r="D11896" i="3"/>
  <c r="C11896" i="3"/>
  <c r="B11896" i="3"/>
  <c r="D11895" i="3"/>
  <c r="C11895" i="3"/>
  <c r="B11895" i="3"/>
  <c r="D11894" i="3"/>
  <c r="C11894" i="3"/>
  <c r="B11894" i="3"/>
  <c r="D11893" i="3"/>
  <c r="C11893" i="3"/>
  <c r="B11893" i="3"/>
  <c r="D11892" i="3"/>
  <c r="C11892" i="3"/>
  <c r="B11892" i="3"/>
  <c r="D11891" i="3"/>
  <c r="C11891" i="3"/>
  <c r="B11891" i="3"/>
  <c r="D11890" i="3"/>
  <c r="C11890" i="3"/>
  <c r="B11890" i="3"/>
  <c r="D11889" i="3"/>
  <c r="C11889" i="3"/>
  <c r="B11889" i="3"/>
  <c r="D11888" i="3"/>
  <c r="C11888" i="3"/>
  <c r="B11888" i="3"/>
  <c r="D11887" i="3"/>
  <c r="C11887" i="3"/>
  <c r="B11887" i="3"/>
  <c r="D11886" i="3"/>
  <c r="C11886" i="3"/>
  <c r="B11886" i="3"/>
  <c r="D11885" i="3"/>
  <c r="C11885" i="3"/>
  <c r="B11885" i="3"/>
  <c r="D11884" i="3"/>
  <c r="C11884" i="3"/>
  <c r="B11884" i="3"/>
  <c r="D11883" i="3"/>
  <c r="C11883" i="3"/>
  <c r="B11883" i="3"/>
  <c r="D11882" i="3"/>
  <c r="C11882" i="3"/>
  <c r="B11882" i="3"/>
  <c r="D11881" i="3"/>
  <c r="C11881" i="3"/>
  <c r="B11881" i="3"/>
  <c r="D11880" i="3"/>
  <c r="C11880" i="3"/>
  <c r="B11880" i="3"/>
  <c r="D11879" i="3"/>
  <c r="C11879" i="3"/>
  <c r="B11879" i="3"/>
  <c r="D11878" i="3"/>
  <c r="C11878" i="3"/>
  <c r="B11878" i="3"/>
  <c r="D11877" i="3"/>
  <c r="C11877" i="3"/>
  <c r="B11877" i="3"/>
  <c r="D11876" i="3"/>
  <c r="C11876" i="3"/>
  <c r="B11876" i="3"/>
  <c r="D11875" i="3"/>
  <c r="C11875" i="3"/>
  <c r="B11875" i="3"/>
  <c r="D11874" i="3"/>
  <c r="C11874" i="3"/>
  <c r="B11874" i="3"/>
  <c r="D11873" i="3"/>
  <c r="C11873" i="3"/>
  <c r="B11873" i="3"/>
  <c r="D11872" i="3"/>
  <c r="C11872" i="3"/>
  <c r="B11872" i="3"/>
  <c r="D11871" i="3"/>
  <c r="C11871" i="3"/>
  <c r="B11871" i="3"/>
  <c r="D11870" i="3"/>
  <c r="C11870" i="3"/>
  <c r="B11870" i="3"/>
  <c r="D11869" i="3"/>
  <c r="C11869" i="3"/>
  <c r="B11869" i="3"/>
  <c r="D11868" i="3"/>
  <c r="C11868" i="3"/>
  <c r="B11868" i="3"/>
  <c r="D11867" i="3"/>
  <c r="C11867" i="3"/>
  <c r="B11867" i="3"/>
  <c r="D11866" i="3"/>
  <c r="C11866" i="3"/>
  <c r="B11866" i="3"/>
  <c r="D11865" i="3"/>
  <c r="C11865" i="3"/>
  <c r="B11865" i="3"/>
  <c r="D11864" i="3"/>
  <c r="C11864" i="3"/>
  <c r="B11864" i="3"/>
  <c r="D11863" i="3"/>
  <c r="C11863" i="3"/>
  <c r="B11863" i="3"/>
  <c r="D11862" i="3"/>
  <c r="C11862" i="3"/>
  <c r="B11862" i="3"/>
  <c r="D11861" i="3"/>
  <c r="C11861" i="3"/>
  <c r="B11861" i="3"/>
  <c r="D11860" i="3"/>
  <c r="C11860" i="3"/>
  <c r="B11860" i="3"/>
  <c r="D11859" i="3"/>
  <c r="C11859" i="3"/>
  <c r="B11859" i="3"/>
  <c r="D11858" i="3"/>
  <c r="C11858" i="3"/>
  <c r="B11858" i="3"/>
  <c r="D11857" i="3"/>
  <c r="C11857" i="3"/>
  <c r="B11857" i="3"/>
  <c r="D11856" i="3"/>
  <c r="C11856" i="3"/>
  <c r="B11856" i="3"/>
  <c r="D11855" i="3"/>
  <c r="C11855" i="3"/>
  <c r="B11855" i="3"/>
  <c r="D11854" i="3"/>
  <c r="C11854" i="3"/>
  <c r="B11854" i="3"/>
  <c r="D11853" i="3"/>
  <c r="C11853" i="3"/>
  <c r="B11853" i="3"/>
  <c r="D11852" i="3"/>
  <c r="C11852" i="3"/>
  <c r="B11852" i="3"/>
  <c r="D11851" i="3"/>
  <c r="C11851" i="3"/>
  <c r="B11851" i="3"/>
  <c r="D11850" i="3"/>
  <c r="C11850" i="3"/>
  <c r="B11850" i="3"/>
  <c r="D11849" i="3"/>
  <c r="C11849" i="3"/>
  <c r="B11849" i="3"/>
  <c r="D11848" i="3"/>
  <c r="C11848" i="3"/>
  <c r="B11848" i="3"/>
  <c r="D11847" i="3"/>
  <c r="C11847" i="3"/>
  <c r="B11847" i="3"/>
  <c r="D11846" i="3"/>
  <c r="C11846" i="3"/>
  <c r="B11846" i="3"/>
  <c r="D11845" i="3"/>
  <c r="C11845" i="3"/>
  <c r="B11845" i="3"/>
  <c r="D11844" i="3"/>
  <c r="C11844" i="3"/>
  <c r="B11844" i="3"/>
  <c r="D11843" i="3"/>
  <c r="C11843" i="3"/>
  <c r="B11843" i="3"/>
  <c r="D11842" i="3"/>
  <c r="C11842" i="3"/>
  <c r="B11842" i="3"/>
  <c r="D11841" i="3"/>
  <c r="C11841" i="3"/>
  <c r="B11841" i="3"/>
  <c r="D11840" i="3"/>
  <c r="C11840" i="3"/>
  <c r="B11840" i="3"/>
  <c r="D11839" i="3"/>
  <c r="C11839" i="3"/>
  <c r="B11839" i="3"/>
  <c r="D11838" i="3"/>
  <c r="C11838" i="3"/>
  <c r="B11838" i="3"/>
  <c r="D11837" i="3"/>
  <c r="C11837" i="3"/>
  <c r="B11837" i="3"/>
  <c r="D11836" i="3"/>
  <c r="C11836" i="3"/>
  <c r="B11836" i="3"/>
  <c r="D11835" i="3"/>
  <c r="C11835" i="3"/>
  <c r="B11835" i="3"/>
  <c r="D11834" i="3"/>
  <c r="C11834" i="3"/>
  <c r="B11834" i="3"/>
  <c r="D11833" i="3"/>
  <c r="C11833" i="3"/>
  <c r="B11833" i="3"/>
  <c r="D11832" i="3"/>
  <c r="C11832" i="3"/>
  <c r="B11832" i="3"/>
  <c r="D11831" i="3"/>
  <c r="C11831" i="3"/>
  <c r="B11831" i="3"/>
  <c r="D11830" i="3"/>
  <c r="C11830" i="3"/>
  <c r="B11830" i="3"/>
  <c r="D11829" i="3"/>
  <c r="C11829" i="3"/>
  <c r="B11829" i="3"/>
  <c r="D11828" i="3"/>
  <c r="C11828" i="3"/>
  <c r="B11828" i="3"/>
  <c r="D11827" i="3"/>
  <c r="C11827" i="3"/>
  <c r="B11827" i="3"/>
  <c r="D11826" i="3"/>
  <c r="C11826" i="3"/>
  <c r="B11826" i="3"/>
  <c r="D11825" i="3"/>
  <c r="C11825" i="3"/>
  <c r="B11825" i="3"/>
  <c r="D11824" i="3"/>
  <c r="C11824" i="3"/>
  <c r="B11824" i="3"/>
  <c r="D11823" i="3"/>
  <c r="C11823" i="3"/>
  <c r="B11823" i="3"/>
  <c r="D11822" i="3"/>
  <c r="C11822" i="3"/>
  <c r="B11822" i="3"/>
  <c r="D11821" i="3"/>
  <c r="C11821" i="3"/>
  <c r="B11821" i="3"/>
  <c r="D11820" i="3"/>
  <c r="C11820" i="3"/>
  <c r="B11820" i="3"/>
  <c r="D11819" i="3"/>
  <c r="C11819" i="3"/>
  <c r="B11819" i="3"/>
  <c r="D11818" i="3"/>
  <c r="C11818" i="3"/>
  <c r="B11818" i="3"/>
  <c r="D11817" i="3"/>
  <c r="C11817" i="3"/>
  <c r="B11817" i="3"/>
  <c r="D11816" i="3"/>
  <c r="C11816" i="3"/>
  <c r="B11816" i="3"/>
  <c r="D11815" i="3"/>
  <c r="C11815" i="3"/>
  <c r="B11815" i="3"/>
  <c r="D11814" i="3"/>
  <c r="C11814" i="3"/>
  <c r="B11814" i="3"/>
  <c r="D11813" i="3"/>
  <c r="C11813" i="3"/>
  <c r="B11813" i="3"/>
  <c r="D11812" i="3"/>
  <c r="C11812" i="3"/>
  <c r="B11812" i="3"/>
  <c r="D11811" i="3"/>
  <c r="C11811" i="3"/>
  <c r="B11811" i="3"/>
  <c r="D11810" i="3"/>
  <c r="C11810" i="3"/>
  <c r="B11810" i="3"/>
  <c r="D11809" i="3"/>
  <c r="C11809" i="3"/>
  <c r="B11809" i="3"/>
  <c r="D11808" i="3"/>
  <c r="C11808" i="3"/>
  <c r="B11808" i="3"/>
  <c r="D11807" i="3"/>
  <c r="C11807" i="3"/>
  <c r="B11807" i="3"/>
  <c r="D11806" i="3"/>
  <c r="C11806" i="3"/>
  <c r="B11806" i="3"/>
  <c r="D11805" i="3"/>
  <c r="C11805" i="3"/>
  <c r="B11805" i="3"/>
  <c r="D11804" i="3"/>
  <c r="C11804" i="3"/>
  <c r="B11804" i="3"/>
  <c r="D11803" i="3"/>
  <c r="C11803" i="3"/>
  <c r="B11803" i="3"/>
  <c r="D11802" i="3"/>
  <c r="C11802" i="3"/>
  <c r="B11802" i="3"/>
  <c r="D11801" i="3"/>
  <c r="C11801" i="3"/>
  <c r="B11801" i="3"/>
  <c r="D11800" i="3"/>
  <c r="C11800" i="3"/>
  <c r="B11800" i="3"/>
  <c r="D11799" i="3"/>
  <c r="C11799" i="3"/>
  <c r="B11799" i="3"/>
  <c r="D11798" i="3"/>
  <c r="C11798" i="3"/>
  <c r="B11798" i="3"/>
  <c r="D11797" i="3"/>
  <c r="C11797" i="3"/>
  <c r="B11797" i="3"/>
  <c r="D11796" i="3"/>
  <c r="C11796" i="3"/>
  <c r="B11796" i="3"/>
  <c r="D11795" i="3"/>
  <c r="C11795" i="3"/>
  <c r="B11795" i="3"/>
  <c r="D11794" i="3"/>
  <c r="C11794" i="3"/>
  <c r="B11794" i="3"/>
  <c r="D11793" i="3"/>
  <c r="C11793" i="3"/>
  <c r="B11793" i="3"/>
  <c r="D11792" i="3"/>
  <c r="C11792" i="3"/>
  <c r="B11792" i="3"/>
  <c r="D11791" i="3"/>
  <c r="C11791" i="3"/>
  <c r="B11791" i="3"/>
  <c r="D11790" i="3"/>
  <c r="C11790" i="3"/>
  <c r="B11790" i="3"/>
  <c r="D11789" i="3"/>
  <c r="C11789" i="3"/>
  <c r="B11789" i="3"/>
  <c r="D11788" i="3"/>
  <c r="C11788" i="3"/>
  <c r="B11788" i="3"/>
  <c r="D11787" i="3"/>
  <c r="C11787" i="3"/>
  <c r="B11787" i="3"/>
  <c r="D11786" i="3"/>
  <c r="C11786" i="3"/>
  <c r="B11786" i="3"/>
  <c r="D11785" i="3"/>
  <c r="C11785" i="3"/>
  <c r="B11785" i="3"/>
  <c r="D11784" i="3"/>
  <c r="C11784" i="3"/>
  <c r="B11784" i="3"/>
  <c r="D11783" i="3"/>
  <c r="C11783" i="3"/>
  <c r="B11783" i="3"/>
  <c r="D11782" i="3"/>
  <c r="C11782" i="3"/>
  <c r="B11782" i="3"/>
  <c r="D11781" i="3"/>
  <c r="C11781" i="3"/>
  <c r="B11781" i="3"/>
  <c r="D11780" i="3"/>
  <c r="C11780" i="3"/>
  <c r="B11780" i="3"/>
  <c r="D11779" i="3"/>
  <c r="C11779" i="3"/>
  <c r="B11779" i="3"/>
  <c r="D11778" i="3"/>
  <c r="C11778" i="3"/>
  <c r="B11778" i="3"/>
  <c r="D11777" i="3"/>
  <c r="C11777" i="3"/>
  <c r="B11777" i="3"/>
  <c r="D11776" i="3"/>
  <c r="C11776" i="3"/>
  <c r="B11776" i="3"/>
  <c r="D11775" i="3"/>
  <c r="C11775" i="3"/>
  <c r="B11775" i="3"/>
  <c r="D11774" i="3"/>
  <c r="C11774" i="3"/>
  <c r="B11774" i="3"/>
  <c r="D11773" i="3"/>
  <c r="C11773" i="3"/>
  <c r="B11773" i="3"/>
  <c r="D11772" i="3"/>
  <c r="C11772" i="3"/>
  <c r="B11772" i="3"/>
  <c r="D11771" i="3"/>
  <c r="C11771" i="3"/>
  <c r="B11771" i="3"/>
  <c r="D11770" i="3"/>
  <c r="C11770" i="3"/>
  <c r="B11770" i="3"/>
  <c r="D11769" i="3"/>
  <c r="C11769" i="3"/>
  <c r="B11769" i="3"/>
  <c r="D11768" i="3"/>
  <c r="C11768" i="3"/>
  <c r="B11768" i="3"/>
  <c r="D11767" i="3"/>
  <c r="C11767" i="3"/>
  <c r="B11767" i="3"/>
  <c r="D11766" i="3"/>
  <c r="C11766" i="3"/>
  <c r="B11766" i="3"/>
  <c r="D11765" i="3"/>
  <c r="C11765" i="3"/>
  <c r="B11765" i="3"/>
  <c r="D11764" i="3"/>
  <c r="C11764" i="3"/>
  <c r="B11764" i="3"/>
  <c r="D11763" i="3"/>
  <c r="C11763" i="3"/>
  <c r="B11763" i="3"/>
  <c r="D11762" i="3"/>
  <c r="C11762" i="3"/>
  <c r="B11762" i="3"/>
  <c r="D11761" i="3"/>
  <c r="C11761" i="3"/>
  <c r="B11761" i="3"/>
  <c r="D11760" i="3"/>
  <c r="C11760" i="3"/>
  <c r="B11760" i="3"/>
  <c r="D11759" i="3"/>
  <c r="C11759" i="3"/>
  <c r="B11759" i="3"/>
  <c r="D11758" i="3"/>
  <c r="C11758" i="3"/>
  <c r="B11758" i="3"/>
  <c r="D11757" i="3"/>
  <c r="C11757" i="3"/>
  <c r="B11757" i="3"/>
  <c r="D11756" i="3"/>
  <c r="C11756" i="3"/>
  <c r="B11756" i="3"/>
  <c r="D11755" i="3"/>
  <c r="C11755" i="3"/>
  <c r="B11755" i="3"/>
  <c r="D11754" i="3"/>
  <c r="C11754" i="3"/>
  <c r="B11754" i="3"/>
  <c r="D11753" i="3"/>
  <c r="C11753" i="3"/>
  <c r="B11753" i="3"/>
  <c r="D11752" i="3"/>
  <c r="C11752" i="3"/>
  <c r="B11752" i="3"/>
  <c r="D11751" i="3"/>
  <c r="C11751" i="3"/>
  <c r="B11751" i="3"/>
  <c r="D11750" i="3"/>
  <c r="C11750" i="3"/>
  <c r="B11750" i="3"/>
  <c r="D11749" i="3"/>
  <c r="C11749" i="3"/>
  <c r="B11749" i="3"/>
  <c r="D11748" i="3"/>
  <c r="C11748" i="3"/>
  <c r="B11748" i="3"/>
  <c r="D11747" i="3"/>
  <c r="C11747" i="3"/>
  <c r="B11747" i="3"/>
  <c r="D11746" i="3"/>
  <c r="C11746" i="3"/>
  <c r="B11746" i="3"/>
  <c r="D11745" i="3"/>
  <c r="C11745" i="3"/>
  <c r="B11745" i="3"/>
  <c r="D11744" i="3"/>
  <c r="C11744" i="3"/>
  <c r="B11744" i="3"/>
  <c r="D11743" i="3"/>
  <c r="C11743" i="3"/>
  <c r="B11743" i="3"/>
  <c r="D11742" i="3"/>
  <c r="C11742" i="3"/>
  <c r="B11742" i="3"/>
  <c r="D11741" i="3"/>
  <c r="C11741" i="3"/>
  <c r="B11741" i="3"/>
  <c r="D11740" i="3"/>
  <c r="C11740" i="3"/>
  <c r="B11740" i="3"/>
  <c r="D11739" i="3"/>
  <c r="C11739" i="3"/>
  <c r="B11739" i="3"/>
  <c r="D11738" i="3"/>
  <c r="C11738" i="3"/>
  <c r="B11738" i="3"/>
  <c r="D11737" i="3"/>
  <c r="C11737" i="3"/>
  <c r="B11737" i="3"/>
  <c r="D11736" i="3"/>
  <c r="C11736" i="3"/>
  <c r="B11736" i="3"/>
  <c r="D11735" i="3"/>
  <c r="C11735" i="3"/>
  <c r="B11735" i="3"/>
  <c r="D11734" i="3"/>
  <c r="C11734" i="3"/>
  <c r="B11734" i="3"/>
  <c r="D11733" i="3"/>
  <c r="C11733" i="3"/>
  <c r="B11733" i="3"/>
  <c r="D11732" i="3"/>
  <c r="C11732" i="3"/>
  <c r="B11732" i="3"/>
  <c r="D11731" i="3"/>
  <c r="C11731" i="3"/>
  <c r="B11731" i="3"/>
  <c r="D11730" i="3"/>
  <c r="C11730" i="3"/>
  <c r="B11730" i="3"/>
  <c r="D11729" i="3"/>
  <c r="C11729" i="3"/>
  <c r="B11729" i="3"/>
  <c r="D11728" i="3"/>
  <c r="C11728" i="3"/>
  <c r="B11728" i="3"/>
  <c r="D11727" i="3"/>
  <c r="C11727" i="3"/>
  <c r="B11727" i="3"/>
  <c r="D11726" i="3"/>
  <c r="C11726" i="3"/>
  <c r="B11726" i="3"/>
  <c r="D11725" i="3"/>
  <c r="C11725" i="3"/>
  <c r="B11725" i="3"/>
  <c r="D11724" i="3"/>
  <c r="C11724" i="3"/>
  <c r="B11724" i="3"/>
  <c r="D11723" i="3"/>
  <c r="C11723" i="3"/>
  <c r="B11723" i="3"/>
  <c r="D11722" i="3"/>
  <c r="C11722" i="3"/>
  <c r="B11722" i="3"/>
  <c r="D11721" i="3"/>
  <c r="C11721" i="3"/>
  <c r="B11721" i="3"/>
  <c r="D11720" i="3"/>
  <c r="C11720" i="3"/>
  <c r="B11720" i="3"/>
  <c r="D11719" i="3"/>
  <c r="C11719" i="3"/>
  <c r="B11719" i="3"/>
  <c r="D11718" i="3"/>
  <c r="C11718" i="3"/>
  <c r="B11718" i="3"/>
  <c r="D11717" i="3"/>
  <c r="C11717" i="3"/>
  <c r="B11717" i="3"/>
  <c r="D11716" i="3"/>
  <c r="C11716" i="3"/>
  <c r="B11716" i="3"/>
  <c r="D11715" i="3"/>
  <c r="C11715" i="3"/>
  <c r="B11715" i="3"/>
  <c r="D11714" i="3"/>
  <c r="C11714" i="3"/>
  <c r="B11714" i="3"/>
  <c r="D11713" i="3"/>
  <c r="C11713" i="3"/>
  <c r="B11713" i="3"/>
  <c r="D11712" i="3"/>
  <c r="C11712" i="3"/>
  <c r="B11712" i="3"/>
  <c r="D11711" i="3"/>
  <c r="C11711" i="3"/>
  <c r="B11711" i="3"/>
  <c r="D11710" i="3"/>
  <c r="C11710" i="3"/>
  <c r="B11710" i="3"/>
  <c r="D11709" i="3"/>
  <c r="C11709" i="3"/>
  <c r="B11709" i="3"/>
  <c r="D11708" i="3"/>
  <c r="C11708" i="3"/>
  <c r="B11708" i="3"/>
  <c r="D11707" i="3"/>
  <c r="C11707" i="3"/>
  <c r="B11707" i="3"/>
  <c r="D11706" i="3"/>
  <c r="C11706" i="3"/>
  <c r="B11706" i="3"/>
  <c r="D11705" i="3"/>
  <c r="C11705" i="3"/>
  <c r="B11705" i="3"/>
  <c r="D11704" i="3"/>
  <c r="C11704" i="3"/>
  <c r="B11704" i="3"/>
  <c r="D11703" i="3"/>
  <c r="C11703" i="3"/>
  <c r="B11703" i="3"/>
  <c r="D11702" i="3"/>
  <c r="C11702" i="3"/>
  <c r="B11702" i="3"/>
  <c r="D11701" i="3"/>
  <c r="C11701" i="3"/>
  <c r="B11701" i="3"/>
  <c r="D11700" i="3"/>
  <c r="C11700" i="3"/>
  <c r="B11700" i="3"/>
  <c r="D11699" i="3"/>
  <c r="C11699" i="3"/>
  <c r="B11699" i="3"/>
  <c r="D11698" i="3"/>
  <c r="C11698" i="3"/>
  <c r="B11698" i="3"/>
  <c r="D11697" i="3"/>
  <c r="C11697" i="3"/>
  <c r="B11697" i="3"/>
  <c r="D11696" i="3"/>
  <c r="C11696" i="3"/>
  <c r="B11696" i="3"/>
  <c r="D11695" i="3"/>
  <c r="C11695" i="3"/>
  <c r="B11695" i="3"/>
  <c r="D11694" i="3"/>
  <c r="C11694" i="3"/>
  <c r="B11694" i="3"/>
  <c r="D11693" i="3"/>
  <c r="C11693" i="3"/>
  <c r="B11693" i="3"/>
  <c r="D11692" i="3"/>
  <c r="C11692" i="3"/>
  <c r="B11692" i="3"/>
  <c r="D11691" i="3"/>
  <c r="C11691" i="3"/>
  <c r="B11691" i="3"/>
  <c r="D11690" i="3"/>
  <c r="C11690" i="3"/>
  <c r="B11690" i="3"/>
  <c r="D11689" i="3"/>
  <c r="C11689" i="3"/>
  <c r="B11689" i="3"/>
  <c r="D11688" i="3"/>
  <c r="C11688" i="3"/>
  <c r="B11688" i="3"/>
  <c r="D11687" i="3"/>
  <c r="C11687" i="3"/>
  <c r="B11687" i="3"/>
  <c r="D11686" i="3"/>
  <c r="C11686" i="3"/>
  <c r="B11686" i="3"/>
  <c r="D11685" i="3"/>
  <c r="C11685" i="3"/>
  <c r="B11685" i="3"/>
  <c r="D11684" i="3"/>
  <c r="C11684" i="3"/>
  <c r="B11684" i="3"/>
  <c r="D11683" i="3"/>
  <c r="C11683" i="3"/>
  <c r="B11683" i="3"/>
  <c r="D11682" i="3"/>
  <c r="C11682" i="3"/>
  <c r="B11682" i="3"/>
  <c r="D11681" i="3"/>
  <c r="C11681" i="3"/>
  <c r="B11681" i="3"/>
  <c r="D11680" i="3"/>
  <c r="C11680" i="3"/>
  <c r="B11680" i="3"/>
  <c r="D11679" i="3"/>
  <c r="C11679" i="3"/>
  <c r="B11679" i="3"/>
  <c r="D11678" i="3"/>
  <c r="C11678" i="3"/>
  <c r="B11678" i="3"/>
  <c r="D11677" i="3"/>
  <c r="C11677" i="3"/>
  <c r="B11677" i="3"/>
  <c r="D11676" i="3"/>
  <c r="C11676" i="3"/>
  <c r="B11676" i="3"/>
  <c r="D11675" i="3"/>
  <c r="C11675" i="3"/>
  <c r="B11675" i="3"/>
  <c r="D11674" i="3"/>
  <c r="C11674" i="3"/>
  <c r="B11674" i="3"/>
  <c r="D11673" i="3"/>
  <c r="C11673" i="3"/>
  <c r="B11673" i="3"/>
  <c r="D11672" i="3"/>
  <c r="C11672" i="3"/>
  <c r="B11672" i="3"/>
  <c r="D11671" i="3"/>
  <c r="C11671" i="3"/>
  <c r="B11671" i="3"/>
  <c r="D11670" i="3"/>
  <c r="C11670" i="3"/>
  <c r="B11670" i="3"/>
  <c r="D11669" i="3"/>
  <c r="C11669" i="3"/>
  <c r="B11669" i="3"/>
  <c r="D11668" i="3"/>
  <c r="C11668" i="3"/>
  <c r="B11668" i="3"/>
  <c r="D11667" i="3"/>
  <c r="C11667" i="3"/>
  <c r="B11667" i="3"/>
  <c r="D11666" i="3"/>
  <c r="C11666" i="3"/>
  <c r="B11666" i="3"/>
  <c r="D11665" i="3"/>
  <c r="C11665" i="3"/>
  <c r="B11665" i="3"/>
  <c r="D11664" i="3"/>
  <c r="C11664" i="3"/>
  <c r="B11664" i="3"/>
  <c r="D11663" i="3"/>
  <c r="C11663" i="3"/>
  <c r="B11663" i="3"/>
  <c r="D11662" i="3"/>
  <c r="C11662" i="3"/>
  <c r="B11662" i="3"/>
  <c r="D11661" i="3"/>
  <c r="C11661" i="3"/>
  <c r="B11661" i="3"/>
  <c r="D11660" i="3"/>
  <c r="C11660" i="3"/>
  <c r="B11660" i="3"/>
  <c r="D11659" i="3"/>
  <c r="C11659" i="3"/>
  <c r="B11659" i="3"/>
  <c r="D11658" i="3"/>
  <c r="C11658" i="3"/>
  <c r="B11658" i="3"/>
  <c r="D11657" i="3"/>
  <c r="C11657" i="3"/>
  <c r="B11657" i="3"/>
  <c r="D11656" i="3"/>
  <c r="C11656" i="3"/>
  <c r="B11656" i="3"/>
  <c r="D11655" i="3"/>
  <c r="C11655" i="3"/>
  <c r="B11655" i="3"/>
  <c r="D11654" i="3"/>
  <c r="C11654" i="3"/>
  <c r="B11654" i="3"/>
  <c r="D11653" i="3"/>
  <c r="C11653" i="3"/>
  <c r="B11653" i="3"/>
  <c r="D11652" i="3"/>
  <c r="C11652" i="3"/>
  <c r="B11652" i="3"/>
  <c r="D11651" i="3"/>
  <c r="C11651" i="3"/>
  <c r="B11651" i="3"/>
  <c r="D11650" i="3"/>
  <c r="C11650" i="3"/>
  <c r="B11650" i="3"/>
  <c r="D11649" i="3"/>
  <c r="C11649" i="3"/>
  <c r="B11649" i="3"/>
  <c r="D11648" i="3"/>
  <c r="C11648" i="3"/>
  <c r="B11648" i="3"/>
  <c r="D11647" i="3"/>
  <c r="C11647" i="3"/>
  <c r="B11647" i="3"/>
  <c r="D11646" i="3"/>
  <c r="C11646" i="3"/>
  <c r="B11646" i="3"/>
  <c r="D11645" i="3"/>
  <c r="C11645" i="3"/>
  <c r="B11645" i="3"/>
  <c r="D11644" i="3"/>
  <c r="C11644" i="3"/>
  <c r="B11644" i="3"/>
  <c r="D11643" i="3"/>
  <c r="C11643" i="3"/>
  <c r="B11643" i="3"/>
  <c r="D11642" i="3"/>
  <c r="C11642" i="3"/>
  <c r="B11642" i="3"/>
  <c r="D11641" i="3"/>
  <c r="C11641" i="3"/>
  <c r="B11641" i="3"/>
  <c r="D11640" i="3"/>
  <c r="C11640" i="3"/>
  <c r="B11640" i="3"/>
  <c r="D11639" i="3"/>
  <c r="C11639" i="3"/>
  <c r="B11639" i="3"/>
  <c r="D11638" i="3"/>
  <c r="C11638" i="3"/>
  <c r="B11638" i="3"/>
  <c r="D11637" i="3"/>
  <c r="C11637" i="3"/>
  <c r="B11637" i="3"/>
  <c r="D11636" i="3"/>
  <c r="C11636" i="3"/>
  <c r="B11636" i="3"/>
  <c r="D11635" i="3"/>
  <c r="C11635" i="3"/>
  <c r="B11635" i="3"/>
  <c r="D11634" i="3"/>
  <c r="C11634" i="3"/>
  <c r="B11634" i="3"/>
  <c r="D11633" i="3"/>
  <c r="C11633" i="3"/>
  <c r="B11633" i="3"/>
  <c r="D11632" i="3"/>
  <c r="C11632" i="3"/>
  <c r="B11632" i="3"/>
  <c r="D11631" i="3"/>
  <c r="C11631" i="3"/>
  <c r="B11631" i="3"/>
  <c r="D11630" i="3"/>
  <c r="C11630" i="3"/>
  <c r="B11630" i="3"/>
  <c r="D11629" i="3"/>
  <c r="C11629" i="3"/>
  <c r="B11629" i="3"/>
  <c r="D11628" i="3"/>
  <c r="C11628" i="3"/>
  <c r="B11628" i="3"/>
  <c r="D11627" i="3"/>
  <c r="C11627" i="3"/>
  <c r="B11627" i="3"/>
  <c r="D11626" i="3"/>
  <c r="C11626" i="3"/>
  <c r="B11626" i="3"/>
  <c r="D11625" i="3"/>
  <c r="C11625" i="3"/>
  <c r="B11625" i="3"/>
  <c r="D11624" i="3"/>
  <c r="C11624" i="3"/>
  <c r="B11624" i="3"/>
  <c r="D11623" i="3"/>
  <c r="C11623" i="3"/>
  <c r="B11623" i="3"/>
  <c r="D11622" i="3"/>
  <c r="C11622" i="3"/>
  <c r="B11622" i="3"/>
  <c r="D11621" i="3"/>
  <c r="C11621" i="3"/>
  <c r="B11621" i="3"/>
  <c r="D11620" i="3"/>
  <c r="C11620" i="3"/>
  <c r="B11620" i="3"/>
  <c r="D11619" i="3"/>
  <c r="C11619" i="3"/>
  <c r="B11619" i="3"/>
  <c r="D11618" i="3"/>
  <c r="C11618" i="3"/>
  <c r="B11618" i="3"/>
  <c r="D11617" i="3"/>
  <c r="C11617" i="3"/>
  <c r="B11617" i="3"/>
  <c r="D11616" i="3"/>
  <c r="C11616" i="3"/>
  <c r="B11616" i="3"/>
  <c r="D11615" i="3"/>
  <c r="C11615" i="3"/>
  <c r="B11615" i="3"/>
  <c r="D11614" i="3"/>
  <c r="C11614" i="3"/>
  <c r="B11614" i="3"/>
  <c r="D11613" i="3"/>
  <c r="C11613" i="3"/>
  <c r="B11613" i="3"/>
  <c r="D11612" i="3"/>
  <c r="C11612" i="3"/>
  <c r="B11612" i="3"/>
  <c r="D11611" i="3"/>
  <c r="C11611" i="3"/>
  <c r="B11611" i="3"/>
  <c r="D11610" i="3"/>
  <c r="C11610" i="3"/>
  <c r="B11610" i="3"/>
  <c r="D11609" i="3"/>
  <c r="C11609" i="3"/>
  <c r="B11609" i="3"/>
  <c r="D11608" i="3"/>
  <c r="C11608" i="3"/>
  <c r="B11608" i="3"/>
  <c r="D11607" i="3"/>
  <c r="C11607" i="3"/>
  <c r="B11607" i="3"/>
  <c r="D11606" i="3"/>
  <c r="C11606" i="3"/>
  <c r="B11606" i="3"/>
  <c r="D11605" i="3"/>
  <c r="C11605" i="3"/>
  <c r="B11605" i="3"/>
  <c r="D11604" i="3"/>
  <c r="C11604" i="3"/>
  <c r="B11604" i="3"/>
  <c r="D11603" i="3"/>
  <c r="C11603" i="3"/>
  <c r="B11603" i="3"/>
  <c r="D11602" i="3"/>
  <c r="C11602" i="3"/>
  <c r="B11602" i="3"/>
  <c r="D11601" i="3"/>
  <c r="C11601" i="3"/>
  <c r="B11601" i="3"/>
  <c r="D11600" i="3"/>
  <c r="C11600" i="3"/>
  <c r="B11600" i="3"/>
  <c r="D11599" i="3"/>
  <c r="C11599" i="3"/>
  <c r="B11599" i="3"/>
  <c r="D11598" i="3"/>
  <c r="C11598" i="3"/>
  <c r="B11598" i="3"/>
  <c r="D11597" i="3"/>
  <c r="C11597" i="3"/>
  <c r="B11597" i="3"/>
  <c r="D11596" i="3"/>
  <c r="C11596" i="3"/>
  <c r="B11596" i="3"/>
  <c r="D11595" i="3"/>
  <c r="C11595" i="3"/>
  <c r="B11595" i="3"/>
  <c r="D11594" i="3"/>
  <c r="C11594" i="3"/>
  <c r="B11594" i="3"/>
  <c r="D11593" i="3"/>
  <c r="C11593" i="3"/>
  <c r="B11593" i="3"/>
  <c r="D11592" i="3"/>
  <c r="C11592" i="3"/>
  <c r="B11592" i="3"/>
  <c r="D11591" i="3"/>
  <c r="C11591" i="3"/>
  <c r="B11591" i="3"/>
  <c r="D11590" i="3"/>
  <c r="C11590" i="3"/>
  <c r="B11590" i="3"/>
  <c r="D11589" i="3"/>
  <c r="C11589" i="3"/>
  <c r="B11589" i="3"/>
  <c r="D11588" i="3"/>
  <c r="C11588" i="3"/>
  <c r="B11588" i="3"/>
  <c r="D11587" i="3"/>
  <c r="C11587" i="3"/>
  <c r="B11587" i="3"/>
  <c r="D11586" i="3"/>
  <c r="C11586" i="3"/>
  <c r="B11586" i="3"/>
  <c r="D11585" i="3"/>
  <c r="C11585" i="3"/>
  <c r="B11585" i="3"/>
  <c r="D11584" i="3"/>
  <c r="C11584" i="3"/>
  <c r="B11584" i="3"/>
  <c r="D11583" i="3"/>
  <c r="C11583" i="3"/>
  <c r="B11583" i="3"/>
  <c r="D11582" i="3"/>
  <c r="C11582" i="3"/>
  <c r="B11582" i="3"/>
  <c r="D11581" i="3"/>
  <c r="C11581" i="3"/>
  <c r="B11581" i="3"/>
  <c r="D11580" i="3"/>
  <c r="C11580" i="3"/>
  <c r="B11580" i="3"/>
  <c r="D11579" i="3"/>
  <c r="C11579" i="3"/>
  <c r="B11579" i="3"/>
  <c r="D11578" i="3"/>
  <c r="C11578" i="3"/>
  <c r="B11578" i="3"/>
  <c r="D11577" i="3"/>
  <c r="C11577" i="3"/>
  <c r="B11577" i="3"/>
  <c r="D11576" i="3"/>
  <c r="C11576" i="3"/>
  <c r="B11576" i="3"/>
  <c r="D11575" i="3"/>
  <c r="C11575" i="3"/>
  <c r="B11575" i="3"/>
  <c r="D11574" i="3"/>
  <c r="C11574" i="3"/>
  <c r="B11574" i="3"/>
  <c r="D11573" i="3"/>
  <c r="C11573" i="3"/>
  <c r="B11573" i="3"/>
  <c r="D11572" i="3"/>
  <c r="C11572" i="3"/>
  <c r="B11572" i="3"/>
  <c r="D11571" i="3"/>
  <c r="C11571" i="3"/>
  <c r="B11571" i="3"/>
  <c r="D11570" i="3"/>
  <c r="C11570" i="3"/>
  <c r="B11570" i="3"/>
  <c r="D11569" i="3"/>
  <c r="C11569" i="3"/>
  <c r="B11569" i="3"/>
  <c r="D11568" i="3"/>
  <c r="C11568" i="3"/>
  <c r="B11568" i="3"/>
  <c r="D11567" i="3"/>
  <c r="C11567" i="3"/>
  <c r="B11567" i="3"/>
  <c r="D11566" i="3"/>
  <c r="C11566" i="3"/>
  <c r="B11566" i="3"/>
  <c r="D11565" i="3"/>
  <c r="C11565" i="3"/>
  <c r="B11565" i="3"/>
  <c r="D11564" i="3"/>
  <c r="C11564" i="3"/>
  <c r="B11564" i="3"/>
  <c r="D11563" i="3"/>
  <c r="C11563" i="3"/>
  <c r="B11563" i="3"/>
  <c r="D11562" i="3"/>
  <c r="C11562" i="3"/>
  <c r="B11562" i="3"/>
  <c r="D11561" i="3"/>
  <c r="C11561" i="3"/>
  <c r="B11561" i="3"/>
  <c r="D11560" i="3"/>
  <c r="C11560" i="3"/>
  <c r="B11560" i="3"/>
  <c r="D11559" i="3"/>
  <c r="C11559" i="3"/>
  <c r="B11559" i="3"/>
  <c r="D11558" i="3"/>
  <c r="C11558" i="3"/>
  <c r="B11558" i="3"/>
  <c r="D11557" i="3"/>
  <c r="C11557" i="3"/>
  <c r="B11557" i="3"/>
  <c r="D11556" i="3"/>
  <c r="C11556" i="3"/>
  <c r="B11556" i="3"/>
  <c r="D11555" i="3"/>
  <c r="C11555" i="3"/>
  <c r="B11555" i="3"/>
  <c r="D11554" i="3"/>
  <c r="C11554" i="3"/>
  <c r="B11554" i="3"/>
  <c r="D11553" i="3"/>
  <c r="C11553" i="3"/>
  <c r="B11553" i="3"/>
  <c r="D11552" i="3"/>
  <c r="C11552" i="3"/>
  <c r="B11552" i="3"/>
  <c r="D11551" i="3"/>
  <c r="C11551" i="3"/>
  <c r="B11551" i="3"/>
  <c r="D11550" i="3"/>
  <c r="C11550" i="3"/>
  <c r="B11550" i="3"/>
  <c r="D11549" i="3"/>
  <c r="C11549" i="3"/>
  <c r="B11549" i="3"/>
  <c r="D11548" i="3"/>
  <c r="C11548" i="3"/>
  <c r="B11548" i="3"/>
  <c r="D11547" i="3"/>
  <c r="C11547" i="3"/>
  <c r="B11547" i="3"/>
  <c r="D11546" i="3"/>
  <c r="C11546" i="3"/>
  <c r="B11546" i="3"/>
  <c r="D11545" i="3"/>
  <c r="C11545" i="3"/>
  <c r="B11545" i="3"/>
  <c r="D11544" i="3"/>
  <c r="C11544" i="3"/>
  <c r="B11544" i="3"/>
  <c r="D11543" i="3"/>
  <c r="C11543" i="3"/>
  <c r="B11543" i="3"/>
  <c r="D11542" i="3"/>
  <c r="C11542" i="3"/>
  <c r="B11542" i="3"/>
  <c r="D11541" i="3"/>
  <c r="C11541" i="3"/>
  <c r="B11541" i="3"/>
  <c r="D11540" i="3"/>
  <c r="C11540" i="3"/>
  <c r="B11540" i="3"/>
  <c r="D11539" i="3"/>
  <c r="C11539" i="3"/>
  <c r="B11539" i="3"/>
  <c r="D11538" i="3"/>
  <c r="C11538" i="3"/>
  <c r="B11538" i="3"/>
  <c r="D11537" i="3"/>
  <c r="C11537" i="3"/>
  <c r="B11537" i="3"/>
  <c r="D11536" i="3"/>
  <c r="C11536" i="3"/>
  <c r="B11536" i="3"/>
  <c r="D11535" i="3"/>
  <c r="C11535" i="3"/>
  <c r="B11535" i="3"/>
  <c r="D11534" i="3"/>
  <c r="C11534" i="3"/>
  <c r="B11534" i="3"/>
  <c r="D11533" i="3"/>
  <c r="C11533" i="3"/>
  <c r="B11533" i="3"/>
  <c r="D11532" i="3"/>
  <c r="C11532" i="3"/>
  <c r="B11532" i="3"/>
  <c r="D11531" i="3"/>
  <c r="C11531" i="3"/>
  <c r="B11531" i="3"/>
  <c r="D11530" i="3"/>
  <c r="C11530" i="3"/>
  <c r="B11530" i="3"/>
  <c r="D11529" i="3"/>
  <c r="C11529" i="3"/>
  <c r="B11529" i="3"/>
  <c r="D11528" i="3"/>
  <c r="C11528" i="3"/>
  <c r="B11528" i="3"/>
  <c r="D11527" i="3"/>
  <c r="C11527" i="3"/>
  <c r="B11527" i="3"/>
  <c r="D11526" i="3"/>
  <c r="C11526" i="3"/>
  <c r="B11526" i="3"/>
  <c r="D11525" i="3"/>
  <c r="C11525" i="3"/>
  <c r="B11525" i="3"/>
  <c r="D11524" i="3"/>
  <c r="C11524" i="3"/>
  <c r="B11524" i="3"/>
  <c r="D11523" i="3"/>
  <c r="C11523" i="3"/>
  <c r="B11523" i="3"/>
  <c r="D11522" i="3"/>
  <c r="C11522" i="3"/>
  <c r="B11522" i="3"/>
  <c r="D11521" i="3"/>
  <c r="C11521" i="3"/>
  <c r="B11521" i="3"/>
  <c r="D11520" i="3"/>
  <c r="C11520" i="3"/>
  <c r="B11520" i="3"/>
  <c r="D11519" i="3"/>
  <c r="C11519" i="3"/>
  <c r="B11519" i="3"/>
  <c r="D11518" i="3"/>
  <c r="C11518" i="3"/>
  <c r="B11518" i="3"/>
  <c r="D11517" i="3"/>
  <c r="C11517" i="3"/>
  <c r="B11517" i="3"/>
  <c r="D11516" i="3"/>
  <c r="C11516" i="3"/>
  <c r="B11516" i="3"/>
  <c r="D11515" i="3"/>
  <c r="C11515" i="3"/>
  <c r="B11515" i="3"/>
  <c r="D11514" i="3"/>
  <c r="C11514" i="3"/>
  <c r="B11514" i="3"/>
  <c r="D11513" i="3"/>
  <c r="C11513" i="3"/>
  <c r="B11513" i="3"/>
  <c r="D11512" i="3"/>
  <c r="C11512" i="3"/>
  <c r="B11512" i="3"/>
  <c r="D11511" i="3"/>
  <c r="C11511" i="3"/>
  <c r="B11511" i="3"/>
  <c r="D11510" i="3"/>
  <c r="C11510" i="3"/>
  <c r="B11510" i="3"/>
  <c r="D11509" i="3"/>
  <c r="C11509" i="3"/>
  <c r="B11509" i="3"/>
  <c r="D11508" i="3"/>
  <c r="C11508" i="3"/>
  <c r="B11508" i="3"/>
  <c r="D11507" i="3"/>
  <c r="C11507" i="3"/>
  <c r="B11507" i="3"/>
  <c r="D11506" i="3"/>
  <c r="C11506" i="3"/>
  <c r="B11506" i="3"/>
  <c r="D11505" i="3"/>
  <c r="C11505" i="3"/>
  <c r="B11505" i="3"/>
  <c r="D11504" i="3"/>
  <c r="C11504" i="3"/>
  <c r="B11504" i="3"/>
  <c r="D11503" i="3"/>
  <c r="C11503" i="3"/>
  <c r="B11503" i="3"/>
  <c r="D11502" i="3"/>
  <c r="C11502" i="3"/>
  <c r="B11502" i="3"/>
  <c r="D11501" i="3"/>
  <c r="C11501" i="3"/>
  <c r="B11501" i="3"/>
  <c r="D11500" i="3"/>
  <c r="C11500" i="3"/>
  <c r="B11500" i="3"/>
  <c r="D11499" i="3"/>
  <c r="C11499" i="3"/>
  <c r="B11499" i="3"/>
  <c r="D11498" i="3"/>
  <c r="C11498" i="3"/>
  <c r="B11498" i="3"/>
  <c r="D11497" i="3"/>
  <c r="C11497" i="3"/>
  <c r="B11497" i="3"/>
  <c r="D11496" i="3"/>
  <c r="C11496" i="3"/>
  <c r="B11496" i="3"/>
  <c r="D11495" i="3"/>
  <c r="C11495" i="3"/>
  <c r="B11495" i="3"/>
  <c r="D11494" i="3"/>
  <c r="C11494" i="3"/>
  <c r="B11494" i="3"/>
  <c r="D11493" i="3"/>
  <c r="C11493" i="3"/>
  <c r="B11493" i="3"/>
  <c r="D11492" i="3"/>
  <c r="C11492" i="3"/>
  <c r="B11492" i="3"/>
  <c r="D11491" i="3"/>
  <c r="C11491" i="3"/>
  <c r="B11491" i="3"/>
  <c r="D11490" i="3"/>
  <c r="C11490" i="3"/>
  <c r="B11490" i="3"/>
  <c r="D11489" i="3"/>
  <c r="C11489" i="3"/>
  <c r="B11489" i="3"/>
  <c r="D11488" i="3"/>
  <c r="C11488" i="3"/>
  <c r="B11488" i="3"/>
  <c r="D11487" i="3"/>
  <c r="C11487" i="3"/>
  <c r="B11487" i="3"/>
  <c r="D11486" i="3"/>
  <c r="C11486" i="3"/>
  <c r="B11486" i="3"/>
  <c r="D11485" i="3"/>
  <c r="C11485" i="3"/>
  <c r="B11485" i="3"/>
  <c r="D11484" i="3"/>
  <c r="C11484" i="3"/>
  <c r="B11484" i="3"/>
  <c r="D11483" i="3"/>
  <c r="C11483" i="3"/>
  <c r="B11483" i="3"/>
  <c r="D11482" i="3"/>
  <c r="C11482" i="3"/>
  <c r="B11482" i="3"/>
  <c r="D11481" i="3"/>
  <c r="C11481" i="3"/>
  <c r="B11481" i="3"/>
  <c r="D11480" i="3"/>
  <c r="C11480" i="3"/>
  <c r="B11480" i="3"/>
  <c r="D11479" i="3"/>
  <c r="C11479" i="3"/>
  <c r="B11479" i="3"/>
  <c r="D11478" i="3"/>
  <c r="C11478" i="3"/>
  <c r="B11478" i="3"/>
  <c r="D11477" i="3"/>
  <c r="C11477" i="3"/>
  <c r="B11477" i="3"/>
  <c r="D11476" i="3"/>
  <c r="C11476" i="3"/>
  <c r="B11476" i="3"/>
  <c r="D11475" i="3"/>
  <c r="C11475" i="3"/>
  <c r="B11475" i="3"/>
  <c r="D11474" i="3"/>
  <c r="C11474" i="3"/>
  <c r="B11474" i="3"/>
  <c r="D11473" i="3"/>
  <c r="C11473" i="3"/>
  <c r="B11473" i="3"/>
  <c r="D11472" i="3"/>
  <c r="C11472" i="3"/>
  <c r="B11472" i="3"/>
  <c r="D11471" i="3"/>
  <c r="C11471" i="3"/>
  <c r="B11471" i="3"/>
  <c r="D11470" i="3"/>
  <c r="C11470" i="3"/>
  <c r="B11470" i="3"/>
  <c r="D11469" i="3"/>
  <c r="C11469" i="3"/>
  <c r="B11469" i="3"/>
  <c r="D11468" i="3"/>
  <c r="C11468" i="3"/>
  <c r="B11468" i="3"/>
  <c r="D11467" i="3"/>
  <c r="C11467" i="3"/>
  <c r="B11467" i="3"/>
  <c r="D11466" i="3"/>
  <c r="C11466" i="3"/>
  <c r="B11466" i="3"/>
  <c r="D11465" i="3"/>
  <c r="C11465" i="3"/>
  <c r="B11465" i="3"/>
  <c r="D11464" i="3"/>
  <c r="C11464" i="3"/>
  <c r="B11464" i="3"/>
  <c r="D11463" i="3"/>
  <c r="C11463" i="3"/>
  <c r="B11463" i="3"/>
  <c r="D11462" i="3"/>
  <c r="C11462" i="3"/>
  <c r="B11462" i="3"/>
  <c r="D11461" i="3"/>
  <c r="C11461" i="3"/>
  <c r="B11461" i="3"/>
  <c r="D11460" i="3"/>
  <c r="C11460" i="3"/>
  <c r="B11460" i="3"/>
  <c r="D11459" i="3"/>
  <c r="C11459" i="3"/>
  <c r="B11459" i="3"/>
  <c r="D11458" i="3"/>
  <c r="C11458" i="3"/>
  <c r="B11458" i="3"/>
  <c r="D11457" i="3"/>
  <c r="C11457" i="3"/>
  <c r="B11457" i="3"/>
  <c r="D11456" i="3"/>
  <c r="C11456" i="3"/>
  <c r="B11456" i="3"/>
  <c r="D11455" i="3"/>
  <c r="C11455" i="3"/>
  <c r="B11455" i="3"/>
  <c r="D11454" i="3"/>
  <c r="C11454" i="3"/>
  <c r="B11454" i="3"/>
  <c r="D11453" i="3"/>
  <c r="C11453" i="3"/>
  <c r="B11453" i="3"/>
  <c r="D11452" i="3"/>
  <c r="C11452" i="3"/>
  <c r="B11452" i="3"/>
  <c r="D11451" i="3"/>
  <c r="C11451" i="3"/>
  <c r="B11451" i="3"/>
  <c r="D11450" i="3"/>
  <c r="C11450" i="3"/>
  <c r="B11450" i="3"/>
  <c r="D11449" i="3"/>
  <c r="C11449" i="3"/>
  <c r="B11449" i="3"/>
  <c r="D11448" i="3"/>
  <c r="C11448" i="3"/>
  <c r="B11448" i="3"/>
  <c r="D11447" i="3"/>
  <c r="C11447" i="3"/>
  <c r="B11447" i="3"/>
  <c r="D11446" i="3"/>
  <c r="C11446" i="3"/>
  <c r="B11446" i="3"/>
  <c r="D11445" i="3"/>
  <c r="C11445" i="3"/>
  <c r="B11445" i="3"/>
  <c r="D11444" i="3"/>
  <c r="C11444" i="3"/>
  <c r="B11444" i="3"/>
  <c r="D11443" i="3"/>
  <c r="C11443" i="3"/>
  <c r="B11443" i="3"/>
  <c r="D11442" i="3"/>
  <c r="C11442" i="3"/>
  <c r="B11442" i="3"/>
  <c r="D11441" i="3"/>
  <c r="C11441" i="3"/>
  <c r="B11441" i="3"/>
  <c r="D11440" i="3"/>
  <c r="C11440" i="3"/>
  <c r="B11440" i="3"/>
  <c r="D11439" i="3"/>
  <c r="C11439" i="3"/>
  <c r="B11439" i="3"/>
  <c r="D11438" i="3"/>
  <c r="C11438" i="3"/>
  <c r="B11438" i="3"/>
  <c r="D11437" i="3"/>
  <c r="C11437" i="3"/>
  <c r="B11437" i="3"/>
  <c r="D11436" i="3"/>
  <c r="C11436" i="3"/>
  <c r="B11436" i="3"/>
  <c r="D11435" i="3"/>
  <c r="C11435" i="3"/>
  <c r="B11435" i="3"/>
  <c r="D11434" i="3"/>
  <c r="C11434" i="3"/>
  <c r="B11434" i="3"/>
  <c r="D11433" i="3"/>
  <c r="C11433" i="3"/>
  <c r="B11433" i="3"/>
  <c r="D11432" i="3"/>
  <c r="C11432" i="3"/>
  <c r="B11432" i="3"/>
  <c r="D11431" i="3"/>
  <c r="C11431" i="3"/>
  <c r="B11431" i="3"/>
  <c r="D11430" i="3"/>
  <c r="C11430" i="3"/>
  <c r="B11430" i="3"/>
  <c r="D11429" i="3"/>
  <c r="C11429" i="3"/>
  <c r="B11429" i="3"/>
  <c r="D11428" i="3"/>
  <c r="C11428" i="3"/>
  <c r="B11428" i="3"/>
  <c r="D11427" i="3"/>
  <c r="C11427" i="3"/>
  <c r="B11427" i="3"/>
  <c r="D11426" i="3"/>
  <c r="C11426" i="3"/>
  <c r="B11426" i="3"/>
  <c r="D11425" i="3"/>
  <c r="C11425" i="3"/>
  <c r="B11425" i="3"/>
  <c r="D11424" i="3"/>
  <c r="C11424" i="3"/>
  <c r="B11424" i="3"/>
  <c r="D11423" i="3"/>
  <c r="C11423" i="3"/>
  <c r="B11423" i="3"/>
  <c r="D11422" i="3"/>
  <c r="C11422" i="3"/>
  <c r="B11422" i="3"/>
  <c r="D11421" i="3"/>
  <c r="C11421" i="3"/>
  <c r="B11421" i="3"/>
  <c r="D11420" i="3"/>
  <c r="C11420" i="3"/>
  <c r="B11420" i="3"/>
  <c r="D11419" i="3"/>
  <c r="C11419" i="3"/>
  <c r="B11419" i="3"/>
  <c r="D11418" i="3"/>
  <c r="C11418" i="3"/>
  <c r="B11418" i="3"/>
  <c r="D11417" i="3"/>
  <c r="C11417" i="3"/>
  <c r="B11417" i="3"/>
  <c r="D11416" i="3"/>
  <c r="C11416" i="3"/>
  <c r="B11416" i="3"/>
  <c r="D11415" i="3"/>
  <c r="C11415" i="3"/>
  <c r="B11415" i="3"/>
  <c r="D11414" i="3"/>
  <c r="C11414" i="3"/>
  <c r="B11414" i="3"/>
  <c r="D11413" i="3"/>
  <c r="C11413" i="3"/>
  <c r="B11413" i="3"/>
  <c r="D11412" i="3"/>
  <c r="C11412" i="3"/>
  <c r="B11412" i="3"/>
  <c r="D11411" i="3"/>
  <c r="C11411" i="3"/>
  <c r="B11411" i="3"/>
  <c r="D11410" i="3"/>
  <c r="C11410" i="3"/>
  <c r="B11410" i="3"/>
  <c r="D11409" i="3"/>
  <c r="C11409" i="3"/>
  <c r="B11409" i="3"/>
  <c r="D11408" i="3"/>
  <c r="C11408" i="3"/>
  <c r="B11408" i="3"/>
  <c r="D11407" i="3"/>
  <c r="C11407" i="3"/>
  <c r="B11407" i="3"/>
  <c r="D11406" i="3"/>
  <c r="C11406" i="3"/>
  <c r="B11406" i="3"/>
  <c r="D11405" i="3"/>
  <c r="C11405" i="3"/>
  <c r="B11405" i="3"/>
  <c r="D11404" i="3"/>
  <c r="C11404" i="3"/>
  <c r="B11404" i="3"/>
  <c r="D11403" i="3"/>
  <c r="C11403" i="3"/>
  <c r="B11403" i="3"/>
  <c r="D11402" i="3"/>
  <c r="C11402" i="3"/>
  <c r="B11402" i="3"/>
  <c r="D11401" i="3"/>
  <c r="C11401" i="3"/>
  <c r="B11401" i="3"/>
  <c r="D11400" i="3"/>
  <c r="C11400" i="3"/>
  <c r="B11400" i="3"/>
  <c r="D11399" i="3"/>
  <c r="C11399" i="3"/>
  <c r="B11399" i="3"/>
  <c r="D11398" i="3"/>
  <c r="C11398" i="3"/>
  <c r="B11398" i="3"/>
  <c r="D11397" i="3"/>
  <c r="C11397" i="3"/>
  <c r="B11397" i="3"/>
  <c r="D11396" i="3"/>
  <c r="C11396" i="3"/>
  <c r="B11396" i="3"/>
  <c r="D11395" i="3"/>
  <c r="C11395" i="3"/>
  <c r="B11395" i="3"/>
  <c r="D11394" i="3"/>
  <c r="C11394" i="3"/>
  <c r="B11394" i="3"/>
  <c r="D11393" i="3"/>
  <c r="C11393" i="3"/>
  <c r="B11393" i="3"/>
  <c r="D11392" i="3"/>
  <c r="C11392" i="3"/>
  <c r="B11392" i="3"/>
  <c r="D11391" i="3"/>
  <c r="C11391" i="3"/>
  <c r="B11391" i="3"/>
  <c r="D11390" i="3"/>
  <c r="C11390" i="3"/>
  <c r="B11390" i="3"/>
  <c r="D11389" i="3"/>
  <c r="C11389" i="3"/>
  <c r="B11389" i="3"/>
  <c r="D11388" i="3"/>
  <c r="C11388" i="3"/>
  <c r="B11388" i="3"/>
  <c r="D11387" i="3"/>
  <c r="C11387" i="3"/>
  <c r="B11387" i="3"/>
  <c r="D11386" i="3"/>
  <c r="C11386" i="3"/>
  <c r="B11386" i="3"/>
  <c r="D11385" i="3"/>
  <c r="C11385" i="3"/>
  <c r="B11385" i="3"/>
  <c r="D11384" i="3"/>
  <c r="C11384" i="3"/>
  <c r="B11384" i="3"/>
  <c r="D11383" i="3"/>
  <c r="C11383" i="3"/>
  <c r="B11383" i="3"/>
  <c r="D11382" i="3"/>
  <c r="C11382" i="3"/>
  <c r="B11382" i="3"/>
  <c r="D11381" i="3"/>
  <c r="C11381" i="3"/>
  <c r="B11381" i="3"/>
  <c r="D11380" i="3"/>
  <c r="C11380" i="3"/>
  <c r="B11380" i="3"/>
  <c r="D11379" i="3"/>
  <c r="C11379" i="3"/>
  <c r="B11379" i="3"/>
  <c r="D11378" i="3"/>
  <c r="C11378" i="3"/>
  <c r="B11378" i="3"/>
  <c r="D11377" i="3"/>
  <c r="C11377" i="3"/>
  <c r="B11377" i="3"/>
  <c r="D11376" i="3"/>
  <c r="C11376" i="3"/>
  <c r="B11376" i="3"/>
  <c r="D11375" i="3"/>
  <c r="C11375" i="3"/>
  <c r="B11375" i="3"/>
  <c r="D11374" i="3"/>
  <c r="C11374" i="3"/>
  <c r="B11374" i="3"/>
  <c r="D11373" i="3"/>
  <c r="C11373" i="3"/>
  <c r="B11373" i="3"/>
  <c r="D11372" i="3"/>
  <c r="C11372" i="3"/>
  <c r="B11372" i="3"/>
  <c r="D11371" i="3"/>
  <c r="C11371" i="3"/>
  <c r="B11371" i="3"/>
  <c r="D11370" i="3"/>
  <c r="C11370" i="3"/>
  <c r="B11370" i="3"/>
  <c r="D11369" i="3"/>
  <c r="C11369" i="3"/>
  <c r="B11369" i="3"/>
  <c r="D11368" i="3"/>
  <c r="C11368" i="3"/>
  <c r="B11368" i="3"/>
  <c r="D11367" i="3"/>
  <c r="C11367" i="3"/>
  <c r="B11367" i="3"/>
  <c r="D11366" i="3"/>
  <c r="C11366" i="3"/>
  <c r="B11366" i="3"/>
  <c r="D11365" i="3"/>
  <c r="C11365" i="3"/>
  <c r="B11365" i="3"/>
  <c r="D11364" i="3"/>
  <c r="C11364" i="3"/>
  <c r="B11364" i="3"/>
  <c r="D11363" i="3"/>
  <c r="C11363" i="3"/>
  <c r="B11363" i="3"/>
  <c r="D11362" i="3"/>
  <c r="C11362" i="3"/>
  <c r="B11362" i="3"/>
  <c r="D11361" i="3"/>
  <c r="C11361" i="3"/>
  <c r="B11361" i="3"/>
  <c r="D11360" i="3"/>
  <c r="C11360" i="3"/>
  <c r="B11360" i="3"/>
  <c r="D11359" i="3"/>
  <c r="C11359" i="3"/>
  <c r="B11359" i="3"/>
  <c r="D11358" i="3"/>
  <c r="C11358" i="3"/>
  <c r="B11358" i="3"/>
  <c r="D11357" i="3"/>
  <c r="C11357" i="3"/>
  <c r="B11357" i="3"/>
  <c r="D11356" i="3"/>
  <c r="C11356" i="3"/>
  <c r="B11356" i="3"/>
  <c r="D11355" i="3"/>
  <c r="C11355" i="3"/>
  <c r="B11355" i="3"/>
  <c r="D11354" i="3"/>
  <c r="C11354" i="3"/>
  <c r="B11354" i="3"/>
  <c r="D11353" i="3"/>
  <c r="C11353" i="3"/>
  <c r="B11353" i="3"/>
  <c r="D11352" i="3"/>
  <c r="C11352" i="3"/>
  <c r="B11352" i="3"/>
  <c r="D11351" i="3"/>
  <c r="C11351" i="3"/>
  <c r="B11351" i="3"/>
  <c r="D11350" i="3"/>
  <c r="C11350" i="3"/>
  <c r="B11350" i="3"/>
  <c r="D11349" i="3"/>
  <c r="C11349" i="3"/>
  <c r="B11349" i="3"/>
  <c r="D11348" i="3"/>
  <c r="C11348" i="3"/>
  <c r="B11348" i="3"/>
  <c r="D11347" i="3"/>
  <c r="C11347" i="3"/>
  <c r="B11347" i="3"/>
  <c r="D11346" i="3"/>
  <c r="C11346" i="3"/>
  <c r="B11346" i="3"/>
  <c r="D11345" i="3"/>
  <c r="C11345" i="3"/>
  <c r="B11345" i="3"/>
  <c r="D11344" i="3"/>
  <c r="C11344" i="3"/>
  <c r="B11344" i="3"/>
  <c r="D11343" i="3"/>
  <c r="C11343" i="3"/>
  <c r="B11343" i="3"/>
  <c r="D11342" i="3"/>
  <c r="C11342" i="3"/>
  <c r="B11342" i="3"/>
  <c r="D11341" i="3"/>
  <c r="C11341" i="3"/>
  <c r="B11341" i="3"/>
  <c r="D11340" i="3"/>
  <c r="C11340" i="3"/>
  <c r="B11340" i="3"/>
  <c r="D11339" i="3"/>
  <c r="C11339" i="3"/>
  <c r="B11339" i="3"/>
  <c r="D11338" i="3"/>
  <c r="C11338" i="3"/>
  <c r="B11338" i="3"/>
  <c r="D11337" i="3"/>
  <c r="C11337" i="3"/>
  <c r="B11337" i="3"/>
  <c r="D11336" i="3"/>
  <c r="C11336" i="3"/>
  <c r="B11336" i="3"/>
  <c r="D11335" i="3"/>
  <c r="C11335" i="3"/>
  <c r="B11335" i="3"/>
  <c r="D11334" i="3"/>
  <c r="C11334" i="3"/>
  <c r="B11334" i="3"/>
  <c r="D11333" i="3"/>
  <c r="C11333" i="3"/>
  <c r="B11333" i="3"/>
  <c r="D11332" i="3"/>
  <c r="C11332" i="3"/>
  <c r="B11332" i="3"/>
  <c r="D11331" i="3"/>
  <c r="C11331" i="3"/>
  <c r="B11331" i="3"/>
  <c r="D11330" i="3"/>
  <c r="C11330" i="3"/>
  <c r="B11330" i="3"/>
  <c r="D11329" i="3"/>
  <c r="C11329" i="3"/>
  <c r="B11329" i="3"/>
  <c r="D11328" i="3"/>
  <c r="C11328" i="3"/>
  <c r="B11328" i="3"/>
  <c r="D11327" i="3"/>
  <c r="C11327" i="3"/>
  <c r="B11327" i="3"/>
  <c r="D11326" i="3"/>
  <c r="C11326" i="3"/>
  <c r="B11326" i="3"/>
  <c r="D11325" i="3"/>
  <c r="C11325" i="3"/>
  <c r="B11325" i="3"/>
  <c r="D11324" i="3"/>
  <c r="C11324" i="3"/>
  <c r="B11324" i="3"/>
  <c r="D11323" i="3"/>
  <c r="C11323" i="3"/>
  <c r="B11323" i="3"/>
  <c r="D11322" i="3"/>
  <c r="C11322" i="3"/>
  <c r="B11322" i="3"/>
  <c r="D11321" i="3"/>
  <c r="C11321" i="3"/>
  <c r="B11321" i="3"/>
  <c r="D11320" i="3"/>
  <c r="C11320" i="3"/>
  <c r="B11320" i="3"/>
  <c r="D11319" i="3"/>
  <c r="C11319" i="3"/>
  <c r="B11319" i="3"/>
  <c r="D11318" i="3"/>
  <c r="C11318" i="3"/>
  <c r="B11318" i="3"/>
  <c r="D11317" i="3"/>
  <c r="C11317" i="3"/>
  <c r="B11317" i="3"/>
  <c r="D11316" i="3"/>
  <c r="C11316" i="3"/>
  <c r="B11316" i="3"/>
  <c r="D11315" i="3"/>
  <c r="C11315" i="3"/>
  <c r="B11315" i="3"/>
  <c r="D11314" i="3"/>
  <c r="C11314" i="3"/>
  <c r="B11314" i="3"/>
  <c r="D11313" i="3"/>
  <c r="C11313" i="3"/>
  <c r="B11313" i="3"/>
  <c r="D11312" i="3"/>
  <c r="C11312" i="3"/>
  <c r="B11312" i="3"/>
  <c r="D11311" i="3"/>
  <c r="C11311" i="3"/>
  <c r="B11311" i="3"/>
  <c r="D11310" i="3"/>
  <c r="C11310" i="3"/>
  <c r="B11310" i="3"/>
  <c r="D11309" i="3"/>
  <c r="C11309" i="3"/>
  <c r="B11309" i="3"/>
  <c r="D11308" i="3"/>
  <c r="C11308" i="3"/>
  <c r="B11308" i="3"/>
  <c r="D11307" i="3"/>
  <c r="C11307" i="3"/>
  <c r="B11307" i="3"/>
  <c r="D11306" i="3"/>
  <c r="C11306" i="3"/>
  <c r="B11306" i="3"/>
  <c r="D11305" i="3"/>
  <c r="C11305" i="3"/>
  <c r="B11305" i="3"/>
  <c r="D11304" i="3"/>
  <c r="C11304" i="3"/>
  <c r="B11304" i="3"/>
  <c r="D11303" i="3"/>
  <c r="C11303" i="3"/>
  <c r="B11303" i="3"/>
  <c r="D11302" i="3"/>
  <c r="C11302" i="3"/>
  <c r="B11302" i="3"/>
  <c r="D11301" i="3"/>
  <c r="C11301" i="3"/>
  <c r="B11301" i="3"/>
  <c r="D11300" i="3"/>
  <c r="C11300" i="3"/>
  <c r="B11300" i="3"/>
  <c r="D11299" i="3"/>
  <c r="C11299" i="3"/>
  <c r="B11299" i="3"/>
  <c r="D11298" i="3"/>
  <c r="C11298" i="3"/>
  <c r="B11298" i="3"/>
  <c r="D11297" i="3"/>
  <c r="C11297" i="3"/>
  <c r="B11297" i="3"/>
  <c r="D11296" i="3"/>
  <c r="C11296" i="3"/>
  <c r="B11296" i="3"/>
  <c r="D11295" i="3"/>
  <c r="C11295" i="3"/>
  <c r="B11295" i="3"/>
  <c r="D11294" i="3"/>
  <c r="C11294" i="3"/>
  <c r="B11294" i="3"/>
  <c r="D11293" i="3"/>
  <c r="C11293" i="3"/>
  <c r="B11293" i="3"/>
  <c r="D11292" i="3"/>
  <c r="C11292" i="3"/>
  <c r="B11292" i="3"/>
  <c r="D11291" i="3"/>
  <c r="C11291" i="3"/>
  <c r="B11291" i="3"/>
  <c r="D11290" i="3"/>
  <c r="C11290" i="3"/>
  <c r="B11290" i="3"/>
  <c r="D11289" i="3"/>
  <c r="C11289" i="3"/>
  <c r="B11289" i="3"/>
  <c r="D11288" i="3"/>
  <c r="C11288" i="3"/>
  <c r="B11288" i="3"/>
  <c r="D11287" i="3"/>
  <c r="C11287" i="3"/>
  <c r="B11287" i="3"/>
  <c r="D11286" i="3"/>
  <c r="C11286" i="3"/>
  <c r="B11286" i="3"/>
  <c r="D11285" i="3"/>
  <c r="C11285" i="3"/>
  <c r="B11285" i="3"/>
  <c r="D11284" i="3"/>
  <c r="C11284" i="3"/>
  <c r="B11284" i="3"/>
  <c r="D11283" i="3"/>
  <c r="C11283" i="3"/>
  <c r="B11283" i="3"/>
  <c r="D11282" i="3"/>
  <c r="C11282" i="3"/>
  <c r="B11282" i="3"/>
  <c r="D11281" i="3"/>
  <c r="C11281" i="3"/>
  <c r="B11281" i="3"/>
  <c r="D11280" i="3"/>
  <c r="C11280" i="3"/>
  <c r="B11280" i="3"/>
  <c r="D11279" i="3"/>
  <c r="C11279" i="3"/>
  <c r="B11279" i="3"/>
  <c r="D11278" i="3"/>
  <c r="C11278" i="3"/>
  <c r="B11278" i="3"/>
  <c r="D11277" i="3"/>
  <c r="C11277" i="3"/>
  <c r="B11277" i="3"/>
  <c r="D11276" i="3"/>
  <c r="C11276" i="3"/>
  <c r="B11276" i="3"/>
  <c r="D11275" i="3"/>
  <c r="C11275" i="3"/>
  <c r="B11275" i="3"/>
  <c r="D11274" i="3"/>
  <c r="C11274" i="3"/>
  <c r="B11274" i="3"/>
  <c r="D11273" i="3"/>
  <c r="C11273" i="3"/>
  <c r="B11273" i="3"/>
  <c r="D11272" i="3"/>
  <c r="C11272" i="3"/>
  <c r="B11272" i="3"/>
  <c r="D11271" i="3"/>
  <c r="C11271" i="3"/>
  <c r="B11271" i="3"/>
  <c r="D11270" i="3"/>
  <c r="C11270" i="3"/>
  <c r="B11270" i="3"/>
  <c r="D11269" i="3"/>
  <c r="C11269" i="3"/>
  <c r="B11269" i="3"/>
  <c r="D11268" i="3"/>
  <c r="C11268" i="3"/>
  <c r="B11268" i="3"/>
  <c r="D11267" i="3"/>
  <c r="C11267" i="3"/>
  <c r="B11267" i="3"/>
  <c r="D11266" i="3"/>
  <c r="C11266" i="3"/>
  <c r="B11266" i="3"/>
  <c r="D11265" i="3"/>
  <c r="C11265" i="3"/>
  <c r="B11265" i="3"/>
  <c r="D11264" i="3"/>
  <c r="C11264" i="3"/>
  <c r="B11264" i="3"/>
  <c r="D11263" i="3"/>
  <c r="C11263" i="3"/>
  <c r="B11263" i="3"/>
  <c r="D11262" i="3"/>
  <c r="C11262" i="3"/>
  <c r="B11262" i="3"/>
  <c r="D11261" i="3"/>
  <c r="C11261" i="3"/>
  <c r="B11261" i="3"/>
  <c r="D11260" i="3"/>
  <c r="C11260" i="3"/>
  <c r="B11260" i="3"/>
  <c r="D11259" i="3"/>
  <c r="C11259" i="3"/>
  <c r="B11259" i="3"/>
  <c r="D11258" i="3"/>
  <c r="C11258" i="3"/>
  <c r="B11258" i="3"/>
  <c r="D11257" i="3"/>
  <c r="C11257" i="3"/>
  <c r="B11257" i="3"/>
  <c r="D11256" i="3"/>
  <c r="C11256" i="3"/>
  <c r="B11256" i="3"/>
  <c r="D11255" i="3"/>
  <c r="C11255" i="3"/>
  <c r="B11255" i="3"/>
  <c r="D11254" i="3"/>
  <c r="C11254" i="3"/>
  <c r="B11254" i="3"/>
  <c r="D11253" i="3"/>
  <c r="C11253" i="3"/>
  <c r="B11253" i="3"/>
  <c r="D11252" i="3"/>
  <c r="C11252" i="3"/>
  <c r="B11252" i="3"/>
  <c r="D11251" i="3"/>
  <c r="C11251" i="3"/>
  <c r="B11251" i="3"/>
  <c r="D11250" i="3"/>
  <c r="C11250" i="3"/>
  <c r="B11250" i="3"/>
  <c r="D11249" i="3"/>
  <c r="C11249" i="3"/>
  <c r="B11249" i="3"/>
  <c r="D11248" i="3"/>
  <c r="C11248" i="3"/>
  <c r="B11248" i="3"/>
  <c r="D11247" i="3"/>
  <c r="C11247" i="3"/>
  <c r="B11247" i="3"/>
  <c r="D11246" i="3"/>
  <c r="C11246" i="3"/>
  <c r="B11246" i="3"/>
  <c r="D11245" i="3"/>
  <c r="C11245" i="3"/>
  <c r="B11245" i="3"/>
  <c r="D11244" i="3"/>
  <c r="C11244" i="3"/>
  <c r="B11244" i="3"/>
  <c r="D11243" i="3"/>
  <c r="C11243" i="3"/>
  <c r="B11243" i="3"/>
  <c r="D11242" i="3"/>
  <c r="C11242" i="3"/>
  <c r="B11242" i="3"/>
  <c r="D11241" i="3"/>
  <c r="C11241" i="3"/>
  <c r="B11241" i="3"/>
  <c r="D11240" i="3"/>
  <c r="C11240" i="3"/>
  <c r="B11240" i="3"/>
  <c r="D11239" i="3"/>
  <c r="C11239" i="3"/>
  <c r="B11239" i="3"/>
  <c r="D11238" i="3"/>
  <c r="C11238" i="3"/>
  <c r="B11238" i="3"/>
  <c r="D11237" i="3"/>
  <c r="C11237" i="3"/>
  <c r="B11237" i="3"/>
  <c r="D11236" i="3"/>
  <c r="C11236" i="3"/>
  <c r="B11236" i="3"/>
  <c r="D11235" i="3"/>
  <c r="C11235" i="3"/>
  <c r="B11235" i="3"/>
  <c r="D11234" i="3"/>
  <c r="C11234" i="3"/>
  <c r="B11234" i="3"/>
  <c r="D11233" i="3"/>
  <c r="C11233" i="3"/>
  <c r="B11233" i="3"/>
  <c r="D11232" i="3"/>
  <c r="C11232" i="3"/>
  <c r="B11232" i="3"/>
  <c r="D11231" i="3"/>
  <c r="C11231" i="3"/>
  <c r="B11231" i="3"/>
  <c r="D11230" i="3"/>
  <c r="C11230" i="3"/>
  <c r="B11230" i="3"/>
  <c r="D11229" i="3"/>
  <c r="C11229" i="3"/>
  <c r="B11229" i="3"/>
  <c r="D11228" i="3"/>
  <c r="C11228" i="3"/>
  <c r="B11228" i="3"/>
  <c r="D11227" i="3"/>
  <c r="C11227" i="3"/>
  <c r="B11227" i="3"/>
  <c r="D11226" i="3"/>
  <c r="C11226" i="3"/>
  <c r="B11226" i="3"/>
  <c r="D11225" i="3"/>
  <c r="C11225" i="3"/>
  <c r="B11225" i="3"/>
  <c r="D11224" i="3"/>
  <c r="C11224" i="3"/>
  <c r="B11224" i="3"/>
  <c r="D11223" i="3"/>
  <c r="C11223" i="3"/>
  <c r="B11223" i="3"/>
  <c r="D11222" i="3"/>
  <c r="C11222" i="3"/>
  <c r="B11222" i="3"/>
  <c r="D11221" i="3"/>
  <c r="C11221" i="3"/>
  <c r="B11221" i="3"/>
  <c r="D11220" i="3"/>
  <c r="C11220" i="3"/>
  <c r="B11220" i="3"/>
  <c r="D11219" i="3"/>
  <c r="C11219" i="3"/>
  <c r="B11219" i="3"/>
  <c r="D11218" i="3"/>
  <c r="C11218" i="3"/>
  <c r="B11218" i="3"/>
  <c r="D11217" i="3"/>
  <c r="C11217" i="3"/>
  <c r="B11217" i="3"/>
  <c r="D11216" i="3"/>
  <c r="C11216" i="3"/>
  <c r="B11216" i="3"/>
  <c r="D11215" i="3"/>
  <c r="C11215" i="3"/>
  <c r="B11215" i="3"/>
  <c r="D11214" i="3"/>
  <c r="C11214" i="3"/>
  <c r="B11214" i="3"/>
  <c r="D11213" i="3"/>
  <c r="C11213" i="3"/>
  <c r="B11213" i="3"/>
  <c r="D11212" i="3"/>
  <c r="C11212" i="3"/>
  <c r="B11212" i="3"/>
  <c r="D11211" i="3"/>
  <c r="C11211" i="3"/>
  <c r="B11211" i="3"/>
  <c r="D11210" i="3"/>
  <c r="C11210" i="3"/>
  <c r="B11210" i="3"/>
  <c r="D11209" i="3"/>
  <c r="C11209" i="3"/>
  <c r="B11209" i="3"/>
  <c r="D11208" i="3"/>
  <c r="C11208" i="3"/>
  <c r="B11208" i="3"/>
  <c r="D11207" i="3"/>
  <c r="C11207" i="3"/>
  <c r="B11207" i="3"/>
  <c r="D11206" i="3"/>
  <c r="C11206" i="3"/>
  <c r="B11206" i="3"/>
  <c r="D11205" i="3"/>
  <c r="C11205" i="3"/>
  <c r="B11205" i="3"/>
  <c r="D11204" i="3"/>
  <c r="C11204" i="3"/>
  <c r="B11204" i="3"/>
  <c r="D11203" i="3"/>
  <c r="C11203" i="3"/>
  <c r="B11203" i="3"/>
  <c r="D11202" i="3"/>
  <c r="C11202" i="3"/>
  <c r="B11202" i="3"/>
  <c r="D11201" i="3"/>
  <c r="C11201" i="3"/>
  <c r="B11201" i="3"/>
  <c r="D11200" i="3"/>
  <c r="C11200" i="3"/>
  <c r="B11200" i="3"/>
  <c r="D11199" i="3"/>
  <c r="C11199" i="3"/>
  <c r="B11199" i="3"/>
  <c r="D11198" i="3"/>
  <c r="C11198" i="3"/>
  <c r="B11198" i="3"/>
  <c r="D11197" i="3"/>
  <c r="C11197" i="3"/>
  <c r="B11197" i="3"/>
  <c r="D11196" i="3"/>
  <c r="C11196" i="3"/>
  <c r="B11196" i="3"/>
  <c r="D11195" i="3"/>
  <c r="C11195" i="3"/>
  <c r="B11195" i="3"/>
  <c r="D11194" i="3"/>
  <c r="C11194" i="3"/>
  <c r="B11194" i="3"/>
  <c r="D11193" i="3"/>
  <c r="C11193" i="3"/>
  <c r="B11193" i="3"/>
  <c r="D11192" i="3"/>
  <c r="C11192" i="3"/>
  <c r="B11192" i="3"/>
  <c r="D11191" i="3"/>
  <c r="C11191" i="3"/>
  <c r="B11191" i="3"/>
  <c r="D11190" i="3"/>
  <c r="C11190" i="3"/>
  <c r="B11190" i="3"/>
  <c r="D11189" i="3"/>
  <c r="C11189" i="3"/>
  <c r="B11189" i="3"/>
  <c r="D11188" i="3"/>
  <c r="C11188" i="3"/>
  <c r="B11188" i="3"/>
  <c r="D11187" i="3"/>
  <c r="C11187" i="3"/>
  <c r="B11187" i="3"/>
  <c r="D11186" i="3"/>
  <c r="C11186" i="3"/>
  <c r="B11186" i="3"/>
  <c r="D11185" i="3"/>
  <c r="C11185" i="3"/>
  <c r="B11185" i="3"/>
  <c r="D11184" i="3"/>
  <c r="C11184" i="3"/>
  <c r="B11184" i="3"/>
  <c r="D11183" i="3"/>
  <c r="C11183" i="3"/>
  <c r="B11183" i="3"/>
  <c r="D11182" i="3"/>
  <c r="C11182" i="3"/>
  <c r="B11182" i="3"/>
  <c r="D11181" i="3"/>
  <c r="C11181" i="3"/>
  <c r="B11181" i="3"/>
  <c r="D11180" i="3"/>
  <c r="C11180" i="3"/>
  <c r="B11180" i="3"/>
  <c r="D11179" i="3"/>
  <c r="C11179" i="3"/>
  <c r="B11179" i="3"/>
  <c r="D11178" i="3"/>
  <c r="C11178" i="3"/>
  <c r="B11178" i="3"/>
  <c r="D11177" i="3"/>
  <c r="C11177" i="3"/>
  <c r="B11177" i="3"/>
  <c r="D11176" i="3"/>
  <c r="C11176" i="3"/>
  <c r="B11176" i="3"/>
  <c r="D11175" i="3"/>
  <c r="C11175" i="3"/>
  <c r="B11175" i="3"/>
  <c r="D11174" i="3"/>
  <c r="C11174" i="3"/>
  <c r="B11174" i="3"/>
  <c r="D11173" i="3"/>
  <c r="C11173" i="3"/>
  <c r="B11173" i="3"/>
  <c r="D11172" i="3"/>
  <c r="C11172" i="3"/>
  <c r="B11172" i="3"/>
  <c r="D11171" i="3"/>
  <c r="C11171" i="3"/>
  <c r="B11171" i="3"/>
  <c r="D11170" i="3"/>
  <c r="C11170" i="3"/>
  <c r="B11170" i="3"/>
  <c r="D11169" i="3"/>
  <c r="C11169" i="3"/>
  <c r="B11169" i="3"/>
  <c r="D11168" i="3"/>
  <c r="C11168" i="3"/>
  <c r="B11168" i="3"/>
  <c r="D11167" i="3"/>
  <c r="C11167" i="3"/>
  <c r="B11167" i="3"/>
  <c r="D11166" i="3"/>
  <c r="C11166" i="3"/>
  <c r="B11166" i="3"/>
  <c r="D11165" i="3"/>
  <c r="C11165" i="3"/>
  <c r="B11165" i="3"/>
  <c r="D11164" i="3"/>
  <c r="C11164" i="3"/>
  <c r="B11164" i="3"/>
  <c r="D11163" i="3"/>
  <c r="C11163" i="3"/>
  <c r="B11163" i="3"/>
  <c r="D11162" i="3"/>
  <c r="C11162" i="3"/>
  <c r="B11162" i="3"/>
  <c r="D11161" i="3"/>
  <c r="C11161" i="3"/>
  <c r="B11161" i="3"/>
  <c r="D11160" i="3"/>
  <c r="C11160" i="3"/>
  <c r="B11160" i="3"/>
  <c r="D11159" i="3"/>
  <c r="C11159" i="3"/>
  <c r="B11159" i="3"/>
  <c r="D11158" i="3"/>
  <c r="C11158" i="3"/>
  <c r="B11158" i="3"/>
  <c r="D11157" i="3"/>
  <c r="C11157" i="3"/>
  <c r="B11157" i="3"/>
  <c r="D11156" i="3"/>
  <c r="C11156" i="3"/>
  <c r="B11156" i="3"/>
  <c r="D11155" i="3"/>
  <c r="C11155" i="3"/>
  <c r="B11155" i="3"/>
  <c r="D11154" i="3"/>
  <c r="C11154" i="3"/>
  <c r="B11154" i="3"/>
  <c r="D11153" i="3"/>
  <c r="C11153" i="3"/>
  <c r="B11153" i="3"/>
  <c r="D11152" i="3"/>
  <c r="C11152" i="3"/>
  <c r="B11152" i="3"/>
  <c r="D11151" i="3"/>
  <c r="C11151" i="3"/>
  <c r="B11151" i="3"/>
  <c r="D11150" i="3"/>
  <c r="C11150" i="3"/>
  <c r="B11150" i="3"/>
  <c r="D11149" i="3"/>
  <c r="C11149" i="3"/>
  <c r="B11149" i="3"/>
  <c r="D11148" i="3"/>
  <c r="C11148" i="3"/>
  <c r="B11148" i="3"/>
  <c r="D11147" i="3"/>
  <c r="C11147" i="3"/>
  <c r="B11147" i="3"/>
  <c r="D11146" i="3"/>
  <c r="C11146" i="3"/>
  <c r="B11146" i="3"/>
  <c r="D11145" i="3"/>
  <c r="C11145" i="3"/>
  <c r="B11145" i="3"/>
  <c r="D11144" i="3"/>
  <c r="C11144" i="3"/>
  <c r="B11144" i="3"/>
  <c r="D11143" i="3"/>
  <c r="C11143" i="3"/>
  <c r="B11143" i="3"/>
  <c r="D11142" i="3"/>
  <c r="C11142" i="3"/>
  <c r="B11142" i="3"/>
  <c r="D11141" i="3"/>
  <c r="C11141" i="3"/>
  <c r="B11141" i="3"/>
  <c r="D11140" i="3"/>
  <c r="C11140" i="3"/>
  <c r="B11140" i="3"/>
  <c r="D11139" i="3"/>
  <c r="C11139" i="3"/>
  <c r="B11139" i="3"/>
  <c r="D11138" i="3"/>
  <c r="C11138" i="3"/>
  <c r="B11138" i="3"/>
  <c r="D11137" i="3"/>
  <c r="C11137" i="3"/>
  <c r="B11137" i="3"/>
  <c r="D11136" i="3"/>
  <c r="C11136" i="3"/>
  <c r="B11136" i="3"/>
  <c r="D11135" i="3"/>
  <c r="C11135" i="3"/>
  <c r="B11135" i="3"/>
  <c r="D11134" i="3"/>
  <c r="C11134" i="3"/>
  <c r="B11134" i="3"/>
  <c r="D11133" i="3"/>
  <c r="C11133" i="3"/>
  <c r="B11133" i="3"/>
  <c r="D11132" i="3"/>
  <c r="C11132" i="3"/>
  <c r="B11132" i="3"/>
  <c r="D11131" i="3"/>
  <c r="C11131" i="3"/>
  <c r="B11131" i="3"/>
  <c r="D11130" i="3"/>
  <c r="C11130" i="3"/>
  <c r="B11130" i="3"/>
  <c r="D11129" i="3"/>
  <c r="C11129" i="3"/>
  <c r="B11129" i="3"/>
  <c r="D11128" i="3"/>
  <c r="C11128" i="3"/>
  <c r="B11128" i="3"/>
  <c r="D11127" i="3"/>
  <c r="C11127" i="3"/>
  <c r="B11127" i="3"/>
  <c r="D11126" i="3"/>
  <c r="C11126" i="3"/>
  <c r="B11126" i="3"/>
  <c r="D11125" i="3"/>
  <c r="C11125" i="3"/>
  <c r="B11125" i="3"/>
  <c r="D11124" i="3"/>
  <c r="C11124" i="3"/>
  <c r="B11124" i="3"/>
  <c r="D11123" i="3"/>
  <c r="C11123" i="3"/>
  <c r="B11123" i="3"/>
  <c r="D11122" i="3"/>
  <c r="C11122" i="3"/>
  <c r="B11122" i="3"/>
  <c r="D11121" i="3"/>
  <c r="C11121" i="3"/>
  <c r="B11121" i="3"/>
  <c r="D11120" i="3"/>
  <c r="C11120" i="3"/>
  <c r="B11120" i="3"/>
  <c r="D11119" i="3"/>
  <c r="C11119" i="3"/>
  <c r="B11119" i="3"/>
  <c r="D11118" i="3"/>
  <c r="C11118" i="3"/>
  <c r="B11118" i="3"/>
  <c r="D11117" i="3"/>
  <c r="C11117" i="3"/>
  <c r="B11117" i="3"/>
  <c r="D11116" i="3"/>
  <c r="C11116" i="3"/>
  <c r="B11116" i="3"/>
  <c r="D11115" i="3"/>
  <c r="C11115" i="3"/>
  <c r="B11115" i="3"/>
  <c r="D11114" i="3"/>
  <c r="C11114" i="3"/>
  <c r="B11114" i="3"/>
  <c r="D11113" i="3"/>
  <c r="C11113" i="3"/>
  <c r="B11113" i="3"/>
  <c r="D11112" i="3"/>
  <c r="C11112" i="3"/>
  <c r="B11112" i="3"/>
  <c r="D11111" i="3"/>
  <c r="C11111" i="3"/>
  <c r="B11111" i="3"/>
  <c r="D11110" i="3"/>
  <c r="C11110" i="3"/>
  <c r="B11110" i="3"/>
  <c r="D11109" i="3"/>
  <c r="C11109" i="3"/>
  <c r="B11109" i="3"/>
  <c r="D11108" i="3"/>
  <c r="C11108" i="3"/>
  <c r="B11108" i="3"/>
  <c r="D11107" i="3"/>
  <c r="C11107" i="3"/>
  <c r="B11107" i="3"/>
  <c r="D11106" i="3"/>
  <c r="C11106" i="3"/>
  <c r="B11106" i="3"/>
  <c r="D11105" i="3"/>
  <c r="C11105" i="3"/>
  <c r="B11105" i="3"/>
  <c r="D11104" i="3"/>
  <c r="C11104" i="3"/>
  <c r="B11104" i="3"/>
  <c r="D11103" i="3"/>
  <c r="C11103" i="3"/>
  <c r="B11103" i="3"/>
  <c r="D11102" i="3"/>
  <c r="C11102" i="3"/>
  <c r="B11102" i="3"/>
  <c r="D11101" i="3"/>
  <c r="C11101" i="3"/>
  <c r="B11101" i="3"/>
  <c r="D11100" i="3"/>
  <c r="C11100" i="3"/>
  <c r="B11100" i="3"/>
  <c r="D11099" i="3"/>
  <c r="C11099" i="3"/>
  <c r="B11099" i="3"/>
  <c r="D11098" i="3"/>
  <c r="C11098" i="3"/>
  <c r="B11098" i="3"/>
  <c r="D11097" i="3"/>
  <c r="C11097" i="3"/>
  <c r="B11097" i="3"/>
  <c r="D11096" i="3"/>
  <c r="C11096" i="3"/>
  <c r="B11096" i="3"/>
  <c r="D11095" i="3"/>
  <c r="C11095" i="3"/>
  <c r="B11095" i="3"/>
  <c r="D11094" i="3"/>
  <c r="C11094" i="3"/>
  <c r="B11094" i="3"/>
  <c r="D11093" i="3"/>
  <c r="C11093" i="3"/>
  <c r="B11093" i="3"/>
  <c r="D11092" i="3"/>
  <c r="C11092" i="3"/>
  <c r="B11092" i="3"/>
  <c r="D11091" i="3"/>
  <c r="C11091" i="3"/>
  <c r="B11091" i="3"/>
  <c r="D11090" i="3"/>
  <c r="C11090" i="3"/>
  <c r="B11090" i="3"/>
  <c r="D11089" i="3"/>
  <c r="C11089" i="3"/>
  <c r="B11089" i="3"/>
  <c r="D11088" i="3"/>
  <c r="C11088" i="3"/>
  <c r="B11088" i="3"/>
  <c r="D11087" i="3"/>
  <c r="C11087" i="3"/>
  <c r="B11087" i="3"/>
  <c r="D11086" i="3"/>
  <c r="C11086" i="3"/>
  <c r="B11086" i="3"/>
  <c r="D11085" i="3"/>
  <c r="C11085" i="3"/>
  <c r="B11085" i="3"/>
  <c r="D11084" i="3"/>
  <c r="C11084" i="3"/>
  <c r="B11084" i="3"/>
  <c r="D11083" i="3"/>
  <c r="C11083" i="3"/>
  <c r="B11083" i="3"/>
  <c r="D11082" i="3"/>
  <c r="C11082" i="3"/>
  <c r="B11082" i="3"/>
  <c r="D11081" i="3"/>
  <c r="C11081" i="3"/>
  <c r="B11081" i="3"/>
  <c r="D11080" i="3"/>
  <c r="C11080" i="3"/>
  <c r="B11080" i="3"/>
  <c r="D11079" i="3"/>
  <c r="C11079" i="3"/>
  <c r="B11079" i="3"/>
  <c r="D11078" i="3"/>
  <c r="C11078" i="3"/>
  <c r="B11078" i="3"/>
  <c r="D11077" i="3"/>
  <c r="C11077" i="3"/>
  <c r="B11077" i="3"/>
  <c r="D11076" i="3"/>
  <c r="C11076" i="3"/>
  <c r="B11076" i="3"/>
  <c r="D11075" i="3"/>
  <c r="C11075" i="3"/>
  <c r="B11075" i="3"/>
  <c r="D11074" i="3"/>
  <c r="C11074" i="3"/>
  <c r="B11074" i="3"/>
  <c r="D11073" i="3"/>
  <c r="C11073" i="3"/>
  <c r="B11073" i="3"/>
  <c r="D11072" i="3"/>
  <c r="C11072" i="3"/>
  <c r="B11072" i="3"/>
  <c r="D11071" i="3"/>
  <c r="C11071" i="3"/>
  <c r="B11071" i="3"/>
  <c r="D11070" i="3"/>
  <c r="C11070" i="3"/>
  <c r="B11070" i="3"/>
  <c r="D11069" i="3"/>
  <c r="C11069" i="3"/>
  <c r="B11069" i="3"/>
  <c r="D11068" i="3"/>
  <c r="C11068" i="3"/>
  <c r="B11068" i="3"/>
  <c r="D11067" i="3"/>
  <c r="C11067" i="3"/>
  <c r="B11067" i="3"/>
  <c r="D11066" i="3"/>
  <c r="C11066" i="3"/>
  <c r="B11066" i="3"/>
  <c r="D11065" i="3"/>
  <c r="C11065" i="3"/>
  <c r="B11065" i="3"/>
  <c r="D11064" i="3"/>
  <c r="C11064" i="3"/>
  <c r="B11064" i="3"/>
  <c r="D11063" i="3"/>
  <c r="C11063" i="3"/>
  <c r="B11063" i="3"/>
  <c r="D11062" i="3"/>
  <c r="C11062" i="3"/>
  <c r="B11062" i="3"/>
  <c r="D11061" i="3"/>
  <c r="C11061" i="3"/>
  <c r="B11061" i="3"/>
  <c r="D11060" i="3"/>
  <c r="C11060" i="3"/>
  <c r="B11060" i="3"/>
  <c r="D11059" i="3"/>
  <c r="C11059" i="3"/>
  <c r="B11059" i="3"/>
  <c r="D11058" i="3"/>
  <c r="C11058" i="3"/>
  <c r="B11058" i="3"/>
  <c r="D11057" i="3"/>
  <c r="C11057" i="3"/>
  <c r="B11057" i="3"/>
  <c r="D11056" i="3"/>
  <c r="C11056" i="3"/>
  <c r="B11056" i="3"/>
  <c r="D11055" i="3"/>
  <c r="C11055" i="3"/>
  <c r="B11055" i="3"/>
  <c r="D11054" i="3"/>
  <c r="C11054" i="3"/>
  <c r="B11054" i="3"/>
  <c r="D11053" i="3"/>
  <c r="C11053" i="3"/>
  <c r="B11053" i="3"/>
  <c r="D11052" i="3"/>
  <c r="C11052" i="3"/>
  <c r="B11052" i="3"/>
  <c r="D11051" i="3"/>
  <c r="C11051" i="3"/>
  <c r="B11051" i="3"/>
  <c r="D11050" i="3"/>
  <c r="C11050" i="3"/>
  <c r="B11050" i="3"/>
  <c r="D11049" i="3"/>
  <c r="C11049" i="3"/>
  <c r="B11049" i="3"/>
  <c r="D11048" i="3"/>
  <c r="C11048" i="3"/>
  <c r="B11048" i="3"/>
  <c r="D11047" i="3"/>
  <c r="C11047" i="3"/>
  <c r="B11047" i="3"/>
  <c r="D11046" i="3"/>
  <c r="C11046" i="3"/>
  <c r="B11046" i="3"/>
  <c r="D11045" i="3"/>
  <c r="C11045" i="3"/>
  <c r="B11045" i="3"/>
  <c r="D11044" i="3"/>
  <c r="C11044" i="3"/>
  <c r="B11044" i="3"/>
  <c r="D11043" i="3"/>
  <c r="C11043" i="3"/>
  <c r="B11043" i="3"/>
  <c r="D11042" i="3"/>
  <c r="C11042" i="3"/>
  <c r="B11042" i="3"/>
  <c r="D11041" i="3"/>
  <c r="C11041" i="3"/>
  <c r="B11041" i="3"/>
  <c r="D11040" i="3"/>
  <c r="C11040" i="3"/>
  <c r="B11040" i="3"/>
  <c r="D11039" i="3"/>
  <c r="C11039" i="3"/>
  <c r="B11039" i="3"/>
  <c r="D11038" i="3"/>
  <c r="C11038" i="3"/>
  <c r="B11038" i="3"/>
  <c r="D11037" i="3"/>
  <c r="C11037" i="3"/>
  <c r="B11037" i="3"/>
  <c r="D11036" i="3"/>
  <c r="C11036" i="3"/>
  <c r="B11036" i="3"/>
  <c r="D11035" i="3"/>
  <c r="C11035" i="3"/>
  <c r="B11035" i="3"/>
  <c r="D11034" i="3"/>
  <c r="C11034" i="3"/>
  <c r="B11034" i="3"/>
  <c r="D11033" i="3"/>
  <c r="C11033" i="3"/>
  <c r="B11033" i="3"/>
  <c r="D11032" i="3"/>
  <c r="C11032" i="3"/>
  <c r="B11032" i="3"/>
  <c r="D11031" i="3"/>
  <c r="C11031" i="3"/>
  <c r="B11031" i="3"/>
  <c r="D11030" i="3"/>
  <c r="C11030" i="3"/>
  <c r="B11030" i="3"/>
  <c r="D11029" i="3"/>
  <c r="C11029" i="3"/>
  <c r="B11029" i="3"/>
  <c r="D11028" i="3"/>
  <c r="C11028" i="3"/>
  <c r="B11028" i="3"/>
  <c r="D11027" i="3"/>
  <c r="C11027" i="3"/>
  <c r="B11027" i="3"/>
  <c r="D11026" i="3"/>
  <c r="C11026" i="3"/>
  <c r="B11026" i="3"/>
  <c r="D11025" i="3"/>
  <c r="C11025" i="3"/>
  <c r="B11025" i="3"/>
  <c r="D11024" i="3"/>
  <c r="C11024" i="3"/>
  <c r="B11024" i="3"/>
  <c r="D11023" i="3"/>
  <c r="C11023" i="3"/>
  <c r="B11023" i="3"/>
  <c r="D11022" i="3"/>
  <c r="C11022" i="3"/>
  <c r="B11022" i="3"/>
  <c r="D11021" i="3"/>
  <c r="C11021" i="3"/>
  <c r="B11021" i="3"/>
  <c r="D11020" i="3"/>
  <c r="C11020" i="3"/>
  <c r="B11020" i="3"/>
  <c r="D11019" i="3"/>
  <c r="C11019" i="3"/>
  <c r="B11019" i="3"/>
  <c r="D11018" i="3"/>
  <c r="C11018" i="3"/>
  <c r="B11018" i="3"/>
  <c r="D11017" i="3"/>
  <c r="C11017" i="3"/>
  <c r="B11017" i="3"/>
  <c r="D11016" i="3"/>
  <c r="C11016" i="3"/>
  <c r="B11016" i="3"/>
  <c r="D11015" i="3"/>
  <c r="C11015" i="3"/>
  <c r="B11015" i="3"/>
  <c r="D11014" i="3"/>
  <c r="C11014" i="3"/>
  <c r="B11014" i="3"/>
  <c r="D11013" i="3"/>
  <c r="C11013" i="3"/>
  <c r="B11013" i="3"/>
  <c r="D11012" i="3"/>
  <c r="C11012" i="3"/>
  <c r="B11012" i="3"/>
  <c r="D11011" i="3"/>
  <c r="C11011" i="3"/>
  <c r="B11011" i="3"/>
  <c r="D11010" i="3"/>
  <c r="C11010" i="3"/>
  <c r="B11010" i="3"/>
  <c r="D11009" i="3"/>
  <c r="C11009" i="3"/>
  <c r="B11009" i="3"/>
  <c r="D11008" i="3"/>
  <c r="C11008" i="3"/>
  <c r="B11008" i="3"/>
  <c r="D11007" i="3"/>
  <c r="C11007" i="3"/>
  <c r="B11007" i="3"/>
  <c r="D11006" i="3"/>
  <c r="C11006" i="3"/>
  <c r="B11006" i="3"/>
  <c r="D11005" i="3"/>
  <c r="C11005" i="3"/>
  <c r="B11005" i="3"/>
  <c r="D11004" i="3"/>
  <c r="C11004" i="3"/>
  <c r="B11004" i="3"/>
  <c r="D11003" i="3"/>
  <c r="C11003" i="3"/>
  <c r="B11003" i="3"/>
  <c r="D11002" i="3"/>
  <c r="C11002" i="3"/>
  <c r="B11002" i="3"/>
  <c r="D11001" i="3"/>
  <c r="C11001" i="3"/>
  <c r="B11001" i="3"/>
  <c r="D11000" i="3"/>
  <c r="C11000" i="3"/>
  <c r="B11000" i="3"/>
  <c r="D10999" i="3"/>
  <c r="C10999" i="3"/>
  <c r="B10999" i="3"/>
  <c r="D10998" i="3"/>
  <c r="C10998" i="3"/>
  <c r="B10998" i="3"/>
  <c r="D10997" i="3"/>
  <c r="C10997" i="3"/>
  <c r="B10997" i="3"/>
  <c r="D10996" i="3"/>
  <c r="C10996" i="3"/>
  <c r="B10996" i="3"/>
  <c r="D10995" i="3"/>
  <c r="C10995" i="3"/>
  <c r="B10995" i="3"/>
  <c r="D10994" i="3"/>
  <c r="C10994" i="3"/>
  <c r="B10994" i="3"/>
  <c r="D10993" i="3"/>
  <c r="C10993" i="3"/>
  <c r="B10993" i="3"/>
  <c r="D10992" i="3"/>
  <c r="C10992" i="3"/>
  <c r="B10992" i="3"/>
  <c r="D10991" i="3"/>
  <c r="C10991" i="3"/>
  <c r="B10991" i="3"/>
  <c r="D10990" i="3"/>
  <c r="C10990" i="3"/>
  <c r="B10990" i="3"/>
  <c r="D10989" i="3"/>
  <c r="C10989" i="3"/>
  <c r="B10989" i="3"/>
  <c r="D10988" i="3"/>
  <c r="C10988" i="3"/>
  <c r="B10988" i="3"/>
  <c r="D10987" i="3"/>
  <c r="C10987" i="3"/>
  <c r="B10987" i="3"/>
  <c r="D10986" i="3"/>
  <c r="C10986" i="3"/>
  <c r="B10986" i="3"/>
  <c r="D10985" i="3"/>
  <c r="C10985" i="3"/>
  <c r="B10985" i="3"/>
  <c r="D10984" i="3"/>
  <c r="C10984" i="3"/>
  <c r="B10984" i="3"/>
  <c r="D10983" i="3"/>
  <c r="C10983" i="3"/>
  <c r="B10983" i="3"/>
  <c r="D10982" i="3"/>
  <c r="C10982" i="3"/>
  <c r="B10982" i="3"/>
  <c r="D10981" i="3"/>
  <c r="C10981" i="3"/>
  <c r="B10981" i="3"/>
  <c r="D10980" i="3"/>
  <c r="C10980" i="3"/>
  <c r="B10980" i="3"/>
  <c r="D10979" i="3"/>
  <c r="C10979" i="3"/>
  <c r="B10979" i="3"/>
  <c r="D10978" i="3"/>
  <c r="C10978" i="3"/>
  <c r="B10978" i="3"/>
  <c r="D10977" i="3"/>
  <c r="C10977" i="3"/>
  <c r="B10977" i="3"/>
  <c r="D10976" i="3"/>
  <c r="C10976" i="3"/>
  <c r="B10976" i="3"/>
  <c r="D10975" i="3"/>
  <c r="C10975" i="3"/>
  <c r="B10975" i="3"/>
  <c r="D10974" i="3"/>
  <c r="C10974" i="3"/>
  <c r="B10974" i="3"/>
  <c r="D10973" i="3"/>
  <c r="C10973" i="3"/>
  <c r="B10973" i="3"/>
  <c r="D10972" i="3"/>
  <c r="C10972" i="3"/>
  <c r="B10972" i="3"/>
  <c r="D10971" i="3"/>
  <c r="C10971" i="3"/>
  <c r="B10971" i="3"/>
  <c r="D10970" i="3"/>
  <c r="C10970" i="3"/>
  <c r="B10970" i="3"/>
  <c r="D10969" i="3"/>
  <c r="C10969" i="3"/>
  <c r="B10969" i="3"/>
  <c r="D10968" i="3"/>
  <c r="C10968" i="3"/>
  <c r="B10968" i="3"/>
  <c r="D10967" i="3"/>
  <c r="C10967" i="3"/>
  <c r="B10967" i="3"/>
  <c r="D10966" i="3"/>
  <c r="C10966" i="3"/>
  <c r="B10966" i="3"/>
  <c r="D10965" i="3"/>
  <c r="C10965" i="3"/>
  <c r="B10965" i="3"/>
  <c r="D10964" i="3"/>
  <c r="C10964" i="3"/>
  <c r="B10964" i="3"/>
  <c r="D10963" i="3"/>
  <c r="C10963" i="3"/>
  <c r="B10963" i="3"/>
  <c r="D10962" i="3"/>
  <c r="C10962" i="3"/>
  <c r="B10962" i="3"/>
  <c r="D10961" i="3"/>
  <c r="C10961" i="3"/>
  <c r="B10961" i="3"/>
  <c r="D10960" i="3"/>
  <c r="C10960" i="3"/>
  <c r="B10960" i="3"/>
  <c r="D10959" i="3"/>
  <c r="C10959" i="3"/>
  <c r="B10959" i="3"/>
  <c r="D10958" i="3"/>
  <c r="C10958" i="3"/>
  <c r="B10958" i="3"/>
  <c r="D10957" i="3"/>
  <c r="C10957" i="3"/>
  <c r="B10957" i="3"/>
  <c r="D10956" i="3"/>
  <c r="C10956" i="3"/>
  <c r="B10956" i="3"/>
  <c r="D10955" i="3"/>
  <c r="C10955" i="3"/>
  <c r="B10955" i="3"/>
  <c r="D10954" i="3"/>
  <c r="C10954" i="3"/>
  <c r="B10954" i="3"/>
  <c r="D10953" i="3"/>
  <c r="C10953" i="3"/>
  <c r="B10953" i="3"/>
  <c r="D10952" i="3"/>
  <c r="C10952" i="3"/>
  <c r="B10952" i="3"/>
  <c r="D10951" i="3"/>
  <c r="C10951" i="3"/>
  <c r="B10951" i="3"/>
  <c r="D10950" i="3"/>
  <c r="C10950" i="3"/>
  <c r="B10950" i="3"/>
  <c r="D10949" i="3"/>
  <c r="C10949" i="3"/>
  <c r="B10949" i="3"/>
  <c r="D10948" i="3"/>
  <c r="C10948" i="3"/>
  <c r="B10948" i="3"/>
  <c r="D10947" i="3"/>
  <c r="C10947" i="3"/>
  <c r="B10947" i="3"/>
  <c r="D10946" i="3"/>
  <c r="C10946" i="3"/>
  <c r="B10946" i="3"/>
  <c r="D10945" i="3"/>
  <c r="C10945" i="3"/>
  <c r="B10945" i="3"/>
  <c r="D10944" i="3"/>
  <c r="C10944" i="3"/>
  <c r="B10944" i="3"/>
  <c r="D10943" i="3"/>
  <c r="C10943" i="3"/>
  <c r="B10943" i="3"/>
  <c r="D10942" i="3"/>
  <c r="C10942" i="3"/>
  <c r="B10942" i="3"/>
  <c r="D10941" i="3"/>
  <c r="C10941" i="3"/>
  <c r="B10941" i="3"/>
  <c r="D10940" i="3"/>
  <c r="C10940" i="3"/>
  <c r="B10940" i="3"/>
  <c r="D10939" i="3"/>
  <c r="C10939" i="3"/>
  <c r="B10939" i="3"/>
  <c r="D10938" i="3"/>
  <c r="C10938" i="3"/>
  <c r="B10938" i="3"/>
  <c r="D10937" i="3"/>
  <c r="C10937" i="3"/>
  <c r="B10937" i="3"/>
  <c r="D10936" i="3"/>
  <c r="C10936" i="3"/>
  <c r="B10936" i="3"/>
  <c r="D10935" i="3"/>
  <c r="C10935" i="3"/>
  <c r="B10935" i="3"/>
  <c r="D10934" i="3"/>
  <c r="C10934" i="3"/>
  <c r="B10934" i="3"/>
  <c r="D10933" i="3"/>
  <c r="C10933" i="3"/>
  <c r="B10933" i="3"/>
  <c r="D10932" i="3"/>
  <c r="C10932" i="3"/>
  <c r="B10932" i="3"/>
  <c r="D10931" i="3"/>
  <c r="C10931" i="3"/>
  <c r="B10931" i="3"/>
  <c r="D10930" i="3"/>
  <c r="C10930" i="3"/>
  <c r="B10930" i="3"/>
  <c r="D10929" i="3"/>
  <c r="C10929" i="3"/>
  <c r="B10929" i="3"/>
  <c r="D10928" i="3"/>
  <c r="C10928" i="3"/>
  <c r="B10928" i="3"/>
  <c r="D10927" i="3"/>
  <c r="C10927" i="3"/>
  <c r="B10927" i="3"/>
  <c r="D10926" i="3"/>
  <c r="C10926" i="3"/>
  <c r="B10926" i="3"/>
  <c r="D10925" i="3"/>
  <c r="C10925" i="3"/>
  <c r="B10925" i="3"/>
  <c r="D10924" i="3"/>
  <c r="C10924" i="3"/>
  <c r="B10924" i="3"/>
  <c r="D10923" i="3"/>
  <c r="C10923" i="3"/>
  <c r="B10923" i="3"/>
  <c r="D10922" i="3"/>
  <c r="C10922" i="3"/>
  <c r="B10922" i="3"/>
  <c r="D10921" i="3"/>
  <c r="C10921" i="3"/>
  <c r="B10921" i="3"/>
  <c r="D10920" i="3"/>
  <c r="C10920" i="3"/>
  <c r="B10920" i="3"/>
  <c r="D10919" i="3"/>
  <c r="C10919" i="3"/>
  <c r="B10919" i="3"/>
  <c r="D10918" i="3"/>
  <c r="C10918" i="3"/>
  <c r="B10918" i="3"/>
  <c r="D10917" i="3"/>
  <c r="C10917" i="3"/>
  <c r="B10917" i="3"/>
  <c r="D10916" i="3"/>
  <c r="C10916" i="3"/>
  <c r="B10916" i="3"/>
  <c r="D10915" i="3"/>
  <c r="C10915" i="3"/>
  <c r="B10915" i="3"/>
  <c r="D10914" i="3"/>
  <c r="C10914" i="3"/>
  <c r="B10914" i="3"/>
  <c r="D10913" i="3"/>
  <c r="C10913" i="3"/>
  <c r="B10913" i="3"/>
  <c r="D10912" i="3"/>
  <c r="C10912" i="3"/>
  <c r="B10912" i="3"/>
  <c r="D10911" i="3"/>
  <c r="C10911" i="3"/>
  <c r="B10911" i="3"/>
  <c r="D10910" i="3"/>
  <c r="C10910" i="3"/>
  <c r="B10910" i="3"/>
  <c r="D10909" i="3"/>
  <c r="C10909" i="3"/>
  <c r="B10909" i="3"/>
  <c r="D10908" i="3"/>
  <c r="C10908" i="3"/>
  <c r="B10908" i="3"/>
  <c r="D10907" i="3"/>
  <c r="C10907" i="3"/>
  <c r="B10907" i="3"/>
  <c r="D10906" i="3"/>
  <c r="C10906" i="3"/>
  <c r="B10906" i="3"/>
  <c r="D10905" i="3"/>
  <c r="C10905" i="3"/>
  <c r="B10905" i="3"/>
  <c r="D10904" i="3"/>
  <c r="C10904" i="3"/>
  <c r="B10904" i="3"/>
  <c r="D10903" i="3"/>
  <c r="C10903" i="3"/>
  <c r="B10903" i="3"/>
  <c r="D10902" i="3"/>
  <c r="C10902" i="3"/>
  <c r="B10902" i="3"/>
  <c r="D10901" i="3"/>
  <c r="C10901" i="3"/>
  <c r="B10901" i="3"/>
  <c r="D10900" i="3"/>
  <c r="C10900" i="3"/>
  <c r="B10900" i="3"/>
  <c r="D10899" i="3"/>
  <c r="C10899" i="3"/>
  <c r="B10899" i="3"/>
  <c r="D10898" i="3"/>
  <c r="C10898" i="3"/>
  <c r="B10898" i="3"/>
  <c r="D10897" i="3"/>
  <c r="C10897" i="3"/>
  <c r="B10897" i="3"/>
  <c r="D10896" i="3"/>
  <c r="C10896" i="3"/>
  <c r="B10896" i="3"/>
  <c r="D10895" i="3"/>
  <c r="C10895" i="3"/>
  <c r="B10895" i="3"/>
  <c r="D10894" i="3"/>
  <c r="C10894" i="3"/>
  <c r="B10894" i="3"/>
  <c r="D10893" i="3"/>
  <c r="C10893" i="3"/>
  <c r="B10893" i="3"/>
  <c r="D10892" i="3"/>
  <c r="C10892" i="3"/>
  <c r="B10892" i="3"/>
  <c r="D10891" i="3"/>
  <c r="C10891" i="3"/>
  <c r="B10891" i="3"/>
  <c r="D10890" i="3"/>
  <c r="C10890" i="3"/>
  <c r="B10890" i="3"/>
  <c r="D10889" i="3"/>
  <c r="C10889" i="3"/>
  <c r="B10889" i="3"/>
  <c r="D10888" i="3"/>
  <c r="C10888" i="3"/>
  <c r="B10888" i="3"/>
  <c r="D10887" i="3"/>
  <c r="C10887" i="3"/>
  <c r="B10887" i="3"/>
  <c r="D10886" i="3"/>
  <c r="C10886" i="3"/>
  <c r="B10886" i="3"/>
  <c r="D10885" i="3"/>
  <c r="C10885" i="3"/>
  <c r="B10885" i="3"/>
  <c r="D10884" i="3"/>
  <c r="C10884" i="3"/>
  <c r="B10884" i="3"/>
  <c r="D10883" i="3"/>
  <c r="C10883" i="3"/>
  <c r="B10883" i="3"/>
  <c r="D10882" i="3"/>
  <c r="C10882" i="3"/>
  <c r="B10882" i="3"/>
  <c r="D10881" i="3"/>
  <c r="C10881" i="3"/>
  <c r="B10881" i="3"/>
  <c r="D10880" i="3"/>
  <c r="C10880" i="3"/>
  <c r="B10880" i="3"/>
  <c r="D10879" i="3"/>
  <c r="C10879" i="3"/>
  <c r="B10879" i="3"/>
  <c r="D10878" i="3"/>
  <c r="C10878" i="3"/>
  <c r="B10878" i="3"/>
  <c r="D10877" i="3"/>
  <c r="C10877" i="3"/>
  <c r="B10877" i="3"/>
  <c r="D10876" i="3"/>
  <c r="C10876" i="3"/>
  <c r="B10876" i="3"/>
  <c r="D10875" i="3"/>
  <c r="C10875" i="3"/>
  <c r="B10875" i="3"/>
  <c r="D10874" i="3"/>
  <c r="C10874" i="3"/>
  <c r="B10874" i="3"/>
  <c r="D10873" i="3"/>
  <c r="C10873" i="3"/>
  <c r="B10873" i="3"/>
  <c r="D10872" i="3"/>
  <c r="C10872" i="3"/>
  <c r="B10872" i="3"/>
  <c r="D10871" i="3"/>
  <c r="C10871" i="3"/>
  <c r="B10871" i="3"/>
  <c r="D10870" i="3"/>
  <c r="C10870" i="3"/>
  <c r="B10870" i="3"/>
  <c r="D10869" i="3"/>
  <c r="C10869" i="3"/>
  <c r="B10869" i="3"/>
  <c r="D10868" i="3"/>
  <c r="C10868" i="3"/>
  <c r="B10868" i="3"/>
  <c r="D10867" i="3"/>
  <c r="C10867" i="3"/>
  <c r="B10867" i="3"/>
  <c r="D10866" i="3"/>
  <c r="C10866" i="3"/>
  <c r="B10866" i="3"/>
  <c r="D10865" i="3"/>
  <c r="C10865" i="3"/>
  <c r="B10865" i="3"/>
  <c r="D10864" i="3"/>
  <c r="C10864" i="3"/>
  <c r="B10864" i="3"/>
  <c r="D10863" i="3"/>
  <c r="C10863" i="3"/>
  <c r="B10863" i="3"/>
  <c r="D10862" i="3"/>
  <c r="C10862" i="3"/>
  <c r="B10862" i="3"/>
  <c r="D10861" i="3"/>
  <c r="C10861" i="3"/>
  <c r="B10861" i="3"/>
  <c r="D10860" i="3"/>
  <c r="C10860" i="3"/>
  <c r="B10860" i="3"/>
  <c r="D10859" i="3"/>
  <c r="C10859" i="3"/>
  <c r="B10859" i="3"/>
  <c r="D10858" i="3"/>
  <c r="C10858" i="3"/>
  <c r="B10858" i="3"/>
  <c r="D10857" i="3"/>
  <c r="C10857" i="3"/>
  <c r="B10857" i="3"/>
  <c r="D10856" i="3"/>
  <c r="C10856" i="3"/>
  <c r="B10856" i="3"/>
  <c r="D10855" i="3"/>
  <c r="C10855" i="3"/>
  <c r="B10855" i="3"/>
  <c r="D10854" i="3"/>
  <c r="C10854" i="3"/>
  <c r="B10854" i="3"/>
  <c r="D10853" i="3"/>
  <c r="C10853" i="3"/>
  <c r="B10853" i="3"/>
  <c r="D10852" i="3"/>
  <c r="C10852" i="3"/>
  <c r="B10852" i="3"/>
  <c r="D10851" i="3"/>
  <c r="C10851" i="3"/>
  <c r="B10851" i="3"/>
  <c r="D10850" i="3"/>
  <c r="C10850" i="3"/>
  <c r="B10850" i="3"/>
  <c r="D10849" i="3"/>
  <c r="C10849" i="3"/>
  <c r="B10849" i="3"/>
  <c r="D10848" i="3"/>
  <c r="C10848" i="3"/>
  <c r="B10848" i="3"/>
  <c r="D10847" i="3"/>
  <c r="C10847" i="3"/>
  <c r="B10847" i="3"/>
  <c r="D10846" i="3"/>
  <c r="C10846" i="3"/>
  <c r="B10846" i="3"/>
  <c r="D10845" i="3"/>
  <c r="C10845" i="3"/>
  <c r="B10845" i="3"/>
  <c r="D10844" i="3"/>
  <c r="C10844" i="3"/>
  <c r="B10844" i="3"/>
  <c r="D10843" i="3"/>
  <c r="C10843" i="3"/>
  <c r="B10843" i="3"/>
  <c r="D10842" i="3"/>
  <c r="C10842" i="3"/>
  <c r="B10842" i="3"/>
  <c r="D10841" i="3"/>
  <c r="C10841" i="3"/>
  <c r="B10841" i="3"/>
  <c r="D10840" i="3"/>
  <c r="C10840" i="3"/>
  <c r="B10840" i="3"/>
  <c r="D10839" i="3"/>
  <c r="C10839" i="3"/>
  <c r="B10839" i="3"/>
  <c r="D10838" i="3"/>
  <c r="C10838" i="3"/>
  <c r="B10838" i="3"/>
  <c r="D10837" i="3"/>
  <c r="C10837" i="3"/>
  <c r="B10837" i="3"/>
  <c r="D10836" i="3"/>
  <c r="C10836" i="3"/>
  <c r="B10836" i="3"/>
  <c r="D10835" i="3"/>
  <c r="C10835" i="3"/>
  <c r="B10835" i="3"/>
  <c r="D10834" i="3"/>
  <c r="C10834" i="3"/>
  <c r="B10834" i="3"/>
  <c r="D10833" i="3"/>
  <c r="C10833" i="3"/>
  <c r="B10833" i="3"/>
  <c r="D10832" i="3"/>
  <c r="C10832" i="3"/>
  <c r="B10832" i="3"/>
  <c r="D10831" i="3"/>
  <c r="C10831" i="3"/>
  <c r="B10831" i="3"/>
  <c r="D10830" i="3"/>
  <c r="C10830" i="3"/>
  <c r="B10830" i="3"/>
  <c r="D10829" i="3"/>
  <c r="C10829" i="3"/>
  <c r="B10829" i="3"/>
  <c r="D10828" i="3"/>
  <c r="C10828" i="3"/>
  <c r="B10828" i="3"/>
  <c r="D10827" i="3"/>
  <c r="C10827" i="3"/>
  <c r="B10827" i="3"/>
  <c r="D10826" i="3"/>
  <c r="C10826" i="3"/>
  <c r="B10826" i="3"/>
  <c r="D10825" i="3"/>
  <c r="C10825" i="3"/>
  <c r="B10825" i="3"/>
  <c r="D10824" i="3"/>
  <c r="C10824" i="3"/>
  <c r="B10824" i="3"/>
  <c r="D10823" i="3"/>
  <c r="C10823" i="3"/>
  <c r="B10823" i="3"/>
  <c r="D10822" i="3"/>
  <c r="C10822" i="3"/>
  <c r="B10822" i="3"/>
  <c r="D10821" i="3"/>
  <c r="C10821" i="3"/>
  <c r="B10821" i="3"/>
  <c r="D10820" i="3"/>
  <c r="C10820" i="3"/>
  <c r="B10820" i="3"/>
  <c r="D10819" i="3"/>
  <c r="C10819" i="3"/>
  <c r="B10819" i="3"/>
  <c r="D10818" i="3"/>
  <c r="C10818" i="3"/>
  <c r="B10818" i="3"/>
  <c r="D10817" i="3"/>
  <c r="C10817" i="3"/>
  <c r="B10817" i="3"/>
  <c r="D10816" i="3"/>
  <c r="C10816" i="3"/>
  <c r="B10816" i="3"/>
  <c r="D10815" i="3"/>
  <c r="C10815" i="3"/>
  <c r="B10815" i="3"/>
  <c r="D10814" i="3"/>
  <c r="C10814" i="3"/>
  <c r="B10814" i="3"/>
  <c r="D10813" i="3"/>
  <c r="C10813" i="3"/>
  <c r="B10813" i="3"/>
  <c r="D10812" i="3"/>
  <c r="C10812" i="3"/>
  <c r="B10812" i="3"/>
  <c r="D10811" i="3"/>
  <c r="C10811" i="3"/>
  <c r="B10811" i="3"/>
  <c r="D10810" i="3"/>
  <c r="C10810" i="3"/>
  <c r="B10810" i="3"/>
  <c r="D10809" i="3"/>
  <c r="C10809" i="3"/>
  <c r="B10809" i="3"/>
  <c r="D10808" i="3"/>
  <c r="C10808" i="3"/>
  <c r="B10808" i="3"/>
  <c r="D10807" i="3"/>
  <c r="C10807" i="3"/>
  <c r="B10807" i="3"/>
  <c r="D10806" i="3"/>
  <c r="C10806" i="3"/>
  <c r="B10806" i="3"/>
  <c r="D10805" i="3"/>
  <c r="C10805" i="3"/>
  <c r="B10805" i="3"/>
  <c r="D10804" i="3"/>
  <c r="C10804" i="3"/>
  <c r="B10804" i="3"/>
  <c r="D10803" i="3"/>
  <c r="C10803" i="3"/>
  <c r="B10803" i="3"/>
  <c r="D10802" i="3"/>
  <c r="C10802" i="3"/>
  <c r="B10802" i="3"/>
  <c r="D10801" i="3"/>
  <c r="C10801" i="3"/>
  <c r="B10801" i="3"/>
  <c r="D10800" i="3"/>
  <c r="C10800" i="3"/>
  <c r="B10800" i="3"/>
  <c r="D10799" i="3"/>
  <c r="C10799" i="3"/>
  <c r="B10799" i="3"/>
  <c r="D10798" i="3"/>
  <c r="C10798" i="3"/>
  <c r="B10798" i="3"/>
  <c r="D10797" i="3"/>
  <c r="C10797" i="3"/>
  <c r="B10797" i="3"/>
  <c r="D10796" i="3"/>
  <c r="C10796" i="3"/>
  <c r="B10796" i="3"/>
  <c r="D10795" i="3"/>
  <c r="C10795" i="3"/>
  <c r="B10795" i="3"/>
  <c r="D10794" i="3"/>
  <c r="C10794" i="3"/>
  <c r="B10794" i="3"/>
  <c r="D10793" i="3"/>
  <c r="C10793" i="3"/>
  <c r="B10793" i="3"/>
  <c r="D10792" i="3"/>
  <c r="C10792" i="3"/>
  <c r="B10792" i="3"/>
  <c r="D10791" i="3"/>
  <c r="C10791" i="3"/>
  <c r="B10791" i="3"/>
  <c r="D10790" i="3"/>
  <c r="C10790" i="3"/>
  <c r="B10790" i="3"/>
  <c r="D10789" i="3"/>
  <c r="C10789" i="3"/>
  <c r="B10789" i="3"/>
  <c r="D10788" i="3"/>
  <c r="C10788" i="3"/>
  <c r="B10788" i="3"/>
  <c r="D10787" i="3"/>
  <c r="C10787" i="3"/>
  <c r="B10787" i="3"/>
  <c r="D10786" i="3"/>
  <c r="C10786" i="3"/>
  <c r="B10786" i="3"/>
  <c r="D10785" i="3"/>
  <c r="C10785" i="3"/>
  <c r="B10785" i="3"/>
  <c r="D10784" i="3"/>
  <c r="C10784" i="3"/>
  <c r="B10784" i="3"/>
  <c r="D10783" i="3"/>
  <c r="C10783" i="3"/>
  <c r="B10783" i="3"/>
  <c r="D10782" i="3"/>
  <c r="C10782" i="3"/>
  <c r="B10782" i="3"/>
  <c r="D10781" i="3"/>
  <c r="C10781" i="3"/>
  <c r="B10781" i="3"/>
  <c r="D10780" i="3"/>
  <c r="C10780" i="3"/>
  <c r="B10780" i="3"/>
  <c r="D10779" i="3"/>
  <c r="C10779" i="3"/>
  <c r="B10779" i="3"/>
  <c r="D10778" i="3"/>
  <c r="C10778" i="3"/>
  <c r="B10778" i="3"/>
  <c r="D10777" i="3"/>
  <c r="C10777" i="3"/>
  <c r="B10777" i="3"/>
  <c r="D10776" i="3"/>
  <c r="C10776" i="3"/>
  <c r="B10776" i="3"/>
  <c r="D10775" i="3"/>
  <c r="C10775" i="3"/>
  <c r="B10775" i="3"/>
  <c r="D10774" i="3"/>
  <c r="C10774" i="3"/>
  <c r="B10774" i="3"/>
  <c r="D10773" i="3"/>
  <c r="C10773" i="3"/>
  <c r="B10773" i="3"/>
  <c r="D10772" i="3"/>
  <c r="C10772" i="3"/>
  <c r="B10772" i="3"/>
  <c r="D10771" i="3"/>
  <c r="C10771" i="3"/>
  <c r="B10771" i="3"/>
  <c r="D10770" i="3"/>
  <c r="C10770" i="3"/>
  <c r="B10770" i="3"/>
  <c r="D10769" i="3"/>
  <c r="C10769" i="3"/>
  <c r="B10769" i="3"/>
  <c r="D10768" i="3"/>
  <c r="C10768" i="3"/>
  <c r="B10768" i="3"/>
  <c r="D10767" i="3"/>
  <c r="C10767" i="3"/>
  <c r="B10767" i="3"/>
  <c r="D10766" i="3"/>
  <c r="C10766" i="3"/>
  <c r="B10766" i="3"/>
  <c r="D10765" i="3"/>
  <c r="C10765" i="3"/>
  <c r="B10765" i="3"/>
  <c r="D10764" i="3"/>
  <c r="C10764" i="3"/>
  <c r="B10764" i="3"/>
  <c r="D10763" i="3"/>
  <c r="C10763" i="3"/>
  <c r="B10763" i="3"/>
  <c r="D10762" i="3"/>
  <c r="C10762" i="3"/>
  <c r="B10762" i="3"/>
  <c r="D10761" i="3"/>
  <c r="C10761" i="3"/>
  <c r="B10761" i="3"/>
  <c r="D10760" i="3"/>
  <c r="C10760" i="3"/>
  <c r="B10760" i="3"/>
  <c r="D10759" i="3"/>
  <c r="C10759" i="3"/>
  <c r="B10759" i="3"/>
  <c r="D10758" i="3"/>
  <c r="C10758" i="3"/>
  <c r="B10758" i="3"/>
  <c r="D10757" i="3"/>
  <c r="C10757" i="3"/>
  <c r="B10757" i="3"/>
  <c r="D10756" i="3"/>
  <c r="C10756" i="3"/>
  <c r="B10756" i="3"/>
  <c r="D10755" i="3"/>
  <c r="C10755" i="3"/>
  <c r="B10755" i="3"/>
  <c r="D10754" i="3"/>
  <c r="C10754" i="3"/>
  <c r="B10754" i="3"/>
  <c r="D10753" i="3"/>
  <c r="C10753" i="3"/>
  <c r="B10753" i="3"/>
  <c r="D10752" i="3"/>
  <c r="C10752" i="3"/>
  <c r="B10752" i="3"/>
  <c r="D10751" i="3"/>
  <c r="C10751" i="3"/>
  <c r="B10751" i="3"/>
  <c r="D10750" i="3"/>
  <c r="C10750" i="3"/>
  <c r="B10750" i="3"/>
  <c r="D10749" i="3"/>
  <c r="C10749" i="3"/>
  <c r="B10749" i="3"/>
  <c r="D10748" i="3"/>
  <c r="C10748" i="3"/>
  <c r="B10748" i="3"/>
  <c r="D10747" i="3"/>
  <c r="C10747" i="3"/>
  <c r="B10747" i="3"/>
  <c r="D10746" i="3"/>
  <c r="C10746" i="3"/>
  <c r="B10746" i="3"/>
  <c r="D10745" i="3"/>
  <c r="C10745" i="3"/>
  <c r="B10745" i="3"/>
  <c r="D10744" i="3"/>
  <c r="C10744" i="3"/>
  <c r="B10744" i="3"/>
  <c r="D10743" i="3"/>
  <c r="C10743" i="3"/>
  <c r="B10743" i="3"/>
  <c r="D10742" i="3"/>
  <c r="C10742" i="3"/>
  <c r="B10742" i="3"/>
  <c r="D10741" i="3"/>
  <c r="C10741" i="3"/>
  <c r="B10741" i="3"/>
  <c r="D10740" i="3"/>
  <c r="C10740" i="3"/>
  <c r="B10740" i="3"/>
  <c r="D10739" i="3"/>
  <c r="C10739" i="3"/>
  <c r="B10739" i="3"/>
  <c r="D10738" i="3"/>
  <c r="C10738" i="3"/>
  <c r="B10738" i="3"/>
  <c r="D10737" i="3"/>
  <c r="C10737" i="3"/>
  <c r="B10737" i="3"/>
  <c r="D10736" i="3"/>
  <c r="C10736" i="3"/>
  <c r="B10736" i="3"/>
  <c r="D10735" i="3"/>
  <c r="C10735" i="3"/>
  <c r="B10735" i="3"/>
  <c r="D10734" i="3"/>
  <c r="C10734" i="3"/>
  <c r="B10734" i="3"/>
  <c r="D10733" i="3"/>
  <c r="C10733" i="3"/>
  <c r="B10733" i="3"/>
  <c r="D10732" i="3"/>
  <c r="C10732" i="3"/>
  <c r="B10732" i="3"/>
  <c r="D10731" i="3"/>
  <c r="C10731" i="3"/>
  <c r="B10731" i="3"/>
  <c r="D10730" i="3"/>
  <c r="C10730" i="3"/>
  <c r="B10730" i="3"/>
  <c r="D10729" i="3"/>
  <c r="C10729" i="3"/>
  <c r="B10729" i="3"/>
  <c r="D10728" i="3"/>
  <c r="C10728" i="3"/>
  <c r="B10728" i="3"/>
  <c r="D10727" i="3"/>
  <c r="C10727" i="3"/>
  <c r="B10727" i="3"/>
  <c r="D10726" i="3"/>
  <c r="C10726" i="3"/>
  <c r="B10726" i="3"/>
  <c r="D10725" i="3"/>
  <c r="C10725" i="3"/>
  <c r="B10725" i="3"/>
  <c r="D10724" i="3"/>
  <c r="C10724" i="3"/>
  <c r="B10724" i="3"/>
  <c r="D10723" i="3"/>
  <c r="C10723" i="3"/>
  <c r="B10723" i="3"/>
  <c r="D10722" i="3"/>
  <c r="C10722" i="3"/>
  <c r="B10722" i="3"/>
  <c r="D10721" i="3"/>
  <c r="C10721" i="3"/>
  <c r="B10721" i="3"/>
  <c r="D10720" i="3"/>
  <c r="C10720" i="3"/>
  <c r="B10720" i="3"/>
  <c r="D10719" i="3"/>
  <c r="C10719" i="3"/>
  <c r="B10719" i="3"/>
  <c r="D10718" i="3"/>
  <c r="C10718" i="3"/>
  <c r="B10718" i="3"/>
  <c r="D10717" i="3"/>
  <c r="C10717" i="3"/>
  <c r="B10717" i="3"/>
  <c r="D10716" i="3"/>
  <c r="C10716" i="3"/>
  <c r="B10716" i="3"/>
  <c r="D10715" i="3"/>
  <c r="C10715" i="3"/>
  <c r="B10715" i="3"/>
  <c r="D10714" i="3"/>
  <c r="C10714" i="3"/>
  <c r="B10714" i="3"/>
  <c r="D10713" i="3"/>
  <c r="C10713" i="3"/>
  <c r="B10713" i="3"/>
  <c r="D10712" i="3"/>
  <c r="C10712" i="3"/>
  <c r="B10712" i="3"/>
  <c r="D10711" i="3"/>
  <c r="C10711" i="3"/>
  <c r="B10711" i="3"/>
  <c r="D10710" i="3"/>
  <c r="C10710" i="3"/>
  <c r="B10710" i="3"/>
  <c r="D10709" i="3"/>
  <c r="C10709" i="3"/>
  <c r="B10709" i="3"/>
  <c r="D10708" i="3"/>
  <c r="C10708" i="3"/>
  <c r="B10708" i="3"/>
  <c r="D10707" i="3"/>
  <c r="C10707" i="3"/>
  <c r="B10707" i="3"/>
  <c r="D10706" i="3"/>
  <c r="C10706" i="3"/>
  <c r="B10706" i="3"/>
  <c r="D10705" i="3"/>
  <c r="C10705" i="3"/>
  <c r="B10705" i="3"/>
  <c r="D10704" i="3"/>
  <c r="C10704" i="3"/>
  <c r="B10704" i="3"/>
  <c r="D10703" i="3"/>
  <c r="C10703" i="3"/>
  <c r="B10703" i="3"/>
  <c r="D10702" i="3"/>
  <c r="C10702" i="3"/>
  <c r="B10702" i="3"/>
  <c r="D10701" i="3"/>
  <c r="C10701" i="3"/>
  <c r="B10701" i="3"/>
  <c r="D10700" i="3"/>
  <c r="C10700" i="3"/>
  <c r="B10700" i="3"/>
  <c r="D10699" i="3"/>
  <c r="C10699" i="3"/>
  <c r="B10699" i="3"/>
  <c r="D10698" i="3"/>
  <c r="C10698" i="3"/>
  <c r="B10698" i="3"/>
  <c r="D10697" i="3"/>
  <c r="C10697" i="3"/>
  <c r="B10697" i="3"/>
  <c r="D10696" i="3"/>
  <c r="C10696" i="3"/>
  <c r="B10696" i="3"/>
  <c r="D10695" i="3"/>
  <c r="C10695" i="3"/>
  <c r="B10695" i="3"/>
  <c r="D10694" i="3"/>
  <c r="C10694" i="3"/>
  <c r="B10694" i="3"/>
  <c r="D10693" i="3"/>
  <c r="C10693" i="3"/>
  <c r="B10693" i="3"/>
  <c r="D10692" i="3"/>
  <c r="C10692" i="3"/>
  <c r="B10692" i="3"/>
  <c r="D10691" i="3"/>
  <c r="C10691" i="3"/>
  <c r="B10691" i="3"/>
  <c r="D10690" i="3"/>
  <c r="C10690" i="3"/>
  <c r="B10690" i="3"/>
  <c r="D10689" i="3"/>
  <c r="C10689" i="3"/>
  <c r="B10689" i="3"/>
  <c r="D10688" i="3"/>
  <c r="C10688" i="3"/>
  <c r="B10688" i="3"/>
  <c r="D10687" i="3"/>
  <c r="C10687" i="3"/>
  <c r="B10687" i="3"/>
  <c r="D10686" i="3"/>
  <c r="C10686" i="3"/>
  <c r="B10686" i="3"/>
  <c r="D10685" i="3"/>
  <c r="C10685" i="3"/>
  <c r="B10685" i="3"/>
  <c r="D10684" i="3"/>
  <c r="C10684" i="3"/>
  <c r="B10684" i="3"/>
  <c r="D10683" i="3"/>
  <c r="C10683" i="3"/>
  <c r="B10683" i="3"/>
  <c r="D10682" i="3"/>
  <c r="C10682" i="3"/>
  <c r="B10682" i="3"/>
  <c r="D10681" i="3"/>
  <c r="C10681" i="3"/>
  <c r="B10681" i="3"/>
  <c r="D10680" i="3"/>
  <c r="C10680" i="3"/>
  <c r="B10680" i="3"/>
  <c r="D10679" i="3"/>
  <c r="C10679" i="3"/>
  <c r="B10679" i="3"/>
  <c r="D10678" i="3"/>
  <c r="C10678" i="3"/>
  <c r="B10678" i="3"/>
  <c r="D10677" i="3"/>
  <c r="C10677" i="3"/>
  <c r="B10677" i="3"/>
  <c r="D10676" i="3"/>
  <c r="C10676" i="3"/>
  <c r="B10676" i="3"/>
  <c r="D10675" i="3"/>
  <c r="C10675" i="3"/>
  <c r="B10675" i="3"/>
  <c r="D10674" i="3"/>
  <c r="C10674" i="3"/>
  <c r="B10674" i="3"/>
  <c r="D10673" i="3"/>
  <c r="C10673" i="3"/>
  <c r="B10673" i="3"/>
  <c r="D10672" i="3"/>
  <c r="C10672" i="3"/>
  <c r="B10672" i="3"/>
  <c r="D10671" i="3"/>
  <c r="C10671" i="3"/>
  <c r="B10671" i="3"/>
  <c r="D10670" i="3"/>
  <c r="C10670" i="3"/>
  <c r="B10670" i="3"/>
  <c r="D10669" i="3"/>
  <c r="C10669" i="3"/>
  <c r="B10669" i="3"/>
  <c r="D10668" i="3"/>
  <c r="C10668" i="3"/>
  <c r="B10668" i="3"/>
  <c r="D10667" i="3"/>
  <c r="C10667" i="3"/>
  <c r="B10667" i="3"/>
  <c r="D10666" i="3"/>
  <c r="C10666" i="3"/>
  <c r="B10666" i="3"/>
  <c r="D10665" i="3"/>
  <c r="C10665" i="3"/>
  <c r="B10665" i="3"/>
  <c r="D10664" i="3"/>
  <c r="C10664" i="3"/>
  <c r="B10664" i="3"/>
  <c r="D10663" i="3"/>
  <c r="C10663" i="3"/>
  <c r="B10663" i="3"/>
  <c r="D10662" i="3"/>
  <c r="C10662" i="3"/>
  <c r="B10662" i="3"/>
  <c r="D10661" i="3"/>
  <c r="C10661" i="3"/>
  <c r="B10661" i="3"/>
  <c r="D10660" i="3"/>
  <c r="C10660" i="3"/>
  <c r="B10660" i="3"/>
  <c r="D10659" i="3"/>
  <c r="C10659" i="3"/>
  <c r="B10659" i="3"/>
  <c r="D10658" i="3"/>
  <c r="C10658" i="3"/>
  <c r="B10658" i="3"/>
  <c r="D10657" i="3"/>
  <c r="C10657" i="3"/>
  <c r="B10657" i="3"/>
  <c r="D10656" i="3"/>
  <c r="C10656" i="3"/>
  <c r="B10656" i="3"/>
  <c r="D10655" i="3"/>
  <c r="C10655" i="3"/>
  <c r="B10655" i="3"/>
  <c r="D10654" i="3"/>
  <c r="C10654" i="3"/>
  <c r="B10654" i="3"/>
  <c r="D10653" i="3"/>
  <c r="C10653" i="3"/>
  <c r="B10653" i="3"/>
  <c r="D10652" i="3"/>
  <c r="C10652" i="3"/>
  <c r="B10652" i="3"/>
  <c r="D10651" i="3"/>
  <c r="C10651" i="3"/>
  <c r="B10651" i="3"/>
  <c r="D10650" i="3"/>
  <c r="C10650" i="3"/>
  <c r="B10650" i="3"/>
  <c r="D10649" i="3"/>
  <c r="C10649" i="3"/>
  <c r="B10649" i="3"/>
  <c r="D10648" i="3"/>
  <c r="C10648" i="3"/>
  <c r="B10648" i="3"/>
  <c r="D10647" i="3"/>
  <c r="C10647" i="3"/>
  <c r="B10647" i="3"/>
  <c r="D10646" i="3"/>
  <c r="C10646" i="3"/>
  <c r="B10646" i="3"/>
  <c r="D10645" i="3"/>
  <c r="C10645" i="3"/>
  <c r="B10645" i="3"/>
  <c r="D10644" i="3"/>
  <c r="C10644" i="3"/>
  <c r="B10644" i="3"/>
  <c r="D10643" i="3"/>
  <c r="C10643" i="3"/>
  <c r="B10643" i="3"/>
  <c r="D10642" i="3"/>
  <c r="C10642" i="3"/>
  <c r="B10642" i="3"/>
  <c r="D10641" i="3"/>
  <c r="C10641" i="3"/>
  <c r="B10641" i="3"/>
  <c r="D10640" i="3"/>
  <c r="C10640" i="3"/>
  <c r="B10640" i="3"/>
  <c r="D10639" i="3"/>
  <c r="C10639" i="3"/>
  <c r="B10639" i="3"/>
  <c r="D10638" i="3"/>
  <c r="C10638" i="3"/>
  <c r="B10638" i="3"/>
  <c r="D10637" i="3"/>
  <c r="C10637" i="3"/>
  <c r="B10637" i="3"/>
  <c r="D10636" i="3"/>
  <c r="C10636" i="3"/>
  <c r="B10636" i="3"/>
  <c r="D10635" i="3"/>
  <c r="C10635" i="3"/>
  <c r="B10635" i="3"/>
  <c r="D10634" i="3"/>
  <c r="C10634" i="3"/>
  <c r="B10634" i="3"/>
  <c r="D10633" i="3"/>
  <c r="C10633" i="3"/>
  <c r="B10633" i="3"/>
  <c r="D10632" i="3"/>
  <c r="C10632" i="3"/>
  <c r="B10632" i="3"/>
  <c r="D10631" i="3"/>
  <c r="C10631" i="3"/>
  <c r="B10631" i="3"/>
  <c r="D10630" i="3"/>
  <c r="C10630" i="3"/>
  <c r="B10630" i="3"/>
  <c r="D10629" i="3"/>
  <c r="C10629" i="3"/>
  <c r="B10629" i="3"/>
  <c r="D10628" i="3"/>
  <c r="C10628" i="3"/>
  <c r="B10628" i="3"/>
  <c r="D10627" i="3"/>
  <c r="C10627" i="3"/>
  <c r="B10627" i="3"/>
  <c r="D10626" i="3"/>
  <c r="C10626" i="3"/>
  <c r="B10626" i="3"/>
  <c r="D10625" i="3"/>
  <c r="C10625" i="3"/>
  <c r="B10625" i="3"/>
  <c r="D10624" i="3"/>
  <c r="C10624" i="3"/>
  <c r="B10624" i="3"/>
  <c r="D10623" i="3"/>
  <c r="C10623" i="3"/>
  <c r="B10623" i="3"/>
  <c r="D10622" i="3"/>
  <c r="C10622" i="3"/>
  <c r="B10622" i="3"/>
  <c r="D10621" i="3"/>
  <c r="C10621" i="3"/>
  <c r="B10621" i="3"/>
  <c r="D10620" i="3"/>
  <c r="C10620" i="3"/>
  <c r="B10620" i="3"/>
  <c r="D10619" i="3"/>
  <c r="C10619" i="3"/>
  <c r="B10619" i="3"/>
  <c r="D10618" i="3"/>
  <c r="C10618" i="3"/>
  <c r="B10618" i="3"/>
  <c r="D10617" i="3"/>
  <c r="C10617" i="3"/>
  <c r="B10617" i="3"/>
  <c r="D10616" i="3"/>
  <c r="C10616" i="3"/>
  <c r="B10616" i="3"/>
  <c r="D10615" i="3"/>
  <c r="C10615" i="3"/>
  <c r="B10615" i="3"/>
  <c r="D10614" i="3"/>
  <c r="C10614" i="3"/>
  <c r="B10614" i="3"/>
  <c r="D10613" i="3"/>
  <c r="C10613" i="3"/>
  <c r="B10613" i="3"/>
  <c r="D10612" i="3"/>
  <c r="C10612" i="3"/>
  <c r="B10612" i="3"/>
  <c r="D10611" i="3"/>
  <c r="C10611" i="3"/>
  <c r="B10611" i="3"/>
  <c r="D10610" i="3"/>
  <c r="C10610" i="3"/>
  <c r="B10610" i="3"/>
  <c r="D10609" i="3"/>
  <c r="C10609" i="3"/>
  <c r="B10609" i="3"/>
  <c r="D10608" i="3"/>
  <c r="C10608" i="3"/>
  <c r="B10608" i="3"/>
  <c r="D10607" i="3"/>
  <c r="C10607" i="3"/>
  <c r="B10607" i="3"/>
  <c r="D10606" i="3"/>
  <c r="C10606" i="3"/>
  <c r="B10606" i="3"/>
  <c r="D10605" i="3"/>
  <c r="C10605" i="3"/>
  <c r="B10605" i="3"/>
  <c r="D10604" i="3"/>
  <c r="C10604" i="3"/>
  <c r="B10604" i="3"/>
  <c r="D10603" i="3"/>
  <c r="C10603" i="3"/>
  <c r="B10603" i="3"/>
  <c r="D10602" i="3"/>
  <c r="C10602" i="3"/>
  <c r="B10602" i="3"/>
  <c r="D10601" i="3"/>
  <c r="C10601" i="3"/>
  <c r="B10601" i="3"/>
  <c r="D10600" i="3"/>
  <c r="C10600" i="3"/>
  <c r="B10600" i="3"/>
  <c r="D10599" i="3"/>
  <c r="C10599" i="3"/>
  <c r="B10599" i="3"/>
  <c r="D10598" i="3"/>
  <c r="C10598" i="3"/>
  <c r="B10598" i="3"/>
  <c r="D10597" i="3"/>
  <c r="C10597" i="3"/>
  <c r="B10597" i="3"/>
  <c r="D10596" i="3"/>
  <c r="C10596" i="3"/>
  <c r="B10596" i="3"/>
  <c r="D10595" i="3"/>
  <c r="C10595" i="3"/>
  <c r="B10595" i="3"/>
  <c r="D10594" i="3"/>
  <c r="C10594" i="3"/>
  <c r="B10594" i="3"/>
  <c r="D10593" i="3"/>
  <c r="C10593" i="3"/>
  <c r="B10593" i="3"/>
  <c r="D10592" i="3"/>
  <c r="C10592" i="3"/>
  <c r="B10592" i="3"/>
  <c r="D10591" i="3"/>
  <c r="C10591" i="3"/>
  <c r="B10591" i="3"/>
  <c r="D10590" i="3"/>
  <c r="C10590" i="3"/>
  <c r="B10590" i="3"/>
  <c r="D10589" i="3"/>
  <c r="C10589" i="3"/>
  <c r="B10589" i="3"/>
  <c r="D10588" i="3"/>
  <c r="C10588" i="3"/>
  <c r="B10588" i="3"/>
  <c r="D10587" i="3"/>
  <c r="C10587" i="3"/>
  <c r="B10587" i="3"/>
  <c r="D10586" i="3"/>
  <c r="C10586" i="3"/>
  <c r="B10586" i="3"/>
  <c r="D10585" i="3"/>
  <c r="C10585" i="3"/>
  <c r="B10585" i="3"/>
  <c r="D10584" i="3"/>
  <c r="C10584" i="3"/>
  <c r="B10584" i="3"/>
  <c r="D10583" i="3"/>
  <c r="C10583" i="3"/>
  <c r="B10583" i="3"/>
  <c r="D10582" i="3"/>
  <c r="C10582" i="3"/>
  <c r="B10582" i="3"/>
  <c r="D10581" i="3"/>
  <c r="C10581" i="3"/>
  <c r="B10581" i="3"/>
  <c r="D10580" i="3"/>
  <c r="C10580" i="3"/>
  <c r="B10580" i="3"/>
  <c r="D10579" i="3"/>
  <c r="C10579" i="3"/>
  <c r="B10579" i="3"/>
  <c r="D10578" i="3"/>
  <c r="C10578" i="3"/>
  <c r="B10578" i="3"/>
  <c r="D10577" i="3"/>
  <c r="C10577" i="3"/>
  <c r="B10577" i="3"/>
  <c r="D10576" i="3"/>
  <c r="C10576" i="3"/>
  <c r="B10576" i="3"/>
  <c r="D10575" i="3"/>
  <c r="C10575" i="3"/>
  <c r="B10575" i="3"/>
  <c r="D10574" i="3"/>
  <c r="C10574" i="3"/>
  <c r="B10574" i="3"/>
  <c r="D10573" i="3"/>
  <c r="C10573" i="3"/>
  <c r="B10573" i="3"/>
  <c r="D10572" i="3"/>
  <c r="C10572" i="3"/>
  <c r="B10572" i="3"/>
  <c r="D10571" i="3"/>
  <c r="C10571" i="3"/>
  <c r="B10571" i="3"/>
  <c r="D10570" i="3"/>
  <c r="C10570" i="3"/>
  <c r="B10570" i="3"/>
  <c r="D10569" i="3"/>
  <c r="C10569" i="3"/>
  <c r="B10569" i="3"/>
  <c r="D10568" i="3"/>
  <c r="C10568" i="3"/>
  <c r="B10568" i="3"/>
  <c r="D10567" i="3"/>
  <c r="C10567" i="3"/>
  <c r="B10567" i="3"/>
  <c r="D10566" i="3"/>
  <c r="C10566" i="3"/>
  <c r="B10566" i="3"/>
  <c r="D10565" i="3"/>
  <c r="C10565" i="3"/>
  <c r="B10565" i="3"/>
  <c r="D10564" i="3"/>
  <c r="C10564" i="3"/>
  <c r="B10564" i="3"/>
  <c r="D10563" i="3"/>
  <c r="C10563" i="3"/>
  <c r="B10563" i="3"/>
  <c r="D10562" i="3"/>
  <c r="C10562" i="3"/>
  <c r="B10562" i="3"/>
  <c r="D10561" i="3"/>
  <c r="C10561" i="3"/>
  <c r="B10561" i="3"/>
  <c r="D10560" i="3"/>
  <c r="C10560" i="3"/>
  <c r="B10560" i="3"/>
  <c r="D10559" i="3"/>
  <c r="C10559" i="3"/>
  <c r="B10559" i="3"/>
  <c r="D10558" i="3"/>
  <c r="C10558" i="3"/>
  <c r="B10558" i="3"/>
  <c r="D10557" i="3"/>
  <c r="C10557" i="3"/>
  <c r="B10557" i="3"/>
  <c r="D10556" i="3"/>
  <c r="C10556" i="3"/>
  <c r="B10556" i="3"/>
  <c r="D10555" i="3"/>
  <c r="C10555" i="3"/>
  <c r="B10555" i="3"/>
  <c r="D10554" i="3"/>
  <c r="C10554" i="3"/>
  <c r="B10554" i="3"/>
  <c r="D10553" i="3"/>
  <c r="C10553" i="3"/>
  <c r="B10553" i="3"/>
  <c r="D10552" i="3"/>
  <c r="C10552" i="3"/>
  <c r="B10552" i="3"/>
  <c r="D10551" i="3"/>
  <c r="C10551" i="3"/>
  <c r="B10551" i="3"/>
  <c r="D10550" i="3"/>
  <c r="C10550" i="3"/>
  <c r="B10550" i="3"/>
  <c r="D10549" i="3"/>
  <c r="C10549" i="3"/>
  <c r="B10549" i="3"/>
  <c r="D10548" i="3"/>
  <c r="C10548" i="3"/>
  <c r="B10548" i="3"/>
  <c r="D10547" i="3"/>
  <c r="C10547" i="3"/>
  <c r="B10547" i="3"/>
  <c r="D10546" i="3"/>
  <c r="C10546" i="3"/>
  <c r="B10546" i="3"/>
  <c r="D10545" i="3"/>
  <c r="C10545" i="3"/>
  <c r="B10545" i="3"/>
  <c r="D10544" i="3"/>
  <c r="C10544" i="3"/>
  <c r="B10544" i="3"/>
  <c r="D10543" i="3"/>
  <c r="C10543" i="3"/>
  <c r="B10543" i="3"/>
  <c r="D10542" i="3"/>
  <c r="C10542" i="3"/>
  <c r="B10542" i="3"/>
  <c r="D10541" i="3"/>
  <c r="C10541" i="3"/>
  <c r="B10541" i="3"/>
  <c r="D10540" i="3"/>
  <c r="C10540" i="3"/>
  <c r="B10540" i="3"/>
  <c r="D10539" i="3"/>
  <c r="C10539" i="3"/>
  <c r="B10539" i="3"/>
  <c r="D10538" i="3"/>
  <c r="C10538" i="3"/>
  <c r="B10538" i="3"/>
  <c r="D10537" i="3"/>
  <c r="C10537" i="3"/>
  <c r="B10537" i="3"/>
  <c r="D10536" i="3"/>
  <c r="C10536" i="3"/>
  <c r="B10536" i="3"/>
  <c r="D10535" i="3"/>
  <c r="C10535" i="3"/>
  <c r="B10535" i="3"/>
  <c r="D10534" i="3"/>
  <c r="C10534" i="3"/>
  <c r="B10534" i="3"/>
  <c r="D10533" i="3"/>
  <c r="C10533" i="3"/>
  <c r="B10533" i="3"/>
  <c r="D10532" i="3"/>
  <c r="C10532" i="3"/>
  <c r="B10532" i="3"/>
  <c r="D10531" i="3"/>
  <c r="C10531" i="3"/>
  <c r="B10531" i="3"/>
  <c r="D10530" i="3"/>
  <c r="C10530" i="3"/>
  <c r="B10530" i="3"/>
  <c r="D10529" i="3"/>
  <c r="C10529" i="3"/>
  <c r="B10529" i="3"/>
  <c r="D10528" i="3"/>
  <c r="C10528" i="3"/>
  <c r="B10528" i="3"/>
  <c r="D10527" i="3"/>
  <c r="C10527" i="3"/>
  <c r="B10527" i="3"/>
  <c r="D10526" i="3"/>
  <c r="C10526" i="3"/>
  <c r="B10526" i="3"/>
  <c r="D10525" i="3"/>
  <c r="C10525" i="3"/>
  <c r="B10525" i="3"/>
  <c r="D10524" i="3"/>
  <c r="C10524" i="3"/>
  <c r="B10524" i="3"/>
  <c r="D10523" i="3"/>
  <c r="C10523" i="3"/>
  <c r="B10523" i="3"/>
  <c r="D10522" i="3"/>
  <c r="C10522" i="3"/>
  <c r="B10522" i="3"/>
  <c r="D10521" i="3"/>
  <c r="C10521" i="3"/>
  <c r="B10521" i="3"/>
  <c r="D10520" i="3"/>
  <c r="C10520" i="3"/>
  <c r="B10520" i="3"/>
  <c r="D10519" i="3"/>
  <c r="C10519" i="3"/>
  <c r="B10519" i="3"/>
  <c r="D10518" i="3"/>
  <c r="C10518" i="3"/>
  <c r="B10518" i="3"/>
  <c r="D10517" i="3"/>
  <c r="C10517" i="3"/>
  <c r="B10517" i="3"/>
  <c r="D10516" i="3"/>
  <c r="C10516" i="3"/>
  <c r="B10516" i="3"/>
  <c r="D10515" i="3"/>
  <c r="C10515" i="3"/>
  <c r="B10515" i="3"/>
  <c r="D10514" i="3"/>
  <c r="C10514" i="3"/>
  <c r="B10514" i="3"/>
  <c r="D10513" i="3"/>
  <c r="C10513" i="3"/>
  <c r="B10513" i="3"/>
  <c r="D10512" i="3"/>
  <c r="C10512" i="3"/>
  <c r="B10512" i="3"/>
  <c r="D10511" i="3"/>
  <c r="C10511" i="3"/>
  <c r="B10511" i="3"/>
  <c r="D10510" i="3"/>
  <c r="C10510" i="3"/>
  <c r="B10510" i="3"/>
  <c r="D10509" i="3"/>
  <c r="C10509" i="3"/>
  <c r="B10509" i="3"/>
  <c r="D10508" i="3"/>
  <c r="C10508" i="3"/>
  <c r="B10508" i="3"/>
  <c r="D10507" i="3"/>
  <c r="C10507" i="3"/>
  <c r="B10507" i="3"/>
  <c r="D10506" i="3"/>
  <c r="C10506" i="3"/>
  <c r="B10506" i="3"/>
  <c r="D10505" i="3"/>
  <c r="C10505" i="3"/>
  <c r="B10505" i="3"/>
  <c r="D10504" i="3"/>
  <c r="C10504" i="3"/>
  <c r="B10504" i="3"/>
  <c r="D10503" i="3"/>
  <c r="C10503" i="3"/>
  <c r="B10503" i="3"/>
  <c r="D10502" i="3"/>
  <c r="C10502" i="3"/>
  <c r="B10502" i="3"/>
  <c r="D10501" i="3"/>
  <c r="C10501" i="3"/>
  <c r="B10501" i="3"/>
  <c r="D10500" i="3"/>
  <c r="C10500" i="3"/>
  <c r="B10500" i="3"/>
  <c r="D10499" i="3"/>
  <c r="C10499" i="3"/>
  <c r="B10499" i="3"/>
  <c r="D10498" i="3"/>
  <c r="C10498" i="3"/>
  <c r="B10498" i="3"/>
  <c r="D10497" i="3"/>
  <c r="C10497" i="3"/>
  <c r="B10497" i="3"/>
  <c r="D10496" i="3"/>
  <c r="C10496" i="3"/>
  <c r="B10496" i="3"/>
  <c r="D10495" i="3"/>
  <c r="C10495" i="3"/>
  <c r="B10495" i="3"/>
  <c r="D10494" i="3"/>
  <c r="C10494" i="3"/>
  <c r="B10494" i="3"/>
  <c r="D10493" i="3"/>
  <c r="C10493" i="3"/>
  <c r="B10493" i="3"/>
  <c r="D10492" i="3"/>
  <c r="C10492" i="3"/>
  <c r="B10492" i="3"/>
  <c r="D10491" i="3"/>
  <c r="C10491" i="3"/>
  <c r="B10491" i="3"/>
  <c r="D10490" i="3"/>
  <c r="C10490" i="3"/>
  <c r="B10490" i="3"/>
  <c r="D10489" i="3"/>
  <c r="C10489" i="3"/>
  <c r="B10489" i="3"/>
  <c r="D10488" i="3"/>
  <c r="C10488" i="3"/>
  <c r="B10488" i="3"/>
  <c r="D10487" i="3"/>
  <c r="C10487" i="3"/>
  <c r="B10487" i="3"/>
  <c r="D10486" i="3"/>
  <c r="C10486" i="3"/>
  <c r="B10486" i="3"/>
  <c r="D10485" i="3"/>
  <c r="C10485" i="3"/>
  <c r="B10485" i="3"/>
  <c r="D10484" i="3"/>
  <c r="C10484" i="3"/>
  <c r="B10484" i="3"/>
  <c r="D10483" i="3"/>
  <c r="C10483" i="3"/>
  <c r="B10483" i="3"/>
  <c r="D10482" i="3"/>
  <c r="C10482" i="3"/>
  <c r="B10482" i="3"/>
  <c r="D10481" i="3"/>
  <c r="C10481" i="3"/>
  <c r="B10481" i="3"/>
  <c r="D10480" i="3"/>
  <c r="C10480" i="3"/>
  <c r="B10480" i="3"/>
  <c r="D10479" i="3"/>
  <c r="C10479" i="3"/>
  <c r="B10479" i="3"/>
  <c r="D10478" i="3"/>
  <c r="C10478" i="3"/>
  <c r="B10478" i="3"/>
  <c r="D10477" i="3"/>
  <c r="C10477" i="3"/>
  <c r="B10477" i="3"/>
  <c r="D10476" i="3"/>
  <c r="C10476" i="3"/>
  <c r="B10476" i="3"/>
  <c r="D10475" i="3"/>
  <c r="C10475" i="3"/>
  <c r="B10475" i="3"/>
  <c r="D10474" i="3"/>
  <c r="C10474" i="3"/>
  <c r="B10474" i="3"/>
  <c r="D10473" i="3"/>
  <c r="C10473" i="3"/>
  <c r="B10473" i="3"/>
  <c r="D10472" i="3"/>
  <c r="C10472" i="3"/>
  <c r="B10472" i="3"/>
  <c r="D10471" i="3"/>
  <c r="C10471" i="3"/>
  <c r="B10471" i="3"/>
  <c r="D10470" i="3"/>
  <c r="C10470" i="3"/>
  <c r="B10470" i="3"/>
  <c r="D10469" i="3"/>
  <c r="C10469" i="3"/>
  <c r="B10469" i="3"/>
  <c r="D10468" i="3"/>
  <c r="C10468" i="3"/>
  <c r="B10468" i="3"/>
  <c r="D10467" i="3"/>
  <c r="C10467" i="3"/>
  <c r="B10467" i="3"/>
  <c r="D10466" i="3"/>
  <c r="C10466" i="3"/>
  <c r="B10466" i="3"/>
  <c r="D10465" i="3"/>
  <c r="C10465" i="3"/>
  <c r="B10465" i="3"/>
  <c r="D10464" i="3"/>
  <c r="C10464" i="3"/>
  <c r="B10464" i="3"/>
  <c r="D10463" i="3"/>
  <c r="C10463" i="3"/>
  <c r="B10463" i="3"/>
  <c r="D10462" i="3"/>
  <c r="C10462" i="3"/>
  <c r="B10462" i="3"/>
  <c r="D10461" i="3"/>
  <c r="C10461" i="3"/>
  <c r="B10461" i="3"/>
  <c r="D10460" i="3"/>
  <c r="C10460" i="3"/>
  <c r="B10460" i="3"/>
  <c r="D10459" i="3"/>
  <c r="C10459" i="3"/>
  <c r="B10459" i="3"/>
  <c r="D10458" i="3"/>
  <c r="C10458" i="3"/>
  <c r="B10458" i="3"/>
  <c r="D10457" i="3"/>
  <c r="C10457" i="3"/>
  <c r="B10457" i="3"/>
  <c r="D10456" i="3"/>
  <c r="C10456" i="3"/>
  <c r="B10456" i="3"/>
  <c r="D10455" i="3"/>
  <c r="C10455" i="3"/>
  <c r="B10455" i="3"/>
  <c r="D10454" i="3"/>
  <c r="C10454" i="3"/>
  <c r="B10454" i="3"/>
  <c r="D10453" i="3"/>
  <c r="C10453" i="3"/>
  <c r="B10453" i="3"/>
  <c r="D10452" i="3"/>
  <c r="C10452" i="3"/>
  <c r="B10452" i="3"/>
  <c r="D10451" i="3"/>
  <c r="C10451" i="3"/>
  <c r="B10451" i="3"/>
  <c r="D10450" i="3"/>
  <c r="C10450" i="3"/>
  <c r="B10450" i="3"/>
  <c r="D10449" i="3"/>
  <c r="C10449" i="3"/>
  <c r="B10449" i="3"/>
  <c r="D10448" i="3"/>
  <c r="C10448" i="3"/>
  <c r="B10448" i="3"/>
  <c r="D10447" i="3"/>
  <c r="C10447" i="3"/>
  <c r="B10447" i="3"/>
  <c r="D10446" i="3"/>
  <c r="C10446" i="3"/>
  <c r="B10446" i="3"/>
  <c r="D10445" i="3"/>
  <c r="C10445" i="3"/>
  <c r="B10445" i="3"/>
  <c r="D10444" i="3"/>
  <c r="C10444" i="3"/>
  <c r="B10444" i="3"/>
  <c r="D10443" i="3"/>
  <c r="C10443" i="3"/>
  <c r="B10443" i="3"/>
  <c r="D10442" i="3"/>
  <c r="C10442" i="3"/>
  <c r="B10442" i="3"/>
  <c r="D10441" i="3"/>
  <c r="C10441" i="3"/>
  <c r="B10441" i="3"/>
  <c r="D10440" i="3"/>
  <c r="C10440" i="3"/>
  <c r="B10440" i="3"/>
  <c r="D10439" i="3"/>
  <c r="C10439" i="3"/>
  <c r="B10439" i="3"/>
  <c r="D10438" i="3"/>
  <c r="C10438" i="3"/>
  <c r="B10438" i="3"/>
  <c r="D10437" i="3"/>
  <c r="C10437" i="3"/>
  <c r="B10437" i="3"/>
  <c r="D10436" i="3"/>
  <c r="C10436" i="3"/>
  <c r="B10436" i="3"/>
  <c r="D10435" i="3"/>
  <c r="C10435" i="3"/>
  <c r="B10435" i="3"/>
  <c r="D10434" i="3"/>
  <c r="C10434" i="3"/>
  <c r="B10434" i="3"/>
  <c r="D10433" i="3"/>
  <c r="C10433" i="3"/>
  <c r="B10433" i="3"/>
  <c r="D10432" i="3"/>
  <c r="C10432" i="3"/>
  <c r="B10432" i="3"/>
  <c r="D10431" i="3"/>
  <c r="C10431" i="3"/>
  <c r="B10431" i="3"/>
  <c r="D10430" i="3"/>
  <c r="C10430" i="3"/>
  <c r="B10430" i="3"/>
  <c r="D10429" i="3"/>
  <c r="C10429" i="3"/>
  <c r="B10429" i="3"/>
  <c r="D10428" i="3"/>
  <c r="C10428" i="3"/>
  <c r="B10428" i="3"/>
  <c r="D10427" i="3"/>
  <c r="C10427" i="3"/>
  <c r="B10427" i="3"/>
  <c r="D10426" i="3"/>
  <c r="C10426" i="3"/>
  <c r="B10426" i="3"/>
  <c r="D10425" i="3"/>
  <c r="C10425" i="3"/>
  <c r="B10425" i="3"/>
  <c r="D10424" i="3"/>
  <c r="C10424" i="3"/>
  <c r="B10424" i="3"/>
  <c r="D10423" i="3"/>
  <c r="C10423" i="3"/>
  <c r="B10423" i="3"/>
  <c r="D10422" i="3"/>
  <c r="C10422" i="3"/>
  <c r="B10422" i="3"/>
  <c r="D10421" i="3"/>
  <c r="C10421" i="3"/>
  <c r="B10421" i="3"/>
  <c r="D10420" i="3"/>
  <c r="C10420" i="3"/>
  <c r="B10420" i="3"/>
  <c r="D10419" i="3"/>
  <c r="C10419" i="3"/>
  <c r="B10419" i="3"/>
  <c r="D10418" i="3"/>
  <c r="C10418" i="3"/>
  <c r="B10418" i="3"/>
  <c r="D10417" i="3"/>
  <c r="C10417" i="3"/>
  <c r="B10417" i="3"/>
  <c r="D10416" i="3"/>
  <c r="C10416" i="3"/>
  <c r="B10416" i="3"/>
  <c r="D10415" i="3"/>
  <c r="C10415" i="3"/>
  <c r="B10415" i="3"/>
  <c r="D10414" i="3"/>
  <c r="C10414" i="3"/>
  <c r="B10414" i="3"/>
  <c r="D10413" i="3"/>
  <c r="C10413" i="3"/>
  <c r="B10413" i="3"/>
  <c r="D10412" i="3"/>
  <c r="C10412" i="3"/>
  <c r="B10412" i="3"/>
  <c r="D10411" i="3"/>
  <c r="C10411" i="3"/>
  <c r="B10411" i="3"/>
  <c r="D10410" i="3"/>
  <c r="C10410" i="3"/>
  <c r="B10410" i="3"/>
  <c r="D10409" i="3"/>
  <c r="C10409" i="3"/>
  <c r="B10409" i="3"/>
  <c r="D10408" i="3"/>
  <c r="C10408" i="3"/>
  <c r="B10408" i="3"/>
  <c r="D10407" i="3"/>
  <c r="C10407" i="3"/>
  <c r="B10407" i="3"/>
  <c r="D10406" i="3"/>
  <c r="C10406" i="3"/>
  <c r="B10406" i="3"/>
  <c r="D10405" i="3"/>
  <c r="C10405" i="3"/>
  <c r="B10405" i="3"/>
  <c r="D10404" i="3"/>
  <c r="C10404" i="3"/>
  <c r="B10404" i="3"/>
  <c r="D10403" i="3"/>
  <c r="C10403" i="3"/>
  <c r="B10403" i="3"/>
  <c r="D10402" i="3"/>
  <c r="C10402" i="3"/>
  <c r="B10402" i="3"/>
  <c r="D10401" i="3"/>
  <c r="C10401" i="3"/>
  <c r="B10401" i="3"/>
  <c r="D10400" i="3"/>
  <c r="C10400" i="3"/>
  <c r="B10400" i="3"/>
  <c r="D10399" i="3"/>
  <c r="C10399" i="3"/>
  <c r="B10399" i="3"/>
  <c r="D10398" i="3"/>
  <c r="C10398" i="3"/>
  <c r="B10398" i="3"/>
  <c r="D10397" i="3"/>
  <c r="C10397" i="3"/>
  <c r="B10397" i="3"/>
  <c r="D10396" i="3"/>
  <c r="C10396" i="3"/>
  <c r="B10396" i="3"/>
  <c r="D10395" i="3"/>
  <c r="C10395" i="3"/>
  <c r="B10395" i="3"/>
  <c r="D10394" i="3"/>
  <c r="C10394" i="3"/>
  <c r="B10394" i="3"/>
  <c r="D10393" i="3"/>
  <c r="C10393" i="3"/>
  <c r="B10393" i="3"/>
  <c r="D10392" i="3"/>
  <c r="C10392" i="3"/>
  <c r="B10392" i="3"/>
  <c r="D10391" i="3"/>
  <c r="C10391" i="3"/>
  <c r="B10391" i="3"/>
  <c r="D10390" i="3"/>
  <c r="C10390" i="3"/>
  <c r="B10390" i="3"/>
  <c r="D10389" i="3"/>
  <c r="C10389" i="3"/>
  <c r="B10389" i="3"/>
  <c r="D10388" i="3"/>
  <c r="C10388" i="3"/>
  <c r="B10388" i="3"/>
  <c r="D10387" i="3"/>
  <c r="C10387" i="3"/>
  <c r="B10387" i="3"/>
  <c r="D10386" i="3"/>
  <c r="C10386" i="3"/>
  <c r="B10386" i="3"/>
  <c r="D10385" i="3"/>
  <c r="C10385" i="3"/>
  <c r="B10385" i="3"/>
  <c r="D10384" i="3"/>
  <c r="C10384" i="3"/>
  <c r="B10384" i="3"/>
  <c r="D10383" i="3"/>
  <c r="C10383" i="3"/>
  <c r="B10383" i="3"/>
  <c r="D10382" i="3"/>
  <c r="C10382" i="3"/>
  <c r="B10382" i="3"/>
  <c r="D10381" i="3"/>
  <c r="C10381" i="3"/>
  <c r="B10381" i="3"/>
  <c r="D10380" i="3"/>
  <c r="C10380" i="3"/>
  <c r="B10380" i="3"/>
  <c r="D10379" i="3"/>
  <c r="C10379" i="3"/>
  <c r="B10379" i="3"/>
  <c r="D10378" i="3"/>
  <c r="C10378" i="3"/>
  <c r="B10378" i="3"/>
  <c r="D10377" i="3"/>
  <c r="C10377" i="3"/>
  <c r="B10377" i="3"/>
  <c r="D10376" i="3"/>
  <c r="C10376" i="3"/>
  <c r="B10376" i="3"/>
  <c r="D10375" i="3"/>
  <c r="C10375" i="3"/>
  <c r="B10375" i="3"/>
  <c r="D10374" i="3"/>
  <c r="C10374" i="3"/>
  <c r="B10374" i="3"/>
  <c r="D10373" i="3"/>
  <c r="C10373" i="3"/>
  <c r="B10373" i="3"/>
  <c r="D10372" i="3"/>
  <c r="C10372" i="3"/>
  <c r="B10372" i="3"/>
  <c r="D10371" i="3"/>
  <c r="C10371" i="3"/>
  <c r="B10371" i="3"/>
  <c r="D10370" i="3"/>
  <c r="C10370" i="3"/>
  <c r="B10370" i="3"/>
  <c r="D10369" i="3"/>
  <c r="C10369" i="3"/>
  <c r="B10369" i="3"/>
  <c r="D10368" i="3"/>
  <c r="C10368" i="3"/>
  <c r="B10368" i="3"/>
  <c r="D10367" i="3"/>
  <c r="C10367" i="3"/>
  <c r="B10367" i="3"/>
  <c r="D10366" i="3"/>
  <c r="C10366" i="3"/>
  <c r="B10366" i="3"/>
  <c r="D10365" i="3"/>
  <c r="C10365" i="3"/>
  <c r="B10365" i="3"/>
  <c r="D10364" i="3"/>
  <c r="C10364" i="3"/>
  <c r="B10364" i="3"/>
  <c r="D10363" i="3"/>
  <c r="C10363" i="3"/>
  <c r="B10363" i="3"/>
  <c r="D10362" i="3"/>
  <c r="C10362" i="3"/>
  <c r="B10362" i="3"/>
  <c r="D10361" i="3"/>
  <c r="C10361" i="3"/>
  <c r="B10361" i="3"/>
  <c r="D10360" i="3"/>
  <c r="C10360" i="3"/>
  <c r="B10360" i="3"/>
  <c r="D10359" i="3"/>
  <c r="C10359" i="3"/>
  <c r="B10359" i="3"/>
  <c r="D10358" i="3"/>
  <c r="C10358" i="3"/>
  <c r="B10358" i="3"/>
  <c r="D10357" i="3"/>
  <c r="C10357" i="3"/>
  <c r="B10357" i="3"/>
  <c r="D10356" i="3"/>
  <c r="C10356" i="3"/>
  <c r="B10356" i="3"/>
  <c r="D10355" i="3"/>
  <c r="C10355" i="3"/>
  <c r="B10355" i="3"/>
  <c r="D10354" i="3"/>
  <c r="C10354" i="3"/>
  <c r="B10354" i="3"/>
  <c r="D10353" i="3"/>
  <c r="C10353" i="3"/>
  <c r="B10353" i="3"/>
  <c r="D10352" i="3"/>
  <c r="C10352" i="3"/>
  <c r="B10352" i="3"/>
  <c r="D10351" i="3"/>
  <c r="C10351" i="3"/>
  <c r="B10351" i="3"/>
  <c r="D10350" i="3"/>
  <c r="C10350" i="3"/>
  <c r="B10350" i="3"/>
  <c r="D10349" i="3"/>
  <c r="C10349" i="3"/>
  <c r="B10349" i="3"/>
  <c r="D10348" i="3"/>
  <c r="C10348" i="3"/>
  <c r="B10348" i="3"/>
  <c r="D10347" i="3"/>
  <c r="C10347" i="3"/>
  <c r="B10347" i="3"/>
  <c r="D10346" i="3"/>
  <c r="C10346" i="3"/>
  <c r="B10346" i="3"/>
  <c r="D10345" i="3"/>
  <c r="C10345" i="3"/>
  <c r="B10345" i="3"/>
  <c r="D10344" i="3"/>
  <c r="C10344" i="3"/>
  <c r="B10344" i="3"/>
  <c r="D10343" i="3"/>
  <c r="C10343" i="3"/>
  <c r="B10343" i="3"/>
  <c r="D10342" i="3"/>
  <c r="C10342" i="3"/>
  <c r="B10342" i="3"/>
  <c r="D10341" i="3"/>
  <c r="C10341" i="3"/>
  <c r="B10341" i="3"/>
  <c r="D10340" i="3"/>
  <c r="C10340" i="3"/>
  <c r="B10340" i="3"/>
  <c r="D10339" i="3"/>
  <c r="C10339" i="3"/>
  <c r="B10339" i="3"/>
  <c r="D10338" i="3"/>
  <c r="C10338" i="3"/>
  <c r="B10338" i="3"/>
  <c r="D10337" i="3"/>
  <c r="C10337" i="3"/>
  <c r="B10337" i="3"/>
  <c r="D10336" i="3"/>
  <c r="C10336" i="3"/>
  <c r="B10336" i="3"/>
  <c r="D10335" i="3"/>
  <c r="C10335" i="3"/>
  <c r="B10335" i="3"/>
  <c r="D10334" i="3"/>
  <c r="C10334" i="3"/>
  <c r="B10334" i="3"/>
  <c r="D10333" i="3"/>
  <c r="C10333" i="3"/>
  <c r="B10333" i="3"/>
  <c r="D10332" i="3"/>
  <c r="C10332" i="3"/>
  <c r="B10332" i="3"/>
  <c r="D10331" i="3"/>
  <c r="C10331" i="3"/>
  <c r="B10331" i="3"/>
  <c r="D10330" i="3"/>
  <c r="C10330" i="3"/>
  <c r="B10330" i="3"/>
  <c r="D10329" i="3"/>
  <c r="C10329" i="3"/>
  <c r="B10329" i="3"/>
  <c r="D10328" i="3"/>
  <c r="C10328" i="3"/>
  <c r="B10328" i="3"/>
  <c r="D10327" i="3"/>
  <c r="C10327" i="3"/>
  <c r="B10327" i="3"/>
  <c r="D10326" i="3"/>
  <c r="C10326" i="3"/>
  <c r="B10326" i="3"/>
  <c r="D10325" i="3"/>
  <c r="C10325" i="3"/>
  <c r="B10325" i="3"/>
  <c r="D10324" i="3"/>
  <c r="C10324" i="3"/>
  <c r="B10324" i="3"/>
  <c r="D10323" i="3"/>
  <c r="C10323" i="3"/>
  <c r="B10323" i="3"/>
  <c r="D10322" i="3"/>
  <c r="C10322" i="3"/>
  <c r="B10322" i="3"/>
  <c r="D10321" i="3"/>
  <c r="C10321" i="3"/>
  <c r="B10321" i="3"/>
  <c r="D10320" i="3"/>
  <c r="C10320" i="3"/>
  <c r="B10320" i="3"/>
  <c r="D10319" i="3"/>
  <c r="C10319" i="3"/>
  <c r="B10319" i="3"/>
  <c r="D10318" i="3"/>
  <c r="C10318" i="3"/>
  <c r="B10318" i="3"/>
  <c r="D10317" i="3"/>
  <c r="C10317" i="3"/>
  <c r="B10317" i="3"/>
  <c r="D10316" i="3"/>
  <c r="C10316" i="3"/>
  <c r="B10316" i="3"/>
  <c r="D10315" i="3"/>
  <c r="C10315" i="3"/>
  <c r="B10315" i="3"/>
  <c r="D10314" i="3"/>
  <c r="C10314" i="3"/>
  <c r="B10314" i="3"/>
  <c r="D10313" i="3"/>
  <c r="C10313" i="3"/>
  <c r="B10313" i="3"/>
  <c r="D10312" i="3"/>
  <c r="C10312" i="3"/>
  <c r="B10312" i="3"/>
  <c r="D10311" i="3"/>
  <c r="C10311" i="3"/>
  <c r="B10311" i="3"/>
  <c r="D10310" i="3"/>
  <c r="C10310" i="3"/>
  <c r="B10310" i="3"/>
  <c r="D10309" i="3"/>
  <c r="C10309" i="3"/>
  <c r="B10309" i="3"/>
  <c r="D10308" i="3"/>
  <c r="C10308" i="3"/>
  <c r="B10308" i="3"/>
  <c r="D10307" i="3"/>
  <c r="C10307" i="3"/>
  <c r="B10307" i="3"/>
  <c r="D10306" i="3"/>
  <c r="C10306" i="3"/>
  <c r="B10306" i="3"/>
  <c r="D10305" i="3"/>
  <c r="C10305" i="3"/>
  <c r="B10305" i="3"/>
  <c r="D10304" i="3"/>
  <c r="C10304" i="3"/>
  <c r="B10304" i="3"/>
  <c r="D10303" i="3"/>
  <c r="C10303" i="3"/>
  <c r="B10303" i="3"/>
  <c r="D10302" i="3"/>
  <c r="C10302" i="3"/>
  <c r="B10302" i="3"/>
  <c r="D10301" i="3"/>
  <c r="C10301" i="3"/>
  <c r="B10301" i="3"/>
  <c r="D10300" i="3"/>
  <c r="C10300" i="3"/>
  <c r="B10300" i="3"/>
  <c r="D10299" i="3"/>
  <c r="C10299" i="3"/>
  <c r="B10299" i="3"/>
  <c r="D10298" i="3"/>
  <c r="C10298" i="3"/>
  <c r="B10298" i="3"/>
  <c r="D10297" i="3"/>
  <c r="C10297" i="3"/>
  <c r="B10297" i="3"/>
  <c r="D10296" i="3"/>
  <c r="C10296" i="3"/>
  <c r="B10296" i="3"/>
  <c r="D10295" i="3"/>
  <c r="C10295" i="3"/>
  <c r="B10295" i="3"/>
  <c r="D10294" i="3"/>
  <c r="C10294" i="3"/>
  <c r="B10294" i="3"/>
  <c r="D10293" i="3"/>
  <c r="C10293" i="3"/>
  <c r="B10293" i="3"/>
  <c r="D10292" i="3"/>
  <c r="C10292" i="3"/>
  <c r="B10292" i="3"/>
  <c r="D10291" i="3"/>
  <c r="C10291" i="3"/>
  <c r="B10291" i="3"/>
  <c r="D10290" i="3"/>
  <c r="C10290" i="3"/>
  <c r="B10290" i="3"/>
  <c r="D10289" i="3"/>
  <c r="C10289" i="3"/>
  <c r="B10289" i="3"/>
  <c r="D10288" i="3"/>
  <c r="C10288" i="3"/>
  <c r="B10288" i="3"/>
  <c r="D10287" i="3"/>
  <c r="C10287" i="3"/>
  <c r="B10287" i="3"/>
  <c r="D10286" i="3"/>
  <c r="C10286" i="3"/>
  <c r="B10286" i="3"/>
  <c r="D10285" i="3"/>
  <c r="C10285" i="3"/>
  <c r="B10285" i="3"/>
  <c r="D10284" i="3"/>
  <c r="C10284" i="3"/>
  <c r="B10284" i="3"/>
  <c r="D10283" i="3"/>
  <c r="C10283" i="3"/>
  <c r="B10283" i="3"/>
  <c r="D10282" i="3"/>
  <c r="C10282" i="3"/>
  <c r="B10282" i="3"/>
  <c r="D10281" i="3"/>
  <c r="C10281" i="3"/>
  <c r="B10281" i="3"/>
  <c r="D10280" i="3"/>
  <c r="C10280" i="3"/>
  <c r="B10280" i="3"/>
  <c r="D10279" i="3"/>
  <c r="C10279" i="3"/>
  <c r="B10279" i="3"/>
  <c r="D10278" i="3"/>
  <c r="C10278" i="3"/>
  <c r="B10278" i="3"/>
  <c r="D10277" i="3"/>
  <c r="C10277" i="3"/>
  <c r="B10277" i="3"/>
  <c r="D10276" i="3"/>
  <c r="C10276" i="3"/>
  <c r="B10276" i="3"/>
  <c r="D10275" i="3"/>
  <c r="C10275" i="3"/>
  <c r="B10275" i="3"/>
  <c r="D10274" i="3"/>
  <c r="C10274" i="3"/>
  <c r="B10274" i="3"/>
  <c r="D10273" i="3"/>
  <c r="C10273" i="3"/>
  <c r="B10273" i="3"/>
  <c r="D10272" i="3"/>
  <c r="C10272" i="3"/>
  <c r="B10272" i="3"/>
  <c r="D10271" i="3"/>
  <c r="C10271" i="3"/>
  <c r="B10271" i="3"/>
  <c r="D10270" i="3"/>
  <c r="C10270" i="3"/>
  <c r="B10270" i="3"/>
  <c r="D10269" i="3"/>
  <c r="C10269" i="3"/>
  <c r="B10269" i="3"/>
  <c r="D10268" i="3"/>
  <c r="C10268" i="3"/>
  <c r="B10268" i="3"/>
  <c r="D10267" i="3"/>
  <c r="C10267" i="3"/>
  <c r="B10267" i="3"/>
  <c r="D10266" i="3"/>
  <c r="C10266" i="3"/>
  <c r="B10266" i="3"/>
  <c r="D10265" i="3"/>
  <c r="C10265" i="3"/>
  <c r="B10265" i="3"/>
  <c r="D10264" i="3"/>
  <c r="C10264" i="3"/>
  <c r="B10264" i="3"/>
  <c r="D10263" i="3"/>
  <c r="C10263" i="3"/>
  <c r="B10263" i="3"/>
  <c r="D10262" i="3"/>
  <c r="C10262" i="3"/>
  <c r="B10262" i="3"/>
  <c r="D10261" i="3"/>
  <c r="C10261" i="3"/>
  <c r="B10261" i="3"/>
  <c r="D10260" i="3"/>
  <c r="C10260" i="3"/>
  <c r="B10260" i="3"/>
  <c r="D10259" i="3"/>
  <c r="C10259" i="3"/>
  <c r="B10259" i="3"/>
  <c r="D10258" i="3"/>
  <c r="C10258" i="3"/>
  <c r="B10258" i="3"/>
  <c r="D10257" i="3"/>
  <c r="C10257" i="3"/>
  <c r="B10257" i="3"/>
  <c r="D10256" i="3"/>
  <c r="C10256" i="3"/>
  <c r="B10256" i="3"/>
  <c r="D10255" i="3"/>
  <c r="C10255" i="3"/>
  <c r="B10255" i="3"/>
  <c r="D10254" i="3"/>
  <c r="C10254" i="3"/>
  <c r="B10254" i="3"/>
  <c r="D10253" i="3"/>
  <c r="C10253" i="3"/>
  <c r="B10253" i="3"/>
  <c r="D10252" i="3"/>
  <c r="C10252" i="3"/>
  <c r="B10252" i="3"/>
  <c r="D10251" i="3"/>
  <c r="C10251" i="3"/>
  <c r="B10251" i="3"/>
  <c r="D10250" i="3"/>
  <c r="C10250" i="3"/>
  <c r="B10250" i="3"/>
  <c r="D10249" i="3"/>
  <c r="C10249" i="3"/>
  <c r="B10249" i="3"/>
  <c r="D10248" i="3"/>
  <c r="C10248" i="3"/>
  <c r="B10248" i="3"/>
  <c r="D10247" i="3"/>
  <c r="C10247" i="3"/>
  <c r="B10247" i="3"/>
  <c r="D10246" i="3"/>
  <c r="C10246" i="3"/>
  <c r="B10246" i="3"/>
  <c r="D10245" i="3"/>
  <c r="C10245" i="3"/>
  <c r="B10245" i="3"/>
  <c r="D10244" i="3"/>
  <c r="C10244" i="3"/>
  <c r="B10244" i="3"/>
  <c r="D10243" i="3"/>
  <c r="C10243" i="3"/>
  <c r="B10243" i="3"/>
  <c r="D10242" i="3"/>
  <c r="C10242" i="3"/>
  <c r="B10242" i="3"/>
  <c r="D10241" i="3"/>
  <c r="C10241" i="3"/>
  <c r="B10241" i="3"/>
  <c r="D10240" i="3"/>
  <c r="C10240" i="3"/>
  <c r="B10240" i="3"/>
  <c r="D10239" i="3"/>
  <c r="C10239" i="3"/>
  <c r="B10239" i="3"/>
  <c r="D10238" i="3"/>
  <c r="C10238" i="3"/>
  <c r="B10238" i="3"/>
  <c r="D10237" i="3"/>
  <c r="C10237" i="3"/>
  <c r="B10237" i="3"/>
  <c r="D10236" i="3"/>
  <c r="C10236" i="3"/>
  <c r="B10236" i="3"/>
  <c r="D10235" i="3"/>
  <c r="C10235" i="3"/>
  <c r="B10235" i="3"/>
  <c r="D10234" i="3"/>
  <c r="C10234" i="3"/>
  <c r="B10234" i="3"/>
  <c r="D10233" i="3"/>
  <c r="C10233" i="3"/>
  <c r="B10233" i="3"/>
  <c r="D10232" i="3"/>
  <c r="C10232" i="3"/>
  <c r="B10232" i="3"/>
  <c r="D10231" i="3"/>
  <c r="C10231" i="3"/>
  <c r="B10231" i="3"/>
  <c r="D10230" i="3"/>
  <c r="C10230" i="3"/>
  <c r="B10230" i="3"/>
  <c r="D10229" i="3"/>
  <c r="C10229" i="3"/>
  <c r="B10229" i="3"/>
  <c r="D10228" i="3"/>
  <c r="C10228" i="3"/>
  <c r="B10228" i="3"/>
  <c r="D10227" i="3"/>
  <c r="C10227" i="3"/>
  <c r="B10227" i="3"/>
  <c r="D10226" i="3"/>
  <c r="C10226" i="3"/>
  <c r="B10226" i="3"/>
  <c r="D10225" i="3"/>
  <c r="C10225" i="3"/>
  <c r="B10225" i="3"/>
  <c r="D10224" i="3"/>
  <c r="C10224" i="3"/>
  <c r="B10224" i="3"/>
  <c r="D10223" i="3"/>
  <c r="C10223" i="3"/>
  <c r="B10223" i="3"/>
  <c r="D10222" i="3"/>
  <c r="C10222" i="3"/>
  <c r="B10222" i="3"/>
  <c r="D10221" i="3"/>
  <c r="C10221" i="3"/>
  <c r="B10221" i="3"/>
  <c r="D10220" i="3"/>
  <c r="C10220" i="3"/>
  <c r="B10220" i="3"/>
  <c r="D10219" i="3"/>
  <c r="C10219" i="3"/>
  <c r="B10219" i="3"/>
  <c r="D10218" i="3"/>
  <c r="C10218" i="3"/>
  <c r="B10218" i="3"/>
  <c r="D10217" i="3"/>
  <c r="C10217" i="3"/>
  <c r="B10217" i="3"/>
  <c r="D10216" i="3"/>
  <c r="C10216" i="3"/>
  <c r="B10216" i="3"/>
  <c r="D10215" i="3"/>
  <c r="C10215" i="3"/>
  <c r="B10215" i="3"/>
  <c r="D10214" i="3"/>
  <c r="C10214" i="3"/>
  <c r="B10214" i="3"/>
  <c r="D10213" i="3"/>
  <c r="C10213" i="3"/>
  <c r="B10213" i="3"/>
  <c r="D10212" i="3"/>
  <c r="C10212" i="3"/>
  <c r="B10212" i="3"/>
  <c r="D10211" i="3"/>
  <c r="C10211" i="3"/>
  <c r="B10211" i="3"/>
  <c r="D10210" i="3"/>
  <c r="C10210" i="3"/>
  <c r="B10210" i="3"/>
  <c r="D10209" i="3"/>
  <c r="C10209" i="3"/>
  <c r="B10209" i="3"/>
  <c r="D10208" i="3"/>
  <c r="C10208" i="3"/>
  <c r="B10208" i="3"/>
  <c r="D10207" i="3"/>
  <c r="C10207" i="3"/>
  <c r="B10207" i="3"/>
  <c r="D10206" i="3"/>
  <c r="C10206" i="3"/>
  <c r="B10206" i="3"/>
  <c r="D10205" i="3"/>
  <c r="C10205" i="3"/>
  <c r="B10205" i="3"/>
  <c r="D10204" i="3"/>
  <c r="C10204" i="3"/>
  <c r="B10204" i="3"/>
  <c r="D10203" i="3"/>
  <c r="C10203" i="3"/>
  <c r="B10203" i="3"/>
  <c r="D10202" i="3"/>
  <c r="C10202" i="3"/>
  <c r="B10202" i="3"/>
  <c r="D10201" i="3"/>
  <c r="C10201" i="3"/>
  <c r="B10201" i="3"/>
  <c r="D10200" i="3"/>
  <c r="C10200" i="3"/>
  <c r="B10200" i="3"/>
  <c r="D10199" i="3"/>
  <c r="C10199" i="3"/>
  <c r="B10199" i="3"/>
  <c r="D10198" i="3"/>
  <c r="C10198" i="3"/>
  <c r="B10198" i="3"/>
  <c r="D10197" i="3"/>
  <c r="C10197" i="3"/>
  <c r="B10197" i="3"/>
  <c r="D10196" i="3"/>
  <c r="C10196" i="3"/>
  <c r="B10196" i="3"/>
  <c r="D10195" i="3"/>
  <c r="C10195" i="3"/>
  <c r="B10195" i="3"/>
  <c r="D10194" i="3"/>
  <c r="C10194" i="3"/>
  <c r="B10194" i="3"/>
  <c r="D10193" i="3"/>
  <c r="C10193" i="3"/>
  <c r="B10193" i="3"/>
  <c r="D10192" i="3"/>
  <c r="C10192" i="3"/>
  <c r="B10192" i="3"/>
  <c r="D10191" i="3"/>
  <c r="C10191" i="3"/>
  <c r="B10191" i="3"/>
  <c r="D10190" i="3"/>
  <c r="C10190" i="3"/>
  <c r="B10190" i="3"/>
  <c r="D10189" i="3"/>
  <c r="C10189" i="3"/>
  <c r="B10189" i="3"/>
  <c r="D10188" i="3"/>
  <c r="C10188" i="3"/>
  <c r="B10188" i="3"/>
  <c r="D10187" i="3"/>
  <c r="C10187" i="3"/>
  <c r="B10187" i="3"/>
  <c r="D10186" i="3"/>
  <c r="C10186" i="3"/>
  <c r="B10186" i="3"/>
  <c r="D10185" i="3"/>
  <c r="C10185" i="3"/>
  <c r="B10185" i="3"/>
  <c r="D10184" i="3"/>
  <c r="C10184" i="3"/>
  <c r="B10184" i="3"/>
  <c r="D10183" i="3"/>
  <c r="C10183" i="3"/>
  <c r="B10183" i="3"/>
  <c r="D10182" i="3"/>
  <c r="C10182" i="3"/>
  <c r="B10182" i="3"/>
  <c r="D10181" i="3"/>
  <c r="C10181" i="3"/>
  <c r="B10181" i="3"/>
  <c r="D10180" i="3"/>
  <c r="C10180" i="3"/>
  <c r="B10180" i="3"/>
  <c r="D10179" i="3"/>
  <c r="C10179" i="3"/>
  <c r="B10179" i="3"/>
  <c r="D10178" i="3"/>
  <c r="C10178" i="3"/>
  <c r="B10178" i="3"/>
  <c r="D10177" i="3"/>
  <c r="C10177" i="3"/>
  <c r="B10177" i="3"/>
  <c r="D10176" i="3"/>
  <c r="C10176" i="3"/>
  <c r="B10176" i="3"/>
  <c r="D10175" i="3"/>
  <c r="C10175" i="3"/>
  <c r="B10175" i="3"/>
  <c r="D10174" i="3"/>
  <c r="C10174" i="3"/>
  <c r="B10174" i="3"/>
  <c r="D10173" i="3"/>
  <c r="C10173" i="3"/>
  <c r="B10173" i="3"/>
  <c r="D10172" i="3"/>
  <c r="C10172" i="3"/>
  <c r="B10172" i="3"/>
  <c r="D10171" i="3"/>
  <c r="C10171" i="3"/>
  <c r="B10171" i="3"/>
  <c r="D10170" i="3"/>
  <c r="C10170" i="3"/>
  <c r="B10170" i="3"/>
  <c r="D10169" i="3"/>
  <c r="C10169" i="3"/>
  <c r="B10169" i="3"/>
  <c r="D10168" i="3"/>
  <c r="C10168" i="3"/>
  <c r="B10168" i="3"/>
  <c r="D10167" i="3"/>
  <c r="C10167" i="3"/>
  <c r="B10167" i="3"/>
  <c r="D10166" i="3"/>
  <c r="C10166" i="3"/>
  <c r="B10166" i="3"/>
  <c r="D10165" i="3"/>
  <c r="C10165" i="3"/>
  <c r="B10165" i="3"/>
  <c r="D10164" i="3"/>
  <c r="C10164" i="3"/>
  <c r="B10164" i="3"/>
  <c r="D10163" i="3"/>
  <c r="C10163" i="3"/>
  <c r="B10163" i="3"/>
  <c r="D10162" i="3"/>
  <c r="C10162" i="3"/>
  <c r="B10162" i="3"/>
  <c r="D10161" i="3"/>
  <c r="C10161" i="3"/>
  <c r="B10161" i="3"/>
  <c r="D10160" i="3"/>
  <c r="C10160" i="3"/>
  <c r="B10160" i="3"/>
  <c r="D10159" i="3"/>
  <c r="C10159" i="3"/>
  <c r="B10159" i="3"/>
  <c r="D10158" i="3"/>
  <c r="C10158" i="3"/>
  <c r="B10158" i="3"/>
  <c r="D10157" i="3"/>
  <c r="C10157" i="3"/>
  <c r="B10157" i="3"/>
  <c r="D10156" i="3"/>
  <c r="C10156" i="3"/>
  <c r="B10156" i="3"/>
  <c r="D10155" i="3"/>
  <c r="C10155" i="3"/>
  <c r="B10155" i="3"/>
  <c r="D10154" i="3"/>
  <c r="C10154" i="3"/>
  <c r="B10154" i="3"/>
  <c r="D10153" i="3"/>
  <c r="C10153" i="3"/>
  <c r="B10153" i="3"/>
  <c r="D10152" i="3"/>
  <c r="C10152" i="3"/>
  <c r="B10152" i="3"/>
  <c r="D10151" i="3"/>
  <c r="C10151" i="3"/>
  <c r="B10151" i="3"/>
  <c r="D10150" i="3"/>
  <c r="C10150" i="3"/>
  <c r="B10150" i="3"/>
  <c r="D10149" i="3"/>
  <c r="C10149" i="3"/>
  <c r="B10149" i="3"/>
  <c r="D10148" i="3"/>
  <c r="C10148" i="3"/>
  <c r="B10148" i="3"/>
  <c r="D10147" i="3"/>
  <c r="C10147" i="3"/>
  <c r="B10147" i="3"/>
  <c r="D10146" i="3"/>
  <c r="C10146" i="3"/>
  <c r="B10146" i="3"/>
  <c r="D10145" i="3"/>
  <c r="C10145" i="3"/>
  <c r="B10145" i="3"/>
  <c r="D10144" i="3"/>
  <c r="C10144" i="3"/>
  <c r="B10144" i="3"/>
  <c r="D10143" i="3"/>
  <c r="C10143" i="3"/>
  <c r="B10143" i="3"/>
  <c r="D10142" i="3"/>
  <c r="C10142" i="3"/>
  <c r="B10142" i="3"/>
  <c r="D10141" i="3"/>
  <c r="C10141" i="3"/>
  <c r="B10141" i="3"/>
  <c r="D10140" i="3"/>
  <c r="C10140" i="3"/>
  <c r="B10140" i="3"/>
  <c r="D10139" i="3"/>
  <c r="C10139" i="3"/>
  <c r="B10139" i="3"/>
  <c r="D10138" i="3"/>
  <c r="C10138" i="3"/>
  <c r="B10138" i="3"/>
  <c r="D10137" i="3"/>
  <c r="C10137" i="3"/>
  <c r="B10137" i="3"/>
  <c r="D10136" i="3"/>
  <c r="C10136" i="3"/>
  <c r="B10136" i="3"/>
  <c r="D10135" i="3"/>
  <c r="C10135" i="3"/>
  <c r="B10135" i="3"/>
  <c r="D10134" i="3"/>
  <c r="C10134" i="3"/>
  <c r="B10134" i="3"/>
  <c r="D10133" i="3"/>
  <c r="C10133" i="3"/>
  <c r="B10133" i="3"/>
  <c r="D10132" i="3"/>
  <c r="C10132" i="3"/>
  <c r="B10132" i="3"/>
  <c r="D10131" i="3"/>
  <c r="C10131" i="3"/>
  <c r="B10131" i="3"/>
  <c r="D10130" i="3"/>
  <c r="C10130" i="3"/>
  <c r="B10130" i="3"/>
  <c r="D10129" i="3"/>
  <c r="C10129" i="3"/>
  <c r="B10129" i="3"/>
  <c r="D10128" i="3"/>
  <c r="C10128" i="3"/>
  <c r="B10128" i="3"/>
  <c r="D10127" i="3"/>
  <c r="C10127" i="3"/>
  <c r="B10127" i="3"/>
  <c r="D10126" i="3"/>
  <c r="C10126" i="3"/>
  <c r="B10126" i="3"/>
  <c r="D10125" i="3"/>
  <c r="C10125" i="3"/>
  <c r="B10125" i="3"/>
  <c r="D10124" i="3"/>
  <c r="C10124" i="3"/>
  <c r="B10124" i="3"/>
  <c r="D10123" i="3"/>
  <c r="C10123" i="3"/>
  <c r="B10123" i="3"/>
  <c r="D10122" i="3"/>
  <c r="C10122" i="3"/>
  <c r="B10122" i="3"/>
  <c r="D10121" i="3"/>
  <c r="C10121" i="3"/>
  <c r="B10121" i="3"/>
  <c r="D10120" i="3"/>
  <c r="C10120" i="3"/>
  <c r="B10120" i="3"/>
  <c r="D10119" i="3"/>
  <c r="C10119" i="3"/>
  <c r="B10119" i="3"/>
  <c r="D10118" i="3"/>
  <c r="C10118" i="3"/>
  <c r="B10118" i="3"/>
  <c r="D10117" i="3"/>
  <c r="C10117" i="3"/>
  <c r="B10117" i="3"/>
  <c r="D10116" i="3"/>
  <c r="C10116" i="3"/>
  <c r="B10116" i="3"/>
  <c r="D10115" i="3"/>
  <c r="C10115" i="3"/>
  <c r="B10115" i="3"/>
  <c r="D10114" i="3"/>
  <c r="C10114" i="3"/>
  <c r="B10114" i="3"/>
  <c r="D10113" i="3"/>
  <c r="C10113" i="3"/>
  <c r="B10113" i="3"/>
  <c r="D10112" i="3"/>
  <c r="C10112" i="3"/>
  <c r="B10112" i="3"/>
  <c r="D10111" i="3"/>
  <c r="C10111" i="3"/>
  <c r="B10111" i="3"/>
  <c r="D10110" i="3"/>
  <c r="C10110" i="3"/>
  <c r="B10110" i="3"/>
  <c r="D10109" i="3"/>
  <c r="C10109" i="3"/>
  <c r="B10109" i="3"/>
  <c r="D10108" i="3"/>
  <c r="C10108" i="3"/>
  <c r="B10108" i="3"/>
  <c r="D10107" i="3"/>
  <c r="C10107" i="3"/>
  <c r="B10107" i="3"/>
  <c r="D10106" i="3"/>
  <c r="C10106" i="3"/>
  <c r="B10106" i="3"/>
  <c r="D10105" i="3"/>
  <c r="C10105" i="3"/>
  <c r="B10105" i="3"/>
  <c r="D10104" i="3"/>
  <c r="C10104" i="3"/>
  <c r="B10104" i="3"/>
  <c r="D10103" i="3"/>
  <c r="C10103" i="3"/>
  <c r="B10103" i="3"/>
  <c r="D10102" i="3"/>
  <c r="C10102" i="3"/>
  <c r="B10102" i="3"/>
  <c r="D10101" i="3"/>
  <c r="C10101" i="3"/>
  <c r="B10101" i="3"/>
  <c r="D10100" i="3"/>
  <c r="C10100" i="3"/>
  <c r="B10100" i="3"/>
  <c r="D10099" i="3"/>
  <c r="C10099" i="3"/>
  <c r="B10099" i="3"/>
  <c r="D10098" i="3"/>
  <c r="C10098" i="3"/>
  <c r="B10098" i="3"/>
  <c r="D10097" i="3"/>
  <c r="C10097" i="3"/>
  <c r="B10097" i="3"/>
  <c r="D10096" i="3"/>
  <c r="C10096" i="3"/>
  <c r="B10096" i="3"/>
  <c r="D10095" i="3"/>
  <c r="C10095" i="3"/>
  <c r="B10095" i="3"/>
  <c r="D10094" i="3"/>
  <c r="C10094" i="3"/>
  <c r="B10094" i="3"/>
  <c r="D10093" i="3"/>
  <c r="C10093" i="3"/>
  <c r="B10093" i="3"/>
  <c r="D10092" i="3"/>
  <c r="C10092" i="3"/>
  <c r="B10092" i="3"/>
  <c r="D10091" i="3"/>
  <c r="C10091" i="3"/>
  <c r="B10091" i="3"/>
  <c r="D10090" i="3"/>
  <c r="C10090" i="3"/>
  <c r="B10090" i="3"/>
  <c r="D10089" i="3"/>
  <c r="C10089" i="3"/>
  <c r="B10089" i="3"/>
  <c r="D10088" i="3"/>
  <c r="C10088" i="3"/>
  <c r="B10088" i="3"/>
  <c r="D10087" i="3"/>
  <c r="C10087" i="3"/>
  <c r="B10087" i="3"/>
  <c r="D10086" i="3"/>
  <c r="C10086" i="3"/>
  <c r="B10086" i="3"/>
  <c r="D10085" i="3"/>
  <c r="C10085" i="3"/>
  <c r="B10085" i="3"/>
  <c r="D10084" i="3"/>
  <c r="C10084" i="3"/>
  <c r="B10084" i="3"/>
  <c r="D10083" i="3"/>
  <c r="C10083" i="3"/>
  <c r="B10083" i="3"/>
  <c r="D10082" i="3"/>
  <c r="C10082" i="3"/>
  <c r="B10082" i="3"/>
  <c r="D10081" i="3"/>
  <c r="C10081" i="3"/>
  <c r="B10081" i="3"/>
  <c r="D10080" i="3"/>
  <c r="C10080" i="3"/>
  <c r="B10080" i="3"/>
  <c r="D10079" i="3"/>
  <c r="C10079" i="3"/>
  <c r="B10079" i="3"/>
  <c r="D10078" i="3"/>
  <c r="C10078" i="3"/>
  <c r="B10078" i="3"/>
  <c r="D10077" i="3"/>
  <c r="C10077" i="3"/>
  <c r="B10077" i="3"/>
  <c r="D10076" i="3"/>
  <c r="C10076" i="3"/>
  <c r="B10076" i="3"/>
  <c r="D10075" i="3"/>
  <c r="C10075" i="3"/>
  <c r="B10075" i="3"/>
  <c r="D10074" i="3"/>
  <c r="C10074" i="3"/>
  <c r="B10074" i="3"/>
  <c r="D10073" i="3"/>
  <c r="C10073" i="3"/>
  <c r="B10073" i="3"/>
  <c r="D10072" i="3"/>
  <c r="C10072" i="3"/>
  <c r="B10072" i="3"/>
  <c r="D10071" i="3"/>
  <c r="C10071" i="3"/>
  <c r="B10071" i="3"/>
  <c r="D10070" i="3"/>
  <c r="C10070" i="3"/>
  <c r="B10070" i="3"/>
  <c r="D10069" i="3"/>
  <c r="C10069" i="3"/>
  <c r="B10069" i="3"/>
  <c r="D10068" i="3"/>
  <c r="C10068" i="3"/>
  <c r="B10068" i="3"/>
  <c r="D10067" i="3"/>
  <c r="C10067" i="3"/>
  <c r="B10067" i="3"/>
  <c r="D10066" i="3"/>
  <c r="C10066" i="3"/>
  <c r="B10066" i="3"/>
  <c r="D10065" i="3"/>
  <c r="C10065" i="3"/>
  <c r="B10065" i="3"/>
  <c r="D10064" i="3"/>
  <c r="C10064" i="3"/>
  <c r="B10064" i="3"/>
  <c r="D10063" i="3"/>
  <c r="C10063" i="3"/>
  <c r="B10063" i="3"/>
  <c r="D10062" i="3"/>
  <c r="C10062" i="3"/>
  <c r="B10062" i="3"/>
  <c r="D10061" i="3"/>
  <c r="C10061" i="3"/>
  <c r="B10061" i="3"/>
  <c r="D10060" i="3"/>
  <c r="C10060" i="3"/>
  <c r="B10060" i="3"/>
  <c r="D10059" i="3"/>
  <c r="C10059" i="3"/>
  <c r="B10059" i="3"/>
  <c r="D10058" i="3"/>
  <c r="C10058" i="3"/>
  <c r="B10058" i="3"/>
  <c r="D10057" i="3"/>
  <c r="C10057" i="3"/>
  <c r="B10057" i="3"/>
  <c r="D10056" i="3"/>
  <c r="C10056" i="3"/>
  <c r="B10056" i="3"/>
  <c r="D10055" i="3"/>
  <c r="C10055" i="3"/>
  <c r="B10055" i="3"/>
  <c r="D10054" i="3"/>
  <c r="C10054" i="3"/>
  <c r="B10054" i="3"/>
  <c r="D10053" i="3"/>
  <c r="C10053" i="3"/>
  <c r="B10053" i="3"/>
  <c r="D10052" i="3"/>
  <c r="C10052" i="3"/>
  <c r="B10052" i="3"/>
  <c r="D10051" i="3"/>
  <c r="C10051" i="3"/>
  <c r="B10051" i="3"/>
  <c r="D10050" i="3"/>
  <c r="C10050" i="3"/>
  <c r="B10050" i="3"/>
  <c r="D10049" i="3"/>
  <c r="C10049" i="3"/>
  <c r="B10049" i="3"/>
  <c r="D10048" i="3"/>
  <c r="C10048" i="3"/>
  <c r="B10048" i="3"/>
  <c r="D10047" i="3"/>
  <c r="C10047" i="3"/>
  <c r="B10047" i="3"/>
  <c r="D10046" i="3"/>
  <c r="C10046" i="3"/>
  <c r="B10046" i="3"/>
  <c r="D10045" i="3"/>
  <c r="C10045" i="3"/>
  <c r="B10045" i="3"/>
  <c r="D10044" i="3"/>
  <c r="C10044" i="3"/>
  <c r="B10044" i="3"/>
  <c r="D10043" i="3"/>
  <c r="C10043" i="3"/>
  <c r="B10043" i="3"/>
  <c r="D10042" i="3"/>
  <c r="C10042" i="3"/>
  <c r="B10042" i="3"/>
  <c r="D10041" i="3"/>
  <c r="C10041" i="3"/>
  <c r="B10041" i="3"/>
  <c r="D10040" i="3"/>
  <c r="C10040" i="3"/>
  <c r="B10040" i="3"/>
  <c r="D10039" i="3"/>
  <c r="C10039" i="3"/>
  <c r="B10039" i="3"/>
  <c r="D10038" i="3"/>
  <c r="C10038" i="3"/>
  <c r="B10038" i="3"/>
  <c r="D10037" i="3"/>
  <c r="C10037" i="3"/>
  <c r="B10037" i="3"/>
  <c r="D10036" i="3"/>
  <c r="C10036" i="3"/>
  <c r="B10036" i="3"/>
  <c r="D10035" i="3"/>
  <c r="C10035" i="3"/>
  <c r="B10035" i="3"/>
  <c r="D10034" i="3"/>
  <c r="C10034" i="3"/>
  <c r="B10034" i="3"/>
  <c r="D10033" i="3"/>
  <c r="C10033" i="3"/>
  <c r="B10033" i="3"/>
  <c r="D10032" i="3"/>
  <c r="C10032" i="3"/>
  <c r="B10032" i="3"/>
  <c r="D10031" i="3"/>
  <c r="C10031" i="3"/>
  <c r="B10031" i="3"/>
  <c r="D10030" i="3"/>
  <c r="C10030" i="3"/>
  <c r="B10030" i="3"/>
  <c r="D10029" i="3"/>
  <c r="C10029" i="3"/>
  <c r="B10029" i="3"/>
  <c r="D10028" i="3"/>
  <c r="C10028" i="3"/>
  <c r="B10028" i="3"/>
  <c r="D10027" i="3"/>
  <c r="C10027" i="3"/>
  <c r="B10027" i="3"/>
  <c r="D10026" i="3"/>
  <c r="C10026" i="3"/>
  <c r="B10026" i="3"/>
  <c r="D10025" i="3"/>
  <c r="C10025" i="3"/>
  <c r="B10025" i="3"/>
  <c r="D10024" i="3"/>
  <c r="C10024" i="3"/>
  <c r="B10024" i="3"/>
  <c r="D10023" i="3"/>
  <c r="C10023" i="3"/>
  <c r="B10023" i="3"/>
  <c r="D10022" i="3"/>
  <c r="C10022" i="3"/>
  <c r="B10022" i="3"/>
  <c r="D10021" i="3"/>
  <c r="C10021" i="3"/>
  <c r="B10021" i="3"/>
  <c r="D10020" i="3"/>
  <c r="C10020" i="3"/>
  <c r="B10020" i="3"/>
  <c r="D10019" i="3"/>
  <c r="C10019" i="3"/>
  <c r="B10019" i="3"/>
  <c r="D10018" i="3"/>
  <c r="C10018" i="3"/>
  <c r="B10018" i="3"/>
  <c r="D10017" i="3"/>
  <c r="C10017" i="3"/>
  <c r="B10017" i="3"/>
  <c r="D10016" i="3"/>
  <c r="C10016" i="3"/>
  <c r="B10016" i="3"/>
  <c r="D10015" i="3"/>
  <c r="C10015" i="3"/>
  <c r="B10015" i="3"/>
  <c r="D10014" i="3"/>
  <c r="C10014" i="3"/>
  <c r="B10014" i="3"/>
  <c r="D10013" i="3"/>
  <c r="C10013" i="3"/>
  <c r="B10013" i="3"/>
  <c r="D10012" i="3"/>
  <c r="C10012" i="3"/>
  <c r="B10012" i="3"/>
  <c r="D10011" i="3"/>
  <c r="C10011" i="3"/>
  <c r="B10011" i="3"/>
  <c r="D10010" i="3"/>
  <c r="C10010" i="3"/>
  <c r="B10010" i="3"/>
  <c r="D10009" i="3"/>
  <c r="C10009" i="3"/>
  <c r="B10009" i="3"/>
  <c r="D10008" i="3"/>
  <c r="C10008" i="3"/>
  <c r="B10008" i="3"/>
  <c r="D10007" i="3"/>
  <c r="C10007" i="3"/>
  <c r="B10007" i="3"/>
  <c r="D10006" i="3"/>
  <c r="C10006" i="3"/>
  <c r="B10006" i="3"/>
  <c r="D10005" i="3"/>
  <c r="C10005" i="3"/>
  <c r="B10005" i="3"/>
  <c r="D10004" i="3"/>
  <c r="C10004" i="3"/>
  <c r="B10004" i="3"/>
  <c r="D10003" i="3"/>
  <c r="C10003" i="3"/>
  <c r="B10003" i="3"/>
  <c r="D10002" i="3"/>
  <c r="C10002" i="3"/>
  <c r="B10002" i="3"/>
  <c r="D10001" i="3"/>
  <c r="C10001" i="3"/>
  <c r="B10001" i="3"/>
  <c r="D10000" i="3"/>
  <c r="C10000" i="3"/>
  <c r="B10000" i="3"/>
  <c r="D9999" i="3"/>
  <c r="C9999" i="3"/>
  <c r="B9999" i="3"/>
  <c r="D9998" i="3"/>
  <c r="C9998" i="3"/>
  <c r="B9998" i="3"/>
  <c r="D9997" i="3"/>
  <c r="C9997" i="3"/>
  <c r="B9997" i="3"/>
  <c r="D9996" i="3"/>
  <c r="C9996" i="3"/>
  <c r="B9996" i="3"/>
  <c r="D9995" i="3"/>
  <c r="C9995" i="3"/>
  <c r="B9995" i="3"/>
  <c r="D9994" i="3"/>
  <c r="C9994" i="3"/>
  <c r="B9994" i="3"/>
  <c r="D9993" i="3"/>
  <c r="C9993" i="3"/>
  <c r="B9993" i="3"/>
  <c r="D9992" i="3"/>
  <c r="C9992" i="3"/>
  <c r="B9992" i="3"/>
  <c r="D9991" i="3"/>
  <c r="C9991" i="3"/>
  <c r="B9991" i="3"/>
  <c r="D9990" i="3"/>
  <c r="C9990" i="3"/>
  <c r="B9990" i="3"/>
  <c r="D9989" i="3"/>
  <c r="C9989" i="3"/>
  <c r="B9989" i="3"/>
  <c r="D9988" i="3"/>
  <c r="C9988" i="3"/>
  <c r="B9988" i="3"/>
  <c r="D9987" i="3"/>
  <c r="C9987" i="3"/>
  <c r="B9987" i="3"/>
  <c r="D9986" i="3"/>
  <c r="C9986" i="3"/>
  <c r="B9986" i="3"/>
  <c r="D9985" i="3"/>
  <c r="C9985" i="3"/>
  <c r="B9985" i="3"/>
  <c r="D9984" i="3"/>
  <c r="C9984" i="3"/>
  <c r="B9984" i="3"/>
  <c r="D9983" i="3"/>
  <c r="C9983" i="3"/>
  <c r="B9983" i="3"/>
  <c r="D9982" i="3"/>
  <c r="C9982" i="3"/>
  <c r="B9982" i="3"/>
  <c r="D9981" i="3"/>
  <c r="C9981" i="3"/>
  <c r="B9981" i="3"/>
  <c r="D9980" i="3"/>
  <c r="C9980" i="3"/>
  <c r="B9980" i="3"/>
  <c r="D9979" i="3"/>
  <c r="C9979" i="3"/>
  <c r="B9979" i="3"/>
  <c r="D9978" i="3"/>
  <c r="C9978" i="3"/>
  <c r="B9978" i="3"/>
  <c r="D9977" i="3"/>
  <c r="C9977" i="3"/>
  <c r="B9977" i="3"/>
  <c r="D9976" i="3"/>
  <c r="C9976" i="3"/>
  <c r="B9976" i="3"/>
  <c r="D9975" i="3"/>
  <c r="C9975" i="3"/>
  <c r="B9975" i="3"/>
  <c r="D9974" i="3"/>
  <c r="C9974" i="3"/>
  <c r="B9974" i="3"/>
  <c r="D9973" i="3"/>
  <c r="C9973" i="3"/>
  <c r="B9973" i="3"/>
  <c r="D9972" i="3"/>
  <c r="C9972" i="3"/>
  <c r="B9972" i="3"/>
  <c r="D9971" i="3"/>
  <c r="C9971" i="3"/>
  <c r="B9971" i="3"/>
  <c r="D9970" i="3"/>
  <c r="C9970" i="3"/>
  <c r="B9970" i="3"/>
  <c r="D9969" i="3"/>
  <c r="C9969" i="3"/>
  <c r="B9969" i="3"/>
  <c r="D9968" i="3"/>
  <c r="C9968" i="3"/>
  <c r="B9968" i="3"/>
  <c r="D9967" i="3"/>
  <c r="C9967" i="3"/>
  <c r="B9967" i="3"/>
  <c r="D9966" i="3"/>
  <c r="C9966" i="3"/>
  <c r="B9966" i="3"/>
  <c r="D9965" i="3"/>
  <c r="C9965" i="3"/>
  <c r="B9965" i="3"/>
  <c r="D9964" i="3"/>
  <c r="C9964" i="3"/>
  <c r="B9964" i="3"/>
  <c r="D9963" i="3"/>
  <c r="C9963" i="3"/>
  <c r="B9963" i="3"/>
  <c r="D9962" i="3"/>
  <c r="C9962" i="3"/>
  <c r="B9962" i="3"/>
  <c r="D9961" i="3"/>
  <c r="C9961" i="3"/>
  <c r="B9961" i="3"/>
  <c r="D9960" i="3"/>
  <c r="C9960" i="3"/>
  <c r="B9960" i="3"/>
  <c r="D9959" i="3"/>
  <c r="C9959" i="3"/>
  <c r="B9959" i="3"/>
  <c r="D9958" i="3"/>
  <c r="C9958" i="3"/>
  <c r="B9958" i="3"/>
  <c r="D9957" i="3"/>
  <c r="C9957" i="3"/>
  <c r="B9957" i="3"/>
  <c r="D9956" i="3"/>
  <c r="C9956" i="3"/>
  <c r="B9956" i="3"/>
  <c r="D9955" i="3"/>
  <c r="C9955" i="3"/>
  <c r="B9955" i="3"/>
  <c r="D9954" i="3"/>
  <c r="C9954" i="3"/>
  <c r="B9954" i="3"/>
  <c r="D9953" i="3"/>
  <c r="C9953" i="3"/>
  <c r="B9953" i="3"/>
  <c r="D9952" i="3"/>
  <c r="C9952" i="3"/>
  <c r="B9952" i="3"/>
  <c r="D9951" i="3"/>
  <c r="C9951" i="3"/>
  <c r="B9951" i="3"/>
  <c r="D9950" i="3"/>
  <c r="C9950" i="3"/>
  <c r="B9950" i="3"/>
  <c r="D9949" i="3"/>
  <c r="C9949" i="3"/>
  <c r="B9949" i="3"/>
  <c r="D9948" i="3"/>
  <c r="C9948" i="3"/>
  <c r="B9948" i="3"/>
  <c r="D9947" i="3"/>
  <c r="C9947" i="3"/>
  <c r="B9947" i="3"/>
  <c r="D9946" i="3"/>
  <c r="C9946" i="3"/>
  <c r="B9946" i="3"/>
  <c r="D9945" i="3"/>
  <c r="C9945" i="3"/>
  <c r="B9945" i="3"/>
  <c r="D9944" i="3"/>
  <c r="C9944" i="3"/>
  <c r="B9944" i="3"/>
  <c r="D9943" i="3"/>
  <c r="C9943" i="3"/>
  <c r="B9943" i="3"/>
  <c r="D9942" i="3"/>
  <c r="C9942" i="3"/>
  <c r="B9942" i="3"/>
  <c r="D9941" i="3"/>
  <c r="C9941" i="3"/>
  <c r="B9941" i="3"/>
  <c r="D9940" i="3"/>
  <c r="C9940" i="3"/>
  <c r="B9940" i="3"/>
  <c r="D9939" i="3"/>
  <c r="C9939" i="3"/>
  <c r="B9939" i="3"/>
  <c r="D9938" i="3"/>
  <c r="C9938" i="3"/>
  <c r="B9938" i="3"/>
  <c r="D9937" i="3"/>
  <c r="C9937" i="3"/>
  <c r="B9937" i="3"/>
  <c r="D9936" i="3"/>
  <c r="C9936" i="3"/>
  <c r="B9936" i="3"/>
  <c r="D9935" i="3"/>
  <c r="C9935" i="3"/>
  <c r="B9935" i="3"/>
  <c r="D9934" i="3"/>
  <c r="C9934" i="3"/>
  <c r="B9934" i="3"/>
  <c r="D9933" i="3"/>
  <c r="C9933" i="3"/>
  <c r="B9933" i="3"/>
  <c r="D9932" i="3"/>
  <c r="C9932" i="3"/>
  <c r="B9932" i="3"/>
  <c r="D9931" i="3"/>
  <c r="C9931" i="3"/>
  <c r="B9931" i="3"/>
  <c r="D9930" i="3"/>
  <c r="C9930" i="3"/>
  <c r="B9930" i="3"/>
  <c r="D9929" i="3"/>
  <c r="C9929" i="3"/>
  <c r="B9929" i="3"/>
  <c r="D9928" i="3"/>
  <c r="C9928" i="3"/>
  <c r="B9928" i="3"/>
  <c r="D9927" i="3"/>
  <c r="C9927" i="3"/>
  <c r="B9927" i="3"/>
  <c r="D9926" i="3"/>
  <c r="C9926" i="3"/>
  <c r="B9926" i="3"/>
  <c r="D9925" i="3"/>
  <c r="C9925" i="3"/>
  <c r="B9925" i="3"/>
  <c r="D9924" i="3"/>
  <c r="C9924" i="3"/>
  <c r="B9924" i="3"/>
  <c r="D9923" i="3"/>
  <c r="C9923" i="3"/>
  <c r="B9923" i="3"/>
  <c r="D9922" i="3"/>
  <c r="C9922" i="3"/>
  <c r="B9922" i="3"/>
  <c r="D9921" i="3"/>
  <c r="C9921" i="3"/>
  <c r="B9921" i="3"/>
  <c r="D9920" i="3"/>
  <c r="C9920" i="3"/>
  <c r="B9920" i="3"/>
  <c r="D9919" i="3"/>
  <c r="C9919" i="3"/>
  <c r="B9919" i="3"/>
  <c r="D9918" i="3"/>
  <c r="C9918" i="3"/>
  <c r="B9918" i="3"/>
  <c r="D9917" i="3"/>
  <c r="C9917" i="3"/>
  <c r="B9917" i="3"/>
  <c r="D9916" i="3"/>
  <c r="C9916" i="3"/>
  <c r="B9916" i="3"/>
  <c r="D9915" i="3"/>
  <c r="C9915" i="3"/>
  <c r="B9915" i="3"/>
  <c r="D9914" i="3"/>
  <c r="C9914" i="3"/>
  <c r="B9914" i="3"/>
  <c r="D9913" i="3"/>
  <c r="C9913" i="3"/>
  <c r="B9913" i="3"/>
  <c r="D9912" i="3"/>
  <c r="C9912" i="3"/>
  <c r="B9912" i="3"/>
  <c r="D9911" i="3"/>
  <c r="C9911" i="3"/>
  <c r="B9911" i="3"/>
  <c r="D9910" i="3"/>
  <c r="C9910" i="3"/>
  <c r="B9910" i="3"/>
  <c r="D9909" i="3"/>
  <c r="C9909" i="3"/>
  <c r="B9909" i="3"/>
  <c r="D9908" i="3"/>
  <c r="C9908" i="3"/>
  <c r="B9908" i="3"/>
  <c r="D9907" i="3"/>
  <c r="C9907" i="3"/>
  <c r="B9907" i="3"/>
  <c r="D9906" i="3"/>
  <c r="C9906" i="3"/>
  <c r="B9906" i="3"/>
  <c r="D9905" i="3"/>
  <c r="C9905" i="3"/>
  <c r="B9905" i="3"/>
  <c r="D9904" i="3"/>
  <c r="C9904" i="3"/>
  <c r="B9904" i="3"/>
  <c r="D9903" i="3"/>
  <c r="C9903" i="3"/>
  <c r="B9903" i="3"/>
  <c r="D9902" i="3"/>
  <c r="C9902" i="3"/>
  <c r="B9902" i="3"/>
  <c r="D9901" i="3"/>
  <c r="C9901" i="3"/>
  <c r="B9901" i="3"/>
  <c r="D9900" i="3"/>
  <c r="C9900" i="3"/>
  <c r="B9900" i="3"/>
  <c r="D9899" i="3"/>
  <c r="C9899" i="3"/>
  <c r="B9899" i="3"/>
  <c r="D9898" i="3"/>
  <c r="C9898" i="3"/>
  <c r="B9898" i="3"/>
  <c r="D9897" i="3"/>
  <c r="C9897" i="3"/>
  <c r="B9897" i="3"/>
  <c r="D9896" i="3"/>
  <c r="C9896" i="3"/>
  <c r="B9896" i="3"/>
  <c r="D9895" i="3"/>
  <c r="C9895" i="3"/>
  <c r="B9895" i="3"/>
  <c r="D9894" i="3"/>
  <c r="C9894" i="3"/>
  <c r="B9894" i="3"/>
  <c r="D9893" i="3"/>
  <c r="C9893" i="3"/>
  <c r="B9893" i="3"/>
  <c r="D9892" i="3"/>
  <c r="C9892" i="3"/>
  <c r="B9892" i="3"/>
  <c r="D9891" i="3"/>
  <c r="C9891" i="3"/>
  <c r="B9891" i="3"/>
  <c r="D9890" i="3"/>
  <c r="C9890" i="3"/>
  <c r="B9890" i="3"/>
  <c r="D9889" i="3"/>
  <c r="C9889" i="3"/>
  <c r="B9889" i="3"/>
  <c r="D9888" i="3"/>
  <c r="C9888" i="3"/>
  <c r="B9888" i="3"/>
  <c r="D9887" i="3"/>
  <c r="C9887" i="3"/>
  <c r="B9887" i="3"/>
  <c r="D9886" i="3"/>
  <c r="C9886" i="3"/>
  <c r="B9886" i="3"/>
  <c r="D9885" i="3"/>
  <c r="C9885" i="3"/>
  <c r="B9885" i="3"/>
  <c r="D9884" i="3"/>
  <c r="C9884" i="3"/>
  <c r="B9884" i="3"/>
  <c r="D9883" i="3"/>
  <c r="C9883" i="3"/>
  <c r="B9883" i="3"/>
  <c r="D9882" i="3"/>
  <c r="C9882" i="3"/>
  <c r="B9882" i="3"/>
  <c r="D9881" i="3"/>
  <c r="C9881" i="3"/>
  <c r="B9881" i="3"/>
  <c r="D9880" i="3"/>
  <c r="C9880" i="3"/>
  <c r="B9880" i="3"/>
  <c r="D9879" i="3"/>
  <c r="C9879" i="3"/>
  <c r="B9879" i="3"/>
  <c r="D9878" i="3"/>
  <c r="C9878" i="3"/>
  <c r="B9878" i="3"/>
  <c r="D9877" i="3"/>
  <c r="C9877" i="3"/>
  <c r="B9877" i="3"/>
  <c r="D9876" i="3"/>
  <c r="C9876" i="3"/>
  <c r="B9876" i="3"/>
  <c r="D9875" i="3"/>
  <c r="C9875" i="3"/>
  <c r="B9875" i="3"/>
  <c r="D9874" i="3"/>
  <c r="C9874" i="3"/>
  <c r="B9874" i="3"/>
  <c r="D9873" i="3"/>
  <c r="C9873" i="3"/>
  <c r="B9873" i="3"/>
  <c r="D9872" i="3"/>
  <c r="C9872" i="3"/>
  <c r="B9872" i="3"/>
  <c r="D9871" i="3"/>
  <c r="C9871" i="3"/>
  <c r="B9871" i="3"/>
  <c r="D9870" i="3"/>
  <c r="C9870" i="3"/>
  <c r="B9870" i="3"/>
  <c r="D9869" i="3"/>
  <c r="C9869" i="3"/>
  <c r="B9869" i="3"/>
  <c r="D9868" i="3"/>
  <c r="C9868" i="3"/>
  <c r="B9868" i="3"/>
  <c r="D9867" i="3"/>
  <c r="C9867" i="3"/>
  <c r="B9867" i="3"/>
  <c r="D9866" i="3"/>
  <c r="C9866" i="3"/>
  <c r="B9866" i="3"/>
  <c r="D9865" i="3"/>
  <c r="C9865" i="3"/>
  <c r="B9865" i="3"/>
  <c r="D9864" i="3"/>
  <c r="C9864" i="3"/>
  <c r="B9864" i="3"/>
  <c r="D9863" i="3"/>
  <c r="C9863" i="3"/>
  <c r="B9863" i="3"/>
  <c r="D9862" i="3"/>
  <c r="C9862" i="3"/>
  <c r="B9862" i="3"/>
  <c r="D9861" i="3"/>
  <c r="C9861" i="3"/>
  <c r="B9861" i="3"/>
  <c r="D9860" i="3"/>
  <c r="C9860" i="3"/>
  <c r="B9860" i="3"/>
  <c r="D9859" i="3"/>
  <c r="C9859" i="3"/>
  <c r="B9859" i="3"/>
  <c r="D9858" i="3"/>
  <c r="C9858" i="3"/>
  <c r="B9858" i="3"/>
  <c r="D9857" i="3"/>
  <c r="C9857" i="3"/>
  <c r="B9857" i="3"/>
  <c r="D9856" i="3"/>
  <c r="C9856" i="3"/>
  <c r="B9856" i="3"/>
  <c r="D9855" i="3"/>
  <c r="C9855" i="3"/>
  <c r="B9855" i="3"/>
  <c r="D9854" i="3"/>
  <c r="C9854" i="3"/>
  <c r="B9854" i="3"/>
  <c r="D9853" i="3"/>
  <c r="C9853" i="3"/>
  <c r="B9853" i="3"/>
  <c r="D9852" i="3"/>
  <c r="C9852" i="3"/>
  <c r="B9852" i="3"/>
  <c r="D9851" i="3"/>
  <c r="C9851" i="3"/>
  <c r="B9851" i="3"/>
  <c r="D9850" i="3"/>
  <c r="C9850" i="3"/>
  <c r="B9850" i="3"/>
  <c r="D9849" i="3"/>
  <c r="C9849" i="3"/>
  <c r="B9849" i="3"/>
  <c r="D9848" i="3"/>
  <c r="C9848" i="3"/>
  <c r="B9848" i="3"/>
  <c r="D9847" i="3"/>
  <c r="C9847" i="3"/>
  <c r="B9847" i="3"/>
  <c r="D9846" i="3"/>
  <c r="C9846" i="3"/>
  <c r="B9846" i="3"/>
  <c r="D9845" i="3"/>
  <c r="C9845" i="3"/>
  <c r="B9845" i="3"/>
  <c r="D9844" i="3"/>
  <c r="C9844" i="3"/>
  <c r="B9844" i="3"/>
  <c r="D9843" i="3"/>
  <c r="C9843" i="3"/>
  <c r="B9843" i="3"/>
  <c r="D9842" i="3"/>
  <c r="C9842" i="3"/>
  <c r="B9842" i="3"/>
  <c r="D9841" i="3"/>
  <c r="C9841" i="3"/>
  <c r="B9841" i="3"/>
  <c r="D9840" i="3"/>
  <c r="C9840" i="3"/>
  <c r="B9840" i="3"/>
  <c r="D9839" i="3"/>
  <c r="C9839" i="3"/>
  <c r="B9839" i="3"/>
  <c r="D9838" i="3"/>
  <c r="C9838" i="3"/>
  <c r="B9838" i="3"/>
  <c r="D9837" i="3"/>
  <c r="C9837" i="3"/>
  <c r="B9837" i="3"/>
  <c r="D9836" i="3"/>
  <c r="C9836" i="3"/>
  <c r="B9836" i="3"/>
  <c r="D9835" i="3"/>
  <c r="C9835" i="3"/>
  <c r="B9835" i="3"/>
  <c r="D9834" i="3"/>
  <c r="C9834" i="3"/>
  <c r="B9834" i="3"/>
  <c r="D9833" i="3"/>
  <c r="C9833" i="3"/>
  <c r="B9833" i="3"/>
  <c r="D9832" i="3"/>
  <c r="C9832" i="3"/>
  <c r="B9832" i="3"/>
  <c r="D9831" i="3"/>
  <c r="C9831" i="3"/>
  <c r="B9831" i="3"/>
  <c r="D9830" i="3"/>
  <c r="C9830" i="3"/>
  <c r="B9830" i="3"/>
  <c r="D9829" i="3"/>
  <c r="C9829" i="3"/>
  <c r="B9829" i="3"/>
  <c r="D9828" i="3"/>
  <c r="C9828" i="3"/>
  <c r="B9828" i="3"/>
  <c r="D9827" i="3"/>
  <c r="C9827" i="3"/>
  <c r="B9827" i="3"/>
  <c r="D9826" i="3"/>
  <c r="C9826" i="3"/>
  <c r="B9826" i="3"/>
  <c r="D9825" i="3"/>
  <c r="C9825" i="3"/>
  <c r="B9825" i="3"/>
  <c r="D9824" i="3"/>
  <c r="C9824" i="3"/>
  <c r="B9824" i="3"/>
  <c r="D9823" i="3"/>
  <c r="C9823" i="3"/>
  <c r="B9823" i="3"/>
  <c r="D9822" i="3"/>
  <c r="C9822" i="3"/>
  <c r="B9822" i="3"/>
  <c r="D9821" i="3"/>
  <c r="C9821" i="3"/>
  <c r="B9821" i="3"/>
  <c r="D9820" i="3"/>
  <c r="C9820" i="3"/>
  <c r="B9820" i="3"/>
  <c r="D9819" i="3"/>
  <c r="C9819" i="3"/>
  <c r="B9819" i="3"/>
  <c r="D9818" i="3"/>
  <c r="C9818" i="3"/>
  <c r="B9818" i="3"/>
  <c r="D9817" i="3"/>
  <c r="C9817" i="3"/>
  <c r="B9817" i="3"/>
  <c r="D9816" i="3"/>
  <c r="C9816" i="3"/>
  <c r="B9816" i="3"/>
  <c r="D9815" i="3"/>
  <c r="C9815" i="3"/>
  <c r="B9815" i="3"/>
  <c r="D9814" i="3"/>
  <c r="C9814" i="3"/>
  <c r="B9814" i="3"/>
  <c r="D9813" i="3"/>
  <c r="C9813" i="3"/>
  <c r="B9813" i="3"/>
  <c r="D9812" i="3"/>
  <c r="C9812" i="3"/>
  <c r="B9812" i="3"/>
  <c r="D9811" i="3"/>
  <c r="C9811" i="3"/>
  <c r="B9811" i="3"/>
  <c r="D9810" i="3"/>
  <c r="C9810" i="3"/>
  <c r="B9810" i="3"/>
  <c r="D9809" i="3"/>
  <c r="C9809" i="3"/>
  <c r="B9809" i="3"/>
  <c r="D9808" i="3"/>
  <c r="C9808" i="3"/>
  <c r="B9808" i="3"/>
  <c r="D9807" i="3"/>
  <c r="C9807" i="3"/>
  <c r="B9807" i="3"/>
  <c r="D9806" i="3"/>
  <c r="C9806" i="3"/>
  <c r="B9806" i="3"/>
  <c r="D9805" i="3"/>
  <c r="C9805" i="3"/>
  <c r="B9805" i="3"/>
  <c r="D9804" i="3"/>
  <c r="C9804" i="3"/>
  <c r="B9804" i="3"/>
  <c r="D9803" i="3"/>
  <c r="C9803" i="3"/>
  <c r="B9803" i="3"/>
  <c r="D9802" i="3"/>
  <c r="C9802" i="3"/>
  <c r="B9802" i="3"/>
  <c r="D9801" i="3"/>
  <c r="C9801" i="3"/>
  <c r="B9801" i="3"/>
  <c r="D9800" i="3"/>
  <c r="C9800" i="3"/>
  <c r="B9800" i="3"/>
  <c r="D9799" i="3"/>
  <c r="C9799" i="3"/>
  <c r="B9799" i="3"/>
  <c r="D9798" i="3"/>
  <c r="C9798" i="3"/>
  <c r="B9798" i="3"/>
  <c r="D9797" i="3"/>
  <c r="C9797" i="3"/>
  <c r="B9797" i="3"/>
  <c r="D9796" i="3"/>
  <c r="C9796" i="3"/>
  <c r="B9796" i="3"/>
  <c r="D9795" i="3"/>
  <c r="C9795" i="3"/>
  <c r="B9795" i="3"/>
  <c r="D9794" i="3"/>
  <c r="C9794" i="3"/>
  <c r="B9794" i="3"/>
  <c r="D9793" i="3"/>
  <c r="C9793" i="3"/>
  <c r="B9793" i="3"/>
  <c r="D9792" i="3"/>
  <c r="C9792" i="3"/>
  <c r="B9792" i="3"/>
  <c r="D9791" i="3"/>
  <c r="C9791" i="3"/>
  <c r="B9791" i="3"/>
  <c r="D9790" i="3"/>
  <c r="C9790" i="3"/>
  <c r="B9790" i="3"/>
  <c r="D9789" i="3"/>
  <c r="C9789" i="3"/>
  <c r="B9789" i="3"/>
  <c r="D9788" i="3"/>
  <c r="C9788" i="3"/>
  <c r="B9788" i="3"/>
  <c r="D9787" i="3"/>
  <c r="C9787" i="3"/>
  <c r="B9787" i="3"/>
  <c r="D9786" i="3"/>
  <c r="C9786" i="3"/>
  <c r="B9786" i="3"/>
  <c r="D9785" i="3"/>
  <c r="C9785" i="3"/>
  <c r="B9785" i="3"/>
  <c r="D9784" i="3"/>
  <c r="C9784" i="3"/>
  <c r="B9784" i="3"/>
  <c r="D9783" i="3"/>
  <c r="C9783" i="3"/>
  <c r="B9783" i="3"/>
  <c r="D9782" i="3"/>
  <c r="C9782" i="3"/>
  <c r="B9782" i="3"/>
  <c r="D9781" i="3"/>
  <c r="C9781" i="3"/>
  <c r="B9781" i="3"/>
  <c r="D9780" i="3"/>
  <c r="C9780" i="3"/>
  <c r="B9780" i="3"/>
  <c r="D9779" i="3"/>
  <c r="C9779" i="3"/>
  <c r="B9779" i="3"/>
  <c r="D9778" i="3"/>
  <c r="C9778" i="3"/>
  <c r="B9778" i="3"/>
  <c r="D9777" i="3"/>
  <c r="C9777" i="3"/>
  <c r="B9777" i="3"/>
  <c r="D9776" i="3"/>
  <c r="C9776" i="3"/>
  <c r="B9776" i="3"/>
  <c r="D9775" i="3"/>
  <c r="C9775" i="3"/>
  <c r="B9775" i="3"/>
  <c r="D9774" i="3"/>
  <c r="C9774" i="3"/>
  <c r="B9774" i="3"/>
  <c r="D9773" i="3"/>
  <c r="C9773" i="3"/>
  <c r="B9773" i="3"/>
  <c r="D9772" i="3"/>
  <c r="C9772" i="3"/>
  <c r="B9772" i="3"/>
  <c r="D9771" i="3"/>
  <c r="C9771" i="3"/>
  <c r="B9771" i="3"/>
  <c r="D9770" i="3"/>
  <c r="C9770" i="3"/>
  <c r="B9770" i="3"/>
  <c r="D9769" i="3"/>
  <c r="C9769" i="3"/>
  <c r="B9769" i="3"/>
  <c r="D9768" i="3"/>
  <c r="C9768" i="3"/>
  <c r="B9768" i="3"/>
  <c r="D9767" i="3"/>
  <c r="C9767" i="3"/>
  <c r="B9767" i="3"/>
  <c r="D9766" i="3"/>
  <c r="C9766" i="3"/>
  <c r="B9766" i="3"/>
  <c r="D9765" i="3"/>
  <c r="C9765" i="3"/>
  <c r="B9765" i="3"/>
  <c r="D9764" i="3"/>
  <c r="C9764" i="3"/>
  <c r="B9764" i="3"/>
  <c r="D9763" i="3"/>
  <c r="C9763" i="3"/>
  <c r="B9763" i="3"/>
  <c r="D9762" i="3"/>
  <c r="C9762" i="3"/>
  <c r="B9762" i="3"/>
  <c r="D9761" i="3"/>
  <c r="C9761" i="3"/>
  <c r="B9761" i="3"/>
  <c r="D9760" i="3"/>
  <c r="C9760" i="3"/>
  <c r="B9760" i="3"/>
  <c r="D9759" i="3"/>
  <c r="C9759" i="3"/>
  <c r="B9759" i="3"/>
  <c r="D9758" i="3"/>
  <c r="C9758" i="3"/>
  <c r="B9758" i="3"/>
  <c r="D9757" i="3"/>
  <c r="C9757" i="3"/>
  <c r="B9757" i="3"/>
  <c r="D9756" i="3"/>
  <c r="C9756" i="3"/>
  <c r="B9756" i="3"/>
  <c r="D9755" i="3"/>
  <c r="C9755" i="3"/>
  <c r="B9755" i="3"/>
  <c r="D9754" i="3"/>
  <c r="C9754" i="3"/>
  <c r="B9754" i="3"/>
  <c r="D9753" i="3"/>
  <c r="C9753" i="3"/>
  <c r="B9753" i="3"/>
  <c r="D9752" i="3"/>
  <c r="C9752" i="3"/>
  <c r="B9752" i="3"/>
  <c r="D9751" i="3"/>
  <c r="C9751" i="3"/>
  <c r="B9751" i="3"/>
  <c r="D9750" i="3"/>
  <c r="C9750" i="3"/>
  <c r="B9750" i="3"/>
  <c r="D9749" i="3"/>
  <c r="C9749" i="3"/>
  <c r="B9749" i="3"/>
  <c r="D9748" i="3"/>
  <c r="C9748" i="3"/>
  <c r="B9748" i="3"/>
  <c r="D9747" i="3"/>
  <c r="C9747" i="3"/>
  <c r="B9747" i="3"/>
  <c r="D9746" i="3"/>
  <c r="C9746" i="3"/>
  <c r="B9746" i="3"/>
  <c r="D9745" i="3"/>
  <c r="C9745" i="3"/>
  <c r="B9745" i="3"/>
  <c r="D9744" i="3"/>
  <c r="C9744" i="3"/>
  <c r="B9744" i="3"/>
  <c r="D9743" i="3"/>
  <c r="C9743" i="3"/>
  <c r="B9743" i="3"/>
  <c r="D9742" i="3"/>
  <c r="C9742" i="3"/>
  <c r="B9742" i="3"/>
  <c r="D9741" i="3"/>
  <c r="C9741" i="3"/>
  <c r="B9741" i="3"/>
  <c r="D9740" i="3"/>
  <c r="C9740" i="3"/>
  <c r="B9740" i="3"/>
  <c r="D9739" i="3"/>
  <c r="C9739" i="3"/>
  <c r="B9739" i="3"/>
  <c r="D9738" i="3"/>
  <c r="C9738" i="3"/>
  <c r="B9738" i="3"/>
  <c r="D9737" i="3"/>
  <c r="C9737" i="3"/>
  <c r="B9737" i="3"/>
  <c r="D9736" i="3"/>
  <c r="C9736" i="3"/>
  <c r="B9736" i="3"/>
  <c r="D9735" i="3"/>
  <c r="C9735" i="3"/>
  <c r="B9735" i="3"/>
  <c r="D9734" i="3"/>
  <c r="C9734" i="3"/>
  <c r="B9734" i="3"/>
  <c r="D9733" i="3"/>
  <c r="C9733" i="3"/>
  <c r="B9733" i="3"/>
  <c r="D9732" i="3"/>
  <c r="C9732" i="3"/>
  <c r="B9732" i="3"/>
  <c r="D9731" i="3"/>
  <c r="C9731" i="3"/>
  <c r="B9731" i="3"/>
  <c r="D9730" i="3"/>
  <c r="C9730" i="3"/>
  <c r="B9730" i="3"/>
  <c r="D9729" i="3"/>
  <c r="C9729" i="3"/>
  <c r="B9729" i="3"/>
  <c r="D9728" i="3"/>
  <c r="C9728" i="3"/>
  <c r="B9728" i="3"/>
  <c r="D9727" i="3"/>
  <c r="C9727" i="3"/>
  <c r="B9727" i="3"/>
  <c r="D9726" i="3"/>
  <c r="C9726" i="3"/>
  <c r="B9726" i="3"/>
  <c r="D9725" i="3"/>
  <c r="C9725" i="3"/>
  <c r="B9725" i="3"/>
  <c r="D9724" i="3"/>
  <c r="C9724" i="3"/>
  <c r="B9724" i="3"/>
  <c r="D9723" i="3"/>
  <c r="C9723" i="3"/>
  <c r="B9723" i="3"/>
  <c r="D9722" i="3"/>
  <c r="C9722" i="3"/>
  <c r="B9722" i="3"/>
  <c r="D9721" i="3"/>
  <c r="C9721" i="3"/>
  <c r="B9721" i="3"/>
  <c r="D9720" i="3"/>
  <c r="C9720" i="3"/>
  <c r="B9720" i="3"/>
  <c r="D9719" i="3"/>
  <c r="C9719" i="3"/>
  <c r="B9719" i="3"/>
  <c r="D9718" i="3"/>
  <c r="C9718" i="3"/>
  <c r="B9718" i="3"/>
  <c r="D9717" i="3"/>
  <c r="C9717" i="3"/>
  <c r="B9717" i="3"/>
  <c r="D9716" i="3"/>
  <c r="C9716" i="3"/>
  <c r="B9716" i="3"/>
  <c r="D9715" i="3"/>
  <c r="C9715" i="3"/>
  <c r="B9715" i="3"/>
  <c r="D9714" i="3"/>
  <c r="C9714" i="3"/>
  <c r="B9714" i="3"/>
  <c r="D9713" i="3"/>
  <c r="C9713" i="3"/>
  <c r="B9713" i="3"/>
  <c r="D9712" i="3"/>
  <c r="C9712" i="3"/>
  <c r="B9712" i="3"/>
  <c r="D9711" i="3"/>
  <c r="C9711" i="3"/>
  <c r="B9711" i="3"/>
  <c r="D9710" i="3"/>
  <c r="C9710" i="3"/>
  <c r="B9710" i="3"/>
  <c r="D9709" i="3"/>
  <c r="C9709" i="3"/>
  <c r="B9709" i="3"/>
  <c r="D9708" i="3"/>
  <c r="C9708" i="3"/>
  <c r="B9708" i="3"/>
  <c r="D9707" i="3"/>
  <c r="C9707" i="3"/>
  <c r="B9707" i="3"/>
  <c r="D9706" i="3"/>
  <c r="C9706" i="3"/>
  <c r="B9706" i="3"/>
  <c r="D9705" i="3"/>
  <c r="C9705" i="3"/>
  <c r="B9705" i="3"/>
  <c r="D9704" i="3"/>
  <c r="C9704" i="3"/>
  <c r="B9704" i="3"/>
  <c r="D9703" i="3"/>
  <c r="C9703" i="3"/>
  <c r="B9703" i="3"/>
  <c r="D9702" i="3"/>
  <c r="C9702" i="3"/>
  <c r="B9702" i="3"/>
  <c r="D9701" i="3"/>
  <c r="C9701" i="3"/>
  <c r="B9701" i="3"/>
  <c r="D9700" i="3"/>
  <c r="C9700" i="3"/>
  <c r="B9700" i="3"/>
  <c r="D9699" i="3"/>
  <c r="C9699" i="3"/>
  <c r="B9699" i="3"/>
  <c r="D9698" i="3"/>
  <c r="C9698" i="3"/>
  <c r="B9698" i="3"/>
  <c r="D9697" i="3"/>
  <c r="C9697" i="3"/>
  <c r="B9697" i="3"/>
  <c r="D9696" i="3"/>
  <c r="C9696" i="3"/>
  <c r="B9696" i="3"/>
  <c r="D9695" i="3"/>
  <c r="C9695" i="3"/>
  <c r="B9695" i="3"/>
  <c r="D9694" i="3"/>
  <c r="C9694" i="3"/>
  <c r="B9694" i="3"/>
  <c r="D9693" i="3"/>
  <c r="C9693" i="3"/>
  <c r="B9693" i="3"/>
  <c r="D9692" i="3"/>
  <c r="C9692" i="3"/>
  <c r="B9692" i="3"/>
  <c r="D9691" i="3"/>
  <c r="C9691" i="3"/>
  <c r="B9691" i="3"/>
  <c r="D9690" i="3"/>
  <c r="C9690" i="3"/>
  <c r="B9690" i="3"/>
  <c r="D9689" i="3"/>
  <c r="C9689" i="3"/>
  <c r="B9689" i="3"/>
  <c r="D9688" i="3"/>
  <c r="C9688" i="3"/>
  <c r="B9688" i="3"/>
  <c r="D9687" i="3"/>
  <c r="C9687" i="3"/>
  <c r="B9687" i="3"/>
  <c r="D9686" i="3"/>
  <c r="C9686" i="3"/>
  <c r="B9686" i="3"/>
  <c r="D9685" i="3"/>
  <c r="C9685" i="3"/>
  <c r="B9685" i="3"/>
  <c r="D9684" i="3"/>
  <c r="C9684" i="3"/>
  <c r="B9684" i="3"/>
  <c r="D9683" i="3"/>
  <c r="C9683" i="3"/>
  <c r="B9683" i="3"/>
  <c r="D9682" i="3"/>
  <c r="C9682" i="3"/>
  <c r="B9682" i="3"/>
  <c r="D9681" i="3"/>
  <c r="C9681" i="3"/>
  <c r="B9681" i="3"/>
  <c r="D9680" i="3"/>
  <c r="C9680" i="3"/>
  <c r="B9680" i="3"/>
  <c r="D9679" i="3"/>
  <c r="C9679" i="3"/>
  <c r="B9679" i="3"/>
  <c r="D9678" i="3"/>
  <c r="C9678" i="3"/>
  <c r="B9678" i="3"/>
  <c r="D9677" i="3"/>
  <c r="C9677" i="3"/>
  <c r="B9677" i="3"/>
  <c r="D9676" i="3"/>
  <c r="C9676" i="3"/>
  <c r="B9676" i="3"/>
  <c r="D9675" i="3"/>
  <c r="C9675" i="3"/>
  <c r="B9675" i="3"/>
  <c r="D9674" i="3"/>
  <c r="C9674" i="3"/>
  <c r="B9674" i="3"/>
  <c r="D9673" i="3"/>
  <c r="C9673" i="3"/>
  <c r="B9673" i="3"/>
  <c r="D9672" i="3"/>
  <c r="C9672" i="3"/>
  <c r="B9672" i="3"/>
  <c r="D9671" i="3"/>
  <c r="C9671" i="3"/>
  <c r="B9671" i="3"/>
  <c r="D9670" i="3"/>
  <c r="C9670" i="3"/>
  <c r="B9670" i="3"/>
  <c r="D9669" i="3"/>
  <c r="C9669" i="3"/>
  <c r="B9669" i="3"/>
  <c r="D9668" i="3"/>
  <c r="C9668" i="3"/>
  <c r="B9668" i="3"/>
  <c r="D9667" i="3"/>
  <c r="C9667" i="3"/>
  <c r="B9667" i="3"/>
  <c r="D9666" i="3"/>
  <c r="C9666" i="3"/>
  <c r="B9666" i="3"/>
  <c r="D9665" i="3"/>
  <c r="C9665" i="3"/>
  <c r="B9665" i="3"/>
  <c r="D9664" i="3"/>
  <c r="C9664" i="3"/>
  <c r="B9664" i="3"/>
  <c r="D9663" i="3"/>
  <c r="C9663" i="3"/>
  <c r="B9663" i="3"/>
  <c r="D9662" i="3"/>
  <c r="C9662" i="3"/>
  <c r="B9662" i="3"/>
  <c r="D9661" i="3"/>
  <c r="C9661" i="3"/>
  <c r="B9661" i="3"/>
  <c r="D9660" i="3"/>
  <c r="C9660" i="3"/>
  <c r="B9660" i="3"/>
  <c r="D9659" i="3"/>
  <c r="C9659" i="3"/>
  <c r="B9659" i="3"/>
  <c r="D9658" i="3"/>
  <c r="C9658" i="3"/>
  <c r="B9658" i="3"/>
  <c r="D9657" i="3"/>
  <c r="C9657" i="3"/>
  <c r="B9657" i="3"/>
  <c r="D9656" i="3"/>
  <c r="C9656" i="3"/>
  <c r="B9656" i="3"/>
  <c r="D9655" i="3"/>
  <c r="C9655" i="3"/>
  <c r="B9655" i="3"/>
  <c r="D9654" i="3"/>
  <c r="C9654" i="3"/>
  <c r="B9654" i="3"/>
  <c r="D9653" i="3"/>
  <c r="C9653" i="3"/>
  <c r="B9653" i="3"/>
  <c r="D9652" i="3"/>
  <c r="C9652" i="3"/>
  <c r="B9652" i="3"/>
  <c r="D9651" i="3"/>
  <c r="C9651" i="3"/>
  <c r="B9651" i="3"/>
  <c r="D9650" i="3"/>
  <c r="C9650" i="3"/>
  <c r="B9650" i="3"/>
  <c r="D9649" i="3"/>
  <c r="C9649" i="3"/>
  <c r="B9649" i="3"/>
  <c r="D9648" i="3"/>
  <c r="C9648" i="3"/>
  <c r="B9648" i="3"/>
  <c r="D9647" i="3"/>
  <c r="C9647" i="3"/>
  <c r="B9647" i="3"/>
  <c r="D9646" i="3"/>
  <c r="C9646" i="3"/>
  <c r="B9646" i="3"/>
  <c r="D9645" i="3"/>
  <c r="C9645" i="3"/>
  <c r="B9645" i="3"/>
  <c r="D9644" i="3"/>
  <c r="C9644" i="3"/>
  <c r="B9644" i="3"/>
  <c r="D9643" i="3"/>
  <c r="C9643" i="3"/>
  <c r="B9643" i="3"/>
  <c r="D9642" i="3"/>
  <c r="C9642" i="3"/>
  <c r="B9642" i="3"/>
  <c r="D9641" i="3"/>
  <c r="C9641" i="3"/>
  <c r="B9641" i="3"/>
  <c r="D9640" i="3"/>
  <c r="C9640" i="3"/>
  <c r="B9640" i="3"/>
  <c r="D9639" i="3"/>
  <c r="C9639" i="3"/>
  <c r="B9639" i="3"/>
  <c r="D9638" i="3"/>
  <c r="C9638" i="3"/>
  <c r="B9638" i="3"/>
  <c r="D9637" i="3"/>
  <c r="C9637" i="3"/>
  <c r="B9637" i="3"/>
  <c r="D9636" i="3"/>
  <c r="C9636" i="3"/>
  <c r="B9636" i="3"/>
  <c r="D9635" i="3"/>
  <c r="C9635" i="3"/>
  <c r="B9635" i="3"/>
  <c r="D9634" i="3"/>
  <c r="C9634" i="3"/>
  <c r="B9634" i="3"/>
  <c r="D9633" i="3"/>
  <c r="C9633" i="3"/>
  <c r="B9633" i="3"/>
  <c r="D9632" i="3"/>
  <c r="C9632" i="3"/>
  <c r="B9632" i="3"/>
  <c r="D9631" i="3"/>
  <c r="C9631" i="3"/>
  <c r="B9631" i="3"/>
  <c r="D9630" i="3"/>
  <c r="C9630" i="3"/>
  <c r="B9630" i="3"/>
  <c r="D9629" i="3"/>
  <c r="C9629" i="3"/>
  <c r="B9629" i="3"/>
  <c r="D9628" i="3"/>
  <c r="C9628" i="3"/>
  <c r="B9628" i="3"/>
  <c r="D9627" i="3"/>
  <c r="C9627" i="3"/>
  <c r="B9627" i="3"/>
  <c r="D9626" i="3"/>
  <c r="C9626" i="3"/>
  <c r="B9626" i="3"/>
  <c r="D9625" i="3"/>
  <c r="C9625" i="3"/>
  <c r="B9625" i="3"/>
  <c r="D9624" i="3"/>
  <c r="C9624" i="3"/>
  <c r="B9624" i="3"/>
  <c r="D9623" i="3"/>
  <c r="C9623" i="3"/>
  <c r="B9623" i="3"/>
  <c r="D9622" i="3"/>
  <c r="C9622" i="3"/>
  <c r="B9622" i="3"/>
  <c r="D9621" i="3"/>
  <c r="C9621" i="3"/>
  <c r="B9621" i="3"/>
  <c r="D9620" i="3"/>
  <c r="C9620" i="3"/>
  <c r="B9620" i="3"/>
  <c r="D9619" i="3"/>
  <c r="C9619" i="3"/>
  <c r="B9619" i="3"/>
  <c r="D9618" i="3"/>
  <c r="C9618" i="3"/>
  <c r="B9618" i="3"/>
  <c r="D9617" i="3"/>
  <c r="C9617" i="3"/>
  <c r="B9617" i="3"/>
  <c r="D9616" i="3"/>
  <c r="C9616" i="3"/>
  <c r="B9616" i="3"/>
  <c r="D9615" i="3"/>
  <c r="C9615" i="3"/>
  <c r="B9615" i="3"/>
  <c r="D9614" i="3"/>
  <c r="C9614" i="3"/>
  <c r="B9614" i="3"/>
  <c r="D9613" i="3"/>
  <c r="C9613" i="3"/>
  <c r="B9613" i="3"/>
  <c r="D9612" i="3"/>
  <c r="C9612" i="3"/>
  <c r="B9612" i="3"/>
  <c r="D9611" i="3"/>
  <c r="C9611" i="3"/>
  <c r="B9611" i="3"/>
  <c r="D9610" i="3"/>
  <c r="C9610" i="3"/>
  <c r="B9610" i="3"/>
  <c r="D9609" i="3"/>
  <c r="C9609" i="3"/>
  <c r="B9609" i="3"/>
  <c r="D9608" i="3"/>
  <c r="C9608" i="3"/>
  <c r="B9608" i="3"/>
  <c r="D9607" i="3"/>
  <c r="C9607" i="3"/>
  <c r="B9607" i="3"/>
  <c r="D9606" i="3"/>
  <c r="C9606" i="3"/>
  <c r="B9606" i="3"/>
  <c r="D9605" i="3"/>
  <c r="C9605" i="3"/>
  <c r="B9605" i="3"/>
  <c r="D9604" i="3"/>
  <c r="C9604" i="3"/>
  <c r="B9604" i="3"/>
  <c r="D9603" i="3"/>
  <c r="C9603" i="3"/>
  <c r="B9603" i="3"/>
  <c r="D9602" i="3"/>
  <c r="C9602" i="3"/>
  <c r="B9602" i="3"/>
  <c r="D9601" i="3"/>
  <c r="C9601" i="3"/>
  <c r="B9601" i="3"/>
  <c r="D9600" i="3"/>
  <c r="C9600" i="3"/>
  <c r="B9600" i="3"/>
  <c r="D9599" i="3"/>
  <c r="C9599" i="3"/>
  <c r="B9599" i="3"/>
  <c r="D9598" i="3"/>
  <c r="C9598" i="3"/>
  <c r="B9598" i="3"/>
  <c r="D9597" i="3"/>
  <c r="C9597" i="3"/>
  <c r="B9597" i="3"/>
  <c r="D9596" i="3"/>
  <c r="C9596" i="3"/>
  <c r="B9596" i="3"/>
  <c r="D9595" i="3"/>
  <c r="C9595" i="3"/>
  <c r="B9595" i="3"/>
  <c r="D9594" i="3"/>
  <c r="C9594" i="3"/>
  <c r="B9594" i="3"/>
  <c r="D9593" i="3"/>
  <c r="C9593" i="3"/>
  <c r="B9593" i="3"/>
  <c r="D9592" i="3"/>
  <c r="C9592" i="3"/>
  <c r="B9592" i="3"/>
  <c r="D9591" i="3"/>
  <c r="C9591" i="3"/>
  <c r="B9591" i="3"/>
  <c r="D9590" i="3"/>
  <c r="C9590" i="3"/>
  <c r="B9590" i="3"/>
  <c r="D9589" i="3"/>
  <c r="C9589" i="3"/>
  <c r="B9589" i="3"/>
  <c r="D9588" i="3"/>
  <c r="C9588" i="3"/>
  <c r="B9588" i="3"/>
  <c r="D9587" i="3"/>
  <c r="C9587" i="3"/>
  <c r="B9587" i="3"/>
  <c r="D9586" i="3"/>
  <c r="C9586" i="3"/>
  <c r="B9586" i="3"/>
  <c r="D9585" i="3"/>
  <c r="C9585" i="3"/>
  <c r="B9585" i="3"/>
  <c r="D9584" i="3"/>
  <c r="C9584" i="3"/>
  <c r="B9584" i="3"/>
  <c r="D9583" i="3"/>
  <c r="C9583" i="3"/>
  <c r="B9583" i="3"/>
  <c r="D9582" i="3"/>
  <c r="C9582" i="3"/>
  <c r="B9582" i="3"/>
  <c r="D9581" i="3"/>
  <c r="C9581" i="3"/>
  <c r="B9581" i="3"/>
  <c r="D9580" i="3"/>
  <c r="C9580" i="3"/>
  <c r="B9580" i="3"/>
  <c r="D9579" i="3"/>
  <c r="C9579" i="3"/>
  <c r="B9579" i="3"/>
  <c r="D9578" i="3"/>
  <c r="C9578" i="3"/>
  <c r="B9578" i="3"/>
  <c r="D9577" i="3"/>
  <c r="C9577" i="3"/>
  <c r="B9577" i="3"/>
  <c r="D9576" i="3"/>
  <c r="C9576" i="3"/>
  <c r="B9576" i="3"/>
  <c r="D9575" i="3"/>
  <c r="C9575" i="3"/>
  <c r="B9575" i="3"/>
  <c r="D9574" i="3"/>
  <c r="C9574" i="3"/>
  <c r="B9574" i="3"/>
  <c r="D9573" i="3"/>
  <c r="C9573" i="3"/>
  <c r="B9573" i="3"/>
  <c r="D9572" i="3"/>
  <c r="C9572" i="3"/>
  <c r="B9572" i="3"/>
  <c r="D9571" i="3"/>
  <c r="C9571" i="3"/>
  <c r="B9571" i="3"/>
  <c r="D9570" i="3"/>
  <c r="C9570" i="3"/>
  <c r="B9570" i="3"/>
  <c r="D9569" i="3"/>
  <c r="C9569" i="3"/>
  <c r="B9569" i="3"/>
  <c r="D9568" i="3"/>
  <c r="C9568" i="3"/>
  <c r="B9568" i="3"/>
  <c r="D9567" i="3"/>
  <c r="C9567" i="3"/>
  <c r="B9567" i="3"/>
  <c r="D9566" i="3"/>
  <c r="C9566" i="3"/>
  <c r="B9566" i="3"/>
  <c r="D9565" i="3"/>
  <c r="C9565" i="3"/>
  <c r="B9565" i="3"/>
  <c r="D9564" i="3"/>
  <c r="C9564" i="3"/>
  <c r="B9564" i="3"/>
  <c r="D9563" i="3"/>
  <c r="C9563" i="3"/>
  <c r="B9563" i="3"/>
  <c r="D9562" i="3"/>
  <c r="C9562" i="3"/>
  <c r="B9562" i="3"/>
  <c r="D9561" i="3"/>
  <c r="C9561" i="3"/>
  <c r="B9561" i="3"/>
  <c r="D9560" i="3"/>
  <c r="C9560" i="3"/>
  <c r="B9560" i="3"/>
  <c r="D9559" i="3"/>
  <c r="C9559" i="3"/>
  <c r="B9559" i="3"/>
  <c r="D9558" i="3"/>
  <c r="C9558" i="3"/>
  <c r="B9558" i="3"/>
  <c r="D9557" i="3"/>
  <c r="C9557" i="3"/>
  <c r="B9557" i="3"/>
  <c r="D9556" i="3"/>
  <c r="C9556" i="3"/>
  <c r="B9556" i="3"/>
  <c r="D9555" i="3"/>
  <c r="C9555" i="3"/>
  <c r="B9555" i="3"/>
  <c r="D9554" i="3"/>
  <c r="C9554" i="3"/>
  <c r="B9554" i="3"/>
  <c r="D9553" i="3"/>
  <c r="C9553" i="3"/>
  <c r="B9553" i="3"/>
  <c r="D9552" i="3"/>
  <c r="C9552" i="3"/>
  <c r="B9552" i="3"/>
  <c r="D9551" i="3"/>
  <c r="C9551" i="3"/>
  <c r="B9551" i="3"/>
  <c r="D9550" i="3"/>
  <c r="C9550" i="3"/>
  <c r="B9550" i="3"/>
  <c r="D9549" i="3"/>
  <c r="C9549" i="3"/>
  <c r="B9549" i="3"/>
  <c r="D9548" i="3"/>
  <c r="C9548" i="3"/>
  <c r="B9548" i="3"/>
  <c r="D9547" i="3"/>
  <c r="C9547" i="3"/>
  <c r="B9547" i="3"/>
  <c r="D9546" i="3"/>
  <c r="C9546" i="3"/>
  <c r="B9546" i="3"/>
  <c r="D9545" i="3"/>
  <c r="C9545" i="3"/>
  <c r="B9545" i="3"/>
  <c r="D9544" i="3"/>
  <c r="C9544" i="3"/>
  <c r="B9544" i="3"/>
  <c r="D9543" i="3"/>
  <c r="C9543" i="3"/>
  <c r="B9543" i="3"/>
  <c r="D9542" i="3"/>
  <c r="C9542" i="3"/>
  <c r="B9542" i="3"/>
  <c r="D9541" i="3"/>
  <c r="C9541" i="3"/>
  <c r="B9541" i="3"/>
  <c r="D9540" i="3"/>
  <c r="C9540" i="3"/>
  <c r="B9540" i="3"/>
  <c r="D9539" i="3"/>
  <c r="C9539" i="3"/>
  <c r="B9539" i="3"/>
  <c r="D9538" i="3"/>
  <c r="C9538" i="3"/>
  <c r="B9538" i="3"/>
  <c r="D9537" i="3"/>
  <c r="C9537" i="3"/>
  <c r="B9537" i="3"/>
  <c r="D9536" i="3"/>
  <c r="C9536" i="3"/>
  <c r="B9536" i="3"/>
  <c r="D9535" i="3"/>
  <c r="C9535" i="3"/>
  <c r="B9535" i="3"/>
  <c r="D9534" i="3"/>
  <c r="C9534" i="3"/>
  <c r="B9534" i="3"/>
  <c r="D9533" i="3"/>
  <c r="C9533" i="3"/>
  <c r="B9533" i="3"/>
  <c r="D9532" i="3"/>
  <c r="C9532" i="3"/>
  <c r="B9532" i="3"/>
  <c r="D9531" i="3"/>
  <c r="C9531" i="3"/>
  <c r="B9531" i="3"/>
  <c r="D9530" i="3"/>
  <c r="C9530" i="3"/>
  <c r="B9530" i="3"/>
  <c r="D9529" i="3"/>
  <c r="C9529" i="3"/>
  <c r="B9529" i="3"/>
  <c r="D9528" i="3"/>
  <c r="C9528" i="3"/>
  <c r="B9528" i="3"/>
  <c r="D9527" i="3"/>
  <c r="C9527" i="3"/>
  <c r="B9527" i="3"/>
  <c r="D9526" i="3"/>
  <c r="C9526" i="3"/>
  <c r="B9526" i="3"/>
  <c r="D9525" i="3"/>
  <c r="C9525" i="3"/>
  <c r="B9525" i="3"/>
  <c r="D9524" i="3"/>
  <c r="C9524" i="3"/>
  <c r="B9524" i="3"/>
  <c r="D9523" i="3"/>
  <c r="C9523" i="3"/>
  <c r="B9523" i="3"/>
  <c r="D9522" i="3"/>
  <c r="C9522" i="3"/>
  <c r="B9522" i="3"/>
  <c r="D9521" i="3"/>
  <c r="C9521" i="3"/>
  <c r="B9521" i="3"/>
  <c r="D9520" i="3"/>
  <c r="C9520" i="3"/>
  <c r="B9520" i="3"/>
  <c r="D9519" i="3"/>
  <c r="C9519" i="3"/>
  <c r="B9519" i="3"/>
  <c r="D9518" i="3"/>
  <c r="C9518" i="3"/>
  <c r="B9518" i="3"/>
  <c r="D9517" i="3"/>
  <c r="C9517" i="3"/>
  <c r="B9517" i="3"/>
  <c r="D9516" i="3"/>
  <c r="C9516" i="3"/>
  <c r="B9516" i="3"/>
  <c r="D9515" i="3"/>
  <c r="C9515" i="3"/>
  <c r="B9515" i="3"/>
  <c r="D9514" i="3"/>
  <c r="C9514" i="3"/>
  <c r="B9514" i="3"/>
  <c r="D9513" i="3"/>
  <c r="C9513" i="3"/>
  <c r="B9513" i="3"/>
  <c r="D9512" i="3"/>
  <c r="C9512" i="3"/>
  <c r="B9512" i="3"/>
  <c r="D9511" i="3"/>
  <c r="C9511" i="3"/>
  <c r="B9511" i="3"/>
  <c r="D9510" i="3"/>
  <c r="C9510" i="3"/>
  <c r="B9510" i="3"/>
  <c r="D9509" i="3"/>
  <c r="C9509" i="3"/>
  <c r="B9509" i="3"/>
  <c r="D9508" i="3"/>
  <c r="C9508" i="3"/>
  <c r="B9508" i="3"/>
  <c r="D9507" i="3"/>
  <c r="C9507" i="3"/>
  <c r="B9507" i="3"/>
  <c r="D9506" i="3"/>
  <c r="C9506" i="3"/>
  <c r="B9506" i="3"/>
  <c r="D9505" i="3"/>
  <c r="C9505" i="3"/>
  <c r="B9505" i="3"/>
  <c r="D9504" i="3"/>
  <c r="C9504" i="3"/>
  <c r="B9504" i="3"/>
  <c r="D9503" i="3"/>
  <c r="C9503" i="3"/>
  <c r="B9503" i="3"/>
  <c r="D9502" i="3"/>
  <c r="C9502" i="3"/>
  <c r="B9502" i="3"/>
  <c r="D9501" i="3"/>
  <c r="C9501" i="3"/>
  <c r="B9501" i="3"/>
  <c r="D9500" i="3"/>
  <c r="C9500" i="3"/>
  <c r="B9500" i="3"/>
  <c r="D9499" i="3"/>
  <c r="C9499" i="3"/>
  <c r="B9499" i="3"/>
  <c r="D9498" i="3"/>
  <c r="C9498" i="3"/>
  <c r="B9498" i="3"/>
  <c r="D9497" i="3"/>
  <c r="C9497" i="3"/>
  <c r="B9497" i="3"/>
  <c r="D9496" i="3"/>
  <c r="C9496" i="3"/>
  <c r="B9496" i="3"/>
  <c r="D9495" i="3"/>
  <c r="C9495" i="3"/>
  <c r="B9495" i="3"/>
  <c r="D9494" i="3"/>
  <c r="C9494" i="3"/>
  <c r="B9494" i="3"/>
  <c r="D9493" i="3"/>
  <c r="C9493" i="3"/>
  <c r="B9493" i="3"/>
  <c r="D9492" i="3"/>
  <c r="C9492" i="3"/>
  <c r="B9492" i="3"/>
  <c r="D9491" i="3"/>
  <c r="C9491" i="3"/>
  <c r="B9491" i="3"/>
  <c r="D9490" i="3"/>
  <c r="C9490" i="3"/>
  <c r="B9490" i="3"/>
  <c r="D9489" i="3"/>
  <c r="C9489" i="3"/>
  <c r="B9489" i="3"/>
  <c r="D9488" i="3"/>
  <c r="C9488" i="3"/>
  <c r="B9488" i="3"/>
  <c r="D9487" i="3"/>
  <c r="C9487" i="3"/>
  <c r="B9487" i="3"/>
  <c r="D9486" i="3"/>
  <c r="C9486" i="3"/>
  <c r="B9486" i="3"/>
  <c r="D9485" i="3"/>
  <c r="C9485" i="3"/>
  <c r="B9485" i="3"/>
  <c r="D9484" i="3"/>
  <c r="C9484" i="3"/>
  <c r="B9484" i="3"/>
  <c r="D9483" i="3"/>
  <c r="C9483" i="3"/>
  <c r="B9483" i="3"/>
  <c r="D9482" i="3"/>
  <c r="C9482" i="3"/>
  <c r="B9482" i="3"/>
  <c r="D9481" i="3"/>
  <c r="C9481" i="3"/>
  <c r="B9481" i="3"/>
  <c r="D9480" i="3"/>
  <c r="C9480" i="3"/>
  <c r="B9480" i="3"/>
  <c r="D9479" i="3"/>
  <c r="C9479" i="3"/>
  <c r="B9479" i="3"/>
  <c r="D9478" i="3"/>
  <c r="C9478" i="3"/>
  <c r="B9478" i="3"/>
  <c r="D9477" i="3"/>
  <c r="C9477" i="3"/>
  <c r="B9477" i="3"/>
  <c r="D9476" i="3"/>
  <c r="C9476" i="3"/>
  <c r="B9476" i="3"/>
  <c r="D9475" i="3"/>
  <c r="C9475" i="3"/>
  <c r="B9475" i="3"/>
  <c r="D9474" i="3"/>
  <c r="C9474" i="3"/>
  <c r="B9474" i="3"/>
  <c r="D9473" i="3"/>
  <c r="C9473" i="3"/>
  <c r="B9473" i="3"/>
  <c r="D9472" i="3"/>
  <c r="C9472" i="3"/>
  <c r="B9472" i="3"/>
  <c r="D9471" i="3"/>
  <c r="C9471" i="3"/>
  <c r="B9471" i="3"/>
  <c r="D9470" i="3"/>
  <c r="C9470" i="3"/>
  <c r="B9470" i="3"/>
  <c r="D9469" i="3"/>
  <c r="C9469" i="3"/>
  <c r="B9469" i="3"/>
  <c r="D9468" i="3"/>
  <c r="C9468" i="3"/>
  <c r="B9468" i="3"/>
  <c r="D9467" i="3"/>
  <c r="C9467" i="3"/>
  <c r="B9467" i="3"/>
  <c r="D9466" i="3"/>
  <c r="C9466" i="3"/>
  <c r="B9466" i="3"/>
  <c r="D9465" i="3"/>
  <c r="C9465" i="3"/>
  <c r="B9465" i="3"/>
  <c r="D9464" i="3"/>
  <c r="C9464" i="3"/>
  <c r="B9464" i="3"/>
  <c r="D9463" i="3"/>
  <c r="C9463" i="3"/>
  <c r="B9463" i="3"/>
  <c r="D9462" i="3"/>
  <c r="C9462" i="3"/>
  <c r="B9462" i="3"/>
  <c r="D9461" i="3"/>
  <c r="C9461" i="3"/>
  <c r="B9461" i="3"/>
  <c r="D9460" i="3"/>
  <c r="C9460" i="3"/>
  <c r="B9460" i="3"/>
  <c r="D9459" i="3"/>
  <c r="C9459" i="3"/>
  <c r="B9459" i="3"/>
  <c r="D9458" i="3"/>
  <c r="C9458" i="3"/>
  <c r="B9458" i="3"/>
  <c r="D9457" i="3"/>
  <c r="C9457" i="3"/>
  <c r="B9457" i="3"/>
  <c r="D9456" i="3"/>
  <c r="C9456" i="3"/>
  <c r="B9456" i="3"/>
  <c r="D9455" i="3"/>
  <c r="C9455" i="3"/>
  <c r="B9455" i="3"/>
  <c r="D9454" i="3"/>
  <c r="C9454" i="3"/>
  <c r="B9454" i="3"/>
  <c r="D9453" i="3"/>
  <c r="C9453" i="3"/>
  <c r="B9453" i="3"/>
  <c r="D9452" i="3"/>
  <c r="C9452" i="3"/>
  <c r="B9452" i="3"/>
  <c r="D9451" i="3"/>
  <c r="C9451" i="3"/>
  <c r="B9451" i="3"/>
  <c r="D9450" i="3"/>
  <c r="C9450" i="3"/>
  <c r="B9450" i="3"/>
  <c r="D9449" i="3"/>
  <c r="C9449" i="3"/>
  <c r="B9449" i="3"/>
  <c r="D9448" i="3"/>
  <c r="C9448" i="3"/>
  <c r="B9448" i="3"/>
  <c r="D9447" i="3"/>
  <c r="C9447" i="3"/>
  <c r="B9447" i="3"/>
  <c r="D9446" i="3"/>
  <c r="C9446" i="3"/>
  <c r="B9446" i="3"/>
  <c r="D9445" i="3"/>
  <c r="C9445" i="3"/>
  <c r="B9445" i="3"/>
  <c r="D9444" i="3"/>
  <c r="C9444" i="3"/>
  <c r="B9444" i="3"/>
  <c r="D9443" i="3"/>
  <c r="C9443" i="3"/>
  <c r="B9443" i="3"/>
  <c r="D9442" i="3"/>
  <c r="C9442" i="3"/>
  <c r="B9442" i="3"/>
  <c r="D9441" i="3"/>
  <c r="C9441" i="3"/>
  <c r="B9441" i="3"/>
  <c r="D9440" i="3"/>
  <c r="C9440" i="3"/>
  <c r="B9440" i="3"/>
  <c r="D9439" i="3"/>
  <c r="C9439" i="3"/>
  <c r="B9439" i="3"/>
  <c r="D9438" i="3"/>
  <c r="C9438" i="3"/>
  <c r="B9438" i="3"/>
  <c r="D9437" i="3"/>
  <c r="C9437" i="3"/>
  <c r="B9437" i="3"/>
  <c r="D9436" i="3"/>
  <c r="C9436" i="3"/>
  <c r="B9436" i="3"/>
  <c r="D9435" i="3"/>
  <c r="C9435" i="3"/>
  <c r="B9435" i="3"/>
  <c r="D9434" i="3"/>
  <c r="C9434" i="3"/>
  <c r="B9434" i="3"/>
  <c r="D9433" i="3"/>
  <c r="C9433" i="3"/>
  <c r="B9433" i="3"/>
  <c r="D9432" i="3"/>
  <c r="C9432" i="3"/>
  <c r="B9432" i="3"/>
  <c r="D9431" i="3"/>
  <c r="C9431" i="3"/>
  <c r="B9431" i="3"/>
  <c r="D9430" i="3"/>
  <c r="C9430" i="3"/>
  <c r="B9430" i="3"/>
  <c r="D9429" i="3"/>
  <c r="C9429" i="3"/>
  <c r="B9429" i="3"/>
  <c r="D9428" i="3"/>
  <c r="C9428" i="3"/>
  <c r="B9428" i="3"/>
  <c r="D9427" i="3"/>
  <c r="C9427" i="3"/>
  <c r="B9427" i="3"/>
  <c r="D9426" i="3"/>
  <c r="C9426" i="3"/>
  <c r="B9426" i="3"/>
  <c r="D9425" i="3"/>
  <c r="C9425" i="3"/>
  <c r="B9425" i="3"/>
  <c r="D9424" i="3"/>
  <c r="C9424" i="3"/>
  <c r="B9424" i="3"/>
  <c r="D9423" i="3"/>
  <c r="C9423" i="3"/>
  <c r="B9423" i="3"/>
  <c r="D9422" i="3"/>
  <c r="C9422" i="3"/>
  <c r="B9422" i="3"/>
  <c r="D9421" i="3"/>
  <c r="C9421" i="3"/>
  <c r="B9421" i="3"/>
  <c r="D9420" i="3"/>
  <c r="C9420" i="3"/>
  <c r="B9420" i="3"/>
  <c r="D9419" i="3"/>
  <c r="C9419" i="3"/>
  <c r="B9419" i="3"/>
  <c r="D9418" i="3"/>
  <c r="C9418" i="3"/>
  <c r="B9418" i="3"/>
  <c r="D9417" i="3"/>
  <c r="C9417" i="3"/>
  <c r="B9417" i="3"/>
  <c r="D9416" i="3"/>
  <c r="C9416" i="3"/>
  <c r="B9416" i="3"/>
  <c r="D9415" i="3"/>
  <c r="C9415" i="3"/>
  <c r="B9415" i="3"/>
  <c r="D9414" i="3"/>
  <c r="C9414" i="3"/>
  <c r="B9414" i="3"/>
  <c r="D9413" i="3"/>
  <c r="C9413" i="3"/>
  <c r="B9413" i="3"/>
  <c r="D9412" i="3"/>
  <c r="C9412" i="3"/>
  <c r="B9412" i="3"/>
  <c r="D9411" i="3"/>
  <c r="C9411" i="3"/>
  <c r="B9411" i="3"/>
  <c r="D9410" i="3"/>
  <c r="C9410" i="3"/>
  <c r="B9410" i="3"/>
  <c r="D9409" i="3"/>
  <c r="C9409" i="3"/>
  <c r="B9409" i="3"/>
  <c r="D9408" i="3"/>
  <c r="C9408" i="3"/>
  <c r="B9408" i="3"/>
  <c r="D9407" i="3"/>
  <c r="C9407" i="3"/>
  <c r="B9407" i="3"/>
  <c r="D9406" i="3"/>
  <c r="C9406" i="3"/>
  <c r="B9406" i="3"/>
  <c r="D9405" i="3"/>
  <c r="C9405" i="3"/>
  <c r="B9405" i="3"/>
  <c r="D9404" i="3"/>
  <c r="C9404" i="3"/>
  <c r="B9404" i="3"/>
  <c r="D9403" i="3"/>
  <c r="C9403" i="3"/>
  <c r="B9403" i="3"/>
  <c r="D9402" i="3"/>
  <c r="C9402" i="3"/>
  <c r="B9402" i="3"/>
  <c r="D9401" i="3"/>
  <c r="C9401" i="3"/>
  <c r="B9401" i="3"/>
  <c r="D9400" i="3"/>
  <c r="C9400" i="3"/>
  <c r="B9400" i="3"/>
  <c r="D9399" i="3"/>
  <c r="C9399" i="3"/>
  <c r="B9399" i="3"/>
  <c r="D9398" i="3"/>
  <c r="C9398" i="3"/>
  <c r="B9398" i="3"/>
  <c r="D9397" i="3"/>
  <c r="C9397" i="3"/>
  <c r="B9397" i="3"/>
  <c r="D9396" i="3"/>
  <c r="C9396" i="3"/>
  <c r="B9396" i="3"/>
  <c r="D9395" i="3"/>
  <c r="C9395" i="3"/>
  <c r="B9395" i="3"/>
  <c r="D9394" i="3"/>
  <c r="C9394" i="3"/>
  <c r="B9394" i="3"/>
  <c r="D9393" i="3"/>
  <c r="C9393" i="3"/>
  <c r="B9393" i="3"/>
  <c r="D9392" i="3"/>
  <c r="C9392" i="3"/>
  <c r="B9392" i="3"/>
  <c r="D9391" i="3"/>
  <c r="C9391" i="3"/>
  <c r="B9391" i="3"/>
  <c r="D9390" i="3"/>
  <c r="C9390" i="3"/>
  <c r="B9390" i="3"/>
  <c r="D9389" i="3"/>
  <c r="C9389" i="3"/>
  <c r="B9389" i="3"/>
  <c r="D9388" i="3"/>
  <c r="C9388" i="3"/>
  <c r="B9388" i="3"/>
  <c r="D9387" i="3"/>
  <c r="C9387" i="3"/>
  <c r="B9387" i="3"/>
  <c r="D9386" i="3"/>
  <c r="C9386" i="3"/>
  <c r="B9386" i="3"/>
  <c r="D9385" i="3"/>
  <c r="C9385" i="3"/>
  <c r="B9385" i="3"/>
  <c r="D9384" i="3"/>
  <c r="C9384" i="3"/>
  <c r="B9384" i="3"/>
  <c r="D9383" i="3"/>
  <c r="C9383" i="3"/>
  <c r="B9383" i="3"/>
  <c r="D9382" i="3"/>
  <c r="C9382" i="3"/>
  <c r="B9382" i="3"/>
  <c r="D9381" i="3"/>
  <c r="C9381" i="3"/>
  <c r="B9381" i="3"/>
  <c r="D9380" i="3"/>
  <c r="C9380" i="3"/>
  <c r="B9380" i="3"/>
  <c r="D9379" i="3"/>
  <c r="C9379" i="3"/>
  <c r="B9379" i="3"/>
  <c r="D9378" i="3"/>
  <c r="C9378" i="3"/>
  <c r="B9378" i="3"/>
  <c r="D9377" i="3"/>
  <c r="C9377" i="3"/>
  <c r="B9377" i="3"/>
  <c r="D9376" i="3"/>
  <c r="C9376" i="3"/>
  <c r="B9376" i="3"/>
  <c r="D9375" i="3"/>
  <c r="C9375" i="3"/>
  <c r="B9375" i="3"/>
  <c r="D9374" i="3"/>
  <c r="C9374" i="3"/>
  <c r="B9374" i="3"/>
  <c r="D9373" i="3"/>
  <c r="C9373" i="3"/>
  <c r="B9373" i="3"/>
  <c r="D9372" i="3"/>
  <c r="C9372" i="3"/>
  <c r="B9372" i="3"/>
  <c r="D9371" i="3"/>
  <c r="C9371" i="3"/>
  <c r="B9371" i="3"/>
  <c r="D9370" i="3"/>
  <c r="C9370" i="3"/>
  <c r="B9370" i="3"/>
  <c r="D9369" i="3"/>
  <c r="C9369" i="3"/>
  <c r="B9369" i="3"/>
  <c r="D9368" i="3"/>
  <c r="C9368" i="3"/>
  <c r="B9368" i="3"/>
  <c r="D9367" i="3"/>
  <c r="C9367" i="3"/>
  <c r="B9367" i="3"/>
  <c r="D9366" i="3"/>
  <c r="C9366" i="3"/>
  <c r="B9366" i="3"/>
  <c r="D9365" i="3"/>
  <c r="C9365" i="3"/>
  <c r="B9365" i="3"/>
  <c r="D9364" i="3"/>
  <c r="C9364" i="3"/>
  <c r="B9364" i="3"/>
  <c r="D9363" i="3"/>
  <c r="C9363" i="3"/>
  <c r="B9363" i="3"/>
  <c r="D9362" i="3"/>
  <c r="C9362" i="3"/>
  <c r="B9362" i="3"/>
  <c r="D9361" i="3"/>
  <c r="C9361" i="3"/>
  <c r="B9361" i="3"/>
  <c r="D9360" i="3"/>
  <c r="C9360" i="3"/>
  <c r="B9360" i="3"/>
  <c r="D9359" i="3"/>
  <c r="C9359" i="3"/>
  <c r="B9359" i="3"/>
  <c r="D9358" i="3"/>
  <c r="C9358" i="3"/>
  <c r="B9358" i="3"/>
  <c r="D9357" i="3"/>
  <c r="C9357" i="3"/>
  <c r="B9357" i="3"/>
  <c r="D9356" i="3"/>
  <c r="C9356" i="3"/>
  <c r="B9356" i="3"/>
  <c r="D9355" i="3"/>
  <c r="C9355" i="3"/>
  <c r="B9355" i="3"/>
  <c r="D9354" i="3"/>
  <c r="C9354" i="3"/>
  <c r="B9354" i="3"/>
  <c r="D9353" i="3"/>
  <c r="C9353" i="3"/>
  <c r="B9353" i="3"/>
  <c r="D9352" i="3"/>
  <c r="C9352" i="3"/>
  <c r="B9352" i="3"/>
  <c r="D9351" i="3"/>
  <c r="C9351" i="3"/>
  <c r="B9351" i="3"/>
  <c r="D9350" i="3"/>
  <c r="C9350" i="3"/>
  <c r="B9350" i="3"/>
  <c r="D9349" i="3"/>
  <c r="C9349" i="3"/>
  <c r="B9349" i="3"/>
  <c r="D9348" i="3"/>
  <c r="C9348" i="3"/>
  <c r="B9348" i="3"/>
  <c r="D9347" i="3"/>
  <c r="C9347" i="3"/>
  <c r="B9347" i="3"/>
  <c r="D9346" i="3"/>
  <c r="C9346" i="3"/>
  <c r="B9346" i="3"/>
  <c r="D9345" i="3"/>
  <c r="C9345" i="3"/>
  <c r="B9345" i="3"/>
  <c r="D9344" i="3"/>
  <c r="C9344" i="3"/>
  <c r="B9344" i="3"/>
  <c r="D9343" i="3"/>
  <c r="C9343" i="3"/>
  <c r="B9343" i="3"/>
  <c r="D9342" i="3"/>
  <c r="C9342" i="3"/>
  <c r="B9342" i="3"/>
  <c r="D9341" i="3"/>
  <c r="C9341" i="3"/>
  <c r="B9341" i="3"/>
  <c r="D9340" i="3"/>
  <c r="C9340" i="3"/>
  <c r="B9340" i="3"/>
  <c r="D9339" i="3"/>
  <c r="C9339" i="3"/>
  <c r="B9339" i="3"/>
  <c r="D9338" i="3"/>
  <c r="C9338" i="3"/>
  <c r="B9338" i="3"/>
  <c r="D9337" i="3"/>
  <c r="C9337" i="3"/>
  <c r="B9337" i="3"/>
  <c r="D9336" i="3"/>
  <c r="C9336" i="3"/>
  <c r="B9336" i="3"/>
  <c r="D9335" i="3"/>
  <c r="C9335" i="3"/>
  <c r="B9335" i="3"/>
  <c r="D9334" i="3"/>
  <c r="C9334" i="3"/>
  <c r="B9334" i="3"/>
  <c r="D9333" i="3"/>
  <c r="C9333" i="3"/>
  <c r="B9333" i="3"/>
  <c r="D9332" i="3"/>
  <c r="C9332" i="3"/>
  <c r="B9332" i="3"/>
  <c r="D9331" i="3"/>
  <c r="C9331" i="3"/>
  <c r="B9331" i="3"/>
  <c r="D9330" i="3"/>
  <c r="C9330" i="3"/>
  <c r="B9330" i="3"/>
  <c r="D9329" i="3"/>
  <c r="C9329" i="3"/>
  <c r="B9329" i="3"/>
  <c r="D9328" i="3"/>
  <c r="C9328" i="3"/>
  <c r="B9328" i="3"/>
  <c r="D9327" i="3"/>
  <c r="C9327" i="3"/>
  <c r="B9327" i="3"/>
  <c r="D9326" i="3"/>
  <c r="C9326" i="3"/>
  <c r="B9326" i="3"/>
  <c r="D9325" i="3"/>
  <c r="C9325" i="3"/>
  <c r="B9325" i="3"/>
  <c r="D9324" i="3"/>
  <c r="C9324" i="3"/>
  <c r="B9324" i="3"/>
  <c r="D9323" i="3"/>
  <c r="C9323" i="3"/>
  <c r="B9323" i="3"/>
  <c r="D9322" i="3"/>
  <c r="C9322" i="3"/>
  <c r="B9322" i="3"/>
  <c r="D9321" i="3"/>
  <c r="C9321" i="3"/>
  <c r="B9321" i="3"/>
  <c r="D9320" i="3"/>
  <c r="C9320" i="3"/>
  <c r="B9320" i="3"/>
  <c r="D9319" i="3"/>
  <c r="C9319" i="3"/>
  <c r="B9319" i="3"/>
  <c r="D9318" i="3"/>
  <c r="C9318" i="3"/>
  <c r="B9318" i="3"/>
  <c r="D9317" i="3"/>
  <c r="C9317" i="3"/>
  <c r="B9317" i="3"/>
  <c r="D9316" i="3"/>
  <c r="C9316" i="3"/>
  <c r="B9316" i="3"/>
  <c r="D9315" i="3"/>
  <c r="C9315" i="3"/>
  <c r="B9315" i="3"/>
  <c r="D9314" i="3"/>
  <c r="C9314" i="3"/>
  <c r="B9314" i="3"/>
  <c r="D9313" i="3"/>
  <c r="C9313" i="3"/>
  <c r="B9313" i="3"/>
  <c r="D9312" i="3"/>
  <c r="C9312" i="3"/>
  <c r="B9312" i="3"/>
  <c r="D9311" i="3"/>
  <c r="C9311" i="3"/>
  <c r="B9311" i="3"/>
  <c r="D9310" i="3"/>
  <c r="C9310" i="3"/>
  <c r="B9310" i="3"/>
  <c r="D9309" i="3"/>
  <c r="C9309" i="3"/>
  <c r="B9309" i="3"/>
  <c r="D9308" i="3"/>
  <c r="C9308" i="3"/>
  <c r="B9308" i="3"/>
  <c r="D9307" i="3"/>
  <c r="C9307" i="3"/>
  <c r="B9307" i="3"/>
  <c r="D9306" i="3"/>
  <c r="C9306" i="3"/>
  <c r="B9306" i="3"/>
  <c r="D9305" i="3"/>
  <c r="C9305" i="3"/>
  <c r="B9305" i="3"/>
  <c r="D9304" i="3"/>
  <c r="C9304" i="3"/>
  <c r="B9304" i="3"/>
  <c r="D9303" i="3"/>
  <c r="C9303" i="3"/>
  <c r="B9303" i="3"/>
  <c r="D9302" i="3"/>
  <c r="C9302" i="3"/>
  <c r="B9302" i="3"/>
  <c r="D9301" i="3"/>
  <c r="C9301" i="3"/>
  <c r="B9301" i="3"/>
  <c r="D9300" i="3"/>
  <c r="C9300" i="3"/>
  <c r="B9300" i="3"/>
  <c r="D9299" i="3"/>
  <c r="C9299" i="3"/>
  <c r="B9299" i="3"/>
  <c r="D9298" i="3"/>
  <c r="C9298" i="3"/>
  <c r="B9298" i="3"/>
  <c r="D9297" i="3"/>
  <c r="C9297" i="3"/>
  <c r="B9297" i="3"/>
  <c r="D9296" i="3"/>
  <c r="C9296" i="3"/>
  <c r="B9296" i="3"/>
  <c r="D9295" i="3"/>
  <c r="C9295" i="3"/>
  <c r="B9295" i="3"/>
  <c r="D9294" i="3"/>
  <c r="C9294" i="3"/>
  <c r="B9294" i="3"/>
  <c r="D9293" i="3"/>
  <c r="C9293" i="3"/>
  <c r="B9293" i="3"/>
  <c r="D9292" i="3"/>
  <c r="C9292" i="3"/>
  <c r="B9292" i="3"/>
  <c r="D9291" i="3"/>
  <c r="C9291" i="3"/>
  <c r="B9291" i="3"/>
  <c r="D9290" i="3"/>
  <c r="C9290" i="3"/>
  <c r="B9290" i="3"/>
  <c r="D9289" i="3"/>
  <c r="C9289" i="3"/>
  <c r="B9289" i="3"/>
  <c r="D9288" i="3"/>
  <c r="C9288" i="3"/>
  <c r="B9288" i="3"/>
  <c r="D9287" i="3"/>
  <c r="C9287" i="3"/>
  <c r="B9287" i="3"/>
  <c r="D9286" i="3"/>
  <c r="C9286" i="3"/>
  <c r="B9286" i="3"/>
  <c r="D9285" i="3"/>
  <c r="C9285" i="3"/>
  <c r="B9285" i="3"/>
  <c r="D9284" i="3"/>
  <c r="C9284" i="3"/>
  <c r="B9284" i="3"/>
  <c r="D9283" i="3"/>
  <c r="C9283" i="3"/>
  <c r="B9283" i="3"/>
  <c r="D9282" i="3"/>
  <c r="C9282" i="3"/>
  <c r="B9282" i="3"/>
  <c r="D9281" i="3"/>
  <c r="C9281" i="3"/>
  <c r="B9281" i="3"/>
  <c r="D9280" i="3"/>
  <c r="C9280" i="3"/>
  <c r="B9280" i="3"/>
  <c r="D9279" i="3"/>
  <c r="C9279" i="3"/>
  <c r="B9279" i="3"/>
  <c r="D9278" i="3"/>
  <c r="C9278" i="3"/>
  <c r="B9278" i="3"/>
  <c r="D9277" i="3"/>
  <c r="C9277" i="3"/>
  <c r="B9277" i="3"/>
  <c r="D9276" i="3"/>
  <c r="C9276" i="3"/>
  <c r="B9276" i="3"/>
  <c r="D9275" i="3"/>
  <c r="C9275" i="3"/>
  <c r="B9275" i="3"/>
  <c r="D9274" i="3"/>
  <c r="C9274" i="3"/>
  <c r="B9274" i="3"/>
  <c r="D9273" i="3"/>
  <c r="C9273" i="3"/>
  <c r="B9273" i="3"/>
  <c r="D9272" i="3"/>
  <c r="C9272" i="3"/>
  <c r="B9272" i="3"/>
  <c r="D9271" i="3"/>
  <c r="C9271" i="3"/>
  <c r="B9271" i="3"/>
  <c r="D9270" i="3"/>
  <c r="C9270" i="3"/>
  <c r="B9270" i="3"/>
  <c r="D9269" i="3"/>
  <c r="C9269" i="3"/>
  <c r="B9269" i="3"/>
  <c r="D9268" i="3"/>
  <c r="C9268" i="3"/>
  <c r="B9268" i="3"/>
  <c r="D9267" i="3"/>
  <c r="C9267" i="3"/>
  <c r="B9267" i="3"/>
  <c r="D9266" i="3"/>
  <c r="C9266" i="3"/>
  <c r="B9266" i="3"/>
  <c r="D9265" i="3"/>
  <c r="C9265" i="3"/>
  <c r="B9265" i="3"/>
  <c r="D9264" i="3"/>
  <c r="C9264" i="3"/>
  <c r="B9264" i="3"/>
  <c r="D9263" i="3"/>
  <c r="C9263" i="3"/>
  <c r="B9263" i="3"/>
  <c r="D9262" i="3"/>
  <c r="C9262" i="3"/>
  <c r="B9262" i="3"/>
  <c r="D9261" i="3"/>
  <c r="C9261" i="3"/>
  <c r="B9261" i="3"/>
  <c r="D9260" i="3"/>
  <c r="C9260" i="3"/>
  <c r="B9260" i="3"/>
  <c r="D9259" i="3"/>
  <c r="C9259" i="3"/>
  <c r="B9259" i="3"/>
  <c r="D9258" i="3"/>
  <c r="C9258" i="3"/>
  <c r="B9258" i="3"/>
  <c r="D9257" i="3"/>
  <c r="C9257" i="3"/>
  <c r="B9257" i="3"/>
  <c r="D9256" i="3"/>
  <c r="C9256" i="3"/>
  <c r="B9256" i="3"/>
  <c r="D9255" i="3"/>
  <c r="C9255" i="3"/>
  <c r="B9255" i="3"/>
  <c r="D9254" i="3"/>
  <c r="C9254" i="3"/>
  <c r="B9254" i="3"/>
  <c r="D9253" i="3"/>
  <c r="C9253" i="3"/>
  <c r="B9253" i="3"/>
  <c r="D9252" i="3"/>
  <c r="C9252" i="3"/>
  <c r="B9252" i="3"/>
  <c r="D9251" i="3"/>
  <c r="C9251" i="3"/>
  <c r="B9251" i="3"/>
  <c r="D9250" i="3"/>
  <c r="C9250" i="3"/>
  <c r="B9250" i="3"/>
  <c r="D9249" i="3"/>
  <c r="C9249" i="3"/>
  <c r="B9249" i="3"/>
  <c r="D9248" i="3"/>
  <c r="C9248" i="3"/>
  <c r="B9248" i="3"/>
  <c r="D9247" i="3"/>
  <c r="C9247" i="3"/>
  <c r="B9247" i="3"/>
  <c r="D9246" i="3"/>
  <c r="C9246" i="3"/>
  <c r="B9246" i="3"/>
  <c r="D9245" i="3"/>
  <c r="C9245" i="3"/>
  <c r="B9245" i="3"/>
  <c r="D9244" i="3"/>
  <c r="C9244" i="3"/>
  <c r="B9244" i="3"/>
  <c r="D9243" i="3"/>
  <c r="C9243" i="3"/>
  <c r="B9243" i="3"/>
  <c r="D9242" i="3"/>
  <c r="C9242" i="3"/>
  <c r="B9242" i="3"/>
  <c r="D9241" i="3"/>
  <c r="C9241" i="3"/>
  <c r="B9241" i="3"/>
  <c r="D9240" i="3"/>
  <c r="C9240" i="3"/>
  <c r="B9240" i="3"/>
  <c r="D9239" i="3"/>
  <c r="C9239" i="3"/>
  <c r="B9239" i="3"/>
  <c r="D9238" i="3"/>
  <c r="C9238" i="3"/>
  <c r="B9238" i="3"/>
  <c r="D9237" i="3"/>
  <c r="C9237" i="3"/>
  <c r="B9237" i="3"/>
  <c r="D9236" i="3"/>
  <c r="C9236" i="3"/>
  <c r="B9236" i="3"/>
  <c r="D9235" i="3"/>
  <c r="C9235" i="3"/>
  <c r="B9235" i="3"/>
  <c r="D9234" i="3"/>
  <c r="C9234" i="3"/>
  <c r="B9234" i="3"/>
  <c r="D9233" i="3"/>
  <c r="C9233" i="3"/>
  <c r="B9233" i="3"/>
  <c r="D9232" i="3"/>
  <c r="C9232" i="3"/>
  <c r="B9232" i="3"/>
  <c r="D9231" i="3"/>
  <c r="C9231" i="3"/>
  <c r="B9231" i="3"/>
  <c r="D9230" i="3"/>
  <c r="C9230" i="3"/>
  <c r="B9230" i="3"/>
  <c r="D9229" i="3"/>
  <c r="C9229" i="3"/>
  <c r="B9229" i="3"/>
  <c r="D9228" i="3"/>
  <c r="C9228" i="3"/>
  <c r="B9228" i="3"/>
  <c r="D9227" i="3"/>
  <c r="C9227" i="3"/>
  <c r="B9227" i="3"/>
  <c r="D9226" i="3"/>
  <c r="C9226" i="3"/>
  <c r="B9226" i="3"/>
  <c r="D9225" i="3"/>
  <c r="C9225" i="3"/>
  <c r="B9225" i="3"/>
  <c r="D9224" i="3"/>
  <c r="C9224" i="3"/>
  <c r="B9224" i="3"/>
  <c r="D9223" i="3"/>
  <c r="C9223" i="3"/>
  <c r="B9223" i="3"/>
  <c r="D9222" i="3"/>
  <c r="C9222" i="3"/>
  <c r="B9222" i="3"/>
  <c r="D9221" i="3"/>
  <c r="C9221" i="3"/>
  <c r="B9221" i="3"/>
  <c r="D9220" i="3"/>
  <c r="C9220" i="3"/>
  <c r="B9220" i="3"/>
  <c r="D9219" i="3"/>
  <c r="C9219" i="3"/>
  <c r="B9219" i="3"/>
  <c r="D9218" i="3"/>
  <c r="C9218" i="3"/>
  <c r="B9218" i="3"/>
  <c r="D9217" i="3"/>
  <c r="C9217" i="3"/>
  <c r="B9217" i="3"/>
  <c r="D9216" i="3"/>
  <c r="C9216" i="3"/>
  <c r="B9216" i="3"/>
  <c r="D9215" i="3"/>
  <c r="C9215" i="3"/>
  <c r="B9215" i="3"/>
  <c r="D9214" i="3"/>
  <c r="C9214" i="3"/>
  <c r="B9214" i="3"/>
  <c r="D9213" i="3"/>
  <c r="C9213" i="3"/>
  <c r="B9213" i="3"/>
  <c r="D9212" i="3"/>
  <c r="C9212" i="3"/>
  <c r="B9212" i="3"/>
  <c r="D9211" i="3"/>
  <c r="C9211" i="3"/>
  <c r="B9211" i="3"/>
  <c r="D9210" i="3"/>
  <c r="C9210" i="3"/>
  <c r="B9210" i="3"/>
  <c r="D9209" i="3"/>
  <c r="C9209" i="3"/>
  <c r="B9209" i="3"/>
  <c r="D9208" i="3"/>
  <c r="C9208" i="3"/>
  <c r="B9208" i="3"/>
  <c r="D9207" i="3"/>
  <c r="C9207" i="3"/>
  <c r="B9207" i="3"/>
  <c r="D9206" i="3"/>
  <c r="C9206" i="3"/>
  <c r="B9206" i="3"/>
  <c r="D9205" i="3"/>
  <c r="C9205" i="3"/>
  <c r="B9205" i="3"/>
  <c r="D9204" i="3"/>
  <c r="C9204" i="3"/>
  <c r="B9204" i="3"/>
  <c r="D9203" i="3"/>
  <c r="C9203" i="3"/>
  <c r="B9203" i="3"/>
  <c r="D9202" i="3"/>
  <c r="C9202" i="3"/>
  <c r="B9202" i="3"/>
  <c r="D9201" i="3"/>
  <c r="C9201" i="3"/>
  <c r="B9201" i="3"/>
  <c r="D9200" i="3"/>
  <c r="C9200" i="3"/>
  <c r="B9200" i="3"/>
  <c r="D9199" i="3"/>
  <c r="C9199" i="3"/>
  <c r="B9199" i="3"/>
  <c r="D9198" i="3"/>
  <c r="C9198" i="3"/>
  <c r="B9198" i="3"/>
  <c r="D9197" i="3"/>
  <c r="C9197" i="3"/>
  <c r="B9197" i="3"/>
  <c r="D9196" i="3"/>
  <c r="C9196" i="3"/>
  <c r="B9196" i="3"/>
  <c r="D9195" i="3"/>
  <c r="C9195" i="3"/>
  <c r="B9195" i="3"/>
  <c r="D9194" i="3"/>
  <c r="C9194" i="3"/>
  <c r="B9194" i="3"/>
  <c r="D9193" i="3"/>
  <c r="C9193" i="3"/>
  <c r="B9193" i="3"/>
  <c r="D9192" i="3"/>
  <c r="C9192" i="3"/>
  <c r="B9192" i="3"/>
  <c r="D9191" i="3"/>
  <c r="C9191" i="3"/>
  <c r="B9191" i="3"/>
  <c r="D9190" i="3"/>
  <c r="C9190" i="3"/>
  <c r="B9190" i="3"/>
  <c r="D9189" i="3"/>
  <c r="C9189" i="3"/>
  <c r="B9189" i="3"/>
  <c r="D9188" i="3"/>
  <c r="C9188" i="3"/>
  <c r="B9188" i="3"/>
  <c r="D9187" i="3"/>
  <c r="C9187" i="3"/>
  <c r="B9187" i="3"/>
  <c r="D9186" i="3"/>
  <c r="C9186" i="3"/>
  <c r="B9186" i="3"/>
  <c r="D9185" i="3"/>
  <c r="C9185" i="3"/>
  <c r="B9185" i="3"/>
  <c r="D9184" i="3"/>
  <c r="C9184" i="3"/>
  <c r="B9184" i="3"/>
  <c r="D9183" i="3"/>
  <c r="C9183" i="3"/>
  <c r="B9183" i="3"/>
  <c r="D9182" i="3"/>
  <c r="C9182" i="3"/>
  <c r="B9182" i="3"/>
  <c r="D9181" i="3"/>
  <c r="C9181" i="3"/>
  <c r="B9181" i="3"/>
  <c r="D9180" i="3"/>
  <c r="C9180" i="3"/>
  <c r="B9180" i="3"/>
  <c r="D9179" i="3"/>
  <c r="C9179" i="3"/>
  <c r="B9179" i="3"/>
  <c r="D9178" i="3"/>
  <c r="C9178" i="3"/>
  <c r="B9178" i="3"/>
  <c r="D9177" i="3"/>
  <c r="C9177" i="3"/>
  <c r="B9177" i="3"/>
  <c r="D9176" i="3"/>
  <c r="C9176" i="3"/>
  <c r="B9176" i="3"/>
  <c r="D9175" i="3"/>
  <c r="C9175" i="3"/>
  <c r="B9175" i="3"/>
  <c r="D9174" i="3"/>
  <c r="C9174" i="3"/>
  <c r="B9174" i="3"/>
  <c r="D9173" i="3"/>
  <c r="C9173" i="3"/>
  <c r="B9173" i="3"/>
  <c r="D9172" i="3"/>
  <c r="C9172" i="3"/>
  <c r="B9172" i="3"/>
  <c r="D9171" i="3"/>
  <c r="C9171" i="3"/>
  <c r="B9171" i="3"/>
  <c r="D9170" i="3"/>
  <c r="C9170" i="3"/>
  <c r="B9170" i="3"/>
  <c r="D9169" i="3"/>
  <c r="C9169" i="3"/>
  <c r="B9169" i="3"/>
  <c r="D9168" i="3"/>
  <c r="C9168" i="3"/>
  <c r="B9168" i="3"/>
  <c r="D9167" i="3"/>
  <c r="C9167" i="3"/>
  <c r="B9167" i="3"/>
  <c r="D9166" i="3"/>
  <c r="C9166" i="3"/>
  <c r="B9166" i="3"/>
  <c r="D9165" i="3"/>
  <c r="C9165" i="3"/>
  <c r="B9165" i="3"/>
  <c r="D9164" i="3"/>
  <c r="C9164" i="3"/>
  <c r="B9164" i="3"/>
  <c r="D9163" i="3"/>
  <c r="C9163" i="3"/>
  <c r="B9163" i="3"/>
  <c r="D9162" i="3"/>
  <c r="C9162" i="3"/>
  <c r="B9162" i="3"/>
  <c r="D9161" i="3"/>
  <c r="C9161" i="3"/>
  <c r="B9161" i="3"/>
  <c r="D9160" i="3"/>
  <c r="C9160" i="3"/>
  <c r="B9160" i="3"/>
  <c r="D9159" i="3"/>
  <c r="C9159" i="3"/>
  <c r="B9159" i="3"/>
  <c r="D9158" i="3"/>
  <c r="C9158" i="3"/>
  <c r="B9158" i="3"/>
  <c r="D9157" i="3"/>
  <c r="C9157" i="3"/>
  <c r="B9157" i="3"/>
  <c r="D9156" i="3"/>
  <c r="C9156" i="3"/>
  <c r="B9156" i="3"/>
  <c r="D9155" i="3"/>
  <c r="C9155" i="3"/>
  <c r="B9155" i="3"/>
  <c r="D9154" i="3"/>
  <c r="C9154" i="3"/>
  <c r="B9154" i="3"/>
  <c r="D9153" i="3"/>
  <c r="C9153" i="3"/>
  <c r="B9153" i="3"/>
  <c r="D9152" i="3"/>
  <c r="C9152" i="3"/>
  <c r="B9152" i="3"/>
  <c r="D9151" i="3"/>
  <c r="C9151" i="3"/>
  <c r="B9151" i="3"/>
  <c r="D9150" i="3"/>
  <c r="C9150" i="3"/>
  <c r="B9150" i="3"/>
  <c r="D9149" i="3"/>
  <c r="C9149" i="3"/>
  <c r="B9149" i="3"/>
  <c r="D9148" i="3"/>
  <c r="C9148" i="3"/>
  <c r="B9148" i="3"/>
  <c r="D9147" i="3"/>
  <c r="C9147" i="3"/>
  <c r="B9147" i="3"/>
  <c r="D9146" i="3"/>
  <c r="C9146" i="3"/>
  <c r="B9146" i="3"/>
  <c r="D9145" i="3"/>
  <c r="C9145" i="3"/>
  <c r="B9145" i="3"/>
  <c r="D9144" i="3"/>
  <c r="C9144" i="3"/>
  <c r="B9144" i="3"/>
  <c r="D9143" i="3"/>
  <c r="C9143" i="3"/>
  <c r="B9143" i="3"/>
  <c r="D9142" i="3"/>
  <c r="C9142" i="3"/>
  <c r="B9142" i="3"/>
  <c r="D9141" i="3"/>
  <c r="C9141" i="3"/>
  <c r="B9141" i="3"/>
  <c r="D9140" i="3"/>
  <c r="C9140" i="3"/>
  <c r="B9140" i="3"/>
  <c r="D9139" i="3"/>
  <c r="C9139" i="3"/>
  <c r="B9139" i="3"/>
  <c r="D9138" i="3"/>
  <c r="C9138" i="3"/>
  <c r="B9138" i="3"/>
  <c r="D9137" i="3"/>
  <c r="C9137" i="3"/>
  <c r="B9137" i="3"/>
  <c r="D9136" i="3"/>
  <c r="C9136" i="3"/>
  <c r="B9136" i="3"/>
  <c r="D9135" i="3"/>
  <c r="C9135" i="3"/>
  <c r="B9135" i="3"/>
  <c r="D9134" i="3"/>
  <c r="C9134" i="3"/>
  <c r="B9134" i="3"/>
  <c r="D9133" i="3"/>
  <c r="C9133" i="3"/>
  <c r="B9133" i="3"/>
  <c r="D9132" i="3"/>
  <c r="C9132" i="3"/>
  <c r="B9132" i="3"/>
  <c r="D9131" i="3"/>
  <c r="C9131" i="3"/>
  <c r="B9131" i="3"/>
  <c r="D9130" i="3"/>
  <c r="C9130" i="3"/>
  <c r="B9130" i="3"/>
  <c r="D9129" i="3"/>
  <c r="C9129" i="3"/>
  <c r="B9129" i="3"/>
  <c r="D9128" i="3"/>
  <c r="C9128" i="3"/>
  <c r="B9128" i="3"/>
  <c r="D9127" i="3"/>
  <c r="C9127" i="3"/>
  <c r="B9127" i="3"/>
  <c r="D9126" i="3"/>
  <c r="C9126" i="3"/>
  <c r="B9126" i="3"/>
  <c r="D9125" i="3"/>
  <c r="C9125" i="3"/>
  <c r="B9125" i="3"/>
  <c r="D9124" i="3"/>
  <c r="C9124" i="3"/>
  <c r="B9124" i="3"/>
  <c r="D9123" i="3"/>
  <c r="C9123" i="3"/>
  <c r="B9123" i="3"/>
  <c r="D9122" i="3"/>
  <c r="C9122" i="3"/>
  <c r="B9122" i="3"/>
  <c r="D9121" i="3"/>
  <c r="C9121" i="3"/>
  <c r="B9121" i="3"/>
  <c r="D9120" i="3"/>
  <c r="C9120" i="3"/>
  <c r="B9120" i="3"/>
  <c r="D9119" i="3"/>
  <c r="C9119" i="3"/>
  <c r="B9119" i="3"/>
  <c r="D9118" i="3"/>
  <c r="C9118" i="3"/>
  <c r="B9118" i="3"/>
  <c r="D9117" i="3"/>
  <c r="C9117" i="3"/>
  <c r="B9117" i="3"/>
  <c r="D9116" i="3"/>
  <c r="C9116" i="3"/>
  <c r="B9116" i="3"/>
  <c r="D9115" i="3"/>
  <c r="C9115" i="3"/>
  <c r="B9115" i="3"/>
  <c r="D9114" i="3"/>
  <c r="C9114" i="3"/>
  <c r="B9114" i="3"/>
  <c r="D9113" i="3"/>
  <c r="C9113" i="3"/>
  <c r="B9113" i="3"/>
  <c r="D9112" i="3"/>
  <c r="C9112" i="3"/>
  <c r="B9112" i="3"/>
  <c r="D9111" i="3"/>
  <c r="C9111" i="3"/>
  <c r="B9111" i="3"/>
  <c r="D9110" i="3"/>
  <c r="C9110" i="3"/>
  <c r="B9110" i="3"/>
  <c r="D9109" i="3"/>
  <c r="C9109" i="3"/>
  <c r="B9109" i="3"/>
  <c r="D9108" i="3"/>
  <c r="C9108" i="3"/>
  <c r="B9108" i="3"/>
  <c r="D9107" i="3"/>
  <c r="C9107" i="3"/>
  <c r="B9107" i="3"/>
  <c r="D9106" i="3"/>
  <c r="C9106" i="3"/>
  <c r="B9106" i="3"/>
  <c r="D9105" i="3"/>
  <c r="C9105" i="3"/>
  <c r="B9105" i="3"/>
  <c r="D9104" i="3"/>
  <c r="C9104" i="3"/>
  <c r="B9104" i="3"/>
  <c r="D9103" i="3"/>
  <c r="C9103" i="3"/>
  <c r="B9103" i="3"/>
  <c r="D9102" i="3"/>
  <c r="C9102" i="3"/>
  <c r="B9102" i="3"/>
  <c r="D9101" i="3"/>
  <c r="C9101" i="3"/>
  <c r="B9101" i="3"/>
  <c r="D9100" i="3"/>
  <c r="C9100" i="3"/>
  <c r="B9100" i="3"/>
  <c r="D9099" i="3"/>
  <c r="C9099" i="3"/>
  <c r="B9099" i="3"/>
  <c r="D9098" i="3"/>
  <c r="C9098" i="3"/>
  <c r="B9098" i="3"/>
  <c r="D9097" i="3"/>
  <c r="C9097" i="3"/>
  <c r="B9097" i="3"/>
  <c r="D9096" i="3"/>
  <c r="C9096" i="3"/>
  <c r="B9096" i="3"/>
  <c r="D9095" i="3"/>
  <c r="C9095" i="3"/>
  <c r="B9095" i="3"/>
  <c r="D9094" i="3"/>
  <c r="C9094" i="3"/>
  <c r="B9094" i="3"/>
  <c r="D9093" i="3"/>
  <c r="C9093" i="3"/>
  <c r="B9093" i="3"/>
  <c r="D9092" i="3"/>
  <c r="C9092" i="3"/>
  <c r="B9092" i="3"/>
  <c r="D9091" i="3"/>
  <c r="C9091" i="3"/>
  <c r="B9091" i="3"/>
  <c r="D9090" i="3"/>
  <c r="C9090" i="3"/>
  <c r="B9090" i="3"/>
  <c r="D9089" i="3"/>
  <c r="C9089" i="3"/>
  <c r="B9089" i="3"/>
  <c r="D9088" i="3"/>
  <c r="C9088" i="3"/>
  <c r="B9088" i="3"/>
  <c r="D9087" i="3"/>
  <c r="C9087" i="3"/>
  <c r="B9087" i="3"/>
  <c r="D9086" i="3"/>
  <c r="C9086" i="3"/>
  <c r="B9086" i="3"/>
  <c r="D9085" i="3"/>
  <c r="C9085" i="3"/>
  <c r="B9085" i="3"/>
  <c r="D9084" i="3"/>
  <c r="C9084" i="3"/>
  <c r="B9084" i="3"/>
  <c r="D9083" i="3"/>
  <c r="C9083" i="3"/>
  <c r="B9083" i="3"/>
  <c r="D9082" i="3"/>
  <c r="C9082" i="3"/>
  <c r="B9082" i="3"/>
  <c r="D9081" i="3"/>
  <c r="C9081" i="3"/>
  <c r="B9081" i="3"/>
  <c r="D9080" i="3"/>
  <c r="C9080" i="3"/>
  <c r="B9080" i="3"/>
  <c r="D9079" i="3"/>
  <c r="C9079" i="3"/>
  <c r="B9079" i="3"/>
  <c r="D9078" i="3"/>
  <c r="C9078" i="3"/>
  <c r="B9078" i="3"/>
  <c r="D9077" i="3"/>
  <c r="C9077" i="3"/>
  <c r="B9077" i="3"/>
  <c r="D9076" i="3"/>
  <c r="C9076" i="3"/>
  <c r="B9076" i="3"/>
  <c r="D9075" i="3"/>
  <c r="C9075" i="3"/>
  <c r="B9075" i="3"/>
  <c r="D9074" i="3"/>
  <c r="C9074" i="3"/>
  <c r="B9074" i="3"/>
  <c r="D9073" i="3"/>
  <c r="C9073" i="3"/>
  <c r="B9073" i="3"/>
  <c r="D9072" i="3"/>
  <c r="C9072" i="3"/>
  <c r="B9072" i="3"/>
  <c r="D9071" i="3"/>
  <c r="C9071" i="3"/>
  <c r="B9071" i="3"/>
  <c r="D9070" i="3"/>
  <c r="C9070" i="3"/>
  <c r="B9070" i="3"/>
  <c r="D9069" i="3"/>
  <c r="C9069" i="3"/>
  <c r="B9069" i="3"/>
  <c r="D9068" i="3"/>
  <c r="C9068" i="3"/>
  <c r="B9068" i="3"/>
  <c r="D9067" i="3"/>
  <c r="C9067" i="3"/>
  <c r="B9067" i="3"/>
  <c r="D9066" i="3"/>
  <c r="C9066" i="3"/>
  <c r="B9066" i="3"/>
  <c r="D9065" i="3"/>
  <c r="C9065" i="3"/>
  <c r="B9065" i="3"/>
  <c r="D9064" i="3"/>
  <c r="C9064" i="3"/>
  <c r="B9064" i="3"/>
  <c r="D9063" i="3"/>
  <c r="C9063" i="3"/>
  <c r="B9063" i="3"/>
  <c r="D9062" i="3"/>
  <c r="C9062" i="3"/>
  <c r="B9062" i="3"/>
  <c r="D9061" i="3"/>
  <c r="C9061" i="3"/>
  <c r="B9061" i="3"/>
  <c r="D9060" i="3"/>
  <c r="C9060" i="3"/>
  <c r="B9060" i="3"/>
  <c r="D9059" i="3"/>
  <c r="C9059" i="3"/>
  <c r="B9059" i="3"/>
  <c r="D9058" i="3"/>
  <c r="C9058" i="3"/>
  <c r="B9058" i="3"/>
  <c r="D9057" i="3"/>
  <c r="C9057" i="3"/>
  <c r="B9057" i="3"/>
  <c r="D9056" i="3"/>
  <c r="C9056" i="3"/>
  <c r="B9056" i="3"/>
  <c r="D9055" i="3"/>
  <c r="C9055" i="3"/>
  <c r="B9055" i="3"/>
  <c r="D9054" i="3"/>
  <c r="C9054" i="3"/>
  <c r="B9054" i="3"/>
  <c r="D9053" i="3"/>
  <c r="C9053" i="3"/>
  <c r="B9053" i="3"/>
  <c r="D9052" i="3"/>
  <c r="C9052" i="3"/>
  <c r="B9052" i="3"/>
  <c r="D9051" i="3"/>
  <c r="C9051" i="3"/>
  <c r="B9051" i="3"/>
  <c r="D9050" i="3"/>
  <c r="C9050" i="3"/>
  <c r="B9050" i="3"/>
  <c r="D9049" i="3"/>
  <c r="C9049" i="3"/>
  <c r="B9049" i="3"/>
  <c r="D9048" i="3"/>
  <c r="C9048" i="3"/>
  <c r="B9048" i="3"/>
  <c r="D9047" i="3"/>
  <c r="C9047" i="3"/>
  <c r="B9047" i="3"/>
  <c r="D9046" i="3"/>
  <c r="C9046" i="3"/>
  <c r="B9046" i="3"/>
  <c r="D9045" i="3"/>
  <c r="C9045" i="3"/>
  <c r="B9045" i="3"/>
  <c r="D9044" i="3"/>
  <c r="C9044" i="3"/>
  <c r="B9044" i="3"/>
  <c r="D9043" i="3"/>
  <c r="C9043" i="3"/>
  <c r="B9043" i="3"/>
  <c r="D9042" i="3"/>
  <c r="C9042" i="3"/>
  <c r="B9042" i="3"/>
  <c r="D9041" i="3"/>
  <c r="C9041" i="3"/>
  <c r="B9041" i="3"/>
  <c r="D9040" i="3"/>
  <c r="C9040" i="3"/>
  <c r="B9040" i="3"/>
  <c r="D9039" i="3"/>
  <c r="C9039" i="3"/>
  <c r="B9039" i="3"/>
  <c r="D9038" i="3"/>
  <c r="C9038" i="3"/>
  <c r="B9038" i="3"/>
  <c r="D9037" i="3"/>
  <c r="C9037" i="3"/>
  <c r="B9037" i="3"/>
  <c r="D9036" i="3"/>
  <c r="C9036" i="3"/>
  <c r="B9036" i="3"/>
  <c r="D9035" i="3"/>
  <c r="C9035" i="3"/>
  <c r="B9035" i="3"/>
  <c r="D9034" i="3"/>
  <c r="C9034" i="3"/>
  <c r="B9034" i="3"/>
  <c r="D9033" i="3"/>
  <c r="C9033" i="3"/>
  <c r="B9033" i="3"/>
  <c r="D9032" i="3"/>
  <c r="C9032" i="3"/>
  <c r="B9032" i="3"/>
  <c r="D9031" i="3"/>
  <c r="C9031" i="3"/>
  <c r="B9031" i="3"/>
  <c r="D9030" i="3"/>
  <c r="C9030" i="3"/>
  <c r="B9030" i="3"/>
  <c r="D9029" i="3"/>
  <c r="C9029" i="3"/>
  <c r="B9029" i="3"/>
  <c r="D9028" i="3"/>
  <c r="C9028" i="3"/>
  <c r="B9028" i="3"/>
  <c r="D9027" i="3"/>
  <c r="C9027" i="3"/>
  <c r="B9027" i="3"/>
  <c r="D9026" i="3"/>
  <c r="C9026" i="3"/>
  <c r="B9026" i="3"/>
  <c r="D9025" i="3"/>
  <c r="C9025" i="3"/>
  <c r="B9025" i="3"/>
  <c r="D9024" i="3"/>
  <c r="C9024" i="3"/>
  <c r="B9024" i="3"/>
  <c r="D9023" i="3"/>
  <c r="C9023" i="3"/>
  <c r="B9023" i="3"/>
  <c r="D9022" i="3"/>
  <c r="C9022" i="3"/>
  <c r="B9022" i="3"/>
  <c r="D9021" i="3"/>
  <c r="C9021" i="3"/>
  <c r="B9021" i="3"/>
  <c r="D9020" i="3"/>
  <c r="C9020" i="3"/>
  <c r="B9020" i="3"/>
  <c r="D9019" i="3"/>
  <c r="C9019" i="3"/>
  <c r="B9019" i="3"/>
  <c r="D9018" i="3"/>
  <c r="C9018" i="3"/>
  <c r="B9018" i="3"/>
  <c r="D9017" i="3"/>
  <c r="C9017" i="3"/>
  <c r="B9017" i="3"/>
  <c r="D9016" i="3"/>
  <c r="C9016" i="3"/>
  <c r="B9016" i="3"/>
  <c r="D9015" i="3"/>
  <c r="C9015" i="3"/>
  <c r="B9015" i="3"/>
  <c r="D9014" i="3"/>
  <c r="C9014" i="3"/>
  <c r="B9014" i="3"/>
  <c r="D9013" i="3"/>
  <c r="C9013" i="3"/>
  <c r="B9013" i="3"/>
  <c r="D9012" i="3"/>
  <c r="C9012" i="3"/>
  <c r="B9012" i="3"/>
  <c r="D9011" i="3"/>
  <c r="C9011" i="3"/>
  <c r="B9011" i="3"/>
  <c r="D9010" i="3"/>
  <c r="C9010" i="3"/>
  <c r="B9010" i="3"/>
  <c r="D9009" i="3"/>
  <c r="C9009" i="3"/>
  <c r="B9009" i="3"/>
  <c r="D9008" i="3"/>
  <c r="C9008" i="3"/>
  <c r="B9008" i="3"/>
  <c r="D9007" i="3"/>
  <c r="C9007" i="3"/>
  <c r="B9007" i="3"/>
  <c r="D9006" i="3"/>
  <c r="C9006" i="3"/>
  <c r="B9006" i="3"/>
  <c r="D9005" i="3"/>
  <c r="C9005" i="3"/>
  <c r="B9005" i="3"/>
  <c r="D9004" i="3"/>
  <c r="C9004" i="3"/>
  <c r="B9004" i="3"/>
  <c r="D9003" i="3"/>
  <c r="C9003" i="3"/>
  <c r="B9003" i="3"/>
  <c r="D9002" i="3"/>
  <c r="C9002" i="3"/>
  <c r="B9002" i="3"/>
  <c r="D9001" i="3"/>
  <c r="C9001" i="3"/>
  <c r="B9001" i="3"/>
  <c r="D9000" i="3"/>
  <c r="C9000" i="3"/>
  <c r="B9000" i="3"/>
  <c r="D8999" i="3"/>
  <c r="C8999" i="3"/>
  <c r="B8999" i="3"/>
  <c r="D8998" i="3"/>
  <c r="C8998" i="3"/>
  <c r="B8998" i="3"/>
  <c r="D8997" i="3"/>
  <c r="C8997" i="3"/>
  <c r="B8997" i="3"/>
  <c r="D8996" i="3"/>
  <c r="C8996" i="3"/>
  <c r="B8996" i="3"/>
  <c r="D8995" i="3"/>
  <c r="C8995" i="3"/>
  <c r="B8995" i="3"/>
  <c r="D8994" i="3"/>
  <c r="C8994" i="3"/>
  <c r="B8994" i="3"/>
  <c r="D8993" i="3"/>
  <c r="C8993" i="3"/>
  <c r="B8993" i="3"/>
  <c r="D8992" i="3"/>
  <c r="C8992" i="3"/>
  <c r="B8992" i="3"/>
  <c r="D8991" i="3"/>
  <c r="C8991" i="3"/>
  <c r="B8991" i="3"/>
  <c r="D8990" i="3"/>
  <c r="C8990" i="3"/>
  <c r="B8990" i="3"/>
  <c r="D8989" i="3"/>
  <c r="C8989" i="3"/>
  <c r="B8989" i="3"/>
  <c r="D8988" i="3"/>
  <c r="C8988" i="3"/>
  <c r="B8988" i="3"/>
  <c r="D8987" i="3"/>
  <c r="C8987" i="3"/>
  <c r="B8987" i="3"/>
  <c r="D8986" i="3"/>
  <c r="C8986" i="3"/>
  <c r="B8986" i="3"/>
  <c r="D8985" i="3"/>
  <c r="C8985" i="3"/>
  <c r="B8985" i="3"/>
  <c r="D8984" i="3"/>
  <c r="C8984" i="3"/>
  <c r="B8984" i="3"/>
  <c r="D8983" i="3"/>
  <c r="C8983" i="3"/>
  <c r="B8983" i="3"/>
  <c r="D8982" i="3"/>
  <c r="C8982" i="3"/>
  <c r="B8982" i="3"/>
  <c r="D8981" i="3"/>
  <c r="C8981" i="3"/>
  <c r="B8981" i="3"/>
  <c r="D8980" i="3"/>
  <c r="C8980" i="3"/>
  <c r="B8980" i="3"/>
  <c r="D8979" i="3"/>
  <c r="C8979" i="3"/>
  <c r="B8979" i="3"/>
  <c r="D8978" i="3"/>
  <c r="C8978" i="3"/>
  <c r="B8978" i="3"/>
  <c r="D8977" i="3"/>
  <c r="C8977" i="3"/>
  <c r="B8977" i="3"/>
  <c r="D8976" i="3"/>
  <c r="C8976" i="3"/>
  <c r="B8976" i="3"/>
  <c r="D8975" i="3"/>
  <c r="C8975" i="3"/>
  <c r="B8975" i="3"/>
  <c r="D8974" i="3"/>
  <c r="C8974" i="3"/>
  <c r="B8974" i="3"/>
  <c r="D8973" i="3"/>
  <c r="C8973" i="3"/>
  <c r="B8973" i="3"/>
  <c r="D8972" i="3"/>
  <c r="C8972" i="3"/>
  <c r="B8972" i="3"/>
  <c r="D8971" i="3"/>
  <c r="C8971" i="3"/>
  <c r="B8971" i="3"/>
  <c r="D8970" i="3"/>
  <c r="C8970" i="3"/>
  <c r="B8970" i="3"/>
  <c r="D8969" i="3"/>
  <c r="C8969" i="3"/>
  <c r="B8969" i="3"/>
  <c r="D8968" i="3"/>
  <c r="C8968" i="3"/>
  <c r="B8968" i="3"/>
  <c r="D8967" i="3"/>
  <c r="C8967" i="3"/>
  <c r="B8967" i="3"/>
  <c r="D8966" i="3"/>
  <c r="C8966" i="3"/>
  <c r="B8966" i="3"/>
  <c r="D8965" i="3"/>
  <c r="C8965" i="3"/>
  <c r="B8965" i="3"/>
  <c r="D8964" i="3"/>
  <c r="C8964" i="3"/>
  <c r="B8964" i="3"/>
  <c r="D8963" i="3"/>
  <c r="C8963" i="3"/>
  <c r="B8963" i="3"/>
  <c r="D8962" i="3"/>
  <c r="C8962" i="3"/>
  <c r="B8962" i="3"/>
  <c r="D8961" i="3"/>
  <c r="C8961" i="3"/>
  <c r="B8961" i="3"/>
  <c r="D8960" i="3"/>
  <c r="C8960" i="3"/>
  <c r="B8960" i="3"/>
  <c r="D8959" i="3"/>
  <c r="C8959" i="3"/>
  <c r="B8959" i="3"/>
  <c r="D8958" i="3"/>
  <c r="C8958" i="3"/>
  <c r="B8958" i="3"/>
  <c r="D8957" i="3"/>
  <c r="C8957" i="3"/>
  <c r="B8957" i="3"/>
  <c r="D8956" i="3"/>
  <c r="C8956" i="3"/>
  <c r="B8956" i="3"/>
  <c r="D8955" i="3"/>
  <c r="C8955" i="3"/>
  <c r="B8955" i="3"/>
  <c r="D8954" i="3"/>
  <c r="C8954" i="3"/>
  <c r="B8954" i="3"/>
  <c r="D8953" i="3"/>
  <c r="C8953" i="3"/>
  <c r="B8953" i="3"/>
  <c r="D8952" i="3"/>
  <c r="C8952" i="3"/>
  <c r="B8952" i="3"/>
  <c r="D8951" i="3"/>
  <c r="C8951" i="3"/>
  <c r="B8951" i="3"/>
  <c r="D8950" i="3"/>
  <c r="C8950" i="3"/>
  <c r="B8950" i="3"/>
  <c r="D8949" i="3"/>
  <c r="C8949" i="3"/>
  <c r="B8949" i="3"/>
  <c r="D8948" i="3"/>
  <c r="C8948" i="3"/>
  <c r="B8948" i="3"/>
  <c r="D8947" i="3"/>
  <c r="C8947" i="3"/>
  <c r="B8947" i="3"/>
  <c r="D8946" i="3"/>
  <c r="C8946" i="3"/>
  <c r="B8946" i="3"/>
  <c r="D8945" i="3"/>
  <c r="C8945" i="3"/>
  <c r="B8945" i="3"/>
  <c r="D8944" i="3"/>
  <c r="C8944" i="3"/>
  <c r="B8944" i="3"/>
  <c r="D8943" i="3"/>
  <c r="C8943" i="3"/>
  <c r="B8943" i="3"/>
  <c r="D8942" i="3"/>
  <c r="C8942" i="3"/>
  <c r="B8942" i="3"/>
  <c r="D8941" i="3"/>
  <c r="C8941" i="3"/>
  <c r="B8941" i="3"/>
  <c r="D8940" i="3"/>
  <c r="C8940" i="3"/>
  <c r="B8940" i="3"/>
  <c r="D8939" i="3"/>
  <c r="C8939" i="3"/>
  <c r="B8939" i="3"/>
  <c r="D8938" i="3"/>
  <c r="C8938" i="3"/>
  <c r="B8938" i="3"/>
  <c r="D8937" i="3"/>
  <c r="C8937" i="3"/>
  <c r="B8937" i="3"/>
  <c r="D8936" i="3"/>
  <c r="C8936" i="3"/>
  <c r="B8936" i="3"/>
  <c r="D8935" i="3"/>
  <c r="C8935" i="3"/>
  <c r="B8935" i="3"/>
  <c r="D8934" i="3"/>
  <c r="C8934" i="3"/>
  <c r="B8934" i="3"/>
  <c r="D8933" i="3"/>
  <c r="C8933" i="3"/>
  <c r="B8933" i="3"/>
  <c r="D8932" i="3"/>
  <c r="C8932" i="3"/>
  <c r="B8932" i="3"/>
  <c r="D8931" i="3"/>
  <c r="C8931" i="3"/>
  <c r="B8931" i="3"/>
  <c r="D8930" i="3"/>
  <c r="C8930" i="3"/>
  <c r="B8930" i="3"/>
  <c r="D8929" i="3"/>
  <c r="C8929" i="3"/>
  <c r="B8929" i="3"/>
  <c r="D8928" i="3"/>
  <c r="C8928" i="3"/>
  <c r="B8928" i="3"/>
  <c r="D8927" i="3"/>
  <c r="C8927" i="3"/>
  <c r="B8927" i="3"/>
  <c r="D8926" i="3"/>
  <c r="C8926" i="3"/>
  <c r="B8926" i="3"/>
  <c r="D8925" i="3"/>
  <c r="C8925" i="3"/>
  <c r="B8925" i="3"/>
  <c r="D8924" i="3"/>
  <c r="C8924" i="3"/>
  <c r="B8924" i="3"/>
  <c r="D8923" i="3"/>
  <c r="C8923" i="3"/>
  <c r="B8923" i="3"/>
  <c r="D8922" i="3"/>
  <c r="C8922" i="3"/>
  <c r="B8922" i="3"/>
  <c r="D8921" i="3"/>
  <c r="C8921" i="3"/>
  <c r="B8921" i="3"/>
  <c r="D8920" i="3"/>
  <c r="C8920" i="3"/>
  <c r="B8920" i="3"/>
  <c r="D8919" i="3"/>
  <c r="C8919" i="3"/>
  <c r="B8919" i="3"/>
  <c r="D8918" i="3"/>
  <c r="C8918" i="3"/>
  <c r="B8918" i="3"/>
  <c r="D8917" i="3"/>
  <c r="C8917" i="3"/>
  <c r="B8917" i="3"/>
  <c r="D8916" i="3"/>
  <c r="C8916" i="3"/>
  <c r="B8916" i="3"/>
  <c r="D8915" i="3"/>
  <c r="C8915" i="3"/>
  <c r="B8915" i="3"/>
  <c r="D8914" i="3"/>
  <c r="C8914" i="3"/>
  <c r="B8914" i="3"/>
  <c r="D8913" i="3"/>
  <c r="C8913" i="3"/>
  <c r="B8913" i="3"/>
  <c r="D8912" i="3"/>
  <c r="C8912" i="3"/>
  <c r="B8912" i="3"/>
  <c r="D8911" i="3"/>
  <c r="C8911" i="3"/>
  <c r="B8911" i="3"/>
  <c r="D8910" i="3"/>
  <c r="C8910" i="3"/>
  <c r="B8910" i="3"/>
  <c r="D8909" i="3"/>
  <c r="C8909" i="3"/>
  <c r="B8909" i="3"/>
  <c r="D8908" i="3"/>
  <c r="C8908" i="3"/>
  <c r="B8908" i="3"/>
  <c r="D8907" i="3"/>
  <c r="C8907" i="3"/>
  <c r="B8907" i="3"/>
  <c r="D8906" i="3"/>
  <c r="C8906" i="3"/>
  <c r="B8906" i="3"/>
  <c r="D8905" i="3"/>
  <c r="C8905" i="3"/>
  <c r="B8905" i="3"/>
  <c r="D8904" i="3"/>
  <c r="C8904" i="3"/>
  <c r="B8904" i="3"/>
  <c r="D8903" i="3"/>
  <c r="C8903" i="3"/>
  <c r="B8903" i="3"/>
  <c r="D8902" i="3"/>
  <c r="C8902" i="3"/>
  <c r="B8902" i="3"/>
  <c r="D8901" i="3"/>
  <c r="C8901" i="3"/>
  <c r="B8901" i="3"/>
  <c r="D8900" i="3"/>
  <c r="C8900" i="3"/>
  <c r="B8900" i="3"/>
  <c r="D8899" i="3"/>
  <c r="C8899" i="3"/>
  <c r="B8899" i="3"/>
  <c r="D8898" i="3"/>
  <c r="C8898" i="3"/>
  <c r="B8898" i="3"/>
  <c r="D8897" i="3"/>
  <c r="C8897" i="3"/>
  <c r="B8897" i="3"/>
  <c r="D8896" i="3"/>
  <c r="C8896" i="3"/>
  <c r="B8896" i="3"/>
  <c r="D8895" i="3"/>
  <c r="C8895" i="3"/>
  <c r="B8895" i="3"/>
  <c r="D8894" i="3"/>
  <c r="C8894" i="3"/>
  <c r="B8894" i="3"/>
  <c r="D8893" i="3"/>
  <c r="C8893" i="3"/>
  <c r="B8893" i="3"/>
  <c r="D8892" i="3"/>
  <c r="C8892" i="3"/>
  <c r="B8892" i="3"/>
  <c r="D8891" i="3"/>
  <c r="C8891" i="3"/>
  <c r="B8891" i="3"/>
  <c r="D8890" i="3"/>
  <c r="C8890" i="3"/>
  <c r="B8890" i="3"/>
  <c r="D8889" i="3"/>
  <c r="C8889" i="3"/>
  <c r="B8889" i="3"/>
  <c r="D8888" i="3"/>
  <c r="C8888" i="3"/>
  <c r="B8888" i="3"/>
  <c r="D8887" i="3"/>
  <c r="C8887" i="3"/>
  <c r="B8887" i="3"/>
  <c r="D8886" i="3"/>
  <c r="C8886" i="3"/>
  <c r="B8886" i="3"/>
  <c r="D8885" i="3"/>
  <c r="C8885" i="3"/>
  <c r="B8885" i="3"/>
  <c r="D8884" i="3"/>
  <c r="C8884" i="3"/>
  <c r="B8884" i="3"/>
  <c r="D8883" i="3"/>
  <c r="C8883" i="3"/>
  <c r="B8883" i="3"/>
  <c r="D8882" i="3"/>
  <c r="C8882" i="3"/>
  <c r="B8882" i="3"/>
  <c r="D8881" i="3"/>
  <c r="C8881" i="3"/>
  <c r="B8881" i="3"/>
  <c r="D8880" i="3"/>
  <c r="C8880" i="3"/>
  <c r="B8880" i="3"/>
  <c r="D8879" i="3"/>
  <c r="C8879" i="3"/>
  <c r="B8879" i="3"/>
  <c r="D8878" i="3"/>
  <c r="C8878" i="3"/>
  <c r="B8878" i="3"/>
  <c r="D8877" i="3"/>
  <c r="C8877" i="3"/>
  <c r="B8877" i="3"/>
  <c r="D8876" i="3"/>
  <c r="C8876" i="3"/>
  <c r="B8876" i="3"/>
  <c r="D8875" i="3"/>
  <c r="C8875" i="3"/>
  <c r="B8875" i="3"/>
  <c r="D8874" i="3"/>
  <c r="C8874" i="3"/>
  <c r="B8874" i="3"/>
  <c r="D8873" i="3"/>
  <c r="C8873" i="3"/>
  <c r="B8873" i="3"/>
  <c r="D8872" i="3"/>
  <c r="C8872" i="3"/>
  <c r="B8872" i="3"/>
  <c r="D8871" i="3"/>
  <c r="C8871" i="3"/>
  <c r="B8871" i="3"/>
  <c r="D8870" i="3"/>
  <c r="C8870" i="3"/>
  <c r="B8870" i="3"/>
  <c r="D8869" i="3"/>
  <c r="C8869" i="3"/>
  <c r="B8869" i="3"/>
  <c r="D8868" i="3"/>
  <c r="C8868" i="3"/>
  <c r="B8868" i="3"/>
  <c r="D8867" i="3"/>
  <c r="C8867" i="3"/>
  <c r="B8867" i="3"/>
  <c r="D8866" i="3"/>
  <c r="C8866" i="3"/>
  <c r="B8866" i="3"/>
  <c r="D8865" i="3"/>
  <c r="C8865" i="3"/>
  <c r="B8865" i="3"/>
  <c r="D8864" i="3"/>
  <c r="C8864" i="3"/>
  <c r="B8864" i="3"/>
  <c r="D8863" i="3"/>
  <c r="C8863" i="3"/>
  <c r="B8863" i="3"/>
  <c r="D8862" i="3"/>
  <c r="C8862" i="3"/>
  <c r="B8862" i="3"/>
  <c r="D8861" i="3"/>
  <c r="C8861" i="3"/>
  <c r="B8861" i="3"/>
  <c r="D8860" i="3"/>
  <c r="C8860" i="3"/>
  <c r="B8860" i="3"/>
  <c r="D8859" i="3"/>
  <c r="C8859" i="3"/>
  <c r="B8859" i="3"/>
  <c r="D8858" i="3"/>
  <c r="C8858" i="3"/>
  <c r="B8858" i="3"/>
  <c r="D8857" i="3"/>
  <c r="C8857" i="3"/>
  <c r="B8857" i="3"/>
  <c r="D8856" i="3"/>
  <c r="C8856" i="3"/>
  <c r="B8856" i="3"/>
  <c r="D8855" i="3"/>
  <c r="C8855" i="3"/>
  <c r="B8855" i="3"/>
  <c r="D8854" i="3"/>
  <c r="C8854" i="3"/>
  <c r="B8854" i="3"/>
  <c r="D8853" i="3"/>
  <c r="C8853" i="3"/>
  <c r="B8853" i="3"/>
  <c r="D8852" i="3"/>
  <c r="C8852" i="3"/>
  <c r="B8852" i="3"/>
  <c r="D8851" i="3"/>
  <c r="C8851" i="3"/>
  <c r="B8851" i="3"/>
  <c r="D8850" i="3"/>
  <c r="C8850" i="3"/>
  <c r="B8850" i="3"/>
  <c r="D8849" i="3"/>
  <c r="C8849" i="3"/>
  <c r="B8849" i="3"/>
  <c r="D8848" i="3"/>
  <c r="C8848" i="3"/>
  <c r="B8848" i="3"/>
  <c r="D8847" i="3"/>
  <c r="C8847" i="3"/>
  <c r="B8847" i="3"/>
  <c r="D8846" i="3"/>
  <c r="C8846" i="3"/>
  <c r="B8846" i="3"/>
  <c r="D8845" i="3"/>
  <c r="C8845" i="3"/>
  <c r="B8845" i="3"/>
  <c r="D8844" i="3"/>
  <c r="C8844" i="3"/>
  <c r="B8844" i="3"/>
  <c r="D8843" i="3"/>
  <c r="C8843" i="3"/>
  <c r="B8843" i="3"/>
  <c r="D8842" i="3"/>
  <c r="C8842" i="3"/>
  <c r="B8842" i="3"/>
  <c r="D8841" i="3"/>
  <c r="C8841" i="3"/>
  <c r="B8841" i="3"/>
  <c r="D8840" i="3"/>
  <c r="C8840" i="3"/>
  <c r="B8840" i="3"/>
  <c r="D8839" i="3"/>
  <c r="C8839" i="3"/>
  <c r="B8839" i="3"/>
  <c r="D8838" i="3"/>
  <c r="C8838" i="3"/>
  <c r="B8838" i="3"/>
  <c r="D8837" i="3"/>
  <c r="C8837" i="3"/>
  <c r="B8837" i="3"/>
  <c r="D8836" i="3"/>
  <c r="C8836" i="3"/>
  <c r="B8836" i="3"/>
  <c r="D8835" i="3"/>
  <c r="C8835" i="3"/>
  <c r="B8835" i="3"/>
  <c r="D8834" i="3"/>
  <c r="C8834" i="3"/>
  <c r="B8834" i="3"/>
  <c r="D8833" i="3"/>
  <c r="C8833" i="3"/>
  <c r="B8833" i="3"/>
  <c r="D8832" i="3"/>
  <c r="C8832" i="3"/>
  <c r="B8832" i="3"/>
  <c r="D8831" i="3"/>
  <c r="C8831" i="3"/>
  <c r="B8831" i="3"/>
  <c r="D8830" i="3"/>
  <c r="C8830" i="3"/>
  <c r="B8830" i="3"/>
  <c r="D8829" i="3"/>
  <c r="C8829" i="3"/>
  <c r="B8829" i="3"/>
  <c r="D8828" i="3"/>
  <c r="C8828" i="3"/>
  <c r="B8828" i="3"/>
  <c r="D8827" i="3"/>
  <c r="C8827" i="3"/>
  <c r="B8827" i="3"/>
  <c r="D8826" i="3"/>
  <c r="C8826" i="3"/>
  <c r="B8826" i="3"/>
  <c r="D8825" i="3"/>
  <c r="C8825" i="3"/>
  <c r="B8825" i="3"/>
  <c r="D8824" i="3"/>
  <c r="C8824" i="3"/>
  <c r="B8824" i="3"/>
  <c r="D8823" i="3"/>
  <c r="C8823" i="3"/>
  <c r="B8823" i="3"/>
  <c r="D8822" i="3"/>
  <c r="C8822" i="3"/>
  <c r="B8822" i="3"/>
  <c r="D8821" i="3"/>
  <c r="C8821" i="3"/>
  <c r="B8821" i="3"/>
  <c r="D8820" i="3"/>
  <c r="C8820" i="3"/>
  <c r="B8820" i="3"/>
  <c r="D8819" i="3"/>
  <c r="C8819" i="3"/>
  <c r="B8819" i="3"/>
  <c r="D8818" i="3"/>
  <c r="C8818" i="3"/>
  <c r="B8818" i="3"/>
  <c r="D8817" i="3"/>
  <c r="C8817" i="3"/>
  <c r="B8817" i="3"/>
  <c r="D8816" i="3"/>
  <c r="C8816" i="3"/>
  <c r="B8816" i="3"/>
  <c r="D8815" i="3"/>
  <c r="C8815" i="3"/>
  <c r="B8815" i="3"/>
  <c r="D8814" i="3"/>
  <c r="C8814" i="3"/>
  <c r="B8814" i="3"/>
  <c r="D8813" i="3"/>
  <c r="C8813" i="3"/>
  <c r="B8813" i="3"/>
  <c r="D8812" i="3"/>
  <c r="C8812" i="3"/>
  <c r="B8812" i="3"/>
  <c r="D8811" i="3"/>
  <c r="C8811" i="3"/>
  <c r="B8811" i="3"/>
  <c r="D8810" i="3"/>
  <c r="C8810" i="3"/>
  <c r="B8810" i="3"/>
  <c r="D8809" i="3"/>
  <c r="C8809" i="3"/>
  <c r="B8809" i="3"/>
  <c r="D8808" i="3"/>
  <c r="C8808" i="3"/>
  <c r="B8808" i="3"/>
  <c r="D8807" i="3"/>
  <c r="C8807" i="3"/>
  <c r="B8807" i="3"/>
  <c r="D8806" i="3"/>
  <c r="C8806" i="3"/>
  <c r="B8806" i="3"/>
  <c r="D8805" i="3"/>
  <c r="C8805" i="3"/>
  <c r="B8805" i="3"/>
  <c r="D8804" i="3"/>
  <c r="C8804" i="3"/>
  <c r="B8804" i="3"/>
  <c r="D8803" i="3"/>
  <c r="C8803" i="3"/>
  <c r="B8803" i="3"/>
  <c r="D8802" i="3"/>
  <c r="C8802" i="3"/>
  <c r="B8802" i="3"/>
  <c r="D8801" i="3"/>
  <c r="C8801" i="3"/>
  <c r="B8801" i="3"/>
  <c r="D8800" i="3"/>
  <c r="C8800" i="3"/>
  <c r="B8800" i="3"/>
  <c r="D8799" i="3"/>
  <c r="C8799" i="3"/>
  <c r="B8799" i="3"/>
  <c r="D8798" i="3"/>
  <c r="C8798" i="3"/>
  <c r="B8798" i="3"/>
  <c r="D8797" i="3"/>
  <c r="C8797" i="3"/>
  <c r="B8797" i="3"/>
  <c r="D8796" i="3"/>
  <c r="C8796" i="3"/>
  <c r="B8796" i="3"/>
  <c r="D8795" i="3"/>
  <c r="C8795" i="3"/>
  <c r="B8795" i="3"/>
  <c r="D8794" i="3"/>
  <c r="C8794" i="3"/>
  <c r="B8794" i="3"/>
  <c r="D8793" i="3"/>
  <c r="C8793" i="3"/>
  <c r="B8793" i="3"/>
  <c r="D8792" i="3"/>
  <c r="C8792" i="3"/>
  <c r="B8792" i="3"/>
  <c r="D8791" i="3"/>
  <c r="C8791" i="3"/>
  <c r="B8791" i="3"/>
  <c r="D8790" i="3"/>
  <c r="C8790" i="3"/>
  <c r="B8790" i="3"/>
  <c r="D8789" i="3"/>
  <c r="C8789" i="3"/>
  <c r="B8789" i="3"/>
  <c r="D8788" i="3"/>
  <c r="C8788" i="3"/>
  <c r="B8788" i="3"/>
  <c r="D8787" i="3"/>
  <c r="C8787" i="3"/>
  <c r="B8787" i="3"/>
  <c r="D8786" i="3"/>
  <c r="C8786" i="3"/>
  <c r="B8786" i="3"/>
  <c r="D8785" i="3"/>
  <c r="C8785" i="3"/>
  <c r="B8785" i="3"/>
  <c r="D8784" i="3"/>
  <c r="C8784" i="3"/>
  <c r="B8784" i="3"/>
  <c r="D8783" i="3"/>
  <c r="C8783" i="3"/>
  <c r="B8783" i="3"/>
  <c r="D8782" i="3"/>
  <c r="C8782" i="3"/>
  <c r="B8782" i="3"/>
  <c r="D8781" i="3"/>
  <c r="C8781" i="3"/>
  <c r="B8781" i="3"/>
  <c r="D8780" i="3"/>
  <c r="C8780" i="3"/>
  <c r="B8780" i="3"/>
  <c r="D8779" i="3"/>
  <c r="C8779" i="3"/>
  <c r="B8779" i="3"/>
  <c r="D8778" i="3"/>
  <c r="C8778" i="3"/>
  <c r="B8778" i="3"/>
  <c r="D8777" i="3"/>
  <c r="C8777" i="3"/>
  <c r="B8777" i="3"/>
  <c r="D8776" i="3"/>
  <c r="C8776" i="3"/>
  <c r="B8776" i="3"/>
  <c r="D8775" i="3"/>
  <c r="C8775" i="3"/>
  <c r="B8775" i="3"/>
  <c r="D8774" i="3"/>
  <c r="C8774" i="3"/>
  <c r="B8774" i="3"/>
  <c r="D8773" i="3"/>
  <c r="C8773" i="3"/>
  <c r="B8773" i="3"/>
  <c r="D8772" i="3"/>
  <c r="C8772" i="3"/>
  <c r="B8772" i="3"/>
  <c r="D8771" i="3"/>
  <c r="C8771" i="3"/>
  <c r="B8771" i="3"/>
  <c r="D8770" i="3"/>
  <c r="C8770" i="3"/>
  <c r="B8770" i="3"/>
  <c r="D8769" i="3"/>
  <c r="C8769" i="3"/>
  <c r="B8769" i="3"/>
  <c r="D8768" i="3"/>
  <c r="C8768" i="3"/>
  <c r="B8768" i="3"/>
  <c r="D8767" i="3"/>
  <c r="C8767" i="3"/>
  <c r="B8767" i="3"/>
  <c r="D8766" i="3"/>
  <c r="C8766" i="3"/>
  <c r="B8766" i="3"/>
  <c r="D8765" i="3"/>
  <c r="C8765" i="3"/>
  <c r="B8765" i="3"/>
  <c r="D8764" i="3"/>
  <c r="C8764" i="3"/>
  <c r="B8764" i="3"/>
  <c r="D8763" i="3"/>
  <c r="C8763" i="3"/>
  <c r="B8763" i="3"/>
  <c r="D8762" i="3"/>
  <c r="C8762" i="3"/>
  <c r="B8762" i="3"/>
  <c r="D8761" i="3"/>
  <c r="C8761" i="3"/>
  <c r="B8761" i="3"/>
  <c r="D8760" i="3"/>
  <c r="C8760" i="3"/>
  <c r="B8760" i="3"/>
  <c r="D8759" i="3"/>
  <c r="C8759" i="3"/>
  <c r="B8759" i="3"/>
  <c r="D8758" i="3"/>
  <c r="C8758" i="3"/>
  <c r="B8758" i="3"/>
  <c r="D8757" i="3"/>
  <c r="C8757" i="3"/>
  <c r="B8757" i="3"/>
  <c r="D8756" i="3"/>
  <c r="C8756" i="3"/>
  <c r="B8756" i="3"/>
  <c r="D8755" i="3"/>
  <c r="C8755" i="3"/>
  <c r="B8755" i="3"/>
  <c r="D8754" i="3"/>
  <c r="C8754" i="3"/>
  <c r="B8754" i="3"/>
  <c r="D8753" i="3"/>
  <c r="C8753" i="3"/>
  <c r="B8753" i="3"/>
  <c r="D8752" i="3"/>
  <c r="C8752" i="3"/>
  <c r="B8752" i="3"/>
  <c r="D8751" i="3"/>
  <c r="C8751" i="3"/>
  <c r="B8751" i="3"/>
  <c r="D8750" i="3"/>
  <c r="C8750" i="3"/>
  <c r="B8750" i="3"/>
  <c r="D8749" i="3"/>
  <c r="C8749" i="3"/>
  <c r="B8749" i="3"/>
  <c r="D8748" i="3"/>
  <c r="C8748" i="3"/>
  <c r="B8748" i="3"/>
  <c r="D8747" i="3"/>
  <c r="C8747" i="3"/>
  <c r="B8747" i="3"/>
  <c r="D8746" i="3"/>
  <c r="C8746" i="3"/>
  <c r="B8746" i="3"/>
  <c r="D8745" i="3"/>
  <c r="C8745" i="3"/>
  <c r="B8745" i="3"/>
  <c r="D8744" i="3"/>
  <c r="C8744" i="3"/>
  <c r="B8744" i="3"/>
  <c r="D8743" i="3"/>
  <c r="C8743" i="3"/>
  <c r="B8743" i="3"/>
  <c r="D8742" i="3"/>
  <c r="C8742" i="3"/>
  <c r="B8742" i="3"/>
  <c r="D8741" i="3"/>
  <c r="C8741" i="3"/>
  <c r="B8741" i="3"/>
  <c r="D8740" i="3"/>
  <c r="C8740" i="3"/>
  <c r="B8740" i="3"/>
  <c r="D8739" i="3"/>
  <c r="C8739" i="3"/>
  <c r="B8739" i="3"/>
  <c r="D8738" i="3"/>
  <c r="C8738" i="3"/>
  <c r="B8738" i="3"/>
  <c r="D8737" i="3"/>
  <c r="C8737" i="3"/>
  <c r="B8737" i="3"/>
  <c r="D8736" i="3"/>
  <c r="C8736" i="3"/>
  <c r="B8736" i="3"/>
  <c r="D8735" i="3"/>
  <c r="C8735" i="3"/>
  <c r="B8735" i="3"/>
  <c r="D8734" i="3"/>
  <c r="C8734" i="3"/>
  <c r="B8734" i="3"/>
  <c r="D8733" i="3"/>
  <c r="C8733" i="3"/>
  <c r="B8733" i="3"/>
  <c r="D8732" i="3"/>
  <c r="C8732" i="3"/>
  <c r="B8732" i="3"/>
  <c r="D8731" i="3"/>
  <c r="C8731" i="3"/>
  <c r="B8731" i="3"/>
  <c r="D8730" i="3"/>
  <c r="C8730" i="3"/>
  <c r="B8730" i="3"/>
  <c r="D8729" i="3"/>
  <c r="C8729" i="3"/>
  <c r="B8729" i="3"/>
  <c r="D8728" i="3"/>
  <c r="C8728" i="3"/>
  <c r="B8728" i="3"/>
  <c r="D8727" i="3"/>
  <c r="C8727" i="3"/>
  <c r="B8727" i="3"/>
  <c r="D8726" i="3"/>
  <c r="C8726" i="3"/>
  <c r="B8726" i="3"/>
  <c r="D8725" i="3"/>
  <c r="C8725" i="3"/>
  <c r="B8725" i="3"/>
  <c r="D8724" i="3"/>
  <c r="C8724" i="3"/>
  <c r="B8724" i="3"/>
  <c r="D8723" i="3"/>
  <c r="C8723" i="3"/>
  <c r="B8723" i="3"/>
  <c r="D8722" i="3"/>
  <c r="C8722" i="3"/>
  <c r="B8722" i="3"/>
  <c r="D8721" i="3"/>
  <c r="C8721" i="3"/>
  <c r="B8721" i="3"/>
  <c r="D8720" i="3"/>
  <c r="C8720" i="3"/>
  <c r="B8720" i="3"/>
  <c r="D8719" i="3"/>
  <c r="C8719" i="3"/>
  <c r="B8719" i="3"/>
  <c r="D8718" i="3"/>
  <c r="C8718" i="3"/>
  <c r="B8718" i="3"/>
  <c r="D8717" i="3"/>
  <c r="C8717" i="3"/>
  <c r="B8717" i="3"/>
  <c r="D8716" i="3"/>
  <c r="C8716" i="3"/>
  <c r="B8716" i="3"/>
  <c r="D8715" i="3"/>
  <c r="C8715" i="3"/>
  <c r="B8715" i="3"/>
  <c r="D8714" i="3"/>
  <c r="C8714" i="3"/>
  <c r="B8714" i="3"/>
  <c r="D8713" i="3"/>
  <c r="C8713" i="3"/>
  <c r="B8713" i="3"/>
  <c r="D8712" i="3"/>
  <c r="C8712" i="3"/>
  <c r="B8712" i="3"/>
  <c r="D8711" i="3"/>
  <c r="C8711" i="3"/>
  <c r="B8711" i="3"/>
  <c r="D8710" i="3"/>
  <c r="C8710" i="3"/>
  <c r="B8710" i="3"/>
  <c r="D8709" i="3"/>
  <c r="C8709" i="3"/>
  <c r="B8709" i="3"/>
  <c r="D8708" i="3"/>
  <c r="C8708" i="3"/>
  <c r="B8708" i="3"/>
  <c r="D8707" i="3"/>
  <c r="C8707" i="3"/>
  <c r="B8707" i="3"/>
  <c r="D8706" i="3"/>
  <c r="C8706" i="3"/>
  <c r="B8706" i="3"/>
  <c r="D8705" i="3"/>
  <c r="C8705" i="3"/>
  <c r="B8705" i="3"/>
  <c r="D8704" i="3"/>
  <c r="C8704" i="3"/>
  <c r="B8704" i="3"/>
  <c r="D8703" i="3"/>
  <c r="C8703" i="3"/>
  <c r="B8703" i="3"/>
  <c r="D8702" i="3"/>
  <c r="C8702" i="3"/>
  <c r="B8702" i="3"/>
  <c r="D8701" i="3"/>
  <c r="C8701" i="3"/>
  <c r="B8701" i="3"/>
  <c r="D8700" i="3"/>
  <c r="C8700" i="3"/>
  <c r="B8700" i="3"/>
  <c r="D8699" i="3"/>
  <c r="C8699" i="3"/>
  <c r="B8699" i="3"/>
  <c r="D8698" i="3"/>
  <c r="C8698" i="3"/>
  <c r="B8698" i="3"/>
  <c r="D8697" i="3"/>
  <c r="C8697" i="3"/>
  <c r="B8697" i="3"/>
  <c r="D8696" i="3"/>
  <c r="C8696" i="3"/>
  <c r="B8696" i="3"/>
  <c r="D8695" i="3"/>
  <c r="C8695" i="3"/>
  <c r="B8695" i="3"/>
  <c r="D8694" i="3"/>
  <c r="C8694" i="3"/>
  <c r="B8694" i="3"/>
  <c r="D8693" i="3"/>
  <c r="C8693" i="3"/>
  <c r="B8693" i="3"/>
  <c r="D8692" i="3"/>
  <c r="C8692" i="3"/>
  <c r="B8692" i="3"/>
  <c r="D8691" i="3"/>
  <c r="C8691" i="3"/>
  <c r="B8691" i="3"/>
  <c r="D8690" i="3"/>
  <c r="C8690" i="3"/>
  <c r="B8690" i="3"/>
  <c r="D8689" i="3"/>
  <c r="C8689" i="3"/>
  <c r="B8689" i="3"/>
  <c r="D8688" i="3"/>
  <c r="C8688" i="3"/>
  <c r="B8688" i="3"/>
  <c r="D8687" i="3"/>
  <c r="C8687" i="3"/>
  <c r="B8687" i="3"/>
  <c r="D8686" i="3"/>
  <c r="C8686" i="3"/>
  <c r="B8686" i="3"/>
  <c r="D8685" i="3"/>
  <c r="C8685" i="3"/>
  <c r="B8685" i="3"/>
  <c r="D8684" i="3"/>
  <c r="C8684" i="3"/>
  <c r="B8684" i="3"/>
  <c r="D8683" i="3"/>
  <c r="C8683" i="3"/>
  <c r="B8683" i="3"/>
  <c r="D8682" i="3"/>
  <c r="C8682" i="3"/>
  <c r="B8682" i="3"/>
  <c r="D8681" i="3"/>
  <c r="C8681" i="3"/>
  <c r="B8681" i="3"/>
  <c r="D8680" i="3"/>
  <c r="C8680" i="3"/>
  <c r="B8680" i="3"/>
  <c r="D8679" i="3"/>
  <c r="C8679" i="3"/>
  <c r="B8679" i="3"/>
  <c r="D8678" i="3"/>
  <c r="C8678" i="3"/>
  <c r="B8678" i="3"/>
  <c r="D8677" i="3"/>
  <c r="C8677" i="3"/>
  <c r="B8677" i="3"/>
  <c r="D8676" i="3"/>
  <c r="C8676" i="3"/>
  <c r="B8676" i="3"/>
  <c r="D8675" i="3"/>
  <c r="C8675" i="3"/>
  <c r="B8675" i="3"/>
  <c r="D8674" i="3"/>
  <c r="C8674" i="3"/>
  <c r="B8674" i="3"/>
  <c r="D8673" i="3"/>
  <c r="C8673" i="3"/>
  <c r="B8673" i="3"/>
  <c r="D8672" i="3"/>
  <c r="C8672" i="3"/>
  <c r="B8672" i="3"/>
  <c r="D8671" i="3"/>
  <c r="C8671" i="3"/>
  <c r="B8671" i="3"/>
  <c r="D8670" i="3"/>
  <c r="C8670" i="3"/>
  <c r="B8670" i="3"/>
  <c r="D8669" i="3"/>
  <c r="C8669" i="3"/>
  <c r="B8669" i="3"/>
  <c r="D8668" i="3"/>
  <c r="C8668" i="3"/>
  <c r="B8668" i="3"/>
  <c r="D8667" i="3"/>
  <c r="C8667" i="3"/>
  <c r="B8667" i="3"/>
  <c r="D8666" i="3"/>
  <c r="C8666" i="3"/>
  <c r="B8666" i="3"/>
  <c r="D8665" i="3"/>
  <c r="C8665" i="3"/>
  <c r="B8665" i="3"/>
  <c r="D8664" i="3"/>
  <c r="C8664" i="3"/>
  <c r="B8664" i="3"/>
  <c r="D8663" i="3"/>
  <c r="C8663" i="3"/>
  <c r="B8663" i="3"/>
  <c r="D8662" i="3"/>
  <c r="C8662" i="3"/>
  <c r="B8662" i="3"/>
  <c r="D8661" i="3"/>
  <c r="C8661" i="3"/>
  <c r="B8661" i="3"/>
  <c r="D8660" i="3"/>
  <c r="C8660" i="3"/>
  <c r="B8660" i="3"/>
  <c r="D8659" i="3"/>
  <c r="C8659" i="3"/>
  <c r="B8659" i="3"/>
  <c r="D8658" i="3"/>
  <c r="C8658" i="3"/>
  <c r="B8658" i="3"/>
  <c r="D8657" i="3"/>
  <c r="C8657" i="3"/>
  <c r="B8657" i="3"/>
  <c r="D8656" i="3"/>
  <c r="C8656" i="3"/>
  <c r="B8656" i="3"/>
  <c r="D8655" i="3"/>
  <c r="C8655" i="3"/>
  <c r="B8655" i="3"/>
  <c r="D8654" i="3"/>
  <c r="C8654" i="3"/>
  <c r="B8654" i="3"/>
  <c r="D8653" i="3"/>
  <c r="C8653" i="3"/>
  <c r="B8653" i="3"/>
  <c r="D8652" i="3"/>
  <c r="C8652" i="3"/>
  <c r="B8652" i="3"/>
  <c r="D8651" i="3"/>
  <c r="C8651" i="3"/>
  <c r="B8651" i="3"/>
  <c r="D8650" i="3"/>
  <c r="C8650" i="3"/>
  <c r="B8650" i="3"/>
  <c r="D8649" i="3"/>
  <c r="C8649" i="3"/>
  <c r="B8649" i="3"/>
  <c r="D8648" i="3"/>
  <c r="C8648" i="3"/>
  <c r="B8648" i="3"/>
  <c r="D8647" i="3"/>
  <c r="C8647" i="3"/>
  <c r="B8647" i="3"/>
  <c r="D8646" i="3"/>
  <c r="C8646" i="3"/>
  <c r="B8646" i="3"/>
  <c r="D8645" i="3"/>
  <c r="C8645" i="3"/>
  <c r="B8645" i="3"/>
  <c r="D8644" i="3"/>
  <c r="C8644" i="3"/>
  <c r="B8644" i="3"/>
  <c r="D8643" i="3"/>
  <c r="C8643" i="3"/>
  <c r="B8643" i="3"/>
  <c r="D8642" i="3"/>
  <c r="C8642" i="3"/>
  <c r="B8642" i="3"/>
  <c r="D8641" i="3"/>
  <c r="C8641" i="3"/>
  <c r="B8641" i="3"/>
  <c r="D8640" i="3"/>
  <c r="C8640" i="3"/>
  <c r="B8640" i="3"/>
  <c r="D8639" i="3"/>
  <c r="C8639" i="3"/>
  <c r="B8639" i="3"/>
  <c r="D8638" i="3"/>
  <c r="C8638" i="3"/>
  <c r="B8638" i="3"/>
  <c r="D8637" i="3"/>
  <c r="C8637" i="3"/>
  <c r="B8637" i="3"/>
  <c r="D8636" i="3"/>
  <c r="C8636" i="3"/>
  <c r="B8636" i="3"/>
  <c r="D8635" i="3"/>
  <c r="C8635" i="3"/>
  <c r="B8635" i="3"/>
  <c r="D8634" i="3"/>
  <c r="C8634" i="3"/>
  <c r="B8634" i="3"/>
  <c r="D8633" i="3"/>
  <c r="C8633" i="3"/>
  <c r="B8633" i="3"/>
  <c r="D8632" i="3"/>
  <c r="C8632" i="3"/>
  <c r="B8632" i="3"/>
  <c r="D8631" i="3"/>
  <c r="C8631" i="3"/>
  <c r="B8631" i="3"/>
  <c r="D8630" i="3"/>
  <c r="C8630" i="3"/>
  <c r="B8630" i="3"/>
  <c r="D8629" i="3"/>
  <c r="C8629" i="3"/>
  <c r="B8629" i="3"/>
  <c r="D8628" i="3"/>
  <c r="C8628" i="3"/>
  <c r="B8628" i="3"/>
  <c r="D8627" i="3"/>
  <c r="C8627" i="3"/>
  <c r="B8627" i="3"/>
  <c r="D8626" i="3"/>
  <c r="C8626" i="3"/>
  <c r="B8626" i="3"/>
  <c r="D8625" i="3"/>
  <c r="C8625" i="3"/>
  <c r="B8625" i="3"/>
  <c r="D8624" i="3"/>
  <c r="C8624" i="3"/>
  <c r="B8624" i="3"/>
  <c r="D8623" i="3"/>
  <c r="C8623" i="3"/>
  <c r="B8623" i="3"/>
  <c r="D8622" i="3"/>
  <c r="C8622" i="3"/>
  <c r="B8622" i="3"/>
  <c r="D8621" i="3"/>
  <c r="C8621" i="3"/>
  <c r="B8621" i="3"/>
  <c r="D8620" i="3"/>
  <c r="C8620" i="3"/>
  <c r="B8620" i="3"/>
  <c r="D8619" i="3"/>
  <c r="C8619" i="3"/>
  <c r="B8619" i="3"/>
  <c r="D8618" i="3"/>
  <c r="C8618" i="3"/>
  <c r="B8618" i="3"/>
  <c r="D8617" i="3"/>
  <c r="C8617" i="3"/>
  <c r="B8617" i="3"/>
  <c r="D8616" i="3"/>
  <c r="C8616" i="3"/>
  <c r="B8616" i="3"/>
  <c r="D8615" i="3"/>
  <c r="C8615" i="3"/>
  <c r="B8615" i="3"/>
  <c r="D8614" i="3"/>
  <c r="C8614" i="3"/>
  <c r="B8614" i="3"/>
  <c r="D8613" i="3"/>
  <c r="C8613" i="3"/>
  <c r="B8613" i="3"/>
  <c r="D8612" i="3"/>
  <c r="C8612" i="3"/>
  <c r="B8612" i="3"/>
  <c r="D8611" i="3"/>
  <c r="C8611" i="3"/>
  <c r="B8611" i="3"/>
  <c r="D8610" i="3"/>
  <c r="C8610" i="3"/>
  <c r="B8610" i="3"/>
  <c r="D8609" i="3"/>
  <c r="C8609" i="3"/>
  <c r="B8609" i="3"/>
  <c r="D8608" i="3"/>
  <c r="C8608" i="3"/>
  <c r="B8608" i="3"/>
  <c r="D8607" i="3"/>
  <c r="C8607" i="3"/>
  <c r="B8607" i="3"/>
  <c r="D8606" i="3"/>
  <c r="C8606" i="3"/>
  <c r="B8606" i="3"/>
  <c r="D8605" i="3"/>
  <c r="C8605" i="3"/>
  <c r="B8605" i="3"/>
  <c r="D8604" i="3"/>
  <c r="C8604" i="3"/>
  <c r="B8604" i="3"/>
  <c r="D8603" i="3"/>
  <c r="C8603" i="3"/>
  <c r="B8603" i="3"/>
  <c r="D8602" i="3"/>
  <c r="C8602" i="3"/>
  <c r="B8602" i="3"/>
  <c r="D8601" i="3"/>
  <c r="C8601" i="3"/>
  <c r="B8601" i="3"/>
  <c r="D8600" i="3"/>
  <c r="C8600" i="3"/>
  <c r="B8600" i="3"/>
  <c r="D8599" i="3"/>
  <c r="C8599" i="3"/>
  <c r="B8599" i="3"/>
  <c r="D8598" i="3"/>
  <c r="C8598" i="3"/>
  <c r="B8598" i="3"/>
  <c r="D8597" i="3"/>
  <c r="C8597" i="3"/>
  <c r="B8597" i="3"/>
  <c r="D8596" i="3"/>
  <c r="C8596" i="3"/>
  <c r="B8596" i="3"/>
  <c r="D8595" i="3"/>
  <c r="C8595" i="3"/>
  <c r="B8595" i="3"/>
  <c r="D8594" i="3"/>
  <c r="C8594" i="3"/>
  <c r="B8594" i="3"/>
  <c r="D8593" i="3"/>
  <c r="C8593" i="3"/>
  <c r="B8593" i="3"/>
  <c r="D8592" i="3"/>
  <c r="C8592" i="3"/>
  <c r="B8592" i="3"/>
  <c r="D8591" i="3"/>
  <c r="C8591" i="3"/>
  <c r="B8591" i="3"/>
  <c r="D8590" i="3"/>
  <c r="C8590" i="3"/>
  <c r="B8590" i="3"/>
  <c r="D8589" i="3"/>
  <c r="C8589" i="3"/>
  <c r="B8589" i="3"/>
  <c r="D8588" i="3"/>
  <c r="C8588" i="3"/>
  <c r="B8588" i="3"/>
  <c r="D8587" i="3"/>
  <c r="C8587" i="3"/>
  <c r="B8587" i="3"/>
  <c r="D8586" i="3"/>
  <c r="C8586" i="3"/>
  <c r="B8586" i="3"/>
  <c r="D8585" i="3"/>
  <c r="C8585" i="3"/>
  <c r="B8585" i="3"/>
  <c r="D8584" i="3"/>
  <c r="C8584" i="3"/>
  <c r="B8584" i="3"/>
  <c r="D8583" i="3"/>
  <c r="C8583" i="3"/>
  <c r="B8583" i="3"/>
  <c r="D8582" i="3"/>
  <c r="C8582" i="3"/>
  <c r="B8582" i="3"/>
  <c r="D8581" i="3"/>
  <c r="C8581" i="3"/>
  <c r="B8581" i="3"/>
  <c r="D8580" i="3"/>
  <c r="C8580" i="3"/>
  <c r="B8580" i="3"/>
  <c r="D8579" i="3"/>
  <c r="C8579" i="3"/>
  <c r="B8579" i="3"/>
  <c r="D8578" i="3"/>
  <c r="C8578" i="3"/>
  <c r="B8578" i="3"/>
  <c r="D8577" i="3"/>
  <c r="C8577" i="3"/>
  <c r="B8577" i="3"/>
  <c r="D8576" i="3"/>
  <c r="C8576" i="3"/>
  <c r="B8576" i="3"/>
  <c r="D8575" i="3"/>
  <c r="C8575" i="3"/>
  <c r="B8575" i="3"/>
  <c r="D8574" i="3"/>
  <c r="C8574" i="3"/>
  <c r="B8574" i="3"/>
  <c r="D8573" i="3"/>
  <c r="C8573" i="3"/>
  <c r="B8573" i="3"/>
  <c r="D8572" i="3"/>
  <c r="C8572" i="3"/>
  <c r="B8572" i="3"/>
  <c r="D8571" i="3"/>
  <c r="C8571" i="3"/>
  <c r="B8571" i="3"/>
  <c r="D8570" i="3"/>
  <c r="C8570" i="3"/>
  <c r="B8570" i="3"/>
  <c r="D8569" i="3"/>
  <c r="C8569" i="3"/>
  <c r="B8569" i="3"/>
  <c r="D8568" i="3"/>
  <c r="C8568" i="3"/>
  <c r="B8568" i="3"/>
  <c r="D8567" i="3"/>
  <c r="C8567" i="3"/>
  <c r="B8567" i="3"/>
  <c r="D8566" i="3"/>
  <c r="C8566" i="3"/>
  <c r="B8566" i="3"/>
  <c r="D8565" i="3"/>
  <c r="C8565" i="3"/>
  <c r="B8565" i="3"/>
  <c r="D8564" i="3"/>
  <c r="C8564" i="3"/>
  <c r="B8564" i="3"/>
  <c r="D8563" i="3"/>
  <c r="C8563" i="3"/>
  <c r="B8563" i="3"/>
  <c r="D8562" i="3"/>
  <c r="C8562" i="3"/>
  <c r="B8562" i="3"/>
  <c r="D8561" i="3"/>
  <c r="C8561" i="3"/>
  <c r="B8561" i="3"/>
  <c r="D8560" i="3"/>
  <c r="C8560" i="3"/>
  <c r="B8560" i="3"/>
  <c r="D8559" i="3"/>
  <c r="C8559" i="3"/>
  <c r="B8559" i="3"/>
  <c r="D8558" i="3"/>
  <c r="C8558" i="3"/>
  <c r="B8558" i="3"/>
  <c r="D8557" i="3"/>
  <c r="C8557" i="3"/>
  <c r="B8557" i="3"/>
  <c r="D8556" i="3"/>
  <c r="C8556" i="3"/>
  <c r="B8556" i="3"/>
  <c r="D8555" i="3"/>
  <c r="C8555" i="3"/>
  <c r="B8555" i="3"/>
  <c r="D8554" i="3"/>
  <c r="C8554" i="3"/>
  <c r="B8554" i="3"/>
  <c r="D8553" i="3"/>
  <c r="C8553" i="3"/>
  <c r="B8553" i="3"/>
  <c r="D8552" i="3"/>
  <c r="C8552" i="3"/>
  <c r="B8552" i="3"/>
  <c r="D8551" i="3"/>
  <c r="C8551" i="3"/>
  <c r="B8551" i="3"/>
  <c r="D8550" i="3"/>
  <c r="C8550" i="3"/>
  <c r="B8550" i="3"/>
  <c r="D8549" i="3"/>
  <c r="C8549" i="3"/>
  <c r="B8549" i="3"/>
  <c r="D8548" i="3"/>
  <c r="C8548" i="3"/>
  <c r="B8548" i="3"/>
  <c r="D8547" i="3"/>
  <c r="C8547" i="3"/>
  <c r="B8547" i="3"/>
  <c r="D8546" i="3"/>
  <c r="C8546" i="3"/>
  <c r="B8546" i="3"/>
  <c r="D8545" i="3"/>
  <c r="C8545" i="3"/>
  <c r="B8545" i="3"/>
  <c r="D8544" i="3"/>
  <c r="C8544" i="3"/>
  <c r="B8544" i="3"/>
  <c r="D8543" i="3"/>
  <c r="C8543" i="3"/>
  <c r="B8543" i="3"/>
  <c r="D8542" i="3"/>
  <c r="C8542" i="3"/>
  <c r="B8542" i="3"/>
  <c r="D8541" i="3"/>
  <c r="C8541" i="3"/>
  <c r="B8541" i="3"/>
  <c r="D8540" i="3"/>
  <c r="C8540" i="3"/>
  <c r="B8540" i="3"/>
  <c r="D8539" i="3"/>
  <c r="C8539" i="3"/>
  <c r="B8539" i="3"/>
  <c r="D8538" i="3"/>
  <c r="C8538" i="3"/>
  <c r="B8538" i="3"/>
  <c r="D8537" i="3"/>
  <c r="C8537" i="3"/>
  <c r="B8537" i="3"/>
  <c r="D8536" i="3"/>
  <c r="C8536" i="3"/>
  <c r="B8536" i="3"/>
  <c r="D8535" i="3"/>
  <c r="C8535" i="3"/>
  <c r="B8535" i="3"/>
  <c r="D8534" i="3"/>
  <c r="C8534" i="3"/>
  <c r="B8534" i="3"/>
  <c r="D8533" i="3"/>
  <c r="C8533" i="3"/>
  <c r="B8533" i="3"/>
  <c r="D8532" i="3"/>
  <c r="C8532" i="3"/>
  <c r="B8532" i="3"/>
  <c r="D8531" i="3"/>
  <c r="C8531" i="3"/>
  <c r="B8531" i="3"/>
  <c r="D8530" i="3"/>
  <c r="C8530" i="3"/>
  <c r="B8530" i="3"/>
  <c r="D8529" i="3"/>
  <c r="C8529" i="3"/>
  <c r="B8529" i="3"/>
  <c r="D8528" i="3"/>
  <c r="C8528" i="3"/>
  <c r="B8528" i="3"/>
  <c r="D8527" i="3"/>
  <c r="C8527" i="3"/>
  <c r="B8527" i="3"/>
  <c r="D8526" i="3"/>
  <c r="C8526" i="3"/>
  <c r="B8526" i="3"/>
  <c r="D8525" i="3"/>
  <c r="C8525" i="3"/>
  <c r="B8525" i="3"/>
  <c r="D8524" i="3"/>
  <c r="C8524" i="3"/>
  <c r="B8524" i="3"/>
  <c r="D8523" i="3"/>
  <c r="C8523" i="3"/>
  <c r="B8523" i="3"/>
  <c r="D8522" i="3"/>
  <c r="C8522" i="3"/>
  <c r="B8522" i="3"/>
  <c r="D8521" i="3"/>
  <c r="C8521" i="3"/>
  <c r="B8521" i="3"/>
  <c r="D8520" i="3"/>
  <c r="C8520" i="3"/>
  <c r="B8520" i="3"/>
  <c r="D8519" i="3"/>
  <c r="C8519" i="3"/>
  <c r="B8519" i="3"/>
  <c r="D8518" i="3"/>
  <c r="C8518" i="3"/>
  <c r="B8518" i="3"/>
  <c r="D8517" i="3"/>
  <c r="C8517" i="3"/>
  <c r="B8517" i="3"/>
  <c r="D8516" i="3"/>
  <c r="C8516" i="3"/>
  <c r="B8516" i="3"/>
  <c r="D8515" i="3"/>
  <c r="C8515" i="3"/>
  <c r="B8515" i="3"/>
  <c r="D8514" i="3"/>
  <c r="C8514" i="3"/>
  <c r="B8514" i="3"/>
  <c r="D8513" i="3"/>
  <c r="C8513" i="3"/>
  <c r="B8513" i="3"/>
  <c r="D8512" i="3"/>
  <c r="C8512" i="3"/>
  <c r="B8512" i="3"/>
  <c r="D8511" i="3"/>
  <c r="C8511" i="3"/>
  <c r="B8511" i="3"/>
  <c r="D8510" i="3"/>
  <c r="C8510" i="3"/>
  <c r="B8510" i="3"/>
  <c r="D8509" i="3"/>
  <c r="C8509" i="3"/>
  <c r="B8509" i="3"/>
  <c r="D8508" i="3"/>
  <c r="C8508" i="3"/>
  <c r="B8508" i="3"/>
  <c r="D8507" i="3"/>
  <c r="C8507" i="3"/>
  <c r="B8507" i="3"/>
  <c r="D8506" i="3"/>
  <c r="C8506" i="3"/>
  <c r="B8506" i="3"/>
  <c r="D8505" i="3"/>
  <c r="C8505" i="3"/>
  <c r="B8505" i="3"/>
  <c r="D8504" i="3"/>
  <c r="C8504" i="3"/>
  <c r="B8504" i="3"/>
  <c r="D8503" i="3"/>
  <c r="C8503" i="3"/>
  <c r="B8503" i="3"/>
  <c r="D8502" i="3"/>
  <c r="C8502" i="3"/>
  <c r="B8502" i="3"/>
  <c r="D8501" i="3"/>
  <c r="C8501" i="3"/>
  <c r="B8501" i="3"/>
  <c r="D8500" i="3"/>
  <c r="C8500" i="3"/>
  <c r="B8500" i="3"/>
  <c r="D8499" i="3"/>
  <c r="C8499" i="3"/>
  <c r="B8499" i="3"/>
  <c r="D8498" i="3"/>
  <c r="C8498" i="3"/>
  <c r="B8498" i="3"/>
  <c r="D8497" i="3"/>
  <c r="C8497" i="3"/>
  <c r="B8497" i="3"/>
  <c r="D8496" i="3"/>
  <c r="C8496" i="3"/>
  <c r="B8496" i="3"/>
  <c r="D8495" i="3"/>
  <c r="C8495" i="3"/>
  <c r="B8495" i="3"/>
  <c r="D8494" i="3"/>
  <c r="C8494" i="3"/>
  <c r="B8494" i="3"/>
  <c r="D8493" i="3"/>
  <c r="C8493" i="3"/>
  <c r="B8493" i="3"/>
  <c r="D8492" i="3"/>
  <c r="C8492" i="3"/>
  <c r="B8492" i="3"/>
  <c r="D8491" i="3"/>
  <c r="C8491" i="3"/>
  <c r="B8491" i="3"/>
  <c r="D8490" i="3"/>
  <c r="C8490" i="3"/>
  <c r="B8490" i="3"/>
  <c r="D8489" i="3"/>
  <c r="C8489" i="3"/>
  <c r="B8489" i="3"/>
  <c r="D8488" i="3"/>
  <c r="C8488" i="3"/>
  <c r="B8488" i="3"/>
  <c r="D8487" i="3"/>
  <c r="C8487" i="3"/>
  <c r="B8487" i="3"/>
  <c r="D8486" i="3"/>
  <c r="C8486" i="3"/>
  <c r="B8486" i="3"/>
  <c r="D8485" i="3"/>
  <c r="C8485" i="3"/>
  <c r="B8485" i="3"/>
  <c r="D8484" i="3"/>
  <c r="C8484" i="3"/>
  <c r="B8484" i="3"/>
  <c r="D8483" i="3"/>
  <c r="C8483" i="3"/>
  <c r="B8483" i="3"/>
  <c r="D8482" i="3"/>
  <c r="C8482" i="3"/>
  <c r="B8482" i="3"/>
  <c r="D8481" i="3"/>
  <c r="C8481" i="3"/>
  <c r="B8481" i="3"/>
  <c r="D8480" i="3"/>
  <c r="C8480" i="3"/>
  <c r="B8480" i="3"/>
  <c r="D8479" i="3"/>
  <c r="C8479" i="3"/>
  <c r="B8479" i="3"/>
  <c r="D8478" i="3"/>
  <c r="C8478" i="3"/>
  <c r="B8478" i="3"/>
  <c r="D8477" i="3"/>
  <c r="C8477" i="3"/>
  <c r="B8477" i="3"/>
  <c r="D8476" i="3"/>
  <c r="C8476" i="3"/>
  <c r="B8476" i="3"/>
  <c r="D8475" i="3"/>
  <c r="C8475" i="3"/>
  <c r="B8475" i="3"/>
  <c r="D8474" i="3"/>
  <c r="C8474" i="3"/>
  <c r="B8474" i="3"/>
  <c r="D8473" i="3"/>
  <c r="C8473" i="3"/>
  <c r="B8473" i="3"/>
  <c r="D8472" i="3"/>
  <c r="C8472" i="3"/>
  <c r="B8472" i="3"/>
  <c r="D8471" i="3"/>
  <c r="C8471" i="3"/>
  <c r="B8471" i="3"/>
  <c r="D8470" i="3"/>
  <c r="C8470" i="3"/>
  <c r="B8470" i="3"/>
  <c r="D8469" i="3"/>
  <c r="C8469" i="3"/>
  <c r="B8469" i="3"/>
  <c r="D8468" i="3"/>
  <c r="C8468" i="3"/>
  <c r="B8468" i="3"/>
  <c r="D8467" i="3"/>
  <c r="C8467" i="3"/>
  <c r="B8467" i="3"/>
  <c r="D8466" i="3"/>
  <c r="C8466" i="3"/>
  <c r="B8466" i="3"/>
  <c r="D8465" i="3"/>
  <c r="C8465" i="3"/>
  <c r="B8465" i="3"/>
  <c r="D8464" i="3"/>
  <c r="C8464" i="3"/>
  <c r="B8464" i="3"/>
  <c r="D8463" i="3"/>
  <c r="C8463" i="3"/>
  <c r="B8463" i="3"/>
  <c r="D8462" i="3"/>
  <c r="C8462" i="3"/>
  <c r="B8462" i="3"/>
  <c r="D8461" i="3"/>
  <c r="C8461" i="3"/>
  <c r="B8461" i="3"/>
  <c r="D8460" i="3"/>
  <c r="C8460" i="3"/>
  <c r="B8460" i="3"/>
  <c r="D8459" i="3"/>
  <c r="C8459" i="3"/>
  <c r="B8459" i="3"/>
  <c r="D8458" i="3"/>
  <c r="C8458" i="3"/>
  <c r="B8458" i="3"/>
  <c r="D8457" i="3"/>
  <c r="C8457" i="3"/>
  <c r="B8457" i="3"/>
  <c r="D8456" i="3"/>
  <c r="C8456" i="3"/>
  <c r="B8456" i="3"/>
  <c r="D8455" i="3"/>
  <c r="C8455" i="3"/>
  <c r="B8455" i="3"/>
  <c r="D8454" i="3"/>
  <c r="C8454" i="3"/>
  <c r="B8454" i="3"/>
  <c r="D8453" i="3"/>
  <c r="C8453" i="3"/>
  <c r="B8453" i="3"/>
  <c r="D8452" i="3"/>
  <c r="C8452" i="3"/>
  <c r="B8452" i="3"/>
  <c r="D8451" i="3"/>
  <c r="C8451" i="3"/>
  <c r="B8451" i="3"/>
  <c r="D8450" i="3"/>
  <c r="C8450" i="3"/>
  <c r="B8450" i="3"/>
  <c r="D8449" i="3"/>
  <c r="C8449" i="3"/>
  <c r="B8449" i="3"/>
  <c r="D8448" i="3"/>
  <c r="C8448" i="3"/>
  <c r="B8448" i="3"/>
  <c r="D8447" i="3"/>
  <c r="C8447" i="3"/>
  <c r="B8447" i="3"/>
  <c r="D8446" i="3"/>
  <c r="C8446" i="3"/>
  <c r="B8446" i="3"/>
  <c r="D8445" i="3"/>
  <c r="C8445" i="3"/>
  <c r="B8445" i="3"/>
  <c r="D8444" i="3"/>
  <c r="C8444" i="3"/>
  <c r="B8444" i="3"/>
  <c r="D8443" i="3"/>
  <c r="C8443" i="3"/>
  <c r="B8443" i="3"/>
  <c r="D8442" i="3"/>
  <c r="C8442" i="3"/>
  <c r="B8442" i="3"/>
  <c r="D8441" i="3"/>
  <c r="C8441" i="3"/>
  <c r="B8441" i="3"/>
  <c r="D8440" i="3"/>
  <c r="C8440" i="3"/>
  <c r="B8440" i="3"/>
  <c r="D8439" i="3"/>
  <c r="C8439" i="3"/>
  <c r="B8439" i="3"/>
  <c r="D8438" i="3"/>
  <c r="C8438" i="3"/>
  <c r="B8438" i="3"/>
  <c r="D8437" i="3"/>
  <c r="C8437" i="3"/>
  <c r="B8437" i="3"/>
  <c r="D8436" i="3"/>
  <c r="C8436" i="3"/>
  <c r="B8436" i="3"/>
  <c r="D8435" i="3"/>
  <c r="C8435" i="3"/>
  <c r="B8435" i="3"/>
  <c r="D8434" i="3"/>
  <c r="C8434" i="3"/>
  <c r="B8434" i="3"/>
  <c r="D8433" i="3"/>
  <c r="C8433" i="3"/>
  <c r="B8433" i="3"/>
  <c r="D8432" i="3"/>
  <c r="C8432" i="3"/>
  <c r="B8432" i="3"/>
  <c r="D8431" i="3"/>
  <c r="C8431" i="3"/>
  <c r="B8431" i="3"/>
  <c r="D8430" i="3"/>
  <c r="C8430" i="3"/>
  <c r="B8430" i="3"/>
  <c r="D8429" i="3"/>
  <c r="C8429" i="3"/>
  <c r="B8429" i="3"/>
  <c r="D8428" i="3"/>
  <c r="C8428" i="3"/>
  <c r="B8428" i="3"/>
  <c r="D8427" i="3"/>
  <c r="C8427" i="3"/>
  <c r="B8427" i="3"/>
  <c r="D8426" i="3"/>
  <c r="C8426" i="3"/>
  <c r="B8426" i="3"/>
  <c r="D8425" i="3"/>
  <c r="C8425" i="3"/>
  <c r="B8425" i="3"/>
  <c r="D8424" i="3"/>
  <c r="C8424" i="3"/>
  <c r="B8424" i="3"/>
  <c r="D8423" i="3"/>
  <c r="C8423" i="3"/>
  <c r="B8423" i="3"/>
  <c r="D8422" i="3"/>
  <c r="C8422" i="3"/>
  <c r="B8422" i="3"/>
  <c r="D8421" i="3"/>
  <c r="C8421" i="3"/>
  <c r="B8421" i="3"/>
  <c r="D8420" i="3"/>
  <c r="C8420" i="3"/>
  <c r="B8420" i="3"/>
  <c r="D8419" i="3"/>
  <c r="C8419" i="3"/>
  <c r="B8419" i="3"/>
  <c r="D8418" i="3"/>
  <c r="C8418" i="3"/>
  <c r="B8418" i="3"/>
  <c r="D8417" i="3"/>
  <c r="C8417" i="3"/>
  <c r="B8417" i="3"/>
  <c r="D8416" i="3"/>
  <c r="C8416" i="3"/>
  <c r="B8416" i="3"/>
  <c r="D8415" i="3"/>
  <c r="C8415" i="3"/>
  <c r="B8415" i="3"/>
  <c r="D8414" i="3"/>
  <c r="C8414" i="3"/>
  <c r="B8414" i="3"/>
  <c r="D8413" i="3"/>
  <c r="C8413" i="3"/>
  <c r="B8413" i="3"/>
  <c r="D8412" i="3"/>
  <c r="C8412" i="3"/>
  <c r="B8412" i="3"/>
  <c r="D8411" i="3"/>
  <c r="C8411" i="3"/>
  <c r="B8411" i="3"/>
  <c r="D8410" i="3"/>
  <c r="C8410" i="3"/>
  <c r="B8410" i="3"/>
  <c r="D8409" i="3"/>
  <c r="C8409" i="3"/>
  <c r="B8409" i="3"/>
  <c r="D8408" i="3"/>
  <c r="C8408" i="3"/>
  <c r="B8408" i="3"/>
  <c r="D8407" i="3"/>
  <c r="C8407" i="3"/>
  <c r="B8407" i="3"/>
  <c r="D8406" i="3"/>
  <c r="C8406" i="3"/>
  <c r="B8406" i="3"/>
  <c r="D8405" i="3"/>
  <c r="C8405" i="3"/>
  <c r="B8405" i="3"/>
  <c r="D8404" i="3"/>
  <c r="C8404" i="3"/>
  <c r="B8404" i="3"/>
  <c r="D8403" i="3"/>
  <c r="C8403" i="3"/>
  <c r="B8403" i="3"/>
  <c r="D8402" i="3"/>
  <c r="C8402" i="3"/>
  <c r="B8402" i="3"/>
  <c r="D8401" i="3"/>
  <c r="C8401" i="3"/>
  <c r="B8401" i="3"/>
  <c r="D8400" i="3"/>
  <c r="C8400" i="3"/>
  <c r="B8400" i="3"/>
  <c r="D8399" i="3"/>
  <c r="C8399" i="3"/>
  <c r="B8399" i="3"/>
  <c r="D8398" i="3"/>
  <c r="C8398" i="3"/>
  <c r="B8398" i="3"/>
  <c r="D8397" i="3"/>
  <c r="C8397" i="3"/>
  <c r="B8397" i="3"/>
  <c r="D8396" i="3"/>
  <c r="C8396" i="3"/>
  <c r="B8396" i="3"/>
  <c r="D8395" i="3"/>
  <c r="C8395" i="3"/>
  <c r="B8395" i="3"/>
  <c r="D8394" i="3"/>
  <c r="C8394" i="3"/>
  <c r="B8394" i="3"/>
  <c r="D8393" i="3"/>
  <c r="C8393" i="3"/>
  <c r="B8393" i="3"/>
  <c r="D8392" i="3"/>
  <c r="C8392" i="3"/>
  <c r="B8392" i="3"/>
  <c r="D8391" i="3"/>
  <c r="C8391" i="3"/>
  <c r="B8391" i="3"/>
  <c r="D8390" i="3"/>
  <c r="C8390" i="3"/>
  <c r="B8390" i="3"/>
  <c r="D8389" i="3"/>
  <c r="C8389" i="3"/>
  <c r="B8389" i="3"/>
  <c r="D8388" i="3"/>
  <c r="C8388" i="3"/>
  <c r="B8388" i="3"/>
  <c r="D8387" i="3"/>
  <c r="C8387" i="3"/>
  <c r="B8387" i="3"/>
  <c r="D8386" i="3"/>
  <c r="C8386" i="3"/>
  <c r="B8386" i="3"/>
  <c r="D8385" i="3"/>
  <c r="C8385" i="3"/>
  <c r="B8385" i="3"/>
  <c r="D8384" i="3"/>
  <c r="C8384" i="3"/>
  <c r="B8384" i="3"/>
  <c r="D8383" i="3"/>
  <c r="C8383" i="3"/>
  <c r="B8383" i="3"/>
  <c r="D8382" i="3"/>
  <c r="C8382" i="3"/>
  <c r="B8382" i="3"/>
  <c r="D8381" i="3"/>
  <c r="C8381" i="3"/>
  <c r="B8381" i="3"/>
  <c r="D8380" i="3"/>
  <c r="C8380" i="3"/>
  <c r="B8380" i="3"/>
  <c r="D8379" i="3"/>
  <c r="C8379" i="3"/>
  <c r="B8379" i="3"/>
  <c r="D8378" i="3"/>
  <c r="C8378" i="3"/>
  <c r="B8378" i="3"/>
  <c r="D8377" i="3"/>
  <c r="C8377" i="3"/>
  <c r="B8377" i="3"/>
  <c r="D8376" i="3"/>
  <c r="C8376" i="3"/>
  <c r="B8376" i="3"/>
  <c r="D8375" i="3"/>
  <c r="C8375" i="3"/>
  <c r="B8375" i="3"/>
  <c r="D8374" i="3"/>
  <c r="C8374" i="3"/>
  <c r="B8374" i="3"/>
  <c r="D8373" i="3"/>
  <c r="C8373" i="3"/>
  <c r="B8373" i="3"/>
  <c r="D8372" i="3"/>
  <c r="C8372" i="3"/>
  <c r="B8372" i="3"/>
  <c r="D8371" i="3"/>
  <c r="C8371" i="3"/>
  <c r="B8371" i="3"/>
  <c r="D8370" i="3"/>
  <c r="C8370" i="3"/>
  <c r="B8370" i="3"/>
  <c r="D8369" i="3"/>
  <c r="C8369" i="3"/>
  <c r="B8369" i="3"/>
  <c r="D8368" i="3"/>
  <c r="C8368" i="3"/>
  <c r="B8368" i="3"/>
  <c r="D8367" i="3"/>
  <c r="C8367" i="3"/>
  <c r="B8367" i="3"/>
  <c r="D8366" i="3"/>
  <c r="C8366" i="3"/>
  <c r="B8366" i="3"/>
  <c r="D8365" i="3"/>
  <c r="C8365" i="3"/>
  <c r="B8365" i="3"/>
  <c r="D8364" i="3"/>
  <c r="C8364" i="3"/>
  <c r="B8364" i="3"/>
  <c r="D8363" i="3"/>
  <c r="C8363" i="3"/>
  <c r="B8363" i="3"/>
  <c r="D8362" i="3"/>
  <c r="C8362" i="3"/>
  <c r="B8362" i="3"/>
  <c r="D8361" i="3"/>
  <c r="C8361" i="3"/>
  <c r="B8361" i="3"/>
  <c r="D8360" i="3"/>
  <c r="C8360" i="3"/>
  <c r="B8360" i="3"/>
  <c r="D8359" i="3"/>
  <c r="C8359" i="3"/>
  <c r="B8359" i="3"/>
  <c r="D8358" i="3"/>
  <c r="C8358" i="3"/>
  <c r="B8358" i="3"/>
  <c r="D8357" i="3"/>
  <c r="C8357" i="3"/>
  <c r="B8357" i="3"/>
  <c r="D8356" i="3"/>
  <c r="C8356" i="3"/>
  <c r="B8356" i="3"/>
  <c r="D8355" i="3"/>
  <c r="C8355" i="3"/>
  <c r="B8355" i="3"/>
  <c r="D8354" i="3"/>
  <c r="C8354" i="3"/>
  <c r="B8354" i="3"/>
  <c r="D8353" i="3"/>
  <c r="C8353" i="3"/>
  <c r="B8353" i="3"/>
  <c r="D8352" i="3"/>
  <c r="C8352" i="3"/>
  <c r="B8352" i="3"/>
  <c r="D8351" i="3"/>
  <c r="C8351" i="3"/>
  <c r="B8351" i="3"/>
  <c r="D8350" i="3"/>
  <c r="C8350" i="3"/>
  <c r="B8350" i="3"/>
  <c r="D8349" i="3"/>
  <c r="C8349" i="3"/>
  <c r="B8349" i="3"/>
  <c r="D8348" i="3"/>
  <c r="C8348" i="3"/>
  <c r="B8348" i="3"/>
  <c r="D8347" i="3"/>
  <c r="C8347" i="3"/>
  <c r="B8347" i="3"/>
  <c r="D8346" i="3"/>
  <c r="C8346" i="3"/>
  <c r="B8346" i="3"/>
  <c r="D8345" i="3"/>
  <c r="C8345" i="3"/>
  <c r="B8345" i="3"/>
  <c r="D8344" i="3"/>
  <c r="C8344" i="3"/>
  <c r="B8344" i="3"/>
  <c r="D8343" i="3"/>
  <c r="C8343" i="3"/>
  <c r="B8343" i="3"/>
  <c r="D8342" i="3"/>
  <c r="C8342" i="3"/>
  <c r="B8342" i="3"/>
  <c r="D8341" i="3"/>
  <c r="C8341" i="3"/>
  <c r="B8341" i="3"/>
  <c r="D8340" i="3"/>
  <c r="C8340" i="3"/>
  <c r="B8340" i="3"/>
  <c r="D8339" i="3"/>
  <c r="C8339" i="3"/>
  <c r="B8339" i="3"/>
  <c r="D8338" i="3"/>
  <c r="C8338" i="3"/>
  <c r="B8338" i="3"/>
  <c r="D8337" i="3"/>
  <c r="C8337" i="3"/>
  <c r="B8337" i="3"/>
  <c r="D8336" i="3"/>
  <c r="C8336" i="3"/>
  <c r="B8336" i="3"/>
  <c r="D8335" i="3"/>
  <c r="C8335" i="3"/>
  <c r="B8335" i="3"/>
  <c r="D8334" i="3"/>
  <c r="C8334" i="3"/>
  <c r="B8334" i="3"/>
  <c r="D8333" i="3"/>
  <c r="C8333" i="3"/>
  <c r="B8333" i="3"/>
  <c r="D8332" i="3"/>
  <c r="C8332" i="3"/>
  <c r="B8332" i="3"/>
  <c r="D8331" i="3"/>
  <c r="C8331" i="3"/>
  <c r="B8331" i="3"/>
  <c r="D8330" i="3"/>
  <c r="C8330" i="3"/>
  <c r="B8330" i="3"/>
  <c r="D8329" i="3"/>
  <c r="C8329" i="3"/>
  <c r="B8329" i="3"/>
  <c r="D8328" i="3"/>
  <c r="C8328" i="3"/>
  <c r="B8328" i="3"/>
  <c r="D8327" i="3"/>
  <c r="C8327" i="3"/>
  <c r="B8327" i="3"/>
  <c r="D8326" i="3"/>
  <c r="C8326" i="3"/>
  <c r="B8326" i="3"/>
  <c r="D8325" i="3"/>
  <c r="C8325" i="3"/>
  <c r="B8325" i="3"/>
  <c r="D8324" i="3"/>
  <c r="C8324" i="3"/>
  <c r="B8324" i="3"/>
  <c r="D8323" i="3"/>
  <c r="C8323" i="3"/>
  <c r="B8323" i="3"/>
  <c r="D8322" i="3"/>
  <c r="C8322" i="3"/>
  <c r="B8322" i="3"/>
  <c r="D8321" i="3"/>
  <c r="C8321" i="3"/>
  <c r="B8321" i="3"/>
  <c r="D8320" i="3"/>
  <c r="C8320" i="3"/>
  <c r="B8320" i="3"/>
  <c r="D8319" i="3"/>
  <c r="C8319" i="3"/>
  <c r="B8319" i="3"/>
  <c r="D8318" i="3"/>
  <c r="C8318" i="3"/>
  <c r="B8318" i="3"/>
  <c r="D8317" i="3"/>
  <c r="C8317" i="3"/>
  <c r="B8317" i="3"/>
  <c r="D8316" i="3"/>
  <c r="C8316" i="3"/>
  <c r="B8316" i="3"/>
  <c r="D8315" i="3"/>
  <c r="C8315" i="3"/>
  <c r="B8315" i="3"/>
  <c r="D8314" i="3"/>
  <c r="C8314" i="3"/>
  <c r="B8314" i="3"/>
  <c r="D8313" i="3"/>
  <c r="C8313" i="3"/>
  <c r="B8313" i="3"/>
  <c r="D8312" i="3"/>
  <c r="C8312" i="3"/>
  <c r="B8312" i="3"/>
  <c r="D8311" i="3"/>
  <c r="C8311" i="3"/>
  <c r="B8311" i="3"/>
  <c r="D8310" i="3"/>
  <c r="C8310" i="3"/>
  <c r="B8310" i="3"/>
  <c r="D8309" i="3"/>
  <c r="C8309" i="3"/>
  <c r="B8309" i="3"/>
  <c r="D8308" i="3"/>
  <c r="C8308" i="3"/>
  <c r="B8308" i="3"/>
  <c r="D8307" i="3"/>
  <c r="C8307" i="3"/>
  <c r="B8307" i="3"/>
  <c r="D8306" i="3"/>
  <c r="C8306" i="3"/>
  <c r="B8306" i="3"/>
  <c r="D8305" i="3"/>
  <c r="C8305" i="3"/>
  <c r="B8305" i="3"/>
  <c r="D8304" i="3"/>
  <c r="C8304" i="3"/>
  <c r="B8304" i="3"/>
  <c r="D8303" i="3"/>
  <c r="C8303" i="3"/>
  <c r="B8303" i="3"/>
  <c r="D8302" i="3"/>
  <c r="C8302" i="3"/>
  <c r="B8302" i="3"/>
  <c r="D8301" i="3"/>
  <c r="C8301" i="3"/>
  <c r="B8301" i="3"/>
  <c r="D8300" i="3"/>
  <c r="C8300" i="3"/>
  <c r="B8300" i="3"/>
  <c r="D8299" i="3"/>
  <c r="C8299" i="3"/>
  <c r="B8299" i="3"/>
  <c r="D8298" i="3"/>
  <c r="C8298" i="3"/>
  <c r="B8298" i="3"/>
  <c r="D8297" i="3"/>
  <c r="C8297" i="3"/>
  <c r="B8297" i="3"/>
  <c r="D8296" i="3"/>
  <c r="C8296" i="3"/>
  <c r="B8296" i="3"/>
  <c r="D8295" i="3"/>
  <c r="C8295" i="3"/>
  <c r="B8295" i="3"/>
  <c r="D8294" i="3"/>
  <c r="C8294" i="3"/>
  <c r="B8294" i="3"/>
  <c r="D8293" i="3"/>
  <c r="C8293" i="3"/>
  <c r="B8293" i="3"/>
  <c r="D8292" i="3"/>
  <c r="C8292" i="3"/>
  <c r="B8292" i="3"/>
  <c r="D8291" i="3"/>
  <c r="C8291" i="3"/>
  <c r="B8291" i="3"/>
  <c r="D8290" i="3"/>
  <c r="C8290" i="3"/>
  <c r="B8290" i="3"/>
  <c r="D8289" i="3"/>
  <c r="C8289" i="3"/>
  <c r="B8289" i="3"/>
  <c r="D8288" i="3"/>
  <c r="C8288" i="3"/>
  <c r="B8288" i="3"/>
  <c r="D8287" i="3"/>
  <c r="C8287" i="3"/>
  <c r="B8287" i="3"/>
  <c r="D8286" i="3"/>
  <c r="C8286" i="3"/>
  <c r="B8286" i="3"/>
  <c r="D8285" i="3"/>
  <c r="C8285" i="3"/>
  <c r="B8285" i="3"/>
  <c r="D8284" i="3"/>
  <c r="C8284" i="3"/>
  <c r="B8284" i="3"/>
  <c r="D8283" i="3"/>
  <c r="C8283" i="3"/>
  <c r="B8283" i="3"/>
  <c r="D8282" i="3"/>
  <c r="C8282" i="3"/>
  <c r="B8282" i="3"/>
  <c r="D8281" i="3"/>
  <c r="C8281" i="3"/>
  <c r="B8281" i="3"/>
  <c r="D8280" i="3"/>
  <c r="C8280" i="3"/>
  <c r="B8280" i="3"/>
  <c r="D8279" i="3"/>
  <c r="C8279" i="3"/>
  <c r="B8279" i="3"/>
  <c r="D8278" i="3"/>
  <c r="C8278" i="3"/>
  <c r="B8278" i="3"/>
  <c r="D8277" i="3"/>
  <c r="C8277" i="3"/>
  <c r="B8277" i="3"/>
  <c r="D8276" i="3"/>
  <c r="C8276" i="3"/>
  <c r="B8276" i="3"/>
  <c r="D8275" i="3"/>
  <c r="C8275" i="3"/>
  <c r="B8275" i="3"/>
  <c r="D8274" i="3"/>
  <c r="C8274" i="3"/>
  <c r="B8274" i="3"/>
  <c r="D8273" i="3"/>
  <c r="C8273" i="3"/>
  <c r="B8273" i="3"/>
  <c r="D8272" i="3"/>
  <c r="C8272" i="3"/>
  <c r="B8272" i="3"/>
  <c r="D8271" i="3"/>
  <c r="C8271" i="3"/>
  <c r="B8271" i="3"/>
  <c r="D8270" i="3"/>
  <c r="C8270" i="3"/>
  <c r="B8270" i="3"/>
  <c r="D8269" i="3"/>
  <c r="C8269" i="3"/>
  <c r="B8269" i="3"/>
  <c r="D8268" i="3"/>
  <c r="C8268" i="3"/>
  <c r="B8268" i="3"/>
  <c r="D8267" i="3"/>
  <c r="C8267" i="3"/>
  <c r="B8267" i="3"/>
  <c r="D8266" i="3"/>
  <c r="C8266" i="3"/>
  <c r="B8266" i="3"/>
  <c r="D8265" i="3"/>
  <c r="C8265" i="3"/>
  <c r="B8265" i="3"/>
  <c r="D8264" i="3"/>
  <c r="C8264" i="3"/>
  <c r="B8264" i="3"/>
  <c r="D8263" i="3"/>
  <c r="C8263" i="3"/>
  <c r="B8263" i="3"/>
  <c r="D8262" i="3"/>
  <c r="C8262" i="3"/>
  <c r="B8262" i="3"/>
  <c r="D8261" i="3"/>
  <c r="C8261" i="3"/>
  <c r="B8261" i="3"/>
  <c r="D8260" i="3"/>
  <c r="C8260" i="3"/>
  <c r="B8260" i="3"/>
  <c r="D8259" i="3"/>
  <c r="C8259" i="3"/>
  <c r="B8259" i="3"/>
  <c r="D8258" i="3"/>
  <c r="C8258" i="3"/>
  <c r="B8258" i="3"/>
  <c r="D8257" i="3"/>
  <c r="C8257" i="3"/>
  <c r="B8257" i="3"/>
  <c r="D8256" i="3"/>
  <c r="C8256" i="3"/>
  <c r="B8256" i="3"/>
  <c r="D8255" i="3"/>
  <c r="C8255" i="3"/>
  <c r="B8255" i="3"/>
  <c r="D8254" i="3"/>
  <c r="C8254" i="3"/>
  <c r="B8254" i="3"/>
  <c r="D8253" i="3"/>
  <c r="C8253" i="3"/>
  <c r="B8253" i="3"/>
  <c r="D8252" i="3"/>
  <c r="C8252" i="3"/>
  <c r="B8252" i="3"/>
  <c r="D8251" i="3"/>
  <c r="C8251" i="3"/>
  <c r="B8251" i="3"/>
  <c r="D8250" i="3"/>
  <c r="C8250" i="3"/>
  <c r="B8250" i="3"/>
  <c r="D8249" i="3"/>
  <c r="C8249" i="3"/>
  <c r="B8249" i="3"/>
  <c r="D8248" i="3"/>
  <c r="C8248" i="3"/>
  <c r="B8248" i="3"/>
  <c r="D8247" i="3"/>
  <c r="C8247" i="3"/>
  <c r="B8247" i="3"/>
  <c r="D8246" i="3"/>
  <c r="C8246" i="3"/>
  <c r="B8246" i="3"/>
  <c r="D8245" i="3"/>
  <c r="C8245" i="3"/>
  <c r="B8245" i="3"/>
  <c r="D8244" i="3"/>
  <c r="C8244" i="3"/>
  <c r="B8244" i="3"/>
  <c r="D8243" i="3"/>
  <c r="C8243" i="3"/>
  <c r="B8243" i="3"/>
  <c r="D8242" i="3"/>
  <c r="C8242" i="3"/>
  <c r="B8242" i="3"/>
  <c r="D8241" i="3"/>
  <c r="C8241" i="3"/>
  <c r="B8241" i="3"/>
  <c r="D8240" i="3"/>
  <c r="C8240" i="3"/>
  <c r="B8240" i="3"/>
  <c r="D8239" i="3"/>
  <c r="C8239" i="3"/>
  <c r="B8239" i="3"/>
  <c r="D8238" i="3"/>
  <c r="C8238" i="3"/>
  <c r="B8238" i="3"/>
  <c r="D8237" i="3"/>
  <c r="C8237" i="3"/>
  <c r="B8237" i="3"/>
  <c r="D8236" i="3"/>
  <c r="C8236" i="3"/>
  <c r="B8236" i="3"/>
  <c r="D8235" i="3"/>
  <c r="C8235" i="3"/>
  <c r="B8235" i="3"/>
  <c r="D8234" i="3"/>
  <c r="C8234" i="3"/>
  <c r="B8234" i="3"/>
  <c r="D8233" i="3"/>
  <c r="C8233" i="3"/>
  <c r="B8233" i="3"/>
  <c r="D8232" i="3"/>
  <c r="C8232" i="3"/>
  <c r="B8232" i="3"/>
  <c r="D8231" i="3"/>
  <c r="C8231" i="3"/>
  <c r="B8231" i="3"/>
  <c r="D8230" i="3"/>
  <c r="C8230" i="3"/>
  <c r="B8230" i="3"/>
  <c r="D8229" i="3"/>
  <c r="C8229" i="3"/>
  <c r="B8229" i="3"/>
  <c r="D8228" i="3"/>
  <c r="C8228" i="3"/>
  <c r="B8228" i="3"/>
  <c r="D8227" i="3"/>
  <c r="C8227" i="3"/>
  <c r="B8227" i="3"/>
  <c r="D8226" i="3"/>
  <c r="C8226" i="3"/>
  <c r="B8226" i="3"/>
  <c r="D8225" i="3"/>
  <c r="C8225" i="3"/>
  <c r="B8225" i="3"/>
  <c r="D8224" i="3"/>
  <c r="C8224" i="3"/>
  <c r="B8224" i="3"/>
  <c r="D8223" i="3"/>
  <c r="C8223" i="3"/>
  <c r="B8223" i="3"/>
  <c r="D8222" i="3"/>
  <c r="C8222" i="3"/>
  <c r="B8222" i="3"/>
  <c r="D8221" i="3"/>
  <c r="C8221" i="3"/>
  <c r="B8221" i="3"/>
  <c r="D8220" i="3"/>
  <c r="C8220" i="3"/>
  <c r="B8220" i="3"/>
  <c r="D8219" i="3"/>
  <c r="C8219" i="3"/>
  <c r="B8219" i="3"/>
  <c r="D8218" i="3"/>
  <c r="C8218" i="3"/>
  <c r="B8218" i="3"/>
  <c r="D8217" i="3"/>
  <c r="C8217" i="3"/>
  <c r="B8217" i="3"/>
  <c r="D8216" i="3"/>
  <c r="C8216" i="3"/>
  <c r="B8216" i="3"/>
  <c r="D8215" i="3"/>
  <c r="C8215" i="3"/>
  <c r="B8215" i="3"/>
  <c r="D8214" i="3"/>
  <c r="C8214" i="3"/>
  <c r="B8214" i="3"/>
  <c r="D8213" i="3"/>
  <c r="C8213" i="3"/>
  <c r="B8213" i="3"/>
  <c r="D8212" i="3"/>
  <c r="C8212" i="3"/>
  <c r="B8212" i="3"/>
  <c r="D8211" i="3"/>
  <c r="C8211" i="3"/>
  <c r="B8211" i="3"/>
  <c r="D8210" i="3"/>
  <c r="C8210" i="3"/>
  <c r="B8210" i="3"/>
  <c r="D8209" i="3"/>
  <c r="C8209" i="3"/>
  <c r="B8209" i="3"/>
  <c r="D8208" i="3"/>
  <c r="C8208" i="3"/>
  <c r="B8208" i="3"/>
  <c r="D8207" i="3"/>
  <c r="C8207" i="3"/>
  <c r="B8207" i="3"/>
  <c r="D8206" i="3"/>
  <c r="C8206" i="3"/>
  <c r="B8206" i="3"/>
  <c r="D8205" i="3"/>
  <c r="C8205" i="3"/>
  <c r="B8205" i="3"/>
  <c r="D8204" i="3"/>
  <c r="C8204" i="3"/>
  <c r="B8204" i="3"/>
  <c r="D8203" i="3"/>
  <c r="C8203" i="3"/>
  <c r="B8203" i="3"/>
  <c r="D8202" i="3"/>
  <c r="C8202" i="3"/>
  <c r="B8202" i="3"/>
  <c r="D8201" i="3"/>
  <c r="C8201" i="3"/>
  <c r="B8201" i="3"/>
  <c r="D8200" i="3"/>
  <c r="C8200" i="3"/>
  <c r="B8200" i="3"/>
  <c r="D8199" i="3"/>
  <c r="C8199" i="3"/>
  <c r="B8199" i="3"/>
  <c r="D8198" i="3"/>
  <c r="C8198" i="3"/>
  <c r="B8198" i="3"/>
  <c r="D8197" i="3"/>
  <c r="C8197" i="3"/>
  <c r="B8197" i="3"/>
  <c r="D8196" i="3"/>
  <c r="C8196" i="3"/>
  <c r="B8196" i="3"/>
  <c r="D8195" i="3"/>
  <c r="C8195" i="3"/>
  <c r="B8195" i="3"/>
  <c r="D8194" i="3"/>
  <c r="C8194" i="3"/>
  <c r="B8194" i="3"/>
  <c r="D8193" i="3"/>
  <c r="C8193" i="3"/>
  <c r="B8193" i="3"/>
  <c r="D8192" i="3"/>
  <c r="C8192" i="3"/>
  <c r="B8192" i="3"/>
  <c r="D8191" i="3"/>
  <c r="C8191" i="3"/>
  <c r="B8191" i="3"/>
  <c r="D8190" i="3"/>
  <c r="C8190" i="3"/>
  <c r="B8190" i="3"/>
  <c r="D8189" i="3"/>
  <c r="C8189" i="3"/>
  <c r="B8189" i="3"/>
  <c r="D8188" i="3"/>
  <c r="C8188" i="3"/>
  <c r="B8188" i="3"/>
  <c r="D8187" i="3"/>
  <c r="C8187" i="3"/>
  <c r="B8187" i="3"/>
  <c r="D8186" i="3"/>
  <c r="C8186" i="3"/>
  <c r="B8186" i="3"/>
  <c r="D8185" i="3"/>
  <c r="C8185" i="3"/>
  <c r="B8185" i="3"/>
  <c r="D8184" i="3"/>
  <c r="C8184" i="3"/>
  <c r="B8184" i="3"/>
  <c r="D8183" i="3"/>
  <c r="C8183" i="3"/>
  <c r="B8183" i="3"/>
  <c r="D8182" i="3"/>
  <c r="C8182" i="3"/>
  <c r="B8182" i="3"/>
  <c r="D8181" i="3"/>
  <c r="C8181" i="3"/>
  <c r="B8181" i="3"/>
  <c r="D8180" i="3"/>
  <c r="C8180" i="3"/>
  <c r="B8180" i="3"/>
  <c r="D8179" i="3"/>
  <c r="C8179" i="3"/>
  <c r="B8179" i="3"/>
  <c r="D8178" i="3"/>
  <c r="C8178" i="3"/>
  <c r="B8178" i="3"/>
  <c r="D8177" i="3"/>
  <c r="C8177" i="3"/>
  <c r="B8177" i="3"/>
  <c r="D8176" i="3"/>
  <c r="C8176" i="3"/>
  <c r="B8176" i="3"/>
  <c r="D8175" i="3"/>
  <c r="C8175" i="3"/>
  <c r="B8175" i="3"/>
  <c r="D8174" i="3"/>
  <c r="C8174" i="3"/>
  <c r="B8174" i="3"/>
  <c r="D8173" i="3"/>
  <c r="C8173" i="3"/>
  <c r="B8173" i="3"/>
  <c r="D8172" i="3"/>
  <c r="C8172" i="3"/>
  <c r="B8172" i="3"/>
  <c r="D8171" i="3"/>
  <c r="C8171" i="3"/>
  <c r="B8171" i="3"/>
  <c r="D8170" i="3"/>
  <c r="C8170" i="3"/>
  <c r="B8170" i="3"/>
  <c r="D8169" i="3"/>
  <c r="C8169" i="3"/>
  <c r="B8169" i="3"/>
  <c r="D8168" i="3"/>
  <c r="C8168" i="3"/>
  <c r="B8168" i="3"/>
  <c r="D8167" i="3"/>
  <c r="C8167" i="3"/>
  <c r="B8167" i="3"/>
  <c r="D8166" i="3"/>
  <c r="C8166" i="3"/>
  <c r="B8166" i="3"/>
  <c r="D8165" i="3"/>
  <c r="C8165" i="3"/>
  <c r="B8165" i="3"/>
  <c r="D8164" i="3"/>
  <c r="C8164" i="3"/>
  <c r="B8164" i="3"/>
  <c r="D8163" i="3"/>
  <c r="C8163" i="3"/>
  <c r="B8163" i="3"/>
  <c r="D8162" i="3"/>
  <c r="C8162" i="3"/>
  <c r="B8162" i="3"/>
  <c r="D8161" i="3"/>
  <c r="C8161" i="3"/>
  <c r="B8161" i="3"/>
  <c r="D8160" i="3"/>
  <c r="C8160" i="3"/>
  <c r="B8160" i="3"/>
  <c r="D8159" i="3"/>
  <c r="C8159" i="3"/>
  <c r="B8159" i="3"/>
  <c r="D8158" i="3"/>
  <c r="C8158" i="3"/>
  <c r="B8158" i="3"/>
  <c r="D8157" i="3"/>
  <c r="C8157" i="3"/>
  <c r="B8157" i="3"/>
  <c r="D8156" i="3"/>
  <c r="C8156" i="3"/>
  <c r="B8156" i="3"/>
  <c r="D8155" i="3"/>
  <c r="C8155" i="3"/>
  <c r="B8155" i="3"/>
  <c r="D8154" i="3"/>
  <c r="C8154" i="3"/>
  <c r="B8154" i="3"/>
  <c r="D8153" i="3"/>
  <c r="C8153" i="3"/>
  <c r="B8153" i="3"/>
  <c r="D8152" i="3"/>
  <c r="C8152" i="3"/>
  <c r="B8152" i="3"/>
  <c r="D8151" i="3"/>
  <c r="C8151" i="3"/>
  <c r="B8151" i="3"/>
  <c r="D8150" i="3"/>
  <c r="C8150" i="3"/>
  <c r="B8150" i="3"/>
  <c r="D8149" i="3"/>
  <c r="C8149" i="3"/>
  <c r="B8149" i="3"/>
  <c r="D8148" i="3"/>
  <c r="C8148" i="3"/>
  <c r="B8148" i="3"/>
  <c r="D8147" i="3"/>
  <c r="C8147" i="3"/>
  <c r="B8147" i="3"/>
  <c r="D8146" i="3"/>
  <c r="C8146" i="3"/>
  <c r="B8146" i="3"/>
  <c r="D8145" i="3"/>
  <c r="C8145" i="3"/>
  <c r="B8145" i="3"/>
  <c r="D8144" i="3"/>
  <c r="C8144" i="3"/>
  <c r="B8144" i="3"/>
  <c r="D8143" i="3"/>
  <c r="C8143" i="3"/>
  <c r="B8143" i="3"/>
  <c r="D8142" i="3"/>
  <c r="C8142" i="3"/>
  <c r="B8142" i="3"/>
  <c r="D8141" i="3"/>
  <c r="C8141" i="3"/>
  <c r="B8141" i="3"/>
  <c r="D8140" i="3"/>
  <c r="C8140" i="3"/>
  <c r="B8140" i="3"/>
  <c r="D8139" i="3"/>
  <c r="C8139" i="3"/>
  <c r="B8139" i="3"/>
  <c r="D8138" i="3"/>
  <c r="C8138" i="3"/>
  <c r="B8138" i="3"/>
  <c r="D8137" i="3"/>
  <c r="C8137" i="3"/>
  <c r="B8137" i="3"/>
  <c r="D8136" i="3"/>
  <c r="C8136" i="3"/>
  <c r="B8136" i="3"/>
  <c r="D8135" i="3"/>
  <c r="C8135" i="3"/>
  <c r="B8135" i="3"/>
  <c r="D8134" i="3"/>
  <c r="C8134" i="3"/>
  <c r="B8134" i="3"/>
  <c r="D8133" i="3"/>
  <c r="C8133" i="3"/>
  <c r="B8133" i="3"/>
  <c r="D8132" i="3"/>
  <c r="C8132" i="3"/>
  <c r="B8132" i="3"/>
  <c r="D8131" i="3"/>
  <c r="C8131" i="3"/>
  <c r="B8131" i="3"/>
  <c r="D8130" i="3"/>
  <c r="C8130" i="3"/>
  <c r="B8130" i="3"/>
  <c r="D8129" i="3"/>
  <c r="C8129" i="3"/>
  <c r="B8129" i="3"/>
  <c r="D8128" i="3"/>
  <c r="C8128" i="3"/>
  <c r="B8128" i="3"/>
  <c r="D8127" i="3"/>
  <c r="C8127" i="3"/>
  <c r="B8127" i="3"/>
  <c r="D8126" i="3"/>
  <c r="C8126" i="3"/>
  <c r="B8126" i="3"/>
  <c r="D8125" i="3"/>
  <c r="C8125" i="3"/>
  <c r="B8125" i="3"/>
  <c r="D8124" i="3"/>
  <c r="C8124" i="3"/>
  <c r="B8124" i="3"/>
  <c r="D8123" i="3"/>
  <c r="C8123" i="3"/>
  <c r="B8123" i="3"/>
  <c r="D8122" i="3"/>
  <c r="C8122" i="3"/>
  <c r="B8122" i="3"/>
  <c r="D8121" i="3"/>
  <c r="C8121" i="3"/>
  <c r="B8121" i="3"/>
  <c r="D8120" i="3"/>
  <c r="C8120" i="3"/>
  <c r="B8120" i="3"/>
  <c r="D8119" i="3"/>
  <c r="C8119" i="3"/>
  <c r="B8119" i="3"/>
  <c r="D8118" i="3"/>
  <c r="C8118" i="3"/>
  <c r="B8118" i="3"/>
  <c r="D8117" i="3"/>
  <c r="C8117" i="3"/>
  <c r="B8117" i="3"/>
  <c r="D8116" i="3"/>
  <c r="C8116" i="3"/>
  <c r="B8116" i="3"/>
  <c r="D8115" i="3"/>
  <c r="C8115" i="3"/>
  <c r="B8115" i="3"/>
  <c r="D8114" i="3"/>
  <c r="C8114" i="3"/>
  <c r="B8114" i="3"/>
  <c r="D8113" i="3"/>
  <c r="C8113" i="3"/>
  <c r="B8113" i="3"/>
  <c r="D8112" i="3"/>
  <c r="C8112" i="3"/>
  <c r="B8112" i="3"/>
  <c r="D8111" i="3"/>
  <c r="C8111" i="3"/>
  <c r="B8111" i="3"/>
  <c r="D8110" i="3"/>
  <c r="C8110" i="3"/>
  <c r="B8110" i="3"/>
  <c r="D8109" i="3"/>
  <c r="C8109" i="3"/>
  <c r="B8109" i="3"/>
  <c r="D8108" i="3"/>
  <c r="C8108" i="3"/>
  <c r="B8108" i="3"/>
  <c r="D8107" i="3"/>
  <c r="C8107" i="3"/>
  <c r="B8107" i="3"/>
  <c r="D8106" i="3"/>
  <c r="C8106" i="3"/>
  <c r="B8106" i="3"/>
  <c r="D8105" i="3"/>
  <c r="C8105" i="3"/>
  <c r="B8105" i="3"/>
  <c r="D8104" i="3"/>
  <c r="C8104" i="3"/>
  <c r="B8104" i="3"/>
  <c r="D8103" i="3"/>
  <c r="C8103" i="3"/>
  <c r="B8103" i="3"/>
  <c r="D8102" i="3"/>
  <c r="C8102" i="3"/>
  <c r="B8102" i="3"/>
  <c r="D8101" i="3"/>
  <c r="C8101" i="3"/>
  <c r="B8101" i="3"/>
  <c r="D8100" i="3"/>
  <c r="C8100" i="3"/>
  <c r="B8100" i="3"/>
  <c r="D8099" i="3"/>
  <c r="C8099" i="3"/>
  <c r="B8099" i="3"/>
  <c r="D8098" i="3"/>
  <c r="C8098" i="3"/>
  <c r="B8098" i="3"/>
  <c r="D8097" i="3"/>
  <c r="C8097" i="3"/>
  <c r="B8097" i="3"/>
  <c r="D8096" i="3"/>
  <c r="C8096" i="3"/>
  <c r="B8096" i="3"/>
  <c r="D8095" i="3"/>
  <c r="C8095" i="3"/>
  <c r="B8095" i="3"/>
  <c r="D8094" i="3"/>
  <c r="C8094" i="3"/>
  <c r="B8094" i="3"/>
  <c r="D8093" i="3"/>
  <c r="C8093" i="3"/>
  <c r="B8093" i="3"/>
  <c r="D8092" i="3"/>
  <c r="C8092" i="3"/>
  <c r="B8092" i="3"/>
  <c r="D8091" i="3"/>
  <c r="C8091" i="3"/>
  <c r="B8091" i="3"/>
  <c r="D8090" i="3"/>
  <c r="C8090" i="3"/>
  <c r="B8090" i="3"/>
  <c r="D8089" i="3"/>
  <c r="C8089" i="3"/>
  <c r="B8089" i="3"/>
  <c r="D8088" i="3"/>
  <c r="C8088" i="3"/>
  <c r="B8088" i="3"/>
  <c r="D8087" i="3"/>
  <c r="C8087" i="3"/>
  <c r="B8087" i="3"/>
  <c r="D8086" i="3"/>
  <c r="C8086" i="3"/>
  <c r="B8086" i="3"/>
  <c r="D8085" i="3"/>
  <c r="C8085" i="3"/>
  <c r="B8085" i="3"/>
  <c r="D8084" i="3"/>
  <c r="C8084" i="3"/>
  <c r="B8084" i="3"/>
  <c r="D8083" i="3"/>
  <c r="C8083" i="3"/>
  <c r="B8083" i="3"/>
  <c r="D8082" i="3"/>
  <c r="C8082" i="3"/>
  <c r="B8082" i="3"/>
  <c r="D8081" i="3"/>
  <c r="C8081" i="3"/>
  <c r="B8081" i="3"/>
  <c r="D8080" i="3"/>
  <c r="C8080" i="3"/>
  <c r="B8080" i="3"/>
  <c r="D8079" i="3"/>
  <c r="C8079" i="3"/>
  <c r="B8079" i="3"/>
  <c r="D8078" i="3"/>
  <c r="C8078" i="3"/>
  <c r="B8078" i="3"/>
  <c r="D8077" i="3"/>
  <c r="C8077" i="3"/>
  <c r="B8077" i="3"/>
  <c r="D8076" i="3"/>
  <c r="C8076" i="3"/>
  <c r="B8076" i="3"/>
  <c r="D8075" i="3"/>
  <c r="C8075" i="3"/>
  <c r="B8075" i="3"/>
  <c r="D8074" i="3"/>
  <c r="C8074" i="3"/>
  <c r="B8074" i="3"/>
  <c r="D8073" i="3"/>
  <c r="C8073" i="3"/>
  <c r="B8073" i="3"/>
  <c r="D8072" i="3"/>
  <c r="C8072" i="3"/>
  <c r="B8072" i="3"/>
  <c r="D8071" i="3"/>
  <c r="C8071" i="3"/>
  <c r="B8071" i="3"/>
  <c r="D8070" i="3"/>
  <c r="C8070" i="3"/>
  <c r="B8070" i="3"/>
  <c r="D8069" i="3"/>
  <c r="C8069" i="3"/>
  <c r="B8069" i="3"/>
  <c r="D8068" i="3"/>
  <c r="C8068" i="3"/>
  <c r="B8068" i="3"/>
  <c r="D8067" i="3"/>
  <c r="C8067" i="3"/>
  <c r="B8067" i="3"/>
  <c r="D8066" i="3"/>
  <c r="C8066" i="3"/>
  <c r="B8066" i="3"/>
  <c r="D8065" i="3"/>
  <c r="C8065" i="3"/>
  <c r="B8065" i="3"/>
  <c r="D8064" i="3"/>
  <c r="C8064" i="3"/>
  <c r="B8064" i="3"/>
  <c r="D8063" i="3"/>
  <c r="C8063" i="3"/>
  <c r="B8063" i="3"/>
  <c r="D8062" i="3"/>
  <c r="C8062" i="3"/>
  <c r="B8062" i="3"/>
  <c r="D8061" i="3"/>
  <c r="C8061" i="3"/>
  <c r="B8061" i="3"/>
  <c r="D8060" i="3"/>
  <c r="C8060" i="3"/>
  <c r="B8060" i="3"/>
  <c r="D8059" i="3"/>
  <c r="C8059" i="3"/>
  <c r="B8059" i="3"/>
  <c r="D8058" i="3"/>
  <c r="C8058" i="3"/>
  <c r="B8058" i="3"/>
  <c r="D8057" i="3"/>
  <c r="C8057" i="3"/>
  <c r="B8057" i="3"/>
  <c r="D8056" i="3"/>
  <c r="C8056" i="3"/>
  <c r="B8056" i="3"/>
  <c r="D8055" i="3"/>
  <c r="C8055" i="3"/>
  <c r="B8055" i="3"/>
  <c r="D8054" i="3"/>
  <c r="C8054" i="3"/>
  <c r="B8054" i="3"/>
  <c r="D8053" i="3"/>
  <c r="C8053" i="3"/>
  <c r="B8053" i="3"/>
  <c r="D8052" i="3"/>
  <c r="C8052" i="3"/>
  <c r="B8052" i="3"/>
  <c r="D8051" i="3"/>
  <c r="C8051" i="3"/>
  <c r="B8051" i="3"/>
  <c r="D8050" i="3"/>
  <c r="C8050" i="3"/>
  <c r="B8050" i="3"/>
  <c r="D8049" i="3"/>
  <c r="C8049" i="3"/>
  <c r="B8049" i="3"/>
  <c r="D8048" i="3"/>
  <c r="C8048" i="3"/>
  <c r="B8048" i="3"/>
  <c r="D8047" i="3"/>
  <c r="C8047" i="3"/>
  <c r="B8047" i="3"/>
  <c r="D8046" i="3"/>
  <c r="C8046" i="3"/>
  <c r="B8046" i="3"/>
  <c r="D8045" i="3"/>
  <c r="C8045" i="3"/>
  <c r="B8045" i="3"/>
  <c r="D8044" i="3"/>
  <c r="C8044" i="3"/>
  <c r="B8044" i="3"/>
  <c r="D8043" i="3"/>
  <c r="C8043" i="3"/>
  <c r="B8043" i="3"/>
  <c r="D8042" i="3"/>
  <c r="C8042" i="3"/>
  <c r="B8042" i="3"/>
  <c r="D8041" i="3"/>
  <c r="C8041" i="3"/>
  <c r="B8041" i="3"/>
  <c r="D8040" i="3"/>
  <c r="C8040" i="3"/>
  <c r="B8040" i="3"/>
  <c r="D8039" i="3"/>
  <c r="C8039" i="3"/>
  <c r="B8039" i="3"/>
  <c r="D8038" i="3"/>
  <c r="C8038" i="3"/>
  <c r="B8038" i="3"/>
  <c r="D8037" i="3"/>
  <c r="C8037" i="3"/>
  <c r="B8037" i="3"/>
  <c r="D8036" i="3"/>
  <c r="C8036" i="3"/>
  <c r="B8036" i="3"/>
  <c r="D8035" i="3"/>
  <c r="C8035" i="3"/>
  <c r="B8035" i="3"/>
  <c r="D8034" i="3"/>
  <c r="C8034" i="3"/>
  <c r="B8034" i="3"/>
  <c r="D8033" i="3"/>
  <c r="C8033" i="3"/>
  <c r="B8033" i="3"/>
  <c r="D8032" i="3"/>
  <c r="C8032" i="3"/>
  <c r="B8032" i="3"/>
  <c r="D8031" i="3"/>
  <c r="C8031" i="3"/>
  <c r="B8031" i="3"/>
  <c r="D8030" i="3"/>
  <c r="C8030" i="3"/>
  <c r="B8030" i="3"/>
  <c r="D8029" i="3"/>
  <c r="C8029" i="3"/>
  <c r="B8029" i="3"/>
  <c r="D8028" i="3"/>
  <c r="C8028" i="3"/>
  <c r="B8028" i="3"/>
  <c r="D8027" i="3"/>
  <c r="C8027" i="3"/>
  <c r="B8027" i="3"/>
  <c r="D8026" i="3"/>
  <c r="C8026" i="3"/>
  <c r="B8026" i="3"/>
  <c r="D8025" i="3"/>
  <c r="C8025" i="3"/>
  <c r="B8025" i="3"/>
  <c r="D8024" i="3"/>
  <c r="C8024" i="3"/>
  <c r="B8024" i="3"/>
  <c r="D8023" i="3"/>
  <c r="C8023" i="3"/>
  <c r="B8023" i="3"/>
  <c r="D8022" i="3"/>
  <c r="C8022" i="3"/>
  <c r="B8022" i="3"/>
  <c r="D8021" i="3"/>
  <c r="C8021" i="3"/>
  <c r="B8021" i="3"/>
  <c r="D8020" i="3"/>
  <c r="C8020" i="3"/>
  <c r="B8020" i="3"/>
  <c r="D8019" i="3"/>
  <c r="C8019" i="3"/>
  <c r="B8019" i="3"/>
  <c r="D8018" i="3"/>
  <c r="C8018" i="3"/>
  <c r="B8018" i="3"/>
  <c r="D8017" i="3"/>
  <c r="C8017" i="3"/>
  <c r="B8017" i="3"/>
  <c r="D8016" i="3"/>
  <c r="C8016" i="3"/>
  <c r="B8016" i="3"/>
  <c r="D8015" i="3"/>
  <c r="C8015" i="3"/>
  <c r="B8015" i="3"/>
  <c r="D8014" i="3"/>
  <c r="C8014" i="3"/>
  <c r="B8014" i="3"/>
  <c r="D8013" i="3"/>
  <c r="C8013" i="3"/>
  <c r="B8013" i="3"/>
  <c r="D8012" i="3"/>
  <c r="C8012" i="3"/>
  <c r="B8012" i="3"/>
  <c r="D8011" i="3"/>
  <c r="C8011" i="3"/>
  <c r="B8011" i="3"/>
  <c r="D8010" i="3"/>
  <c r="C8010" i="3"/>
  <c r="B8010" i="3"/>
  <c r="D8009" i="3"/>
  <c r="C8009" i="3"/>
  <c r="B8009" i="3"/>
  <c r="D8008" i="3"/>
  <c r="C8008" i="3"/>
  <c r="B8008" i="3"/>
  <c r="D8007" i="3"/>
  <c r="C8007" i="3"/>
  <c r="B8007" i="3"/>
  <c r="D8006" i="3"/>
  <c r="C8006" i="3"/>
  <c r="B8006" i="3"/>
  <c r="D8005" i="3"/>
  <c r="C8005" i="3"/>
  <c r="B8005" i="3"/>
  <c r="D8004" i="3"/>
  <c r="C8004" i="3"/>
  <c r="B8004" i="3"/>
  <c r="D8003" i="3"/>
  <c r="C8003" i="3"/>
  <c r="B8003" i="3"/>
  <c r="D8002" i="3"/>
  <c r="C8002" i="3"/>
  <c r="B8002" i="3"/>
  <c r="D8001" i="3"/>
  <c r="C8001" i="3"/>
  <c r="B8001" i="3"/>
  <c r="D8000" i="3"/>
  <c r="C8000" i="3"/>
  <c r="B8000" i="3"/>
  <c r="D7999" i="3"/>
  <c r="C7999" i="3"/>
  <c r="B7999" i="3"/>
  <c r="D7998" i="3"/>
  <c r="C7998" i="3"/>
  <c r="B7998" i="3"/>
  <c r="D7997" i="3"/>
  <c r="C7997" i="3"/>
  <c r="B7997" i="3"/>
  <c r="D7996" i="3"/>
  <c r="C7996" i="3"/>
  <c r="B7996" i="3"/>
  <c r="D7995" i="3"/>
  <c r="C7995" i="3"/>
  <c r="B7995" i="3"/>
  <c r="D7994" i="3"/>
  <c r="C7994" i="3"/>
  <c r="B7994" i="3"/>
  <c r="D7993" i="3"/>
  <c r="C7993" i="3"/>
  <c r="B7993" i="3"/>
  <c r="D7992" i="3"/>
  <c r="C7992" i="3"/>
  <c r="B7992" i="3"/>
  <c r="D7991" i="3"/>
  <c r="C7991" i="3"/>
  <c r="B7991" i="3"/>
  <c r="D7990" i="3"/>
  <c r="C7990" i="3"/>
  <c r="B7990" i="3"/>
  <c r="D7989" i="3"/>
  <c r="C7989" i="3"/>
  <c r="B7989" i="3"/>
  <c r="D7988" i="3"/>
  <c r="C7988" i="3"/>
  <c r="B7988" i="3"/>
  <c r="D7987" i="3"/>
  <c r="C7987" i="3"/>
  <c r="B7987" i="3"/>
  <c r="D7986" i="3"/>
  <c r="C7986" i="3"/>
  <c r="B7986" i="3"/>
  <c r="D7985" i="3"/>
  <c r="C7985" i="3"/>
  <c r="B7985" i="3"/>
  <c r="D7984" i="3"/>
  <c r="C7984" i="3"/>
  <c r="B7984" i="3"/>
  <c r="D7983" i="3"/>
  <c r="C7983" i="3"/>
  <c r="B7983" i="3"/>
  <c r="D7982" i="3"/>
  <c r="C7982" i="3"/>
  <c r="B7982" i="3"/>
  <c r="D7981" i="3"/>
  <c r="C7981" i="3"/>
  <c r="B7981" i="3"/>
  <c r="D7980" i="3"/>
  <c r="C7980" i="3"/>
  <c r="B7980" i="3"/>
  <c r="D7979" i="3"/>
  <c r="C7979" i="3"/>
  <c r="B7979" i="3"/>
  <c r="D7978" i="3"/>
  <c r="C7978" i="3"/>
  <c r="B7978" i="3"/>
  <c r="D7977" i="3"/>
  <c r="C7977" i="3"/>
  <c r="B7977" i="3"/>
  <c r="D7976" i="3"/>
  <c r="C7976" i="3"/>
  <c r="B7976" i="3"/>
  <c r="D7975" i="3"/>
  <c r="C7975" i="3"/>
  <c r="B7975" i="3"/>
  <c r="D7974" i="3"/>
  <c r="C7974" i="3"/>
  <c r="B7974" i="3"/>
  <c r="D7973" i="3"/>
  <c r="C7973" i="3"/>
  <c r="B7973" i="3"/>
  <c r="D7972" i="3"/>
  <c r="C7972" i="3"/>
  <c r="B7972" i="3"/>
  <c r="D7971" i="3"/>
  <c r="C7971" i="3"/>
  <c r="B7971" i="3"/>
  <c r="D7970" i="3"/>
  <c r="C7970" i="3"/>
  <c r="B7970" i="3"/>
  <c r="D7969" i="3"/>
  <c r="C7969" i="3"/>
  <c r="B7969" i="3"/>
  <c r="D7968" i="3"/>
  <c r="C7968" i="3"/>
  <c r="B7968" i="3"/>
  <c r="D7967" i="3"/>
  <c r="C7967" i="3"/>
  <c r="B7967" i="3"/>
  <c r="D7966" i="3"/>
  <c r="C7966" i="3"/>
  <c r="B7966" i="3"/>
  <c r="D7965" i="3"/>
  <c r="C7965" i="3"/>
  <c r="B7965" i="3"/>
  <c r="D7964" i="3"/>
  <c r="C7964" i="3"/>
  <c r="B7964" i="3"/>
  <c r="D7963" i="3"/>
  <c r="C7963" i="3"/>
  <c r="B7963" i="3"/>
  <c r="D7962" i="3"/>
  <c r="C7962" i="3"/>
  <c r="B7962" i="3"/>
  <c r="D7961" i="3"/>
  <c r="C7961" i="3"/>
  <c r="B7961" i="3"/>
  <c r="D7960" i="3"/>
  <c r="C7960" i="3"/>
  <c r="B7960" i="3"/>
  <c r="D7959" i="3"/>
  <c r="C7959" i="3"/>
  <c r="B7959" i="3"/>
  <c r="D7958" i="3"/>
  <c r="C7958" i="3"/>
  <c r="B7958" i="3"/>
  <c r="D7957" i="3"/>
  <c r="C7957" i="3"/>
  <c r="B7957" i="3"/>
  <c r="D7956" i="3"/>
  <c r="C7956" i="3"/>
  <c r="B7956" i="3"/>
  <c r="D7955" i="3"/>
  <c r="C7955" i="3"/>
  <c r="B7955" i="3"/>
  <c r="D7954" i="3"/>
  <c r="C7954" i="3"/>
  <c r="B7954" i="3"/>
  <c r="D7953" i="3"/>
  <c r="C7953" i="3"/>
  <c r="B7953" i="3"/>
  <c r="D7952" i="3"/>
  <c r="C7952" i="3"/>
  <c r="B7952" i="3"/>
  <c r="D7951" i="3"/>
  <c r="C7951" i="3"/>
  <c r="B7951" i="3"/>
  <c r="D7950" i="3"/>
  <c r="C7950" i="3"/>
  <c r="B7950" i="3"/>
  <c r="D7949" i="3"/>
  <c r="C7949" i="3"/>
  <c r="B7949" i="3"/>
  <c r="D7948" i="3"/>
  <c r="C7948" i="3"/>
  <c r="B7948" i="3"/>
  <c r="D7947" i="3"/>
  <c r="C7947" i="3"/>
  <c r="B7947" i="3"/>
  <c r="D7946" i="3"/>
  <c r="C7946" i="3"/>
  <c r="B7946" i="3"/>
  <c r="D7945" i="3"/>
  <c r="C7945" i="3"/>
  <c r="B7945" i="3"/>
  <c r="D7944" i="3"/>
  <c r="C7944" i="3"/>
  <c r="B7944" i="3"/>
  <c r="D7943" i="3"/>
  <c r="C7943" i="3"/>
  <c r="B7943" i="3"/>
  <c r="D7942" i="3"/>
  <c r="C7942" i="3"/>
  <c r="B7942" i="3"/>
  <c r="D7941" i="3"/>
  <c r="C7941" i="3"/>
  <c r="B7941" i="3"/>
  <c r="D7940" i="3"/>
  <c r="C7940" i="3"/>
  <c r="B7940" i="3"/>
  <c r="D7939" i="3"/>
  <c r="C7939" i="3"/>
  <c r="B7939" i="3"/>
  <c r="D7938" i="3"/>
  <c r="C7938" i="3"/>
  <c r="B7938" i="3"/>
  <c r="D7937" i="3"/>
  <c r="C7937" i="3"/>
  <c r="B7937" i="3"/>
  <c r="D7936" i="3"/>
  <c r="C7936" i="3"/>
  <c r="B7936" i="3"/>
  <c r="D7935" i="3"/>
  <c r="C7935" i="3"/>
  <c r="B7935" i="3"/>
  <c r="D7934" i="3"/>
  <c r="C7934" i="3"/>
  <c r="B7934" i="3"/>
  <c r="D7933" i="3"/>
  <c r="C7933" i="3"/>
  <c r="B7933" i="3"/>
  <c r="D7932" i="3"/>
  <c r="C7932" i="3"/>
  <c r="B7932" i="3"/>
  <c r="D7931" i="3"/>
  <c r="C7931" i="3"/>
  <c r="B7931" i="3"/>
  <c r="D7930" i="3"/>
  <c r="C7930" i="3"/>
  <c r="B7930" i="3"/>
  <c r="D7929" i="3"/>
  <c r="C7929" i="3"/>
  <c r="B7929" i="3"/>
  <c r="D7928" i="3"/>
  <c r="C7928" i="3"/>
  <c r="B7928" i="3"/>
  <c r="D7927" i="3"/>
  <c r="C7927" i="3"/>
  <c r="B7927" i="3"/>
  <c r="D7926" i="3"/>
  <c r="C7926" i="3"/>
  <c r="B7926" i="3"/>
  <c r="D7925" i="3"/>
  <c r="C7925" i="3"/>
  <c r="B7925" i="3"/>
  <c r="D7924" i="3"/>
  <c r="C7924" i="3"/>
  <c r="B7924" i="3"/>
  <c r="D7923" i="3"/>
  <c r="C7923" i="3"/>
  <c r="B7923" i="3"/>
  <c r="D7922" i="3"/>
  <c r="C7922" i="3"/>
  <c r="B7922" i="3"/>
  <c r="D7921" i="3"/>
  <c r="C7921" i="3"/>
  <c r="B7921" i="3"/>
  <c r="D7920" i="3"/>
  <c r="C7920" i="3"/>
  <c r="B7920" i="3"/>
  <c r="D7919" i="3"/>
  <c r="C7919" i="3"/>
  <c r="B7919" i="3"/>
  <c r="D7918" i="3"/>
  <c r="C7918" i="3"/>
  <c r="B7918" i="3"/>
  <c r="D7917" i="3"/>
  <c r="C7917" i="3"/>
  <c r="B7917" i="3"/>
  <c r="D7916" i="3"/>
  <c r="C7916" i="3"/>
  <c r="B7916" i="3"/>
  <c r="D7915" i="3"/>
  <c r="C7915" i="3"/>
  <c r="B7915" i="3"/>
  <c r="D7914" i="3"/>
  <c r="C7914" i="3"/>
  <c r="B7914" i="3"/>
  <c r="D7913" i="3"/>
  <c r="C7913" i="3"/>
  <c r="B7913" i="3"/>
  <c r="D7912" i="3"/>
  <c r="C7912" i="3"/>
  <c r="B7912" i="3"/>
  <c r="D7911" i="3"/>
  <c r="C7911" i="3"/>
  <c r="B7911" i="3"/>
  <c r="D7910" i="3"/>
  <c r="C7910" i="3"/>
  <c r="B7910" i="3"/>
  <c r="D7909" i="3"/>
  <c r="C7909" i="3"/>
  <c r="B7909" i="3"/>
  <c r="D7908" i="3"/>
  <c r="C7908" i="3"/>
  <c r="B7908" i="3"/>
  <c r="D7907" i="3"/>
  <c r="C7907" i="3"/>
  <c r="B7907" i="3"/>
  <c r="D7906" i="3"/>
  <c r="C7906" i="3"/>
  <c r="B7906" i="3"/>
  <c r="D7905" i="3"/>
  <c r="C7905" i="3"/>
  <c r="B7905" i="3"/>
  <c r="D7904" i="3"/>
  <c r="C7904" i="3"/>
  <c r="B7904" i="3"/>
  <c r="D7903" i="3"/>
  <c r="C7903" i="3"/>
  <c r="B7903" i="3"/>
  <c r="D7902" i="3"/>
  <c r="C7902" i="3"/>
  <c r="B7902" i="3"/>
  <c r="D7901" i="3"/>
  <c r="C7901" i="3"/>
  <c r="B7901" i="3"/>
  <c r="D7900" i="3"/>
  <c r="C7900" i="3"/>
  <c r="B7900" i="3"/>
  <c r="D7899" i="3"/>
  <c r="C7899" i="3"/>
  <c r="B7899" i="3"/>
  <c r="D7898" i="3"/>
  <c r="C7898" i="3"/>
  <c r="B7898" i="3"/>
  <c r="D7897" i="3"/>
  <c r="C7897" i="3"/>
  <c r="B7897" i="3"/>
  <c r="D7896" i="3"/>
  <c r="C7896" i="3"/>
  <c r="B7896" i="3"/>
  <c r="D7895" i="3"/>
  <c r="C7895" i="3"/>
  <c r="B7895" i="3"/>
  <c r="D7894" i="3"/>
  <c r="C7894" i="3"/>
  <c r="B7894" i="3"/>
  <c r="D7893" i="3"/>
  <c r="C7893" i="3"/>
  <c r="B7893" i="3"/>
  <c r="D7892" i="3"/>
  <c r="C7892" i="3"/>
  <c r="B7892" i="3"/>
  <c r="D7891" i="3"/>
  <c r="C7891" i="3"/>
  <c r="B7891" i="3"/>
  <c r="D7890" i="3"/>
  <c r="C7890" i="3"/>
  <c r="B7890" i="3"/>
  <c r="D7889" i="3"/>
  <c r="C7889" i="3"/>
  <c r="B7889" i="3"/>
  <c r="D7888" i="3"/>
  <c r="C7888" i="3"/>
  <c r="B7888" i="3"/>
  <c r="D7887" i="3"/>
  <c r="C7887" i="3"/>
  <c r="B7887" i="3"/>
  <c r="D7886" i="3"/>
  <c r="C7886" i="3"/>
  <c r="B7886" i="3"/>
  <c r="D7885" i="3"/>
  <c r="C7885" i="3"/>
  <c r="B7885" i="3"/>
  <c r="D7884" i="3"/>
  <c r="C7884" i="3"/>
  <c r="B7884" i="3"/>
  <c r="D7883" i="3"/>
  <c r="C7883" i="3"/>
  <c r="B7883" i="3"/>
  <c r="D7882" i="3"/>
  <c r="C7882" i="3"/>
  <c r="B7882" i="3"/>
  <c r="D7881" i="3"/>
  <c r="C7881" i="3"/>
  <c r="B7881" i="3"/>
  <c r="D7880" i="3"/>
  <c r="C7880" i="3"/>
  <c r="B7880" i="3"/>
  <c r="D7879" i="3"/>
  <c r="C7879" i="3"/>
  <c r="B7879" i="3"/>
  <c r="D7878" i="3"/>
  <c r="C7878" i="3"/>
  <c r="B7878" i="3"/>
  <c r="D7877" i="3"/>
  <c r="C7877" i="3"/>
  <c r="B7877" i="3"/>
  <c r="D7876" i="3"/>
  <c r="C7876" i="3"/>
  <c r="B7876" i="3"/>
  <c r="D7875" i="3"/>
  <c r="C7875" i="3"/>
  <c r="B7875" i="3"/>
  <c r="D7874" i="3"/>
  <c r="C7874" i="3"/>
  <c r="B7874" i="3"/>
  <c r="D7873" i="3"/>
  <c r="C7873" i="3"/>
  <c r="B7873" i="3"/>
  <c r="D7872" i="3"/>
  <c r="C7872" i="3"/>
  <c r="B7872" i="3"/>
  <c r="D7871" i="3"/>
  <c r="C7871" i="3"/>
  <c r="B7871" i="3"/>
  <c r="D7870" i="3"/>
  <c r="C7870" i="3"/>
  <c r="B7870" i="3"/>
  <c r="D7869" i="3"/>
  <c r="C7869" i="3"/>
  <c r="B7869" i="3"/>
  <c r="D7868" i="3"/>
  <c r="C7868" i="3"/>
  <c r="B7868" i="3"/>
  <c r="D7867" i="3"/>
  <c r="C7867" i="3"/>
  <c r="B7867" i="3"/>
  <c r="D7866" i="3"/>
  <c r="C7866" i="3"/>
  <c r="B7866" i="3"/>
  <c r="D7865" i="3"/>
  <c r="C7865" i="3"/>
  <c r="B7865" i="3"/>
  <c r="D7864" i="3"/>
  <c r="C7864" i="3"/>
  <c r="B7864" i="3"/>
  <c r="D7863" i="3"/>
  <c r="C7863" i="3"/>
  <c r="B7863" i="3"/>
  <c r="D7862" i="3"/>
  <c r="C7862" i="3"/>
  <c r="B7862" i="3"/>
  <c r="D7861" i="3"/>
  <c r="C7861" i="3"/>
  <c r="B7861" i="3"/>
  <c r="D7860" i="3"/>
  <c r="C7860" i="3"/>
  <c r="B7860" i="3"/>
  <c r="D7859" i="3"/>
  <c r="C7859" i="3"/>
  <c r="B7859" i="3"/>
  <c r="D7858" i="3"/>
  <c r="C7858" i="3"/>
  <c r="B7858" i="3"/>
  <c r="D7857" i="3"/>
  <c r="C7857" i="3"/>
  <c r="B7857" i="3"/>
  <c r="D7856" i="3"/>
  <c r="C7856" i="3"/>
  <c r="B7856" i="3"/>
  <c r="D7855" i="3"/>
  <c r="C7855" i="3"/>
  <c r="B7855" i="3"/>
  <c r="D7854" i="3"/>
  <c r="C7854" i="3"/>
  <c r="B7854" i="3"/>
  <c r="D7853" i="3"/>
  <c r="C7853" i="3"/>
  <c r="B7853" i="3"/>
  <c r="D7852" i="3"/>
  <c r="C7852" i="3"/>
  <c r="B7852" i="3"/>
  <c r="D7851" i="3"/>
  <c r="C7851" i="3"/>
  <c r="B7851" i="3"/>
  <c r="D7850" i="3"/>
  <c r="C7850" i="3"/>
  <c r="B7850" i="3"/>
  <c r="D7849" i="3"/>
  <c r="C7849" i="3"/>
  <c r="B7849" i="3"/>
  <c r="D7848" i="3"/>
  <c r="C7848" i="3"/>
  <c r="B7848" i="3"/>
  <c r="D7847" i="3"/>
  <c r="C7847" i="3"/>
  <c r="B7847" i="3"/>
  <c r="D7846" i="3"/>
  <c r="C7846" i="3"/>
  <c r="B7846" i="3"/>
  <c r="D7845" i="3"/>
  <c r="C7845" i="3"/>
  <c r="B7845" i="3"/>
  <c r="D7844" i="3"/>
  <c r="C7844" i="3"/>
  <c r="B7844" i="3"/>
  <c r="D7843" i="3"/>
  <c r="C7843" i="3"/>
  <c r="B7843" i="3"/>
  <c r="D7842" i="3"/>
  <c r="C7842" i="3"/>
  <c r="B7842" i="3"/>
  <c r="D7841" i="3"/>
  <c r="C7841" i="3"/>
  <c r="B7841" i="3"/>
  <c r="D7840" i="3"/>
  <c r="C7840" i="3"/>
  <c r="B7840" i="3"/>
  <c r="D7839" i="3"/>
  <c r="C7839" i="3"/>
  <c r="B7839" i="3"/>
  <c r="D7838" i="3"/>
  <c r="C7838" i="3"/>
  <c r="B7838" i="3"/>
  <c r="D7837" i="3"/>
  <c r="C7837" i="3"/>
  <c r="B7837" i="3"/>
  <c r="D7836" i="3"/>
  <c r="C7836" i="3"/>
  <c r="B7836" i="3"/>
  <c r="D7835" i="3"/>
  <c r="C7835" i="3"/>
  <c r="B7835" i="3"/>
  <c r="D7834" i="3"/>
  <c r="C7834" i="3"/>
  <c r="B7834" i="3"/>
  <c r="D7833" i="3"/>
  <c r="C7833" i="3"/>
  <c r="B7833" i="3"/>
  <c r="D7832" i="3"/>
  <c r="C7832" i="3"/>
  <c r="B7832" i="3"/>
  <c r="D7831" i="3"/>
  <c r="C7831" i="3"/>
  <c r="B7831" i="3"/>
  <c r="D7830" i="3"/>
  <c r="C7830" i="3"/>
  <c r="B7830" i="3"/>
  <c r="D7829" i="3"/>
  <c r="C7829" i="3"/>
  <c r="B7829" i="3"/>
  <c r="D7828" i="3"/>
  <c r="C7828" i="3"/>
  <c r="B7828" i="3"/>
  <c r="D7827" i="3"/>
  <c r="C7827" i="3"/>
  <c r="B7827" i="3"/>
  <c r="D7826" i="3"/>
  <c r="C7826" i="3"/>
  <c r="B7826" i="3"/>
  <c r="D7825" i="3"/>
  <c r="C7825" i="3"/>
  <c r="B7825" i="3"/>
  <c r="D7824" i="3"/>
  <c r="C7824" i="3"/>
  <c r="B7824" i="3"/>
  <c r="D7823" i="3"/>
  <c r="C7823" i="3"/>
  <c r="B7823" i="3"/>
  <c r="D7822" i="3"/>
  <c r="C7822" i="3"/>
  <c r="B7822" i="3"/>
  <c r="D7821" i="3"/>
  <c r="C7821" i="3"/>
  <c r="B7821" i="3"/>
  <c r="D7820" i="3"/>
  <c r="C7820" i="3"/>
  <c r="B7820" i="3"/>
  <c r="D7819" i="3"/>
  <c r="C7819" i="3"/>
  <c r="B7819" i="3"/>
  <c r="D7818" i="3"/>
  <c r="C7818" i="3"/>
  <c r="B7818" i="3"/>
  <c r="D7817" i="3"/>
  <c r="C7817" i="3"/>
  <c r="B7817" i="3"/>
  <c r="D7816" i="3"/>
  <c r="C7816" i="3"/>
  <c r="B7816" i="3"/>
  <c r="D7815" i="3"/>
  <c r="C7815" i="3"/>
  <c r="B7815" i="3"/>
  <c r="D7814" i="3"/>
  <c r="C7814" i="3"/>
  <c r="B7814" i="3"/>
  <c r="D7813" i="3"/>
  <c r="C7813" i="3"/>
  <c r="B7813" i="3"/>
  <c r="D7812" i="3"/>
  <c r="C7812" i="3"/>
  <c r="B7812" i="3"/>
  <c r="D7811" i="3"/>
  <c r="C7811" i="3"/>
  <c r="B7811" i="3"/>
  <c r="D7810" i="3"/>
  <c r="C7810" i="3"/>
  <c r="B7810" i="3"/>
  <c r="D7809" i="3"/>
  <c r="C7809" i="3"/>
  <c r="B7809" i="3"/>
  <c r="D7808" i="3"/>
  <c r="C7808" i="3"/>
  <c r="B7808" i="3"/>
  <c r="D7807" i="3"/>
  <c r="C7807" i="3"/>
  <c r="B7807" i="3"/>
  <c r="D7806" i="3"/>
  <c r="C7806" i="3"/>
  <c r="B7806" i="3"/>
  <c r="D7805" i="3"/>
  <c r="C7805" i="3"/>
  <c r="B7805" i="3"/>
  <c r="D7804" i="3"/>
  <c r="C7804" i="3"/>
  <c r="B7804" i="3"/>
  <c r="D7803" i="3"/>
  <c r="C7803" i="3"/>
  <c r="B7803" i="3"/>
  <c r="D7802" i="3"/>
  <c r="C7802" i="3"/>
  <c r="B7802" i="3"/>
  <c r="D7801" i="3"/>
  <c r="C7801" i="3"/>
  <c r="B7801" i="3"/>
  <c r="D7800" i="3"/>
  <c r="C7800" i="3"/>
  <c r="B7800" i="3"/>
  <c r="D7799" i="3"/>
  <c r="C7799" i="3"/>
  <c r="B7799" i="3"/>
  <c r="D7798" i="3"/>
  <c r="C7798" i="3"/>
  <c r="B7798" i="3"/>
  <c r="D7797" i="3"/>
  <c r="C7797" i="3"/>
  <c r="B7797" i="3"/>
  <c r="D7796" i="3"/>
  <c r="C7796" i="3"/>
  <c r="B7796" i="3"/>
  <c r="D7795" i="3"/>
  <c r="C7795" i="3"/>
  <c r="B7795" i="3"/>
  <c r="D7794" i="3"/>
  <c r="C7794" i="3"/>
  <c r="B7794" i="3"/>
  <c r="D7793" i="3"/>
  <c r="C7793" i="3"/>
  <c r="B7793" i="3"/>
  <c r="D7792" i="3"/>
  <c r="C7792" i="3"/>
  <c r="B7792" i="3"/>
  <c r="D7791" i="3"/>
  <c r="C7791" i="3"/>
  <c r="B7791" i="3"/>
  <c r="D7790" i="3"/>
  <c r="C7790" i="3"/>
  <c r="B7790" i="3"/>
  <c r="D7789" i="3"/>
  <c r="C7789" i="3"/>
  <c r="B7789" i="3"/>
  <c r="D7788" i="3"/>
  <c r="C7788" i="3"/>
  <c r="B7788" i="3"/>
  <c r="D7787" i="3"/>
  <c r="C7787" i="3"/>
  <c r="B7787" i="3"/>
  <c r="D7786" i="3"/>
  <c r="C7786" i="3"/>
  <c r="B7786" i="3"/>
  <c r="D7785" i="3"/>
  <c r="C7785" i="3"/>
  <c r="B7785" i="3"/>
  <c r="D7784" i="3"/>
  <c r="C7784" i="3"/>
  <c r="B7784" i="3"/>
  <c r="D7783" i="3"/>
  <c r="C7783" i="3"/>
  <c r="B7783" i="3"/>
  <c r="D7782" i="3"/>
  <c r="C7782" i="3"/>
  <c r="B7782" i="3"/>
  <c r="D7781" i="3"/>
  <c r="C7781" i="3"/>
  <c r="B7781" i="3"/>
  <c r="D7780" i="3"/>
  <c r="C7780" i="3"/>
  <c r="B7780" i="3"/>
  <c r="D7779" i="3"/>
  <c r="C7779" i="3"/>
  <c r="B7779" i="3"/>
  <c r="D7778" i="3"/>
  <c r="C7778" i="3"/>
  <c r="B7778" i="3"/>
  <c r="D7777" i="3"/>
  <c r="C7777" i="3"/>
  <c r="B7777" i="3"/>
  <c r="D7776" i="3"/>
  <c r="C7776" i="3"/>
  <c r="B7776" i="3"/>
  <c r="D7775" i="3"/>
  <c r="C7775" i="3"/>
  <c r="B7775" i="3"/>
  <c r="D7774" i="3"/>
  <c r="C7774" i="3"/>
  <c r="B7774" i="3"/>
  <c r="D7773" i="3"/>
  <c r="C7773" i="3"/>
  <c r="B7773" i="3"/>
  <c r="D7772" i="3"/>
  <c r="C7772" i="3"/>
  <c r="B7772" i="3"/>
  <c r="D7771" i="3"/>
  <c r="C7771" i="3"/>
  <c r="B7771" i="3"/>
  <c r="D7770" i="3"/>
  <c r="C7770" i="3"/>
  <c r="B7770" i="3"/>
  <c r="D7769" i="3"/>
  <c r="C7769" i="3"/>
  <c r="B7769" i="3"/>
  <c r="D7768" i="3"/>
  <c r="C7768" i="3"/>
  <c r="B7768" i="3"/>
  <c r="D7767" i="3"/>
  <c r="C7767" i="3"/>
  <c r="B7767" i="3"/>
  <c r="D7766" i="3"/>
  <c r="C7766" i="3"/>
  <c r="B7766" i="3"/>
  <c r="D7765" i="3"/>
  <c r="C7765" i="3"/>
  <c r="B7765" i="3"/>
  <c r="D7764" i="3"/>
  <c r="C7764" i="3"/>
  <c r="B7764" i="3"/>
  <c r="D7763" i="3"/>
  <c r="C7763" i="3"/>
  <c r="B7763" i="3"/>
  <c r="D7762" i="3"/>
  <c r="C7762" i="3"/>
  <c r="B7762" i="3"/>
  <c r="D7761" i="3"/>
  <c r="C7761" i="3"/>
  <c r="B7761" i="3"/>
  <c r="D7760" i="3"/>
  <c r="C7760" i="3"/>
  <c r="B7760" i="3"/>
  <c r="D7759" i="3"/>
  <c r="C7759" i="3"/>
  <c r="B7759" i="3"/>
  <c r="D7758" i="3"/>
  <c r="C7758" i="3"/>
  <c r="B7758" i="3"/>
  <c r="D7757" i="3"/>
  <c r="C7757" i="3"/>
  <c r="B7757" i="3"/>
  <c r="D7756" i="3"/>
  <c r="C7756" i="3"/>
  <c r="B7756" i="3"/>
  <c r="D7755" i="3"/>
  <c r="C7755" i="3"/>
  <c r="B7755" i="3"/>
  <c r="D7754" i="3"/>
  <c r="C7754" i="3"/>
  <c r="B7754" i="3"/>
  <c r="D7753" i="3"/>
  <c r="C7753" i="3"/>
  <c r="B7753" i="3"/>
  <c r="D7752" i="3"/>
  <c r="C7752" i="3"/>
  <c r="B7752" i="3"/>
  <c r="D7751" i="3"/>
  <c r="C7751" i="3"/>
  <c r="B7751" i="3"/>
  <c r="D7750" i="3"/>
  <c r="C7750" i="3"/>
  <c r="B7750" i="3"/>
  <c r="D7749" i="3"/>
  <c r="C7749" i="3"/>
  <c r="B7749" i="3"/>
  <c r="D7748" i="3"/>
  <c r="C7748" i="3"/>
  <c r="B7748" i="3"/>
  <c r="D7747" i="3"/>
  <c r="C7747" i="3"/>
  <c r="B7747" i="3"/>
  <c r="D7746" i="3"/>
  <c r="C7746" i="3"/>
  <c r="B7746" i="3"/>
  <c r="D7745" i="3"/>
  <c r="C7745" i="3"/>
  <c r="B7745" i="3"/>
  <c r="D7744" i="3"/>
  <c r="C7744" i="3"/>
  <c r="B7744" i="3"/>
  <c r="D7743" i="3"/>
  <c r="C7743" i="3"/>
  <c r="B7743" i="3"/>
  <c r="D7742" i="3"/>
  <c r="C7742" i="3"/>
  <c r="B7742" i="3"/>
  <c r="D7741" i="3"/>
  <c r="C7741" i="3"/>
  <c r="B7741" i="3"/>
  <c r="D7740" i="3"/>
  <c r="C7740" i="3"/>
  <c r="B7740" i="3"/>
  <c r="D7739" i="3"/>
  <c r="C7739" i="3"/>
  <c r="B7739" i="3"/>
  <c r="D7738" i="3"/>
  <c r="C7738" i="3"/>
  <c r="B7738" i="3"/>
  <c r="D7737" i="3"/>
  <c r="C7737" i="3"/>
  <c r="B7737" i="3"/>
  <c r="D7736" i="3"/>
  <c r="C7736" i="3"/>
  <c r="B7736" i="3"/>
  <c r="D7735" i="3"/>
  <c r="C7735" i="3"/>
  <c r="B7735" i="3"/>
  <c r="D7734" i="3"/>
  <c r="C7734" i="3"/>
  <c r="B7734" i="3"/>
  <c r="D7733" i="3"/>
  <c r="C7733" i="3"/>
  <c r="B7733" i="3"/>
  <c r="D7732" i="3"/>
  <c r="C7732" i="3"/>
  <c r="B7732" i="3"/>
  <c r="D7731" i="3"/>
  <c r="C7731" i="3"/>
  <c r="B7731" i="3"/>
  <c r="D7730" i="3"/>
  <c r="C7730" i="3"/>
  <c r="B7730" i="3"/>
  <c r="D7729" i="3"/>
  <c r="C7729" i="3"/>
  <c r="B7729" i="3"/>
  <c r="D7728" i="3"/>
  <c r="C7728" i="3"/>
  <c r="B7728" i="3"/>
  <c r="D7727" i="3"/>
  <c r="C7727" i="3"/>
  <c r="B7727" i="3"/>
  <c r="D7726" i="3"/>
  <c r="C7726" i="3"/>
  <c r="B7726" i="3"/>
  <c r="D7725" i="3"/>
  <c r="C7725" i="3"/>
  <c r="B7725" i="3"/>
  <c r="D7724" i="3"/>
  <c r="C7724" i="3"/>
  <c r="B7724" i="3"/>
  <c r="D7723" i="3"/>
  <c r="C7723" i="3"/>
  <c r="B7723" i="3"/>
  <c r="D7722" i="3"/>
  <c r="C7722" i="3"/>
  <c r="B7722" i="3"/>
  <c r="D7721" i="3"/>
  <c r="C7721" i="3"/>
  <c r="B7721" i="3"/>
  <c r="D7720" i="3"/>
  <c r="C7720" i="3"/>
  <c r="B7720" i="3"/>
  <c r="D7719" i="3"/>
  <c r="C7719" i="3"/>
  <c r="B7719" i="3"/>
  <c r="D7718" i="3"/>
  <c r="C7718" i="3"/>
  <c r="B7718" i="3"/>
  <c r="D7717" i="3"/>
  <c r="C7717" i="3"/>
  <c r="B7717" i="3"/>
  <c r="D7716" i="3"/>
  <c r="C7716" i="3"/>
  <c r="B7716" i="3"/>
  <c r="D7715" i="3"/>
  <c r="C7715" i="3"/>
  <c r="B7715" i="3"/>
  <c r="D7714" i="3"/>
  <c r="C7714" i="3"/>
  <c r="B7714" i="3"/>
  <c r="D7713" i="3"/>
  <c r="C7713" i="3"/>
  <c r="B7713" i="3"/>
  <c r="D7712" i="3"/>
  <c r="C7712" i="3"/>
  <c r="B7712" i="3"/>
  <c r="D7711" i="3"/>
  <c r="C7711" i="3"/>
  <c r="B7711" i="3"/>
  <c r="D7710" i="3"/>
  <c r="C7710" i="3"/>
  <c r="B7710" i="3"/>
  <c r="D7709" i="3"/>
  <c r="C7709" i="3"/>
  <c r="B7709" i="3"/>
  <c r="D7708" i="3"/>
  <c r="C7708" i="3"/>
  <c r="B7708" i="3"/>
  <c r="D7707" i="3"/>
  <c r="C7707" i="3"/>
  <c r="B7707" i="3"/>
  <c r="D7706" i="3"/>
  <c r="C7706" i="3"/>
  <c r="B7706" i="3"/>
  <c r="D7705" i="3"/>
  <c r="C7705" i="3"/>
  <c r="B7705" i="3"/>
  <c r="D7704" i="3"/>
  <c r="C7704" i="3"/>
  <c r="B7704" i="3"/>
  <c r="D7703" i="3"/>
  <c r="C7703" i="3"/>
  <c r="B7703" i="3"/>
  <c r="D7702" i="3"/>
  <c r="C7702" i="3"/>
  <c r="B7702" i="3"/>
  <c r="D7701" i="3"/>
  <c r="C7701" i="3"/>
  <c r="B7701" i="3"/>
  <c r="D7700" i="3"/>
  <c r="C7700" i="3"/>
  <c r="B7700" i="3"/>
  <c r="D7699" i="3"/>
  <c r="C7699" i="3"/>
  <c r="B7699" i="3"/>
  <c r="D7698" i="3"/>
  <c r="C7698" i="3"/>
  <c r="B7698" i="3"/>
  <c r="D7697" i="3"/>
  <c r="C7697" i="3"/>
  <c r="B7697" i="3"/>
  <c r="D7696" i="3"/>
  <c r="C7696" i="3"/>
  <c r="B7696" i="3"/>
  <c r="D7695" i="3"/>
  <c r="C7695" i="3"/>
  <c r="B7695" i="3"/>
  <c r="D7694" i="3"/>
  <c r="C7694" i="3"/>
  <c r="B7694" i="3"/>
  <c r="D7693" i="3"/>
  <c r="C7693" i="3"/>
  <c r="B7693" i="3"/>
  <c r="D7692" i="3"/>
  <c r="C7692" i="3"/>
  <c r="B7692" i="3"/>
  <c r="D7691" i="3"/>
  <c r="C7691" i="3"/>
  <c r="B7691" i="3"/>
  <c r="D7690" i="3"/>
  <c r="C7690" i="3"/>
  <c r="B7690" i="3"/>
  <c r="D7689" i="3"/>
  <c r="C7689" i="3"/>
  <c r="B7689" i="3"/>
  <c r="D7688" i="3"/>
  <c r="C7688" i="3"/>
  <c r="B7688" i="3"/>
  <c r="D7687" i="3"/>
  <c r="C7687" i="3"/>
  <c r="B7687" i="3"/>
  <c r="D7686" i="3"/>
  <c r="C7686" i="3"/>
  <c r="B7686" i="3"/>
  <c r="D7685" i="3"/>
  <c r="C7685" i="3"/>
  <c r="B7685" i="3"/>
  <c r="D7684" i="3"/>
  <c r="C7684" i="3"/>
  <c r="B7684" i="3"/>
  <c r="D7683" i="3"/>
  <c r="C7683" i="3"/>
  <c r="B7683" i="3"/>
  <c r="D7682" i="3"/>
  <c r="C7682" i="3"/>
  <c r="B7682" i="3"/>
  <c r="D7681" i="3"/>
  <c r="C7681" i="3"/>
  <c r="B7681" i="3"/>
  <c r="D7680" i="3"/>
  <c r="C7680" i="3"/>
  <c r="B7680" i="3"/>
  <c r="D7679" i="3"/>
  <c r="C7679" i="3"/>
  <c r="B7679" i="3"/>
  <c r="D7678" i="3"/>
  <c r="C7678" i="3"/>
  <c r="B7678" i="3"/>
  <c r="D7677" i="3"/>
  <c r="C7677" i="3"/>
  <c r="B7677" i="3"/>
  <c r="D7676" i="3"/>
  <c r="C7676" i="3"/>
  <c r="B7676" i="3"/>
  <c r="D7675" i="3"/>
  <c r="C7675" i="3"/>
  <c r="B7675" i="3"/>
  <c r="D7674" i="3"/>
  <c r="C7674" i="3"/>
  <c r="B7674" i="3"/>
  <c r="D7673" i="3"/>
  <c r="C7673" i="3"/>
  <c r="B7673" i="3"/>
  <c r="D7672" i="3"/>
  <c r="C7672" i="3"/>
  <c r="B7672" i="3"/>
  <c r="D7671" i="3"/>
  <c r="C7671" i="3"/>
  <c r="B7671" i="3"/>
  <c r="D7670" i="3"/>
  <c r="C7670" i="3"/>
  <c r="B7670" i="3"/>
  <c r="D7669" i="3"/>
  <c r="C7669" i="3"/>
  <c r="B7669" i="3"/>
  <c r="D7668" i="3"/>
  <c r="C7668" i="3"/>
  <c r="B7668" i="3"/>
  <c r="D7667" i="3"/>
  <c r="C7667" i="3"/>
  <c r="B7667" i="3"/>
  <c r="D7666" i="3"/>
  <c r="C7666" i="3"/>
  <c r="B7666" i="3"/>
  <c r="D7665" i="3"/>
  <c r="C7665" i="3"/>
  <c r="B7665" i="3"/>
  <c r="D7664" i="3"/>
  <c r="C7664" i="3"/>
  <c r="B7664" i="3"/>
  <c r="D7663" i="3"/>
  <c r="C7663" i="3"/>
  <c r="B7663" i="3"/>
  <c r="D7662" i="3"/>
  <c r="C7662" i="3"/>
  <c r="B7662" i="3"/>
  <c r="D7661" i="3"/>
  <c r="C7661" i="3"/>
  <c r="B7661" i="3"/>
  <c r="D7660" i="3"/>
  <c r="C7660" i="3"/>
  <c r="B7660" i="3"/>
  <c r="D7659" i="3"/>
  <c r="C7659" i="3"/>
  <c r="B7659" i="3"/>
  <c r="D7658" i="3"/>
  <c r="C7658" i="3"/>
  <c r="B7658" i="3"/>
  <c r="D7657" i="3"/>
  <c r="C7657" i="3"/>
  <c r="B7657" i="3"/>
  <c r="D7656" i="3"/>
  <c r="C7656" i="3"/>
  <c r="B7656" i="3"/>
  <c r="D7655" i="3"/>
  <c r="C7655" i="3"/>
  <c r="B7655" i="3"/>
  <c r="D7654" i="3"/>
  <c r="C7654" i="3"/>
  <c r="B7654" i="3"/>
  <c r="D7653" i="3"/>
  <c r="C7653" i="3"/>
  <c r="B7653" i="3"/>
  <c r="D7652" i="3"/>
  <c r="C7652" i="3"/>
  <c r="B7652" i="3"/>
  <c r="D7651" i="3"/>
  <c r="C7651" i="3"/>
  <c r="B7651" i="3"/>
  <c r="D7650" i="3"/>
  <c r="C7650" i="3"/>
  <c r="B7650" i="3"/>
  <c r="D7649" i="3"/>
  <c r="C7649" i="3"/>
  <c r="B7649" i="3"/>
  <c r="D7648" i="3"/>
  <c r="C7648" i="3"/>
  <c r="B7648" i="3"/>
  <c r="D7647" i="3"/>
  <c r="C7647" i="3"/>
  <c r="B7647" i="3"/>
  <c r="D7646" i="3"/>
  <c r="C7646" i="3"/>
  <c r="B7646" i="3"/>
  <c r="D7645" i="3"/>
  <c r="C7645" i="3"/>
  <c r="B7645" i="3"/>
  <c r="D7644" i="3"/>
  <c r="C7644" i="3"/>
  <c r="B7644" i="3"/>
  <c r="D7643" i="3"/>
  <c r="C7643" i="3"/>
  <c r="B7643" i="3"/>
  <c r="D7642" i="3"/>
  <c r="C7642" i="3"/>
  <c r="B7642" i="3"/>
  <c r="D7641" i="3"/>
  <c r="C7641" i="3"/>
  <c r="B7641" i="3"/>
  <c r="D7640" i="3"/>
  <c r="C7640" i="3"/>
  <c r="B7640" i="3"/>
  <c r="D7639" i="3"/>
  <c r="C7639" i="3"/>
  <c r="B7639" i="3"/>
  <c r="D7638" i="3"/>
  <c r="C7638" i="3"/>
  <c r="B7638" i="3"/>
  <c r="D7637" i="3"/>
  <c r="C7637" i="3"/>
  <c r="B7637" i="3"/>
  <c r="D7636" i="3"/>
  <c r="C7636" i="3"/>
  <c r="B7636" i="3"/>
  <c r="D7635" i="3"/>
  <c r="C7635" i="3"/>
  <c r="B7635" i="3"/>
  <c r="D7634" i="3"/>
  <c r="C7634" i="3"/>
  <c r="B7634" i="3"/>
  <c r="D7633" i="3"/>
  <c r="C7633" i="3"/>
  <c r="B7633" i="3"/>
  <c r="D7632" i="3"/>
  <c r="C7632" i="3"/>
  <c r="B7632" i="3"/>
  <c r="D7631" i="3"/>
  <c r="C7631" i="3"/>
  <c r="B7631" i="3"/>
  <c r="D7630" i="3"/>
  <c r="C7630" i="3"/>
  <c r="B7630" i="3"/>
  <c r="D7629" i="3"/>
  <c r="C7629" i="3"/>
  <c r="B7629" i="3"/>
  <c r="D7628" i="3"/>
  <c r="C7628" i="3"/>
  <c r="B7628" i="3"/>
  <c r="D7627" i="3"/>
  <c r="C7627" i="3"/>
  <c r="B7627" i="3"/>
  <c r="D7626" i="3"/>
  <c r="C7626" i="3"/>
  <c r="B7626" i="3"/>
  <c r="D7625" i="3"/>
  <c r="C7625" i="3"/>
  <c r="B7625" i="3"/>
  <c r="D7624" i="3"/>
  <c r="C7624" i="3"/>
  <c r="B7624" i="3"/>
  <c r="D7623" i="3"/>
  <c r="C7623" i="3"/>
  <c r="B7623" i="3"/>
  <c r="D7622" i="3"/>
  <c r="C7622" i="3"/>
  <c r="B7622" i="3"/>
  <c r="D7621" i="3"/>
  <c r="C7621" i="3"/>
  <c r="B7621" i="3"/>
  <c r="D7620" i="3"/>
  <c r="C7620" i="3"/>
  <c r="B7620" i="3"/>
  <c r="D7619" i="3"/>
  <c r="C7619" i="3"/>
  <c r="B7619" i="3"/>
  <c r="D7618" i="3"/>
  <c r="C7618" i="3"/>
  <c r="B7618" i="3"/>
  <c r="D7617" i="3"/>
  <c r="C7617" i="3"/>
  <c r="B7617" i="3"/>
  <c r="D7616" i="3"/>
  <c r="C7616" i="3"/>
  <c r="B7616" i="3"/>
  <c r="D7615" i="3"/>
  <c r="C7615" i="3"/>
  <c r="B7615" i="3"/>
  <c r="D7614" i="3"/>
  <c r="C7614" i="3"/>
  <c r="B7614" i="3"/>
  <c r="D7613" i="3"/>
  <c r="C7613" i="3"/>
  <c r="B7613" i="3"/>
  <c r="D7612" i="3"/>
  <c r="C7612" i="3"/>
  <c r="B7612" i="3"/>
  <c r="D7611" i="3"/>
  <c r="C7611" i="3"/>
  <c r="B7611" i="3"/>
  <c r="D7610" i="3"/>
  <c r="C7610" i="3"/>
  <c r="B7610" i="3"/>
  <c r="D7609" i="3"/>
  <c r="C7609" i="3"/>
  <c r="B7609" i="3"/>
  <c r="D7608" i="3"/>
  <c r="C7608" i="3"/>
  <c r="B7608" i="3"/>
  <c r="D7607" i="3"/>
  <c r="C7607" i="3"/>
  <c r="B7607" i="3"/>
  <c r="D7606" i="3"/>
  <c r="C7606" i="3"/>
  <c r="B7606" i="3"/>
  <c r="D7605" i="3"/>
  <c r="C7605" i="3"/>
  <c r="B7605" i="3"/>
  <c r="D7604" i="3"/>
  <c r="C7604" i="3"/>
  <c r="B7604" i="3"/>
  <c r="D7603" i="3"/>
  <c r="C7603" i="3"/>
  <c r="B7603" i="3"/>
  <c r="D7602" i="3"/>
  <c r="C7602" i="3"/>
  <c r="B7602" i="3"/>
  <c r="D7601" i="3"/>
  <c r="C7601" i="3"/>
  <c r="B7601" i="3"/>
  <c r="D7600" i="3"/>
  <c r="C7600" i="3"/>
  <c r="B7600" i="3"/>
  <c r="D7599" i="3"/>
  <c r="C7599" i="3"/>
  <c r="B7599" i="3"/>
  <c r="D7598" i="3"/>
  <c r="C7598" i="3"/>
  <c r="B7598" i="3"/>
  <c r="D7597" i="3"/>
  <c r="C7597" i="3"/>
  <c r="B7597" i="3"/>
  <c r="D7596" i="3"/>
  <c r="C7596" i="3"/>
  <c r="B7596" i="3"/>
  <c r="D7595" i="3"/>
  <c r="C7595" i="3"/>
  <c r="B7595" i="3"/>
  <c r="D7594" i="3"/>
  <c r="C7594" i="3"/>
  <c r="B7594" i="3"/>
  <c r="D7593" i="3"/>
  <c r="C7593" i="3"/>
  <c r="B7593" i="3"/>
  <c r="D7592" i="3"/>
  <c r="C7592" i="3"/>
  <c r="B7592" i="3"/>
  <c r="D7591" i="3"/>
  <c r="C7591" i="3"/>
  <c r="B7591" i="3"/>
  <c r="D7590" i="3"/>
  <c r="C7590" i="3"/>
  <c r="B7590" i="3"/>
  <c r="D7589" i="3"/>
  <c r="C7589" i="3"/>
  <c r="B7589" i="3"/>
  <c r="D7588" i="3"/>
  <c r="C7588" i="3"/>
  <c r="B7588" i="3"/>
  <c r="D7587" i="3"/>
  <c r="C7587" i="3"/>
  <c r="B7587" i="3"/>
  <c r="D7586" i="3"/>
  <c r="C7586" i="3"/>
  <c r="B7586" i="3"/>
  <c r="D7585" i="3"/>
  <c r="C7585" i="3"/>
  <c r="B7585" i="3"/>
  <c r="D7584" i="3"/>
  <c r="C7584" i="3"/>
  <c r="B7584" i="3"/>
  <c r="D7583" i="3"/>
  <c r="C7583" i="3"/>
  <c r="B7583" i="3"/>
  <c r="D7582" i="3"/>
  <c r="C7582" i="3"/>
  <c r="B7582" i="3"/>
  <c r="D7581" i="3"/>
  <c r="C7581" i="3"/>
  <c r="B7581" i="3"/>
  <c r="D7580" i="3"/>
  <c r="C7580" i="3"/>
  <c r="B7580" i="3"/>
  <c r="D7579" i="3"/>
  <c r="C7579" i="3"/>
  <c r="B7579" i="3"/>
  <c r="D7578" i="3"/>
  <c r="C7578" i="3"/>
  <c r="B7578" i="3"/>
  <c r="D7577" i="3"/>
  <c r="C7577" i="3"/>
  <c r="B7577" i="3"/>
  <c r="D7576" i="3"/>
  <c r="C7576" i="3"/>
  <c r="B7576" i="3"/>
  <c r="D7575" i="3"/>
  <c r="C7575" i="3"/>
  <c r="B7575" i="3"/>
  <c r="D7574" i="3"/>
  <c r="C7574" i="3"/>
  <c r="B7574" i="3"/>
  <c r="D7573" i="3"/>
  <c r="C7573" i="3"/>
  <c r="B7573" i="3"/>
  <c r="D7572" i="3"/>
  <c r="C7572" i="3"/>
  <c r="B7572" i="3"/>
  <c r="D7571" i="3"/>
  <c r="C7571" i="3"/>
  <c r="B7571" i="3"/>
  <c r="D7570" i="3"/>
  <c r="C7570" i="3"/>
  <c r="B7570" i="3"/>
  <c r="D7569" i="3"/>
  <c r="C7569" i="3"/>
  <c r="B7569" i="3"/>
  <c r="D7568" i="3"/>
  <c r="C7568" i="3"/>
  <c r="B7568" i="3"/>
  <c r="D7567" i="3"/>
  <c r="C7567" i="3"/>
  <c r="B7567" i="3"/>
  <c r="D7566" i="3"/>
  <c r="C7566" i="3"/>
  <c r="B7566" i="3"/>
  <c r="D7565" i="3"/>
  <c r="C7565" i="3"/>
  <c r="B7565" i="3"/>
  <c r="D7564" i="3"/>
  <c r="C7564" i="3"/>
  <c r="B7564" i="3"/>
  <c r="D7563" i="3"/>
  <c r="C7563" i="3"/>
  <c r="B7563" i="3"/>
  <c r="D7562" i="3"/>
  <c r="C7562" i="3"/>
  <c r="B7562" i="3"/>
  <c r="D7561" i="3"/>
  <c r="C7561" i="3"/>
  <c r="B7561" i="3"/>
  <c r="D7560" i="3"/>
  <c r="C7560" i="3"/>
  <c r="B7560" i="3"/>
  <c r="D7559" i="3"/>
  <c r="C7559" i="3"/>
  <c r="B7559" i="3"/>
  <c r="D7558" i="3"/>
  <c r="C7558" i="3"/>
  <c r="B7558" i="3"/>
  <c r="D7557" i="3"/>
  <c r="C7557" i="3"/>
  <c r="B7557" i="3"/>
  <c r="D7556" i="3"/>
  <c r="C7556" i="3"/>
  <c r="B7556" i="3"/>
  <c r="D7555" i="3"/>
  <c r="C7555" i="3"/>
  <c r="B7555" i="3"/>
  <c r="D7554" i="3"/>
  <c r="C7554" i="3"/>
  <c r="B7554" i="3"/>
  <c r="D7553" i="3"/>
  <c r="C7553" i="3"/>
  <c r="B7553" i="3"/>
  <c r="D7552" i="3"/>
  <c r="C7552" i="3"/>
  <c r="B7552" i="3"/>
  <c r="D7551" i="3"/>
  <c r="C7551" i="3"/>
  <c r="B7551" i="3"/>
  <c r="D7550" i="3"/>
  <c r="C7550" i="3"/>
  <c r="B7550" i="3"/>
  <c r="D7549" i="3"/>
  <c r="C7549" i="3"/>
  <c r="B7549" i="3"/>
  <c r="D7548" i="3"/>
  <c r="C7548" i="3"/>
  <c r="B7548" i="3"/>
  <c r="D7547" i="3"/>
  <c r="C7547" i="3"/>
  <c r="B7547" i="3"/>
  <c r="D7546" i="3"/>
  <c r="C7546" i="3"/>
  <c r="B7546" i="3"/>
  <c r="D7545" i="3"/>
  <c r="C7545" i="3"/>
  <c r="B7545" i="3"/>
  <c r="D7544" i="3"/>
  <c r="C7544" i="3"/>
  <c r="B7544" i="3"/>
  <c r="D7543" i="3"/>
  <c r="C7543" i="3"/>
  <c r="B7543" i="3"/>
  <c r="D7542" i="3"/>
  <c r="C7542" i="3"/>
  <c r="B7542" i="3"/>
  <c r="D7541" i="3"/>
  <c r="C7541" i="3"/>
  <c r="B7541" i="3"/>
  <c r="D7540" i="3"/>
  <c r="C7540" i="3"/>
  <c r="B7540" i="3"/>
  <c r="D7539" i="3"/>
  <c r="C7539" i="3"/>
  <c r="B7539" i="3"/>
  <c r="D7538" i="3"/>
  <c r="C7538" i="3"/>
  <c r="B7538" i="3"/>
  <c r="D7537" i="3"/>
  <c r="C7537" i="3"/>
  <c r="B7537" i="3"/>
  <c r="D7536" i="3"/>
  <c r="C7536" i="3"/>
  <c r="B7536" i="3"/>
  <c r="D7535" i="3"/>
  <c r="C7535" i="3"/>
  <c r="B7535" i="3"/>
  <c r="D7534" i="3"/>
  <c r="C7534" i="3"/>
  <c r="B7534" i="3"/>
  <c r="D7533" i="3"/>
  <c r="C7533" i="3"/>
  <c r="B7533" i="3"/>
  <c r="D7532" i="3"/>
  <c r="C7532" i="3"/>
  <c r="B7532" i="3"/>
  <c r="D7531" i="3"/>
  <c r="C7531" i="3"/>
  <c r="B7531" i="3"/>
  <c r="D7530" i="3"/>
  <c r="C7530" i="3"/>
  <c r="B7530" i="3"/>
  <c r="D7529" i="3"/>
  <c r="C7529" i="3"/>
  <c r="B7529" i="3"/>
  <c r="D7528" i="3"/>
  <c r="C7528" i="3"/>
  <c r="B7528" i="3"/>
  <c r="D7527" i="3"/>
  <c r="C7527" i="3"/>
  <c r="B7527" i="3"/>
  <c r="D7526" i="3"/>
  <c r="C7526" i="3"/>
  <c r="B7526" i="3"/>
  <c r="D7525" i="3"/>
  <c r="C7525" i="3"/>
  <c r="B7525" i="3"/>
  <c r="D7524" i="3"/>
  <c r="C7524" i="3"/>
  <c r="B7524" i="3"/>
  <c r="D7523" i="3"/>
  <c r="C7523" i="3"/>
  <c r="B7523" i="3"/>
  <c r="D7522" i="3"/>
  <c r="C7522" i="3"/>
  <c r="B7522" i="3"/>
  <c r="D7521" i="3"/>
  <c r="C7521" i="3"/>
  <c r="B7521" i="3"/>
  <c r="D7520" i="3"/>
  <c r="C7520" i="3"/>
  <c r="B7520" i="3"/>
  <c r="D7519" i="3"/>
  <c r="C7519" i="3"/>
  <c r="B7519" i="3"/>
  <c r="D7518" i="3"/>
  <c r="C7518" i="3"/>
  <c r="B7518" i="3"/>
  <c r="D7517" i="3"/>
  <c r="C7517" i="3"/>
  <c r="B7517" i="3"/>
  <c r="D7516" i="3"/>
  <c r="C7516" i="3"/>
  <c r="B7516" i="3"/>
  <c r="D7515" i="3"/>
  <c r="C7515" i="3"/>
  <c r="B7515" i="3"/>
  <c r="D7514" i="3"/>
  <c r="C7514" i="3"/>
  <c r="B7514" i="3"/>
  <c r="D7513" i="3"/>
  <c r="C7513" i="3"/>
  <c r="B7513" i="3"/>
  <c r="D7512" i="3"/>
  <c r="C7512" i="3"/>
  <c r="B7512" i="3"/>
  <c r="D7511" i="3"/>
  <c r="C7511" i="3"/>
  <c r="B7511" i="3"/>
  <c r="D7510" i="3"/>
  <c r="C7510" i="3"/>
  <c r="B7510" i="3"/>
  <c r="D7509" i="3"/>
  <c r="C7509" i="3"/>
  <c r="B7509" i="3"/>
  <c r="D7508" i="3"/>
  <c r="C7508" i="3"/>
  <c r="B7508" i="3"/>
  <c r="D7507" i="3"/>
  <c r="C7507" i="3"/>
  <c r="B7507" i="3"/>
  <c r="D7506" i="3"/>
  <c r="C7506" i="3"/>
  <c r="B7506" i="3"/>
  <c r="D7505" i="3"/>
  <c r="C7505" i="3"/>
  <c r="B7505" i="3"/>
  <c r="D7504" i="3"/>
  <c r="C7504" i="3"/>
  <c r="B7504" i="3"/>
  <c r="D7503" i="3"/>
  <c r="C7503" i="3"/>
  <c r="B7503" i="3"/>
  <c r="D7502" i="3"/>
  <c r="C7502" i="3"/>
  <c r="B7502" i="3"/>
  <c r="D7501" i="3"/>
  <c r="C7501" i="3"/>
  <c r="B7501" i="3"/>
  <c r="D7500" i="3"/>
  <c r="C7500" i="3"/>
  <c r="B7500" i="3"/>
  <c r="D7499" i="3"/>
  <c r="C7499" i="3"/>
  <c r="B7499" i="3"/>
  <c r="D7498" i="3"/>
  <c r="C7498" i="3"/>
  <c r="B7498" i="3"/>
  <c r="D7497" i="3"/>
  <c r="C7497" i="3"/>
  <c r="B7497" i="3"/>
  <c r="D7496" i="3"/>
  <c r="C7496" i="3"/>
  <c r="B7496" i="3"/>
  <c r="D7495" i="3"/>
  <c r="C7495" i="3"/>
  <c r="B7495" i="3"/>
  <c r="D7494" i="3"/>
  <c r="C7494" i="3"/>
  <c r="B7494" i="3"/>
  <c r="D7493" i="3"/>
  <c r="C7493" i="3"/>
  <c r="B7493" i="3"/>
  <c r="D7492" i="3"/>
  <c r="C7492" i="3"/>
  <c r="B7492" i="3"/>
  <c r="D7491" i="3"/>
  <c r="C7491" i="3"/>
  <c r="B7491" i="3"/>
  <c r="D7490" i="3"/>
  <c r="C7490" i="3"/>
  <c r="B7490" i="3"/>
  <c r="D7489" i="3"/>
  <c r="C7489" i="3"/>
  <c r="B7489" i="3"/>
  <c r="D7488" i="3"/>
  <c r="C7488" i="3"/>
  <c r="B7488" i="3"/>
  <c r="D7487" i="3"/>
  <c r="C7487" i="3"/>
  <c r="B7487" i="3"/>
  <c r="D7486" i="3"/>
  <c r="C7486" i="3"/>
  <c r="B7486" i="3"/>
  <c r="D7485" i="3"/>
  <c r="C7485" i="3"/>
  <c r="B7485" i="3"/>
  <c r="D7484" i="3"/>
  <c r="C7484" i="3"/>
  <c r="B7484" i="3"/>
  <c r="D7483" i="3"/>
  <c r="C7483" i="3"/>
  <c r="B7483" i="3"/>
  <c r="D7482" i="3"/>
  <c r="C7482" i="3"/>
  <c r="B7482" i="3"/>
  <c r="D7481" i="3"/>
  <c r="C7481" i="3"/>
  <c r="B7481" i="3"/>
  <c r="D7480" i="3"/>
  <c r="C7480" i="3"/>
  <c r="B7480" i="3"/>
  <c r="D7479" i="3"/>
  <c r="C7479" i="3"/>
  <c r="B7479" i="3"/>
  <c r="D7478" i="3"/>
  <c r="C7478" i="3"/>
  <c r="B7478" i="3"/>
  <c r="D7477" i="3"/>
  <c r="C7477" i="3"/>
  <c r="B7477" i="3"/>
  <c r="D7476" i="3"/>
  <c r="C7476" i="3"/>
  <c r="B7476" i="3"/>
  <c r="D7475" i="3"/>
  <c r="C7475" i="3"/>
  <c r="B7475" i="3"/>
  <c r="D7474" i="3"/>
  <c r="C7474" i="3"/>
  <c r="B7474" i="3"/>
  <c r="D7473" i="3"/>
  <c r="C7473" i="3"/>
  <c r="B7473" i="3"/>
  <c r="D7472" i="3"/>
  <c r="C7472" i="3"/>
  <c r="B7472" i="3"/>
  <c r="D7471" i="3"/>
  <c r="C7471" i="3"/>
  <c r="B7471" i="3"/>
  <c r="D7470" i="3"/>
  <c r="C7470" i="3"/>
  <c r="B7470" i="3"/>
  <c r="D7469" i="3"/>
  <c r="C7469" i="3"/>
  <c r="B7469" i="3"/>
  <c r="D7468" i="3"/>
  <c r="C7468" i="3"/>
  <c r="B7468" i="3"/>
  <c r="D7467" i="3"/>
  <c r="C7467" i="3"/>
  <c r="B7467" i="3"/>
  <c r="D7466" i="3"/>
  <c r="C7466" i="3"/>
  <c r="B7466" i="3"/>
  <c r="D7465" i="3"/>
  <c r="C7465" i="3"/>
  <c r="B7465" i="3"/>
  <c r="D7464" i="3"/>
  <c r="C7464" i="3"/>
  <c r="B7464" i="3"/>
  <c r="D7463" i="3"/>
  <c r="C7463" i="3"/>
  <c r="B7463" i="3"/>
  <c r="D7462" i="3"/>
  <c r="C7462" i="3"/>
  <c r="B7462" i="3"/>
  <c r="D7461" i="3"/>
  <c r="C7461" i="3"/>
  <c r="B7461" i="3"/>
  <c r="D7460" i="3"/>
  <c r="C7460" i="3"/>
  <c r="B7460" i="3"/>
  <c r="D7459" i="3"/>
  <c r="C7459" i="3"/>
  <c r="B7459" i="3"/>
  <c r="D7458" i="3"/>
  <c r="C7458" i="3"/>
  <c r="B7458" i="3"/>
  <c r="D7457" i="3"/>
  <c r="C7457" i="3"/>
  <c r="B7457" i="3"/>
  <c r="D7456" i="3"/>
  <c r="C7456" i="3"/>
  <c r="B7456" i="3"/>
  <c r="D7455" i="3"/>
  <c r="C7455" i="3"/>
  <c r="B7455" i="3"/>
  <c r="D7454" i="3"/>
  <c r="C7454" i="3"/>
  <c r="B7454" i="3"/>
  <c r="D7453" i="3"/>
  <c r="C7453" i="3"/>
  <c r="B7453" i="3"/>
  <c r="D7452" i="3"/>
  <c r="C7452" i="3"/>
  <c r="B7452" i="3"/>
  <c r="D7451" i="3"/>
  <c r="C7451" i="3"/>
  <c r="B7451" i="3"/>
  <c r="D7450" i="3"/>
  <c r="C7450" i="3"/>
  <c r="B7450" i="3"/>
  <c r="D7449" i="3"/>
  <c r="C7449" i="3"/>
  <c r="B7449" i="3"/>
  <c r="D7448" i="3"/>
  <c r="C7448" i="3"/>
  <c r="B7448" i="3"/>
  <c r="D7447" i="3"/>
  <c r="C7447" i="3"/>
  <c r="B7447" i="3"/>
  <c r="D7446" i="3"/>
  <c r="C7446" i="3"/>
  <c r="B7446" i="3"/>
  <c r="D7445" i="3"/>
  <c r="C7445" i="3"/>
  <c r="B7445" i="3"/>
  <c r="D7444" i="3"/>
  <c r="C7444" i="3"/>
  <c r="B7444" i="3"/>
  <c r="D7443" i="3"/>
  <c r="C7443" i="3"/>
  <c r="B7443" i="3"/>
  <c r="D7442" i="3"/>
  <c r="C7442" i="3"/>
  <c r="B7442" i="3"/>
  <c r="D7441" i="3"/>
  <c r="C7441" i="3"/>
  <c r="B7441" i="3"/>
  <c r="D7440" i="3"/>
  <c r="C7440" i="3"/>
  <c r="B7440" i="3"/>
  <c r="D7439" i="3"/>
  <c r="C7439" i="3"/>
  <c r="B7439" i="3"/>
  <c r="D7438" i="3"/>
  <c r="C7438" i="3"/>
  <c r="B7438" i="3"/>
  <c r="D7437" i="3"/>
  <c r="C7437" i="3"/>
  <c r="B7437" i="3"/>
  <c r="D7436" i="3"/>
  <c r="C7436" i="3"/>
  <c r="B7436" i="3"/>
  <c r="D7435" i="3"/>
  <c r="C7435" i="3"/>
  <c r="B7435" i="3"/>
  <c r="D7434" i="3"/>
  <c r="C7434" i="3"/>
  <c r="B7434" i="3"/>
  <c r="D7433" i="3"/>
  <c r="C7433" i="3"/>
  <c r="B7433" i="3"/>
  <c r="D7432" i="3"/>
  <c r="C7432" i="3"/>
  <c r="B7432" i="3"/>
  <c r="D7431" i="3"/>
  <c r="C7431" i="3"/>
  <c r="B7431" i="3"/>
  <c r="D7430" i="3"/>
  <c r="C7430" i="3"/>
  <c r="B7430" i="3"/>
  <c r="D7429" i="3"/>
  <c r="C7429" i="3"/>
  <c r="B7429" i="3"/>
  <c r="D7428" i="3"/>
  <c r="C7428" i="3"/>
  <c r="B7428" i="3"/>
  <c r="D7427" i="3"/>
  <c r="C7427" i="3"/>
  <c r="B7427" i="3"/>
  <c r="D7426" i="3"/>
  <c r="C7426" i="3"/>
  <c r="B7426" i="3"/>
  <c r="D7425" i="3"/>
  <c r="C7425" i="3"/>
  <c r="B7425" i="3"/>
  <c r="D7424" i="3"/>
  <c r="C7424" i="3"/>
  <c r="B7424" i="3"/>
  <c r="D7423" i="3"/>
  <c r="C7423" i="3"/>
  <c r="B7423" i="3"/>
  <c r="D7422" i="3"/>
  <c r="C7422" i="3"/>
  <c r="B7422" i="3"/>
  <c r="D7421" i="3"/>
  <c r="C7421" i="3"/>
  <c r="B7421" i="3"/>
  <c r="D7420" i="3"/>
  <c r="C7420" i="3"/>
  <c r="B7420" i="3"/>
  <c r="D7419" i="3"/>
  <c r="C7419" i="3"/>
  <c r="B7419" i="3"/>
  <c r="D7418" i="3"/>
  <c r="C7418" i="3"/>
  <c r="B7418" i="3"/>
  <c r="D7417" i="3"/>
  <c r="C7417" i="3"/>
  <c r="B7417" i="3"/>
  <c r="D7416" i="3"/>
  <c r="C7416" i="3"/>
  <c r="B7416" i="3"/>
  <c r="D7415" i="3"/>
  <c r="C7415" i="3"/>
  <c r="B7415" i="3"/>
  <c r="D7414" i="3"/>
  <c r="C7414" i="3"/>
  <c r="B7414" i="3"/>
  <c r="D7413" i="3"/>
  <c r="C7413" i="3"/>
  <c r="B7413" i="3"/>
  <c r="D7412" i="3"/>
  <c r="C7412" i="3"/>
  <c r="B7412" i="3"/>
  <c r="D7411" i="3"/>
  <c r="C7411" i="3"/>
  <c r="B7411" i="3"/>
  <c r="D7410" i="3"/>
  <c r="C7410" i="3"/>
  <c r="B7410" i="3"/>
  <c r="D7409" i="3"/>
  <c r="C7409" i="3"/>
  <c r="B7409" i="3"/>
  <c r="D7408" i="3"/>
  <c r="C7408" i="3"/>
  <c r="B7408" i="3"/>
  <c r="D7407" i="3"/>
  <c r="C7407" i="3"/>
  <c r="B7407" i="3"/>
  <c r="D7406" i="3"/>
  <c r="C7406" i="3"/>
  <c r="B7406" i="3"/>
  <c r="D7405" i="3"/>
  <c r="C7405" i="3"/>
  <c r="B7405" i="3"/>
  <c r="D7404" i="3"/>
  <c r="C7404" i="3"/>
  <c r="B7404" i="3"/>
  <c r="D7403" i="3"/>
  <c r="C7403" i="3"/>
  <c r="B7403" i="3"/>
  <c r="D7402" i="3"/>
  <c r="C7402" i="3"/>
  <c r="B7402" i="3"/>
  <c r="D7401" i="3"/>
  <c r="C7401" i="3"/>
  <c r="B7401" i="3"/>
  <c r="D7400" i="3"/>
  <c r="C7400" i="3"/>
  <c r="B7400" i="3"/>
  <c r="D7399" i="3"/>
  <c r="C7399" i="3"/>
  <c r="B7399" i="3"/>
  <c r="D7398" i="3"/>
  <c r="C7398" i="3"/>
  <c r="B7398" i="3"/>
  <c r="D7397" i="3"/>
  <c r="C7397" i="3"/>
  <c r="B7397" i="3"/>
  <c r="D7396" i="3"/>
  <c r="C7396" i="3"/>
  <c r="B7396" i="3"/>
  <c r="D7395" i="3"/>
  <c r="C7395" i="3"/>
  <c r="B7395" i="3"/>
  <c r="D7394" i="3"/>
  <c r="C7394" i="3"/>
  <c r="B7394" i="3"/>
  <c r="D7393" i="3"/>
  <c r="C7393" i="3"/>
  <c r="B7393" i="3"/>
  <c r="D7392" i="3"/>
  <c r="C7392" i="3"/>
  <c r="B7392" i="3"/>
  <c r="D7391" i="3"/>
  <c r="C7391" i="3"/>
  <c r="B7391" i="3"/>
  <c r="D7390" i="3"/>
  <c r="C7390" i="3"/>
  <c r="B7390" i="3"/>
  <c r="D7389" i="3"/>
  <c r="C7389" i="3"/>
  <c r="B7389" i="3"/>
  <c r="D7388" i="3"/>
  <c r="C7388" i="3"/>
  <c r="B7388" i="3"/>
  <c r="D7387" i="3"/>
  <c r="C7387" i="3"/>
  <c r="B7387" i="3"/>
  <c r="D7386" i="3"/>
  <c r="C7386" i="3"/>
  <c r="B7386" i="3"/>
  <c r="D7385" i="3"/>
  <c r="C7385" i="3"/>
  <c r="B7385" i="3"/>
  <c r="D7384" i="3"/>
  <c r="C7384" i="3"/>
  <c r="B7384" i="3"/>
  <c r="D7383" i="3"/>
  <c r="C7383" i="3"/>
  <c r="B7383" i="3"/>
  <c r="D7382" i="3"/>
  <c r="C7382" i="3"/>
  <c r="B7382" i="3"/>
  <c r="D7381" i="3"/>
  <c r="C7381" i="3"/>
  <c r="B7381" i="3"/>
  <c r="D7380" i="3"/>
  <c r="C7380" i="3"/>
  <c r="B7380" i="3"/>
  <c r="D7379" i="3"/>
  <c r="C7379" i="3"/>
  <c r="B7379" i="3"/>
  <c r="D7378" i="3"/>
  <c r="C7378" i="3"/>
  <c r="B7378" i="3"/>
  <c r="D7377" i="3"/>
  <c r="C7377" i="3"/>
  <c r="B7377" i="3"/>
  <c r="D7376" i="3"/>
  <c r="C7376" i="3"/>
  <c r="B7376" i="3"/>
  <c r="D7375" i="3"/>
  <c r="C7375" i="3"/>
  <c r="B7375" i="3"/>
  <c r="D7374" i="3"/>
  <c r="C7374" i="3"/>
  <c r="B7374" i="3"/>
  <c r="D7373" i="3"/>
  <c r="C7373" i="3"/>
  <c r="B7373" i="3"/>
  <c r="D7372" i="3"/>
  <c r="C7372" i="3"/>
  <c r="B7372" i="3"/>
  <c r="D7371" i="3"/>
  <c r="C7371" i="3"/>
  <c r="B7371" i="3"/>
  <c r="D7370" i="3"/>
  <c r="C7370" i="3"/>
  <c r="B7370" i="3"/>
  <c r="D7369" i="3"/>
  <c r="C7369" i="3"/>
  <c r="B7369" i="3"/>
  <c r="D7368" i="3"/>
  <c r="C7368" i="3"/>
  <c r="B7368" i="3"/>
  <c r="D7367" i="3"/>
  <c r="C7367" i="3"/>
  <c r="B7367" i="3"/>
  <c r="D7366" i="3"/>
  <c r="C7366" i="3"/>
  <c r="B7366" i="3"/>
  <c r="D7365" i="3"/>
  <c r="C7365" i="3"/>
  <c r="B7365" i="3"/>
  <c r="D7364" i="3"/>
  <c r="C7364" i="3"/>
  <c r="B7364" i="3"/>
  <c r="D7363" i="3"/>
  <c r="C7363" i="3"/>
  <c r="B7363" i="3"/>
  <c r="D7362" i="3"/>
  <c r="C7362" i="3"/>
  <c r="B7362" i="3"/>
  <c r="D7361" i="3"/>
  <c r="C7361" i="3"/>
  <c r="B7361" i="3"/>
  <c r="D7360" i="3"/>
  <c r="C7360" i="3"/>
  <c r="B7360" i="3"/>
  <c r="D7359" i="3"/>
  <c r="C7359" i="3"/>
  <c r="B7359" i="3"/>
  <c r="D7358" i="3"/>
  <c r="C7358" i="3"/>
  <c r="B7358" i="3"/>
  <c r="D7357" i="3"/>
  <c r="C7357" i="3"/>
  <c r="B7357" i="3"/>
  <c r="D7356" i="3"/>
  <c r="C7356" i="3"/>
  <c r="B7356" i="3"/>
  <c r="D7355" i="3"/>
  <c r="C7355" i="3"/>
  <c r="B7355" i="3"/>
  <c r="D7354" i="3"/>
  <c r="C7354" i="3"/>
  <c r="B7354" i="3"/>
  <c r="D7353" i="3"/>
  <c r="C7353" i="3"/>
  <c r="B7353" i="3"/>
  <c r="D7352" i="3"/>
  <c r="C7352" i="3"/>
  <c r="B7352" i="3"/>
  <c r="D7351" i="3"/>
  <c r="C7351" i="3"/>
  <c r="B7351" i="3"/>
  <c r="D7350" i="3"/>
  <c r="C7350" i="3"/>
  <c r="B7350" i="3"/>
  <c r="D7349" i="3"/>
  <c r="C7349" i="3"/>
  <c r="B7349" i="3"/>
  <c r="D7348" i="3"/>
  <c r="C7348" i="3"/>
  <c r="B7348" i="3"/>
  <c r="D7347" i="3"/>
  <c r="C7347" i="3"/>
  <c r="B7347" i="3"/>
  <c r="D7346" i="3"/>
  <c r="C7346" i="3"/>
  <c r="B7346" i="3"/>
  <c r="D7345" i="3"/>
  <c r="C7345" i="3"/>
  <c r="B7345" i="3"/>
  <c r="D7344" i="3"/>
  <c r="C7344" i="3"/>
  <c r="B7344" i="3"/>
  <c r="D7343" i="3"/>
  <c r="C7343" i="3"/>
  <c r="B7343" i="3"/>
  <c r="D7342" i="3"/>
  <c r="C7342" i="3"/>
  <c r="B7342" i="3"/>
  <c r="D7341" i="3"/>
  <c r="C7341" i="3"/>
  <c r="B7341" i="3"/>
  <c r="D7340" i="3"/>
  <c r="C7340" i="3"/>
  <c r="B7340" i="3"/>
  <c r="D7339" i="3"/>
  <c r="C7339" i="3"/>
  <c r="B7339" i="3"/>
  <c r="D7338" i="3"/>
  <c r="C7338" i="3"/>
  <c r="B7338" i="3"/>
  <c r="D7337" i="3"/>
  <c r="C7337" i="3"/>
  <c r="B7337" i="3"/>
  <c r="D7336" i="3"/>
  <c r="C7336" i="3"/>
  <c r="B7336" i="3"/>
  <c r="D7335" i="3"/>
  <c r="C7335" i="3"/>
  <c r="B7335" i="3"/>
  <c r="D7334" i="3"/>
  <c r="C7334" i="3"/>
  <c r="B7334" i="3"/>
  <c r="D7333" i="3"/>
  <c r="C7333" i="3"/>
  <c r="B7333" i="3"/>
  <c r="D7332" i="3"/>
  <c r="C7332" i="3"/>
  <c r="B7332" i="3"/>
  <c r="D7331" i="3"/>
  <c r="C7331" i="3"/>
  <c r="B7331" i="3"/>
  <c r="D7330" i="3"/>
  <c r="C7330" i="3"/>
  <c r="B7330" i="3"/>
  <c r="D7329" i="3"/>
  <c r="C7329" i="3"/>
  <c r="B7329" i="3"/>
  <c r="D7328" i="3"/>
  <c r="C7328" i="3"/>
  <c r="B7328" i="3"/>
  <c r="D7327" i="3"/>
  <c r="C7327" i="3"/>
  <c r="B7327" i="3"/>
  <c r="D7326" i="3"/>
  <c r="C7326" i="3"/>
  <c r="B7326" i="3"/>
  <c r="D7325" i="3"/>
  <c r="C7325" i="3"/>
  <c r="B7325" i="3"/>
  <c r="D7324" i="3"/>
  <c r="C7324" i="3"/>
  <c r="B7324" i="3"/>
  <c r="D7323" i="3"/>
  <c r="C7323" i="3"/>
  <c r="B7323" i="3"/>
  <c r="D7322" i="3"/>
  <c r="C7322" i="3"/>
  <c r="B7322" i="3"/>
  <c r="D7321" i="3"/>
  <c r="C7321" i="3"/>
  <c r="B7321" i="3"/>
  <c r="D7320" i="3"/>
  <c r="C7320" i="3"/>
  <c r="B7320" i="3"/>
  <c r="D7319" i="3"/>
  <c r="C7319" i="3"/>
  <c r="B7319" i="3"/>
  <c r="D7318" i="3"/>
  <c r="C7318" i="3"/>
  <c r="B7318" i="3"/>
  <c r="D7317" i="3"/>
  <c r="C7317" i="3"/>
  <c r="B7317" i="3"/>
  <c r="D7316" i="3"/>
  <c r="C7316" i="3"/>
  <c r="B7316" i="3"/>
  <c r="D7315" i="3"/>
  <c r="C7315" i="3"/>
  <c r="B7315" i="3"/>
  <c r="D7314" i="3"/>
  <c r="C7314" i="3"/>
  <c r="B7314" i="3"/>
  <c r="D7313" i="3"/>
  <c r="C7313" i="3"/>
  <c r="B7313" i="3"/>
  <c r="D7312" i="3"/>
  <c r="C7312" i="3"/>
  <c r="B7312" i="3"/>
  <c r="D7311" i="3"/>
  <c r="C7311" i="3"/>
  <c r="B7311" i="3"/>
  <c r="D7310" i="3"/>
  <c r="C7310" i="3"/>
  <c r="B7310" i="3"/>
  <c r="D7309" i="3"/>
  <c r="C7309" i="3"/>
  <c r="B7309" i="3"/>
  <c r="D7308" i="3"/>
  <c r="C7308" i="3"/>
  <c r="B7308" i="3"/>
  <c r="D7307" i="3"/>
  <c r="C7307" i="3"/>
  <c r="B7307" i="3"/>
  <c r="D7306" i="3"/>
  <c r="C7306" i="3"/>
  <c r="B7306" i="3"/>
  <c r="D7305" i="3"/>
  <c r="C7305" i="3"/>
  <c r="B7305" i="3"/>
  <c r="D7304" i="3"/>
  <c r="C7304" i="3"/>
  <c r="B7304" i="3"/>
  <c r="D7303" i="3"/>
  <c r="C7303" i="3"/>
  <c r="B7303" i="3"/>
  <c r="D7302" i="3"/>
  <c r="C7302" i="3"/>
  <c r="B7302" i="3"/>
  <c r="D7301" i="3"/>
  <c r="C7301" i="3"/>
  <c r="B7301" i="3"/>
  <c r="D7300" i="3"/>
  <c r="C7300" i="3"/>
  <c r="B7300" i="3"/>
  <c r="D7299" i="3"/>
  <c r="C7299" i="3"/>
  <c r="B7299" i="3"/>
  <c r="D7298" i="3"/>
  <c r="C7298" i="3"/>
  <c r="B7298" i="3"/>
  <c r="D7297" i="3"/>
  <c r="C7297" i="3"/>
  <c r="B7297" i="3"/>
  <c r="D7296" i="3"/>
  <c r="C7296" i="3"/>
  <c r="B7296" i="3"/>
  <c r="D7295" i="3"/>
  <c r="C7295" i="3"/>
  <c r="B7295" i="3"/>
  <c r="D7294" i="3"/>
  <c r="C7294" i="3"/>
  <c r="B7294" i="3"/>
  <c r="D7293" i="3"/>
  <c r="C7293" i="3"/>
  <c r="B7293" i="3"/>
  <c r="D7292" i="3"/>
  <c r="C7292" i="3"/>
  <c r="B7292" i="3"/>
  <c r="D7291" i="3"/>
  <c r="C7291" i="3"/>
  <c r="B7291" i="3"/>
  <c r="D7290" i="3"/>
  <c r="C7290" i="3"/>
  <c r="B7290" i="3"/>
  <c r="D7289" i="3"/>
  <c r="C7289" i="3"/>
  <c r="B7289" i="3"/>
  <c r="D7288" i="3"/>
  <c r="C7288" i="3"/>
  <c r="B7288" i="3"/>
  <c r="D7287" i="3"/>
  <c r="C7287" i="3"/>
  <c r="B7287" i="3"/>
  <c r="D7286" i="3"/>
  <c r="C7286" i="3"/>
  <c r="B7286" i="3"/>
  <c r="D7285" i="3"/>
  <c r="C7285" i="3"/>
  <c r="B7285" i="3"/>
  <c r="D7284" i="3"/>
  <c r="C7284" i="3"/>
  <c r="B7284" i="3"/>
  <c r="D7283" i="3"/>
  <c r="C7283" i="3"/>
  <c r="B7283" i="3"/>
  <c r="D7282" i="3"/>
  <c r="C7282" i="3"/>
  <c r="B7282" i="3"/>
  <c r="D7281" i="3"/>
  <c r="C7281" i="3"/>
  <c r="B7281" i="3"/>
  <c r="D7280" i="3"/>
  <c r="C7280" i="3"/>
  <c r="B7280" i="3"/>
  <c r="D7279" i="3"/>
  <c r="C7279" i="3"/>
  <c r="B7279" i="3"/>
  <c r="D7278" i="3"/>
  <c r="C7278" i="3"/>
  <c r="B7278" i="3"/>
  <c r="D7277" i="3"/>
  <c r="C7277" i="3"/>
  <c r="B7277" i="3"/>
  <c r="D7276" i="3"/>
  <c r="C7276" i="3"/>
  <c r="B7276" i="3"/>
  <c r="D7275" i="3"/>
  <c r="C7275" i="3"/>
  <c r="B7275" i="3"/>
  <c r="D7274" i="3"/>
  <c r="C7274" i="3"/>
  <c r="B7274" i="3"/>
  <c r="D7273" i="3"/>
  <c r="C7273" i="3"/>
  <c r="B7273" i="3"/>
  <c r="D7272" i="3"/>
  <c r="C7272" i="3"/>
  <c r="B7272" i="3"/>
  <c r="D7271" i="3"/>
  <c r="C7271" i="3"/>
  <c r="B7271" i="3"/>
  <c r="D7270" i="3"/>
  <c r="C7270" i="3"/>
  <c r="B7270" i="3"/>
  <c r="D7269" i="3"/>
  <c r="C7269" i="3"/>
  <c r="B7269" i="3"/>
  <c r="D7268" i="3"/>
  <c r="C7268" i="3"/>
  <c r="B7268" i="3"/>
  <c r="D7267" i="3"/>
  <c r="C7267" i="3"/>
  <c r="B7267" i="3"/>
  <c r="D7266" i="3"/>
  <c r="C7266" i="3"/>
  <c r="B7266" i="3"/>
  <c r="D7265" i="3"/>
  <c r="C7265" i="3"/>
  <c r="B7265" i="3"/>
  <c r="D7264" i="3"/>
  <c r="C7264" i="3"/>
  <c r="B7264" i="3"/>
  <c r="D7263" i="3"/>
  <c r="C7263" i="3"/>
  <c r="B7263" i="3"/>
  <c r="D7262" i="3"/>
  <c r="C7262" i="3"/>
  <c r="B7262" i="3"/>
  <c r="D7261" i="3"/>
  <c r="C7261" i="3"/>
  <c r="B7261" i="3"/>
  <c r="D7260" i="3"/>
  <c r="C7260" i="3"/>
  <c r="B7260" i="3"/>
  <c r="D7259" i="3"/>
  <c r="C7259" i="3"/>
  <c r="B7259" i="3"/>
  <c r="D7258" i="3"/>
  <c r="C7258" i="3"/>
  <c r="B7258" i="3"/>
  <c r="D7257" i="3"/>
  <c r="C7257" i="3"/>
  <c r="B7257" i="3"/>
  <c r="D7256" i="3"/>
  <c r="C7256" i="3"/>
  <c r="B7256" i="3"/>
  <c r="D7255" i="3"/>
  <c r="C7255" i="3"/>
  <c r="B7255" i="3"/>
  <c r="D7254" i="3"/>
  <c r="C7254" i="3"/>
  <c r="B7254" i="3"/>
  <c r="D7253" i="3"/>
  <c r="C7253" i="3"/>
  <c r="B7253" i="3"/>
  <c r="D7252" i="3"/>
  <c r="C7252" i="3"/>
  <c r="B7252" i="3"/>
  <c r="D7251" i="3"/>
  <c r="C7251" i="3"/>
  <c r="B7251" i="3"/>
  <c r="D7250" i="3"/>
  <c r="C7250" i="3"/>
  <c r="B7250" i="3"/>
  <c r="D7249" i="3"/>
  <c r="C7249" i="3"/>
  <c r="B7249" i="3"/>
  <c r="D7248" i="3"/>
  <c r="C7248" i="3"/>
  <c r="B7248" i="3"/>
  <c r="D7247" i="3"/>
  <c r="C7247" i="3"/>
  <c r="B7247" i="3"/>
  <c r="D7246" i="3"/>
  <c r="C7246" i="3"/>
  <c r="B7246" i="3"/>
  <c r="D7245" i="3"/>
  <c r="C7245" i="3"/>
  <c r="B7245" i="3"/>
  <c r="D7244" i="3"/>
  <c r="C7244" i="3"/>
  <c r="B7244" i="3"/>
  <c r="D7243" i="3"/>
  <c r="C7243" i="3"/>
  <c r="B7243" i="3"/>
  <c r="D7242" i="3"/>
  <c r="C7242" i="3"/>
  <c r="B7242" i="3"/>
  <c r="D7241" i="3"/>
  <c r="C7241" i="3"/>
  <c r="B7241" i="3"/>
  <c r="D7240" i="3"/>
  <c r="C7240" i="3"/>
  <c r="B7240" i="3"/>
  <c r="D7239" i="3"/>
  <c r="C7239" i="3"/>
  <c r="B7239" i="3"/>
  <c r="D7238" i="3"/>
  <c r="C7238" i="3"/>
  <c r="B7238" i="3"/>
  <c r="D7237" i="3"/>
  <c r="C7237" i="3"/>
  <c r="B7237" i="3"/>
  <c r="D7236" i="3"/>
  <c r="C7236" i="3"/>
  <c r="B7236" i="3"/>
  <c r="D7235" i="3"/>
  <c r="C7235" i="3"/>
  <c r="B7235" i="3"/>
  <c r="D7234" i="3"/>
  <c r="C7234" i="3"/>
  <c r="B7234" i="3"/>
  <c r="D7233" i="3"/>
  <c r="C7233" i="3"/>
  <c r="B7233" i="3"/>
  <c r="D7232" i="3"/>
  <c r="C7232" i="3"/>
  <c r="B7232" i="3"/>
  <c r="D7231" i="3"/>
  <c r="C7231" i="3"/>
  <c r="B7231" i="3"/>
  <c r="D7230" i="3"/>
  <c r="C7230" i="3"/>
  <c r="B7230" i="3"/>
  <c r="D7229" i="3"/>
  <c r="C7229" i="3"/>
  <c r="B7229" i="3"/>
  <c r="D7228" i="3"/>
  <c r="C7228" i="3"/>
  <c r="B7228" i="3"/>
  <c r="D7227" i="3"/>
  <c r="C7227" i="3"/>
  <c r="B7227" i="3"/>
  <c r="D7226" i="3"/>
  <c r="C7226" i="3"/>
  <c r="B7226" i="3"/>
  <c r="D7225" i="3"/>
  <c r="C7225" i="3"/>
  <c r="B7225" i="3"/>
  <c r="D7224" i="3"/>
  <c r="C7224" i="3"/>
  <c r="B7224" i="3"/>
  <c r="D7223" i="3"/>
  <c r="C7223" i="3"/>
  <c r="B7223" i="3"/>
  <c r="D7222" i="3"/>
  <c r="C7222" i="3"/>
  <c r="B7222" i="3"/>
  <c r="D7221" i="3"/>
  <c r="C7221" i="3"/>
  <c r="B7221" i="3"/>
  <c r="D7220" i="3"/>
  <c r="C7220" i="3"/>
  <c r="B7220" i="3"/>
  <c r="D7219" i="3"/>
  <c r="C7219" i="3"/>
  <c r="B7219" i="3"/>
  <c r="D7218" i="3"/>
  <c r="C7218" i="3"/>
  <c r="B7218" i="3"/>
  <c r="D7217" i="3"/>
  <c r="C7217" i="3"/>
  <c r="B7217" i="3"/>
  <c r="D7216" i="3"/>
  <c r="C7216" i="3"/>
  <c r="B7216" i="3"/>
  <c r="D7215" i="3"/>
  <c r="C7215" i="3"/>
  <c r="B7215" i="3"/>
  <c r="D7214" i="3"/>
  <c r="C7214" i="3"/>
  <c r="B7214" i="3"/>
  <c r="D7213" i="3"/>
  <c r="C7213" i="3"/>
  <c r="B7213" i="3"/>
  <c r="D7212" i="3"/>
  <c r="C7212" i="3"/>
  <c r="B7212" i="3"/>
  <c r="D7211" i="3"/>
  <c r="C7211" i="3"/>
  <c r="B7211" i="3"/>
  <c r="D7210" i="3"/>
  <c r="C7210" i="3"/>
  <c r="B7210" i="3"/>
  <c r="D7209" i="3"/>
  <c r="C7209" i="3"/>
  <c r="B7209" i="3"/>
  <c r="D7208" i="3"/>
  <c r="C7208" i="3"/>
  <c r="B7208" i="3"/>
  <c r="D7207" i="3"/>
  <c r="C7207" i="3"/>
  <c r="B7207" i="3"/>
  <c r="D7206" i="3"/>
  <c r="C7206" i="3"/>
  <c r="B7206" i="3"/>
  <c r="D7205" i="3"/>
  <c r="C7205" i="3"/>
  <c r="B7205" i="3"/>
  <c r="D7204" i="3"/>
  <c r="C7204" i="3"/>
  <c r="B7204" i="3"/>
  <c r="D7203" i="3"/>
  <c r="C7203" i="3"/>
  <c r="B7203" i="3"/>
  <c r="D7202" i="3"/>
  <c r="C7202" i="3"/>
  <c r="B7202" i="3"/>
  <c r="D7201" i="3"/>
  <c r="C7201" i="3"/>
  <c r="B7201" i="3"/>
  <c r="D7200" i="3"/>
  <c r="C7200" i="3"/>
  <c r="B7200" i="3"/>
  <c r="D7199" i="3"/>
  <c r="C7199" i="3"/>
  <c r="B7199" i="3"/>
  <c r="D7198" i="3"/>
  <c r="C7198" i="3"/>
  <c r="B7198" i="3"/>
  <c r="D7197" i="3"/>
  <c r="C7197" i="3"/>
  <c r="B7197" i="3"/>
  <c r="D7196" i="3"/>
  <c r="C7196" i="3"/>
  <c r="B7196" i="3"/>
  <c r="D7195" i="3"/>
  <c r="C7195" i="3"/>
  <c r="B7195" i="3"/>
  <c r="D7194" i="3"/>
  <c r="C7194" i="3"/>
  <c r="B7194" i="3"/>
  <c r="D7193" i="3"/>
  <c r="C7193" i="3"/>
  <c r="B7193" i="3"/>
  <c r="D7192" i="3"/>
  <c r="C7192" i="3"/>
  <c r="B7192" i="3"/>
  <c r="D7191" i="3"/>
  <c r="C7191" i="3"/>
  <c r="B7191" i="3"/>
  <c r="D7190" i="3"/>
  <c r="C7190" i="3"/>
  <c r="B7190" i="3"/>
  <c r="D7189" i="3"/>
  <c r="C7189" i="3"/>
  <c r="B7189" i="3"/>
  <c r="D7188" i="3"/>
  <c r="C7188" i="3"/>
  <c r="B7188" i="3"/>
  <c r="D7187" i="3"/>
  <c r="C7187" i="3"/>
  <c r="B7187" i="3"/>
  <c r="D7186" i="3"/>
  <c r="C7186" i="3"/>
  <c r="B7186" i="3"/>
  <c r="D7185" i="3"/>
  <c r="C7185" i="3"/>
  <c r="B7185" i="3"/>
  <c r="D7184" i="3"/>
  <c r="C7184" i="3"/>
  <c r="B7184" i="3"/>
  <c r="D7183" i="3"/>
  <c r="C7183" i="3"/>
  <c r="B7183" i="3"/>
  <c r="D7182" i="3"/>
  <c r="C7182" i="3"/>
  <c r="B7182" i="3"/>
  <c r="D7181" i="3"/>
  <c r="C7181" i="3"/>
  <c r="B7181" i="3"/>
  <c r="D7180" i="3"/>
  <c r="C7180" i="3"/>
  <c r="B7180" i="3"/>
  <c r="D7179" i="3"/>
  <c r="C7179" i="3"/>
  <c r="B7179" i="3"/>
  <c r="D7178" i="3"/>
  <c r="C7178" i="3"/>
  <c r="B7178" i="3"/>
  <c r="D7177" i="3"/>
  <c r="C7177" i="3"/>
  <c r="B7177" i="3"/>
  <c r="D7176" i="3"/>
  <c r="C7176" i="3"/>
  <c r="B7176" i="3"/>
  <c r="D7175" i="3"/>
  <c r="C7175" i="3"/>
  <c r="B7175" i="3"/>
  <c r="D7174" i="3"/>
  <c r="C7174" i="3"/>
  <c r="B7174" i="3"/>
  <c r="D7173" i="3"/>
  <c r="C7173" i="3"/>
  <c r="B7173" i="3"/>
  <c r="D7172" i="3"/>
  <c r="C7172" i="3"/>
  <c r="B7172" i="3"/>
  <c r="D7171" i="3"/>
  <c r="C7171" i="3"/>
  <c r="B7171" i="3"/>
  <c r="D7170" i="3"/>
  <c r="C7170" i="3"/>
  <c r="B7170" i="3"/>
  <c r="D7169" i="3"/>
  <c r="C7169" i="3"/>
  <c r="B7169" i="3"/>
  <c r="D7168" i="3"/>
  <c r="C7168" i="3"/>
  <c r="B7168" i="3"/>
  <c r="D7167" i="3"/>
  <c r="C7167" i="3"/>
  <c r="B7167" i="3"/>
  <c r="D7166" i="3"/>
  <c r="C7166" i="3"/>
  <c r="B7166" i="3"/>
  <c r="D7165" i="3"/>
  <c r="C7165" i="3"/>
  <c r="B7165" i="3"/>
  <c r="D7164" i="3"/>
  <c r="C7164" i="3"/>
  <c r="B7164" i="3"/>
  <c r="D7163" i="3"/>
  <c r="C7163" i="3"/>
  <c r="B7163" i="3"/>
  <c r="D7162" i="3"/>
  <c r="C7162" i="3"/>
  <c r="B7162" i="3"/>
  <c r="D7161" i="3"/>
  <c r="C7161" i="3"/>
  <c r="B7161" i="3"/>
  <c r="D7160" i="3"/>
  <c r="C7160" i="3"/>
  <c r="B7160" i="3"/>
  <c r="D7159" i="3"/>
  <c r="C7159" i="3"/>
  <c r="B7159" i="3"/>
  <c r="D7158" i="3"/>
  <c r="C7158" i="3"/>
  <c r="B7158" i="3"/>
  <c r="D7157" i="3"/>
  <c r="C7157" i="3"/>
  <c r="B7157" i="3"/>
  <c r="D7156" i="3"/>
  <c r="C7156" i="3"/>
  <c r="B7156" i="3"/>
  <c r="D7155" i="3"/>
  <c r="C7155" i="3"/>
  <c r="B7155" i="3"/>
  <c r="D7154" i="3"/>
  <c r="C7154" i="3"/>
  <c r="B7154" i="3"/>
  <c r="D7153" i="3"/>
  <c r="C7153" i="3"/>
  <c r="B7153" i="3"/>
  <c r="D7152" i="3"/>
  <c r="C7152" i="3"/>
  <c r="B7152" i="3"/>
  <c r="D7151" i="3"/>
  <c r="C7151" i="3"/>
  <c r="B7151" i="3"/>
  <c r="D7150" i="3"/>
  <c r="C7150" i="3"/>
  <c r="B7150" i="3"/>
  <c r="D7149" i="3"/>
  <c r="C7149" i="3"/>
  <c r="B7149" i="3"/>
  <c r="D7148" i="3"/>
  <c r="C7148" i="3"/>
  <c r="B7148" i="3"/>
  <c r="D7147" i="3"/>
  <c r="C7147" i="3"/>
  <c r="B7147" i="3"/>
  <c r="D7146" i="3"/>
  <c r="C7146" i="3"/>
  <c r="B7146" i="3"/>
  <c r="D7145" i="3"/>
  <c r="C7145" i="3"/>
  <c r="B7145" i="3"/>
  <c r="D7144" i="3"/>
  <c r="C7144" i="3"/>
  <c r="B7144" i="3"/>
  <c r="D7143" i="3"/>
  <c r="C7143" i="3"/>
  <c r="B7143" i="3"/>
  <c r="D7142" i="3"/>
  <c r="C7142" i="3"/>
  <c r="B7142" i="3"/>
  <c r="D7141" i="3"/>
  <c r="C7141" i="3"/>
  <c r="B7141" i="3"/>
  <c r="D7140" i="3"/>
  <c r="C7140" i="3"/>
  <c r="B7140" i="3"/>
  <c r="D7139" i="3"/>
  <c r="C7139" i="3"/>
  <c r="B7139" i="3"/>
  <c r="D7138" i="3"/>
  <c r="C7138" i="3"/>
  <c r="B7138" i="3"/>
  <c r="D7137" i="3"/>
  <c r="C7137" i="3"/>
  <c r="B7137" i="3"/>
  <c r="D7136" i="3"/>
  <c r="C7136" i="3"/>
  <c r="B7136" i="3"/>
  <c r="D7135" i="3"/>
  <c r="C7135" i="3"/>
  <c r="B7135" i="3"/>
  <c r="D7134" i="3"/>
  <c r="C7134" i="3"/>
  <c r="B7134" i="3"/>
  <c r="D7133" i="3"/>
  <c r="C7133" i="3"/>
  <c r="B7133" i="3"/>
  <c r="D7132" i="3"/>
  <c r="C7132" i="3"/>
  <c r="B7132" i="3"/>
  <c r="D7131" i="3"/>
  <c r="C7131" i="3"/>
  <c r="B7131" i="3"/>
  <c r="D7130" i="3"/>
  <c r="C7130" i="3"/>
  <c r="B7130" i="3"/>
  <c r="D7129" i="3"/>
  <c r="C7129" i="3"/>
  <c r="B7129" i="3"/>
  <c r="D7128" i="3"/>
  <c r="C7128" i="3"/>
  <c r="B7128" i="3"/>
  <c r="D7127" i="3"/>
  <c r="C7127" i="3"/>
  <c r="B7127" i="3"/>
  <c r="D7126" i="3"/>
  <c r="C7126" i="3"/>
  <c r="B7126" i="3"/>
  <c r="D7125" i="3"/>
  <c r="C7125" i="3"/>
  <c r="B7125" i="3"/>
  <c r="D7124" i="3"/>
  <c r="C7124" i="3"/>
  <c r="B7124" i="3"/>
  <c r="D7123" i="3"/>
  <c r="C7123" i="3"/>
  <c r="B7123" i="3"/>
  <c r="D7122" i="3"/>
  <c r="C7122" i="3"/>
  <c r="B7122" i="3"/>
  <c r="D7121" i="3"/>
  <c r="C7121" i="3"/>
  <c r="B7121" i="3"/>
  <c r="D7120" i="3"/>
  <c r="C7120" i="3"/>
  <c r="B7120" i="3"/>
  <c r="D7119" i="3"/>
  <c r="C7119" i="3"/>
  <c r="B7119" i="3"/>
  <c r="D7118" i="3"/>
  <c r="C7118" i="3"/>
  <c r="B7118" i="3"/>
  <c r="D7117" i="3"/>
  <c r="C7117" i="3"/>
  <c r="B7117" i="3"/>
  <c r="D7116" i="3"/>
  <c r="C7116" i="3"/>
  <c r="B7116" i="3"/>
  <c r="D7115" i="3"/>
  <c r="C7115" i="3"/>
  <c r="B7115" i="3"/>
  <c r="D7114" i="3"/>
  <c r="C7114" i="3"/>
  <c r="B7114" i="3"/>
  <c r="D7113" i="3"/>
  <c r="C7113" i="3"/>
  <c r="B7113" i="3"/>
  <c r="D7112" i="3"/>
  <c r="C7112" i="3"/>
  <c r="B7112" i="3"/>
  <c r="D7111" i="3"/>
  <c r="C7111" i="3"/>
  <c r="B7111" i="3"/>
  <c r="D7110" i="3"/>
  <c r="C7110" i="3"/>
  <c r="B7110" i="3"/>
  <c r="D7109" i="3"/>
  <c r="C7109" i="3"/>
  <c r="B7109" i="3"/>
  <c r="D7108" i="3"/>
  <c r="C7108" i="3"/>
  <c r="B7108" i="3"/>
  <c r="D7107" i="3"/>
  <c r="C7107" i="3"/>
  <c r="B7107" i="3"/>
  <c r="D7106" i="3"/>
  <c r="C7106" i="3"/>
  <c r="B7106" i="3"/>
  <c r="D7105" i="3"/>
  <c r="C7105" i="3"/>
  <c r="B7105" i="3"/>
  <c r="D7104" i="3"/>
  <c r="C7104" i="3"/>
  <c r="B7104" i="3"/>
  <c r="D7103" i="3"/>
  <c r="C7103" i="3"/>
  <c r="B7103" i="3"/>
  <c r="D7102" i="3"/>
  <c r="C7102" i="3"/>
  <c r="B7102" i="3"/>
  <c r="D7101" i="3"/>
  <c r="C7101" i="3"/>
  <c r="B7101" i="3"/>
  <c r="D7100" i="3"/>
  <c r="C7100" i="3"/>
  <c r="B7100" i="3"/>
  <c r="D7099" i="3"/>
  <c r="C7099" i="3"/>
  <c r="B7099" i="3"/>
  <c r="D7098" i="3"/>
  <c r="C7098" i="3"/>
  <c r="B7098" i="3"/>
  <c r="D7097" i="3"/>
  <c r="C7097" i="3"/>
  <c r="B7097" i="3"/>
  <c r="D7096" i="3"/>
  <c r="C7096" i="3"/>
  <c r="B7096" i="3"/>
  <c r="D7095" i="3"/>
  <c r="C7095" i="3"/>
  <c r="B7095" i="3"/>
  <c r="D7094" i="3"/>
  <c r="C7094" i="3"/>
  <c r="B7094" i="3"/>
  <c r="D7093" i="3"/>
  <c r="C7093" i="3"/>
  <c r="B7093" i="3"/>
  <c r="D7092" i="3"/>
  <c r="C7092" i="3"/>
  <c r="B7092" i="3"/>
  <c r="D7091" i="3"/>
  <c r="C7091" i="3"/>
  <c r="B7091" i="3"/>
  <c r="D7090" i="3"/>
  <c r="C7090" i="3"/>
  <c r="B7090" i="3"/>
  <c r="D7089" i="3"/>
  <c r="C7089" i="3"/>
  <c r="B7089" i="3"/>
  <c r="D7088" i="3"/>
  <c r="C7088" i="3"/>
  <c r="B7088" i="3"/>
  <c r="D7087" i="3"/>
  <c r="C7087" i="3"/>
  <c r="B7087" i="3"/>
  <c r="D7086" i="3"/>
  <c r="C7086" i="3"/>
  <c r="B7086" i="3"/>
  <c r="D7085" i="3"/>
  <c r="C7085" i="3"/>
  <c r="B7085" i="3"/>
  <c r="D7084" i="3"/>
  <c r="C7084" i="3"/>
  <c r="B7084" i="3"/>
  <c r="D7083" i="3"/>
  <c r="C7083" i="3"/>
  <c r="B7083" i="3"/>
  <c r="D7082" i="3"/>
  <c r="C7082" i="3"/>
  <c r="B7082" i="3"/>
  <c r="D7081" i="3"/>
  <c r="C7081" i="3"/>
  <c r="B7081" i="3"/>
  <c r="D7080" i="3"/>
  <c r="C7080" i="3"/>
  <c r="B7080" i="3"/>
  <c r="D7079" i="3"/>
  <c r="C7079" i="3"/>
  <c r="B7079" i="3"/>
  <c r="D7078" i="3"/>
  <c r="C7078" i="3"/>
  <c r="B7078" i="3"/>
  <c r="D7077" i="3"/>
  <c r="C7077" i="3"/>
  <c r="B7077" i="3"/>
  <c r="D7076" i="3"/>
  <c r="C7076" i="3"/>
  <c r="B7076" i="3"/>
  <c r="D7075" i="3"/>
  <c r="C7075" i="3"/>
  <c r="B7075" i="3"/>
  <c r="D7074" i="3"/>
  <c r="C7074" i="3"/>
  <c r="B7074" i="3"/>
  <c r="D7073" i="3"/>
  <c r="C7073" i="3"/>
  <c r="B7073" i="3"/>
  <c r="D7072" i="3"/>
  <c r="C7072" i="3"/>
  <c r="B7072" i="3"/>
  <c r="D7071" i="3"/>
  <c r="C7071" i="3"/>
  <c r="B7071" i="3"/>
  <c r="D7070" i="3"/>
  <c r="C7070" i="3"/>
  <c r="B7070" i="3"/>
  <c r="D7069" i="3"/>
  <c r="C7069" i="3"/>
  <c r="B7069" i="3"/>
  <c r="D7068" i="3"/>
  <c r="C7068" i="3"/>
  <c r="B7068" i="3"/>
  <c r="D7067" i="3"/>
  <c r="C7067" i="3"/>
  <c r="B7067" i="3"/>
  <c r="D7066" i="3"/>
  <c r="C7066" i="3"/>
  <c r="B7066" i="3"/>
  <c r="D7065" i="3"/>
  <c r="C7065" i="3"/>
  <c r="B7065" i="3"/>
  <c r="D7064" i="3"/>
  <c r="C7064" i="3"/>
  <c r="B7064" i="3"/>
  <c r="D7063" i="3"/>
  <c r="C7063" i="3"/>
  <c r="B7063" i="3"/>
  <c r="D7062" i="3"/>
  <c r="C7062" i="3"/>
  <c r="B7062" i="3"/>
  <c r="D7061" i="3"/>
  <c r="C7061" i="3"/>
  <c r="B7061" i="3"/>
  <c r="D7060" i="3"/>
  <c r="C7060" i="3"/>
  <c r="B7060" i="3"/>
  <c r="D7059" i="3"/>
  <c r="C7059" i="3"/>
  <c r="B7059" i="3"/>
  <c r="D7058" i="3"/>
  <c r="C7058" i="3"/>
  <c r="B7058" i="3"/>
  <c r="D7057" i="3"/>
  <c r="C7057" i="3"/>
  <c r="B7057" i="3"/>
  <c r="D7056" i="3"/>
  <c r="C7056" i="3"/>
  <c r="B7056" i="3"/>
  <c r="D7055" i="3"/>
  <c r="C7055" i="3"/>
  <c r="B7055" i="3"/>
  <c r="D7054" i="3"/>
  <c r="C7054" i="3"/>
  <c r="B7054" i="3"/>
  <c r="D7053" i="3"/>
  <c r="C7053" i="3"/>
  <c r="B7053" i="3"/>
  <c r="D7052" i="3"/>
  <c r="C7052" i="3"/>
  <c r="B7052" i="3"/>
  <c r="D7051" i="3"/>
  <c r="C7051" i="3"/>
  <c r="B7051" i="3"/>
  <c r="D7050" i="3"/>
  <c r="C7050" i="3"/>
  <c r="B7050" i="3"/>
  <c r="D7049" i="3"/>
  <c r="C7049" i="3"/>
  <c r="B7049" i="3"/>
  <c r="D7048" i="3"/>
  <c r="C7048" i="3"/>
  <c r="B7048" i="3"/>
  <c r="D7047" i="3"/>
  <c r="C7047" i="3"/>
  <c r="B7047" i="3"/>
  <c r="D7046" i="3"/>
  <c r="C7046" i="3"/>
  <c r="B7046" i="3"/>
  <c r="D7045" i="3"/>
  <c r="C7045" i="3"/>
  <c r="B7045" i="3"/>
  <c r="D7044" i="3"/>
  <c r="C7044" i="3"/>
  <c r="B7044" i="3"/>
  <c r="D7043" i="3"/>
  <c r="C7043" i="3"/>
  <c r="B7043" i="3"/>
  <c r="D7042" i="3"/>
  <c r="C7042" i="3"/>
  <c r="B7042" i="3"/>
  <c r="D7041" i="3"/>
  <c r="C7041" i="3"/>
  <c r="B7041" i="3"/>
  <c r="D7040" i="3"/>
  <c r="C7040" i="3"/>
  <c r="B7040" i="3"/>
  <c r="D7039" i="3"/>
  <c r="C7039" i="3"/>
  <c r="B7039" i="3"/>
  <c r="D7038" i="3"/>
  <c r="C7038" i="3"/>
  <c r="B7038" i="3"/>
  <c r="D7037" i="3"/>
  <c r="C7037" i="3"/>
  <c r="B7037" i="3"/>
  <c r="D7036" i="3"/>
  <c r="C7036" i="3"/>
  <c r="B7036" i="3"/>
  <c r="D7035" i="3"/>
  <c r="C7035" i="3"/>
  <c r="B7035" i="3"/>
  <c r="D7034" i="3"/>
  <c r="C7034" i="3"/>
  <c r="B7034" i="3"/>
  <c r="D7033" i="3"/>
  <c r="C7033" i="3"/>
  <c r="B7033" i="3"/>
  <c r="D7032" i="3"/>
  <c r="C7032" i="3"/>
  <c r="B7032" i="3"/>
  <c r="D7031" i="3"/>
  <c r="C7031" i="3"/>
  <c r="B7031" i="3"/>
  <c r="D7030" i="3"/>
  <c r="C7030" i="3"/>
  <c r="B7030" i="3"/>
  <c r="D7029" i="3"/>
  <c r="C7029" i="3"/>
  <c r="B7029" i="3"/>
  <c r="D7028" i="3"/>
  <c r="C7028" i="3"/>
  <c r="B7028" i="3"/>
  <c r="D7027" i="3"/>
  <c r="C7027" i="3"/>
  <c r="B7027" i="3"/>
  <c r="D7026" i="3"/>
  <c r="C7026" i="3"/>
  <c r="B7026" i="3"/>
  <c r="D7025" i="3"/>
  <c r="C7025" i="3"/>
  <c r="B7025" i="3"/>
  <c r="D7024" i="3"/>
  <c r="C7024" i="3"/>
  <c r="B7024" i="3"/>
  <c r="D7023" i="3"/>
  <c r="C7023" i="3"/>
  <c r="B7023" i="3"/>
  <c r="D7022" i="3"/>
  <c r="C7022" i="3"/>
  <c r="B7022" i="3"/>
  <c r="D7021" i="3"/>
  <c r="C7021" i="3"/>
  <c r="B7021" i="3"/>
  <c r="D7020" i="3"/>
  <c r="C7020" i="3"/>
  <c r="B7020" i="3"/>
  <c r="D7019" i="3"/>
  <c r="C7019" i="3"/>
  <c r="B7019" i="3"/>
  <c r="D7018" i="3"/>
  <c r="C7018" i="3"/>
  <c r="B7018" i="3"/>
  <c r="D7017" i="3"/>
  <c r="C7017" i="3"/>
  <c r="B7017" i="3"/>
  <c r="D7016" i="3"/>
  <c r="C7016" i="3"/>
  <c r="B7016" i="3"/>
  <c r="D7015" i="3"/>
  <c r="C7015" i="3"/>
  <c r="B7015" i="3"/>
  <c r="D7014" i="3"/>
  <c r="C7014" i="3"/>
  <c r="B7014" i="3"/>
  <c r="D7013" i="3"/>
  <c r="C7013" i="3"/>
  <c r="B7013" i="3"/>
  <c r="D7012" i="3"/>
  <c r="C7012" i="3"/>
  <c r="B7012" i="3"/>
  <c r="D7011" i="3"/>
  <c r="C7011" i="3"/>
  <c r="B7011" i="3"/>
  <c r="D7010" i="3"/>
  <c r="C7010" i="3"/>
  <c r="B7010" i="3"/>
  <c r="D7009" i="3"/>
  <c r="C7009" i="3"/>
  <c r="B7009" i="3"/>
  <c r="D7008" i="3"/>
  <c r="C7008" i="3"/>
  <c r="B7008" i="3"/>
  <c r="D7007" i="3"/>
  <c r="C7007" i="3"/>
  <c r="B7007" i="3"/>
  <c r="D7006" i="3"/>
  <c r="C7006" i="3"/>
  <c r="B7006" i="3"/>
  <c r="D7005" i="3"/>
  <c r="C7005" i="3"/>
  <c r="B7005" i="3"/>
  <c r="D7004" i="3"/>
  <c r="C7004" i="3"/>
  <c r="B7004" i="3"/>
  <c r="D7003" i="3"/>
  <c r="C7003" i="3"/>
  <c r="B7003" i="3"/>
  <c r="D7002" i="3"/>
  <c r="C7002" i="3"/>
  <c r="B7002" i="3"/>
  <c r="D7001" i="3"/>
  <c r="C7001" i="3"/>
  <c r="B7001" i="3"/>
  <c r="D7000" i="3"/>
  <c r="C7000" i="3"/>
  <c r="B7000" i="3"/>
  <c r="D6999" i="3"/>
  <c r="C6999" i="3"/>
  <c r="B6999" i="3"/>
  <c r="D6998" i="3"/>
  <c r="C6998" i="3"/>
  <c r="B6998" i="3"/>
  <c r="D6997" i="3"/>
  <c r="C6997" i="3"/>
  <c r="B6997" i="3"/>
  <c r="D6996" i="3"/>
  <c r="C6996" i="3"/>
  <c r="B6996" i="3"/>
  <c r="D6995" i="3"/>
  <c r="C6995" i="3"/>
  <c r="B6995" i="3"/>
  <c r="D6994" i="3"/>
  <c r="C6994" i="3"/>
  <c r="B6994" i="3"/>
  <c r="D6993" i="3"/>
  <c r="C6993" i="3"/>
  <c r="B6993" i="3"/>
  <c r="D6992" i="3"/>
  <c r="C6992" i="3"/>
  <c r="B6992" i="3"/>
  <c r="D6991" i="3"/>
  <c r="C6991" i="3"/>
  <c r="B6991" i="3"/>
  <c r="D6990" i="3"/>
  <c r="C6990" i="3"/>
  <c r="B6990" i="3"/>
  <c r="D6989" i="3"/>
  <c r="C6989" i="3"/>
  <c r="B6989" i="3"/>
  <c r="D6988" i="3"/>
  <c r="C6988" i="3"/>
  <c r="B6988" i="3"/>
  <c r="D6987" i="3"/>
  <c r="C6987" i="3"/>
  <c r="B6987" i="3"/>
  <c r="D6986" i="3"/>
  <c r="C6986" i="3"/>
  <c r="B6986" i="3"/>
  <c r="D6985" i="3"/>
  <c r="C6985" i="3"/>
  <c r="B6985" i="3"/>
  <c r="D6984" i="3"/>
  <c r="C6984" i="3"/>
  <c r="B6984" i="3"/>
  <c r="D6983" i="3"/>
  <c r="C6983" i="3"/>
  <c r="B6983" i="3"/>
  <c r="D6982" i="3"/>
  <c r="C6982" i="3"/>
  <c r="B6982" i="3"/>
  <c r="D6981" i="3"/>
  <c r="C6981" i="3"/>
  <c r="B6981" i="3"/>
  <c r="D6980" i="3"/>
  <c r="C6980" i="3"/>
  <c r="B6980" i="3"/>
  <c r="D6979" i="3"/>
  <c r="C6979" i="3"/>
  <c r="B6979" i="3"/>
  <c r="D6978" i="3"/>
  <c r="C6978" i="3"/>
  <c r="B6978" i="3"/>
  <c r="D6977" i="3"/>
  <c r="C6977" i="3"/>
  <c r="B6977" i="3"/>
  <c r="D6976" i="3"/>
  <c r="C6976" i="3"/>
  <c r="B6976" i="3"/>
  <c r="D6975" i="3"/>
  <c r="C6975" i="3"/>
  <c r="B6975" i="3"/>
  <c r="D6974" i="3"/>
  <c r="C6974" i="3"/>
  <c r="B6974" i="3"/>
  <c r="D6973" i="3"/>
  <c r="C6973" i="3"/>
  <c r="B6973" i="3"/>
  <c r="D6972" i="3"/>
  <c r="C6972" i="3"/>
  <c r="B6972" i="3"/>
  <c r="D6971" i="3"/>
  <c r="C6971" i="3"/>
  <c r="B6971" i="3"/>
  <c r="D6970" i="3"/>
  <c r="C6970" i="3"/>
  <c r="B6970" i="3"/>
  <c r="D6969" i="3"/>
  <c r="C6969" i="3"/>
  <c r="B6969" i="3"/>
  <c r="D6968" i="3"/>
  <c r="C6968" i="3"/>
  <c r="B6968" i="3"/>
  <c r="D6967" i="3"/>
  <c r="C6967" i="3"/>
  <c r="B6967" i="3"/>
  <c r="D6966" i="3"/>
  <c r="C6966" i="3"/>
  <c r="B6966" i="3"/>
  <c r="D6965" i="3"/>
  <c r="C6965" i="3"/>
  <c r="B6965" i="3"/>
  <c r="D6964" i="3"/>
  <c r="C6964" i="3"/>
  <c r="B6964" i="3"/>
  <c r="D6963" i="3"/>
  <c r="C6963" i="3"/>
  <c r="B6963" i="3"/>
  <c r="D6962" i="3"/>
  <c r="C6962" i="3"/>
  <c r="B6962" i="3"/>
  <c r="D6961" i="3"/>
  <c r="C6961" i="3"/>
  <c r="B6961" i="3"/>
  <c r="D6960" i="3"/>
  <c r="C6960" i="3"/>
  <c r="B6960" i="3"/>
  <c r="D6959" i="3"/>
  <c r="C6959" i="3"/>
  <c r="B6959" i="3"/>
  <c r="D6958" i="3"/>
  <c r="C6958" i="3"/>
  <c r="B6958" i="3"/>
  <c r="D6957" i="3"/>
  <c r="C6957" i="3"/>
  <c r="B6957" i="3"/>
  <c r="D6956" i="3"/>
  <c r="C6956" i="3"/>
  <c r="B6956" i="3"/>
  <c r="D6955" i="3"/>
  <c r="C6955" i="3"/>
  <c r="B6955" i="3"/>
  <c r="D6954" i="3"/>
  <c r="C6954" i="3"/>
  <c r="B6954" i="3"/>
  <c r="D6953" i="3"/>
  <c r="C6953" i="3"/>
  <c r="B6953" i="3"/>
  <c r="D6952" i="3"/>
  <c r="C6952" i="3"/>
  <c r="B6952" i="3"/>
  <c r="D6951" i="3"/>
  <c r="C6951" i="3"/>
  <c r="B6951" i="3"/>
  <c r="D6950" i="3"/>
  <c r="C6950" i="3"/>
  <c r="B6950" i="3"/>
  <c r="D6949" i="3"/>
  <c r="C6949" i="3"/>
  <c r="B6949" i="3"/>
  <c r="D6948" i="3"/>
  <c r="C6948" i="3"/>
  <c r="B6948" i="3"/>
  <c r="D6947" i="3"/>
  <c r="C6947" i="3"/>
  <c r="B6947" i="3"/>
  <c r="D6946" i="3"/>
  <c r="C6946" i="3"/>
  <c r="B6946" i="3"/>
  <c r="D6945" i="3"/>
  <c r="C6945" i="3"/>
  <c r="B6945" i="3"/>
  <c r="D6944" i="3"/>
  <c r="C6944" i="3"/>
  <c r="B6944" i="3"/>
  <c r="D6943" i="3"/>
  <c r="C6943" i="3"/>
  <c r="B6943" i="3"/>
  <c r="D6942" i="3"/>
  <c r="C6942" i="3"/>
  <c r="B6942" i="3"/>
  <c r="D6941" i="3"/>
  <c r="C6941" i="3"/>
  <c r="B6941" i="3"/>
  <c r="D6940" i="3"/>
  <c r="C6940" i="3"/>
  <c r="B6940" i="3"/>
  <c r="D6939" i="3"/>
  <c r="C6939" i="3"/>
  <c r="B6939" i="3"/>
  <c r="D6938" i="3"/>
  <c r="C6938" i="3"/>
  <c r="B6938" i="3"/>
  <c r="D6937" i="3"/>
  <c r="C6937" i="3"/>
  <c r="B6937" i="3"/>
  <c r="D6936" i="3"/>
  <c r="C6936" i="3"/>
  <c r="B6936" i="3"/>
  <c r="D6935" i="3"/>
  <c r="C6935" i="3"/>
  <c r="B6935" i="3"/>
  <c r="D6934" i="3"/>
  <c r="C6934" i="3"/>
  <c r="B6934" i="3"/>
  <c r="D6933" i="3"/>
  <c r="C6933" i="3"/>
  <c r="B6933" i="3"/>
  <c r="D6932" i="3"/>
  <c r="C6932" i="3"/>
  <c r="B6932" i="3"/>
  <c r="D6931" i="3"/>
  <c r="C6931" i="3"/>
  <c r="B6931" i="3"/>
  <c r="D6930" i="3"/>
  <c r="C6930" i="3"/>
  <c r="B6930" i="3"/>
  <c r="D6929" i="3"/>
  <c r="C6929" i="3"/>
  <c r="B6929" i="3"/>
  <c r="D6928" i="3"/>
  <c r="C6928" i="3"/>
  <c r="B6928" i="3"/>
  <c r="D6927" i="3"/>
  <c r="C6927" i="3"/>
  <c r="B6927" i="3"/>
  <c r="D6926" i="3"/>
  <c r="C6926" i="3"/>
  <c r="B6926" i="3"/>
  <c r="D6925" i="3"/>
  <c r="C6925" i="3"/>
  <c r="B6925" i="3"/>
  <c r="D6924" i="3"/>
  <c r="C6924" i="3"/>
  <c r="B6924" i="3"/>
  <c r="D6923" i="3"/>
  <c r="C6923" i="3"/>
  <c r="B6923" i="3"/>
  <c r="D6922" i="3"/>
  <c r="C6922" i="3"/>
  <c r="B6922" i="3"/>
  <c r="D6921" i="3"/>
  <c r="C6921" i="3"/>
  <c r="B6921" i="3"/>
  <c r="D6920" i="3"/>
  <c r="C6920" i="3"/>
  <c r="B6920" i="3"/>
  <c r="D6919" i="3"/>
  <c r="C6919" i="3"/>
  <c r="B6919" i="3"/>
  <c r="D6918" i="3"/>
  <c r="C6918" i="3"/>
  <c r="B6918" i="3"/>
  <c r="D6917" i="3"/>
  <c r="C6917" i="3"/>
  <c r="B6917" i="3"/>
  <c r="D6916" i="3"/>
  <c r="C6916" i="3"/>
  <c r="B6916" i="3"/>
  <c r="D6915" i="3"/>
  <c r="C6915" i="3"/>
  <c r="B6915" i="3"/>
  <c r="D6914" i="3"/>
  <c r="C6914" i="3"/>
  <c r="B6914" i="3"/>
  <c r="D6913" i="3"/>
  <c r="C6913" i="3"/>
  <c r="B6913" i="3"/>
  <c r="D6912" i="3"/>
  <c r="C6912" i="3"/>
  <c r="B6912" i="3"/>
  <c r="D6911" i="3"/>
  <c r="C6911" i="3"/>
  <c r="B6911" i="3"/>
  <c r="D6910" i="3"/>
  <c r="C6910" i="3"/>
  <c r="B6910" i="3"/>
  <c r="D6909" i="3"/>
  <c r="C6909" i="3"/>
  <c r="B6909" i="3"/>
  <c r="D6908" i="3"/>
  <c r="C6908" i="3"/>
  <c r="B6908" i="3"/>
  <c r="D6907" i="3"/>
  <c r="C6907" i="3"/>
  <c r="B6907" i="3"/>
  <c r="D6906" i="3"/>
  <c r="C6906" i="3"/>
  <c r="B6906" i="3"/>
  <c r="D6905" i="3"/>
  <c r="C6905" i="3"/>
  <c r="B6905" i="3"/>
  <c r="D6904" i="3"/>
  <c r="C6904" i="3"/>
  <c r="B6904" i="3"/>
  <c r="D6903" i="3"/>
  <c r="C6903" i="3"/>
  <c r="B6903" i="3"/>
  <c r="D6902" i="3"/>
  <c r="C6902" i="3"/>
  <c r="B6902" i="3"/>
  <c r="D6901" i="3"/>
  <c r="C6901" i="3"/>
  <c r="B6901" i="3"/>
  <c r="D6900" i="3"/>
  <c r="C6900" i="3"/>
  <c r="B6900" i="3"/>
  <c r="D6899" i="3"/>
  <c r="C6899" i="3"/>
  <c r="B6899" i="3"/>
  <c r="D6898" i="3"/>
  <c r="C6898" i="3"/>
  <c r="B6898" i="3"/>
  <c r="D6897" i="3"/>
  <c r="C6897" i="3"/>
  <c r="B6897" i="3"/>
  <c r="D6896" i="3"/>
  <c r="C6896" i="3"/>
  <c r="B6896" i="3"/>
  <c r="D6895" i="3"/>
  <c r="C6895" i="3"/>
  <c r="B6895" i="3"/>
  <c r="D6894" i="3"/>
  <c r="C6894" i="3"/>
  <c r="B6894" i="3"/>
  <c r="D6893" i="3"/>
  <c r="C6893" i="3"/>
  <c r="B6893" i="3"/>
  <c r="D6892" i="3"/>
  <c r="C6892" i="3"/>
  <c r="B6892" i="3"/>
  <c r="D6891" i="3"/>
  <c r="C6891" i="3"/>
  <c r="B6891" i="3"/>
  <c r="D6890" i="3"/>
  <c r="C6890" i="3"/>
  <c r="B6890" i="3"/>
  <c r="D6889" i="3"/>
  <c r="C6889" i="3"/>
  <c r="B6889" i="3"/>
  <c r="D6888" i="3"/>
  <c r="C6888" i="3"/>
  <c r="B6888" i="3"/>
  <c r="D6887" i="3"/>
  <c r="C6887" i="3"/>
  <c r="B6887" i="3"/>
  <c r="D6886" i="3"/>
  <c r="C6886" i="3"/>
  <c r="B6886" i="3"/>
  <c r="D6885" i="3"/>
  <c r="C6885" i="3"/>
  <c r="B6885" i="3"/>
  <c r="D6884" i="3"/>
  <c r="C6884" i="3"/>
  <c r="B6884" i="3"/>
  <c r="D6883" i="3"/>
  <c r="C6883" i="3"/>
  <c r="B6883" i="3"/>
  <c r="D6882" i="3"/>
  <c r="C6882" i="3"/>
  <c r="B6882" i="3"/>
  <c r="D6881" i="3"/>
  <c r="C6881" i="3"/>
  <c r="B6881" i="3"/>
  <c r="D6880" i="3"/>
  <c r="C6880" i="3"/>
  <c r="B6880" i="3"/>
  <c r="D6879" i="3"/>
  <c r="C6879" i="3"/>
  <c r="B6879" i="3"/>
  <c r="D6878" i="3"/>
  <c r="C6878" i="3"/>
  <c r="B6878" i="3"/>
  <c r="D6877" i="3"/>
  <c r="C6877" i="3"/>
  <c r="B6877" i="3"/>
  <c r="D6876" i="3"/>
  <c r="C6876" i="3"/>
  <c r="B6876" i="3"/>
  <c r="D6875" i="3"/>
  <c r="C6875" i="3"/>
  <c r="B6875" i="3"/>
  <c r="D6874" i="3"/>
  <c r="C6874" i="3"/>
  <c r="B6874" i="3"/>
  <c r="D6873" i="3"/>
  <c r="C6873" i="3"/>
  <c r="B6873" i="3"/>
  <c r="D6872" i="3"/>
  <c r="C6872" i="3"/>
  <c r="B6872" i="3"/>
  <c r="D6871" i="3"/>
  <c r="C6871" i="3"/>
  <c r="B6871" i="3"/>
  <c r="D6870" i="3"/>
  <c r="C6870" i="3"/>
  <c r="B6870" i="3"/>
  <c r="D6869" i="3"/>
  <c r="C6869" i="3"/>
  <c r="B6869" i="3"/>
  <c r="D6868" i="3"/>
  <c r="C6868" i="3"/>
  <c r="B6868" i="3"/>
  <c r="D6867" i="3"/>
  <c r="C6867" i="3"/>
  <c r="B6867" i="3"/>
  <c r="D6866" i="3"/>
  <c r="C6866" i="3"/>
  <c r="B6866" i="3"/>
  <c r="D6865" i="3"/>
  <c r="C6865" i="3"/>
  <c r="B6865" i="3"/>
  <c r="D6864" i="3"/>
  <c r="C6864" i="3"/>
  <c r="B6864" i="3"/>
  <c r="D6863" i="3"/>
  <c r="C6863" i="3"/>
  <c r="B6863" i="3"/>
  <c r="D6862" i="3"/>
  <c r="C6862" i="3"/>
  <c r="B6862" i="3"/>
  <c r="D6861" i="3"/>
  <c r="C6861" i="3"/>
  <c r="B6861" i="3"/>
  <c r="D6860" i="3"/>
  <c r="C6860" i="3"/>
  <c r="B6860" i="3"/>
  <c r="D6859" i="3"/>
  <c r="C6859" i="3"/>
  <c r="B6859" i="3"/>
  <c r="D6858" i="3"/>
  <c r="C6858" i="3"/>
  <c r="B6858" i="3"/>
  <c r="D6857" i="3"/>
  <c r="C6857" i="3"/>
  <c r="B6857" i="3"/>
  <c r="D6856" i="3"/>
  <c r="C6856" i="3"/>
  <c r="B6856" i="3"/>
  <c r="D6855" i="3"/>
  <c r="C6855" i="3"/>
  <c r="B6855" i="3"/>
  <c r="D6854" i="3"/>
  <c r="C6854" i="3"/>
  <c r="B6854" i="3"/>
  <c r="D6853" i="3"/>
  <c r="C6853" i="3"/>
  <c r="B6853" i="3"/>
  <c r="D6852" i="3"/>
  <c r="C6852" i="3"/>
  <c r="B6852" i="3"/>
  <c r="D6851" i="3"/>
  <c r="C6851" i="3"/>
  <c r="B6851" i="3"/>
  <c r="D6850" i="3"/>
  <c r="C6850" i="3"/>
  <c r="B6850" i="3"/>
  <c r="D6849" i="3"/>
  <c r="C6849" i="3"/>
  <c r="B6849" i="3"/>
  <c r="D6848" i="3"/>
  <c r="C6848" i="3"/>
  <c r="B6848" i="3"/>
  <c r="D6847" i="3"/>
  <c r="C6847" i="3"/>
  <c r="B6847" i="3"/>
  <c r="D6846" i="3"/>
  <c r="C6846" i="3"/>
  <c r="B6846" i="3"/>
  <c r="D6845" i="3"/>
  <c r="C6845" i="3"/>
  <c r="B6845" i="3"/>
  <c r="D6844" i="3"/>
  <c r="C6844" i="3"/>
  <c r="B6844" i="3"/>
  <c r="D6843" i="3"/>
  <c r="C6843" i="3"/>
  <c r="B6843" i="3"/>
  <c r="D6842" i="3"/>
  <c r="C6842" i="3"/>
  <c r="B6842" i="3"/>
  <c r="D6841" i="3"/>
  <c r="C6841" i="3"/>
  <c r="B6841" i="3"/>
  <c r="D6840" i="3"/>
  <c r="C6840" i="3"/>
  <c r="B6840" i="3"/>
  <c r="D6839" i="3"/>
  <c r="C6839" i="3"/>
  <c r="B6839" i="3"/>
  <c r="D6838" i="3"/>
  <c r="C6838" i="3"/>
  <c r="B6838" i="3"/>
  <c r="D6837" i="3"/>
  <c r="C6837" i="3"/>
  <c r="B6837" i="3"/>
  <c r="D6836" i="3"/>
  <c r="C6836" i="3"/>
  <c r="B6836" i="3"/>
  <c r="D6835" i="3"/>
  <c r="C6835" i="3"/>
  <c r="B6835" i="3"/>
  <c r="D6834" i="3"/>
  <c r="C6834" i="3"/>
  <c r="B6834" i="3"/>
  <c r="D6833" i="3"/>
  <c r="C6833" i="3"/>
  <c r="B6833" i="3"/>
  <c r="D6832" i="3"/>
  <c r="C6832" i="3"/>
  <c r="B6832" i="3"/>
  <c r="D6831" i="3"/>
  <c r="C6831" i="3"/>
  <c r="B6831" i="3"/>
  <c r="D6830" i="3"/>
  <c r="C6830" i="3"/>
  <c r="B6830" i="3"/>
  <c r="D6829" i="3"/>
  <c r="C6829" i="3"/>
  <c r="B6829" i="3"/>
  <c r="D6828" i="3"/>
  <c r="C6828" i="3"/>
  <c r="B6828" i="3"/>
  <c r="D6827" i="3"/>
  <c r="C6827" i="3"/>
  <c r="B6827" i="3"/>
  <c r="D6826" i="3"/>
  <c r="C6826" i="3"/>
  <c r="B6826" i="3"/>
  <c r="D6825" i="3"/>
  <c r="C6825" i="3"/>
  <c r="B6825" i="3"/>
  <c r="D6824" i="3"/>
  <c r="C6824" i="3"/>
  <c r="B6824" i="3"/>
  <c r="D6823" i="3"/>
  <c r="C6823" i="3"/>
  <c r="B6823" i="3"/>
  <c r="D6822" i="3"/>
  <c r="C6822" i="3"/>
  <c r="B6822" i="3"/>
  <c r="D6821" i="3"/>
  <c r="C6821" i="3"/>
  <c r="B6821" i="3"/>
  <c r="D6820" i="3"/>
  <c r="C6820" i="3"/>
  <c r="B6820" i="3"/>
  <c r="D6819" i="3"/>
  <c r="C6819" i="3"/>
  <c r="B6819" i="3"/>
  <c r="D6818" i="3"/>
  <c r="C6818" i="3"/>
  <c r="B6818" i="3"/>
  <c r="D6817" i="3"/>
  <c r="C6817" i="3"/>
  <c r="B6817" i="3"/>
  <c r="D6816" i="3"/>
  <c r="C6816" i="3"/>
  <c r="B6816" i="3"/>
  <c r="D6815" i="3"/>
  <c r="C6815" i="3"/>
  <c r="B6815" i="3"/>
  <c r="D6814" i="3"/>
  <c r="C6814" i="3"/>
  <c r="B6814" i="3"/>
  <c r="D6813" i="3"/>
  <c r="C6813" i="3"/>
  <c r="B6813" i="3"/>
  <c r="D6812" i="3"/>
  <c r="C6812" i="3"/>
  <c r="B6812" i="3"/>
  <c r="D6811" i="3"/>
  <c r="C6811" i="3"/>
  <c r="B6811" i="3"/>
  <c r="D6810" i="3"/>
  <c r="C6810" i="3"/>
  <c r="B6810" i="3"/>
  <c r="D6809" i="3"/>
  <c r="C6809" i="3"/>
  <c r="B6809" i="3"/>
  <c r="D6808" i="3"/>
  <c r="C6808" i="3"/>
  <c r="B6808" i="3"/>
  <c r="D6807" i="3"/>
  <c r="C6807" i="3"/>
  <c r="B6807" i="3"/>
  <c r="D6806" i="3"/>
  <c r="C6806" i="3"/>
  <c r="B6806" i="3"/>
  <c r="D6805" i="3"/>
  <c r="C6805" i="3"/>
  <c r="B6805" i="3"/>
  <c r="D6804" i="3"/>
  <c r="C6804" i="3"/>
  <c r="B6804" i="3"/>
  <c r="D6803" i="3"/>
  <c r="C6803" i="3"/>
  <c r="B6803" i="3"/>
  <c r="D6802" i="3"/>
  <c r="C6802" i="3"/>
  <c r="B6802" i="3"/>
  <c r="D6801" i="3"/>
  <c r="C6801" i="3"/>
  <c r="B6801" i="3"/>
  <c r="D6800" i="3"/>
  <c r="C6800" i="3"/>
  <c r="B6800" i="3"/>
  <c r="D6799" i="3"/>
  <c r="C6799" i="3"/>
  <c r="B6799" i="3"/>
  <c r="D6798" i="3"/>
  <c r="C6798" i="3"/>
  <c r="B6798" i="3"/>
  <c r="D6797" i="3"/>
  <c r="C6797" i="3"/>
  <c r="B6797" i="3"/>
  <c r="D6796" i="3"/>
  <c r="C6796" i="3"/>
  <c r="B6796" i="3"/>
  <c r="D6795" i="3"/>
  <c r="C6795" i="3"/>
  <c r="B6795" i="3"/>
  <c r="D6794" i="3"/>
  <c r="C6794" i="3"/>
  <c r="B6794" i="3"/>
  <c r="D6793" i="3"/>
  <c r="C6793" i="3"/>
  <c r="B6793" i="3"/>
  <c r="D6792" i="3"/>
  <c r="C6792" i="3"/>
  <c r="B6792" i="3"/>
  <c r="D6791" i="3"/>
  <c r="C6791" i="3"/>
  <c r="B6791" i="3"/>
  <c r="D6790" i="3"/>
  <c r="C6790" i="3"/>
  <c r="B6790" i="3"/>
  <c r="D6789" i="3"/>
  <c r="C6789" i="3"/>
  <c r="B6789" i="3"/>
  <c r="D6788" i="3"/>
  <c r="C6788" i="3"/>
  <c r="B6788" i="3"/>
  <c r="D6787" i="3"/>
  <c r="C6787" i="3"/>
  <c r="B6787" i="3"/>
  <c r="D6786" i="3"/>
  <c r="C6786" i="3"/>
  <c r="B6786" i="3"/>
  <c r="D6785" i="3"/>
  <c r="C6785" i="3"/>
  <c r="B6785" i="3"/>
  <c r="D6784" i="3"/>
  <c r="C6784" i="3"/>
  <c r="B6784" i="3"/>
  <c r="D6783" i="3"/>
  <c r="C6783" i="3"/>
  <c r="B6783" i="3"/>
  <c r="D6782" i="3"/>
  <c r="C6782" i="3"/>
  <c r="B6782" i="3"/>
  <c r="D6781" i="3"/>
  <c r="C6781" i="3"/>
  <c r="B6781" i="3"/>
  <c r="D6780" i="3"/>
  <c r="C6780" i="3"/>
  <c r="B6780" i="3"/>
  <c r="D6779" i="3"/>
  <c r="C6779" i="3"/>
  <c r="B6779" i="3"/>
  <c r="D6778" i="3"/>
  <c r="C6778" i="3"/>
  <c r="B6778" i="3"/>
  <c r="D6777" i="3"/>
  <c r="C6777" i="3"/>
  <c r="B6777" i="3"/>
  <c r="D6776" i="3"/>
  <c r="C6776" i="3"/>
  <c r="B6776" i="3"/>
  <c r="D6775" i="3"/>
  <c r="C6775" i="3"/>
  <c r="B6775" i="3"/>
  <c r="D6774" i="3"/>
  <c r="C6774" i="3"/>
  <c r="B6774" i="3"/>
  <c r="D6773" i="3"/>
  <c r="C6773" i="3"/>
  <c r="B6773" i="3"/>
  <c r="D6772" i="3"/>
  <c r="C6772" i="3"/>
  <c r="B6772" i="3"/>
  <c r="D6771" i="3"/>
  <c r="C6771" i="3"/>
  <c r="B6771" i="3"/>
  <c r="D6770" i="3"/>
  <c r="C6770" i="3"/>
  <c r="B6770" i="3"/>
  <c r="D6769" i="3"/>
  <c r="C6769" i="3"/>
  <c r="B6769" i="3"/>
  <c r="D6768" i="3"/>
  <c r="C6768" i="3"/>
  <c r="B6768" i="3"/>
  <c r="D6767" i="3"/>
  <c r="C6767" i="3"/>
  <c r="B6767" i="3"/>
  <c r="D6766" i="3"/>
  <c r="C6766" i="3"/>
  <c r="B6766" i="3"/>
  <c r="D6765" i="3"/>
  <c r="C6765" i="3"/>
  <c r="B6765" i="3"/>
  <c r="D6764" i="3"/>
  <c r="C6764" i="3"/>
  <c r="B6764" i="3"/>
  <c r="D6763" i="3"/>
  <c r="C6763" i="3"/>
  <c r="B6763" i="3"/>
  <c r="D6762" i="3"/>
  <c r="C6762" i="3"/>
  <c r="B6762" i="3"/>
  <c r="D6761" i="3"/>
  <c r="C6761" i="3"/>
  <c r="B6761" i="3"/>
  <c r="D6760" i="3"/>
  <c r="C6760" i="3"/>
  <c r="B6760" i="3"/>
  <c r="D6759" i="3"/>
  <c r="C6759" i="3"/>
  <c r="B6759" i="3"/>
  <c r="D6758" i="3"/>
  <c r="C6758" i="3"/>
  <c r="B6758" i="3"/>
  <c r="D6757" i="3"/>
  <c r="C6757" i="3"/>
  <c r="B6757" i="3"/>
  <c r="D6756" i="3"/>
  <c r="C6756" i="3"/>
  <c r="B6756" i="3"/>
  <c r="D6755" i="3"/>
  <c r="C6755" i="3"/>
  <c r="B6755" i="3"/>
  <c r="D6754" i="3"/>
  <c r="C6754" i="3"/>
  <c r="B6754" i="3"/>
  <c r="D6753" i="3"/>
  <c r="C6753" i="3"/>
  <c r="B6753" i="3"/>
  <c r="D6752" i="3"/>
  <c r="C6752" i="3"/>
  <c r="B6752" i="3"/>
  <c r="D6751" i="3"/>
  <c r="C6751" i="3"/>
  <c r="B6751" i="3"/>
  <c r="D6750" i="3"/>
  <c r="C6750" i="3"/>
  <c r="B6750" i="3"/>
  <c r="D6749" i="3"/>
  <c r="C6749" i="3"/>
  <c r="B6749" i="3"/>
  <c r="D6748" i="3"/>
  <c r="C6748" i="3"/>
  <c r="B6748" i="3"/>
  <c r="D6747" i="3"/>
  <c r="C6747" i="3"/>
  <c r="B6747" i="3"/>
  <c r="D6746" i="3"/>
  <c r="C6746" i="3"/>
  <c r="B6746" i="3"/>
  <c r="D6745" i="3"/>
  <c r="C6745" i="3"/>
  <c r="B6745" i="3"/>
  <c r="D6744" i="3"/>
  <c r="C6744" i="3"/>
  <c r="B6744" i="3"/>
  <c r="D6743" i="3"/>
  <c r="C6743" i="3"/>
  <c r="B6743" i="3"/>
  <c r="D6742" i="3"/>
  <c r="C6742" i="3"/>
  <c r="B6742" i="3"/>
  <c r="D6741" i="3"/>
  <c r="C6741" i="3"/>
  <c r="B6741" i="3"/>
  <c r="D6740" i="3"/>
  <c r="C6740" i="3"/>
  <c r="B6740" i="3"/>
  <c r="D6739" i="3"/>
  <c r="C6739" i="3"/>
  <c r="B6739" i="3"/>
  <c r="D6738" i="3"/>
  <c r="C6738" i="3"/>
  <c r="B6738" i="3"/>
  <c r="D6737" i="3"/>
  <c r="C6737" i="3"/>
  <c r="B6737" i="3"/>
  <c r="D6736" i="3"/>
  <c r="C6736" i="3"/>
  <c r="B6736" i="3"/>
  <c r="D6735" i="3"/>
  <c r="C6735" i="3"/>
  <c r="B6735" i="3"/>
  <c r="D6734" i="3"/>
  <c r="C6734" i="3"/>
  <c r="B6734" i="3"/>
  <c r="D6733" i="3"/>
  <c r="C6733" i="3"/>
  <c r="B6733" i="3"/>
  <c r="D6732" i="3"/>
  <c r="C6732" i="3"/>
  <c r="B6732" i="3"/>
  <c r="D6731" i="3"/>
  <c r="C6731" i="3"/>
  <c r="B6731" i="3"/>
  <c r="D6730" i="3"/>
  <c r="C6730" i="3"/>
  <c r="B6730" i="3"/>
  <c r="D6729" i="3"/>
  <c r="C6729" i="3"/>
  <c r="B6729" i="3"/>
  <c r="D6728" i="3"/>
  <c r="C6728" i="3"/>
  <c r="B6728" i="3"/>
  <c r="D6727" i="3"/>
  <c r="C6727" i="3"/>
  <c r="B6727" i="3"/>
  <c r="D6726" i="3"/>
  <c r="C6726" i="3"/>
  <c r="B6726" i="3"/>
  <c r="D6725" i="3"/>
  <c r="C6725" i="3"/>
  <c r="B6725" i="3"/>
  <c r="D6724" i="3"/>
  <c r="C6724" i="3"/>
  <c r="B6724" i="3"/>
  <c r="D6723" i="3"/>
  <c r="C6723" i="3"/>
  <c r="B6723" i="3"/>
  <c r="D6722" i="3"/>
  <c r="C6722" i="3"/>
  <c r="B6722" i="3"/>
  <c r="D6721" i="3"/>
  <c r="C6721" i="3"/>
  <c r="B6721" i="3"/>
  <c r="D6720" i="3"/>
  <c r="C6720" i="3"/>
  <c r="B6720" i="3"/>
  <c r="D6719" i="3"/>
  <c r="C6719" i="3"/>
  <c r="B6719" i="3"/>
  <c r="D6718" i="3"/>
  <c r="C6718" i="3"/>
  <c r="B6718" i="3"/>
  <c r="D6717" i="3"/>
  <c r="C6717" i="3"/>
  <c r="B6717" i="3"/>
  <c r="D6716" i="3"/>
  <c r="C6716" i="3"/>
  <c r="B6716" i="3"/>
  <c r="D6715" i="3"/>
  <c r="C6715" i="3"/>
  <c r="B6715" i="3"/>
  <c r="D6714" i="3"/>
  <c r="C6714" i="3"/>
  <c r="B6714" i="3"/>
  <c r="D6713" i="3"/>
  <c r="C6713" i="3"/>
  <c r="B6713" i="3"/>
  <c r="D6712" i="3"/>
  <c r="C6712" i="3"/>
  <c r="B6712" i="3"/>
  <c r="D6711" i="3"/>
  <c r="C6711" i="3"/>
  <c r="B6711" i="3"/>
  <c r="D6710" i="3"/>
  <c r="C6710" i="3"/>
  <c r="B6710" i="3"/>
  <c r="D6709" i="3"/>
  <c r="C6709" i="3"/>
  <c r="B6709" i="3"/>
  <c r="D6708" i="3"/>
  <c r="C6708" i="3"/>
  <c r="B6708" i="3"/>
  <c r="D6707" i="3"/>
  <c r="C6707" i="3"/>
  <c r="B6707" i="3"/>
  <c r="D6706" i="3"/>
  <c r="C6706" i="3"/>
  <c r="B6706" i="3"/>
  <c r="D6705" i="3"/>
  <c r="C6705" i="3"/>
  <c r="B6705" i="3"/>
  <c r="D6704" i="3"/>
  <c r="C6704" i="3"/>
  <c r="B6704" i="3"/>
  <c r="D6703" i="3"/>
  <c r="C6703" i="3"/>
  <c r="B6703" i="3"/>
  <c r="D6702" i="3"/>
  <c r="C6702" i="3"/>
  <c r="B6702" i="3"/>
  <c r="D6701" i="3"/>
  <c r="C6701" i="3"/>
  <c r="B6701" i="3"/>
  <c r="D6700" i="3"/>
  <c r="C6700" i="3"/>
  <c r="B6700" i="3"/>
  <c r="D6699" i="3"/>
  <c r="C6699" i="3"/>
  <c r="B6699" i="3"/>
  <c r="D6698" i="3"/>
  <c r="C6698" i="3"/>
  <c r="B6698" i="3"/>
  <c r="D6697" i="3"/>
  <c r="C6697" i="3"/>
  <c r="B6697" i="3"/>
  <c r="D6696" i="3"/>
  <c r="C6696" i="3"/>
  <c r="B6696" i="3"/>
  <c r="D6695" i="3"/>
  <c r="C6695" i="3"/>
  <c r="B6695" i="3"/>
  <c r="D6694" i="3"/>
  <c r="C6694" i="3"/>
  <c r="B6694" i="3"/>
  <c r="D6693" i="3"/>
  <c r="C6693" i="3"/>
  <c r="B6693" i="3"/>
  <c r="D6692" i="3"/>
  <c r="C6692" i="3"/>
  <c r="B6692" i="3"/>
  <c r="D6691" i="3"/>
  <c r="C6691" i="3"/>
  <c r="B6691" i="3"/>
  <c r="D6690" i="3"/>
  <c r="C6690" i="3"/>
  <c r="B6690" i="3"/>
  <c r="D6689" i="3"/>
  <c r="C6689" i="3"/>
  <c r="B6689" i="3"/>
  <c r="D6688" i="3"/>
  <c r="C6688" i="3"/>
  <c r="B6688" i="3"/>
  <c r="D6687" i="3"/>
  <c r="C6687" i="3"/>
  <c r="B6687" i="3"/>
  <c r="D6686" i="3"/>
  <c r="C6686" i="3"/>
  <c r="B6686" i="3"/>
  <c r="D6685" i="3"/>
  <c r="C6685" i="3"/>
  <c r="B6685" i="3"/>
  <c r="D6684" i="3"/>
  <c r="C6684" i="3"/>
  <c r="B6684" i="3"/>
  <c r="D6683" i="3"/>
  <c r="C6683" i="3"/>
  <c r="B6683" i="3"/>
  <c r="D6682" i="3"/>
  <c r="C6682" i="3"/>
  <c r="B6682" i="3"/>
  <c r="D6681" i="3"/>
  <c r="C6681" i="3"/>
  <c r="B6681" i="3"/>
  <c r="D6680" i="3"/>
  <c r="C6680" i="3"/>
  <c r="B6680" i="3"/>
  <c r="D6679" i="3"/>
  <c r="C6679" i="3"/>
  <c r="B6679" i="3"/>
  <c r="D6678" i="3"/>
  <c r="C6678" i="3"/>
  <c r="B6678" i="3"/>
  <c r="D6677" i="3"/>
  <c r="C6677" i="3"/>
  <c r="B6677" i="3"/>
  <c r="D6676" i="3"/>
  <c r="C6676" i="3"/>
  <c r="B6676" i="3"/>
  <c r="D6675" i="3"/>
  <c r="C6675" i="3"/>
  <c r="B6675" i="3"/>
  <c r="D6674" i="3"/>
  <c r="C6674" i="3"/>
  <c r="B6674" i="3"/>
  <c r="D6673" i="3"/>
  <c r="C6673" i="3"/>
  <c r="B6673" i="3"/>
  <c r="D6672" i="3"/>
  <c r="C6672" i="3"/>
  <c r="B6672" i="3"/>
  <c r="D6671" i="3"/>
  <c r="C6671" i="3"/>
  <c r="B6671" i="3"/>
  <c r="D6670" i="3"/>
  <c r="C6670" i="3"/>
  <c r="B6670" i="3"/>
  <c r="D6669" i="3"/>
  <c r="C6669" i="3"/>
  <c r="B6669" i="3"/>
  <c r="D6668" i="3"/>
  <c r="C6668" i="3"/>
  <c r="B6668" i="3"/>
  <c r="D6667" i="3"/>
  <c r="C6667" i="3"/>
  <c r="B6667" i="3"/>
  <c r="D6666" i="3"/>
  <c r="C6666" i="3"/>
  <c r="B6666" i="3"/>
  <c r="D6665" i="3"/>
  <c r="C6665" i="3"/>
  <c r="B6665" i="3"/>
  <c r="D6664" i="3"/>
  <c r="C6664" i="3"/>
  <c r="B6664" i="3"/>
  <c r="D6663" i="3"/>
  <c r="C6663" i="3"/>
  <c r="B6663" i="3"/>
  <c r="D6662" i="3"/>
  <c r="C6662" i="3"/>
  <c r="B6662" i="3"/>
  <c r="D6661" i="3"/>
  <c r="C6661" i="3"/>
  <c r="B6661" i="3"/>
  <c r="D6660" i="3"/>
  <c r="C6660" i="3"/>
  <c r="B6660" i="3"/>
  <c r="D6659" i="3"/>
  <c r="C6659" i="3"/>
  <c r="B6659" i="3"/>
  <c r="D6658" i="3"/>
  <c r="C6658" i="3"/>
  <c r="B6658" i="3"/>
  <c r="D6657" i="3"/>
  <c r="C6657" i="3"/>
  <c r="B6657" i="3"/>
  <c r="D6656" i="3"/>
  <c r="C6656" i="3"/>
  <c r="B6656" i="3"/>
  <c r="D6655" i="3"/>
  <c r="C6655" i="3"/>
  <c r="B6655" i="3"/>
  <c r="D6654" i="3"/>
  <c r="C6654" i="3"/>
  <c r="B6654" i="3"/>
  <c r="D6653" i="3"/>
  <c r="C6653" i="3"/>
  <c r="B6653" i="3"/>
  <c r="D6652" i="3"/>
  <c r="C6652" i="3"/>
  <c r="B6652" i="3"/>
  <c r="D6651" i="3"/>
  <c r="C6651" i="3"/>
  <c r="B6651" i="3"/>
  <c r="D6650" i="3"/>
  <c r="C6650" i="3"/>
  <c r="B6650" i="3"/>
  <c r="D6649" i="3"/>
  <c r="C6649" i="3"/>
  <c r="B6649" i="3"/>
  <c r="D6648" i="3"/>
  <c r="C6648" i="3"/>
  <c r="B6648" i="3"/>
  <c r="D6647" i="3"/>
  <c r="C6647" i="3"/>
  <c r="B6647" i="3"/>
  <c r="D6646" i="3"/>
  <c r="C6646" i="3"/>
  <c r="B6646" i="3"/>
  <c r="D6645" i="3"/>
  <c r="C6645" i="3"/>
  <c r="B6645" i="3"/>
  <c r="D6644" i="3"/>
  <c r="C6644" i="3"/>
  <c r="B6644" i="3"/>
  <c r="D6643" i="3"/>
  <c r="C6643" i="3"/>
  <c r="B6643" i="3"/>
  <c r="D6642" i="3"/>
  <c r="C6642" i="3"/>
  <c r="B6642" i="3"/>
  <c r="D6641" i="3"/>
  <c r="C6641" i="3"/>
  <c r="B6641" i="3"/>
  <c r="D6640" i="3"/>
  <c r="C6640" i="3"/>
  <c r="B6640" i="3"/>
  <c r="D6639" i="3"/>
  <c r="C6639" i="3"/>
  <c r="B6639" i="3"/>
  <c r="D6638" i="3"/>
  <c r="C6638" i="3"/>
  <c r="B6638" i="3"/>
  <c r="D6637" i="3"/>
  <c r="C6637" i="3"/>
  <c r="B6637" i="3"/>
  <c r="D6636" i="3"/>
  <c r="C6636" i="3"/>
  <c r="B6636" i="3"/>
  <c r="D6635" i="3"/>
  <c r="C6635" i="3"/>
  <c r="B6635" i="3"/>
  <c r="D6634" i="3"/>
  <c r="C6634" i="3"/>
  <c r="B6634" i="3"/>
  <c r="D6633" i="3"/>
  <c r="C6633" i="3"/>
  <c r="B6633" i="3"/>
  <c r="D6632" i="3"/>
  <c r="C6632" i="3"/>
  <c r="B6632" i="3"/>
  <c r="D6631" i="3"/>
  <c r="C6631" i="3"/>
  <c r="B6631" i="3"/>
  <c r="D6630" i="3"/>
  <c r="C6630" i="3"/>
  <c r="B6630" i="3"/>
  <c r="D6629" i="3"/>
  <c r="C6629" i="3"/>
  <c r="B6629" i="3"/>
  <c r="D6628" i="3"/>
  <c r="C6628" i="3"/>
  <c r="B6628" i="3"/>
  <c r="D6627" i="3"/>
  <c r="C6627" i="3"/>
  <c r="B6627" i="3"/>
  <c r="D6626" i="3"/>
  <c r="C6626" i="3"/>
  <c r="B6626" i="3"/>
  <c r="D6625" i="3"/>
  <c r="C6625" i="3"/>
  <c r="B6625" i="3"/>
  <c r="D6624" i="3"/>
  <c r="C6624" i="3"/>
  <c r="B6624" i="3"/>
  <c r="D6623" i="3"/>
  <c r="C6623" i="3"/>
  <c r="B6623" i="3"/>
  <c r="D6622" i="3"/>
  <c r="C6622" i="3"/>
  <c r="B6622" i="3"/>
  <c r="D6621" i="3"/>
  <c r="C6621" i="3"/>
  <c r="B6621" i="3"/>
  <c r="D6620" i="3"/>
  <c r="C6620" i="3"/>
  <c r="B6620" i="3"/>
  <c r="D6619" i="3"/>
  <c r="C6619" i="3"/>
  <c r="B6619" i="3"/>
  <c r="D6618" i="3"/>
  <c r="C6618" i="3"/>
  <c r="B6618" i="3"/>
  <c r="D6617" i="3"/>
  <c r="C6617" i="3"/>
  <c r="B6617" i="3"/>
  <c r="D6616" i="3"/>
  <c r="C6616" i="3"/>
  <c r="B6616" i="3"/>
  <c r="D6615" i="3"/>
  <c r="C6615" i="3"/>
  <c r="B6615" i="3"/>
  <c r="D6614" i="3"/>
  <c r="C6614" i="3"/>
  <c r="B6614" i="3"/>
  <c r="D6613" i="3"/>
  <c r="C6613" i="3"/>
  <c r="B6613" i="3"/>
  <c r="D6612" i="3"/>
  <c r="C6612" i="3"/>
  <c r="B6612" i="3"/>
  <c r="D6611" i="3"/>
  <c r="C6611" i="3"/>
  <c r="B6611" i="3"/>
  <c r="D6610" i="3"/>
  <c r="C6610" i="3"/>
  <c r="B6610" i="3"/>
  <c r="D6609" i="3"/>
  <c r="C6609" i="3"/>
  <c r="B6609" i="3"/>
  <c r="D6608" i="3"/>
  <c r="C6608" i="3"/>
  <c r="B6608" i="3"/>
  <c r="D6607" i="3"/>
  <c r="C6607" i="3"/>
  <c r="B6607" i="3"/>
  <c r="D6606" i="3"/>
  <c r="C6606" i="3"/>
  <c r="B6606" i="3"/>
  <c r="D6605" i="3"/>
  <c r="C6605" i="3"/>
  <c r="B6605" i="3"/>
  <c r="D6604" i="3"/>
  <c r="C6604" i="3"/>
  <c r="B6604" i="3"/>
  <c r="D6603" i="3"/>
  <c r="C6603" i="3"/>
  <c r="B6603" i="3"/>
  <c r="D6602" i="3"/>
  <c r="C6602" i="3"/>
  <c r="B6602" i="3"/>
  <c r="D6601" i="3"/>
  <c r="C6601" i="3"/>
  <c r="B6601" i="3"/>
  <c r="D6600" i="3"/>
  <c r="C6600" i="3"/>
  <c r="B6600" i="3"/>
  <c r="D6599" i="3"/>
  <c r="C6599" i="3"/>
  <c r="B6599" i="3"/>
  <c r="D6598" i="3"/>
  <c r="C6598" i="3"/>
  <c r="B6598" i="3"/>
  <c r="D6597" i="3"/>
  <c r="C6597" i="3"/>
  <c r="B6597" i="3"/>
  <c r="D6596" i="3"/>
  <c r="C6596" i="3"/>
  <c r="B6596" i="3"/>
  <c r="D6595" i="3"/>
  <c r="C6595" i="3"/>
  <c r="B6595" i="3"/>
  <c r="D6594" i="3"/>
  <c r="C6594" i="3"/>
  <c r="B6594" i="3"/>
  <c r="D6593" i="3"/>
  <c r="C6593" i="3"/>
  <c r="B6593" i="3"/>
  <c r="D6592" i="3"/>
  <c r="C6592" i="3"/>
  <c r="B6592" i="3"/>
  <c r="D6591" i="3"/>
  <c r="C6591" i="3"/>
  <c r="B6591" i="3"/>
  <c r="D6590" i="3"/>
  <c r="C6590" i="3"/>
  <c r="B6590" i="3"/>
  <c r="D6589" i="3"/>
  <c r="C6589" i="3"/>
  <c r="B6589" i="3"/>
  <c r="D6588" i="3"/>
  <c r="C6588" i="3"/>
  <c r="B6588" i="3"/>
  <c r="D6587" i="3"/>
  <c r="C6587" i="3"/>
  <c r="B6587" i="3"/>
  <c r="D6586" i="3"/>
  <c r="C6586" i="3"/>
  <c r="B6586" i="3"/>
  <c r="D6585" i="3"/>
  <c r="C6585" i="3"/>
  <c r="B6585" i="3"/>
  <c r="D6584" i="3"/>
  <c r="C6584" i="3"/>
  <c r="B6584" i="3"/>
  <c r="D6583" i="3"/>
  <c r="C6583" i="3"/>
  <c r="B6583" i="3"/>
  <c r="D6582" i="3"/>
  <c r="C6582" i="3"/>
  <c r="B6582" i="3"/>
  <c r="D6581" i="3"/>
  <c r="C6581" i="3"/>
  <c r="B6581" i="3"/>
  <c r="D6580" i="3"/>
  <c r="C6580" i="3"/>
  <c r="B6580" i="3"/>
  <c r="D6579" i="3"/>
  <c r="C6579" i="3"/>
  <c r="B6579" i="3"/>
  <c r="D6578" i="3"/>
  <c r="C6578" i="3"/>
  <c r="B6578" i="3"/>
  <c r="D6577" i="3"/>
  <c r="C6577" i="3"/>
  <c r="B6577" i="3"/>
  <c r="D6576" i="3"/>
  <c r="C6576" i="3"/>
  <c r="B6576" i="3"/>
  <c r="D6575" i="3"/>
  <c r="C6575" i="3"/>
  <c r="B6575" i="3"/>
  <c r="D6574" i="3"/>
  <c r="C6574" i="3"/>
  <c r="B6574" i="3"/>
  <c r="D6573" i="3"/>
  <c r="C6573" i="3"/>
  <c r="B6573" i="3"/>
  <c r="D6572" i="3"/>
  <c r="C6572" i="3"/>
  <c r="B6572" i="3"/>
  <c r="D6571" i="3"/>
  <c r="C6571" i="3"/>
  <c r="B6571" i="3"/>
  <c r="D6570" i="3"/>
  <c r="C6570" i="3"/>
  <c r="B6570" i="3"/>
  <c r="D6569" i="3"/>
  <c r="C6569" i="3"/>
  <c r="B6569" i="3"/>
  <c r="D6568" i="3"/>
  <c r="C6568" i="3"/>
  <c r="B6568" i="3"/>
  <c r="D6567" i="3"/>
  <c r="C6567" i="3"/>
  <c r="B6567" i="3"/>
  <c r="D6566" i="3"/>
  <c r="C6566" i="3"/>
  <c r="B6566" i="3"/>
  <c r="D6565" i="3"/>
  <c r="C6565" i="3"/>
  <c r="B6565" i="3"/>
  <c r="D6564" i="3"/>
  <c r="C6564" i="3"/>
  <c r="B6564" i="3"/>
  <c r="D6563" i="3"/>
  <c r="C6563" i="3"/>
  <c r="B6563" i="3"/>
  <c r="D6562" i="3"/>
  <c r="C6562" i="3"/>
  <c r="B6562" i="3"/>
  <c r="D6561" i="3"/>
  <c r="C6561" i="3"/>
  <c r="B6561" i="3"/>
  <c r="D6560" i="3"/>
  <c r="C6560" i="3"/>
  <c r="B6560" i="3"/>
  <c r="D6559" i="3"/>
  <c r="C6559" i="3"/>
  <c r="B6559" i="3"/>
  <c r="D6558" i="3"/>
  <c r="C6558" i="3"/>
  <c r="B6558" i="3"/>
  <c r="D6557" i="3"/>
  <c r="C6557" i="3"/>
  <c r="B6557" i="3"/>
  <c r="D6556" i="3"/>
  <c r="C6556" i="3"/>
  <c r="B6556" i="3"/>
  <c r="D6555" i="3"/>
  <c r="C6555" i="3"/>
  <c r="B6555" i="3"/>
  <c r="D6554" i="3"/>
  <c r="C6554" i="3"/>
  <c r="B6554" i="3"/>
  <c r="D6553" i="3"/>
  <c r="C6553" i="3"/>
  <c r="B6553" i="3"/>
  <c r="D6552" i="3"/>
  <c r="C6552" i="3"/>
  <c r="B6552" i="3"/>
  <c r="D6551" i="3"/>
  <c r="C6551" i="3"/>
  <c r="B6551" i="3"/>
  <c r="D6550" i="3"/>
  <c r="C6550" i="3"/>
  <c r="B6550" i="3"/>
  <c r="D6549" i="3"/>
  <c r="C6549" i="3"/>
  <c r="B6549" i="3"/>
  <c r="D6548" i="3"/>
  <c r="C6548" i="3"/>
  <c r="B6548" i="3"/>
  <c r="D6547" i="3"/>
  <c r="C6547" i="3"/>
  <c r="B6547" i="3"/>
  <c r="D6546" i="3"/>
  <c r="C6546" i="3"/>
  <c r="B6546" i="3"/>
  <c r="D6545" i="3"/>
  <c r="C6545" i="3"/>
  <c r="B6545" i="3"/>
  <c r="D6544" i="3"/>
  <c r="C6544" i="3"/>
  <c r="B6544" i="3"/>
  <c r="D6543" i="3"/>
  <c r="C6543" i="3"/>
  <c r="B6543" i="3"/>
  <c r="D6542" i="3"/>
  <c r="C6542" i="3"/>
  <c r="B6542" i="3"/>
  <c r="D6541" i="3"/>
  <c r="C6541" i="3"/>
  <c r="B6541" i="3"/>
  <c r="D6540" i="3"/>
  <c r="C6540" i="3"/>
  <c r="B6540" i="3"/>
  <c r="D6539" i="3"/>
  <c r="C6539" i="3"/>
  <c r="B6539" i="3"/>
  <c r="D6538" i="3"/>
  <c r="C6538" i="3"/>
  <c r="B6538" i="3"/>
  <c r="D6537" i="3"/>
  <c r="C6537" i="3"/>
  <c r="B6537" i="3"/>
  <c r="D6536" i="3"/>
  <c r="C6536" i="3"/>
  <c r="B6536" i="3"/>
  <c r="D6535" i="3"/>
  <c r="C6535" i="3"/>
  <c r="B6535" i="3"/>
  <c r="D6534" i="3"/>
  <c r="C6534" i="3"/>
  <c r="B6534" i="3"/>
  <c r="D6533" i="3"/>
  <c r="C6533" i="3"/>
  <c r="B6533" i="3"/>
  <c r="D6532" i="3"/>
  <c r="C6532" i="3"/>
  <c r="B6532" i="3"/>
  <c r="D6531" i="3"/>
  <c r="C6531" i="3"/>
  <c r="B6531" i="3"/>
  <c r="D6530" i="3"/>
  <c r="C6530" i="3"/>
  <c r="B6530" i="3"/>
  <c r="D6529" i="3"/>
  <c r="C6529" i="3"/>
  <c r="B6529" i="3"/>
  <c r="D6528" i="3"/>
  <c r="C6528" i="3"/>
  <c r="B6528" i="3"/>
  <c r="D6527" i="3"/>
  <c r="C6527" i="3"/>
  <c r="B6527" i="3"/>
  <c r="D6526" i="3"/>
  <c r="C6526" i="3"/>
  <c r="B6526" i="3"/>
  <c r="D6525" i="3"/>
  <c r="C6525" i="3"/>
  <c r="B6525" i="3"/>
  <c r="D6524" i="3"/>
  <c r="C6524" i="3"/>
  <c r="B6524" i="3"/>
  <c r="D6523" i="3"/>
  <c r="C6523" i="3"/>
  <c r="B6523" i="3"/>
  <c r="D6522" i="3"/>
  <c r="C6522" i="3"/>
  <c r="B6522" i="3"/>
  <c r="D6521" i="3"/>
  <c r="C6521" i="3"/>
  <c r="B6521" i="3"/>
  <c r="D6520" i="3"/>
  <c r="C6520" i="3"/>
  <c r="B6520" i="3"/>
  <c r="D6519" i="3"/>
  <c r="C6519" i="3"/>
  <c r="B6519" i="3"/>
  <c r="D6518" i="3"/>
  <c r="C6518" i="3"/>
  <c r="B6518" i="3"/>
  <c r="D6517" i="3"/>
  <c r="C6517" i="3"/>
  <c r="B6517" i="3"/>
  <c r="D6516" i="3"/>
  <c r="C6516" i="3"/>
  <c r="B6516" i="3"/>
  <c r="D6515" i="3"/>
  <c r="C6515" i="3"/>
  <c r="B6515" i="3"/>
  <c r="D6514" i="3"/>
  <c r="C6514" i="3"/>
  <c r="B6514" i="3"/>
  <c r="D6513" i="3"/>
  <c r="C6513" i="3"/>
  <c r="B6513" i="3"/>
  <c r="D6512" i="3"/>
  <c r="C6512" i="3"/>
  <c r="B6512" i="3"/>
  <c r="D6511" i="3"/>
  <c r="C6511" i="3"/>
  <c r="B6511" i="3"/>
  <c r="D6510" i="3"/>
  <c r="C6510" i="3"/>
  <c r="B6510" i="3"/>
  <c r="D6509" i="3"/>
  <c r="C6509" i="3"/>
  <c r="B6509" i="3"/>
  <c r="D6508" i="3"/>
  <c r="C6508" i="3"/>
  <c r="B6508" i="3"/>
  <c r="D6507" i="3"/>
  <c r="C6507" i="3"/>
  <c r="B6507" i="3"/>
  <c r="D6506" i="3"/>
  <c r="C6506" i="3"/>
  <c r="B6506" i="3"/>
  <c r="D6505" i="3"/>
  <c r="C6505" i="3"/>
  <c r="B6505" i="3"/>
  <c r="D6504" i="3"/>
  <c r="C6504" i="3"/>
  <c r="B6504" i="3"/>
  <c r="D6503" i="3"/>
  <c r="C6503" i="3"/>
  <c r="B6503" i="3"/>
  <c r="D6502" i="3"/>
  <c r="C6502" i="3"/>
  <c r="B6502" i="3"/>
  <c r="D6501" i="3"/>
  <c r="C6501" i="3"/>
  <c r="B6501" i="3"/>
  <c r="D6500" i="3"/>
  <c r="C6500" i="3"/>
  <c r="B6500" i="3"/>
  <c r="D6499" i="3"/>
  <c r="C6499" i="3"/>
  <c r="B6499" i="3"/>
  <c r="D6498" i="3"/>
  <c r="C6498" i="3"/>
  <c r="B6498" i="3"/>
  <c r="D6497" i="3"/>
  <c r="C6497" i="3"/>
  <c r="B6497" i="3"/>
  <c r="D6496" i="3"/>
  <c r="C6496" i="3"/>
  <c r="B6496" i="3"/>
  <c r="D6495" i="3"/>
  <c r="C6495" i="3"/>
  <c r="B6495" i="3"/>
  <c r="D6494" i="3"/>
  <c r="C6494" i="3"/>
  <c r="B6494" i="3"/>
  <c r="D6493" i="3"/>
  <c r="C6493" i="3"/>
  <c r="B6493" i="3"/>
  <c r="D6492" i="3"/>
  <c r="C6492" i="3"/>
  <c r="B6492" i="3"/>
  <c r="D6491" i="3"/>
  <c r="C6491" i="3"/>
  <c r="B6491" i="3"/>
  <c r="D6490" i="3"/>
  <c r="C6490" i="3"/>
  <c r="B6490" i="3"/>
  <c r="D6489" i="3"/>
  <c r="C6489" i="3"/>
  <c r="B6489" i="3"/>
  <c r="D6488" i="3"/>
  <c r="C6488" i="3"/>
  <c r="B6488" i="3"/>
  <c r="D6487" i="3"/>
  <c r="C6487" i="3"/>
  <c r="B6487" i="3"/>
  <c r="D6486" i="3"/>
  <c r="C6486" i="3"/>
  <c r="B6486" i="3"/>
  <c r="D6485" i="3"/>
  <c r="C6485" i="3"/>
  <c r="B6485" i="3"/>
  <c r="D6484" i="3"/>
  <c r="C6484" i="3"/>
  <c r="B6484" i="3"/>
  <c r="D6483" i="3"/>
  <c r="C6483" i="3"/>
  <c r="B6483" i="3"/>
  <c r="D6482" i="3"/>
  <c r="C6482" i="3"/>
  <c r="B6482" i="3"/>
  <c r="D6481" i="3"/>
  <c r="C6481" i="3"/>
  <c r="B6481" i="3"/>
  <c r="D6480" i="3"/>
  <c r="C6480" i="3"/>
  <c r="B6480" i="3"/>
  <c r="D6479" i="3"/>
  <c r="C6479" i="3"/>
  <c r="B6479" i="3"/>
  <c r="D6478" i="3"/>
  <c r="C6478" i="3"/>
  <c r="B6478" i="3"/>
  <c r="D6477" i="3"/>
  <c r="C6477" i="3"/>
  <c r="B6477" i="3"/>
  <c r="D6476" i="3"/>
  <c r="C6476" i="3"/>
  <c r="B6476" i="3"/>
  <c r="D6475" i="3"/>
  <c r="C6475" i="3"/>
  <c r="B6475" i="3"/>
  <c r="D6474" i="3"/>
  <c r="C6474" i="3"/>
  <c r="B6474" i="3"/>
  <c r="D6473" i="3"/>
  <c r="C6473" i="3"/>
  <c r="B6473" i="3"/>
  <c r="D6472" i="3"/>
  <c r="C6472" i="3"/>
  <c r="B6472" i="3"/>
  <c r="D6471" i="3"/>
  <c r="C6471" i="3"/>
  <c r="B6471" i="3"/>
  <c r="D6470" i="3"/>
  <c r="C6470" i="3"/>
  <c r="B6470" i="3"/>
  <c r="D6469" i="3"/>
  <c r="C6469" i="3"/>
  <c r="B6469" i="3"/>
  <c r="D6468" i="3"/>
  <c r="C6468" i="3"/>
  <c r="B6468" i="3"/>
  <c r="D6467" i="3"/>
  <c r="C6467" i="3"/>
  <c r="B6467" i="3"/>
  <c r="D6466" i="3"/>
  <c r="C6466" i="3"/>
  <c r="B6466" i="3"/>
  <c r="D6465" i="3"/>
  <c r="C6465" i="3"/>
  <c r="B6465" i="3"/>
  <c r="D6464" i="3"/>
  <c r="C6464" i="3"/>
  <c r="B6464" i="3"/>
  <c r="D6463" i="3"/>
  <c r="C6463" i="3"/>
  <c r="B6463" i="3"/>
  <c r="D6462" i="3"/>
  <c r="C6462" i="3"/>
  <c r="B6462" i="3"/>
  <c r="D6461" i="3"/>
  <c r="C6461" i="3"/>
  <c r="B6461" i="3"/>
  <c r="D6460" i="3"/>
  <c r="C6460" i="3"/>
  <c r="B6460" i="3"/>
  <c r="D6459" i="3"/>
  <c r="C6459" i="3"/>
  <c r="B6459" i="3"/>
  <c r="D6458" i="3"/>
  <c r="C6458" i="3"/>
  <c r="B6458" i="3"/>
  <c r="D6457" i="3"/>
  <c r="C6457" i="3"/>
  <c r="B6457" i="3"/>
  <c r="D6456" i="3"/>
  <c r="C6456" i="3"/>
  <c r="B6456" i="3"/>
  <c r="D6455" i="3"/>
  <c r="C6455" i="3"/>
  <c r="B6455" i="3"/>
  <c r="D6454" i="3"/>
  <c r="C6454" i="3"/>
  <c r="B6454" i="3"/>
  <c r="D6453" i="3"/>
  <c r="C6453" i="3"/>
  <c r="B6453" i="3"/>
  <c r="D6452" i="3"/>
  <c r="C6452" i="3"/>
  <c r="B6452" i="3"/>
  <c r="D6451" i="3"/>
  <c r="C6451" i="3"/>
  <c r="B6451" i="3"/>
  <c r="D6450" i="3"/>
  <c r="C6450" i="3"/>
  <c r="B6450" i="3"/>
  <c r="D6449" i="3"/>
  <c r="C6449" i="3"/>
  <c r="B6449" i="3"/>
  <c r="D6448" i="3"/>
  <c r="C6448" i="3"/>
  <c r="B6448" i="3"/>
  <c r="D6447" i="3"/>
  <c r="C6447" i="3"/>
  <c r="B6447" i="3"/>
  <c r="D6446" i="3"/>
  <c r="C6446" i="3"/>
  <c r="B6446" i="3"/>
  <c r="D6445" i="3"/>
  <c r="C6445" i="3"/>
  <c r="B6445" i="3"/>
  <c r="D6444" i="3"/>
  <c r="C6444" i="3"/>
  <c r="B6444" i="3"/>
  <c r="D6443" i="3"/>
  <c r="C6443" i="3"/>
  <c r="B6443" i="3"/>
  <c r="D6442" i="3"/>
  <c r="C6442" i="3"/>
  <c r="B6442" i="3"/>
  <c r="D6441" i="3"/>
  <c r="C6441" i="3"/>
  <c r="B6441" i="3"/>
  <c r="D6440" i="3"/>
  <c r="C6440" i="3"/>
  <c r="B6440" i="3"/>
  <c r="D6439" i="3"/>
  <c r="C6439" i="3"/>
  <c r="B6439" i="3"/>
  <c r="D6438" i="3"/>
  <c r="C6438" i="3"/>
  <c r="B6438" i="3"/>
  <c r="D6437" i="3"/>
  <c r="C6437" i="3"/>
  <c r="B6437" i="3"/>
  <c r="D6436" i="3"/>
  <c r="C6436" i="3"/>
  <c r="B6436" i="3"/>
  <c r="D6435" i="3"/>
  <c r="C6435" i="3"/>
  <c r="B6435" i="3"/>
  <c r="D6434" i="3"/>
  <c r="C6434" i="3"/>
  <c r="B6434" i="3"/>
  <c r="D6433" i="3"/>
  <c r="C6433" i="3"/>
  <c r="B6433" i="3"/>
  <c r="D6432" i="3"/>
  <c r="C6432" i="3"/>
  <c r="B6432" i="3"/>
  <c r="D6431" i="3"/>
  <c r="C6431" i="3"/>
  <c r="B6431" i="3"/>
  <c r="D6430" i="3"/>
  <c r="C6430" i="3"/>
  <c r="B6430" i="3"/>
  <c r="D6429" i="3"/>
  <c r="C6429" i="3"/>
  <c r="B6429" i="3"/>
  <c r="D6428" i="3"/>
  <c r="C6428" i="3"/>
  <c r="B6428" i="3"/>
  <c r="D6427" i="3"/>
  <c r="C6427" i="3"/>
  <c r="B6427" i="3"/>
  <c r="D6426" i="3"/>
  <c r="C6426" i="3"/>
  <c r="B6426" i="3"/>
  <c r="D6425" i="3"/>
  <c r="C6425" i="3"/>
  <c r="B6425" i="3"/>
  <c r="D6424" i="3"/>
  <c r="C6424" i="3"/>
  <c r="B6424" i="3"/>
  <c r="D6423" i="3"/>
  <c r="C6423" i="3"/>
  <c r="B6423" i="3"/>
  <c r="D6422" i="3"/>
  <c r="C6422" i="3"/>
  <c r="B6422" i="3"/>
  <c r="D6421" i="3"/>
  <c r="C6421" i="3"/>
  <c r="B6421" i="3"/>
  <c r="D6420" i="3"/>
  <c r="C6420" i="3"/>
  <c r="B6420" i="3"/>
  <c r="D6419" i="3"/>
  <c r="C6419" i="3"/>
  <c r="B6419" i="3"/>
  <c r="D6418" i="3"/>
  <c r="C6418" i="3"/>
  <c r="B6418" i="3"/>
  <c r="D6417" i="3"/>
  <c r="C6417" i="3"/>
  <c r="B6417" i="3"/>
  <c r="D6416" i="3"/>
  <c r="C6416" i="3"/>
  <c r="B6416" i="3"/>
  <c r="D6415" i="3"/>
  <c r="C6415" i="3"/>
  <c r="B6415" i="3"/>
  <c r="D6414" i="3"/>
  <c r="C6414" i="3"/>
  <c r="B6414" i="3"/>
  <c r="D6413" i="3"/>
  <c r="C6413" i="3"/>
  <c r="B6413" i="3"/>
  <c r="D6412" i="3"/>
  <c r="C6412" i="3"/>
  <c r="B6412" i="3"/>
  <c r="D6411" i="3"/>
  <c r="C6411" i="3"/>
  <c r="B6411" i="3"/>
  <c r="D6410" i="3"/>
  <c r="C6410" i="3"/>
  <c r="B6410" i="3"/>
  <c r="D6409" i="3"/>
  <c r="C6409" i="3"/>
  <c r="B6409" i="3"/>
  <c r="D6408" i="3"/>
  <c r="C6408" i="3"/>
  <c r="B6408" i="3"/>
  <c r="D6407" i="3"/>
  <c r="C6407" i="3"/>
  <c r="B6407" i="3"/>
  <c r="D6406" i="3"/>
  <c r="C6406" i="3"/>
  <c r="B6406" i="3"/>
  <c r="D6405" i="3"/>
  <c r="C6405" i="3"/>
  <c r="B6405" i="3"/>
  <c r="D6404" i="3"/>
  <c r="C6404" i="3"/>
  <c r="B6404" i="3"/>
  <c r="D6403" i="3"/>
  <c r="C6403" i="3"/>
  <c r="B6403" i="3"/>
  <c r="D6402" i="3"/>
  <c r="C6402" i="3"/>
  <c r="B6402" i="3"/>
  <c r="D6401" i="3"/>
  <c r="C6401" i="3"/>
  <c r="B6401" i="3"/>
  <c r="D6400" i="3"/>
  <c r="C6400" i="3"/>
  <c r="B6400" i="3"/>
  <c r="D6399" i="3"/>
  <c r="C6399" i="3"/>
  <c r="B6399" i="3"/>
  <c r="D6398" i="3"/>
  <c r="C6398" i="3"/>
  <c r="B6398" i="3"/>
  <c r="D6397" i="3"/>
  <c r="C6397" i="3"/>
  <c r="B6397" i="3"/>
  <c r="D6396" i="3"/>
  <c r="C6396" i="3"/>
  <c r="B6396" i="3"/>
  <c r="D6395" i="3"/>
  <c r="C6395" i="3"/>
  <c r="B6395" i="3"/>
  <c r="D6394" i="3"/>
  <c r="C6394" i="3"/>
  <c r="B6394" i="3"/>
  <c r="D6393" i="3"/>
  <c r="C6393" i="3"/>
  <c r="B6393" i="3"/>
  <c r="D6392" i="3"/>
  <c r="C6392" i="3"/>
  <c r="B6392" i="3"/>
  <c r="D6391" i="3"/>
  <c r="C6391" i="3"/>
  <c r="B6391" i="3"/>
  <c r="D6390" i="3"/>
  <c r="C6390" i="3"/>
  <c r="B6390" i="3"/>
  <c r="D6389" i="3"/>
  <c r="C6389" i="3"/>
  <c r="B6389" i="3"/>
  <c r="D6388" i="3"/>
  <c r="C6388" i="3"/>
  <c r="B6388" i="3"/>
  <c r="D6387" i="3"/>
  <c r="C6387" i="3"/>
  <c r="B6387" i="3"/>
  <c r="D6386" i="3"/>
  <c r="C6386" i="3"/>
  <c r="B6386" i="3"/>
  <c r="D6385" i="3"/>
  <c r="C6385" i="3"/>
  <c r="B6385" i="3"/>
  <c r="D6384" i="3"/>
  <c r="C6384" i="3"/>
  <c r="B6384" i="3"/>
  <c r="D6383" i="3"/>
  <c r="C6383" i="3"/>
  <c r="B6383" i="3"/>
  <c r="D6382" i="3"/>
  <c r="C6382" i="3"/>
  <c r="B6382" i="3"/>
  <c r="D6381" i="3"/>
  <c r="C6381" i="3"/>
  <c r="B6381" i="3"/>
  <c r="D6380" i="3"/>
  <c r="C6380" i="3"/>
  <c r="B6380" i="3"/>
  <c r="D6379" i="3"/>
  <c r="C6379" i="3"/>
  <c r="B6379" i="3"/>
  <c r="D6378" i="3"/>
  <c r="C6378" i="3"/>
  <c r="B6378" i="3"/>
  <c r="D6377" i="3"/>
  <c r="C6377" i="3"/>
  <c r="B6377" i="3"/>
  <c r="D6376" i="3"/>
  <c r="C6376" i="3"/>
  <c r="B6376" i="3"/>
  <c r="D6375" i="3"/>
  <c r="C6375" i="3"/>
  <c r="B6375" i="3"/>
  <c r="D6374" i="3"/>
  <c r="C6374" i="3"/>
  <c r="B6374" i="3"/>
  <c r="D6373" i="3"/>
  <c r="C6373" i="3"/>
  <c r="B6373" i="3"/>
  <c r="D6372" i="3"/>
  <c r="C6372" i="3"/>
  <c r="B6372" i="3"/>
  <c r="D6371" i="3"/>
  <c r="C6371" i="3"/>
  <c r="B6371" i="3"/>
  <c r="D6370" i="3"/>
  <c r="C6370" i="3"/>
  <c r="B6370" i="3"/>
  <c r="D6369" i="3"/>
  <c r="C6369" i="3"/>
  <c r="B6369" i="3"/>
  <c r="D6368" i="3"/>
  <c r="C6368" i="3"/>
  <c r="B6368" i="3"/>
  <c r="D6367" i="3"/>
  <c r="C6367" i="3"/>
  <c r="B6367" i="3"/>
  <c r="D6366" i="3"/>
  <c r="C6366" i="3"/>
  <c r="B6366" i="3"/>
  <c r="D6365" i="3"/>
  <c r="C6365" i="3"/>
  <c r="B6365" i="3"/>
  <c r="D6364" i="3"/>
  <c r="C6364" i="3"/>
  <c r="B6364" i="3"/>
  <c r="D6363" i="3"/>
  <c r="C6363" i="3"/>
  <c r="B6363" i="3"/>
  <c r="D6362" i="3"/>
  <c r="C6362" i="3"/>
  <c r="B6362" i="3"/>
  <c r="D6361" i="3"/>
  <c r="C6361" i="3"/>
  <c r="B6361" i="3"/>
  <c r="D6360" i="3"/>
  <c r="C6360" i="3"/>
  <c r="B6360" i="3"/>
  <c r="D6359" i="3"/>
  <c r="C6359" i="3"/>
  <c r="B6359" i="3"/>
  <c r="D6358" i="3"/>
  <c r="C6358" i="3"/>
  <c r="B6358" i="3"/>
  <c r="D6357" i="3"/>
  <c r="C6357" i="3"/>
  <c r="B6357" i="3"/>
  <c r="D6356" i="3"/>
  <c r="C6356" i="3"/>
  <c r="B6356" i="3"/>
  <c r="D6355" i="3"/>
  <c r="C6355" i="3"/>
  <c r="B6355" i="3"/>
  <c r="D6354" i="3"/>
  <c r="C6354" i="3"/>
  <c r="B6354" i="3"/>
  <c r="D6353" i="3"/>
  <c r="C6353" i="3"/>
  <c r="B6353" i="3"/>
  <c r="D6352" i="3"/>
  <c r="C6352" i="3"/>
  <c r="B6352" i="3"/>
  <c r="D6351" i="3"/>
  <c r="C6351" i="3"/>
  <c r="B6351" i="3"/>
  <c r="D6350" i="3"/>
  <c r="C6350" i="3"/>
  <c r="B6350" i="3"/>
  <c r="D6349" i="3"/>
  <c r="C6349" i="3"/>
  <c r="B6349" i="3"/>
  <c r="D6348" i="3"/>
  <c r="C6348" i="3"/>
  <c r="B6348" i="3"/>
  <c r="D6347" i="3"/>
  <c r="C6347" i="3"/>
  <c r="B6347" i="3"/>
  <c r="D6346" i="3"/>
  <c r="C6346" i="3"/>
  <c r="B6346" i="3"/>
  <c r="D6345" i="3"/>
  <c r="C6345" i="3"/>
  <c r="B6345" i="3"/>
  <c r="D6344" i="3"/>
  <c r="C6344" i="3"/>
  <c r="B6344" i="3"/>
  <c r="D6343" i="3"/>
  <c r="C6343" i="3"/>
  <c r="B6343" i="3"/>
  <c r="D6342" i="3"/>
  <c r="C6342" i="3"/>
  <c r="B6342" i="3"/>
  <c r="D6341" i="3"/>
  <c r="C6341" i="3"/>
  <c r="B6341" i="3"/>
  <c r="D6340" i="3"/>
  <c r="C6340" i="3"/>
  <c r="B6340" i="3"/>
  <c r="D6339" i="3"/>
  <c r="C6339" i="3"/>
  <c r="B6339" i="3"/>
  <c r="D6338" i="3"/>
  <c r="C6338" i="3"/>
  <c r="B6338" i="3"/>
  <c r="D6337" i="3"/>
  <c r="C6337" i="3"/>
  <c r="B6337" i="3"/>
  <c r="D6336" i="3"/>
  <c r="C6336" i="3"/>
  <c r="B6336" i="3"/>
  <c r="D6335" i="3"/>
  <c r="C6335" i="3"/>
  <c r="B6335" i="3"/>
  <c r="D6334" i="3"/>
  <c r="C6334" i="3"/>
  <c r="B6334" i="3"/>
  <c r="D6333" i="3"/>
  <c r="C6333" i="3"/>
  <c r="B6333" i="3"/>
  <c r="D6332" i="3"/>
  <c r="C6332" i="3"/>
  <c r="B6332" i="3"/>
  <c r="D6331" i="3"/>
  <c r="C6331" i="3"/>
  <c r="B6331" i="3"/>
  <c r="D6330" i="3"/>
  <c r="C6330" i="3"/>
  <c r="B6330" i="3"/>
  <c r="D6329" i="3"/>
  <c r="C6329" i="3"/>
  <c r="B6329" i="3"/>
  <c r="D6328" i="3"/>
  <c r="C6328" i="3"/>
  <c r="B6328" i="3"/>
  <c r="D6327" i="3"/>
  <c r="C6327" i="3"/>
  <c r="B6327" i="3"/>
  <c r="D6326" i="3"/>
  <c r="C6326" i="3"/>
  <c r="B6326" i="3"/>
  <c r="D6325" i="3"/>
  <c r="C6325" i="3"/>
  <c r="B6325" i="3"/>
  <c r="D6324" i="3"/>
  <c r="C6324" i="3"/>
  <c r="B6324" i="3"/>
  <c r="D6323" i="3"/>
  <c r="C6323" i="3"/>
  <c r="B6323" i="3"/>
  <c r="D6322" i="3"/>
  <c r="C6322" i="3"/>
  <c r="B6322" i="3"/>
  <c r="D6321" i="3"/>
  <c r="C6321" i="3"/>
  <c r="B6321" i="3"/>
  <c r="D6320" i="3"/>
  <c r="C6320" i="3"/>
  <c r="B6320" i="3"/>
  <c r="D6319" i="3"/>
  <c r="C6319" i="3"/>
  <c r="B6319" i="3"/>
  <c r="D6318" i="3"/>
  <c r="C6318" i="3"/>
  <c r="B6318" i="3"/>
  <c r="D6317" i="3"/>
  <c r="C6317" i="3"/>
  <c r="B6317" i="3"/>
  <c r="D6316" i="3"/>
  <c r="C6316" i="3"/>
  <c r="B6316" i="3"/>
  <c r="D6315" i="3"/>
  <c r="C6315" i="3"/>
  <c r="B6315" i="3"/>
  <c r="D6314" i="3"/>
  <c r="C6314" i="3"/>
  <c r="B6314" i="3"/>
  <c r="D6313" i="3"/>
  <c r="C6313" i="3"/>
  <c r="B6313" i="3"/>
  <c r="D6312" i="3"/>
  <c r="C6312" i="3"/>
  <c r="B6312" i="3"/>
  <c r="D6311" i="3"/>
  <c r="C6311" i="3"/>
  <c r="B6311" i="3"/>
  <c r="D6310" i="3"/>
  <c r="C6310" i="3"/>
  <c r="B6310" i="3"/>
  <c r="D6309" i="3"/>
  <c r="C6309" i="3"/>
  <c r="B6309" i="3"/>
  <c r="D6308" i="3"/>
  <c r="C6308" i="3"/>
  <c r="B6308" i="3"/>
  <c r="D6307" i="3"/>
  <c r="C6307" i="3"/>
  <c r="B6307" i="3"/>
  <c r="D6306" i="3"/>
  <c r="C6306" i="3"/>
  <c r="B6306" i="3"/>
  <c r="D6305" i="3"/>
  <c r="C6305" i="3"/>
  <c r="B6305" i="3"/>
  <c r="D6304" i="3"/>
  <c r="C6304" i="3"/>
  <c r="B6304" i="3"/>
  <c r="D6303" i="3"/>
  <c r="C6303" i="3"/>
  <c r="B6303" i="3"/>
  <c r="D6302" i="3"/>
  <c r="C6302" i="3"/>
  <c r="B6302" i="3"/>
  <c r="D6301" i="3"/>
  <c r="C6301" i="3"/>
  <c r="B6301" i="3"/>
  <c r="D6300" i="3"/>
  <c r="C6300" i="3"/>
  <c r="B6300" i="3"/>
  <c r="D6299" i="3"/>
  <c r="C6299" i="3"/>
  <c r="B6299" i="3"/>
  <c r="D6298" i="3"/>
  <c r="C6298" i="3"/>
  <c r="B6298" i="3"/>
  <c r="D6297" i="3"/>
  <c r="C6297" i="3"/>
  <c r="B6297" i="3"/>
  <c r="D6296" i="3"/>
  <c r="C6296" i="3"/>
  <c r="B6296" i="3"/>
  <c r="D6295" i="3"/>
  <c r="C6295" i="3"/>
  <c r="B6295" i="3"/>
  <c r="D6294" i="3"/>
  <c r="C6294" i="3"/>
  <c r="B6294" i="3"/>
  <c r="D6293" i="3"/>
  <c r="C6293" i="3"/>
  <c r="B6293" i="3"/>
  <c r="D6292" i="3"/>
  <c r="C6292" i="3"/>
  <c r="B6292" i="3"/>
  <c r="D6291" i="3"/>
  <c r="C6291" i="3"/>
  <c r="B6291" i="3"/>
  <c r="D6290" i="3"/>
  <c r="C6290" i="3"/>
  <c r="B6290" i="3"/>
  <c r="D6289" i="3"/>
  <c r="C6289" i="3"/>
  <c r="B6289" i="3"/>
  <c r="D6288" i="3"/>
  <c r="C6288" i="3"/>
  <c r="B6288" i="3"/>
  <c r="D6287" i="3"/>
  <c r="C6287" i="3"/>
  <c r="B6287" i="3"/>
  <c r="D6286" i="3"/>
  <c r="C6286" i="3"/>
  <c r="B6286" i="3"/>
  <c r="D6285" i="3"/>
  <c r="C6285" i="3"/>
  <c r="B6285" i="3"/>
  <c r="D6284" i="3"/>
  <c r="C6284" i="3"/>
  <c r="B6284" i="3"/>
  <c r="D6283" i="3"/>
  <c r="C6283" i="3"/>
  <c r="B6283" i="3"/>
  <c r="D6282" i="3"/>
  <c r="C6282" i="3"/>
  <c r="B6282" i="3"/>
  <c r="D6281" i="3"/>
  <c r="C6281" i="3"/>
  <c r="B6281" i="3"/>
  <c r="D6280" i="3"/>
  <c r="C6280" i="3"/>
  <c r="B6280" i="3"/>
  <c r="D6279" i="3"/>
  <c r="C6279" i="3"/>
  <c r="B6279" i="3"/>
  <c r="D6278" i="3"/>
  <c r="C6278" i="3"/>
  <c r="B6278" i="3"/>
  <c r="D6277" i="3"/>
  <c r="C6277" i="3"/>
  <c r="B6277" i="3"/>
  <c r="D6276" i="3"/>
  <c r="C6276" i="3"/>
  <c r="B6276" i="3"/>
  <c r="D6275" i="3"/>
  <c r="C6275" i="3"/>
  <c r="B6275" i="3"/>
  <c r="D6274" i="3"/>
  <c r="C6274" i="3"/>
  <c r="B6274" i="3"/>
  <c r="D6273" i="3"/>
  <c r="C6273" i="3"/>
  <c r="B6273" i="3"/>
  <c r="D6272" i="3"/>
  <c r="C6272" i="3"/>
  <c r="B6272" i="3"/>
  <c r="D6271" i="3"/>
  <c r="C6271" i="3"/>
  <c r="B6271" i="3"/>
  <c r="D6270" i="3"/>
  <c r="C6270" i="3"/>
  <c r="B6270" i="3"/>
  <c r="D6269" i="3"/>
  <c r="C6269" i="3"/>
  <c r="B6269" i="3"/>
  <c r="D6268" i="3"/>
  <c r="C6268" i="3"/>
  <c r="B6268" i="3"/>
  <c r="D6267" i="3"/>
  <c r="C6267" i="3"/>
  <c r="B6267" i="3"/>
  <c r="D6266" i="3"/>
  <c r="C6266" i="3"/>
  <c r="B6266" i="3"/>
  <c r="D6265" i="3"/>
  <c r="C6265" i="3"/>
  <c r="B6265" i="3"/>
  <c r="D6264" i="3"/>
  <c r="C6264" i="3"/>
  <c r="B6264" i="3"/>
  <c r="D6263" i="3"/>
  <c r="C6263" i="3"/>
  <c r="B6263" i="3"/>
  <c r="D6262" i="3"/>
  <c r="C6262" i="3"/>
  <c r="B6262" i="3"/>
  <c r="D6261" i="3"/>
  <c r="C6261" i="3"/>
  <c r="B6261" i="3"/>
  <c r="D6260" i="3"/>
  <c r="C6260" i="3"/>
  <c r="B6260" i="3"/>
  <c r="D6259" i="3"/>
  <c r="C6259" i="3"/>
  <c r="B6259" i="3"/>
  <c r="D6258" i="3"/>
  <c r="C6258" i="3"/>
  <c r="B6258" i="3"/>
  <c r="D6257" i="3"/>
  <c r="C6257" i="3"/>
  <c r="B6257" i="3"/>
  <c r="D6256" i="3"/>
  <c r="C6256" i="3"/>
  <c r="B6256" i="3"/>
  <c r="D6255" i="3"/>
  <c r="C6255" i="3"/>
  <c r="B6255" i="3"/>
  <c r="D6254" i="3"/>
  <c r="C6254" i="3"/>
  <c r="B6254" i="3"/>
  <c r="D6253" i="3"/>
  <c r="C6253" i="3"/>
  <c r="B6253" i="3"/>
  <c r="D6252" i="3"/>
  <c r="C6252" i="3"/>
  <c r="B6252" i="3"/>
  <c r="D6251" i="3"/>
  <c r="C6251" i="3"/>
  <c r="B6251" i="3"/>
  <c r="D6250" i="3"/>
  <c r="C6250" i="3"/>
  <c r="B6250" i="3"/>
  <c r="D6249" i="3"/>
  <c r="C6249" i="3"/>
  <c r="B6249" i="3"/>
  <c r="D6248" i="3"/>
  <c r="C6248" i="3"/>
  <c r="B6248" i="3"/>
  <c r="D6247" i="3"/>
  <c r="C6247" i="3"/>
  <c r="B6247" i="3"/>
  <c r="D6246" i="3"/>
  <c r="C6246" i="3"/>
  <c r="B6246" i="3"/>
  <c r="D6245" i="3"/>
  <c r="C6245" i="3"/>
  <c r="B6245" i="3"/>
  <c r="D6244" i="3"/>
  <c r="C6244" i="3"/>
  <c r="B6244" i="3"/>
  <c r="D6243" i="3"/>
  <c r="C6243" i="3"/>
  <c r="B6243" i="3"/>
  <c r="D6242" i="3"/>
  <c r="C6242" i="3"/>
  <c r="B6242" i="3"/>
  <c r="D6241" i="3"/>
  <c r="C6241" i="3"/>
  <c r="B6241" i="3"/>
  <c r="D6240" i="3"/>
  <c r="C6240" i="3"/>
  <c r="B6240" i="3"/>
  <c r="D6239" i="3"/>
  <c r="C6239" i="3"/>
  <c r="B6239" i="3"/>
  <c r="D6238" i="3"/>
  <c r="C6238" i="3"/>
  <c r="B6238" i="3"/>
  <c r="D6237" i="3"/>
  <c r="C6237" i="3"/>
  <c r="B6237" i="3"/>
  <c r="D6236" i="3"/>
  <c r="C6236" i="3"/>
  <c r="B6236" i="3"/>
  <c r="D6235" i="3"/>
  <c r="C6235" i="3"/>
  <c r="B6235" i="3"/>
  <c r="D6234" i="3"/>
  <c r="C6234" i="3"/>
  <c r="B6234" i="3"/>
  <c r="D6233" i="3"/>
  <c r="C6233" i="3"/>
  <c r="B6233" i="3"/>
  <c r="D6232" i="3"/>
  <c r="C6232" i="3"/>
  <c r="B6232" i="3"/>
  <c r="D6231" i="3"/>
  <c r="C6231" i="3"/>
  <c r="B6231" i="3"/>
  <c r="D6230" i="3"/>
  <c r="C6230" i="3"/>
  <c r="B6230" i="3"/>
  <c r="D6229" i="3"/>
  <c r="C6229" i="3"/>
  <c r="B6229" i="3"/>
  <c r="D6228" i="3"/>
  <c r="C6228" i="3"/>
  <c r="B6228" i="3"/>
  <c r="D6227" i="3"/>
  <c r="C6227" i="3"/>
  <c r="B6227" i="3"/>
  <c r="D6226" i="3"/>
  <c r="C6226" i="3"/>
  <c r="B6226" i="3"/>
  <c r="D6225" i="3"/>
  <c r="C6225" i="3"/>
  <c r="B6225" i="3"/>
  <c r="D6224" i="3"/>
  <c r="C6224" i="3"/>
  <c r="B6224" i="3"/>
  <c r="D6223" i="3"/>
  <c r="C6223" i="3"/>
  <c r="B6223" i="3"/>
  <c r="D6222" i="3"/>
  <c r="C6222" i="3"/>
  <c r="B6222" i="3"/>
  <c r="D6221" i="3"/>
  <c r="C6221" i="3"/>
  <c r="B6221" i="3"/>
  <c r="D6220" i="3"/>
  <c r="C6220" i="3"/>
  <c r="B6220" i="3"/>
  <c r="D6219" i="3"/>
  <c r="C6219" i="3"/>
  <c r="B6219" i="3"/>
  <c r="D6218" i="3"/>
  <c r="C6218" i="3"/>
  <c r="B6218" i="3"/>
  <c r="D6217" i="3"/>
  <c r="C6217" i="3"/>
  <c r="B6217" i="3"/>
  <c r="D6216" i="3"/>
  <c r="C6216" i="3"/>
  <c r="B6216" i="3"/>
  <c r="D6215" i="3"/>
  <c r="C6215" i="3"/>
  <c r="B6215" i="3"/>
  <c r="D6214" i="3"/>
  <c r="C6214" i="3"/>
  <c r="B6214" i="3"/>
  <c r="D6213" i="3"/>
  <c r="C6213" i="3"/>
  <c r="B6213" i="3"/>
  <c r="D6212" i="3"/>
  <c r="C6212" i="3"/>
  <c r="B6212" i="3"/>
  <c r="D6211" i="3"/>
  <c r="C6211" i="3"/>
  <c r="B6211" i="3"/>
  <c r="D6210" i="3"/>
  <c r="C6210" i="3"/>
  <c r="B6210" i="3"/>
  <c r="D6209" i="3"/>
  <c r="C6209" i="3"/>
  <c r="B6209" i="3"/>
  <c r="D6208" i="3"/>
  <c r="C6208" i="3"/>
  <c r="B6208" i="3"/>
  <c r="D6207" i="3"/>
  <c r="C6207" i="3"/>
  <c r="B6207" i="3"/>
  <c r="D6206" i="3"/>
  <c r="C6206" i="3"/>
  <c r="B6206" i="3"/>
  <c r="D6205" i="3"/>
  <c r="C6205" i="3"/>
  <c r="B6205" i="3"/>
  <c r="D6204" i="3"/>
  <c r="C6204" i="3"/>
  <c r="B6204" i="3"/>
  <c r="D6203" i="3"/>
  <c r="C6203" i="3"/>
  <c r="B6203" i="3"/>
  <c r="D6202" i="3"/>
  <c r="C6202" i="3"/>
  <c r="B6202" i="3"/>
  <c r="D6201" i="3"/>
  <c r="C6201" i="3"/>
  <c r="B6201" i="3"/>
  <c r="D6200" i="3"/>
  <c r="C6200" i="3"/>
  <c r="B6200" i="3"/>
  <c r="D6199" i="3"/>
  <c r="C6199" i="3"/>
  <c r="B6199" i="3"/>
  <c r="D6198" i="3"/>
  <c r="C6198" i="3"/>
  <c r="B6198" i="3"/>
  <c r="D6197" i="3"/>
  <c r="C6197" i="3"/>
  <c r="B6197" i="3"/>
  <c r="D6196" i="3"/>
  <c r="C6196" i="3"/>
  <c r="B6196" i="3"/>
  <c r="D6195" i="3"/>
  <c r="C6195" i="3"/>
  <c r="B6195" i="3"/>
  <c r="D6194" i="3"/>
  <c r="C6194" i="3"/>
  <c r="B6194" i="3"/>
  <c r="D6193" i="3"/>
  <c r="C6193" i="3"/>
  <c r="B6193" i="3"/>
  <c r="D6192" i="3"/>
  <c r="C6192" i="3"/>
  <c r="B6192" i="3"/>
  <c r="D6191" i="3"/>
  <c r="C6191" i="3"/>
  <c r="B6191" i="3"/>
  <c r="D6190" i="3"/>
  <c r="C6190" i="3"/>
  <c r="B6190" i="3"/>
  <c r="D6189" i="3"/>
  <c r="C6189" i="3"/>
  <c r="B6189" i="3"/>
  <c r="D6188" i="3"/>
  <c r="C6188" i="3"/>
  <c r="B6188" i="3"/>
  <c r="D6187" i="3"/>
  <c r="C6187" i="3"/>
  <c r="B6187" i="3"/>
  <c r="D6186" i="3"/>
  <c r="C6186" i="3"/>
  <c r="B6186" i="3"/>
  <c r="D6185" i="3"/>
  <c r="C6185" i="3"/>
  <c r="B6185" i="3"/>
  <c r="D6184" i="3"/>
  <c r="C6184" i="3"/>
  <c r="B6184" i="3"/>
  <c r="D6183" i="3"/>
  <c r="C6183" i="3"/>
  <c r="B6183" i="3"/>
  <c r="D6182" i="3"/>
  <c r="C6182" i="3"/>
  <c r="B6182" i="3"/>
  <c r="D6181" i="3"/>
  <c r="C6181" i="3"/>
  <c r="B6181" i="3"/>
  <c r="D6180" i="3"/>
  <c r="C6180" i="3"/>
  <c r="B6180" i="3"/>
  <c r="D6179" i="3"/>
  <c r="C6179" i="3"/>
  <c r="B6179" i="3"/>
  <c r="D6178" i="3"/>
  <c r="C6178" i="3"/>
  <c r="B6178" i="3"/>
  <c r="D6177" i="3"/>
  <c r="C6177" i="3"/>
  <c r="B6177" i="3"/>
  <c r="D6176" i="3"/>
  <c r="C6176" i="3"/>
  <c r="B6176" i="3"/>
  <c r="D6175" i="3"/>
  <c r="C6175" i="3"/>
  <c r="B6175" i="3"/>
  <c r="D6174" i="3"/>
  <c r="C6174" i="3"/>
  <c r="B6174" i="3"/>
  <c r="D6173" i="3"/>
  <c r="C6173" i="3"/>
  <c r="B6173" i="3"/>
  <c r="D6172" i="3"/>
  <c r="C6172" i="3"/>
  <c r="B6172" i="3"/>
  <c r="D6171" i="3"/>
  <c r="C6171" i="3"/>
  <c r="B6171" i="3"/>
  <c r="D6170" i="3"/>
  <c r="C6170" i="3"/>
  <c r="B6170" i="3"/>
  <c r="D6169" i="3"/>
  <c r="C6169" i="3"/>
  <c r="B6169" i="3"/>
  <c r="D6168" i="3"/>
  <c r="C6168" i="3"/>
  <c r="B6168" i="3"/>
  <c r="D6167" i="3"/>
  <c r="C6167" i="3"/>
  <c r="B6167" i="3"/>
  <c r="D6166" i="3"/>
  <c r="C6166" i="3"/>
  <c r="B6166" i="3"/>
  <c r="D6165" i="3"/>
  <c r="C6165" i="3"/>
  <c r="B6165" i="3"/>
  <c r="D6164" i="3"/>
  <c r="C6164" i="3"/>
  <c r="B6164" i="3"/>
  <c r="D6163" i="3"/>
  <c r="C6163" i="3"/>
  <c r="B6163" i="3"/>
  <c r="D6162" i="3"/>
  <c r="C6162" i="3"/>
  <c r="B6162" i="3"/>
  <c r="D6161" i="3"/>
  <c r="C6161" i="3"/>
  <c r="B6161" i="3"/>
  <c r="D6160" i="3"/>
  <c r="C6160" i="3"/>
  <c r="B6160" i="3"/>
  <c r="D6159" i="3"/>
  <c r="C6159" i="3"/>
  <c r="B6159" i="3"/>
  <c r="D6158" i="3"/>
  <c r="C6158" i="3"/>
  <c r="B6158" i="3"/>
  <c r="D6157" i="3"/>
  <c r="C6157" i="3"/>
  <c r="B6157" i="3"/>
  <c r="D6156" i="3"/>
  <c r="C6156" i="3"/>
  <c r="B6156" i="3"/>
  <c r="D6155" i="3"/>
  <c r="C6155" i="3"/>
  <c r="B6155" i="3"/>
  <c r="D6154" i="3"/>
  <c r="C6154" i="3"/>
  <c r="B6154" i="3"/>
  <c r="D6153" i="3"/>
  <c r="C6153" i="3"/>
  <c r="B6153" i="3"/>
  <c r="D6152" i="3"/>
  <c r="C6152" i="3"/>
  <c r="B6152" i="3"/>
  <c r="D6151" i="3"/>
  <c r="C6151" i="3"/>
  <c r="B6151" i="3"/>
  <c r="D6150" i="3"/>
  <c r="C6150" i="3"/>
  <c r="B6150" i="3"/>
  <c r="D6149" i="3"/>
  <c r="C6149" i="3"/>
  <c r="B6149" i="3"/>
  <c r="D6148" i="3"/>
  <c r="C6148" i="3"/>
  <c r="B6148" i="3"/>
  <c r="D6147" i="3"/>
  <c r="C6147" i="3"/>
  <c r="B6147" i="3"/>
  <c r="D6146" i="3"/>
  <c r="C6146" i="3"/>
  <c r="B6146" i="3"/>
  <c r="D6145" i="3"/>
  <c r="C6145" i="3"/>
  <c r="B6145" i="3"/>
  <c r="D6144" i="3"/>
  <c r="C6144" i="3"/>
  <c r="B6144" i="3"/>
  <c r="D6143" i="3"/>
  <c r="C6143" i="3"/>
  <c r="B6143" i="3"/>
  <c r="D6142" i="3"/>
  <c r="C6142" i="3"/>
  <c r="B6142" i="3"/>
  <c r="D6141" i="3"/>
  <c r="C6141" i="3"/>
  <c r="B6141" i="3"/>
  <c r="D6140" i="3"/>
  <c r="C6140" i="3"/>
  <c r="B6140" i="3"/>
  <c r="D6139" i="3"/>
  <c r="C6139" i="3"/>
  <c r="B6139" i="3"/>
  <c r="D6138" i="3"/>
  <c r="C6138" i="3"/>
  <c r="B6138" i="3"/>
  <c r="D6137" i="3"/>
  <c r="C6137" i="3"/>
  <c r="B6137" i="3"/>
  <c r="D6136" i="3"/>
  <c r="C6136" i="3"/>
  <c r="B6136" i="3"/>
  <c r="D6135" i="3"/>
  <c r="C6135" i="3"/>
  <c r="B6135" i="3"/>
  <c r="D6134" i="3"/>
  <c r="C6134" i="3"/>
  <c r="B6134" i="3"/>
  <c r="D6133" i="3"/>
  <c r="C6133" i="3"/>
  <c r="B6133" i="3"/>
  <c r="D6132" i="3"/>
  <c r="C6132" i="3"/>
  <c r="B6132" i="3"/>
  <c r="D6131" i="3"/>
  <c r="C6131" i="3"/>
  <c r="B6131" i="3"/>
  <c r="D6130" i="3"/>
  <c r="C6130" i="3"/>
  <c r="B6130" i="3"/>
  <c r="D6129" i="3"/>
  <c r="C6129" i="3"/>
  <c r="B6129" i="3"/>
  <c r="D6128" i="3"/>
  <c r="C6128" i="3"/>
  <c r="B6128" i="3"/>
  <c r="D6127" i="3"/>
  <c r="C6127" i="3"/>
  <c r="B6127" i="3"/>
  <c r="D6126" i="3"/>
  <c r="C6126" i="3"/>
  <c r="B6126" i="3"/>
  <c r="D6125" i="3"/>
  <c r="C6125" i="3"/>
  <c r="B6125" i="3"/>
  <c r="D6124" i="3"/>
  <c r="C6124" i="3"/>
  <c r="B6124" i="3"/>
  <c r="D6123" i="3"/>
  <c r="C6123" i="3"/>
  <c r="B6123" i="3"/>
  <c r="D6122" i="3"/>
  <c r="C6122" i="3"/>
  <c r="B6122" i="3"/>
  <c r="D6121" i="3"/>
  <c r="C6121" i="3"/>
  <c r="B6121" i="3"/>
  <c r="D6120" i="3"/>
  <c r="C6120" i="3"/>
  <c r="B6120" i="3"/>
  <c r="D6119" i="3"/>
  <c r="C6119" i="3"/>
  <c r="B6119" i="3"/>
  <c r="D6118" i="3"/>
  <c r="C6118" i="3"/>
  <c r="B6118" i="3"/>
  <c r="D6117" i="3"/>
  <c r="C6117" i="3"/>
  <c r="B6117" i="3"/>
  <c r="D6116" i="3"/>
  <c r="C6116" i="3"/>
  <c r="B6116" i="3"/>
  <c r="D6115" i="3"/>
  <c r="C6115" i="3"/>
  <c r="B6115" i="3"/>
  <c r="D6114" i="3"/>
  <c r="C6114" i="3"/>
  <c r="B6114" i="3"/>
  <c r="D6113" i="3"/>
  <c r="C6113" i="3"/>
  <c r="B6113" i="3"/>
  <c r="D6112" i="3"/>
  <c r="C6112" i="3"/>
  <c r="B6112" i="3"/>
  <c r="D6111" i="3"/>
  <c r="C6111" i="3"/>
  <c r="B6111" i="3"/>
  <c r="D6110" i="3"/>
  <c r="C6110" i="3"/>
  <c r="B6110" i="3"/>
  <c r="D6109" i="3"/>
  <c r="C6109" i="3"/>
  <c r="B6109" i="3"/>
  <c r="D6108" i="3"/>
  <c r="C6108" i="3"/>
  <c r="B6108" i="3"/>
  <c r="D6107" i="3"/>
  <c r="C6107" i="3"/>
  <c r="B6107" i="3"/>
  <c r="D6106" i="3"/>
  <c r="C6106" i="3"/>
  <c r="B6106" i="3"/>
  <c r="D6105" i="3"/>
  <c r="C6105" i="3"/>
  <c r="B6105" i="3"/>
  <c r="D6104" i="3"/>
  <c r="C6104" i="3"/>
  <c r="B6104" i="3"/>
  <c r="D6103" i="3"/>
  <c r="C6103" i="3"/>
  <c r="B6103" i="3"/>
  <c r="D6102" i="3"/>
  <c r="C6102" i="3"/>
  <c r="B6102" i="3"/>
  <c r="D6101" i="3"/>
  <c r="C6101" i="3"/>
  <c r="B6101" i="3"/>
  <c r="D6100" i="3"/>
  <c r="C6100" i="3"/>
  <c r="B6100" i="3"/>
  <c r="D6099" i="3"/>
  <c r="C6099" i="3"/>
  <c r="B6099" i="3"/>
  <c r="D6098" i="3"/>
  <c r="C6098" i="3"/>
  <c r="B6098" i="3"/>
  <c r="D6097" i="3"/>
  <c r="C6097" i="3"/>
  <c r="B6097" i="3"/>
  <c r="D6096" i="3"/>
  <c r="C6096" i="3"/>
  <c r="B6096" i="3"/>
  <c r="D6095" i="3"/>
  <c r="C6095" i="3"/>
  <c r="B6095" i="3"/>
  <c r="D6094" i="3"/>
  <c r="C6094" i="3"/>
  <c r="B6094" i="3"/>
  <c r="D6093" i="3"/>
  <c r="C6093" i="3"/>
  <c r="B6093" i="3"/>
  <c r="D6092" i="3"/>
  <c r="C6092" i="3"/>
  <c r="B6092" i="3"/>
  <c r="D6091" i="3"/>
  <c r="C6091" i="3"/>
  <c r="B6091" i="3"/>
  <c r="D6090" i="3"/>
  <c r="C6090" i="3"/>
  <c r="B6090" i="3"/>
  <c r="D6089" i="3"/>
  <c r="C6089" i="3"/>
  <c r="B6089" i="3"/>
  <c r="D6088" i="3"/>
  <c r="C6088" i="3"/>
  <c r="B6088" i="3"/>
  <c r="D6087" i="3"/>
  <c r="C6087" i="3"/>
  <c r="B6087" i="3"/>
  <c r="D6086" i="3"/>
  <c r="C6086" i="3"/>
  <c r="B6086" i="3"/>
  <c r="D6085" i="3"/>
  <c r="C6085" i="3"/>
  <c r="B6085" i="3"/>
  <c r="D6084" i="3"/>
  <c r="C6084" i="3"/>
  <c r="B6084" i="3"/>
  <c r="D6083" i="3"/>
  <c r="C6083" i="3"/>
  <c r="B6083" i="3"/>
  <c r="D6082" i="3"/>
  <c r="C6082" i="3"/>
  <c r="B6082" i="3"/>
  <c r="D6081" i="3"/>
  <c r="C6081" i="3"/>
  <c r="B6081" i="3"/>
  <c r="D6080" i="3"/>
  <c r="C6080" i="3"/>
  <c r="B6080" i="3"/>
  <c r="D6079" i="3"/>
  <c r="C6079" i="3"/>
  <c r="B6079" i="3"/>
  <c r="D6078" i="3"/>
  <c r="C6078" i="3"/>
  <c r="B6078" i="3"/>
  <c r="D6077" i="3"/>
  <c r="C6077" i="3"/>
  <c r="B6077" i="3"/>
  <c r="D6076" i="3"/>
  <c r="C6076" i="3"/>
  <c r="B6076" i="3"/>
  <c r="D6075" i="3"/>
  <c r="C6075" i="3"/>
  <c r="B6075" i="3"/>
  <c r="D6074" i="3"/>
  <c r="C6074" i="3"/>
  <c r="B6074" i="3"/>
  <c r="D6073" i="3"/>
  <c r="C6073" i="3"/>
  <c r="B6073" i="3"/>
  <c r="D6072" i="3"/>
  <c r="C6072" i="3"/>
  <c r="B6072" i="3"/>
  <c r="D6071" i="3"/>
  <c r="C6071" i="3"/>
  <c r="B6071" i="3"/>
  <c r="D6070" i="3"/>
  <c r="C6070" i="3"/>
  <c r="B6070" i="3"/>
  <c r="D6069" i="3"/>
  <c r="C6069" i="3"/>
  <c r="B6069" i="3"/>
  <c r="D6068" i="3"/>
  <c r="C6068" i="3"/>
  <c r="B6068" i="3"/>
  <c r="D6067" i="3"/>
  <c r="C6067" i="3"/>
  <c r="B6067" i="3"/>
  <c r="D6066" i="3"/>
  <c r="C6066" i="3"/>
  <c r="B6066" i="3"/>
  <c r="D6065" i="3"/>
  <c r="C6065" i="3"/>
  <c r="B6065" i="3"/>
  <c r="D6064" i="3"/>
  <c r="C6064" i="3"/>
  <c r="B6064" i="3"/>
  <c r="D6063" i="3"/>
  <c r="C6063" i="3"/>
  <c r="B6063" i="3"/>
  <c r="D6062" i="3"/>
  <c r="C6062" i="3"/>
  <c r="B6062" i="3"/>
  <c r="D6061" i="3"/>
  <c r="C6061" i="3"/>
  <c r="B6061" i="3"/>
  <c r="D6060" i="3"/>
  <c r="C6060" i="3"/>
  <c r="B6060" i="3"/>
  <c r="D6059" i="3"/>
  <c r="C6059" i="3"/>
  <c r="B6059" i="3"/>
  <c r="D6058" i="3"/>
  <c r="C6058" i="3"/>
  <c r="B6058" i="3"/>
  <c r="D6057" i="3"/>
  <c r="C6057" i="3"/>
  <c r="B6057" i="3"/>
  <c r="D6056" i="3"/>
  <c r="C6056" i="3"/>
  <c r="B6056" i="3"/>
  <c r="D6055" i="3"/>
  <c r="C6055" i="3"/>
  <c r="B6055" i="3"/>
  <c r="D6054" i="3"/>
  <c r="C6054" i="3"/>
  <c r="B6054" i="3"/>
  <c r="D6053" i="3"/>
  <c r="C6053" i="3"/>
  <c r="B6053" i="3"/>
  <c r="D6052" i="3"/>
  <c r="C6052" i="3"/>
  <c r="B6052" i="3"/>
  <c r="D6051" i="3"/>
  <c r="C6051" i="3"/>
  <c r="B6051" i="3"/>
  <c r="D6050" i="3"/>
  <c r="C6050" i="3"/>
  <c r="B6050" i="3"/>
  <c r="D6049" i="3"/>
  <c r="C6049" i="3"/>
  <c r="B6049" i="3"/>
  <c r="D6048" i="3"/>
  <c r="C6048" i="3"/>
  <c r="B6048" i="3"/>
  <c r="D6047" i="3"/>
  <c r="C6047" i="3"/>
  <c r="B6047" i="3"/>
  <c r="D6046" i="3"/>
  <c r="C6046" i="3"/>
  <c r="B6046" i="3"/>
  <c r="D6045" i="3"/>
  <c r="C6045" i="3"/>
  <c r="B6045" i="3"/>
  <c r="D6044" i="3"/>
  <c r="C6044" i="3"/>
  <c r="B6044" i="3"/>
  <c r="D6043" i="3"/>
  <c r="C6043" i="3"/>
  <c r="B6043" i="3"/>
  <c r="D6042" i="3"/>
  <c r="C6042" i="3"/>
  <c r="B6042" i="3"/>
  <c r="D6041" i="3"/>
  <c r="C6041" i="3"/>
  <c r="B6041" i="3"/>
  <c r="D6040" i="3"/>
  <c r="C6040" i="3"/>
  <c r="B6040" i="3"/>
  <c r="D6039" i="3"/>
  <c r="C6039" i="3"/>
  <c r="B6039" i="3"/>
  <c r="D6038" i="3"/>
  <c r="C6038" i="3"/>
  <c r="B6038" i="3"/>
  <c r="D6037" i="3"/>
  <c r="C6037" i="3"/>
  <c r="B6037" i="3"/>
  <c r="D6036" i="3"/>
  <c r="C6036" i="3"/>
  <c r="B6036" i="3"/>
  <c r="D6035" i="3"/>
  <c r="C6035" i="3"/>
  <c r="B6035" i="3"/>
  <c r="D6034" i="3"/>
  <c r="C6034" i="3"/>
  <c r="B6034" i="3"/>
  <c r="D6033" i="3"/>
  <c r="C6033" i="3"/>
  <c r="B6033" i="3"/>
  <c r="D6032" i="3"/>
  <c r="C6032" i="3"/>
  <c r="B6032" i="3"/>
  <c r="D6031" i="3"/>
  <c r="C6031" i="3"/>
  <c r="B6031" i="3"/>
  <c r="D6030" i="3"/>
  <c r="C6030" i="3"/>
  <c r="B6030" i="3"/>
  <c r="D6029" i="3"/>
  <c r="C6029" i="3"/>
  <c r="B6029" i="3"/>
  <c r="D6028" i="3"/>
  <c r="C6028" i="3"/>
  <c r="B6028" i="3"/>
  <c r="D6027" i="3"/>
  <c r="C6027" i="3"/>
  <c r="B6027" i="3"/>
  <c r="D6026" i="3"/>
  <c r="C6026" i="3"/>
  <c r="B6026" i="3"/>
  <c r="D6025" i="3"/>
  <c r="C6025" i="3"/>
  <c r="B6025" i="3"/>
  <c r="D6024" i="3"/>
  <c r="C6024" i="3"/>
  <c r="B6024" i="3"/>
  <c r="D6023" i="3"/>
  <c r="C6023" i="3"/>
  <c r="B6023" i="3"/>
  <c r="D6022" i="3"/>
  <c r="C6022" i="3"/>
  <c r="B6022" i="3"/>
  <c r="D6021" i="3"/>
  <c r="C6021" i="3"/>
  <c r="B6021" i="3"/>
  <c r="D6020" i="3"/>
  <c r="C6020" i="3"/>
  <c r="B6020" i="3"/>
  <c r="D6019" i="3"/>
  <c r="C6019" i="3"/>
  <c r="B6019" i="3"/>
  <c r="D6018" i="3"/>
  <c r="C6018" i="3"/>
  <c r="B6018" i="3"/>
  <c r="D6017" i="3"/>
  <c r="C6017" i="3"/>
  <c r="B6017" i="3"/>
  <c r="D6016" i="3"/>
  <c r="C6016" i="3"/>
  <c r="B6016" i="3"/>
  <c r="D6015" i="3"/>
  <c r="C6015" i="3"/>
  <c r="B6015" i="3"/>
  <c r="D6014" i="3"/>
  <c r="C6014" i="3"/>
  <c r="B6014" i="3"/>
  <c r="D6013" i="3"/>
  <c r="C6013" i="3"/>
  <c r="B6013" i="3"/>
  <c r="D6012" i="3"/>
  <c r="C6012" i="3"/>
  <c r="B6012" i="3"/>
  <c r="D6011" i="3"/>
  <c r="C6011" i="3"/>
  <c r="B6011" i="3"/>
  <c r="D6010" i="3"/>
  <c r="C6010" i="3"/>
  <c r="B6010" i="3"/>
  <c r="D6009" i="3"/>
  <c r="C6009" i="3"/>
  <c r="B6009" i="3"/>
  <c r="D6008" i="3"/>
  <c r="C6008" i="3"/>
  <c r="B6008" i="3"/>
  <c r="D6007" i="3"/>
  <c r="C6007" i="3"/>
  <c r="B6007" i="3"/>
  <c r="D6006" i="3"/>
  <c r="C6006" i="3"/>
  <c r="B6006" i="3"/>
  <c r="D6005" i="3"/>
  <c r="C6005" i="3"/>
  <c r="B6005" i="3"/>
  <c r="D6004" i="3"/>
  <c r="C6004" i="3"/>
  <c r="B6004" i="3"/>
  <c r="D6003" i="3"/>
  <c r="C6003" i="3"/>
  <c r="B6003" i="3"/>
  <c r="D6002" i="3"/>
  <c r="C6002" i="3"/>
  <c r="B6002" i="3"/>
  <c r="D6001" i="3"/>
  <c r="C6001" i="3"/>
  <c r="B6001" i="3"/>
  <c r="D6000" i="3"/>
  <c r="C6000" i="3"/>
  <c r="B6000" i="3"/>
  <c r="D5999" i="3"/>
  <c r="C5999" i="3"/>
  <c r="B5999" i="3"/>
  <c r="D5998" i="3"/>
  <c r="C5998" i="3"/>
  <c r="B5998" i="3"/>
  <c r="D5997" i="3"/>
  <c r="C5997" i="3"/>
  <c r="B5997" i="3"/>
  <c r="D5996" i="3"/>
  <c r="C5996" i="3"/>
  <c r="B5996" i="3"/>
  <c r="D5995" i="3"/>
  <c r="C5995" i="3"/>
  <c r="B5995" i="3"/>
  <c r="D5994" i="3"/>
  <c r="C5994" i="3"/>
  <c r="B5994" i="3"/>
  <c r="D5993" i="3"/>
  <c r="C5993" i="3"/>
  <c r="B5993" i="3"/>
  <c r="D5992" i="3"/>
  <c r="C5992" i="3"/>
  <c r="B5992" i="3"/>
  <c r="D5991" i="3"/>
  <c r="C5991" i="3"/>
  <c r="B5991" i="3"/>
  <c r="D5990" i="3"/>
  <c r="C5990" i="3"/>
  <c r="B5990" i="3"/>
  <c r="D5989" i="3"/>
  <c r="C5989" i="3"/>
  <c r="B5989" i="3"/>
  <c r="D5988" i="3"/>
  <c r="C5988" i="3"/>
  <c r="B5988" i="3"/>
  <c r="D5987" i="3"/>
  <c r="C5987" i="3"/>
  <c r="B5987" i="3"/>
  <c r="D5986" i="3"/>
  <c r="C5986" i="3"/>
  <c r="B5986" i="3"/>
  <c r="D5985" i="3"/>
  <c r="C5985" i="3"/>
  <c r="B5985" i="3"/>
  <c r="D5984" i="3"/>
  <c r="C5984" i="3"/>
  <c r="B5984" i="3"/>
  <c r="D5983" i="3"/>
  <c r="C5983" i="3"/>
  <c r="B5983" i="3"/>
  <c r="D5982" i="3"/>
  <c r="C5982" i="3"/>
  <c r="B5982" i="3"/>
  <c r="D5981" i="3"/>
  <c r="C5981" i="3"/>
  <c r="B5981" i="3"/>
  <c r="D5980" i="3"/>
  <c r="C5980" i="3"/>
  <c r="B5980" i="3"/>
  <c r="D5979" i="3"/>
  <c r="C5979" i="3"/>
  <c r="B5979" i="3"/>
  <c r="D5978" i="3"/>
  <c r="C5978" i="3"/>
  <c r="B5978" i="3"/>
  <c r="D5977" i="3"/>
  <c r="C5977" i="3"/>
  <c r="B5977" i="3"/>
  <c r="D5976" i="3"/>
  <c r="C5976" i="3"/>
  <c r="B5976" i="3"/>
  <c r="D5975" i="3"/>
  <c r="C5975" i="3"/>
  <c r="B5975" i="3"/>
  <c r="D5974" i="3"/>
  <c r="C5974" i="3"/>
  <c r="B5974" i="3"/>
  <c r="D5973" i="3"/>
  <c r="C5973" i="3"/>
  <c r="B5973" i="3"/>
  <c r="D5972" i="3"/>
  <c r="C5972" i="3"/>
  <c r="B5972" i="3"/>
  <c r="D5971" i="3"/>
  <c r="C5971" i="3"/>
  <c r="B5971" i="3"/>
  <c r="D5970" i="3"/>
  <c r="C5970" i="3"/>
  <c r="B5970" i="3"/>
  <c r="D5969" i="3"/>
  <c r="C5969" i="3"/>
  <c r="B5969" i="3"/>
  <c r="D5968" i="3"/>
  <c r="C5968" i="3"/>
  <c r="B5968" i="3"/>
  <c r="D5967" i="3"/>
  <c r="C5967" i="3"/>
  <c r="B5967" i="3"/>
  <c r="D5966" i="3"/>
  <c r="C5966" i="3"/>
  <c r="B5966" i="3"/>
  <c r="D5965" i="3"/>
  <c r="C5965" i="3"/>
  <c r="B5965" i="3"/>
  <c r="D5964" i="3"/>
  <c r="C5964" i="3"/>
  <c r="B5964" i="3"/>
  <c r="D5963" i="3"/>
  <c r="C5963" i="3"/>
  <c r="B5963" i="3"/>
  <c r="D5962" i="3"/>
  <c r="C5962" i="3"/>
  <c r="B5962" i="3"/>
  <c r="D5961" i="3"/>
  <c r="C5961" i="3"/>
  <c r="B5961" i="3"/>
  <c r="D5960" i="3"/>
  <c r="C5960" i="3"/>
  <c r="B5960" i="3"/>
  <c r="D5959" i="3"/>
  <c r="C5959" i="3"/>
  <c r="B5959" i="3"/>
  <c r="D5958" i="3"/>
  <c r="C5958" i="3"/>
  <c r="B5958" i="3"/>
  <c r="D5957" i="3"/>
  <c r="C5957" i="3"/>
  <c r="B5957" i="3"/>
  <c r="D5956" i="3"/>
  <c r="C5956" i="3"/>
  <c r="B5956" i="3"/>
  <c r="D5955" i="3"/>
  <c r="C5955" i="3"/>
  <c r="B5955" i="3"/>
  <c r="D5954" i="3"/>
  <c r="C5954" i="3"/>
  <c r="B5954" i="3"/>
  <c r="D5953" i="3"/>
  <c r="C5953" i="3"/>
  <c r="B5953" i="3"/>
  <c r="D5952" i="3"/>
  <c r="C5952" i="3"/>
  <c r="B5952" i="3"/>
  <c r="D5951" i="3"/>
  <c r="C5951" i="3"/>
  <c r="B5951" i="3"/>
  <c r="D5950" i="3"/>
  <c r="C5950" i="3"/>
  <c r="B5950" i="3"/>
  <c r="D5949" i="3"/>
  <c r="C5949" i="3"/>
  <c r="B5949" i="3"/>
  <c r="D5948" i="3"/>
  <c r="C5948" i="3"/>
  <c r="B5948" i="3"/>
  <c r="D5947" i="3"/>
  <c r="C5947" i="3"/>
  <c r="B5947" i="3"/>
  <c r="D5946" i="3"/>
  <c r="C5946" i="3"/>
  <c r="B5946" i="3"/>
  <c r="D5945" i="3"/>
  <c r="C5945" i="3"/>
  <c r="B5945" i="3"/>
  <c r="D5944" i="3"/>
  <c r="C5944" i="3"/>
  <c r="B5944" i="3"/>
  <c r="D5943" i="3"/>
  <c r="C5943" i="3"/>
  <c r="B5943" i="3"/>
  <c r="D5942" i="3"/>
  <c r="C5942" i="3"/>
  <c r="B5942" i="3"/>
  <c r="D5941" i="3"/>
  <c r="C5941" i="3"/>
  <c r="B5941" i="3"/>
  <c r="D5940" i="3"/>
  <c r="C5940" i="3"/>
  <c r="B5940" i="3"/>
  <c r="D5939" i="3"/>
  <c r="C5939" i="3"/>
  <c r="B5939" i="3"/>
  <c r="D5938" i="3"/>
  <c r="C5938" i="3"/>
  <c r="B5938" i="3"/>
  <c r="D5937" i="3"/>
  <c r="C5937" i="3"/>
  <c r="B5937" i="3"/>
  <c r="D5936" i="3"/>
  <c r="C5936" i="3"/>
  <c r="B5936" i="3"/>
  <c r="D5935" i="3"/>
  <c r="C5935" i="3"/>
  <c r="B5935" i="3"/>
  <c r="D5934" i="3"/>
  <c r="C5934" i="3"/>
  <c r="B5934" i="3"/>
  <c r="D5933" i="3"/>
  <c r="C5933" i="3"/>
  <c r="B5933" i="3"/>
  <c r="D5932" i="3"/>
  <c r="C5932" i="3"/>
  <c r="B5932" i="3"/>
  <c r="D5931" i="3"/>
  <c r="C5931" i="3"/>
  <c r="B5931" i="3"/>
  <c r="D5930" i="3"/>
  <c r="C5930" i="3"/>
  <c r="B5930" i="3"/>
  <c r="D5929" i="3"/>
  <c r="C5929" i="3"/>
  <c r="B5929" i="3"/>
  <c r="D5928" i="3"/>
  <c r="C5928" i="3"/>
  <c r="B5928" i="3"/>
  <c r="D5927" i="3"/>
  <c r="C5927" i="3"/>
  <c r="B5927" i="3"/>
  <c r="D5926" i="3"/>
  <c r="C5926" i="3"/>
  <c r="B5926" i="3"/>
  <c r="D5925" i="3"/>
  <c r="C5925" i="3"/>
  <c r="B5925" i="3"/>
  <c r="D5924" i="3"/>
  <c r="C5924" i="3"/>
  <c r="B5924" i="3"/>
  <c r="D5923" i="3"/>
  <c r="C5923" i="3"/>
  <c r="B5923" i="3"/>
  <c r="D5922" i="3"/>
  <c r="C5922" i="3"/>
  <c r="B5922" i="3"/>
  <c r="D5921" i="3"/>
  <c r="C5921" i="3"/>
  <c r="B5921" i="3"/>
  <c r="D5920" i="3"/>
  <c r="C5920" i="3"/>
  <c r="B5920" i="3"/>
  <c r="D5919" i="3"/>
  <c r="C5919" i="3"/>
  <c r="B5919" i="3"/>
  <c r="D5918" i="3"/>
  <c r="C5918" i="3"/>
  <c r="B5918" i="3"/>
  <c r="D5917" i="3"/>
  <c r="C5917" i="3"/>
  <c r="B5917" i="3"/>
  <c r="D5916" i="3"/>
  <c r="C5916" i="3"/>
  <c r="B5916" i="3"/>
  <c r="D5915" i="3"/>
  <c r="C5915" i="3"/>
  <c r="B5915" i="3"/>
  <c r="D5914" i="3"/>
  <c r="C5914" i="3"/>
  <c r="B5914" i="3"/>
  <c r="D5913" i="3"/>
  <c r="C5913" i="3"/>
  <c r="B5913" i="3"/>
  <c r="D5912" i="3"/>
  <c r="C5912" i="3"/>
  <c r="B5912" i="3"/>
  <c r="D5911" i="3"/>
  <c r="C5911" i="3"/>
  <c r="B5911" i="3"/>
  <c r="D5910" i="3"/>
  <c r="C5910" i="3"/>
  <c r="B5910" i="3"/>
  <c r="D5909" i="3"/>
  <c r="C5909" i="3"/>
  <c r="B5909" i="3"/>
  <c r="D5908" i="3"/>
  <c r="C5908" i="3"/>
  <c r="B5908" i="3"/>
  <c r="D5907" i="3"/>
  <c r="C5907" i="3"/>
  <c r="B5907" i="3"/>
  <c r="D5906" i="3"/>
  <c r="C5906" i="3"/>
  <c r="B5906" i="3"/>
  <c r="D5905" i="3"/>
  <c r="C5905" i="3"/>
  <c r="B5905" i="3"/>
  <c r="D5904" i="3"/>
  <c r="C5904" i="3"/>
  <c r="B5904" i="3"/>
  <c r="D5903" i="3"/>
  <c r="C5903" i="3"/>
  <c r="B5903" i="3"/>
  <c r="D5902" i="3"/>
  <c r="C5902" i="3"/>
  <c r="B5902" i="3"/>
  <c r="D5901" i="3"/>
  <c r="C5901" i="3"/>
  <c r="B5901" i="3"/>
  <c r="D5900" i="3"/>
  <c r="C5900" i="3"/>
  <c r="B5900" i="3"/>
  <c r="D5899" i="3"/>
  <c r="C5899" i="3"/>
  <c r="B5899" i="3"/>
  <c r="D5898" i="3"/>
  <c r="C5898" i="3"/>
  <c r="B5898" i="3"/>
  <c r="D5897" i="3"/>
  <c r="C5897" i="3"/>
  <c r="B5897" i="3"/>
  <c r="D5896" i="3"/>
  <c r="C5896" i="3"/>
  <c r="B5896" i="3"/>
  <c r="D5895" i="3"/>
  <c r="C5895" i="3"/>
  <c r="B5895" i="3"/>
  <c r="D5894" i="3"/>
  <c r="C5894" i="3"/>
  <c r="B5894" i="3"/>
  <c r="D5893" i="3"/>
  <c r="C5893" i="3"/>
  <c r="B5893" i="3"/>
  <c r="D5892" i="3"/>
  <c r="C5892" i="3"/>
  <c r="B5892" i="3"/>
  <c r="D5891" i="3"/>
  <c r="C5891" i="3"/>
  <c r="B5891" i="3"/>
  <c r="D5890" i="3"/>
  <c r="C5890" i="3"/>
  <c r="B5890" i="3"/>
  <c r="D5889" i="3"/>
  <c r="C5889" i="3"/>
  <c r="B5889" i="3"/>
  <c r="D5888" i="3"/>
  <c r="C5888" i="3"/>
  <c r="B5888" i="3"/>
  <c r="D5887" i="3"/>
  <c r="C5887" i="3"/>
  <c r="B5887" i="3"/>
  <c r="D5886" i="3"/>
  <c r="C5886" i="3"/>
  <c r="B5886" i="3"/>
  <c r="D5885" i="3"/>
  <c r="C5885" i="3"/>
  <c r="B5885" i="3"/>
  <c r="D5884" i="3"/>
  <c r="C5884" i="3"/>
  <c r="B5884" i="3"/>
  <c r="D5883" i="3"/>
  <c r="C5883" i="3"/>
  <c r="B5883" i="3"/>
  <c r="D5882" i="3"/>
  <c r="C5882" i="3"/>
  <c r="B5882" i="3"/>
  <c r="D5881" i="3"/>
  <c r="C5881" i="3"/>
  <c r="B5881" i="3"/>
  <c r="D5880" i="3"/>
  <c r="C5880" i="3"/>
  <c r="B5880" i="3"/>
  <c r="D5879" i="3"/>
  <c r="C5879" i="3"/>
  <c r="B5879" i="3"/>
  <c r="D5878" i="3"/>
  <c r="C5878" i="3"/>
  <c r="B5878" i="3"/>
  <c r="D5877" i="3"/>
  <c r="C5877" i="3"/>
  <c r="B5877" i="3"/>
  <c r="D5876" i="3"/>
  <c r="C5876" i="3"/>
  <c r="B5876" i="3"/>
  <c r="D5875" i="3"/>
  <c r="C5875" i="3"/>
  <c r="B5875" i="3"/>
  <c r="D5874" i="3"/>
  <c r="C5874" i="3"/>
  <c r="B5874" i="3"/>
  <c r="D5873" i="3"/>
  <c r="C5873" i="3"/>
  <c r="B5873" i="3"/>
  <c r="D5872" i="3"/>
  <c r="C5872" i="3"/>
  <c r="B5872" i="3"/>
  <c r="D5871" i="3"/>
  <c r="C5871" i="3"/>
  <c r="B5871" i="3"/>
  <c r="D5870" i="3"/>
  <c r="C5870" i="3"/>
  <c r="B5870" i="3"/>
  <c r="D5869" i="3"/>
  <c r="C5869" i="3"/>
  <c r="B5869" i="3"/>
  <c r="D5868" i="3"/>
  <c r="C5868" i="3"/>
  <c r="B5868" i="3"/>
  <c r="D5867" i="3"/>
  <c r="C5867" i="3"/>
  <c r="B5867" i="3"/>
  <c r="D5866" i="3"/>
  <c r="C5866" i="3"/>
  <c r="B5866" i="3"/>
  <c r="D5865" i="3"/>
  <c r="C5865" i="3"/>
  <c r="B5865" i="3"/>
  <c r="D5864" i="3"/>
  <c r="C5864" i="3"/>
  <c r="B5864" i="3"/>
  <c r="D5863" i="3"/>
  <c r="C5863" i="3"/>
  <c r="B5863" i="3"/>
  <c r="D5862" i="3"/>
  <c r="C5862" i="3"/>
  <c r="B5862" i="3"/>
  <c r="D5861" i="3"/>
  <c r="C5861" i="3"/>
  <c r="B5861" i="3"/>
  <c r="D5860" i="3"/>
  <c r="C5860" i="3"/>
  <c r="B5860" i="3"/>
  <c r="D5859" i="3"/>
  <c r="C5859" i="3"/>
  <c r="B5859" i="3"/>
  <c r="D5858" i="3"/>
  <c r="C5858" i="3"/>
  <c r="B5858" i="3"/>
  <c r="D5857" i="3"/>
  <c r="C5857" i="3"/>
  <c r="B5857" i="3"/>
  <c r="D5856" i="3"/>
  <c r="C5856" i="3"/>
  <c r="B5856" i="3"/>
  <c r="D5855" i="3"/>
  <c r="C5855" i="3"/>
  <c r="B5855" i="3"/>
  <c r="D5854" i="3"/>
  <c r="C5854" i="3"/>
  <c r="B5854" i="3"/>
  <c r="D5853" i="3"/>
  <c r="C5853" i="3"/>
  <c r="B5853" i="3"/>
  <c r="D5852" i="3"/>
  <c r="C5852" i="3"/>
  <c r="B5852" i="3"/>
  <c r="D5851" i="3"/>
  <c r="C5851" i="3"/>
  <c r="B5851" i="3"/>
  <c r="D5850" i="3"/>
  <c r="C5850" i="3"/>
  <c r="B5850" i="3"/>
  <c r="D5849" i="3"/>
  <c r="C5849" i="3"/>
  <c r="B5849" i="3"/>
  <c r="D5848" i="3"/>
  <c r="C5848" i="3"/>
  <c r="B5848" i="3"/>
  <c r="D5847" i="3"/>
  <c r="C5847" i="3"/>
  <c r="B5847" i="3"/>
  <c r="D5846" i="3"/>
  <c r="C5846" i="3"/>
  <c r="B5846" i="3"/>
  <c r="D5845" i="3"/>
  <c r="C5845" i="3"/>
  <c r="B5845" i="3"/>
  <c r="D5844" i="3"/>
  <c r="C5844" i="3"/>
  <c r="B5844" i="3"/>
  <c r="D5843" i="3"/>
  <c r="C5843" i="3"/>
  <c r="B5843" i="3"/>
  <c r="D5842" i="3"/>
  <c r="C5842" i="3"/>
  <c r="B5842" i="3"/>
  <c r="D5841" i="3"/>
  <c r="C5841" i="3"/>
  <c r="B5841" i="3"/>
  <c r="D5840" i="3"/>
  <c r="C5840" i="3"/>
  <c r="B5840" i="3"/>
  <c r="D5839" i="3"/>
  <c r="C5839" i="3"/>
  <c r="B5839" i="3"/>
  <c r="D5838" i="3"/>
  <c r="C5838" i="3"/>
  <c r="B5838" i="3"/>
  <c r="D5837" i="3"/>
  <c r="C5837" i="3"/>
  <c r="B5837" i="3"/>
  <c r="D5836" i="3"/>
  <c r="C5836" i="3"/>
  <c r="B5836" i="3"/>
  <c r="D5835" i="3"/>
  <c r="C5835" i="3"/>
  <c r="B5835" i="3"/>
  <c r="D5834" i="3"/>
  <c r="C5834" i="3"/>
  <c r="B5834" i="3"/>
  <c r="D5833" i="3"/>
  <c r="C5833" i="3"/>
  <c r="B5833" i="3"/>
  <c r="D5832" i="3"/>
  <c r="C5832" i="3"/>
  <c r="B5832" i="3"/>
  <c r="D5831" i="3"/>
  <c r="C5831" i="3"/>
  <c r="B5831" i="3"/>
  <c r="D5830" i="3"/>
  <c r="C5830" i="3"/>
  <c r="B5830" i="3"/>
  <c r="D5829" i="3"/>
  <c r="C5829" i="3"/>
  <c r="B5829" i="3"/>
  <c r="D5828" i="3"/>
  <c r="C5828" i="3"/>
  <c r="B5828" i="3"/>
  <c r="D5827" i="3"/>
  <c r="C5827" i="3"/>
  <c r="B5827" i="3"/>
  <c r="D5826" i="3"/>
  <c r="C5826" i="3"/>
  <c r="B5826" i="3"/>
  <c r="D5825" i="3"/>
  <c r="C5825" i="3"/>
  <c r="B5825" i="3"/>
  <c r="D5824" i="3"/>
  <c r="C5824" i="3"/>
  <c r="B5824" i="3"/>
  <c r="D5823" i="3"/>
  <c r="C5823" i="3"/>
  <c r="B5823" i="3"/>
  <c r="D5822" i="3"/>
  <c r="C5822" i="3"/>
  <c r="B5822" i="3"/>
  <c r="D5821" i="3"/>
  <c r="C5821" i="3"/>
  <c r="B5821" i="3"/>
  <c r="D5820" i="3"/>
  <c r="C5820" i="3"/>
  <c r="B5820" i="3"/>
  <c r="D5819" i="3"/>
  <c r="C5819" i="3"/>
  <c r="B5819" i="3"/>
  <c r="D5818" i="3"/>
  <c r="C5818" i="3"/>
  <c r="B5818" i="3"/>
  <c r="D5817" i="3"/>
  <c r="C5817" i="3"/>
  <c r="B5817" i="3"/>
  <c r="D5816" i="3"/>
  <c r="C5816" i="3"/>
  <c r="B5816" i="3"/>
  <c r="D5815" i="3"/>
  <c r="C5815" i="3"/>
  <c r="B5815" i="3"/>
  <c r="D5814" i="3"/>
  <c r="C5814" i="3"/>
  <c r="B5814" i="3"/>
  <c r="D5813" i="3"/>
  <c r="C5813" i="3"/>
  <c r="B5813" i="3"/>
  <c r="D5812" i="3"/>
  <c r="C5812" i="3"/>
  <c r="B5812" i="3"/>
  <c r="D5811" i="3"/>
  <c r="C5811" i="3"/>
  <c r="B5811" i="3"/>
  <c r="D5810" i="3"/>
  <c r="C5810" i="3"/>
  <c r="B5810" i="3"/>
  <c r="D5809" i="3"/>
  <c r="C5809" i="3"/>
  <c r="B5809" i="3"/>
  <c r="D5808" i="3"/>
  <c r="C5808" i="3"/>
  <c r="B5808" i="3"/>
  <c r="D5807" i="3"/>
  <c r="C5807" i="3"/>
  <c r="B5807" i="3"/>
  <c r="D5806" i="3"/>
  <c r="C5806" i="3"/>
  <c r="B5806" i="3"/>
  <c r="D5805" i="3"/>
  <c r="C5805" i="3"/>
  <c r="B5805" i="3"/>
  <c r="D5804" i="3"/>
  <c r="C5804" i="3"/>
  <c r="B5804" i="3"/>
  <c r="D5803" i="3"/>
  <c r="C5803" i="3"/>
  <c r="B5803" i="3"/>
  <c r="D5802" i="3"/>
  <c r="C5802" i="3"/>
  <c r="B5802" i="3"/>
  <c r="D5801" i="3"/>
  <c r="C5801" i="3"/>
  <c r="B5801" i="3"/>
  <c r="D5800" i="3"/>
  <c r="C5800" i="3"/>
  <c r="B5800" i="3"/>
  <c r="D5799" i="3"/>
  <c r="C5799" i="3"/>
  <c r="B5799" i="3"/>
  <c r="D5798" i="3"/>
  <c r="C5798" i="3"/>
  <c r="B5798" i="3"/>
  <c r="D5797" i="3"/>
  <c r="C5797" i="3"/>
  <c r="B5797" i="3"/>
  <c r="D5796" i="3"/>
  <c r="C5796" i="3"/>
  <c r="B5796" i="3"/>
  <c r="D5795" i="3"/>
  <c r="C5795" i="3"/>
  <c r="B5795" i="3"/>
  <c r="D5794" i="3"/>
  <c r="C5794" i="3"/>
  <c r="B5794" i="3"/>
  <c r="D5793" i="3"/>
  <c r="C5793" i="3"/>
  <c r="B5793" i="3"/>
  <c r="D5792" i="3"/>
  <c r="C5792" i="3"/>
  <c r="B5792" i="3"/>
  <c r="D5791" i="3"/>
  <c r="C5791" i="3"/>
  <c r="B5791" i="3"/>
  <c r="D5790" i="3"/>
  <c r="C5790" i="3"/>
  <c r="B5790" i="3"/>
  <c r="D5789" i="3"/>
  <c r="C5789" i="3"/>
  <c r="B5789" i="3"/>
  <c r="D5788" i="3"/>
  <c r="C5788" i="3"/>
  <c r="B5788" i="3"/>
  <c r="D5787" i="3"/>
  <c r="C5787" i="3"/>
  <c r="B5787" i="3"/>
  <c r="D5786" i="3"/>
  <c r="C5786" i="3"/>
  <c r="B5786" i="3"/>
  <c r="D5785" i="3"/>
  <c r="C5785" i="3"/>
  <c r="B5785" i="3"/>
  <c r="D5784" i="3"/>
  <c r="C5784" i="3"/>
  <c r="B5784" i="3"/>
  <c r="D5783" i="3"/>
  <c r="C5783" i="3"/>
  <c r="B5783" i="3"/>
  <c r="D5782" i="3"/>
  <c r="C5782" i="3"/>
  <c r="B5782" i="3"/>
  <c r="D5781" i="3"/>
  <c r="C5781" i="3"/>
  <c r="B5781" i="3"/>
  <c r="D5780" i="3"/>
  <c r="C5780" i="3"/>
  <c r="B5780" i="3"/>
  <c r="D5779" i="3"/>
  <c r="C5779" i="3"/>
  <c r="B5779" i="3"/>
  <c r="D5778" i="3"/>
  <c r="C5778" i="3"/>
  <c r="B5778" i="3"/>
  <c r="D5777" i="3"/>
  <c r="C5777" i="3"/>
  <c r="B5777" i="3"/>
  <c r="D5776" i="3"/>
  <c r="C5776" i="3"/>
  <c r="B5776" i="3"/>
  <c r="D5775" i="3"/>
  <c r="C5775" i="3"/>
  <c r="B5775" i="3"/>
  <c r="D5774" i="3"/>
  <c r="C5774" i="3"/>
  <c r="B5774" i="3"/>
  <c r="D5773" i="3"/>
  <c r="C5773" i="3"/>
  <c r="B5773" i="3"/>
  <c r="D5772" i="3"/>
  <c r="C5772" i="3"/>
  <c r="B5772" i="3"/>
  <c r="D5771" i="3"/>
  <c r="C5771" i="3"/>
  <c r="B5771" i="3"/>
  <c r="D5770" i="3"/>
  <c r="C5770" i="3"/>
  <c r="B5770" i="3"/>
  <c r="D5769" i="3"/>
  <c r="C5769" i="3"/>
  <c r="B5769" i="3"/>
  <c r="D5768" i="3"/>
  <c r="C5768" i="3"/>
  <c r="B5768" i="3"/>
  <c r="D5767" i="3"/>
  <c r="C5767" i="3"/>
  <c r="B5767" i="3"/>
  <c r="D5766" i="3"/>
  <c r="C5766" i="3"/>
  <c r="B5766" i="3"/>
  <c r="D5765" i="3"/>
  <c r="C5765" i="3"/>
  <c r="B5765" i="3"/>
  <c r="D5764" i="3"/>
  <c r="C5764" i="3"/>
  <c r="B5764" i="3"/>
  <c r="D5763" i="3"/>
  <c r="C5763" i="3"/>
  <c r="B5763" i="3"/>
  <c r="D5762" i="3"/>
  <c r="C5762" i="3"/>
  <c r="B5762" i="3"/>
  <c r="D5761" i="3"/>
  <c r="C5761" i="3"/>
  <c r="B5761" i="3"/>
  <c r="D5760" i="3"/>
  <c r="C5760" i="3"/>
  <c r="B5760" i="3"/>
  <c r="D5759" i="3"/>
  <c r="C5759" i="3"/>
  <c r="B5759" i="3"/>
  <c r="D5758" i="3"/>
  <c r="C5758" i="3"/>
  <c r="B5758" i="3"/>
  <c r="D5757" i="3"/>
  <c r="C5757" i="3"/>
  <c r="B5757" i="3"/>
  <c r="D5756" i="3"/>
  <c r="C5756" i="3"/>
  <c r="B5756" i="3"/>
  <c r="D5755" i="3"/>
  <c r="C5755" i="3"/>
  <c r="B5755" i="3"/>
  <c r="D5754" i="3"/>
  <c r="C5754" i="3"/>
  <c r="B5754" i="3"/>
  <c r="D5753" i="3"/>
  <c r="C5753" i="3"/>
  <c r="B5753" i="3"/>
  <c r="D5752" i="3"/>
  <c r="C5752" i="3"/>
  <c r="B5752" i="3"/>
  <c r="D5751" i="3"/>
  <c r="C5751" i="3"/>
  <c r="B5751" i="3"/>
  <c r="D5750" i="3"/>
  <c r="C5750" i="3"/>
  <c r="B5750" i="3"/>
  <c r="D5749" i="3"/>
  <c r="C5749" i="3"/>
  <c r="B5749" i="3"/>
  <c r="D5748" i="3"/>
  <c r="C5748" i="3"/>
  <c r="B5748" i="3"/>
  <c r="D5747" i="3"/>
  <c r="C5747" i="3"/>
  <c r="B5747" i="3"/>
  <c r="D5746" i="3"/>
  <c r="C5746" i="3"/>
  <c r="B5746" i="3"/>
  <c r="D5745" i="3"/>
  <c r="C5745" i="3"/>
  <c r="B5745" i="3"/>
  <c r="D5744" i="3"/>
  <c r="C5744" i="3"/>
  <c r="B5744" i="3"/>
  <c r="D5743" i="3"/>
  <c r="C5743" i="3"/>
  <c r="B5743" i="3"/>
  <c r="D5742" i="3"/>
  <c r="C5742" i="3"/>
  <c r="B5742" i="3"/>
  <c r="D5741" i="3"/>
  <c r="C5741" i="3"/>
  <c r="B5741" i="3"/>
  <c r="D5740" i="3"/>
  <c r="C5740" i="3"/>
  <c r="B5740" i="3"/>
  <c r="D5739" i="3"/>
  <c r="C5739" i="3"/>
  <c r="B5739" i="3"/>
  <c r="D5738" i="3"/>
  <c r="C5738" i="3"/>
  <c r="B5738" i="3"/>
  <c r="D5737" i="3"/>
  <c r="C5737" i="3"/>
  <c r="B5737" i="3"/>
  <c r="D5736" i="3"/>
  <c r="C5736" i="3"/>
  <c r="B5736" i="3"/>
  <c r="D5735" i="3"/>
  <c r="C5735" i="3"/>
  <c r="B5735" i="3"/>
  <c r="D5734" i="3"/>
  <c r="C5734" i="3"/>
  <c r="B5734" i="3"/>
  <c r="D5733" i="3"/>
  <c r="C5733" i="3"/>
  <c r="B5733" i="3"/>
  <c r="D5732" i="3"/>
  <c r="C5732" i="3"/>
  <c r="B5732" i="3"/>
  <c r="D5731" i="3"/>
  <c r="C5731" i="3"/>
  <c r="B5731" i="3"/>
  <c r="D5730" i="3"/>
  <c r="C5730" i="3"/>
  <c r="B5730" i="3"/>
  <c r="D5729" i="3"/>
  <c r="C5729" i="3"/>
  <c r="B5729" i="3"/>
  <c r="D5728" i="3"/>
  <c r="C5728" i="3"/>
  <c r="B5728" i="3"/>
  <c r="D5727" i="3"/>
  <c r="C5727" i="3"/>
  <c r="B5727" i="3"/>
  <c r="D5726" i="3"/>
  <c r="C5726" i="3"/>
  <c r="B5726" i="3"/>
  <c r="D5725" i="3"/>
  <c r="C5725" i="3"/>
  <c r="B5725" i="3"/>
  <c r="D5724" i="3"/>
  <c r="C5724" i="3"/>
  <c r="B5724" i="3"/>
  <c r="D5723" i="3"/>
  <c r="C5723" i="3"/>
  <c r="B5723" i="3"/>
  <c r="D5722" i="3"/>
  <c r="C5722" i="3"/>
  <c r="B5722" i="3"/>
  <c r="D5721" i="3"/>
  <c r="C5721" i="3"/>
  <c r="B5721" i="3"/>
  <c r="D5720" i="3"/>
  <c r="C5720" i="3"/>
  <c r="B5720" i="3"/>
  <c r="D5719" i="3"/>
  <c r="C5719" i="3"/>
  <c r="B5719" i="3"/>
  <c r="D5718" i="3"/>
  <c r="C5718" i="3"/>
  <c r="B5718" i="3"/>
  <c r="D5717" i="3"/>
  <c r="C5717" i="3"/>
  <c r="B5717" i="3"/>
  <c r="D5716" i="3"/>
  <c r="C5716" i="3"/>
  <c r="B5716" i="3"/>
  <c r="D5715" i="3"/>
  <c r="C5715" i="3"/>
  <c r="B5715" i="3"/>
  <c r="D5714" i="3"/>
  <c r="C5714" i="3"/>
  <c r="B5714" i="3"/>
  <c r="D5713" i="3"/>
  <c r="C5713" i="3"/>
  <c r="B5713" i="3"/>
  <c r="D5712" i="3"/>
  <c r="C5712" i="3"/>
  <c r="B5712" i="3"/>
  <c r="D5711" i="3"/>
  <c r="C5711" i="3"/>
  <c r="B5711" i="3"/>
  <c r="D5710" i="3"/>
  <c r="C5710" i="3"/>
  <c r="B5710" i="3"/>
  <c r="D5709" i="3"/>
  <c r="C5709" i="3"/>
  <c r="B5709" i="3"/>
  <c r="D5708" i="3"/>
  <c r="C5708" i="3"/>
  <c r="B5708" i="3"/>
  <c r="D5707" i="3"/>
  <c r="C5707" i="3"/>
  <c r="B5707" i="3"/>
  <c r="D5706" i="3"/>
  <c r="C5706" i="3"/>
  <c r="B5706" i="3"/>
  <c r="D5705" i="3"/>
  <c r="C5705" i="3"/>
  <c r="B5705" i="3"/>
  <c r="D5704" i="3"/>
  <c r="C5704" i="3"/>
  <c r="B5704" i="3"/>
  <c r="D5703" i="3"/>
  <c r="C5703" i="3"/>
  <c r="B5703" i="3"/>
  <c r="D5702" i="3"/>
  <c r="C5702" i="3"/>
  <c r="B5702" i="3"/>
  <c r="D5701" i="3"/>
  <c r="C5701" i="3"/>
  <c r="B5701" i="3"/>
  <c r="D5700" i="3"/>
  <c r="C5700" i="3"/>
  <c r="B5700" i="3"/>
  <c r="D5699" i="3"/>
  <c r="C5699" i="3"/>
  <c r="B5699" i="3"/>
  <c r="D5698" i="3"/>
  <c r="C5698" i="3"/>
  <c r="B5698" i="3"/>
  <c r="D5697" i="3"/>
  <c r="C5697" i="3"/>
  <c r="B5697" i="3"/>
  <c r="D5696" i="3"/>
  <c r="C5696" i="3"/>
  <c r="B5696" i="3"/>
  <c r="D5695" i="3"/>
  <c r="C5695" i="3"/>
  <c r="B5695" i="3"/>
  <c r="D5694" i="3"/>
  <c r="C5694" i="3"/>
  <c r="B5694" i="3"/>
  <c r="D5693" i="3"/>
  <c r="C5693" i="3"/>
  <c r="B5693" i="3"/>
  <c r="D5692" i="3"/>
  <c r="C5692" i="3"/>
  <c r="B5692" i="3"/>
  <c r="D5691" i="3"/>
  <c r="C5691" i="3"/>
  <c r="B5691" i="3"/>
  <c r="D5690" i="3"/>
  <c r="C5690" i="3"/>
  <c r="B5690" i="3"/>
  <c r="D5689" i="3"/>
  <c r="C5689" i="3"/>
  <c r="B5689" i="3"/>
  <c r="D5688" i="3"/>
  <c r="C5688" i="3"/>
  <c r="B5688" i="3"/>
  <c r="D5687" i="3"/>
  <c r="C5687" i="3"/>
  <c r="B5687" i="3"/>
  <c r="D5686" i="3"/>
  <c r="C5686" i="3"/>
  <c r="B5686" i="3"/>
  <c r="D5685" i="3"/>
  <c r="C5685" i="3"/>
  <c r="B5685" i="3"/>
  <c r="D5684" i="3"/>
  <c r="C5684" i="3"/>
  <c r="B5684" i="3"/>
  <c r="D5683" i="3"/>
  <c r="C5683" i="3"/>
  <c r="B5683" i="3"/>
  <c r="D5682" i="3"/>
  <c r="C5682" i="3"/>
  <c r="B5682" i="3"/>
  <c r="D5681" i="3"/>
  <c r="C5681" i="3"/>
  <c r="B5681" i="3"/>
  <c r="D5680" i="3"/>
  <c r="C5680" i="3"/>
  <c r="B5680" i="3"/>
  <c r="D5679" i="3"/>
  <c r="C5679" i="3"/>
  <c r="B5679" i="3"/>
  <c r="D5678" i="3"/>
  <c r="C5678" i="3"/>
  <c r="B5678" i="3"/>
  <c r="D5677" i="3"/>
  <c r="C5677" i="3"/>
  <c r="B5677" i="3"/>
  <c r="D5676" i="3"/>
  <c r="C5676" i="3"/>
  <c r="B5676" i="3"/>
  <c r="D5675" i="3"/>
  <c r="C5675" i="3"/>
  <c r="B5675" i="3"/>
  <c r="D5674" i="3"/>
  <c r="C5674" i="3"/>
  <c r="B5674" i="3"/>
  <c r="D5673" i="3"/>
  <c r="C5673" i="3"/>
  <c r="B5673" i="3"/>
  <c r="D5672" i="3"/>
  <c r="C5672" i="3"/>
  <c r="B5672" i="3"/>
  <c r="D5671" i="3"/>
  <c r="C5671" i="3"/>
  <c r="B5671" i="3"/>
  <c r="D5670" i="3"/>
  <c r="C5670" i="3"/>
  <c r="B5670" i="3"/>
  <c r="D5669" i="3"/>
  <c r="C5669" i="3"/>
  <c r="B5669" i="3"/>
  <c r="D5668" i="3"/>
  <c r="C5668" i="3"/>
  <c r="B5668" i="3"/>
  <c r="D5667" i="3"/>
  <c r="C5667" i="3"/>
  <c r="B5667" i="3"/>
  <c r="D5666" i="3"/>
  <c r="C5666" i="3"/>
  <c r="B5666" i="3"/>
  <c r="D5665" i="3"/>
  <c r="C5665" i="3"/>
  <c r="B5665" i="3"/>
  <c r="D5664" i="3"/>
  <c r="C5664" i="3"/>
  <c r="B5664" i="3"/>
  <c r="D5663" i="3"/>
  <c r="C5663" i="3"/>
  <c r="B5663" i="3"/>
  <c r="D5662" i="3"/>
  <c r="C5662" i="3"/>
  <c r="B5662" i="3"/>
  <c r="D5661" i="3"/>
  <c r="C5661" i="3"/>
  <c r="B5661" i="3"/>
  <c r="D5660" i="3"/>
  <c r="C5660" i="3"/>
  <c r="B5660" i="3"/>
  <c r="D5659" i="3"/>
  <c r="C5659" i="3"/>
  <c r="B5659" i="3"/>
  <c r="D5658" i="3"/>
  <c r="C5658" i="3"/>
  <c r="B5658" i="3"/>
  <c r="D5657" i="3"/>
  <c r="C5657" i="3"/>
  <c r="B5657" i="3"/>
  <c r="D5656" i="3"/>
  <c r="C5656" i="3"/>
  <c r="B5656" i="3"/>
  <c r="D5655" i="3"/>
  <c r="C5655" i="3"/>
  <c r="B5655" i="3"/>
  <c r="D5654" i="3"/>
  <c r="C5654" i="3"/>
  <c r="B5654" i="3"/>
  <c r="D5653" i="3"/>
  <c r="C5653" i="3"/>
  <c r="B5653" i="3"/>
  <c r="D5652" i="3"/>
  <c r="C5652" i="3"/>
  <c r="B5652" i="3"/>
  <c r="D5651" i="3"/>
  <c r="C5651" i="3"/>
  <c r="B5651" i="3"/>
  <c r="D5650" i="3"/>
  <c r="C5650" i="3"/>
  <c r="B5650" i="3"/>
  <c r="D5649" i="3"/>
  <c r="C5649" i="3"/>
  <c r="B5649" i="3"/>
  <c r="D5648" i="3"/>
  <c r="C5648" i="3"/>
  <c r="B5648" i="3"/>
  <c r="D5647" i="3"/>
  <c r="C5647" i="3"/>
  <c r="B5647" i="3"/>
  <c r="D5646" i="3"/>
  <c r="C5646" i="3"/>
  <c r="B5646" i="3"/>
  <c r="D5645" i="3"/>
  <c r="C5645" i="3"/>
  <c r="B5645" i="3"/>
  <c r="D5644" i="3"/>
  <c r="C5644" i="3"/>
  <c r="B5644" i="3"/>
  <c r="D5643" i="3"/>
  <c r="C5643" i="3"/>
  <c r="B5643" i="3"/>
  <c r="D5642" i="3"/>
  <c r="C5642" i="3"/>
  <c r="B5642" i="3"/>
  <c r="D5641" i="3"/>
  <c r="C5641" i="3"/>
  <c r="B5641" i="3"/>
  <c r="D5640" i="3"/>
  <c r="C5640" i="3"/>
  <c r="B5640" i="3"/>
  <c r="D5639" i="3"/>
  <c r="C5639" i="3"/>
  <c r="B5639" i="3"/>
  <c r="D5638" i="3"/>
  <c r="C5638" i="3"/>
  <c r="B5638" i="3"/>
  <c r="D5637" i="3"/>
  <c r="C5637" i="3"/>
  <c r="B5637" i="3"/>
  <c r="D5636" i="3"/>
  <c r="C5636" i="3"/>
  <c r="B5636" i="3"/>
  <c r="D5635" i="3"/>
  <c r="C5635" i="3"/>
  <c r="B5635" i="3"/>
  <c r="D5634" i="3"/>
  <c r="C5634" i="3"/>
  <c r="B5634" i="3"/>
  <c r="D5633" i="3"/>
  <c r="C5633" i="3"/>
  <c r="B5633" i="3"/>
  <c r="D5632" i="3"/>
  <c r="C5632" i="3"/>
  <c r="B5632" i="3"/>
  <c r="D5631" i="3"/>
  <c r="C5631" i="3"/>
  <c r="B5631" i="3"/>
  <c r="D5630" i="3"/>
  <c r="C5630" i="3"/>
  <c r="B5630" i="3"/>
  <c r="D5629" i="3"/>
  <c r="C5629" i="3"/>
  <c r="B5629" i="3"/>
  <c r="D5628" i="3"/>
  <c r="C5628" i="3"/>
  <c r="B5628" i="3"/>
  <c r="D5627" i="3"/>
  <c r="C5627" i="3"/>
  <c r="B5627" i="3"/>
  <c r="D5626" i="3"/>
  <c r="C5626" i="3"/>
  <c r="B5626" i="3"/>
  <c r="D5625" i="3"/>
  <c r="C5625" i="3"/>
  <c r="B5625" i="3"/>
  <c r="D5624" i="3"/>
  <c r="C5624" i="3"/>
  <c r="B5624" i="3"/>
  <c r="D5623" i="3"/>
  <c r="C5623" i="3"/>
  <c r="B5623" i="3"/>
  <c r="D5622" i="3"/>
  <c r="C5622" i="3"/>
  <c r="B5622" i="3"/>
  <c r="D5621" i="3"/>
  <c r="C5621" i="3"/>
  <c r="B5621" i="3"/>
  <c r="D5620" i="3"/>
  <c r="C5620" i="3"/>
  <c r="B5620" i="3"/>
  <c r="D5619" i="3"/>
  <c r="C5619" i="3"/>
  <c r="B5619" i="3"/>
  <c r="D5618" i="3"/>
  <c r="C5618" i="3"/>
  <c r="B5618" i="3"/>
  <c r="D5617" i="3"/>
  <c r="C5617" i="3"/>
  <c r="B5617" i="3"/>
  <c r="D5616" i="3"/>
  <c r="C5616" i="3"/>
  <c r="B5616" i="3"/>
  <c r="D5615" i="3"/>
  <c r="C5615" i="3"/>
  <c r="B5615" i="3"/>
  <c r="D5614" i="3"/>
  <c r="C5614" i="3"/>
  <c r="B5614" i="3"/>
  <c r="D5613" i="3"/>
  <c r="C5613" i="3"/>
  <c r="B5613" i="3"/>
  <c r="D5612" i="3"/>
  <c r="C5612" i="3"/>
  <c r="B5612" i="3"/>
  <c r="D5611" i="3"/>
  <c r="C5611" i="3"/>
  <c r="B5611" i="3"/>
  <c r="D5610" i="3"/>
  <c r="C5610" i="3"/>
  <c r="B5610" i="3"/>
  <c r="D5609" i="3"/>
  <c r="C5609" i="3"/>
  <c r="B5609" i="3"/>
  <c r="D5608" i="3"/>
  <c r="C5608" i="3"/>
  <c r="B5608" i="3"/>
  <c r="D5607" i="3"/>
  <c r="C5607" i="3"/>
  <c r="B5607" i="3"/>
  <c r="D5606" i="3"/>
  <c r="C5606" i="3"/>
  <c r="B5606" i="3"/>
  <c r="D5605" i="3"/>
  <c r="C5605" i="3"/>
  <c r="B5605" i="3"/>
  <c r="D5604" i="3"/>
  <c r="C5604" i="3"/>
  <c r="B5604" i="3"/>
  <c r="D5603" i="3"/>
  <c r="C5603" i="3"/>
  <c r="B5603" i="3"/>
  <c r="D5602" i="3"/>
  <c r="C5602" i="3"/>
  <c r="B5602" i="3"/>
  <c r="D5601" i="3"/>
  <c r="C5601" i="3"/>
  <c r="B5601" i="3"/>
  <c r="D5600" i="3"/>
  <c r="C5600" i="3"/>
  <c r="B5600" i="3"/>
  <c r="D5599" i="3"/>
  <c r="C5599" i="3"/>
  <c r="B5599" i="3"/>
  <c r="D5598" i="3"/>
  <c r="C5598" i="3"/>
  <c r="B5598" i="3"/>
  <c r="D5597" i="3"/>
  <c r="C5597" i="3"/>
  <c r="B5597" i="3"/>
  <c r="D5596" i="3"/>
  <c r="C5596" i="3"/>
  <c r="B5596" i="3"/>
  <c r="D5595" i="3"/>
  <c r="C5595" i="3"/>
  <c r="B5595" i="3"/>
  <c r="D5594" i="3"/>
  <c r="C5594" i="3"/>
  <c r="B5594" i="3"/>
  <c r="D5593" i="3"/>
  <c r="C5593" i="3"/>
  <c r="B5593" i="3"/>
  <c r="D5592" i="3"/>
  <c r="C5592" i="3"/>
  <c r="B5592" i="3"/>
  <c r="D5591" i="3"/>
  <c r="C5591" i="3"/>
  <c r="B5591" i="3"/>
  <c r="D5590" i="3"/>
  <c r="C5590" i="3"/>
  <c r="B5590" i="3"/>
  <c r="D5589" i="3"/>
  <c r="C5589" i="3"/>
  <c r="B5589" i="3"/>
  <c r="D5588" i="3"/>
  <c r="C5588" i="3"/>
  <c r="B5588" i="3"/>
  <c r="D5587" i="3"/>
  <c r="C5587" i="3"/>
  <c r="B5587" i="3"/>
  <c r="D5586" i="3"/>
  <c r="C5586" i="3"/>
  <c r="B5586" i="3"/>
  <c r="D5585" i="3"/>
  <c r="C5585" i="3"/>
  <c r="B5585" i="3"/>
  <c r="D5584" i="3"/>
  <c r="C5584" i="3"/>
  <c r="B5584" i="3"/>
  <c r="D5583" i="3"/>
  <c r="C5583" i="3"/>
  <c r="B5583" i="3"/>
  <c r="D5582" i="3"/>
  <c r="C5582" i="3"/>
  <c r="B5582" i="3"/>
  <c r="D5581" i="3"/>
  <c r="C5581" i="3"/>
  <c r="B5581" i="3"/>
  <c r="D5580" i="3"/>
  <c r="C5580" i="3"/>
  <c r="B5580" i="3"/>
  <c r="D5579" i="3"/>
  <c r="C5579" i="3"/>
  <c r="B5579" i="3"/>
  <c r="D5578" i="3"/>
  <c r="C5578" i="3"/>
  <c r="B5578" i="3"/>
  <c r="D5577" i="3"/>
  <c r="C5577" i="3"/>
  <c r="B5577" i="3"/>
  <c r="D5576" i="3"/>
  <c r="C5576" i="3"/>
  <c r="B5576" i="3"/>
  <c r="D5575" i="3"/>
  <c r="C5575" i="3"/>
  <c r="B5575" i="3"/>
  <c r="D5574" i="3"/>
  <c r="C5574" i="3"/>
  <c r="B5574" i="3"/>
  <c r="D5573" i="3"/>
  <c r="C5573" i="3"/>
  <c r="B5573" i="3"/>
  <c r="D5572" i="3"/>
  <c r="C5572" i="3"/>
  <c r="B5572" i="3"/>
  <c r="D5571" i="3"/>
  <c r="C5571" i="3"/>
  <c r="B5571" i="3"/>
  <c r="D5570" i="3"/>
  <c r="C5570" i="3"/>
  <c r="B5570" i="3"/>
  <c r="D5569" i="3"/>
  <c r="C5569" i="3"/>
  <c r="B5569" i="3"/>
  <c r="D5568" i="3"/>
  <c r="C5568" i="3"/>
  <c r="B5568" i="3"/>
  <c r="D5567" i="3"/>
  <c r="C5567" i="3"/>
  <c r="B5567" i="3"/>
  <c r="D5566" i="3"/>
  <c r="C5566" i="3"/>
  <c r="B5566" i="3"/>
  <c r="D5565" i="3"/>
  <c r="C5565" i="3"/>
  <c r="B5565" i="3"/>
  <c r="D5564" i="3"/>
  <c r="C5564" i="3"/>
  <c r="B5564" i="3"/>
  <c r="D5563" i="3"/>
  <c r="C5563" i="3"/>
  <c r="B5563" i="3"/>
  <c r="D5562" i="3"/>
  <c r="C5562" i="3"/>
  <c r="B5562" i="3"/>
  <c r="D5561" i="3"/>
  <c r="C5561" i="3"/>
  <c r="B5561" i="3"/>
  <c r="D5560" i="3"/>
  <c r="C5560" i="3"/>
  <c r="B5560" i="3"/>
  <c r="D5559" i="3"/>
  <c r="C5559" i="3"/>
  <c r="B5559" i="3"/>
  <c r="D5558" i="3"/>
  <c r="C5558" i="3"/>
  <c r="B5558" i="3"/>
  <c r="D5557" i="3"/>
  <c r="C5557" i="3"/>
  <c r="B5557" i="3"/>
  <c r="D5556" i="3"/>
  <c r="C5556" i="3"/>
  <c r="B5556" i="3"/>
  <c r="D5555" i="3"/>
  <c r="C5555" i="3"/>
  <c r="B5555" i="3"/>
  <c r="D5554" i="3"/>
  <c r="C5554" i="3"/>
  <c r="B5554" i="3"/>
  <c r="D5553" i="3"/>
  <c r="C5553" i="3"/>
  <c r="B5553" i="3"/>
  <c r="D5552" i="3"/>
  <c r="C5552" i="3"/>
  <c r="B5552" i="3"/>
  <c r="D5551" i="3"/>
  <c r="C5551" i="3"/>
  <c r="B5551" i="3"/>
  <c r="D5550" i="3"/>
  <c r="C5550" i="3"/>
  <c r="B5550" i="3"/>
  <c r="D5549" i="3"/>
  <c r="C5549" i="3"/>
  <c r="B5549" i="3"/>
  <c r="D5548" i="3"/>
  <c r="C5548" i="3"/>
  <c r="B5548" i="3"/>
  <c r="D5547" i="3"/>
  <c r="C5547" i="3"/>
  <c r="B5547" i="3"/>
  <c r="D5546" i="3"/>
  <c r="C5546" i="3"/>
  <c r="B5546" i="3"/>
  <c r="D5545" i="3"/>
  <c r="C5545" i="3"/>
  <c r="B5545" i="3"/>
  <c r="D5544" i="3"/>
  <c r="C5544" i="3"/>
  <c r="B5544" i="3"/>
  <c r="D5543" i="3"/>
  <c r="C5543" i="3"/>
  <c r="B5543" i="3"/>
  <c r="D5542" i="3"/>
  <c r="C5542" i="3"/>
  <c r="B5542" i="3"/>
  <c r="D5541" i="3"/>
  <c r="C5541" i="3"/>
  <c r="B5541" i="3"/>
  <c r="D5540" i="3"/>
  <c r="C5540" i="3"/>
  <c r="B5540" i="3"/>
  <c r="D5539" i="3"/>
  <c r="C5539" i="3"/>
  <c r="B5539" i="3"/>
  <c r="D5538" i="3"/>
  <c r="C5538" i="3"/>
  <c r="B5538" i="3"/>
  <c r="D5537" i="3"/>
  <c r="C5537" i="3"/>
  <c r="B5537" i="3"/>
  <c r="D5536" i="3"/>
  <c r="C5536" i="3"/>
  <c r="B5536" i="3"/>
  <c r="D5535" i="3"/>
  <c r="C5535" i="3"/>
  <c r="B5535" i="3"/>
  <c r="D5534" i="3"/>
  <c r="C5534" i="3"/>
  <c r="B5534" i="3"/>
  <c r="D5533" i="3"/>
  <c r="C5533" i="3"/>
  <c r="B5533" i="3"/>
  <c r="D5532" i="3"/>
  <c r="C5532" i="3"/>
  <c r="B5532" i="3"/>
  <c r="D5531" i="3"/>
  <c r="C5531" i="3"/>
  <c r="B5531" i="3"/>
  <c r="D5530" i="3"/>
  <c r="C5530" i="3"/>
  <c r="B5530" i="3"/>
  <c r="D5529" i="3"/>
  <c r="C5529" i="3"/>
  <c r="B5529" i="3"/>
  <c r="D5528" i="3"/>
  <c r="C5528" i="3"/>
  <c r="B5528" i="3"/>
  <c r="D5527" i="3"/>
  <c r="C5527" i="3"/>
  <c r="B5527" i="3"/>
  <c r="D5526" i="3"/>
  <c r="C5526" i="3"/>
  <c r="B5526" i="3"/>
  <c r="D5525" i="3"/>
  <c r="C5525" i="3"/>
  <c r="B5525" i="3"/>
  <c r="D5524" i="3"/>
  <c r="C5524" i="3"/>
  <c r="B5524" i="3"/>
  <c r="D5523" i="3"/>
  <c r="C5523" i="3"/>
  <c r="B5523" i="3"/>
  <c r="D5522" i="3"/>
  <c r="C5522" i="3"/>
  <c r="B5522" i="3"/>
  <c r="D5521" i="3"/>
  <c r="C5521" i="3"/>
  <c r="B5521" i="3"/>
  <c r="D5520" i="3"/>
  <c r="C5520" i="3"/>
  <c r="B5520" i="3"/>
  <c r="D5519" i="3"/>
  <c r="C5519" i="3"/>
  <c r="B5519" i="3"/>
  <c r="D5518" i="3"/>
  <c r="C5518" i="3"/>
  <c r="B5518" i="3"/>
  <c r="D5517" i="3"/>
  <c r="C5517" i="3"/>
  <c r="B5517" i="3"/>
  <c r="D5516" i="3"/>
  <c r="C5516" i="3"/>
  <c r="B5516" i="3"/>
  <c r="D5515" i="3"/>
  <c r="C5515" i="3"/>
  <c r="B5515" i="3"/>
  <c r="D5514" i="3"/>
  <c r="C5514" i="3"/>
  <c r="B5514" i="3"/>
  <c r="D5513" i="3"/>
  <c r="C5513" i="3"/>
  <c r="B5513" i="3"/>
  <c r="D5512" i="3"/>
  <c r="C5512" i="3"/>
  <c r="B5512" i="3"/>
  <c r="D5511" i="3"/>
  <c r="C5511" i="3"/>
  <c r="B5511" i="3"/>
  <c r="D5510" i="3"/>
  <c r="C5510" i="3"/>
  <c r="B5510" i="3"/>
  <c r="D5509" i="3"/>
  <c r="C5509" i="3"/>
  <c r="B5509" i="3"/>
  <c r="D5508" i="3"/>
  <c r="C5508" i="3"/>
  <c r="B5508" i="3"/>
  <c r="D5507" i="3"/>
  <c r="C5507" i="3"/>
  <c r="B5507" i="3"/>
  <c r="D5506" i="3"/>
  <c r="C5506" i="3"/>
  <c r="B5506" i="3"/>
  <c r="D5505" i="3"/>
  <c r="C5505" i="3"/>
  <c r="B5505" i="3"/>
  <c r="D5504" i="3"/>
  <c r="C5504" i="3"/>
  <c r="B5504" i="3"/>
  <c r="D5503" i="3"/>
  <c r="C5503" i="3"/>
  <c r="B5503" i="3"/>
  <c r="D5502" i="3"/>
  <c r="C5502" i="3"/>
  <c r="B5502" i="3"/>
  <c r="D5501" i="3"/>
  <c r="C5501" i="3"/>
  <c r="B5501" i="3"/>
  <c r="D5500" i="3"/>
  <c r="C5500" i="3"/>
  <c r="B5500" i="3"/>
  <c r="D5499" i="3"/>
  <c r="C5499" i="3"/>
  <c r="B5499" i="3"/>
  <c r="D5498" i="3"/>
  <c r="C5498" i="3"/>
  <c r="B5498" i="3"/>
  <c r="D5497" i="3"/>
  <c r="C5497" i="3"/>
  <c r="B5497" i="3"/>
  <c r="D5496" i="3"/>
  <c r="C5496" i="3"/>
  <c r="B5496" i="3"/>
  <c r="D5495" i="3"/>
  <c r="C5495" i="3"/>
  <c r="B5495" i="3"/>
  <c r="D5494" i="3"/>
  <c r="C5494" i="3"/>
  <c r="B5494" i="3"/>
  <c r="D5493" i="3"/>
  <c r="C5493" i="3"/>
  <c r="B5493" i="3"/>
  <c r="D5492" i="3"/>
  <c r="C5492" i="3"/>
  <c r="B5492" i="3"/>
  <c r="D5491" i="3"/>
  <c r="C5491" i="3"/>
  <c r="B5491" i="3"/>
  <c r="D5490" i="3"/>
  <c r="C5490" i="3"/>
  <c r="B5490" i="3"/>
  <c r="D5489" i="3"/>
  <c r="C5489" i="3"/>
  <c r="B5489" i="3"/>
  <c r="D5488" i="3"/>
  <c r="C5488" i="3"/>
  <c r="B5488" i="3"/>
  <c r="D5487" i="3"/>
  <c r="C5487" i="3"/>
  <c r="B5487" i="3"/>
  <c r="D5486" i="3"/>
  <c r="C5486" i="3"/>
  <c r="B5486" i="3"/>
  <c r="D5485" i="3"/>
  <c r="C5485" i="3"/>
  <c r="B5485" i="3"/>
  <c r="D5484" i="3"/>
  <c r="C5484" i="3"/>
  <c r="B5484" i="3"/>
  <c r="D5483" i="3"/>
  <c r="C5483" i="3"/>
  <c r="B5483" i="3"/>
  <c r="D5482" i="3"/>
  <c r="C5482" i="3"/>
  <c r="B5482" i="3"/>
  <c r="D5481" i="3"/>
  <c r="C5481" i="3"/>
  <c r="B5481" i="3"/>
  <c r="D5480" i="3"/>
  <c r="C5480" i="3"/>
  <c r="B5480" i="3"/>
  <c r="D5479" i="3"/>
  <c r="C5479" i="3"/>
  <c r="B5479" i="3"/>
  <c r="D5478" i="3"/>
  <c r="C5478" i="3"/>
  <c r="B5478" i="3"/>
  <c r="D5477" i="3"/>
  <c r="C5477" i="3"/>
  <c r="B5477" i="3"/>
  <c r="D5476" i="3"/>
  <c r="C5476" i="3"/>
  <c r="B5476" i="3"/>
  <c r="D5475" i="3"/>
  <c r="C5475" i="3"/>
  <c r="B5475" i="3"/>
  <c r="D5474" i="3"/>
  <c r="C5474" i="3"/>
  <c r="B5474" i="3"/>
  <c r="D5473" i="3"/>
  <c r="C5473" i="3"/>
  <c r="B5473" i="3"/>
  <c r="D5472" i="3"/>
  <c r="C5472" i="3"/>
  <c r="B5472" i="3"/>
  <c r="D5471" i="3"/>
  <c r="C5471" i="3"/>
  <c r="B5471" i="3"/>
  <c r="D5470" i="3"/>
  <c r="C5470" i="3"/>
  <c r="B5470" i="3"/>
  <c r="D5469" i="3"/>
  <c r="C5469" i="3"/>
  <c r="B5469" i="3"/>
  <c r="D5468" i="3"/>
  <c r="C5468" i="3"/>
  <c r="B5468" i="3"/>
  <c r="D5467" i="3"/>
  <c r="C5467" i="3"/>
  <c r="B5467" i="3"/>
  <c r="D5466" i="3"/>
  <c r="C5466" i="3"/>
  <c r="B5466" i="3"/>
  <c r="D5465" i="3"/>
  <c r="C5465" i="3"/>
  <c r="B5465" i="3"/>
  <c r="D5464" i="3"/>
  <c r="C5464" i="3"/>
  <c r="B5464" i="3"/>
  <c r="D5463" i="3"/>
  <c r="C5463" i="3"/>
  <c r="B5463" i="3"/>
  <c r="D5462" i="3"/>
  <c r="C5462" i="3"/>
  <c r="B5462" i="3"/>
  <c r="D5461" i="3"/>
  <c r="C5461" i="3"/>
  <c r="B5461" i="3"/>
  <c r="D5460" i="3"/>
  <c r="C5460" i="3"/>
  <c r="B5460" i="3"/>
  <c r="D5459" i="3"/>
  <c r="C5459" i="3"/>
  <c r="B5459" i="3"/>
  <c r="D5458" i="3"/>
  <c r="C5458" i="3"/>
  <c r="B5458" i="3"/>
  <c r="D5457" i="3"/>
  <c r="C5457" i="3"/>
  <c r="B5457" i="3"/>
  <c r="D5456" i="3"/>
  <c r="C5456" i="3"/>
  <c r="B5456" i="3"/>
  <c r="D5455" i="3"/>
  <c r="C5455" i="3"/>
  <c r="B5455" i="3"/>
  <c r="D5454" i="3"/>
  <c r="C5454" i="3"/>
  <c r="B5454" i="3"/>
  <c r="D5453" i="3"/>
  <c r="C5453" i="3"/>
  <c r="B5453" i="3"/>
  <c r="D5452" i="3"/>
  <c r="C5452" i="3"/>
  <c r="B5452" i="3"/>
  <c r="D5451" i="3"/>
  <c r="C5451" i="3"/>
  <c r="B5451" i="3"/>
  <c r="D5450" i="3"/>
  <c r="C5450" i="3"/>
  <c r="B5450" i="3"/>
  <c r="D5449" i="3"/>
  <c r="C5449" i="3"/>
  <c r="B5449" i="3"/>
  <c r="D5448" i="3"/>
  <c r="C5448" i="3"/>
  <c r="B5448" i="3"/>
  <c r="D5447" i="3"/>
  <c r="C5447" i="3"/>
  <c r="B5447" i="3"/>
  <c r="D5446" i="3"/>
  <c r="C5446" i="3"/>
  <c r="B5446" i="3"/>
  <c r="D5445" i="3"/>
  <c r="C5445" i="3"/>
  <c r="B5445" i="3"/>
  <c r="D5444" i="3"/>
  <c r="C5444" i="3"/>
  <c r="B5444" i="3"/>
  <c r="D5443" i="3"/>
  <c r="C5443" i="3"/>
  <c r="B5443" i="3"/>
  <c r="D5442" i="3"/>
  <c r="C5442" i="3"/>
  <c r="B5442" i="3"/>
  <c r="D5441" i="3"/>
  <c r="C5441" i="3"/>
  <c r="B5441" i="3"/>
  <c r="D5440" i="3"/>
  <c r="C5440" i="3"/>
  <c r="B5440" i="3"/>
  <c r="D5439" i="3"/>
  <c r="C5439" i="3"/>
  <c r="B5439" i="3"/>
  <c r="D5438" i="3"/>
  <c r="C5438" i="3"/>
  <c r="B5438" i="3"/>
  <c r="D5437" i="3"/>
  <c r="C5437" i="3"/>
  <c r="B5437" i="3"/>
  <c r="D5436" i="3"/>
  <c r="C5436" i="3"/>
  <c r="B5436" i="3"/>
  <c r="D5435" i="3"/>
  <c r="C5435" i="3"/>
  <c r="B5435" i="3"/>
  <c r="D5434" i="3"/>
  <c r="C5434" i="3"/>
  <c r="B5434" i="3"/>
  <c r="D5433" i="3"/>
  <c r="C5433" i="3"/>
  <c r="B5433" i="3"/>
  <c r="D5432" i="3"/>
  <c r="C5432" i="3"/>
  <c r="B5432" i="3"/>
  <c r="D5431" i="3"/>
  <c r="C5431" i="3"/>
  <c r="B5431" i="3"/>
  <c r="D5430" i="3"/>
  <c r="C5430" i="3"/>
  <c r="B5430" i="3"/>
  <c r="D5429" i="3"/>
  <c r="C5429" i="3"/>
  <c r="B5429" i="3"/>
  <c r="D5428" i="3"/>
  <c r="C5428" i="3"/>
  <c r="B5428" i="3"/>
  <c r="D5427" i="3"/>
  <c r="C5427" i="3"/>
  <c r="B5427" i="3"/>
  <c r="D5426" i="3"/>
  <c r="C5426" i="3"/>
  <c r="B5426" i="3"/>
  <c r="D5425" i="3"/>
  <c r="C5425" i="3"/>
  <c r="B5425" i="3"/>
  <c r="D5424" i="3"/>
  <c r="C5424" i="3"/>
  <c r="B5424" i="3"/>
  <c r="D5423" i="3"/>
  <c r="C5423" i="3"/>
  <c r="B5423" i="3"/>
  <c r="D5422" i="3"/>
  <c r="C5422" i="3"/>
  <c r="B5422" i="3"/>
  <c r="D5421" i="3"/>
  <c r="C5421" i="3"/>
  <c r="B5421" i="3"/>
  <c r="D5420" i="3"/>
  <c r="C5420" i="3"/>
  <c r="B5420" i="3"/>
  <c r="D5419" i="3"/>
  <c r="C5419" i="3"/>
  <c r="B5419" i="3"/>
  <c r="D5418" i="3"/>
  <c r="C5418" i="3"/>
  <c r="B5418" i="3"/>
  <c r="D5417" i="3"/>
  <c r="C5417" i="3"/>
  <c r="B5417" i="3"/>
  <c r="D5416" i="3"/>
  <c r="C5416" i="3"/>
  <c r="B5416" i="3"/>
  <c r="D5415" i="3"/>
  <c r="C5415" i="3"/>
  <c r="B5415" i="3"/>
  <c r="D5414" i="3"/>
  <c r="C5414" i="3"/>
  <c r="B5414" i="3"/>
  <c r="D5413" i="3"/>
  <c r="C5413" i="3"/>
  <c r="B5413" i="3"/>
  <c r="D5412" i="3"/>
  <c r="C5412" i="3"/>
  <c r="B5412" i="3"/>
  <c r="D5411" i="3"/>
  <c r="C5411" i="3"/>
  <c r="B5411" i="3"/>
  <c r="D5410" i="3"/>
  <c r="C5410" i="3"/>
  <c r="B5410" i="3"/>
  <c r="D5409" i="3"/>
  <c r="C5409" i="3"/>
  <c r="B5409" i="3"/>
  <c r="D5408" i="3"/>
  <c r="C5408" i="3"/>
  <c r="B5408" i="3"/>
  <c r="D5407" i="3"/>
  <c r="C5407" i="3"/>
  <c r="B5407" i="3"/>
  <c r="D5406" i="3"/>
  <c r="C5406" i="3"/>
  <c r="B5406" i="3"/>
  <c r="D5405" i="3"/>
  <c r="C5405" i="3"/>
  <c r="B5405" i="3"/>
  <c r="D5404" i="3"/>
  <c r="C5404" i="3"/>
  <c r="B5404" i="3"/>
  <c r="D5403" i="3"/>
  <c r="C5403" i="3"/>
  <c r="B5403" i="3"/>
  <c r="D5402" i="3"/>
  <c r="C5402" i="3"/>
  <c r="B5402" i="3"/>
  <c r="D5401" i="3"/>
  <c r="C5401" i="3"/>
  <c r="B5401" i="3"/>
  <c r="D5400" i="3"/>
  <c r="C5400" i="3"/>
  <c r="B5400" i="3"/>
  <c r="D5399" i="3"/>
  <c r="C5399" i="3"/>
  <c r="B5399" i="3"/>
  <c r="D5398" i="3"/>
  <c r="C5398" i="3"/>
  <c r="B5398" i="3"/>
  <c r="D5397" i="3"/>
  <c r="C5397" i="3"/>
  <c r="B5397" i="3"/>
  <c r="D5396" i="3"/>
  <c r="C5396" i="3"/>
  <c r="B5396" i="3"/>
  <c r="D5395" i="3"/>
  <c r="C5395" i="3"/>
  <c r="B5395" i="3"/>
  <c r="D5394" i="3"/>
  <c r="C5394" i="3"/>
  <c r="B5394" i="3"/>
  <c r="D5393" i="3"/>
  <c r="C5393" i="3"/>
  <c r="B5393" i="3"/>
  <c r="D5392" i="3"/>
  <c r="C5392" i="3"/>
  <c r="B5392" i="3"/>
  <c r="D5391" i="3"/>
  <c r="C5391" i="3"/>
  <c r="B5391" i="3"/>
  <c r="D5390" i="3"/>
  <c r="C5390" i="3"/>
  <c r="B5390" i="3"/>
  <c r="D5389" i="3"/>
  <c r="C5389" i="3"/>
  <c r="B5389" i="3"/>
  <c r="D5388" i="3"/>
  <c r="C5388" i="3"/>
  <c r="B5388" i="3"/>
  <c r="D5387" i="3"/>
  <c r="C5387" i="3"/>
  <c r="B5387" i="3"/>
  <c r="D5386" i="3"/>
  <c r="C5386" i="3"/>
  <c r="B5386" i="3"/>
  <c r="D5385" i="3"/>
  <c r="C5385" i="3"/>
  <c r="B5385" i="3"/>
  <c r="D5384" i="3"/>
  <c r="C5384" i="3"/>
  <c r="B5384" i="3"/>
  <c r="D5383" i="3"/>
  <c r="C5383" i="3"/>
  <c r="B5383" i="3"/>
  <c r="D5382" i="3"/>
  <c r="C5382" i="3"/>
  <c r="B5382" i="3"/>
  <c r="D5381" i="3"/>
  <c r="C5381" i="3"/>
  <c r="B5381" i="3"/>
  <c r="D5380" i="3"/>
  <c r="C5380" i="3"/>
  <c r="B5380" i="3"/>
  <c r="D5379" i="3"/>
  <c r="C5379" i="3"/>
  <c r="B5379" i="3"/>
  <c r="D5378" i="3"/>
  <c r="C5378" i="3"/>
  <c r="B5378" i="3"/>
  <c r="D5377" i="3"/>
  <c r="C5377" i="3"/>
  <c r="B5377" i="3"/>
  <c r="D5376" i="3"/>
  <c r="C5376" i="3"/>
  <c r="B5376" i="3"/>
  <c r="D5375" i="3"/>
  <c r="C5375" i="3"/>
  <c r="B5375" i="3"/>
  <c r="D5374" i="3"/>
  <c r="C5374" i="3"/>
  <c r="B5374" i="3"/>
  <c r="D5373" i="3"/>
  <c r="C5373" i="3"/>
  <c r="B5373" i="3"/>
  <c r="D5372" i="3"/>
  <c r="C5372" i="3"/>
  <c r="B5372" i="3"/>
  <c r="D5371" i="3"/>
  <c r="C5371" i="3"/>
  <c r="B5371" i="3"/>
  <c r="D5370" i="3"/>
  <c r="C5370" i="3"/>
  <c r="B5370" i="3"/>
  <c r="D5369" i="3"/>
  <c r="C5369" i="3"/>
  <c r="B5369" i="3"/>
  <c r="D5368" i="3"/>
  <c r="C5368" i="3"/>
  <c r="B5368" i="3"/>
  <c r="D5367" i="3"/>
  <c r="C5367" i="3"/>
  <c r="B5367" i="3"/>
  <c r="D5366" i="3"/>
  <c r="C5366" i="3"/>
  <c r="B5366" i="3"/>
  <c r="D5365" i="3"/>
  <c r="C5365" i="3"/>
  <c r="B5365" i="3"/>
  <c r="D5364" i="3"/>
  <c r="C5364" i="3"/>
  <c r="B5364" i="3"/>
  <c r="D5363" i="3"/>
  <c r="C5363" i="3"/>
  <c r="B5363" i="3"/>
  <c r="D5362" i="3"/>
  <c r="C5362" i="3"/>
  <c r="B5362" i="3"/>
  <c r="D5361" i="3"/>
  <c r="C5361" i="3"/>
  <c r="B5361" i="3"/>
  <c r="D5360" i="3"/>
  <c r="C5360" i="3"/>
  <c r="B5360" i="3"/>
  <c r="D5359" i="3"/>
  <c r="C5359" i="3"/>
  <c r="B5359" i="3"/>
  <c r="D5358" i="3"/>
  <c r="C5358" i="3"/>
  <c r="B5358" i="3"/>
  <c r="D5357" i="3"/>
  <c r="C5357" i="3"/>
  <c r="B5357" i="3"/>
  <c r="D5356" i="3"/>
  <c r="C5356" i="3"/>
  <c r="B5356" i="3"/>
  <c r="D5355" i="3"/>
  <c r="C5355" i="3"/>
  <c r="B5355" i="3"/>
  <c r="D5354" i="3"/>
  <c r="C5354" i="3"/>
  <c r="B5354" i="3"/>
  <c r="D5353" i="3"/>
  <c r="C5353" i="3"/>
  <c r="B5353" i="3"/>
  <c r="D5352" i="3"/>
  <c r="C5352" i="3"/>
  <c r="B5352" i="3"/>
  <c r="D5351" i="3"/>
  <c r="C5351" i="3"/>
  <c r="B5351" i="3"/>
  <c r="D5350" i="3"/>
  <c r="C5350" i="3"/>
  <c r="B5350" i="3"/>
  <c r="D5349" i="3"/>
  <c r="C5349" i="3"/>
  <c r="B5349" i="3"/>
  <c r="D5348" i="3"/>
  <c r="C5348" i="3"/>
  <c r="B5348" i="3"/>
  <c r="D5347" i="3"/>
  <c r="C5347" i="3"/>
  <c r="B5347" i="3"/>
  <c r="D5346" i="3"/>
  <c r="C5346" i="3"/>
  <c r="B5346" i="3"/>
  <c r="D5345" i="3"/>
  <c r="C5345" i="3"/>
  <c r="B5345" i="3"/>
  <c r="D5344" i="3"/>
  <c r="C5344" i="3"/>
  <c r="B5344" i="3"/>
  <c r="D5343" i="3"/>
  <c r="C5343" i="3"/>
  <c r="B5343" i="3"/>
  <c r="D5342" i="3"/>
  <c r="C5342" i="3"/>
  <c r="B5342" i="3"/>
  <c r="D5341" i="3"/>
  <c r="C5341" i="3"/>
  <c r="B5341" i="3"/>
  <c r="D5340" i="3"/>
  <c r="C5340" i="3"/>
  <c r="B5340" i="3"/>
  <c r="D5339" i="3"/>
  <c r="C5339" i="3"/>
  <c r="B5339" i="3"/>
  <c r="D5338" i="3"/>
  <c r="C5338" i="3"/>
  <c r="B5338" i="3"/>
  <c r="D5337" i="3"/>
  <c r="C5337" i="3"/>
  <c r="B5337" i="3"/>
  <c r="D5336" i="3"/>
  <c r="C5336" i="3"/>
  <c r="B5336" i="3"/>
  <c r="D5335" i="3"/>
  <c r="C5335" i="3"/>
  <c r="B5335" i="3"/>
  <c r="D5334" i="3"/>
  <c r="C5334" i="3"/>
  <c r="B5334" i="3"/>
  <c r="D5333" i="3"/>
  <c r="C5333" i="3"/>
  <c r="B5333" i="3"/>
  <c r="D5332" i="3"/>
  <c r="C5332" i="3"/>
  <c r="B5332" i="3"/>
  <c r="D5331" i="3"/>
  <c r="C5331" i="3"/>
  <c r="B5331" i="3"/>
  <c r="D5330" i="3"/>
  <c r="C5330" i="3"/>
  <c r="B5330" i="3"/>
  <c r="D5329" i="3"/>
  <c r="C5329" i="3"/>
  <c r="B5329" i="3"/>
  <c r="D5328" i="3"/>
  <c r="C5328" i="3"/>
  <c r="B5328" i="3"/>
  <c r="D5327" i="3"/>
  <c r="C5327" i="3"/>
  <c r="B5327" i="3"/>
  <c r="D5326" i="3"/>
  <c r="C5326" i="3"/>
  <c r="B5326" i="3"/>
  <c r="D5325" i="3"/>
  <c r="C5325" i="3"/>
  <c r="B5325" i="3"/>
  <c r="D5324" i="3"/>
  <c r="C5324" i="3"/>
  <c r="B5324" i="3"/>
  <c r="D5323" i="3"/>
  <c r="C5323" i="3"/>
  <c r="B5323" i="3"/>
  <c r="D5322" i="3"/>
  <c r="C5322" i="3"/>
  <c r="B5322" i="3"/>
  <c r="D5321" i="3"/>
  <c r="C5321" i="3"/>
  <c r="B5321" i="3"/>
  <c r="D5320" i="3"/>
  <c r="C5320" i="3"/>
  <c r="B5320" i="3"/>
  <c r="D5319" i="3"/>
  <c r="C5319" i="3"/>
  <c r="B5319" i="3"/>
  <c r="D5318" i="3"/>
  <c r="C5318" i="3"/>
  <c r="B5318" i="3"/>
  <c r="D5317" i="3"/>
  <c r="C5317" i="3"/>
  <c r="B5317" i="3"/>
  <c r="D5316" i="3"/>
  <c r="C5316" i="3"/>
  <c r="B5316" i="3"/>
  <c r="D5315" i="3"/>
  <c r="C5315" i="3"/>
  <c r="B5315" i="3"/>
  <c r="D5314" i="3"/>
  <c r="C5314" i="3"/>
  <c r="B5314" i="3"/>
  <c r="D5313" i="3"/>
  <c r="C5313" i="3"/>
  <c r="B5313" i="3"/>
  <c r="D5312" i="3"/>
  <c r="C5312" i="3"/>
  <c r="B5312" i="3"/>
  <c r="D5311" i="3"/>
  <c r="C5311" i="3"/>
  <c r="B5311" i="3"/>
  <c r="D5310" i="3"/>
  <c r="C5310" i="3"/>
  <c r="B5310" i="3"/>
  <c r="D5309" i="3"/>
  <c r="C5309" i="3"/>
  <c r="B5309" i="3"/>
  <c r="D5308" i="3"/>
  <c r="C5308" i="3"/>
  <c r="B5308" i="3"/>
  <c r="D5307" i="3"/>
  <c r="C5307" i="3"/>
  <c r="B5307" i="3"/>
  <c r="D5306" i="3"/>
  <c r="C5306" i="3"/>
  <c r="B5306" i="3"/>
  <c r="D5305" i="3"/>
  <c r="C5305" i="3"/>
  <c r="B5305" i="3"/>
  <c r="D5304" i="3"/>
  <c r="C5304" i="3"/>
  <c r="B5304" i="3"/>
  <c r="D5303" i="3"/>
  <c r="C5303" i="3"/>
  <c r="B5303" i="3"/>
  <c r="D5302" i="3"/>
  <c r="C5302" i="3"/>
  <c r="B5302" i="3"/>
  <c r="D5301" i="3"/>
  <c r="C5301" i="3"/>
  <c r="B5301" i="3"/>
  <c r="D5300" i="3"/>
  <c r="C5300" i="3"/>
  <c r="B5300" i="3"/>
  <c r="D5299" i="3"/>
  <c r="C5299" i="3"/>
  <c r="B5299" i="3"/>
  <c r="D5298" i="3"/>
  <c r="C5298" i="3"/>
  <c r="B5298" i="3"/>
  <c r="D5297" i="3"/>
  <c r="C5297" i="3"/>
  <c r="B5297" i="3"/>
  <c r="D5296" i="3"/>
  <c r="C5296" i="3"/>
  <c r="B5296" i="3"/>
  <c r="D5295" i="3"/>
  <c r="C5295" i="3"/>
  <c r="B5295" i="3"/>
  <c r="D5294" i="3"/>
  <c r="C5294" i="3"/>
  <c r="B5294" i="3"/>
  <c r="D5293" i="3"/>
  <c r="C5293" i="3"/>
  <c r="B5293" i="3"/>
  <c r="D5292" i="3"/>
  <c r="C5292" i="3"/>
  <c r="B5292" i="3"/>
  <c r="D5291" i="3"/>
  <c r="C5291" i="3"/>
  <c r="B5291" i="3"/>
  <c r="D5290" i="3"/>
  <c r="C5290" i="3"/>
  <c r="B5290" i="3"/>
  <c r="D5289" i="3"/>
  <c r="C5289" i="3"/>
  <c r="B5289" i="3"/>
  <c r="D5288" i="3"/>
  <c r="C5288" i="3"/>
  <c r="B5288" i="3"/>
  <c r="D5287" i="3"/>
  <c r="C5287" i="3"/>
  <c r="B5287" i="3"/>
  <c r="D5286" i="3"/>
  <c r="C5286" i="3"/>
  <c r="B5286" i="3"/>
  <c r="D5285" i="3"/>
  <c r="C5285" i="3"/>
  <c r="B5285" i="3"/>
  <c r="D5284" i="3"/>
  <c r="C5284" i="3"/>
  <c r="B5284" i="3"/>
  <c r="D5283" i="3"/>
  <c r="C5283" i="3"/>
  <c r="B5283" i="3"/>
  <c r="D5282" i="3"/>
  <c r="C5282" i="3"/>
  <c r="B5282" i="3"/>
  <c r="D5281" i="3"/>
  <c r="C5281" i="3"/>
  <c r="B5281" i="3"/>
  <c r="D5280" i="3"/>
  <c r="C5280" i="3"/>
  <c r="B5280" i="3"/>
  <c r="D5279" i="3"/>
  <c r="C5279" i="3"/>
  <c r="B5279" i="3"/>
  <c r="D5278" i="3"/>
  <c r="C5278" i="3"/>
  <c r="B5278" i="3"/>
  <c r="D5277" i="3"/>
  <c r="C5277" i="3"/>
  <c r="B5277" i="3"/>
  <c r="D5276" i="3"/>
  <c r="C5276" i="3"/>
  <c r="B5276" i="3"/>
  <c r="D5275" i="3"/>
  <c r="C5275" i="3"/>
  <c r="B5275" i="3"/>
  <c r="D5274" i="3"/>
  <c r="C5274" i="3"/>
  <c r="B5274" i="3"/>
  <c r="D5273" i="3"/>
  <c r="C5273" i="3"/>
  <c r="B5273" i="3"/>
  <c r="D5272" i="3"/>
  <c r="C5272" i="3"/>
  <c r="B5272" i="3"/>
  <c r="D5271" i="3"/>
  <c r="C5271" i="3"/>
  <c r="B5271" i="3"/>
  <c r="D5270" i="3"/>
  <c r="C5270" i="3"/>
  <c r="B5270" i="3"/>
  <c r="D5269" i="3"/>
  <c r="C5269" i="3"/>
  <c r="B5269" i="3"/>
  <c r="D5268" i="3"/>
  <c r="C5268" i="3"/>
  <c r="B5268" i="3"/>
  <c r="D5267" i="3"/>
  <c r="C5267" i="3"/>
  <c r="B5267" i="3"/>
  <c r="D5266" i="3"/>
  <c r="C5266" i="3"/>
  <c r="B5266" i="3"/>
  <c r="D5265" i="3"/>
  <c r="C5265" i="3"/>
  <c r="B5265" i="3"/>
  <c r="D5264" i="3"/>
  <c r="C5264" i="3"/>
  <c r="B5264" i="3"/>
  <c r="D5263" i="3"/>
  <c r="C5263" i="3"/>
  <c r="B5263" i="3"/>
  <c r="D5262" i="3"/>
  <c r="C5262" i="3"/>
  <c r="B5262" i="3"/>
  <c r="D5261" i="3"/>
  <c r="C5261" i="3"/>
  <c r="B5261" i="3"/>
  <c r="D5260" i="3"/>
  <c r="C5260" i="3"/>
  <c r="B5260" i="3"/>
  <c r="D5259" i="3"/>
  <c r="C5259" i="3"/>
  <c r="B5259" i="3"/>
  <c r="D5258" i="3"/>
  <c r="C5258" i="3"/>
  <c r="B5258" i="3"/>
  <c r="D5257" i="3"/>
  <c r="C5257" i="3"/>
  <c r="B5257" i="3"/>
  <c r="D5256" i="3"/>
  <c r="C5256" i="3"/>
  <c r="B5256" i="3"/>
  <c r="D5255" i="3"/>
  <c r="C5255" i="3"/>
  <c r="B5255" i="3"/>
  <c r="D5254" i="3"/>
  <c r="C5254" i="3"/>
  <c r="B5254" i="3"/>
  <c r="D5253" i="3"/>
  <c r="C5253" i="3"/>
  <c r="B5253" i="3"/>
  <c r="D5252" i="3"/>
  <c r="C5252" i="3"/>
  <c r="B5252" i="3"/>
  <c r="D5251" i="3"/>
  <c r="C5251" i="3"/>
  <c r="B5251" i="3"/>
  <c r="D5250" i="3"/>
  <c r="C5250" i="3"/>
  <c r="B5250" i="3"/>
  <c r="D5249" i="3"/>
  <c r="C5249" i="3"/>
  <c r="B5249" i="3"/>
  <c r="D5248" i="3"/>
  <c r="C5248" i="3"/>
  <c r="B5248" i="3"/>
  <c r="D5247" i="3"/>
  <c r="C5247" i="3"/>
  <c r="B5247" i="3"/>
  <c r="D5246" i="3"/>
  <c r="C5246" i="3"/>
  <c r="B5246" i="3"/>
  <c r="D5245" i="3"/>
  <c r="C5245" i="3"/>
  <c r="B5245" i="3"/>
  <c r="D5244" i="3"/>
  <c r="C5244" i="3"/>
  <c r="B5244" i="3"/>
  <c r="D5243" i="3"/>
  <c r="C5243" i="3"/>
  <c r="B5243" i="3"/>
  <c r="D5242" i="3"/>
  <c r="C5242" i="3"/>
  <c r="B5242" i="3"/>
  <c r="D5241" i="3"/>
  <c r="C5241" i="3"/>
  <c r="B5241" i="3"/>
  <c r="D5240" i="3"/>
  <c r="C5240" i="3"/>
  <c r="B5240" i="3"/>
  <c r="D5239" i="3"/>
  <c r="C5239" i="3"/>
  <c r="B5239" i="3"/>
  <c r="D5238" i="3"/>
  <c r="C5238" i="3"/>
  <c r="B5238" i="3"/>
  <c r="D5237" i="3"/>
  <c r="C5237" i="3"/>
  <c r="B5237" i="3"/>
  <c r="D5236" i="3"/>
  <c r="C5236" i="3"/>
  <c r="B5236" i="3"/>
  <c r="D5235" i="3"/>
  <c r="C5235" i="3"/>
  <c r="B5235" i="3"/>
  <c r="D5234" i="3"/>
  <c r="C5234" i="3"/>
  <c r="B5234" i="3"/>
  <c r="D5233" i="3"/>
  <c r="C5233" i="3"/>
  <c r="B5233" i="3"/>
  <c r="D5232" i="3"/>
  <c r="C5232" i="3"/>
  <c r="B5232" i="3"/>
  <c r="D5231" i="3"/>
  <c r="C5231" i="3"/>
  <c r="B5231" i="3"/>
  <c r="D5230" i="3"/>
  <c r="C5230" i="3"/>
  <c r="B5230" i="3"/>
  <c r="D5229" i="3"/>
  <c r="C5229" i="3"/>
  <c r="B5229" i="3"/>
  <c r="D5228" i="3"/>
  <c r="C5228" i="3"/>
  <c r="B5228" i="3"/>
  <c r="D5227" i="3"/>
  <c r="C5227" i="3"/>
  <c r="B5227" i="3"/>
  <c r="D5226" i="3"/>
  <c r="C5226" i="3"/>
  <c r="B5226" i="3"/>
  <c r="D5225" i="3"/>
  <c r="C5225" i="3"/>
  <c r="B5225" i="3"/>
  <c r="D5224" i="3"/>
  <c r="C5224" i="3"/>
  <c r="B5224" i="3"/>
  <c r="D5223" i="3"/>
  <c r="C5223" i="3"/>
  <c r="B5223" i="3"/>
  <c r="D5222" i="3"/>
  <c r="C5222" i="3"/>
  <c r="B5222" i="3"/>
  <c r="D5221" i="3"/>
  <c r="C5221" i="3"/>
  <c r="B5221" i="3"/>
  <c r="D5220" i="3"/>
  <c r="C5220" i="3"/>
  <c r="B5220" i="3"/>
  <c r="D5219" i="3"/>
  <c r="C5219" i="3"/>
  <c r="B5219" i="3"/>
  <c r="D5218" i="3"/>
  <c r="C5218" i="3"/>
  <c r="B5218" i="3"/>
  <c r="D5217" i="3"/>
  <c r="C5217" i="3"/>
  <c r="B5217" i="3"/>
  <c r="D5216" i="3"/>
  <c r="C5216" i="3"/>
  <c r="B5216" i="3"/>
  <c r="D5215" i="3"/>
  <c r="C5215" i="3"/>
  <c r="B5215" i="3"/>
  <c r="D5214" i="3"/>
  <c r="C5214" i="3"/>
  <c r="B5214" i="3"/>
  <c r="D5213" i="3"/>
  <c r="C5213" i="3"/>
  <c r="B5213" i="3"/>
  <c r="D5212" i="3"/>
  <c r="C5212" i="3"/>
  <c r="B5212" i="3"/>
  <c r="D5211" i="3"/>
  <c r="C5211" i="3"/>
  <c r="B5211" i="3"/>
  <c r="D5210" i="3"/>
  <c r="C5210" i="3"/>
  <c r="B5210" i="3"/>
  <c r="D5209" i="3"/>
  <c r="C5209" i="3"/>
  <c r="B5209" i="3"/>
  <c r="D5208" i="3"/>
  <c r="C5208" i="3"/>
  <c r="B5208" i="3"/>
  <c r="D5207" i="3"/>
  <c r="C5207" i="3"/>
  <c r="B5207" i="3"/>
  <c r="D5206" i="3"/>
  <c r="C5206" i="3"/>
  <c r="B5206" i="3"/>
  <c r="D5205" i="3"/>
  <c r="C5205" i="3"/>
  <c r="B5205" i="3"/>
  <c r="D5204" i="3"/>
  <c r="C5204" i="3"/>
  <c r="B5204" i="3"/>
  <c r="D5203" i="3"/>
  <c r="C5203" i="3"/>
  <c r="B5203" i="3"/>
  <c r="D5202" i="3"/>
  <c r="C5202" i="3"/>
  <c r="B5202" i="3"/>
  <c r="D5201" i="3"/>
  <c r="C5201" i="3"/>
  <c r="B5201" i="3"/>
  <c r="D5200" i="3"/>
  <c r="C5200" i="3"/>
  <c r="B5200" i="3"/>
  <c r="D5199" i="3"/>
  <c r="C5199" i="3"/>
  <c r="B5199" i="3"/>
  <c r="D5198" i="3"/>
  <c r="C5198" i="3"/>
  <c r="B5198" i="3"/>
  <c r="D5197" i="3"/>
  <c r="C5197" i="3"/>
  <c r="B5197" i="3"/>
  <c r="D5196" i="3"/>
  <c r="C5196" i="3"/>
  <c r="B5196" i="3"/>
  <c r="D5195" i="3"/>
  <c r="C5195" i="3"/>
  <c r="B5195" i="3"/>
  <c r="D5194" i="3"/>
  <c r="C5194" i="3"/>
  <c r="B5194" i="3"/>
  <c r="D5193" i="3"/>
  <c r="C5193" i="3"/>
  <c r="B5193" i="3"/>
  <c r="D5192" i="3"/>
  <c r="C5192" i="3"/>
  <c r="B5192" i="3"/>
  <c r="D5191" i="3"/>
  <c r="C5191" i="3"/>
  <c r="B5191" i="3"/>
  <c r="D5190" i="3"/>
  <c r="C5190" i="3"/>
  <c r="B5190" i="3"/>
  <c r="D5189" i="3"/>
  <c r="C5189" i="3"/>
  <c r="B5189" i="3"/>
  <c r="D5188" i="3"/>
  <c r="C5188" i="3"/>
  <c r="B5188" i="3"/>
  <c r="D5187" i="3"/>
  <c r="C5187" i="3"/>
  <c r="B5187" i="3"/>
  <c r="D5186" i="3"/>
  <c r="C5186" i="3"/>
  <c r="B5186" i="3"/>
  <c r="D5185" i="3"/>
  <c r="C5185" i="3"/>
  <c r="B5185" i="3"/>
  <c r="D5184" i="3"/>
  <c r="C5184" i="3"/>
  <c r="B5184" i="3"/>
  <c r="D5183" i="3"/>
  <c r="C5183" i="3"/>
  <c r="B5183" i="3"/>
  <c r="D5182" i="3"/>
  <c r="C5182" i="3"/>
  <c r="B5182" i="3"/>
  <c r="D5181" i="3"/>
  <c r="C5181" i="3"/>
  <c r="B5181" i="3"/>
  <c r="D5180" i="3"/>
  <c r="C5180" i="3"/>
  <c r="B5180" i="3"/>
  <c r="D5179" i="3"/>
  <c r="C5179" i="3"/>
  <c r="B5179" i="3"/>
  <c r="D5178" i="3"/>
  <c r="C5178" i="3"/>
  <c r="B5178" i="3"/>
  <c r="D5177" i="3"/>
  <c r="C5177" i="3"/>
  <c r="B5177" i="3"/>
  <c r="D5176" i="3"/>
  <c r="C5176" i="3"/>
  <c r="B5176" i="3"/>
  <c r="D5175" i="3"/>
  <c r="C5175" i="3"/>
  <c r="B5175" i="3"/>
  <c r="D5174" i="3"/>
  <c r="C5174" i="3"/>
  <c r="B5174" i="3"/>
  <c r="D5173" i="3"/>
  <c r="C5173" i="3"/>
  <c r="B5173" i="3"/>
  <c r="D5172" i="3"/>
  <c r="C5172" i="3"/>
  <c r="B5172" i="3"/>
  <c r="D5171" i="3"/>
  <c r="C5171" i="3"/>
  <c r="B5171" i="3"/>
  <c r="D5170" i="3"/>
  <c r="C5170" i="3"/>
  <c r="B5170" i="3"/>
  <c r="D5169" i="3"/>
  <c r="C5169" i="3"/>
  <c r="B5169" i="3"/>
  <c r="D5168" i="3"/>
  <c r="C5168" i="3"/>
  <c r="B5168" i="3"/>
  <c r="D5167" i="3"/>
  <c r="C5167" i="3"/>
  <c r="B5167" i="3"/>
  <c r="D5166" i="3"/>
  <c r="C5166" i="3"/>
  <c r="B5166" i="3"/>
  <c r="D5165" i="3"/>
  <c r="C5165" i="3"/>
  <c r="B5165" i="3"/>
  <c r="D5164" i="3"/>
  <c r="C5164" i="3"/>
  <c r="B5164" i="3"/>
  <c r="D5163" i="3"/>
  <c r="C5163" i="3"/>
  <c r="B5163" i="3"/>
  <c r="D5162" i="3"/>
  <c r="C5162" i="3"/>
  <c r="B5162" i="3"/>
  <c r="D5161" i="3"/>
  <c r="C5161" i="3"/>
  <c r="B5161" i="3"/>
  <c r="D5160" i="3"/>
  <c r="C5160" i="3"/>
  <c r="B5160" i="3"/>
  <c r="D5159" i="3"/>
  <c r="C5159" i="3"/>
  <c r="B5159" i="3"/>
  <c r="D5158" i="3"/>
  <c r="C5158" i="3"/>
  <c r="B5158" i="3"/>
  <c r="D5157" i="3"/>
  <c r="C5157" i="3"/>
  <c r="B5157" i="3"/>
  <c r="D5156" i="3"/>
  <c r="C5156" i="3"/>
  <c r="B5156" i="3"/>
  <c r="D5155" i="3"/>
  <c r="C5155" i="3"/>
  <c r="B5155" i="3"/>
  <c r="D5154" i="3"/>
  <c r="C5154" i="3"/>
  <c r="B5154" i="3"/>
  <c r="D5153" i="3"/>
  <c r="C5153" i="3"/>
  <c r="B5153" i="3"/>
  <c r="D5152" i="3"/>
  <c r="C5152" i="3"/>
  <c r="B5152" i="3"/>
  <c r="D5151" i="3"/>
  <c r="C5151" i="3"/>
  <c r="B5151" i="3"/>
  <c r="D5150" i="3"/>
  <c r="C5150" i="3"/>
  <c r="B5150" i="3"/>
  <c r="D5149" i="3"/>
  <c r="C5149" i="3"/>
  <c r="B5149" i="3"/>
  <c r="D5148" i="3"/>
  <c r="C5148" i="3"/>
  <c r="B5148" i="3"/>
  <c r="D5147" i="3"/>
  <c r="C5147" i="3"/>
  <c r="B5147" i="3"/>
  <c r="D5146" i="3"/>
  <c r="C5146" i="3"/>
  <c r="B5146" i="3"/>
  <c r="D5145" i="3"/>
  <c r="C5145" i="3"/>
  <c r="B5145" i="3"/>
  <c r="D5144" i="3"/>
  <c r="C5144" i="3"/>
  <c r="B5144" i="3"/>
  <c r="D5143" i="3"/>
  <c r="C5143" i="3"/>
  <c r="B5143" i="3"/>
  <c r="D5142" i="3"/>
  <c r="C5142" i="3"/>
  <c r="B5142" i="3"/>
  <c r="D5141" i="3"/>
  <c r="C5141" i="3"/>
  <c r="B5141" i="3"/>
  <c r="D5140" i="3"/>
  <c r="C5140" i="3"/>
  <c r="B5140" i="3"/>
  <c r="D5139" i="3"/>
  <c r="C5139" i="3"/>
  <c r="B5139" i="3"/>
  <c r="D5138" i="3"/>
  <c r="C5138" i="3"/>
  <c r="B5138" i="3"/>
  <c r="D5137" i="3"/>
  <c r="C5137" i="3"/>
  <c r="B5137" i="3"/>
  <c r="D5136" i="3"/>
  <c r="C5136" i="3"/>
  <c r="B5136" i="3"/>
  <c r="D5135" i="3"/>
  <c r="C5135" i="3"/>
  <c r="B5135" i="3"/>
  <c r="D5134" i="3"/>
  <c r="C5134" i="3"/>
  <c r="B5134" i="3"/>
  <c r="D5133" i="3"/>
  <c r="C5133" i="3"/>
  <c r="B5133" i="3"/>
  <c r="D5132" i="3"/>
  <c r="C5132" i="3"/>
  <c r="B5132" i="3"/>
  <c r="D5131" i="3"/>
  <c r="C5131" i="3"/>
  <c r="B5131" i="3"/>
  <c r="D5130" i="3"/>
  <c r="C5130" i="3"/>
  <c r="B5130" i="3"/>
  <c r="D5129" i="3"/>
  <c r="C5129" i="3"/>
  <c r="B5129" i="3"/>
  <c r="D5128" i="3"/>
  <c r="C5128" i="3"/>
  <c r="B5128" i="3"/>
  <c r="D5127" i="3"/>
  <c r="C5127" i="3"/>
  <c r="B5127" i="3"/>
  <c r="D5126" i="3"/>
  <c r="C5126" i="3"/>
  <c r="B5126" i="3"/>
  <c r="D5125" i="3"/>
  <c r="C5125" i="3"/>
  <c r="B5125" i="3"/>
  <c r="D5124" i="3"/>
  <c r="C5124" i="3"/>
  <c r="B5124" i="3"/>
  <c r="D5123" i="3"/>
  <c r="C5123" i="3"/>
  <c r="B5123" i="3"/>
  <c r="D5122" i="3"/>
  <c r="C5122" i="3"/>
  <c r="B5122" i="3"/>
  <c r="D5121" i="3"/>
  <c r="C5121" i="3"/>
  <c r="B5121" i="3"/>
  <c r="D5120" i="3"/>
  <c r="C5120" i="3"/>
  <c r="B5120" i="3"/>
  <c r="D5119" i="3"/>
  <c r="C5119" i="3"/>
  <c r="B5119" i="3"/>
  <c r="D5118" i="3"/>
  <c r="C5118" i="3"/>
  <c r="B5118" i="3"/>
  <c r="D5117" i="3"/>
  <c r="C5117" i="3"/>
  <c r="B5117" i="3"/>
  <c r="D5116" i="3"/>
  <c r="C5116" i="3"/>
  <c r="B5116" i="3"/>
  <c r="D5115" i="3"/>
  <c r="C5115" i="3"/>
  <c r="B5115" i="3"/>
  <c r="D5114" i="3"/>
  <c r="C5114" i="3"/>
  <c r="B5114" i="3"/>
  <c r="D5113" i="3"/>
  <c r="C5113" i="3"/>
  <c r="B5113" i="3"/>
  <c r="D5112" i="3"/>
  <c r="C5112" i="3"/>
  <c r="B5112" i="3"/>
  <c r="D5111" i="3"/>
  <c r="C5111" i="3"/>
  <c r="B5111" i="3"/>
  <c r="D5110" i="3"/>
  <c r="C5110" i="3"/>
  <c r="B5110" i="3"/>
  <c r="D5109" i="3"/>
  <c r="C5109" i="3"/>
  <c r="B5109" i="3"/>
  <c r="D5108" i="3"/>
  <c r="C5108" i="3"/>
  <c r="B5108" i="3"/>
  <c r="D5107" i="3"/>
  <c r="C5107" i="3"/>
  <c r="B5107" i="3"/>
  <c r="D5106" i="3"/>
  <c r="C5106" i="3"/>
  <c r="B5106" i="3"/>
  <c r="D5105" i="3"/>
  <c r="C5105" i="3"/>
  <c r="B5105" i="3"/>
  <c r="D5104" i="3"/>
  <c r="C5104" i="3"/>
  <c r="B5104" i="3"/>
  <c r="D5103" i="3"/>
  <c r="C5103" i="3"/>
  <c r="B5103" i="3"/>
  <c r="D5102" i="3"/>
  <c r="C5102" i="3"/>
  <c r="B5102" i="3"/>
  <c r="D5101" i="3"/>
  <c r="C5101" i="3"/>
  <c r="B5101" i="3"/>
  <c r="D5100" i="3"/>
  <c r="C5100" i="3"/>
  <c r="B5100" i="3"/>
  <c r="D5099" i="3"/>
  <c r="C5099" i="3"/>
  <c r="B5099" i="3"/>
  <c r="D5098" i="3"/>
  <c r="C5098" i="3"/>
  <c r="B5098" i="3"/>
  <c r="D5097" i="3"/>
  <c r="C5097" i="3"/>
  <c r="B5097" i="3"/>
  <c r="D5096" i="3"/>
  <c r="C5096" i="3"/>
  <c r="B5096" i="3"/>
  <c r="D5095" i="3"/>
  <c r="C5095" i="3"/>
  <c r="B5095" i="3"/>
  <c r="D5094" i="3"/>
  <c r="C5094" i="3"/>
  <c r="B5094" i="3"/>
  <c r="D5093" i="3"/>
  <c r="C5093" i="3"/>
  <c r="B5093" i="3"/>
  <c r="D5092" i="3"/>
  <c r="C5092" i="3"/>
  <c r="B5092" i="3"/>
  <c r="D5091" i="3"/>
  <c r="C5091" i="3"/>
  <c r="B5091" i="3"/>
  <c r="D5090" i="3"/>
  <c r="C5090" i="3"/>
  <c r="B5090" i="3"/>
  <c r="D5089" i="3"/>
  <c r="C5089" i="3"/>
  <c r="B5089" i="3"/>
  <c r="D5088" i="3"/>
  <c r="C5088" i="3"/>
  <c r="B5088" i="3"/>
  <c r="D5087" i="3"/>
  <c r="C5087" i="3"/>
  <c r="B5087" i="3"/>
  <c r="D5086" i="3"/>
  <c r="C5086" i="3"/>
  <c r="B5086" i="3"/>
  <c r="D5085" i="3"/>
  <c r="C5085" i="3"/>
  <c r="B5085" i="3"/>
  <c r="D5084" i="3"/>
  <c r="C5084" i="3"/>
  <c r="B5084" i="3"/>
  <c r="D5083" i="3"/>
  <c r="C5083" i="3"/>
  <c r="B5083" i="3"/>
  <c r="D5082" i="3"/>
  <c r="C5082" i="3"/>
  <c r="B5082" i="3"/>
  <c r="D5081" i="3"/>
  <c r="C5081" i="3"/>
  <c r="B5081" i="3"/>
  <c r="D5080" i="3"/>
  <c r="C5080" i="3"/>
  <c r="B5080" i="3"/>
  <c r="D5079" i="3"/>
  <c r="C5079" i="3"/>
  <c r="B5079" i="3"/>
  <c r="D5078" i="3"/>
  <c r="C5078" i="3"/>
  <c r="B5078" i="3"/>
  <c r="D5077" i="3"/>
  <c r="C5077" i="3"/>
  <c r="B5077" i="3"/>
  <c r="D5076" i="3"/>
  <c r="C5076" i="3"/>
  <c r="B5076" i="3"/>
  <c r="D5075" i="3"/>
  <c r="C5075" i="3"/>
  <c r="B5075" i="3"/>
  <c r="D5074" i="3"/>
  <c r="C5074" i="3"/>
  <c r="B5074" i="3"/>
  <c r="D5073" i="3"/>
  <c r="C5073" i="3"/>
  <c r="B5073" i="3"/>
  <c r="D5072" i="3"/>
  <c r="C5072" i="3"/>
  <c r="B5072" i="3"/>
  <c r="D5071" i="3"/>
  <c r="C5071" i="3"/>
  <c r="B5071" i="3"/>
  <c r="D5070" i="3"/>
  <c r="C5070" i="3"/>
  <c r="B5070" i="3"/>
  <c r="D5069" i="3"/>
  <c r="C5069" i="3"/>
  <c r="B5069" i="3"/>
  <c r="D5068" i="3"/>
  <c r="C5068" i="3"/>
  <c r="B5068" i="3"/>
  <c r="D5067" i="3"/>
  <c r="C5067" i="3"/>
  <c r="B5067" i="3"/>
  <c r="D5066" i="3"/>
  <c r="C5066" i="3"/>
  <c r="B5066" i="3"/>
  <c r="D5065" i="3"/>
  <c r="C5065" i="3"/>
  <c r="B5065" i="3"/>
  <c r="D5064" i="3"/>
  <c r="C5064" i="3"/>
  <c r="B5064" i="3"/>
  <c r="D5063" i="3"/>
  <c r="C5063" i="3"/>
  <c r="B5063" i="3"/>
  <c r="D5062" i="3"/>
  <c r="C5062" i="3"/>
  <c r="B5062" i="3"/>
  <c r="D5061" i="3"/>
  <c r="C5061" i="3"/>
  <c r="B5061" i="3"/>
  <c r="D5060" i="3"/>
  <c r="C5060" i="3"/>
  <c r="B5060" i="3"/>
  <c r="D5059" i="3"/>
  <c r="C5059" i="3"/>
  <c r="B5059" i="3"/>
  <c r="D5058" i="3"/>
  <c r="C5058" i="3"/>
  <c r="B5058" i="3"/>
  <c r="D5057" i="3"/>
  <c r="C5057" i="3"/>
  <c r="B5057" i="3"/>
  <c r="D5056" i="3"/>
  <c r="C5056" i="3"/>
  <c r="B5056" i="3"/>
  <c r="D5055" i="3"/>
  <c r="C5055" i="3"/>
  <c r="B5055" i="3"/>
  <c r="D5054" i="3"/>
  <c r="C5054" i="3"/>
  <c r="B5054" i="3"/>
  <c r="D5053" i="3"/>
  <c r="C5053" i="3"/>
  <c r="B5053" i="3"/>
  <c r="D5052" i="3"/>
  <c r="C5052" i="3"/>
  <c r="B5052" i="3"/>
  <c r="D5051" i="3"/>
  <c r="C5051" i="3"/>
  <c r="B5051" i="3"/>
  <c r="D5050" i="3"/>
  <c r="C5050" i="3"/>
  <c r="B5050" i="3"/>
  <c r="D5049" i="3"/>
  <c r="C5049" i="3"/>
  <c r="B5049" i="3"/>
  <c r="D5048" i="3"/>
  <c r="C5048" i="3"/>
  <c r="B5048" i="3"/>
  <c r="D5047" i="3"/>
  <c r="C5047" i="3"/>
  <c r="B5047" i="3"/>
  <c r="D5046" i="3"/>
  <c r="C5046" i="3"/>
  <c r="B5046" i="3"/>
  <c r="D5045" i="3"/>
  <c r="C5045" i="3"/>
  <c r="B5045" i="3"/>
  <c r="D5044" i="3"/>
  <c r="C5044" i="3"/>
  <c r="B5044" i="3"/>
  <c r="D5043" i="3"/>
  <c r="C5043" i="3"/>
  <c r="B5043" i="3"/>
  <c r="D5042" i="3"/>
  <c r="C5042" i="3"/>
  <c r="B5042" i="3"/>
  <c r="D5041" i="3"/>
  <c r="C5041" i="3"/>
  <c r="B5041" i="3"/>
  <c r="D5040" i="3"/>
  <c r="C5040" i="3"/>
  <c r="B5040" i="3"/>
  <c r="D5039" i="3"/>
  <c r="C5039" i="3"/>
  <c r="B5039" i="3"/>
  <c r="D5038" i="3"/>
  <c r="C5038" i="3"/>
  <c r="B5038" i="3"/>
  <c r="D5037" i="3"/>
  <c r="C5037" i="3"/>
  <c r="B5037" i="3"/>
  <c r="D5036" i="3"/>
  <c r="C5036" i="3"/>
  <c r="B5036" i="3"/>
  <c r="D5035" i="3"/>
  <c r="C5035" i="3"/>
  <c r="B5035" i="3"/>
  <c r="D5034" i="3"/>
  <c r="C5034" i="3"/>
  <c r="B5034" i="3"/>
  <c r="D5033" i="3"/>
  <c r="C5033" i="3"/>
  <c r="B5033" i="3"/>
  <c r="D5032" i="3"/>
  <c r="C5032" i="3"/>
  <c r="B5032" i="3"/>
  <c r="D5031" i="3"/>
  <c r="C5031" i="3"/>
  <c r="B5031" i="3"/>
  <c r="D5030" i="3"/>
  <c r="C5030" i="3"/>
  <c r="B5030" i="3"/>
  <c r="D5029" i="3"/>
  <c r="C5029" i="3"/>
  <c r="B5029" i="3"/>
  <c r="D5028" i="3"/>
  <c r="C5028" i="3"/>
  <c r="B5028" i="3"/>
  <c r="D5027" i="3"/>
  <c r="C5027" i="3"/>
  <c r="B5027" i="3"/>
  <c r="D5026" i="3"/>
  <c r="C5026" i="3"/>
  <c r="B5026" i="3"/>
  <c r="D5025" i="3"/>
  <c r="C5025" i="3"/>
  <c r="B5025" i="3"/>
  <c r="D5024" i="3"/>
  <c r="C5024" i="3"/>
  <c r="B5024" i="3"/>
  <c r="D5023" i="3"/>
  <c r="C5023" i="3"/>
  <c r="B5023" i="3"/>
  <c r="D5022" i="3"/>
  <c r="C5022" i="3"/>
  <c r="B5022" i="3"/>
  <c r="D5021" i="3"/>
  <c r="C5021" i="3"/>
  <c r="B5021" i="3"/>
  <c r="D5020" i="3"/>
  <c r="C5020" i="3"/>
  <c r="B5020" i="3"/>
  <c r="D5019" i="3"/>
  <c r="C5019" i="3"/>
  <c r="B5019" i="3"/>
  <c r="D5018" i="3"/>
  <c r="C5018" i="3"/>
  <c r="B5018" i="3"/>
  <c r="D5017" i="3"/>
  <c r="C5017" i="3"/>
  <c r="B5017" i="3"/>
  <c r="D5016" i="3"/>
  <c r="C5016" i="3"/>
  <c r="B5016" i="3"/>
  <c r="D5015" i="3"/>
  <c r="C5015" i="3"/>
  <c r="B5015" i="3"/>
  <c r="D5014" i="3"/>
  <c r="C5014" i="3"/>
  <c r="B5014" i="3"/>
  <c r="D5013" i="3"/>
  <c r="C5013" i="3"/>
  <c r="B5013" i="3"/>
  <c r="D5012" i="3"/>
  <c r="C5012" i="3"/>
  <c r="B5012" i="3"/>
  <c r="D5011" i="3"/>
  <c r="C5011" i="3"/>
  <c r="B5011" i="3"/>
  <c r="D5010" i="3"/>
  <c r="C5010" i="3"/>
  <c r="B5010" i="3"/>
  <c r="D5009" i="3"/>
  <c r="C5009" i="3"/>
  <c r="B5009" i="3"/>
  <c r="D5008" i="3"/>
  <c r="C5008" i="3"/>
  <c r="B5008" i="3"/>
  <c r="D5007" i="3"/>
  <c r="C5007" i="3"/>
  <c r="B5007" i="3"/>
  <c r="D5006" i="3"/>
  <c r="C5006" i="3"/>
  <c r="B5006" i="3"/>
  <c r="D5005" i="3"/>
  <c r="C5005" i="3"/>
  <c r="B5005" i="3"/>
  <c r="D5004" i="3"/>
  <c r="C5004" i="3"/>
  <c r="B5004" i="3"/>
  <c r="D5003" i="3"/>
  <c r="C5003" i="3"/>
  <c r="B5003" i="3"/>
  <c r="D5002" i="3"/>
  <c r="C5002" i="3"/>
  <c r="B5002" i="3"/>
  <c r="D5001" i="3"/>
  <c r="C5001" i="3"/>
  <c r="B5001" i="3"/>
  <c r="D5000" i="3"/>
  <c r="C5000" i="3"/>
  <c r="B5000" i="3"/>
  <c r="D4999" i="3"/>
  <c r="C4999" i="3"/>
  <c r="B4999" i="3"/>
  <c r="D4998" i="3"/>
  <c r="C4998" i="3"/>
  <c r="B4998" i="3"/>
  <c r="D4997" i="3"/>
  <c r="C4997" i="3"/>
  <c r="B4997" i="3"/>
  <c r="D4996" i="3"/>
  <c r="C4996" i="3"/>
  <c r="B4996" i="3"/>
  <c r="D4995" i="3"/>
  <c r="C4995" i="3"/>
  <c r="B4995" i="3"/>
  <c r="D4994" i="3"/>
  <c r="C4994" i="3"/>
  <c r="B4994" i="3"/>
  <c r="D4993" i="3"/>
  <c r="C4993" i="3"/>
  <c r="B4993" i="3"/>
  <c r="D4992" i="3"/>
  <c r="C4992" i="3"/>
  <c r="B4992" i="3"/>
  <c r="D4991" i="3"/>
  <c r="C4991" i="3"/>
  <c r="B4991" i="3"/>
  <c r="D4990" i="3"/>
  <c r="C4990" i="3"/>
  <c r="B4990" i="3"/>
  <c r="D4989" i="3"/>
  <c r="C4989" i="3"/>
  <c r="B4989" i="3"/>
  <c r="D4988" i="3"/>
  <c r="C4988" i="3"/>
  <c r="B4988" i="3"/>
  <c r="D4987" i="3"/>
  <c r="C4987" i="3"/>
  <c r="B4987" i="3"/>
  <c r="D4986" i="3"/>
  <c r="C4986" i="3"/>
  <c r="B4986" i="3"/>
  <c r="D4985" i="3"/>
  <c r="C4985" i="3"/>
  <c r="B4985" i="3"/>
  <c r="D4984" i="3"/>
  <c r="C4984" i="3"/>
  <c r="B4984" i="3"/>
  <c r="D4983" i="3"/>
  <c r="C4983" i="3"/>
  <c r="B4983" i="3"/>
  <c r="D4982" i="3"/>
  <c r="C4982" i="3"/>
  <c r="B4982" i="3"/>
  <c r="D4981" i="3"/>
  <c r="C4981" i="3"/>
  <c r="B4981" i="3"/>
  <c r="D4980" i="3"/>
  <c r="C4980" i="3"/>
  <c r="B4980" i="3"/>
  <c r="D4979" i="3"/>
  <c r="C4979" i="3"/>
  <c r="B4979" i="3"/>
  <c r="D4978" i="3"/>
  <c r="C4978" i="3"/>
  <c r="B4978" i="3"/>
  <c r="D4977" i="3"/>
  <c r="C4977" i="3"/>
  <c r="B4977" i="3"/>
  <c r="D4976" i="3"/>
  <c r="C4976" i="3"/>
  <c r="B4976" i="3"/>
  <c r="D4975" i="3"/>
  <c r="C4975" i="3"/>
  <c r="B4975" i="3"/>
  <c r="D4974" i="3"/>
  <c r="C4974" i="3"/>
  <c r="B4974" i="3"/>
  <c r="D4973" i="3"/>
  <c r="C4973" i="3"/>
  <c r="B4973" i="3"/>
  <c r="D4972" i="3"/>
  <c r="C4972" i="3"/>
  <c r="B4972" i="3"/>
  <c r="D4971" i="3"/>
  <c r="C4971" i="3"/>
  <c r="B4971" i="3"/>
  <c r="D4970" i="3"/>
  <c r="C4970" i="3"/>
  <c r="B4970" i="3"/>
  <c r="D4969" i="3"/>
  <c r="C4969" i="3"/>
  <c r="B4969" i="3"/>
  <c r="D4968" i="3"/>
  <c r="C4968" i="3"/>
  <c r="B4968" i="3"/>
  <c r="D4967" i="3"/>
  <c r="C4967" i="3"/>
  <c r="B4967" i="3"/>
  <c r="D4966" i="3"/>
  <c r="C4966" i="3"/>
  <c r="B4966" i="3"/>
  <c r="D4965" i="3"/>
  <c r="C4965" i="3"/>
  <c r="B4965" i="3"/>
  <c r="D4964" i="3"/>
  <c r="C4964" i="3"/>
  <c r="B4964" i="3"/>
  <c r="D4963" i="3"/>
  <c r="C4963" i="3"/>
  <c r="B4963" i="3"/>
  <c r="D4962" i="3"/>
  <c r="C4962" i="3"/>
  <c r="B4962" i="3"/>
  <c r="D4961" i="3"/>
  <c r="C4961" i="3"/>
  <c r="B4961" i="3"/>
  <c r="D4960" i="3"/>
  <c r="C4960" i="3"/>
  <c r="B4960" i="3"/>
  <c r="D4959" i="3"/>
  <c r="C4959" i="3"/>
  <c r="B4959" i="3"/>
  <c r="D4958" i="3"/>
  <c r="C4958" i="3"/>
  <c r="B4958" i="3"/>
  <c r="D4957" i="3"/>
  <c r="C4957" i="3"/>
  <c r="B4957" i="3"/>
  <c r="D4956" i="3"/>
  <c r="C4956" i="3"/>
  <c r="B4956" i="3"/>
  <c r="D4955" i="3"/>
  <c r="C4955" i="3"/>
  <c r="B4955" i="3"/>
  <c r="D4954" i="3"/>
  <c r="C4954" i="3"/>
  <c r="B4954" i="3"/>
  <c r="D4953" i="3"/>
  <c r="C4953" i="3"/>
  <c r="B4953" i="3"/>
  <c r="D4952" i="3"/>
  <c r="C4952" i="3"/>
  <c r="B4952" i="3"/>
  <c r="D4951" i="3"/>
  <c r="C4951" i="3"/>
  <c r="B4951" i="3"/>
  <c r="D4950" i="3"/>
  <c r="C4950" i="3"/>
  <c r="B4950" i="3"/>
  <c r="D4949" i="3"/>
  <c r="C4949" i="3"/>
  <c r="B4949" i="3"/>
  <c r="D4948" i="3"/>
  <c r="C4948" i="3"/>
  <c r="B4948" i="3"/>
  <c r="D4947" i="3"/>
  <c r="C4947" i="3"/>
  <c r="B4947" i="3"/>
  <c r="D4946" i="3"/>
  <c r="C4946" i="3"/>
  <c r="B4946" i="3"/>
  <c r="D4945" i="3"/>
  <c r="C4945" i="3"/>
  <c r="B4945" i="3"/>
  <c r="D4944" i="3"/>
  <c r="C4944" i="3"/>
  <c r="B4944" i="3"/>
  <c r="D4943" i="3"/>
  <c r="C4943" i="3"/>
  <c r="B4943" i="3"/>
  <c r="D4942" i="3"/>
  <c r="C4942" i="3"/>
  <c r="B4942" i="3"/>
  <c r="D4941" i="3"/>
  <c r="C4941" i="3"/>
  <c r="B4941" i="3"/>
  <c r="D4940" i="3"/>
  <c r="C4940" i="3"/>
  <c r="B4940" i="3"/>
  <c r="D4939" i="3"/>
  <c r="C4939" i="3"/>
  <c r="B4939" i="3"/>
  <c r="D4938" i="3"/>
  <c r="C4938" i="3"/>
  <c r="B4938" i="3"/>
  <c r="D4937" i="3"/>
  <c r="C4937" i="3"/>
  <c r="B4937" i="3"/>
  <c r="D4936" i="3"/>
  <c r="C4936" i="3"/>
  <c r="B4936" i="3"/>
  <c r="D4935" i="3"/>
  <c r="C4935" i="3"/>
  <c r="B4935" i="3"/>
  <c r="D4934" i="3"/>
  <c r="C4934" i="3"/>
  <c r="B4934" i="3"/>
  <c r="D4933" i="3"/>
  <c r="C4933" i="3"/>
  <c r="B4933" i="3"/>
  <c r="D4932" i="3"/>
  <c r="C4932" i="3"/>
  <c r="B4932" i="3"/>
  <c r="D4931" i="3"/>
  <c r="C4931" i="3"/>
  <c r="B4931" i="3"/>
  <c r="D4930" i="3"/>
  <c r="C4930" i="3"/>
  <c r="B4930" i="3"/>
  <c r="D4929" i="3"/>
  <c r="C4929" i="3"/>
  <c r="B4929" i="3"/>
  <c r="D4928" i="3"/>
  <c r="C4928" i="3"/>
  <c r="B4928" i="3"/>
  <c r="D4927" i="3"/>
  <c r="C4927" i="3"/>
  <c r="B4927" i="3"/>
  <c r="D4926" i="3"/>
  <c r="C4926" i="3"/>
  <c r="B4926" i="3"/>
  <c r="D4925" i="3"/>
  <c r="C4925" i="3"/>
  <c r="B4925" i="3"/>
  <c r="D4924" i="3"/>
  <c r="C4924" i="3"/>
  <c r="B4924" i="3"/>
  <c r="D4923" i="3"/>
  <c r="C4923" i="3"/>
  <c r="B4923" i="3"/>
  <c r="D4922" i="3"/>
  <c r="C4922" i="3"/>
  <c r="B4922" i="3"/>
  <c r="D4921" i="3"/>
  <c r="C4921" i="3"/>
  <c r="B4921" i="3"/>
  <c r="D4920" i="3"/>
  <c r="C4920" i="3"/>
  <c r="B4920" i="3"/>
  <c r="D4919" i="3"/>
  <c r="C4919" i="3"/>
  <c r="B4919" i="3"/>
  <c r="D4918" i="3"/>
  <c r="C4918" i="3"/>
  <c r="B4918" i="3"/>
  <c r="D4917" i="3"/>
  <c r="C4917" i="3"/>
  <c r="B4917" i="3"/>
  <c r="D4916" i="3"/>
  <c r="C4916" i="3"/>
  <c r="B4916" i="3"/>
  <c r="D4915" i="3"/>
  <c r="C4915" i="3"/>
  <c r="B4915" i="3"/>
  <c r="D4914" i="3"/>
  <c r="C4914" i="3"/>
  <c r="B4914" i="3"/>
  <c r="D4913" i="3"/>
  <c r="C4913" i="3"/>
  <c r="B4913" i="3"/>
  <c r="D4912" i="3"/>
  <c r="C4912" i="3"/>
  <c r="B4912" i="3"/>
  <c r="D4911" i="3"/>
  <c r="C4911" i="3"/>
  <c r="B4911" i="3"/>
  <c r="D4910" i="3"/>
  <c r="C4910" i="3"/>
  <c r="B4910" i="3"/>
  <c r="D4909" i="3"/>
  <c r="C4909" i="3"/>
  <c r="B4909" i="3"/>
  <c r="D4908" i="3"/>
  <c r="C4908" i="3"/>
  <c r="B4908" i="3"/>
  <c r="D4907" i="3"/>
  <c r="C4907" i="3"/>
  <c r="B4907" i="3"/>
  <c r="D4906" i="3"/>
  <c r="C4906" i="3"/>
  <c r="B4906" i="3"/>
  <c r="D4905" i="3"/>
  <c r="C4905" i="3"/>
  <c r="B4905" i="3"/>
  <c r="D4904" i="3"/>
  <c r="C4904" i="3"/>
  <c r="B4904" i="3"/>
  <c r="D4903" i="3"/>
  <c r="C4903" i="3"/>
  <c r="B4903" i="3"/>
  <c r="D4902" i="3"/>
  <c r="C4902" i="3"/>
  <c r="B4902" i="3"/>
  <c r="D4901" i="3"/>
  <c r="C4901" i="3"/>
  <c r="B4901" i="3"/>
  <c r="D4900" i="3"/>
  <c r="C4900" i="3"/>
  <c r="B4900" i="3"/>
  <c r="D4899" i="3"/>
  <c r="C4899" i="3"/>
  <c r="B4899" i="3"/>
  <c r="D4898" i="3"/>
  <c r="C4898" i="3"/>
  <c r="B4898" i="3"/>
  <c r="D4897" i="3"/>
  <c r="C4897" i="3"/>
  <c r="B4897" i="3"/>
  <c r="D4896" i="3"/>
  <c r="C4896" i="3"/>
  <c r="B4896" i="3"/>
  <c r="D4895" i="3"/>
  <c r="C4895" i="3"/>
  <c r="B4895" i="3"/>
  <c r="D4894" i="3"/>
  <c r="C4894" i="3"/>
  <c r="B4894" i="3"/>
  <c r="D4893" i="3"/>
  <c r="C4893" i="3"/>
  <c r="B4893" i="3"/>
  <c r="D4892" i="3"/>
  <c r="C4892" i="3"/>
  <c r="B4892" i="3"/>
  <c r="D4891" i="3"/>
  <c r="C4891" i="3"/>
  <c r="B4891" i="3"/>
  <c r="D4890" i="3"/>
  <c r="C4890" i="3"/>
  <c r="B4890" i="3"/>
  <c r="D4889" i="3"/>
  <c r="C4889" i="3"/>
  <c r="B4889" i="3"/>
  <c r="D4888" i="3"/>
  <c r="C4888" i="3"/>
  <c r="B4888" i="3"/>
  <c r="D4887" i="3"/>
  <c r="C4887" i="3"/>
  <c r="B4887" i="3"/>
  <c r="D4886" i="3"/>
  <c r="C4886" i="3"/>
  <c r="B4886" i="3"/>
  <c r="D4885" i="3"/>
  <c r="C4885" i="3"/>
  <c r="B4885" i="3"/>
  <c r="D4884" i="3"/>
  <c r="C4884" i="3"/>
  <c r="B4884" i="3"/>
  <c r="D4883" i="3"/>
  <c r="C4883" i="3"/>
  <c r="B4883" i="3"/>
  <c r="D4882" i="3"/>
  <c r="C4882" i="3"/>
  <c r="B4882" i="3"/>
  <c r="D4881" i="3"/>
  <c r="C4881" i="3"/>
  <c r="B4881" i="3"/>
  <c r="D4880" i="3"/>
  <c r="C4880" i="3"/>
  <c r="B4880" i="3"/>
  <c r="D4879" i="3"/>
  <c r="C4879" i="3"/>
  <c r="B4879" i="3"/>
  <c r="D4878" i="3"/>
  <c r="C4878" i="3"/>
  <c r="B4878" i="3"/>
  <c r="D4877" i="3"/>
  <c r="C4877" i="3"/>
  <c r="B4877" i="3"/>
  <c r="D4876" i="3"/>
  <c r="C4876" i="3"/>
  <c r="B4876" i="3"/>
  <c r="D4875" i="3"/>
  <c r="C4875" i="3"/>
  <c r="B4875" i="3"/>
  <c r="D4874" i="3"/>
  <c r="C4874" i="3"/>
  <c r="B4874" i="3"/>
  <c r="D4873" i="3"/>
  <c r="C4873" i="3"/>
  <c r="B4873" i="3"/>
  <c r="D4872" i="3"/>
  <c r="C4872" i="3"/>
  <c r="B4872" i="3"/>
  <c r="D4871" i="3"/>
  <c r="C4871" i="3"/>
  <c r="B4871" i="3"/>
  <c r="D4870" i="3"/>
  <c r="C4870" i="3"/>
  <c r="B4870" i="3"/>
  <c r="D4869" i="3"/>
  <c r="C4869" i="3"/>
  <c r="B4869" i="3"/>
  <c r="D4868" i="3"/>
  <c r="C4868" i="3"/>
  <c r="B4868" i="3"/>
  <c r="D4867" i="3"/>
  <c r="C4867" i="3"/>
  <c r="B4867" i="3"/>
  <c r="D4866" i="3"/>
  <c r="C4866" i="3"/>
  <c r="B4866" i="3"/>
  <c r="D4865" i="3"/>
  <c r="C4865" i="3"/>
  <c r="B4865" i="3"/>
  <c r="D4864" i="3"/>
  <c r="C4864" i="3"/>
  <c r="B4864" i="3"/>
  <c r="D4863" i="3"/>
  <c r="C4863" i="3"/>
  <c r="B4863" i="3"/>
  <c r="D4862" i="3"/>
  <c r="C4862" i="3"/>
  <c r="B4862" i="3"/>
  <c r="D4861" i="3"/>
  <c r="C4861" i="3"/>
  <c r="B4861" i="3"/>
  <c r="D4860" i="3"/>
  <c r="C4860" i="3"/>
  <c r="B4860" i="3"/>
  <c r="D4859" i="3"/>
  <c r="C4859" i="3"/>
  <c r="B4859" i="3"/>
  <c r="D4858" i="3"/>
  <c r="C4858" i="3"/>
  <c r="B4858" i="3"/>
  <c r="D4857" i="3"/>
  <c r="C4857" i="3"/>
  <c r="B4857" i="3"/>
  <c r="D4856" i="3"/>
  <c r="C4856" i="3"/>
  <c r="B4856" i="3"/>
  <c r="D4855" i="3"/>
  <c r="C4855" i="3"/>
  <c r="B4855" i="3"/>
  <c r="D4854" i="3"/>
  <c r="C4854" i="3"/>
  <c r="B4854" i="3"/>
  <c r="D4853" i="3"/>
  <c r="C4853" i="3"/>
  <c r="B4853" i="3"/>
  <c r="D4852" i="3"/>
  <c r="C4852" i="3"/>
  <c r="B4852" i="3"/>
  <c r="D4851" i="3"/>
  <c r="C4851" i="3"/>
  <c r="B4851" i="3"/>
  <c r="D4850" i="3"/>
  <c r="C4850" i="3"/>
  <c r="B4850" i="3"/>
  <c r="D4849" i="3"/>
  <c r="C4849" i="3"/>
  <c r="B4849" i="3"/>
  <c r="D4848" i="3"/>
  <c r="C4848" i="3"/>
  <c r="B4848" i="3"/>
  <c r="D4847" i="3"/>
  <c r="C4847" i="3"/>
  <c r="B4847" i="3"/>
  <c r="D4846" i="3"/>
  <c r="C4846" i="3"/>
  <c r="B4846" i="3"/>
  <c r="D4845" i="3"/>
  <c r="C4845" i="3"/>
  <c r="B4845" i="3"/>
  <c r="D4844" i="3"/>
  <c r="C4844" i="3"/>
  <c r="B4844" i="3"/>
  <c r="D4843" i="3"/>
  <c r="C4843" i="3"/>
  <c r="B4843" i="3"/>
  <c r="D4842" i="3"/>
  <c r="C4842" i="3"/>
  <c r="B4842" i="3"/>
  <c r="D4841" i="3"/>
  <c r="C4841" i="3"/>
  <c r="B4841" i="3"/>
  <c r="D4840" i="3"/>
  <c r="C4840" i="3"/>
  <c r="B4840" i="3"/>
  <c r="D4839" i="3"/>
  <c r="C4839" i="3"/>
  <c r="B4839" i="3"/>
  <c r="D4838" i="3"/>
  <c r="C4838" i="3"/>
  <c r="B4838" i="3"/>
  <c r="D4837" i="3"/>
  <c r="C4837" i="3"/>
  <c r="B4837" i="3"/>
  <c r="D4836" i="3"/>
  <c r="C4836" i="3"/>
  <c r="B4836" i="3"/>
  <c r="D4835" i="3"/>
  <c r="C4835" i="3"/>
  <c r="B4835" i="3"/>
  <c r="D4834" i="3"/>
  <c r="C4834" i="3"/>
  <c r="B4834" i="3"/>
  <c r="D4833" i="3"/>
  <c r="C4833" i="3"/>
  <c r="B4833" i="3"/>
  <c r="D4832" i="3"/>
  <c r="C4832" i="3"/>
  <c r="B4832" i="3"/>
  <c r="D4831" i="3"/>
  <c r="C4831" i="3"/>
  <c r="B4831" i="3"/>
  <c r="D4830" i="3"/>
  <c r="C4830" i="3"/>
  <c r="B4830" i="3"/>
  <c r="D4829" i="3"/>
  <c r="C4829" i="3"/>
  <c r="B4829" i="3"/>
  <c r="D4828" i="3"/>
  <c r="C4828" i="3"/>
  <c r="B4828" i="3"/>
  <c r="D4827" i="3"/>
  <c r="C4827" i="3"/>
  <c r="B4827" i="3"/>
  <c r="D4826" i="3"/>
  <c r="C4826" i="3"/>
  <c r="B4826" i="3"/>
  <c r="D4825" i="3"/>
  <c r="C4825" i="3"/>
  <c r="B4825" i="3"/>
  <c r="D4824" i="3"/>
  <c r="C4824" i="3"/>
  <c r="B4824" i="3"/>
  <c r="D4823" i="3"/>
  <c r="C4823" i="3"/>
  <c r="B4823" i="3"/>
  <c r="D4822" i="3"/>
  <c r="C4822" i="3"/>
  <c r="B4822" i="3"/>
  <c r="D4821" i="3"/>
  <c r="C4821" i="3"/>
  <c r="B4821" i="3"/>
  <c r="D4820" i="3"/>
  <c r="C4820" i="3"/>
  <c r="B4820" i="3"/>
  <c r="D4819" i="3"/>
  <c r="C4819" i="3"/>
  <c r="B4819" i="3"/>
  <c r="D4818" i="3"/>
  <c r="C4818" i="3"/>
  <c r="B4818" i="3"/>
  <c r="D4817" i="3"/>
  <c r="C4817" i="3"/>
  <c r="B4817" i="3"/>
  <c r="D4816" i="3"/>
  <c r="C4816" i="3"/>
  <c r="B4816" i="3"/>
  <c r="D4815" i="3"/>
  <c r="C4815" i="3"/>
  <c r="B4815" i="3"/>
  <c r="D4814" i="3"/>
  <c r="C4814" i="3"/>
  <c r="B4814" i="3"/>
  <c r="D4813" i="3"/>
  <c r="C4813" i="3"/>
  <c r="B4813" i="3"/>
  <c r="D4812" i="3"/>
  <c r="C4812" i="3"/>
  <c r="B4812" i="3"/>
  <c r="D4811" i="3"/>
  <c r="C4811" i="3"/>
  <c r="B4811" i="3"/>
  <c r="D4810" i="3"/>
  <c r="C4810" i="3"/>
  <c r="B4810" i="3"/>
  <c r="D4809" i="3"/>
  <c r="C4809" i="3"/>
  <c r="B4809" i="3"/>
  <c r="D4808" i="3"/>
  <c r="C4808" i="3"/>
  <c r="B4808" i="3"/>
  <c r="D4807" i="3"/>
  <c r="C4807" i="3"/>
  <c r="B4807" i="3"/>
  <c r="D4806" i="3"/>
  <c r="C4806" i="3"/>
  <c r="B4806" i="3"/>
  <c r="D4805" i="3"/>
  <c r="C4805" i="3"/>
  <c r="B4805" i="3"/>
  <c r="D4804" i="3"/>
  <c r="C4804" i="3"/>
  <c r="B4804" i="3"/>
  <c r="D4803" i="3"/>
  <c r="C4803" i="3"/>
  <c r="B4803" i="3"/>
  <c r="D4802" i="3"/>
  <c r="C4802" i="3"/>
  <c r="B4802" i="3"/>
  <c r="D4801" i="3"/>
  <c r="C4801" i="3"/>
  <c r="B4801" i="3"/>
  <c r="D4800" i="3"/>
  <c r="C4800" i="3"/>
  <c r="B4800" i="3"/>
  <c r="D4799" i="3"/>
  <c r="C4799" i="3"/>
  <c r="B4799" i="3"/>
  <c r="D4798" i="3"/>
  <c r="C4798" i="3"/>
  <c r="B4798" i="3"/>
  <c r="D4797" i="3"/>
  <c r="C4797" i="3"/>
  <c r="B4797" i="3"/>
  <c r="D4796" i="3"/>
  <c r="C4796" i="3"/>
  <c r="B4796" i="3"/>
  <c r="D4795" i="3"/>
  <c r="C4795" i="3"/>
  <c r="B4795" i="3"/>
  <c r="D4794" i="3"/>
  <c r="C4794" i="3"/>
  <c r="B4794" i="3"/>
  <c r="D4793" i="3"/>
  <c r="C4793" i="3"/>
  <c r="B4793" i="3"/>
  <c r="D4792" i="3"/>
  <c r="C4792" i="3"/>
  <c r="B4792" i="3"/>
  <c r="D4791" i="3"/>
  <c r="C4791" i="3"/>
  <c r="B4791" i="3"/>
  <c r="D4790" i="3"/>
  <c r="C4790" i="3"/>
  <c r="B4790" i="3"/>
  <c r="D4789" i="3"/>
  <c r="C4789" i="3"/>
  <c r="B4789" i="3"/>
  <c r="D4788" i="3"/>
  <c r="C4788" i="3"/>
  <c r="B4788" i="3"/>
  <c r="D4787" i="3"/>
  <c r="C4787" i="3"/>
  <c r="B4787" i="3"/>
  <c r="D4786" i="3"/>
  <c r="C4786" i="3"/>
  <c r="B4786" i="3"/>
  <c r="D4785" i="3"/>
  <c r="C4785" i="3"/>
  <c r="B4785" i="3"/>
  <c r="D4784" i="3"/>
  <c r="C4784" i="3"/>
  <c r="B4784" i="3"/>
  <c r="D4783" i="3"/>
  <c r="C4783" i="3"/>
  <c r="B4783" i="3"/>
  <c r="D4782" i="3"/>
  <c r="C4782" i="3"/>
  <c r="B4782" i="3"/>
  <c r="D4781" i="3"/>
  <c r="C4781" i="3"/>
  <c r="B4781" i="3"/>
  <c r="D4780" i="3"/>
  <c r="C4780" i="3"/>
  <c r="B4780" i="3"/>
  <c r="D4779" i="3"/>
  <c r="C4779" i="3"/>
  <c r="B4779" i="3"/>
  <c r="D4778" i="3"/>
  <c r="C4778" i="3"/>
  <c r="B4778" i="3"/>
  <c r="D4777" i="3"/>
  <c r="C4777" i="3"/>
  <c r="B4777" i="3"/>
  <c r="D4776" i="3"/>
  <c r="C4776" i="3"/>
  <c r="B4776" i="3"/>
  <c r="D4775" i="3"/>
  <c r="C4775" i="3"/>
  <c r="B4775" i="3"/>
  <c r="D4774" i="3"/>
  <c r="C4774" i="3"/>
  <c r="B4774" i="3"/>
  <c r="D4773" i="3"/>
  <c r="C4773" i="3"/>
  <c r="B4773" i="3"/>
  <c r="D4772" i="3"/>
  <c r="C4772" i="3"/>
  <c r="B4772" i="3"/>
  <c r="D4771" i="3"/>
  <c r="C4771" i="3"/>
  <c r="B4771" i="3"/>
  <c r="D4770" i="3"/>
  <c r="C4770" i="3"/>
  <c r="B4770" i="3"/>
  <c r="D4769" i="3"/>
  <c r="C4769" i="3"/>
  <c r="B4769" i="3"/>
  <c r="D4768" i="3"/>
  <c r="C4768" i="3"/>
  <c r="B4768" i="3"/>
  <c r="D4767" i="3"/>
  <c r="C4767" i="3"/>
  <c r="B4767" i="3"/>
  <c r="D4766" i="3"/>
  <c r="C4766" i="3"/>
  <c r="B4766" i="3"/>
  <c r="D4765" i="3"/>
  <c r="C4765" i="3"/>
  <c r="B4765" i="3"/>
  <c r="D4764" i="3"/>
  <c r="C4764" i="3"/>
  <c r="B4764" i="3"/>
  <c r="D4763" i="3"/>
  <c r="C4763" i="3"/>
  <c r="B4763" i="3"/>
  <c r="D4762" i="3"/>
  <c r="C4762" i="3"/>
  <c r="B4762" i="3"/>
  <c r="D4761" i="3"/>
  <c r="C4761" i="3"/>
  <c r="B4761" i="3"/>
  <c r="D4760" i="3"/>
  <c r="C4760" i="3"/>
  <c r="B4760" i="3"/>
  <c r="D4759" i="3"/>
  <c r="C4759" i="3"/>
  <c r="B4759" i="3"/>
  <c r="D4758" i="3"/>
  <c r="C4758" i="3"/>
  <c r="B4758" i="3"/>
  <c r="D4757" i="3"/>
  <c r="C4757" i="3"/>
  <c r="B4757" i="3"/>
  <c r="D4756" i="3"/>
  <c r="C4756" i="3"/>
  <c r="B4756" i="3"/>
  <c r="D4755" i="3"/>
  <c r="C4755" i="3"/>
  <c r="B4755" i="3"/>
  <c r="D4754" i="3"/>
  <c r="C4754" i="3"/>
  <c r="B4754" i="3"/>
  <c r="D4753" i="3"/>
  <c r="C4753" i="3"/>
  <c r="B4753" i="3"/>
  <c r="D4752" i="3"/>
  <c r="C4752" i="3"/>
  <c r="B4752" i="3"/>
  <c r="D4751" i="3"/>
  <c r="C4751" i="3"/>
  <c r="B4751" i="3"/>
  <c r="D4750" i="3"/>
  <c r="C4750" i="3"/>
  <c r="B4750" i="3"/>
  <c r="D4749" i="3"/>
  <c r="C4749" i="3"/>
  <c r="B4749" i="3"/>
  <c r="D4748" i="3"/>
  <c r="C4748" i="3"/>
  <c r="B4748" i="3"/>
  <c r="D4747" i="3"/>
  <c r="C4747" i="3"/>
  <c r="B4747" i="3"/>
  <c r="D4746" i="3"/>
  <c r="C4746" i="3"/>
  <c r="B4746" i="3"/>
  <c r="D4745" i="3"/>
  <c r="C4745" i="3"/>
  <c r="B4745" i="3"/>
  <c r="D4744" i="3"/>
  <c r="C4744" i="3"/>
  <c r="B4744" i="3"/>
  <c r="D4743" i="3"/>
  <c r="C4743" i="3"/>
  <c r="B4743" i="3"/>
  <c r="D4742" i="3"/>
  <c r="C4742" i="3"/>
  <c r="B4742" i="3"/>
  <c r="D4741" i="3"/>
  <c r="C4741" i="3"/>
  <c r="B4741" i="3"/>
  <c r="D4740" i="3"/>
  <c r="C4740" i="3"/>
  <c r="B4740" i="3"/>
  <c r="D4739" i="3"/>
  <c r="C4739" i="3"/>
  <c r="B4739" i="3"/>
  <c r="D4738" i="3"/>
  <c r="C4738" i="3"/>
  <c r="B4738" i="3"/>
  <c r="D4737" i="3"/>
  <c r="C4737" i="3"/>
  <c r="B4737" i="3"/>
  <c r="D4736" i="3"/>
  <c r="C4736" i="3"/>
  <c r="B4736" i="3"/>
  <c r="D4735" i="3"/>
  <c r="C4735" i="3"/>
  <c r="B4735" i="3"/>
  <c r="D4734" i="3"/>
  <c r="C4734" i="3"/>
  <c r="B4734" i="3"/>
  <c r="D4733" i="3"/>
  <c r="C4733" i="3"/>
  <c r="B4733" i="3"/>
  <c r="D4732" i="3"/>
  <c r="C4732" i="3"/>
  <c r="B4732" i="3"/>
  <c r="D4731" i="3"/>
  <c r="C4731" i="3"/>
  <c r="B4731" i="3"/>
  <c r="D4730" i="3"/>
  <c r="C4730" i="3"/>
  <c r="B4730" i="3"/>
  <c r="D4729" i="3"/>
  <c r="C4729" i="3"/>
  <c r="B4729" i="3"/>
  <c r="D4728" i="3"/>
  <c r="C4728" i="3"/>
  <c r="B4728" i="3"/>
  <c r="D4727" i="3"/>
  <c r="C4727" i="3"/>
  <c r="B4727" i="3"/>
  <c r="D4726" i="3"/>
  <c r="C4726" i="3"/>
  <c r="B4726" i="3"/>
  <c r="D4725" i="3"/>
  <c r="C4725" i="3"/>
  <c r="B4725" i="3"/>
  <c r="D4724" i="3"/>
  <c r="C4724" i="3"/>
  <c r="B4724" i="3"/>
  <c r="D4723" i="3"/>
  <c r="C4723" i="3"/>
  <c r="B4723" i="3"/>
  <c r="D4722" i="3"/>
  <c r="C4722" i="3"/>
  <c r="B4722" i="3"/>
  <c r="D4721" i="3"/>
  <c r="C4721" i="3"/>
  <c r="B4721" i="3"/>
  <c r="D4720" i="3"/>
  <c r="C4720" i="3"/>
  <c r="B4720" i="3"/>
  <c r="D4719" i="3"/>
  <c r="C4719" i="3"/>
  <c r="B4719" i="3"/>
  <c r="D4718" i="3"/>
  <c r="C4718" i="3"/>
  <c r="B4718" i="3"/>
  <c r="D4717" i="3"/>
  <c r="C4717" i="3"/>
  <c r="B4717" i="3"/>
  <c r="D4716" i="3"/>
  <c r="C4716" i="3"/>
  <c r="B4716" i="3"/>
  <c r="D4715" i="3"/>
  <c r="C4715" i="3"/>
  <c r="B4715" i="3"/>
  <c r="D4714" i="3"/>
  <c r="C4714" i="3"/>
  <c r="B4714" i="3"/>
  <c r="D4713" i="3"/>
  <c r="C4713" i="3"/>
  <c r="B4713" i="3"/>
  <c r="D4712" i="3"/>
  <c r="C4712" i="3"/>
  <c r="B4712" i="3"/>
  <c r="D4711" i="3"/>
  <c r="C4711" i="3"/>
  <c r="B4711" i="3"/>
  <c r="D4710" i="3"/>
  <c r="C4710" i="3"/>
  <c r="B4710" i="3"/>
  <c r="D4709" i="3"/>
  <c r="C4709" i="3"/>
  <c r="B4709" i="3"/>
  <c r="D4708" i="3"/>
  <c r="C4708" i="3"/>
  <c r="B4708" i="3"/>
  <c r="D4707" i="3"/>
  <c r="C4707" i="3"/>
  <c r="B4707" i="3"/>
  <c r="D4706" i="3"/>
  <c r="C4706" i="3"/>
  <c r="B4706" i="3"/>
  <c r="D4705" i="3"/>
  <c r="C4705" i="3"/>
  <c r="B4705" i="3"/>
  <c r="D4704" i="3"/>
  <c r="C4704" i="3"/>
  <c r="B4704" i="3"/>
  <c r="D4703" i="3"/>
  <c r="C4703" i="3"/>
  <c r="B4703" i="3"/>
  <c r="D4702" i="3"/>
  <c r="C4702" i="3"/>
  <c r="B4702" i="3"/>
  <c r="D4701" i="3"/>
  <c r="C4701" i="3"/>
  <c r="B4701" i="3"/>
  <c r="D4700" i="3"/>
  <c r="C4700" i="3"/>
  <c r="B4700" i="3"/>
  <c r="D4699" i="3"/>
  <c r="C4699" i="3"/>
  <c r="B4699" i="3"/>
  <c r="D4698" i="3"/>
  <c r="C4698" i="3"/>
  <c r="B4698" i="3"/>
  <c r="D4697" i="3"/>
  <c r="C4697" i="3"/>
  <c r="B4697" i="3"/>
  <c r="D4696" i="3"/>
  <c r="C4696" i="3"/>
  <c r="B4696" i="3"/>
  <c r="D4695" i="3"/>
  <c r="C4695" i="3"/>
  <c r="B4695" i="3"/>
  <c r="D4694" i="3"/>
  <c r="C4694" i="3"/>
  <c r="B4694" i="3"/>
  <c r="D4693" i="3"/>
  <c r="C4693" i="3"/>
  <c r="B4693" i="3"/>
  <c r="D4692" i="3"/>
  <c r="C4692" i="3"/>
  <c r="B4692" i="3"/>
  <c r="D4691" i="3"/>
  <c r="C4691" i="3"/>
  <c r="B4691" i="3"/>
  <c r="D4690" i="3"/>
  <c r="C4690" i="3"/>
  <c r="B4690" i="3"/>
  <c r="D4689" i="3"/>
  <c r="C4689" i="3"/>
  <c r="B4689" i="3"/>
  <c r="D4688" i="3"/>
  <c r="C4688" i="3"/>
  <c r="B4688" i="3"/>
  <c r="D4687" i="3"/>
  <c r="C4687" i="3"/>
  <c r="B4687" i="3"/>
  <c r="D4686" i="3"/>
  <c r="C4686" i="3"/>
  <c r="B4686" i="3"/>
  <c r="D4685" i="3"/>
  <c r="C4685" i="3"/>
  <c r="B4685" i="3"/>
  <c r="D4684" i="3"/>
  <c r="C4684" i="3"/>
  <c r="B4684" i="3"/>
  <c r="D4683" i="3"/>
  <c r="C4683" i="3"/>
  <c r="B4683" i="3"/>
  <c r="D4682" i="3"/>
  <c r="C4682" i="3"/>
  <c r="B4682" i="3"/>
  <c r="D4681" i="3"/>
  <c r="C4681" i="3"/>
  <c r="B4681" i="3"/>
  <c r="D4680" i="3"/>
  <c r="C4680" i="3"/>
  <c r="B4680" i="3"/>
  <c r="D4679" i="3"/>
  <c r="C4679" i="3"/>
  <c r="B4679" i="3"/>
  <c r="D4678" i="3"/>
  <c r="C4678" i="3"/>
  <c r="B4678" i="3"/>
  <c r="D4677" i="3"/>
  <c r="C4677" i="3"/>
  <c r="B4677" i="3"/>
  <c r="D4676" i="3"/>
  <c r="C4676" i="3"/>
  <c r="B4676" i="3"/>
  <c r="D4675" i="3"/>
  <c r="C4675" i="3"/>
  <c r="B4675" i="3"/>
  <c r="D4674" i="3"/>
  <c r="C4674" i="3"/>
  <c r="B4674" i="3"/>
  <c r="D4673" i="3"/>
  <c r="C4673" i="3"/>
  <c r="B4673" i="3"/>
  <c r="D4672" i="3"/>
  <c r="C4672" i="3"/>
  <c r="B4672" i="3"/>
  <c r="D4671" i="3"/>
  <c r="C4671" i="3"/>
  <c r="B4671" i="3"/>
  <c r="D4670" i="3"/>
  <c r="C4670" i="3"/>
  <c r="B4670" i="3"/>
  <c r="D4669" i="3"/>
  <c r="C4669" i="3"/>
  <c r="B4669" i="3"/>
  <c r="D4668" i="3"/>
  <c r="C4668" i="3"/>
  <c r="B4668" i="3"/>
  <c r="D4667" i="3"/>
  <c r="C4667" i="3"/>
  <c r="B4667" i="3"/>
  <c r="D4666" i="3"/>
  <c r="C4666" i="3"/>
  <c r="B4666" i="3"/>
  <c r="D4665" i="3"/>
  <c r="C4665" i="3"/>
  <c r="B4665" i="3"/>
  <c r="D4664" i="3"/>
  <c r="C4664" i="3"/>
  <c r="B4664" i="3"/>
  <c r="D4663" i="3"/>
  <c r="C4663" i="3"/>
  <c r="B4663" i="3"/>
  <c r="D4662" i="3"/>
  <c r="C4662" i="3"/>
  <c r="B4662" i="3"/>
  <c r="D4661" i="3"/>
  <c r="C4661" i="3"/>
  <c r="B4661" i="3"/>
  <c r="D4660" i="3"/>
  <c r="C4660" i="3"/>
  <c r="B4660" i="3"/>
  <c r="D4659" i="3"/>
  <c r="C4659" i="3"/>
  <c r="B4659" i="3"/>
  <c r="D4658" i="3"/>
  <c r="C4658" i="3"/>
  <c r="B4658" i="3"/>
  <c r="D4657" i="3"/>
  <c r="C4657" i="3"/>
  <c r="B4657" i="3"/>
  <c r="D4656" i="3"/>
  <c r="C4656" i="3"/>
  <c r="B4656" i="3"/>
  <c r="D4655" i="3"/>
  <c r="C4655" i="3"/>
  <c r="B4655" i="3"/>
  <c r="D4654" i="3"/>
  <c r="C4654" i="3"/>
  <c r="B4654" i="3"/>
  <c r="D4653" i="3"/>
  <c r="C4653" i="3"/>
  <c r="B4653" i="3"/>
  <c r="D4652" i="3"/>
  <c r="C4652" i="3"/>
  <c r="B4652" i="3"/>
  <c r="D4651" i="3"/>
  <c r="C4651" i="3"/>
  <c r="B4651" i="3"/>
  <c r="D4650" i="3"/>
  <c r="C4650" i="3"/>
  <c r="B4650" i="3"/>
  <c r="D4649" i="3"/>
  <c r="C4649" i="3"/>
  <c r="B4649" i="3"/>
  <c r="D4648" i="3"/>
  <c r="C4648" i="3"/>
  <c r="B4648" i="3"/>
  <c r="D4647" i="3"/>
  <c r="C4647" i="3"/>
  <c r="B4647" i="3"/>
  <c r="D4646" i="3"/>
  <c r="C4646" i="3"/>
  <c r="B4646" i="3"/>
  <c r="D4645" i="3"/>
  <c r="C4645" i="3"/>
  <c r="B4645" i="3"/>
  <c r="D4644" i="3"/>
  <c r="C4644" i="3"/>
  <c r="B4644" i="3"/>
  <c r="D4643" i="3"/>
  <c r="C4643" i="3"/>
  <c r="B4643" i="3"/>
  <c r="D4642" i="3"/>
  <c r="C4642" i="3"/>
  <c r="B4642" i="3"/>
  <c r="D4641" i="3"/>
  <c r="C4641" i="3"/>
  <c r="B4641" i="3"/>
  <c r="D4640" i="3"/>
  <c r="C4640" i="3"/>
  <c r="B4640" i="3"/>
  <c r="D4639" i="3"/>
  <c r="C4639" i="3"/>
  <c r="B4639" i="3"/>
  <c r="D4638" i="3"/>
  <c r="C4638" i="3"/>
  <c r="B4638" i="3"/>
  <c r="D4637" i="3"/>
  <c r="C4637" i="3"/>
  <c r="B4637" i="3"/>
  <c r="D4636" i="3"/>
  <c r="C4636" i="3"/>
  <c r="B4636" i="3"/>
  <c r="D4635" i="3"/>
  <c r="C4635" i="3"/>
  <c r="B4635" i="3"/>
  <c r="D4634" i="3"/>
  <c r="C4634" i="3"/>
  <c r="B4634" i="3"/>
  <c r="D4633" i="3"/>
  <c r="C4633" i="3"/>
  <c r="B4633" i="3"/>
  <c r="D4632" i="3"/>
  <c r="C4632" i="3"/>
  <c r="B4632" i="3"/>
  <c r="D4631" i="3"/>
  <c r="C4631" i="3"/>
  <c r="B4631" i="3"/>
  <c r="D4630" i="3"/>
  <c r="C4630" i="3"/>
  <c r="B4630" i="3"/>
  <c r="D4629" i="3"/>
  <c r="C4629" i="3"/>
  <c r="B4629" i="3"/>
  <c r="D4628" i="3"/>
  <c r="C4628" i="3"/>
  <c r="B4628" i="3"/>
  <c r="D4627" i="3"/>
  <c r="C4627" i="3"/>
  <c r="B4627" i="3"/>
  <c r="D4626" i="3"/>
  <c r="C4626" i="3"/>
  <c r="B4626" i="3"/>
  <c r="D4625" i="3"/>
  <c r="C4625" i="3"/>
  <c r="B4625" i="3"/>
  <c r="D4624" i="3"/>
  <c r="C4624" i="3"/>
  <c r="B4624" i="3"/>
  <c r="D4623" i="3"/>
  <c r="C4623" i="3"/>
  <c r="B4623" i="3"/>
  <c r="D4622" i="3"/>
  <c r="C4622" i="3"/>
  <c r="B4622" i="3"/>
  <c r="D4621" i="3"/>
  <c r="C4621" i="3"/>
  <c r="B4621" i="3"/>
  <c r="D4620" i="3"/>
  <c r="C4620" i="3"/>
  <c r="B4620" i="3"/>
  <c r="D4619" i="3"/>
  <c r="C4619" i="3"/>
  <c r="B4619" i="3"/>
  <c r="D4618" i="3"/>
  <c r="C4618" i="3"/>
  <c r="B4618" i="3"/>
  <c r="D4617" i="3"/>
  <c r="C4617" i="3"/>
  <c r="B4617" i="3"/>
  <c r="D4616" i="3"/>
  <c r="C4616" i="3"/>
  <c r="B4616" i="3"/>
  <c r="D4615" i="3"/>
  <c r="C4615" i="3"/>
  <c r="B4615" i="3"/>
  <c r="D4614" i="3"/>
  <c r="C4614" i="3"/>
  <c r="B4614" i="3"/>
  <c r="D4613" i="3"/>
  <c r="C4613" i="3"/>
  <c r="B4613" i="3"/>
  <c r="D4612" i="3"/>
  <c r="C4612" i="3"/>
  <c r="B4612" i="3"/>
  <c r="D4611" i="3"/>
  <c r="C4611" i="3"/>
  <c r="B4611" i="3"/>
  <c r="D4610" i="3"/>
  <c r="C4610" i="3"/>
  <c r="B4610" i="3"/>
  <c r="D4609" i="3"/>
  <c r="C4609" i="3"/>
  <c r="B4609" i="3"/>
  <c r="D4608" i="3"/>
  <c r="C4608" i="3"/>
  <c r="B4608" i="3"/>
  <c r="D4607" i="3"/>
  <c r="C4607" i="3"/>
  <c r="B4607" i="3"/>
  <c r="D4606" i="3"/>
  <c r="C4606" i="3"/>
  <c r="B4606" i="3"/>
  <c r="D4605" i="3"/>
  <c r="C4605" i="3"/>
  <c r="B4605" i="3"/>
  <c r="D4604" i="3"/>
  <c r="C4604" i="3"/>
  <c r="B4604" i="3"/>
  <c r="D4603" i="3"/>
  <c r="C4603" i="3"/>
  <c r="B4603" i="3"/>
  <c r="D4602" i="3"/>
  <c r="C4602" i="3"/>
  <c r="B4602" i="3"/>
  <c r="D4601" i="3"/>
  <c r="C4601" i="3"/>
  <c r="B4601" i="3"/>
  <c r="D4600" i="3"/>
  <c r="C4600" i="3"/>
  <c r="B4600" i="3"/>
  <c r="D4599" i="3"/>
  <c r="C4599" i="3"/>
  <c r="B4599" i="3"/>
  <c r="D4598" i="3"/>
  <c r="C4598" i="3"/>
  <c r="B4598" i="3"/>
  <c r="D4597" i="3"/>
  <c r="C4597" i="3"/>
  <c r="B4597" i="3"/>
  <c r="D4596" i="3"/>
  <c r="C4596" i="3"/>
  <c r="B4596" i="3"/>
  <c r="D4595" i="3"/>
  <c r="C4595" i="3"/>
  <c r="B4595" i="3"/>
  <c r="D4594" i="3"/>
  <c r="C4594" i="3"/>
  <c r="B4594" i="3"/>
  <c r="D4593" i="3"/>
  <c r="C4593" i="3"/>
  <c r="B4593" i="3"/>
  <c r="D4592" i="3"/>
  <c r="C4592" i="3"/>
  <c r="B4592" i="3"/>
  <c r="D4591" i="3"/>
  <c r="C4591" i="3"/>
  <c r="B4591" i="3"/>
  <c r="D4590" i="3"/>
  <c r="C4590" i="3"/>
  <c r="B4590" i="3"/>
  <c r="D4589" i="3"/>
  <c r="C4589" i="3"/>
  <c r="B4589" i="3"/>
  <c r="D4588" i="3"/>
  <c r="C4588" i="3"/>
  <c r="B4588" i="3"/>
  <c r="D4587" i="3"/>
  <c r="C4587" i="3"/>
  <c r="B4587" i="3"/>
  <c r="D4586" i="3"/>
  <c r="C4586" i="3"/>
  <c r="B4586" i="3"/>
  <c r="D4585" i="3"/>
  <c r="C4585" i="3"/>
  <c r="B4585" i="3"/>
  <c r="D4584" i="3"/>
  <c r="C4584" i="3"/>
  <c r="B4584" i="3"/>
  <c r="D4583" i="3"/>
  <c r="C4583" i="3"/>
  <c r="B4583" i="3"/>
  <c r="D4582" i="3"/>
  <c r="C4582" i="3"/>
  <c r="B4582" i="3"/>
  <c r="D4581" i="3"/>
  <c r="C4581" i="3"/>
  <c r="B4581" i="3"/>
  <c r="D4580" i="3"/>
  <c r="C4580" i="3"/>
  <c r="B4580" i="3"/>
  <c r="D4579" i="3"/>
  <c r="C4579" i="3"/>
  <c r="B4579" i="3"/>
  <c r="D4578" i="3"/>
  <c r="C4578" i="3"/>
  <c r="B4578" i="3"/>
  <c r="D4577" i="3"/>
  <c r="C4577" i="3"/>
  <c r="B4577" i="3"/>
  <c r="D4576" i="3"/>
  <c r="C4576" i="3"/>
  <c r="B4576" i="3"/>
  <c r="D4575" i="3"/>
  <c r="C4575" i="3"/>
  <c r="B4575" i="3"/>
  <c r="D4574" i="3"/>
  <c r="C4574" i="3"/>
  <c r="B4574" i="3"/>
  <c r="D4573" i="3"/>
  <c r="C4573" i="3"/>
  <c r="B4573" i="3"/>
  <c r="D4572" i="3"/>
  <c r="C4572" i="3"/>
  <c r="B4572" i="3"/>
  <c r="D4571" i="3"/>
  <c r="C4571" i="3"/>
  <c r="B4571" i="3"/>
  <c r="D4570" i="3"/>
  <c r="C4570" i="3"/>
  <c r="B4570" i="3"/>
  <c r="D4569" i="3"/>
  <c r="C4569" i="3"/>
  <c r="B4569" i="3"/>
  <c r="D4568" i="3"/>
  <c r="C4568" i="3"/>
  <c r="B4568" i="3"/>
  <c r="D4567" i="3"/>
  <c r="C4567" i="3"/>
  <c r="B4567" i="3"/>
  <c r="D4566" i="3"/>
  <c r="C4566" i="3"/>
  <c r="B4566" i="3"/>
  <c r="D4565" i="3"/>
  <c r="C4565" i="3"/>
  <c r="B4565" i="3"/>
  <c r="D4564" i="3"/>
  <c r="C4564" i="3"/>
  <c r="B4564" i="3"/>
  <c r="D4563" i="3"/>
  <c r="C4563" i="3"/>
  <c r="B4563" i="3"/>
  <c r="D4562" i="3"/>
  <c r="C4562" i="3"/>
  <c r="B4562" i="3"/>
  <c r="D4561" i="3"/>
  <c r="C4561" i="3"/>
  <c r="B4561" i="3"/>
  <c r="D4560" i="3"/>
  <c r="C4560" i="3"/>
  <c r="B4560" i="3"/>
  <c r="D4559" i="3"/>
  <c r="C4559" i="3"/>
  <c r="B4559" i="3"/>
  <c r="D4558" i="3"/>
  <c r="C4558" i="3"/>
  <c r="B4558" i="3"/>
  <c r="D4557" i="3"/>
  <c r="C4557" i="3"/>
  <c r="B4557" i="3"/>
  <c r="D4556" i="3"/>
  <c r="C4556" i="3"/>
  <c r="B4556" i="3"/>
  <c r="D4555" i="3"/>
  <c r="C4555" i="3"/>
  <c r="B4555" i="3"/>
  <c r="D4554" i="3"/>
  <c r="C4554" i="3"/>
  <c r="B4554" i="3"/>
  <c r="D4553" i="3"/>
  <c r="C4553" i="3"/>
  <c r="B4553" i="3"/>
  <c r="D4552" i="3"/>
  <c r="C4552" i="3"/>
  <c r="B4552" i="3"/>
  <c r="D4551" i="3"/>
  <c r="C4551" i="3"/>
  <c r="B4551" i="3"/>
  <c r="D4550" i="3"/>
  <c r="C4550" i="3"/>
  <c r="B4550" i="3"/>
  <c r="D4549" i="3"/>
  <c r="C4549" i="3"/>
  <c r="B4549" i="3"/>
  <c r="D4548" i="3"/>
  <c r="C4548" i="3"/>
  <c r="B4548" i="3"/>
  <c r="D4547" i="3"/>
  <c r="C4547" i="3"/>
  <c r="B4547" i="3"/>
  <c r="D4546" i="3"/>
  <c r="C4546" i="3"/>
  <c r="B4546" i="3"/>
  <c r="D4545" i="3"/>
  <c r="C4545" i="3"/>
  <c r="B4545" i="3"/>
  <c r="D4544" i="3"/>
  <c r="C4544" i="3"/>
  <c r="B4544" i="3"/>
  <c r="D4543" i="3"/>
  <c r="C4543" i="3"/>
  <c r="B4543" i="3"/>
  <c r="D4542" i="3"/>
  <c r="C4542" i="3"/>
  <c r="B4542" i="3"/>
  <c r="D4541" i="3"/>
  <c r="C4541" i="3"/>
  <c r="B4541" i="3"/>
  <c r="D4540" i="3"/>
  <c r="C4540" i="3"/>
  <c r="B4540" i="3"/>
  <c r="D4539" i="3"/>
  <c r="C4539" i="3"/>
  <c r="B4539" i="3"/>
  <c r="D4538" i="3"/>
  <c r="C4538" i="3"/>
  <c r="B4538" i="3"/>
  <c r="D4537" i="3"/>
  <c r="C4537" i="3"/>
  <c r="B4537" i="3"/>
  <c r="D4536" i="3"/>
  <c r="C4536" i="3"/>
  <c r="B4536" i="3"/>
  <c r="D4535" i="3"/>
  <c r="C4535" i="3"/>
  <c r="B4535" i="3"/>
  <c r="D4534" i="3"/>
  <c r="C4534" i="3"/>
  <c r="B4534" i="3"/>
  <c r="D4533" i="3"/>
  <c r="C4533" i="3"/>
  <c r="B4533" i="3"/>
  <c r="D4532" i="3"/>
  <c r="C4532" i="3"/>
  <c r="B4532" i="3"/>
  <c r="D4531" i="3"/>
  <c r="C4531" i="3"/>
  <c r="B4531" i="3"/>
  <c r="D4530" i="3"/>
  <c r="C4530" i="3"/>
  <c r="B4530" i="3"/>
  <c r="D4529" i="3"/>
  <c r="C4529" i="3"/>
  <c r="B4529" i="3"/>
  <c r="D4528" i="3"/>
  <c r="C4528" i="3"/>
  <c r="B4528" i="3"/>
  <c r="D4527" i="3"/>
  <c r="C4527" i="3"/>
  <c r="B4527" i="3"/>
  <c r="D4526" i="3"/>
  <c r="C4526" i="3"/>
  <c r="B4526" i="3"/>
  <c r="D4525" i="3"/>
  <c r="C4525" i="3"/>
  <c r="B4525" i="3"/>
  <c r="D4524" i="3"/>
  <c r="C4524" i="3"/>
  <c r="B4524" i="3"/>
  <c r="D4523" i="3"/>
  <c r="C4523" i="3"/>
  <c r="B4523" i="3"/>
  <c r="D4522" i="3"/>
  <c r="C4522" i="3"/>
  <c r="B4522" i="3"/>
  <c r="D4521" i="3"/>
  <c r="C4521" i="3"/>
  <c r="B4521" i="3"/>
  <c r="D4520" i="3"/>
  <c r="C4520" i="3"/>
  <c r="B4520" i="3"/>
  <c r="D4519" i="3"/>
  <c r="C4519" i="3"/>
  <c r="B4519" i="3"/>
  <c r="D4518" i="3"/>
  <c r="C4518" i="3"/>
  <c r="B4518" i="3"/>
  <c r="D4517" i="3"/>
  <c r="C4517" i="3"/>
  <c r="B4517" i="3"/>
  <c r="D4516" i="3"/>
  <c r="C4516" i="3"/>
  <c r="B4516" i="3"/>
  <c r="D4515" i="3"/>
  <c r="C4515" i="3"/>
  <c r="B4515" i="3"/>
  <c r="D4514" i="3"/>
  <c r="C4514" i="3"/>
  <c r="B4514" i="3"/>
  <c r="D4513" i="3"/>
  <c r="C4513" i="3"/>
  <c r="B4513" i="3"/>
  <c r="D4512" i="3"/>
  <c r="C4512" i="3"/>
  <c r="B4512" i="3"/>
  <c r="D4511" i="3"/>
  <c r="C4511" i="3"/>
  <c r="B4511" i="3"/>
  <c r="D4510" i="3"/>
  <c r="C4510" i="3"/>
  <c r="B4510" i="3"/>
  <c r="D4509" i="3"/>
  <c r="C4509" i="3"/>
  <c r="B4509" i="3"/>
  <c r="D4508" i="3"/>
  <c r="C4508" i="3"/>
  <c r="B4508" i="3"/>
  <c r="D4507" i="3"/>
  <c r="C4507" i="3"/>
  <c r="B4507" i="3"/>
  <c r="D4506" i="3"/>
  <c r="C4506" i="3"/>
  <c r="B4506" i="3"/>
  <c r="D4505" i="3"/>
  <c r="C4505" i="3"/>
  <c r="B4505" i="3"/>
  <c r="D4504" i="3"/>
  <c r="C4504" i="3"/>
  <c r="B4504" i="3"/>
  <c r="D4503" i="3"/>
  <c r="C4503" i="3"/>
  <c r="B4503" i="3"/>
  <c r="D4502" i="3"/>
  <c r="C4502" i="3"/>
  <c r="B4502" i="3"/>
  <c r="D4501" i="3"/>
  <c r="C4501" i="3"/>
  <c r="B4501" i="3"/>
  <c r="D4500" i="3"/>
  <c r="C4500" i="3"/>
  <c r="B4500" i="3"/>
  <c r="D4499" i="3"/>
  <c r="C4499" i="3"/>
  <c r="B4499" i="3"/>
  <c r="D4498" i="3"/>
  <c r="C4498" i="3"/>
  <c r="B4498" i="3"/>
  <c r="D4497" i="3"/>
  <c r="C4497" i="3"/>
  <c r="B4497" i="3"/>
  <c r="D4496" i="3"/>
  <c r="C4496" i="3"/>
  <c r="B4496" i="3"/>
  <c r="D4495" i="3"/>
  <c r="C4495" i="3"/>
  <c r="B4495" i="3"/>
  <c r="D4494" i="3"/>
  <c r="C4494" i="3"/>
  <c r="B4494" i="3"/>
  <c r="D4493" i="3"/>
  <c r="C4493" i="3"/>
  <c r="B4493" i="3"/>
  <c r="D4492" i="3"/>
  <c r="C4492" i="3"/>
  <c r="B4492" i="3"/>
  <c r="D4491" i="3"/>
  <c r="C4491" i="3"/>
  <c r="B4491" i="3"/>
  <c r="D4490" i="3"/>
  <c r="C4490" i="3"/>
  <c r="B4490" i="3"/>
  <c r="D4489" i="3"/>
  <c r="C4489" i="3"/>
  <c r="B4489" i="3"/>
  <c r="D4488" i="3"/>
  <c r="C4488" i="3"/>
  <c r="B4488" i="3"/>
  <c r="D4487" i="3"/>
  <c r="C4487" i="3"/>
  <c r="B4487" i="3"/>
  <c r="D4486" i="3"/>
  <c r="C4486" i="3"/>
  <c r="B4486" i="3"/>
  <c r="D4485" i="3"/>
  <c r="C4485" i="3"/>
  <c r="B4485" i="3"/>
  <c r="D4484" i="3"/>
  <c r="C4484" i="3"/>
  <c r="B4484" i="3"/>
  <c r="D4483" i="3"/>
  <c r="C4483" i="3"/>
  <c r="B4483" i="3"/>
  <c r="D4482" i="3"/>
  <c r="C4482" i="3"/>
  <c r="B4482" i="3"/>
  <c r="D4481" i="3"/>
  <c r="C4481" i="3"/>
  <c r="B4481" i="3"/>
  <c r="D4480" i="3"/>
  <c r="C4480" i="3"/>
  <c r="B4480" i="3"/>
  <c r="D4479" i="3"/>
  <c r="C4479" i="3"/>
  <c r="B4479" i="3"/>
  <c r="D4478" i="3"/>
  <c r="C4478" i="3"/>
  <c r="B4478" i="3"/>
  <c r="D4477" i="3"/>
  <c r="C4477" i="3"/>
  <c r="B4477" i="3"/>
  <c r="D4476" i="3"/>
  <c r="C4476" i="3"/>
  <c r="B4476" i="3"/>
  <c r="D4475" i="3"/>
  <c r="C4475" i="3"/>
  <c r="B4475" i="3"/>
  <c r="D4474" i="3"/>
  <c r="C4474" i="3"/>
  <c r="B4474" i="3"/>
  <c r="D4473" i="3"/>
  <c r="C4473" i="3"/>
  <c r="B4473" i="3"/>
  <c r="D4472" i="3"/>
  <c r="C4472" i="3"/>
  <c r="B4472" i="3"/>
  <c r="D4471" i="3"/>
  <c r="C4471" i="3"/>
  <c r="B4471" i="3"/>
  <c r="D4470" i="3"/>
  <c r="C4470" i="3"/>
  <c r="B4470" i="3"/>
  <c r="D4469" i="3"/>
  <c r="C4469" i="3"/>
  <c r="B4469" i="3"/>
  <c r="D4468" i="3"/>
  <c r="C4468" i="3"/>
  <c r="B4468" i="3"/>
  <c r="D4467" i="3"/>
  <c r="C4467" i="3"/>
  <c r="B4467" i="3"/>
  <c r="D4466" i="3"/>
  <c r="C4466" i="3"/>
  <c r="B4466" i="3"/>
  <c r="D4465" i="3"/>
  <c r="C4465" i="3"/>
  <c r="B4465" i="3"/>
  <c r="D4464" i="3"/>
  <c r="C4464" i="3"/>
  <c r="B4464" i="3"/>
  <c r="D4463" i="3"/>
  <c r="C4463" i="3"/>
  <c r="B4463" i="3"/>
  <c r="D4462" i="3"/>
  <c r="C4462" i="3"/>
  <c r="B4462" i="3"/>
  <c r="D4461" i="3"/>
  <c r="C4461" i="3"/>
  <c r="B4461" i="3"/>
  <c r="D4460" i="3"/>
  <c r="C4460" i="3"/>
  <c r="B4460" i="3"/>
  <c r="D4459" i="3"/>
  <c r="C4459" i="3"/>
  <c r="B4459" i="3"/>
  <c r="D4458" i="3"/>
  <c r="C4458" i="3"/>
  <c r="B4458" i="3"/>
  <c r="D4457" i="3"/>
  <c r="C4457" i="3"/>
  <c r="B4457" i="3"/>
  <c r="D4456" i="3"/>
  <c r="C4456" i="3"/>
  <c r="B4456" i="3"/>
  <c r="D4455" i="3"/>
  <c r="C4455" i="3"/>
  <c r="B4455" i="3"/>
  <c r="D4454" i="3"/>
  <c r="C4454" i="3"/>
  <c r="B4454" i="3"/>
  <c r="D4453" i="3"/>
  <c r="C4453" i="3"/>
  <c r="B4453" i="3"/>
  <c r="D4452" i="3"/>
  <c r="C4452" i="3"/>
  <c r="B4452" i="3"/>
  <c r="D4451" i="3"/>
  <c r="C4451" i="3"/>
  <c r="B4451" i="3"/>
  <c r="D4450" i="3"/>
  <c r="C4450" i="3"/>
  <c r="B4450" i="3"/>
  <c r="D4449" i="3"/>
  <c r="C4449" i="3"/>
  <c r="B4449" i="3"/>
  <c r="D4448" i="3"/>
  <c r="C4448" i="3"/>
  <c r="B4448" i="3"/>
  <c r="D4447" i="3"/>
  <c r="C4447" i="3"/>
  <c r="B4447" i="3"/>
  <c r="D4446" i="3"/>
  <c r="C4446" i="3"/>
  <c r="B4446" i="3"/>
  <c r="D4445" i="3"/>
  <c r="C4445" i="3"/>
  <c r="B4445" i="3"/>
  <c r="D4444" i="3"/>
  <c r="C4444" i="3"/>
  <c r="B4444" i="3"/>
  <c r="D4443" i="3"/>
  <c r="C4443" i="3"/>
  <c r="B4443" i="3"/>
  <c r="D4442" i="3"/>
  <c r="C4442" i="3"/>
  <c r="B4442" i="3"/>
  <c r="D4441" i="3"/>
  <c r="C4441" i="3"/>
  <c r="B4441" i="3"/>
  <c r="D4440" i="3"/>
  <c r="C4440" i="3"/>
  <c r="B4440" i="3"/>
  <c r="D4439" i="3"/>
  <c r="C4439" i="3"/>
  <c r="B4439" i="3"/>
  <c r="D4438" i="3"/>
  <c r="C4438" i="3"/>
  <c r="B4438" i="3"/>
  <c r="D4437" i="3"/>
  <c r="C4437" i="3"/>
  <c r="B4437" i="3"/>
  <c r="D4436" i="3"/>
  <c r="C4436" i="3"/>
  <c r="B4436" i="3"/>
  <c r="D4435" i="3"/>
  <c r="C4435" i="3"/>
  <c r="B4435" i="3"/>
  <c r="D4434" i="3"/>
  <c r="C4434" i="3"/>
  <c r="B4434" i="3"/>
  <c r="D4433" i="3"/>
  <c r="C4433" i="3"/>
  <c r="B4433" i="3"/>
  <c r="D4432" i="3"/>
  <c r="C4432" i="3"/>
  <c r="B4432" i="3"/>
  <c r="D4431" i="3"/>
  <c r="C4431" i="3"/>
  <c r="B4431" i="3"/>
  <c r="D4430" i="3"/>
  <c r="C4430" i="3"/>
  <c r="B4430" i="3"/>
  <c r="D4429" i="3"/>
  <c r="C4429" i="3"/>
  <c r="B4429" i="3"/>
  <c r="D4428" i="3"/>
  <c r="C4428" i="3"/>
  <c r="B4428" i="3"/>
  <c r="D4427" i="3"/>
  <c r="C4427" i="3"/>
  <c r="B4427" i="3"/>
  <c r="D4426" i="3"/>
  <c r="C4426" i="3"/>
  <c r="B4426" i="3"/>
  <c r="D4425" i="3"/>
  <c r="C4425" i="3"/>
  <c r="B4425" i="3"/>
  <c r="D4424" i="3"/>
  <c r="C4424" i="3"/>
  <c r="B4424" i="3"/>
  <c r="D4423" i="3"/>
  <c r="C4423" i="3"/>
  <c r="B4423" i="3"/>
  <c r="D4422" i="3"/>
  <c r="C4422" i="3"/>
  <c r="B4422" i="3"/>
  <c r="D4421" i="3"/>
  <c r="C4421" i="3"/>
  <c r="B4421" i="3"/>
  <c r="D4420" i="3"/>
  <c r="C4420" i="3"/>
  <c r="B4420" i="3"/>
  <c r="D4419" i="3"/>
  <c r="C4419" i="3"/>
  <c r="B4419" i="3"/>
  <c r="D4418" i="3"/>
  <c r="C4418" i="3"/>
  <c r="B4418" i="3"/>
  <c r="D4417" i="3"/>
  <c r="C4417" i="3"/>
  <c r="B4417" i="3"/>
  <c r="D4416" i="3"/>
  <c r="C4416" i="3"/>
  <c r="B4416" i="3"/>
  <c r="D4415" i="3"/>
  <c r="C4415" i="3"/>
  <c r="B4415" i="3"/>
  <c r="D4414" i="3"/>
  <c r="C4414" i="3"/>
  <c r="B4414" i="3"/>
  <c r="D4413" i="3"/>
  <c r="C4413" i="3"/>
  <c r="B4413" i="3"/>
  <c r="D4412" i="3"/>
  <c r="C4412" i="3"/>
  <c r="B4412" i="3"/>
  <c r="D4411" i="3"/>
  <c r="C4411" i="3"/>
  <c r="B4411" i="3"/>
  <c r="D4410" i="3"/>
  <c r="C4410" i="3"/>
  <c r="B4410" i="3"/>
  <c r="D4409" i="3"/>
  <c r="C4409" i="3"/>
  <c r="B4409" i="3"/>
  <c r="D4408" i="3"/>
  <c r="C4408" i="3"/>
  <c r="B4408" i="3"/>
  <c r="D4407" i="3"/>
  <c r="C4407" i="3"/>
  <c r="B4407" i="3"/>
  <c r="D4406" i="3"/>
  <c r="C4406" i="3"/>
  <c r="B4406" i="3"/>
  <c r="D4405" i="3"/>
  <c r="C4405" i="3"/>
  <c r="B4405" i="3"/>
  <c r="D4404" i="3"/>
  <c r="C4404" i="3"/>
  <c r="B4404" i="3"/>
  <c r="D4403" i="3"/>
  <c r="C4403" i="3"/>
  <c r="B4403" i="3"/>
  <c r="D4402" i="3"/>
  <c r="C4402" i="3"/>
  <c r="B4402" i="3"/>
  <c r="D4401" i="3"/>
  <c r="C4401" i="3"/>
  <c r="B4401" i="3"/>
  <c r="D4400" i="3"/>
  <c r="C4400" i="3"/>
  <c r="B4400" i="3"/>
  <c r="D4399" i="3"/>
  <c r="C4399" i="3"/>
  <c r="B4399" i="3"/>
  <c r="D4398" i="3"/>
  <c r="C4398" i="3"/>
  <c r="B4398" i="3"/>
  <c r="D4397" i="3"/>
  <c r="C4397" i="3"/>
  <c r="B4397" i="3"/>
  <c r="D4396" i="3"/>
  <c r="C4396" i="3"/>
  <c r="B4396" i="3"/>
  <c r="D4395" i="3"/>
  <c r="C4395" i="3"/>
  <c r="B4395" i="3"/>
  <c r="D4394" i="3"/>
  <c r="C4394" i="3"/>
  <c r="B4394" i="3"/>
  <c r="D4393" i="3"/>
  <c r="C4393" i="3"/>
  <c r="B4393" i="3"/>
  <c r="D4392" i="3"/>
  <c r="C4392" i="3"/>
  <c r="B4392" i="3"/>
  <c r="D4391" i="3"/>
  <c r="C4391" i="3"/>
  <c r="B4391" i="3"/>
  <c r="D4390" i="3"/>
  <c r="C4390" i="3"/>
  <c r="B4390" i="3"/>
  <c r="D4389" i="3"/>
  <c r="C4389" i="3"/>
  <c r="B4389" i="3"/>
  <c r="D4388" i="3"/>
  <c r="C4388" i="3"/>
  <c r="B4388" i="3"/>
  <c r="D4387" i="3"/>
  <c r="C4387" i="3"/>
  <c r="B4387" i="3"/>
  <c r="D4386" i="3"/>
  <c r="C4386" i="3"/>
  <c r="B4386" i="3"/>
  <c r="D4385" i="3"/>
  <c r="C4385" i="3"/>
  <c r="B4385" i="3"/>
  <c r="D4384" i="3"/>
  <c r="C4384" i="3"/>
  <c r="B4384" i="3"/>
  <c r="D4383" i="3"/>
  <c r="C4383" i="3"/>
  <c r="B4383" i="3"/>
  <c r="D4382" i="3"/>
  <c r="C4382" i="3"/>
  <c r="B4382" i="3"/>
  <c r="D4381" i="3"/>
  <c r="C4381" i="3"/>
  <c r="B4381" i="3"/>
  <c r="D4380" i="3"/>
  <c r="C4380" i="3"/>
  <c r="B4380" i="3"/>
  <c r="D4379" i="3"/>
  <c r="C4379" i="3"/>
  <c r="B4379" i="3"/>
  <c r="D4378" i="3"/>
  <c r="C4378" i="3"/>
  <c r="B4378" i="3"/>
  <c r="D4377" i="3"/>
  <c r="C4377" i="3"/>
  <c r="B4377" i="3"/>
  <c r="D4376" i="3"/>
  <c r="C4376" i="3"/>
  <c r="B4376" i="3"/>
  <c r="D4375" i="3"/>
  <c r="C4375" i="3"/>
  <c r="B4375" i="3"/>
  <c r="D4374" i="3"/>
  <c r="C4374" i="3"/>
  <c r="B4374" i="3"/>
  <c r="D4373" i="3"/>
  <c r="C4373" i="3"/>
  <c r="B4373" i="3"/>
  <c r="D4372" i="3"/>
  <c r="C4372" i="3"/>
  <c r="B4372" i="3"/>
  <c r="D4371" i="3"/>
  <c r="C4371" i="3"/>
  <c r="B4371" i="3"/>
  <c r="D4370" i="3"/>
  <c r="C4370" i="3"/>
  <c r="B4370" i="3"/>
  <c r="D4369" i="3"/>
  <c r="C4369" i="3"/>
  <c r="B4369" i="3"/>
  <c r="D4368" i="3"/>
  <c r="C4368" i="3"/>
  <c r="B4368" i="3"/>
  <c r="D4367" i="3"/>
  <c r="C4367" i="3"/>
  <c r="B4367" i="3"/>
  <c r="D4366" i="3"/>
  <c r="C4366" i="3"/>
  <c r="B4366" i="3"/>
  <c r="D4365" i="3"/>
  <c r="C4365" i="3"/>
  <c r="B4365" i="3"/>
  <c r="D4364" i="3"/>
  <c r="C4364" i="3"/>
  <c r="B4364" i="3"/>
  <c r="D4363" i="3"/>
  <c r="C4363" i="3"/>
  <c r="B4363" i="3"/>
  <c r="D4362" i="3"/>
  <c r="C4362" i="3"/>
  <c r="B4362" i="3"/>
  <c r="D4361" i="3"/>
  <c r="C4361" i="3"/>
  <c r="B4361" i="3"/>
  <c r="D4360" i="3"/>
  <c r="C4360" i="3"/>
  <c r="B4360" i="3"/>
  <c r="D4359" i="3"/>
  <c r="C4359" i="3"/>
  <c r="B4359" i="3"/>
  <c r="D4358" i="3"/>
  <c r="C4358" i="3"/>
  <c r="B4358" i="3"/>
  <c r="D4357" i="3"/>
  <c r="C4357" i="3"/>
  <c r="B4357" i="3"/>
  <c r="D4356" i="3"/>
  <c r="C4356" i="3"/>
  <c r="B4356" i="3"/>
  <c r="D4355" i="3"/>
  <c r="C4355" i="3"/>
  <c r="B4355" i="3"/>
  <c r="D4354" i="3"/>
  <c r="C4354" i="3"/>
  <c r="B4354" i="3"/>
  <c r="D4353" i="3"/>
  <c r="C4353" i="3"/>
  <c r="B4353" i="3"/>
  <c r="D4352" i="3"/>
  <c r="C4352" i="3"/>
  <c r="B4352" i="3"/>
  <c r="D4351" i="3"/>
  <c r="C4351" i="3"/>
  <c r="B4351" i="3"/>
  <c r="D4350" i="3"/>
  <c r="C4350" i="3"/>
  <c r="B4350" i="3"/>
  <c r="D4349" i="3"/>
  <c r="C4349" i="3"/>
  <c r="B4349" i="3"/>
  <c r="D4348" i="3"/>
  <c r="C4348" i="3"/>
  <c r="B4348" i="3"/>
  <c r="D4347" i="3"/>
  <c r="C4347" i="3"/>
  <c r="B4347" i="3"/>
  <c r="D4346" i="3"/>
  <c r="C4346" i="3"/>
  <c r="B4346" i="3"/>
  <c r="D4345" i="3"/>
  <c r="C4345" i="3"/>
  <c r="B4345" i="3"/>
  <c r="D4344" i="3"/>
  <c r="C4344" i="3"/>
  <c r="B4344" i="3"/>
  <c r="D4343" i="3"/>
  <c r="C4343" i="3"/>
  <c r="B4343" i="3"/>
  <c r="D4342" i="3"/>
  <c r="C4342" i="3"/>
  <c r="B4342" i="3"/>
  <c r="D4341" i="3"/>
  <c r="C4341" i="3"/>
  <c r="B4341" i="3"/>
  <c r="D4340" i="3"/>
  <c r="C4340" i="3"/>
  <c r="B4340" i="3"/>
  <c r="D4339" i="3"/>
  <c r="C4339" i="3"/>
  <c r="B4339" i="3"/>
  <c r="D4338" i="3"/>
  <c r="C4338" i="3"/>
  <c r="B4338" i="3"/>
  <c r="D4337" i="3"/>
  <c r="C4337" i="3"/>
  <c r="B4337" i="3"/>
  <c r="D4336" i="3"/>
  <c r="C4336" i="3"/>
  <c r="B4336" i="3"/>
  <c r="D4335" i="3"/>
  <c r="C4335" i="3"/>
  <c r="B4335" i="3"/>
  <c r="D4334" i="3"/>
  <c r="C4334" i="3"/>
  <c r="B4334" i="3"/>
  <c r="D4333" i="3"/>
  <c r="C4333" i="3"/>
  <c r="B4333" i="3"/>
  <c r="D4332" i="3"/>
  <c r="C4332" i="3"/>
  <c r="B4332" i="3"/>
  <c r="D4331" i="3"/>
  <c r="C4331" i="3"/>
  <c r="B4331" i="3"/>
  <c r="D4330" i="3"/>
  <c r="C4330" i="3"/>
  <c r="B4330" i="3"/>
  <c r="D4329" i="3"/>
  <c r="C4329" i="3"/>
  <c r="B4329" i="3"/>
  <c r="D4328" i="3"/>
  <c r="C4328" i="3"/>
  <c r="B4328" i="3"/>
  <c r="D4327" i="3"/>
  <c r="C4327" i="3"/>
  <c r="B4327" i="3"/>
  <c r="D4326" i="3"/>
  <c r="C4326" i="3"/>
  <c r="B4326" i="3"/>
  <c r="D4325" i="3"/>
  <c r="C4325" i="3"/>
  <c r="B4325" i="3"/>
  <c r="D4324" i="3"/>
  <c r="C4324" i="3"/>
  <c r="B4324" i="3"/>
  <c r="D4323" i="3"/>
  <c r="C4323" i="3"/>
  <c r="B4323" i="3"/>
  <c r="D4322" i="3"/>
  <c r="C4322" i="3"/>
  <c r="B4322" i="3"/>
  <c r="D4321" i="3"/>
  <c r="C4321" i="3"/>
  <c r="B4321" i="3"/>
  <c r="D4320" i="3"/>
  <c r="C4320" i="3"/>
  <c r="B4320" i="3"/>
  <c r="D4319" i="3"/>
  <c r="C4319" i="3"/>
  <c r="B4319" i="3"/>
  <c r="D4318" i="3"/>
  <c r="C4318" i="3"/>
  <c r="B4318" i="3"/>
  <c r="D4317" i="3"/>
  <c r="C4317" i="3"/>
  <c r="B4317" i="3"/>
  <c r="D4316" i="3"/>
  <c r="C4316" i="3"/>
  <c r="B4316" i="3"/>
  <c r="D4315" i="3"/>
  <c r="C4315" i="3"/>
  <c r="B4315" i="3"/>
  <c r="D4314" i="3"/>
  <c r="C4314" i="3"/>
  <c r="B4314" i="3"/>
  <c r="D4313" i="3"/>
  <c r="C4313" i="3"/>
  <c r="B4313" i="3"/>
  <c r="D4312" i="3"/>
  <c r="C4312" i="3"/>
  <c r="B4312" i="3"/>
  <c r="D4311" i="3"/>
  <c r="C4311" i="3"/>
  <c r="B4311" i="3"/>
  <c r="D4310" i="3"/>
  <c r="C4310" i="3"/>
  <c r="B4310" i="3"/>
  <c r="D4309" i="3"/>
  <c r="C4309" i="3"/>
  <c r="B4309" i="3"/>
  <c r="D4308" i="3"/>
  <c r="C4308" i="3"/>
  <c r="B4308" i="3"/>
  <c r="D4307" i="3"/>
  <c r="C4307" i="3"/>
  <c r="B4307" i="3"/>
  <c r="D4306" i="3"/>
  <c r="C4306" i="3"/>
  <c r="B4306" i="3"/>
  <c r="D4305" i="3"/>
  <c r="C4305" i="3"/>
  <c r="B4305" i="3"/>
  <c r="D4304" i="3"/>
  <c r="C4304" i="3"/>
  <c r="B4304" i="3"/>
  <c r="D4303" i="3"/>
  <c r="C4303" i="3"/>
  <c r="B4303" i="3"/>
  <c r="D4302" i="3"/>
  <c r="C4302" i="3"/>
  <c r="B4302" i="3"/>
  <c r="D4301" i="3"/>
  <c r="C4301" i="3"/>
  <c r="B4301" i="3"/>
  <c r="D4300" i="3"/>
  <c r="C4300" i="3"/>
  <c r="B4300" i="3"/>
  <c r="D4299" i="3"/>
  <c r="C4299" i="3"/>
  <c r="B4299" i="3"/>
  <c r="D4298" i="3"/>
  <c r="C4298" i="3"/>
  <c r="B4298" i="3"/>
  <c r="D4297" i="3"/>
  <c r="C4297" i="3"/>
  <c r="B4297" i="3"/>
  <c r="D4296" i="3"/>
  <c r="C4296" i="3"/>
  <c r="B4296" i="3"/>
  <c r="D4295" i="3"/>
  <c r="C4295" i="3"/>
  <c r="B4295" i="3"/>
  <c r="D4294" i="3"/>
  <c r="C4294" i="3"/>
  <c r="B4294" i="3"/>
  <c r="D4293" i="3"/>
  <c r="C4293" i="3"/>
  <c r="B4293" i="3"/>
  <c r="D4292" i="3"/>
  <c r="C4292" i="3"/>
  <c r="B4292" i="3"/>
  <c r="D4291" i="3"/>
  <c r="C4291" i="3"/>
  <c r="B4291" i="3"/>
  <c r="D4290" i="3"/>
  <c r="C4290" i="3"/>
  <c r="B4290" i="3"/>
  <c r="D4289" i="3"/>
  <c r="C4289" i="3"/>
  <c r="B4289" i="3"/>
  <c r="D4288" i="3"/>
  <c r="C4288" i="3"/>
  <c r="B4288" i="3"/>
  <c r="D4287" i="3"/>
  <c r="C4287" i="3"/>
  <c r="B4287" i="3"/>
  <c r="D4286" i="3"/>
  <c r="C4286" i="3"/>
  <c r="B4286" i="3"/>
  <c r="D4285" i="3"/>
  <c r="C4285" i="3"/>
  <c r="B4285" i="3"/>
  <c r="D4284" i="3"/>
  <c r="C4284" i="3"/>
  <c r="B4284" i="3"/>
  <c r="D4283" i="3"/>
  <c r="C4283" i="3"/>
  <c r="B4283" i="3"/>
  <c r="D4282" i="3"/>
  <c r="C4282" i="3"/>
  <c r="B4282" i="3"/>
  <c r="D4281" i="3"/>
  <c r="C4281" i="3"/>
  <c r="B4281" i="3"/>
  <c r="D4280" i="3"/>
  <c r="C4280" i="3"/>
  <c r="B4280" i="3"/>
  <c r="D4279" i="3"/>
  <c r="C4279" i="3"/>
  <c r="B4279" i="3"/>
  <c r="D4278" i="3"/>
  <c r="C4278" i="3"/>
  <c r="B4278" i="3"/>
  <c r="D4277" i="3"/>
  <c r="C4277" i="3"/>
  <c r="B4277" i="3"/>
  <c r="D4276" i="3"/>
  <c r="C4276" i="3"/>
  <c r="B4276" i="3"/>
  <c r="D4275" i="3"/>
  <c r="C4275" i="3"/>
  <c r="B4275" i="3"/>
  <c r="D4274" i="3"/>
  <c r="C4274" i="3"/>
  <c r="B4274" i="3"/>
  <c r="D4273" i="3"/>
  <c r="C4273" i="3"/>
  <c r="B4273" i="3"/>
  <c r="D4272" i="3"/>
  <c r="C4272" i="3"/>
  <c r="B4272" i="3"/>
  <c r="D4271" i="3"/>
  <c r="C4271" i="3"/>
  <c r="B4271" i="3"/>
  <c r="D4270" i="3"/>
  <c r="C4270" i="3"/>
  <c r="B4270" i="3"/>
  <c r="D4269" i="3"/>
  <c r="C4269" i="3"/>
  <c r="B4269" i="3"/>
  <c r="D4268" i="3"/>
  <c r="C4268" i="3"/>
  <c r="B4268" i="3"/>
  <c r="D4267" i="3"/>
  <c r="C4267" i="3"/>
  <c r="B4267" i="3"/>
  <c r="D4266" i="3"/>
  <c r="C4266" i="3"/>
  <c r="B4266" i="3"/>
  <c r="D4265" i="3"/>
  <c r="C4265" i="3"/>
  <c r="B4265" i="3"/>
  <c r="D4264" i="3"/>
  <c r="C4264" i="3"/>
  <c r="B4264" i="3"/>
  <c r="D4263" i="3"/>
  <c r="C4263" i="3"/>
  <c r="B4263" i="3"/>
  <c r="D4262" i="3"/>
  <c r="C4262" i="3"/>
  <c r="B4262" i="3"/>
  <c r="D4261" i="3"/>
  <c r="C4261" i="3"/>
  <c r="B4261" i="3"/>
  <c r="D4260" i="3"/>
  <c r="C4260" i="3"/>
  <c r="B4260" i="3"/>
  <c r="D4259" i="3"/>
  <c r="C4259" i="3"/>
  <c r="B4259" i="3"/>
  <c r="D4258" i="3"/>
  <c r="C4258" i="3"/>
  <c r="B4258" i="3"/>
  <c r="D4257" i="3"/>
  <c r="C4257" i="3"/>
  <c r="B4257" i="3"/>
  <c r="D4256" i="3"/>
  <c r="C4256" i="3"/>
  <c r="B4256" i="3"/>
  <c r="D4255" i="3"/>
  <c r="C4255" i="3"/>
  <c r="B4255" i="3"/>
  <c r="D4254" i="3"/>
  <c r="C4254" i="3"/>
  <c r="B4254" i="3"/>
  <c r="D4253" i="3"/>
  <c r="C4253" i="3"/>
  <c r="B4253" i="3"/>
  <c r="D4252" i="3"/>
  <c r="C4252" i="3"/>
  <c r="B4252" i="3"/>
  <c r="D4251" i="3"/>
  <c r="C4251" i="3"/>
  <c r="B4251" i="3"/>
  <c r="D4250" i="3"/>
  <c r="C4250" i="3"/>
  <c r="B4250" i="3"/>
  <c r="D4249" i="3"/>
  <c r="C4249" i="3"/>
  <c r="B4249" i="3"/>
  <c r="D4248" i="3"/>
  <c r="C4248" i="3"/>
  <c r="B4248" i="3"/>
  <c r="D4247" i="3"/>
  <c r="C4247" i="3"/>
  <c r="B4247" i="3"/>
  <c r="D4246" i="3"/>
  <c r="C4246" i="3"/>
  <c r="B4246" i="3"/>
  <c r="D4245" i="3"/>
  <c r="C4245" i="3"/>
  <c r="B4245" i="3"/>
  <c r="D4244" i="3"/>
  <c r="C4244" i="3"/>
  <c r="B4244" i="3"/>
  <c r="D4243" i="3"/>
  <c r="C4243" i="3"/>
  <c r="B4243" i="3"/>
  <c r="D4242" i="3"/>
  <c r="C4242" i="3"/>
  <c r="B4242" i="3"/>
  <c r="D4241" i="3"/>
  <c r="C4241" i="3"/>
  <c r="B4241" i="3"/>
  <c r="D4240" i="3"/>
  <c r="C4240" i="3"/>
  <c r="B4240" i="3"/>
  <c r="D4239" i="3"/>
  <c r="C4239" i="3"/>
  <c r="B4239" i="3"/>
  <c r="D4238" i="3"/>
  <c r="C4238" i="3"/>
  <c r="B4238" i="3"/>
  <c r="D4237" i="3"/>
  <c r="C4237" i="3"/>
  <c r="B4237" i="3"/>
  <c r="D4236" i="3"/>
  <c r="C4236" i="3"/>
  <c r="B4236" i="3"/>
  <c r="D4235" i="3"/>
  <c r="C4235" i="3"/>
  <c r="B4235" i="3"/>
  <c r="D4234" i="3"/>
  <c r="C4234" i="3"/>
  <c r="B4234" i="3"/>
  <c r="D4233" i="3"/>
  <c r="C4233" i="3"/>
  <c r="B4233" i="3"/>
  <c r="D4232" i="3"/>
  <c r="C4232" i="3"/>
  <c r="B4232" i="3"/>
  <c r="D4231" i="3"/>
  <c r="C4231" i="3"/>
  <c r="B4231" i="3"/>
  <c r="D4230" i="3"/>
  <c r="C4230" i="3"/>
  <c r="B4230" i="3"/>
  <c r="D4229" i="3"/>
  <c r="C4229" i="3"/>
  <c r="B4229" i="3"/>
  <c r="D4228" i="3"/>
  <c r="C4228" i="3"/>
  <c r="B4228" i="3"/>
  <c r="D4227" i="3"/>
  <c r="C4227" i="3"/>
  <c r="B4227" i="3"/>
  <c r="D4226" i="3"/>
  <c r="C4226" i="3"/>
  <c r="B4226" i="3"/>
  <c r="D4225" i="3"/>
  <c r="C4225" i="3"/>
  <c r="B4225" i="3"/>
  <c r="D4224" i="3"/>
  <c r="C4224" i="3"/>
  <c r="B4224" i="3"/>
  <c r="D4223" i="3"/>
  <c r="C4223" i="3"/>
  <c r="B4223" i="3"/>
  <c r="D4222" i="3"/>
  <c r="C4222" i="3"/>
  <c r="B4222" i="3"/>
  <c r="D4221" i="3"/>
  <c r="C4221" i="3"/>
  <c r="B4221" i="3"/>
  <c r="D4220" i="3"/>
  <c r="C4220" i="3"/>
  <c r="B4220" i="3"/>
  <c r="D4219" i="3"/>
  <c r="C4219" i="3"/>
  <c r="B4219" i="3"/>
  <c r="D4218" i="3"/>
  <c r="C4218" i="3"/>
  <c r="B4218" i="3"/>
  <c r="D4217" i="3"/>
  <c r="C4217" i="3"/>
  <c r="B4217" i="3"/>
  <c r="D4216" i="3"/>
  <c r="C4216" i="3"/>
  <c r="B4216" i="3"/>
  <c r="D4215" i="3"/>
  <c r="C4215" i="3"/>
  <c r="B4215" i="3"/>
  <c r="D4214" i="3"/>
  <c r="C4214" i="3"/>
  <c r="B4214" i="3"/>
  <c r="D4213" i="3"/>
  <c r="C4213" i="3"/>
  <c r="B4213" i="3"/>
  <c r="D4212" i="3"/>
  <c r="C4212" i="3"/>
  <c r="B4212" i="3"/>
  <c r="D4211" i="3"/>
  <c r="C4211" i="3"/>
  <c r="B4211" i="3"/>
  <c r="D4210" i="3"/>
  <c r="C4210" i="3"/>
  <c r="B4210" i="3"/>
  <c r="D4209" i="3"/>
  <c r="C4209" i="3"/>
  <c r="B4209" i="3"/>
  <c r="D4208" i="3"/>
  <c r="C4208" i="3"/>
  <c r="B4208" i="3"/>
  <c r="D4207" i="3"/>
  <c r="C4207" i="3"/>
  <c r="B4207" i="3"/>
  <c r="D4206" i="3"/>
  <c r="C4206" i="3"/>
  <c r="B4206" i="3"/>
  <c r="D4205" i="3"/>
  <c r="C4205" i="3"/>
  <c r="B4205" i="3"/>
  <c r="D4204" i="3"/>
  <c r="C4204" i="3"/>
  <c r="B4204" i="3"/>
  <c r="D4203" i="3"/>
  <c r="C4203" i="3"/>
  <c r="B4203" i="3"/>
  <c r="D4202" i="3"/>
  <c r="C4202" i="3"/>
  <c r="B4202" i="3"/>
  <c r="D4201" i="3"/>
  <c r="C4201" i="3"/>
  <c r="B4201" i="3"/>
  <c r="D4200" i="3"/>
  <c r="C4200" i="3"/>
  <c r="B4200" i="3"/>
  <c r="D4199" i="3"/>
  <c r="C4199" i="3"/>
  <c r="B4199" i="3"/>
  <c r="D4198" i="3"/>
  <c r="C4198" i="3"/>
  <c r="B4198" i="3"/>
  <c r="D4197" i="3"/>
  <c r="C4197" i="3"/>
  <c r="B4197" i="3"/>
  <c r="D4196" i="3"/>
  <c r="C4196" i="3"/>
  <c r="B4196" i="3"/>
  <c r="D4195" i="3"/>
  <c r="C4195" i="3"/>
  <c r="B4195" i="3"/>
  <c r="D4194" i="3"/>
  <c r="C4194" i="3"/>
  <c r="B4194" i="3"/>
  <c r="D4193" i="3"/>
  <c r="C4193" i="3"/>
  <c r="B4193" i="3"/>
  <c r="D4192" i="3"/>
  <c r="C4192" i="3"/>
  <c r="B4192" i="3"/>
  <c r="D4191" i="3"/>
  <c r="C4191" i="3"/>
  <c r="B4191" i="3"/>
  <c r="D4190" i="3"/>
  <c r="C4190" i="3"/>
  <c r="B4190" i="3"/>
  <c r="D4189" i="3"/>
  <c r="C4189" i="3"/>
  <c r="B4189" i="3"/>
  <c r="D4188" i="3"/>
  <c r="C4188" i="3"/>
  <c r="B4188" i="3"/>
  <c r="D4187" i="3"/>
  <c r="C4187" i="3"/>
  <c r="B4187" i="3"/>
  <c r="D4186" i="3"/>
  <c r="C4186" i="3"/>
  <c r="B4186" i="3"/>
  <c r="D4185" i="3"/>
  <c r="C4185" i="3"/>
  <c r="B4185" i="3"/>
  <c r="D4184" i="3"/>
  <c r="C4184" i="3"/>
  <c r="B4184" i="3"/>
  <c r="D4183" i="3"/>
  <c r="C4183" i="3"/>
  <c r="B4183" i="3"/>
  <c r="D4182" i="3"/>
  <c r="C4182" i="3"/>
  <c r="B4182" i="3"/>
  <c r="D4181" i="3"/>
  <c r="C4181" i="3"/>
  <c r="B4181" i="3"/>
  <c r="D4180" i="3"/>
  <c r="C4180" i="3"/>
  <c r="B4180" i="3"/>
  <c r="D4179" i="3"/>
  <c r="C4179" i="3"/>
  <c r="B4179" i="3"/>
  <c r="D4178" i="3"/>
  <c r="C4178" i="3"/>
  <c r="B4178" i="3"/>
  <c r="D4177" i="3"/>
  <c r="C4177" i="3"/>
  <c r="B4177" i="3"/>
  <c r="D4176" i="3"/>
  <c r="C4176" i="3"/>
  <c r="B4176" i="3"/>
  <c r="D4175" i="3"/>
  <c r="C4175" i="3"/>
  <c r="B4175" i="3"/>
  <c r="D4174" i="3"/>
  <c r="C4174" i="3"/>
  <c r="B4174" i="3"/>
  <c r="D4173" i="3"/>
  <c r="C4173" i="3"/>
  <c r="B4173" i="3"/>
  <c r="D4172" i="3"/>
  <c r="C4172" i="3"/>
  <c r="B4172" i="3"/>
  <c r="D4171" i="3"/>
  <c r="C4171" i="3"/>
  <c r="B4171" i="3"/>
  <c r="D4170" i="3"/>
  <c r="C4170" i="3"/>
  <c r="B4170" i="3"/>
  <c r="D4169" i="3"/>
  <c r="C4169" i="3"/>
  <c r="B4169" i="3"/>
  <c r="D4168" i="3"/>
  <c r="C4168" i="3"/>
  <c r="B4168" i="3"/>
  <c r="D4167" i="3"/>
  <c r="C4167" i="3"/>
  <c r="B4167" i="3"/>
  <c r="D4166" i="3"/>
  <c r="C4166" i="3"/>
  <c r="B4166" i="3"/>
  <c r="D4165" i="3"/>
  <c r="C4165" i="3"/>
  <c r="B4165" i="3"/>
  <c r="D4164" i="3"/>
  <c r="C4164" i="3"/>
  <c r="B4164" i="3"/>
  <c r="D4163" i="3"/>
  <c r="C4163" i="3"/>
  <c r="B4163" i="3"/>
  <c r="D4162" i="3"/>
  <c r="C4162" i="3"/>
  <c r="B4162" i="3"/>
  <c r="D4161" i="3"/>
  <c r="C4161" i="3"/>
  <c r="B4161" i="3"/>
  <c r="D4160" i="3"/>
  <c r="C4160" i="3"/>
  <c r="B4160" i="3"/>
  <c r="D4159" i="3"/>
  <c r="C4159" i="3"/>
  <c r="B4159" i="3"/>
  <c r="D4158" i="3"/>
  <c r="C4158" i="3"/>
  <c r="B4158" i="3"/>
  <c r="D4157" i="3"/>
  <c r="C4157" i="3"/>
  <c r="B4157" i="3"/>
  <c r="D4156" i="3"/>
  <c r="C4156" i="3"/>
  <c r="B4156" i="3"/>
  <c r="D4155" i="3"/>
  <c r="C4155" i="3"/>
  <c r="B4155" i="3"/>
  <c r="D4154" i="3"/>
  <c r="C4154" i="3"/>
  <c r="B4154" i="3"/>
  <c r="D4153" i="3"/>
  <c r="C4153" i="3"/>
  <c r="B4153" i="3"/>
  <c r="D4152" i="3"/>
  <c r="C4152" i="3"/>
  <c r="B4152" i="3"/>
  <c r="D4151" i="3"/>
  <c r="C4151" i="3"/>
  <c r="B4151" i="3"/>
  <c r="D4150" i="3"/>
  <c r="C4150" i="3"/>
  <c r="B4150" i="3"/>
  <c r="D4149" i="3"/>
  <c r="C4149" i="3"/>
  <c r="B4149" i="3"/>
  <c r="D4148" i="3"/>
  <c r="C4148" i="3"/>
  <c r="B4148" i="3"/>
  <c r="D4147" i="3"/>
  <c r="C4147" i="3"/>
  <c r="B4147" i="3"/>
  <c r="D4146" i="3"/>
  <c r="C4146" i="3"/>
  <c r="B4146" i="3"/>
  <c r="D4145" i="3"/>
  <c r="C4145" i="3"/>
  <c r="B4145" i="3"/>
  <c r="D4144" i="3"/>
  <c r="C4144" i="3"/>
  <c r="B4144" i="3"/>
  <c r="D4143" i="3"/>
  <c r="C4143" i="3"/>
  <c r="B4143" i="3"/>
  <c r="D4142" i="3"/>
  <c r="C4142" i="3"/>
  <c r="B4142" i="3"/>
  <c r="D4141" i="3"/>
  <c r="C4141" i="3"/>
  <c r="B4141" i="3"/>
  <c r="D4140" i="3"/>
  <c r="C4140" i="3"/>
  <c r="B4140" i="3"/>
  <c r="D4139" i="3"/>
  <c r="C4139" i="3"/>
  <c r="B4139" i="3"/>
  <c r="D4138" i="3"/>
  <c r="C4138" i="3"/>
  <c r="B4138" i="3"/>
  <c r="D4137" i="3"/>
  <c r="C4137" i="3"/>
  <c r="B4137" i="3"/>
  <c r="D4136" i="3"/>
  <c r="C4136" i="3"/>
  <c r="B4136" i="3"/>
  <c r="D4135" i="3"/>
  <c r="C4135" i="3"/>
  <c r="B4135" i="3"/>
  <c r="D4134" i="3"/>
  <c r="C4134" i="3"/>
  <c r="B4134" i="3"/>
  <c r="D4133" i="3"/>
  <c r="C4133" i="3"/>
  <c r="B4133" i="3"/>
  <c r="D4132" i="3"/>
  <c r="C4132" i="3"/>
  <c r="B4132" i="3"/>
  <c r="D4131" i="3"/>
  <c r="C4131" i="3"/>
  <c r="B4131" i="3"/>
  <c r="D4130" i="3"/>
  <c r="C4130" i="3"/>
  <c r="B4130" i="3"/>
  <c r="D4129" i="3"/>
  <c r="C4129" i="3"/>
  <c r="B4129" i="3"/>
  <c r="D4128" i="3"/>
  <c r="C4128" i="3"/>
  <c r="B4128" i="3"/>
  <c r="D4127" i="3"/>
  <c r="C4127" i="3"/>
  <c r="B4127" i="3"/>
  <c r="D4126" i="3"/>
  <c r="C4126" i="3"/>
  <c r="B4126" i="3"/>
  <c r="D4125" i="3"/>
  <c r="C4125" i="3"/>
  <c r="B4125" i="3"/>
  <c r="D4124" i="3"/>
  <c r="C4124" i="3"/>
  <c r="B4124" i="3"/>
  <c r="D4123" i="3"/>
  <c r="C4123" i="3"/>
  <c r="B4123" i="3"/>
  <c r="D4122" i="3"/>
  <c r="C4122" i="3"/>
  <c r="B4122" i="3"/>
  <c r="D4121" i="3"/>
  <c r="C4121" i="3"/>
  <c r="B4121" i="3"/>
  <c r="D4120" i="3"/>
  <c r="C4120" i="3"/>
  <c r="B4120" i="3"/>
  <c r="D4119" i="3"/>
  <c r="C4119" i="3"/>
  <c r="B4119" i="3"/>
  <c r="D4118" i="3"/>
  <c r="C4118" i="3"/>
  <c r="B4118" i="3"/>
  <c r="D4117" i="3"/>
  <c r="C4117" i="3"/>
  <c r="B4117" i="3"/>
  <c r="D4116" i="3"/>
  <c r="C4116" i="3"/>
  <c r="B4116" i="3"/>
  <c r="D4115" i="3"/>
  <c r="C4115" i="3"/>
  <c r="B4115" i="3"/>
  <c r="D4114" i="3"/>
  <c r="C4114" i="3"/>
  <c r="B4114" i="3"/>
  <c r="D4113" i="3"/>
  <c r="C4113" i="3"/>
  <c r="B4113" i="3"/>
  <c r="D4112" i="3"/>
  <c r="C4112" i="3"/>
  <c r="B4112" i="3"/>
  <c r="D4111" i="3"/>
  <c r="C4111" i="3"/>
  <c r="B4111" i="3"/>
  <c r="D4110" i="3"/>
  <c r="C4110" i="3"/>
  <c r="B4110" i="3"/>
  <c r="D4109" i="3"/>
  <c r="C4109" i="3"/>
  <c r="B4109" i="3"/>
  <c r="D4108" i="3"/>
  <c r="C4108" i="3"/>
  <c r="B4108" i="3"/>
  <c r="D4107" i="3"/>
  <c r="C4107" i="3"/>
  <c r="B4107" i="3"/>
  <c r="D4106" i="3"/>
  <c r="C4106" i="3"/>
  <c r="B4106" i="3"/>
  <c r="D4105" i="3"/>
  <c r="C4105" i="3"/>
  <c r="B4105" i="3"/>
  <c r="D4104" i="3"/>
  <c r="C4104" i="3"/>
  <c r="B4104" i="3"/>
  <c r="D4103" i="3"/>
  <c r="C4103" i="3"/>
  <c r="B4103" i="3"/>
  <c r="D4102" i="3"/>
  <c r="C4102" i="3"/>
  <c r="B4102" i="3"/>
  <c r="D4101" i="3"/>
  <c r="C4101" i="3"/>
  <c r="B4101" i="3"/>
  <c r="D4100" i="3"/>
  <c r="C4100" i="3"/>
  <c r="B4100" i="3"/>
  <c r="D4099" i="3"/>
  <c r="C4099" i="3"/>
  <c r="B4099" i="3"/>
  <c r="D4098" i="3"/>
  <c r="C4098" i="3"/>
  <c r="B4098" i="3"/>
  <c r="D4097" i="3"/>
  <c r="C4097" i="3"/>
  <c r="B4097" i="3"/>
  <c r="D4096" i="3"/>
  <c r="C4096" i="3"/>
  <c r="B4096" i="3"/>
  <c r="D4095" i="3"/>
  <c r="C4095" i="3"/>
  <c r="B4095" i="3"/>
  <c r="D4094" i="3"/>
  <c r="C4094" i="3"/>
  <c r="B4094" i="3"/>
  <c r="D4093" i="3"/>
  <c r="C4093" i="3"/>
  <c r="B4093" i="3"/>
  <c r="D4092" i="3"/>
  <c r="C4092" i="3"/>
  <c r="B4092" i="3"/>
  <c r="D4091" i="3"/>
  <c r="C4091" i="3"/>
  <c r="B4091" i="3"/>
  <c r="D4090" i="3"/>
  <c r="C4090" i="3"/>
  <c r="B4090" i="3"/>
  <c r="D4089" i="3"/>
  <c r="C4089" i="3"/>
  <c r="B4089" i="3"/>
  <c r="D4088" i="3"/>
  <c r="C4088" i="3"/>
  <c r="B4088" i="3"/>
  <c r="D4087" i="3"/>
  <c r="C4087" i="3"/>
  <c r="B4087" i="3"/>
  <c r="D4086" i="3"/>
  <c r="C4086" i="3"/>
  <c r="B4086" i="3"/>
  <c r="D4085" i="3"/>
  <c r="C4085" i="3"/>
  <c r="B4085" i="3"/>
  <c r="D4084" i="3"/>
  <c r="C4084" i="3"/>
  <c r="B4084" i="3"/>
  <c r="D4083" i="3"/>
  <c r="C4083" i="3"/>
  <c r="B4083" i="3"/>
  <c r="D4082" i="3"/>
  <c r="C4082" i="3"/>
  <c r="B4082" i="3"/>
  <c r="D4081" i="3"/>
  <c r="C4081" i="3"/>
  <c r="B4081" i="3"/>
  <c r="D4080" i="3"/>
  <c r="C4080" i="3"/>
  <c r="B4080" i="3"/>
  <c r="D4079" i="3"/>
  <c r="C4079" i="3"/>
  <c r="B4079" i="3"/>
  <c r="D4078" i="3"/>
  <c r="C4078" i="3"/>
  <c r="B4078" i="3"/>
  <c r="D4077" i="3"/>
  <c r="C4077" i="3"/>
  <c r="B4077" i="3"/>
  <c r="D4076" i="3"/>
  <c r="C4076" i="3"/>
  <c r="B4076" i="3"/>
  <c r="D4075" i="3"/>
  <c r="C4075" i="3"/>
  <c r="B4075" i="3"/>
  <c r="D4074" i="3"/>
  <c r="C4074" i="3"/>
  <c r="B4074" i="3"/>
  <c r="D4073" i="3"/>
  <c r="C4073" i="3"/>
  <c r="B4073" i="3"/>
  <c r="D4072" i="3"/>
  <c r="C4072" i="3"/>
  <c r="B4072" i="3"/>
  <c r="D4071" i="3"/>
  <c r="C4071" i="3"/>
  <c r="B4071" i="3"/>
  <c r="D4070" i="3"/>
  <c r="C4070" i="3"/>
  <c r="B4070" i="3"/>
  <c r="D4069" i="3"/>
  <c r="C4069" i="3"/>
  <c r="B4069" i="3"/>
  <c r="D4068" i="3"/>
  <c r="C4068" i="3"/>
  <c r="B4068" i="3"/>
  <c r="D4067" i="3"/>
  <c r="C4067" i="3"/>
  <c r="B4067" i="3"/>
  <c r="D4066" i="3"/>
  <c r="C4066" i="3"/>
  <c r="B4066" i="3"/>
  <c r="D4065" i="3"/>
  <c r="C4065" i="3"/>
  <c r="B4065" i="3"/>
  <c r="D4064" i="3"/>
  <c r="C4064" i="3"/>
  <c r="B4064" i="3"/>
  <c r="D4063" i="3"/>
  <c r="C4063" i="3"/>
  <c r="B4063" i="3"/>
  <c r="D4062" i="3"/>
  <c r="C4062" i="3"/>
  <c r="B4062" i="3"/>
  <c r="D4061" i="3"/>
  <c r="C4061" i="3"/>
  <c r="B4061" i="3"/>
  <c r="D4060" i="3"/>
  <c r="C4060" i="3"/>
  <c r="B4060" i="3"/>
  <c r="D4059" i="3"/>
  <c r="C4059" i="3"/>
  <c r="B4059" i="3"/>
  <c r="D4058" i="3"/>
  <c r="C4058" i="3"/>
  <c r="B4058" i="3"/>
  <c r="D4057" i="3"/>
  <c r="C4057" i="3"/>
  <c r="B4057" i="3"/>
  <c r="D4056" i="3"/>
  <c r="C4056" i="3"/>
  <c r="B4056" i="3"/>
  <c r="D4055" i="3"/>
  <c r="C4055" i="3"/>
  <c r="B4055" i="3"/>
  <c r="D4054" i="3"/>
  <c r="C4054" i="3"/>
  <c r="B4054" i="3"/>
  <c r="D4053" i="3"/>
  <c r="C4053" i="3"/>
  <c r="B4053" i="3"/>
  <c r="D4052" i="3"/>
  <c r="C4052" i="3"/>
  <c r="B4052" i="3"/>
  <c r="D4051" i="3"/>
  <c r="C4051" i="3"/>
  <c r="B4051" i="3"/>
  <c r="D4050" i="3"/>
  <c r="C4050" i="3"/>
  <c r="B4050" i="3"/>
  <c r="D4049" i="3"/>
  <c r="C4049" i="3"/>
  <c r="B4049" i="3"/>
  <c r="D4048" i="3"/>
  <c r="C4048" i="3"/>
  <c r="B4048" i="3"/>
  <c r="D4047" i="3"/>
  <c r="C4047" i="3"/>
  <c r="B4047" i="3"/>
  <c r="D4046" i="3"/>
  <c r="C4046" i="3"/>
  <c r="B4046" i="3"/>
  <c r="D4045" i="3"/>
  <c r="C4045" i="3"/>
  <c r="B4045" i="3"/>
  <c r="D4044" i="3"/>
  <c r="C4044" i="3"/>
  <c r="B4044" i="3"/>
  <c r="D4043" i="3"/>
  <c r="C4043" i="3"/>
  <c r="B4043" i="3"/>
  <c r="D4042" i="3"/>
  <c r="C4042" i="3"/>
  <c r="B4042" i="3"/>
  <c r="D4041" i="3"/>
  <c r="C4041" i="3"/>
  <c r="B4041" i="3"/>
  <c r="D4040" i="3"/>
  <c r="C4040" i="3"/>
  <c r="B4040" i="3"/>
  <c r="D4039" i="3"/>
  <c r="C4039" i="3"/>
  <c r="B4039" i="3"/>
  <c r="D4038" i="3"/>
  <c r="C4038" i="3"/>
  <c r="B4038" i="3"/>
  <c r="D4037" i="3"/>
  <c r="C4037" i="3"/>
  <c r="B4037" i="3"/>
  <c r="D4036" i="3"/>
  <c r="C4036" i="3"/>
  <c r="B4036" i="3"/>
  <c r="D4035" i="3"/>
  <c r="C4035" i="3"/>
  <c r="B4035" i="3"/>
  <c r="D4034" i="3"/>
  <c r="C4034" i="3"/>
  <c r="B4034" i="3"/>
  <c r="D4033" i="3"/>
  <c r="C4033" i="3"/>
  <c r="B4033" i="3"/>
  <c r="D4032" i="3"/>
  <c r="C4032" i="3"/>
  <c r="B4032" i="3"/>
  <c r="D4031" i="3"/>
  <c r="C4031" i="3"/>
  <c r="B4031" i="3"/>
  <c r="D4030" i="3"/>
  <c r="C4030" i="3"/>
  <c r="B4030" i="3"/>
  <c r="D4029" i="3"/>
  <c r="C4029" i="3"/>
  <c r="B4029" i="3"/>
  <c r="D4028" i="3"/>
  <c r="C4028" i="3"/>
  <c r="B4028" i="3"/>
  <c r="D4027" i="3"/>
  <c r="C4027" i="3"/>
  <c r="B4027" i="3"/>
  <c r="D4026" i="3"/>
  <c r="C4026" i="3"/>
  <c r="B4026" i="3"/>
  <c r="D4025" i="3"/>
  <c r="C4025" i="3"/>
  <c r="B4025" i="3"/>
  <c r="D4024" i="3"/>
  <c r="C4024" i="3"/>
  <c r="B4024" i="3"/>
  <c r="D4023" i="3"/>
  <c r="C4023" i="3"/>
  <c r="B4023" i="3"/>
  <c r="D4022" i="3"/>
  <c r="C4022" i="3"/>
  <c r="B4022" i="3"/>
  <c r="D4021" i="3"/>
  <c r="C4021" i="3"/>
  <c r="B4021" i="3"/>
  <c r="D4020" i="3"/>
  <c r="C4020" i="3"/>
  <c r="B4020" i="3"/>
  <c r="D4019" i="3"/>
  <c r="C4019" i="3"/>
  <c r="B4019" i="3"/>
  <c r="D4018" i="3"/>
  <c r="C4018" i="3"/>
  <c r="B4018" i="3"/>
  <c r="D4017" i="3"/>
  <c r="C4017" i="3"/>
  <c r="B4017" i="3"/>
  <c r="D4016" i="3"/>
  <c r="C4016" i="3"/>
  <c r="B4016" i="3"/>
  <c r="D4015" i="3"/>
  <c r="C4015" i="3"/>
  <c r="B4015" i="3"/>
  <c r="D4014" i="3"/>
  <c r="C4014" i="3"/>
  <c r="B4014" i="3"/>
  <c r="D4013" i="3"/>
  <c r="C4013" i="3"/>
  <c r="B4013" i="3"/>
  <c r="D4012" i="3"/>
  <c r="C4012" i="3"/>
  <c r="B4012" i="3"/>
  <c r="D4011" i="3"/>
  <c r="C4011" i="3"/>
  <c r="B4011" i="3"/>
  <c r="D4010" i="3"/>
  <c r="C4010" i="3"/>
  <c r="B4010" i="3"/>
  <c r="D4009" i="3"/>
  <c r="C4009" i="3"/>
  <c r="B4009" i="3"/>
  <c r="D4008" i="3"/>
  <c r="C4008" i="3"/>
  <c r="B4008" i="3"/>
  <c r="D4007" i="3"/>
  <c r="C4007" i="3"/>
  <c r="B4007" i="3"/>
  <c r="D4006" i="3"/>
  <c r="C4006" i="3"/>
  <c r="B4006" i="3"/>
  <c r="D4005" i="3"/>
  <c r="C4005" i="3"/>
  <c r="B4005" i="3"/>
  <c r="D4004" i="3"/>
  <c r="C4004" i="3"/>
  <c r="B4004" i="3"/>
  <c r="D4003" i="3"/>
  <c r="C4003" i="3"/>
  <c r="B4003" i="3"/>
  <c r="D4002" i="3"/>
  <c r="C4002" i="3"/>
  <c r="B4002" i="3"/>
  <c r="D4001" i="3"/>
  <c r="C4001" i="3"/>
  <c r="B4001" i="3"/>
  <c r="D4000" i="3"/>
  <c r="C4000" i="3"/>
  <c r="B4000" i="3"/>
  <c r="D3999" i="3"/>
  <c r="C3999" i="3"/>
  <c r="B3999" i="3"/>
  <c r="D3998" i="3"/>
  <c r="C3998" i="3"/>
  <c r="B3998" i="3"/>
  <c r="D3997" i="3"/>
  <c r="C3997" i="3"/>
  <c r="B3997" i="3"/>
  <c r="D3996" i="3"/>
  <c r="C3996" i="3"/>
  <c r="B3996" i="3"/>
  <c r="D3995" i="3"/>
  <c r="C3995" i="3"/>
  <c r="B3995" i="3"/>
  <c r="D3994" i="3"/>
  <c r="C3994" i="3"/>
  <c r="B3994" i="3"/>
  <c r="D3993" i="3"/>
  <c r="C3993" i="3"/>
  <c r="B3993" i="3"/>
  <c r="D3992" i="3"/>
  <c r="C3992" i="3"/>
  <c r="B3992" i="3"/>
  <c r="D3991" i="3"/>
  <c r="C3991" i="3"/>
  <c r="B3991" i="3"/>
  <c r="D3990" i="3"/>
  <c r="C3990" i="3"/>
  <c r="B3990" i="3"/>
  <c r="D3989" i="3"/>
  <c r="C3989" i="3"/>
  <c r="B3989" i="3"/>
  <c r="D3988" i="3"/>
  <c r="C3988" i="3"/>
  <c r="B3988" i="3"/>
  <c r="D3987" i="3"/>
  <c r="C3987" i="3"/>
  <c r="B3987" i="3"/>
  <c r="D3986" i="3"/>
  <c r="C3986" i="3"/>
  <c r="B3986" i="3"/>
  <c r="D3985" i="3"/>
  <c r="C3985" i="3"/>
  <c r="B3985" i="3"/>
  <c r="D3984" i="3"/>
  <c r="C3984" i="3"/>
  <c r="B3984" i="3"/>
  <c r="D3983" i="3"/>
  <c r="C3983" i="3"/>
  <c r="B3983" i="3"/>
  <c r="D3982" i="3"/>
  <c r="C3982" i="3"/>
  <c r="B3982" i="3"/>
  <c r="D3981" i="3"/>
  <c r="C3981" i="3"/>
  <c r="B3981" i="3"/>
  <c r="D3980" i="3"/>
  <c r="C3980" i="3"/>
  <c r="B3980" i="3"/>
  <c r="D3979" i="3"/>
  <c r="C3979" i="3"/>
  <c r="B3979" i="3"/>
  <c r="D3978" i="3"/>
  <c r="C3978" i="3"/>
  <c r="B3978" i="3"/>
  <c r="D3977" i="3"/>
  <c r="C3977" i="3"/>
  <c r="B3977" i="3"/>
  <c r="D3976" i="3"/>
  <c r="C3976" i="3"/>
  <c r="B3976" i="3"/>
  <c r="D3975" i="3"/>
  <c r="C3975" i="3"/>
  <c r="B3975" i="3"/>
  <c r="D3974" i="3"/>
  <c r="C3974" i="3"/>
  <c r="B3974" i="3"/>
  <c r="D3973" i="3"/>
  <c r="C3973" i="3"/>
  <c r="B3973" i="3"/>
  <c r="D3972" i="3"/>
  <c r="C3972" i="3"/>
  <c r="B3972" i="3"/>
  <c r="D3971" i="3"/>
  <c r="C3971" i="3"/>
  <c r="B3971" i="3"/>
  <c r="D3970" i="3"/>
  <c r="C3970" i="3"/>
  <c r="B3970" i="3"/>
  <c r="D3969" i="3"/>
  <c r="C3969" i="3"/>
  <c r="B3969" i="3"/>
  <c r="D3968" i="3"/>
  <c r="C3968" i="3"/>
  <c r="B3968" i="3"/>
  <c r="D3967" i="3"/>
  <c r="C3967" i="3"/>
  <c r="B3967" i="3"/>
  <c r="D3966" i="3"/>
  <c r="C3966" i="3"/>
  <c r="B3966" i="3"/>
  <c r="D3965" i="3"/>
  <c r="C3965" i="3"/>
  <c r="B3965" i="3"/>
  <c r="D3964" i="3"/>
  <c r="C3964" i="3"/>
  <c r="B3964" i="3"/>
  <c r="D3963" i="3"/>
  <c r="C3963" i="3"/>
  <c r="B3963" i="3"/>
  <c r="D3962" i="3"/>
  <c r="C3962" i="3"/>
  <c r="B3962" i="3"/>
  <c r="D3961" i="3"/>
  <c r="C3961" i="3"/>
  <c r="B3961" i="3"/>
  <c r="D3960" i="3"/>
  <c r="C3960" i="3"/>
  <c r="B3960" i="3"/>
  <c r="D3959" i="3"/>
  <c r="C3959" i="3"/>
  <c r="B3959" i="3"/>
  <c r="D3958" i="3"/>
  <c r="C3958" i="3"/>
  <c r="B3958" i="3"/>
  <c r="D3957" i="3"/>
  <c r="C3957" i="3"/>
  <c r="B3957" i="3"/>
  <c r="D3956" i="3"/>
  <c r="C3956" i="3"/>
  <c r="B3956" i="3"/>
  <c r="D3955" i="3"/>
  <c r="C3955" i="3"/>
  <c r="B3955" i="3"/>
  <c r="D3954" i="3"/>
  <c r="C3954" i="3"/>
  <c r="B3954" i="3"/>
  <c r="D3953" i="3"/>
  <c r="C3953" i="3"/>
  <c r="B3953" i="3"/>
  <c r="D3952" i="3"/>
  <c r="C3952" i="3"/>
  <c r="B3952" i="3"/>
  <c r="D3951" i="3"/>
  <c r="C3951" i="3"/>
  <c r="B3951" i="3"/>
  <c r="D3950" i="3"/>
  <c r="C3950" i="3"/>
  <c r="B3950" i="3"/>
  <c r="D3949" i="3"/>
  <c r="C3949" i="3"/>
  <c r="B3949" i="3"/>
  <c r="D3948" i="3"/>
  <c r="C3948" i="3"/>
  <c r="B3948" i="3"/>
  <c r="D3947" i="3"/>
  <c r="C3947" i="3"/>
  <c r="B3947" i="3"/>
  <c r="D3946" i="3"/>
  <c r="C3946" i="3"/>
  <c r="B3946" i="3"/>
  <c r="D3945" i="3"/>
  <c r="C3945" i="3"/>
  <c r="B3945" i="3"/>
  <c r="D3944" i="3"/>
  <c r="C3944" i="3"/>
  <c r="B3944" i="3"/>
  <c r="D3943" i="3"/>
  <c r="C3943" i="3"/>
  <c r="B3943" i="3"/>
  <c r="D3942" i="3"/>
  <c r="C3942" i="3"/>
  <c r="B3942" i="3"/>
  <c r="D3941" i="3"/>
  <c r="C3941" i="3"/>
  <c r="B3941" i="3"/>
  <c r="D3940" i="3"/>
  <c r="C3940" i="3"/>
  <c r="B3940" i="3"/>
  <c r="D3939" i="3"/>
  <c r="C3939" i="3"/>
  <c r="B3939" i="3"/>
  <c r="D3938" i="3"/>
  <c r="C3938" i="3"/>
  <c r="B3938" i="3"/>
  <c r="D3937" i="3"/>
  <c r="C3937" i="3"/>
  <c r="B3937" i="3"/>
  <c r="D3936" i="3"/>
  <c r="C3936" i="3"/>
  <c r="B3936" i="3"/>
  <c r="D3935" i="3"/>
  <c r="C3935" i="3"/>
  <c r="B3935" i="3"/>
  <c r="D3934" i="3"/>
  <c r="C3934" i="3"/>
  <c r="B3934" i="3"/>
  <c r="D3933" i="3"/>
  <c r="C3933" i="3"/>
  <c r="B3933" i="3"/>
  <c r="D3932" i="3"/>
  <c r="C3932" i="3"/>
  <c r="B3932" i="3"/>
  <c r="D3931" i="3"/>
  <c r="C3931" i="3"/>
  <c r="B3931" i="3"/>
  <c r="D3930" i="3"/>
  <c r="C3930" i="3"/>
  <c r="B3930" i="3"/>
  <c r="D3929" i="3"/>
  <c r="C3929" i="3"/>
  <c r="B3929" i="3"/>
  <c r="D3928" i="3"/>
  <c r="C3928" i="3"/>
  <c r="B3928" i="3"/>
  <c r="D3927" i="3"/>
  <c r="C3927" i="3"/>
  <c r="B3927" i="3"/>
  <c r="D3926" i="3"/>
  <c r="C3926" i="3"/>
  <c r="B3926" i="3"/>
  <c r="D3925" i="3"/>
  <c r="C3925" i="3"/>
  <c r="B3925" i="3"/>
  <c r="D3924" i="3"/>
  <c r="C3924" i="3"/>
  <c r="B3924" i="3"/>
  <c r="D3923" i="3"/>
  <c r="C3923" i="3"/>
  <c r="B3923" i="3"/>
  <c r="D3922" i="3"/>
  <c r="C3922" i="3"/>
  <c r="B3922" i="3"/>
  <c r="D3921" i="3"/>
  <c r="C3921" i="3"/>
  <c r="B3921" i="3"/>
  <c r="D3920" i="3"/>
  <c r="C3920" i="3"/>
  <c r="B3920" i="3"/>
  <c r="D3919" i="3"/>
  <c r="C3919" i="3"/>
  <c r="B3919" i="3"/>
  <c r="D3918" i="3"/>
  <c r="C3918" i="3"/>
  <c r="B3918" i="3"/>
  <c r="D3917" i="3"/>
  <c r="C3917" i="3"/>
  <c r="B3917" i="3"/>
  <c r="D3916" i="3"/>
  <c r="C3916" i="3"/>
  <c r="B3916" i="3"/>
  <c r="D3915" i="3"/>
  <c r="C3915" i="3"/>
  <c r="B3915" i="3"/>
  <c r="D3914" i="3"/>
  <c r="C3914" i="3"/>
  <c r="B3914" i="3"/>
  <c r="D3913" i="3"/>
  <c r="C3913" i="3"/>
  <c r="B3913" i="3"/>
  <c r="D3912" i="3"/>
  <c r="C3912" i="3"/>
  <c r="B3912" i="3"/>
  <c r="D3911" i="3"/>
  <c r="C3911" i="3"/>
  <c r="B3911" i="3"/>
  <c r="D3910" i="3"/>
  <c r="C3910" i="3"/>
  <c r="B3910" i="3"/>
  <c r="D3909" i="3"/>
  <c r="C3909" i="3"/>
  <c r="B3909" i="3"/>
  <c r="D3908" i="3"/>
  <c r="C3908" i="3"/>
  <c r="B3908" i="3"/>
  <c r="D3907" i="3"/>
  <c r="C3907" i="3"/>
  <c r="B3907" i="3"/>
  <c r="D3906" i="3"/>
  <c r="C3906" i="3"/>
  <c r="B3906" i="3"/>
  <c r="D3905" i="3"/>
  <c r="C3905" i="3"/>
  <c r="B3905" i="3"/>
  <c r="D3904" i="3"/>
  <c r="C3904" i="3"/>
  <c r="B3904" i="3"/>
  <c r="D3903" i="3"/>
  <c r="C3903" i="3"/>
  <c r="B3903" i="3"/>
  <c r="D3902" i="3"/>
  <c r="C3902" i="3"/>
  <c r="B3902" i="3"/>
  <c r="D3901" i="3"/>
  <c r="C3901" i="3"/>
  <c r="B3901" i="3"/>
  <c r="D3900" i="3"/>
  <c r="C3900" i="3"/>
  <c r="B3900" i="3"/>
  <c r="D3899" i="3"/>
  <c r="C3899" i="3"/>
  <c r="B3899" i="3"/>
  <c r="D3898" i="3"/>
  <c r="C3898" i="3"/>
  <c r="B3898" i="3"/>
  <c r="D3897" i="3"/>
  <c r="C3897" i="3"/>
  <c r="B3897" i="3"/>
  <c r="D3896" i="3"/>
  <c r="C3896" i="3"/>
  <c r="B3896" i="3"/>
  <c r="D3895" i="3"/>
  <c r="C3895" i="3"/>
  <c r="B3895" i="3"/>
  <c r="D3894" i="3"/>
  <c r="C3894" i="3"/>
  <c r="B3894" i="3"/>
  <c r="D3893" i="3"/>
  <c r="C3893" i="3"/>
  <c r="B3893" i="3"/>
  <c r="D3892" i="3"/>
  <c r="C3892" i="3"/>
  <c r="B3892" i="3"/>
  <c r="D3891" i="3"/>
  <c r="C3891" i="3"/>
  <c r="B3891" i="3"/>
  <c r="D3890" i="3"/>
  <c r="C3890" i="3"/>
  <c r="B3890" i="3"/>
  <c r="D3889" i="3"/>
  <c r="C3889" i="3"/>
  <c r="B3889" i="3"/>
  <c r="D3888" i="3"/>
  <c r="C3888" i="3"/>
  <c r="B3888" i="3"/>
  <c r="D3887" i="3"/>
  <c r="C3887" i="3"/>
  <c r="B3887" i="3"/>
  <c r="D3886" i="3"/>
  <c r="C3886" i="3"/>
  <c r="B3886" i="3"/>
  <c r="D3885" i="3"/>
  <c r="C3885" i="3"/>
  <c r="B3885" i="3"/>
  <c r="D3884" i="3"/>
  <c r="C3884" i="3"/>
  <c r="B3884" i="3"/>
  <c r="D3883" i="3"/>
  <c r="C3883" i="3"/>
  <c r="B3883" i="3"/>
  <c r="D3882" i="3"/>
  <c r="C3882" i="3"/>
  <c r="B3882" i="3"/>
  <c r="D3881" i="3"/>
  <c r="C3881" i="3"/>
  <c r="B3881" i="3"/>
  <c r="D3880" i="3"/>
  <c r="C3880" i="3"/>
  <c r="B3880" i="3"/>
  <c r="D3879" i="3"/>
  <c r="C3879" i="3"/>
  <c r="B3879" i="3"/>
  <c r="D3878" i="3"/>
  <c r="C3878" i="3"/>
  <c r="B3878" i="3"/>
  <c r="D3877" i="3"/>
  <c r="C3877" i="3"/>
  <c r="B3877" i="3"/>
  <c r="D3876" i="3"/>
  <c r="C3876" i="3"/>
  <c r="B3876" i="3"/>
  <c r="D3875" i="3"/>
  <c r="C3875" i="3"/>
  <c r="B3875" i="3"/>
  <c r="D3874" i="3"/>
  <c r="C3874" i="3"/>
  <c r="B3874" i="3"/>
  <c r="D3873" i="3"/>
  <c r="C3873" i="3"/>
  <c r="B3873" i="3"/>
  <c r="D3872" i="3"/>
  <c r="C3872" i="3"/>
  <c r="B3872" i="3"/>
  <c r="D3871" i="3"/>
  <c r="C3871" i="3"/>
  <c r="B3871" i="3"/>
  <c r="D3870" i="3"/>
  <c r="C3870" i="3"/>
  <c r="B3870" i="3"/>
  <c r="D3869" i="3"/>
  <c r="C3869" i="3"/>
  <c r="B3869" i="3"/>
  <c r="D3868" i="3"/>
  <c r="C3868" i="3"/>
  <c r="B3868" i="3"/>
  <c r="D3867" i="3"/>
  <c r="C3867" i="3"/>
  <c r="B3867" i="3"/>
  <c r="D3866" i="3"/>
  <c r="C3866" i="3"/>
  <c r="B3866" i="3"/>
  <c r="D3865" i="3"/>
  <c r="C3865" i="3"/>
  <c r="B3865" i="3"/>
  <c r="D3864" i="3"/>
  <c r="C3864" i="3"/>
  <c r="B3864" i="3"/>
  <c r="D3863" i="3"/>
  <c r="C3863" i="3"/>
  <c r="B3863" i="3"/>
  <c r="D3862" i="3"/>
  <c r="C3862" i="3"/>
  <c r="B3862" i="3"/>
  <c r="D3861" i="3"/>
  <c r="C3861" i="3"/>
  <c r="B3861" i="3"/>
  <c r="D3860" i="3"/>
  <c r="C3860" i="3"/>
  <c r="B3860" i="3"/>
  <c r="D3859" i="3"/>
  <c r="C3859" i="3"/>
  <c r="B3859" i="3"/>
  <c r="D3858" i="3"/>
  <c r="C3858" i="3"/>
  <c r="B3858" i="3"/>
  <c r="D3857" i="3"/>
  <c r="C3857" i="3"/>
  <c r="B3857" i="3"/>
  <c r="D3856" i="3"/>
  <c r="C3856" i="3"/>
  <c r="B3856" i="3"/>
  <c r="D3855" i="3"/>
  <c r="C3855" i="3"/>
  <c r="B3855" i="3"/>
  <c r="D3854" i="3"/>
  <c r="C3854" i="3"/>
  <c r="B3854" i="3"/>
  <c r="D3853" i="3"/>
  <c r="C3853" i="3"/>
  <c r="B3853" i="3"/>
  <c r="D3852" i="3"/>
  <c r="C3852" i="3"/>
  <c r="B3852" i="3"/>
  <c r="D3851" i="3"/>
  <c r="C3851" i="3"/>
  <c r="B3851" i="3"/>
  <c r="D3850" i="3"/>
  <c r="C3850" i="3"/>
  <c r="B3850" i="3"/>
  <c r="D3849" i="3"/>
  <c r="C3849" i="3"/>
  <c r="B3849" i="3"/>
  <c r="D3848" i="3"/>
  <c r="C3848" i="3"/>
  <c r="B3848" i="3"/>
  <c r="D3847" i="3"/>
  <c r="C3847" i="3"/>
  <c r="B3847" i="3"/>
  <c r="D3846" i="3"/>
  <c r="C3846" i="3"/>
  <c r="B3846" i="3"/>
  <c r="D3845" i="3"/>
  <c r="C3845" i="3"/>
  <c r="B3845" i="3"/>
  <c r="D3844" i="3"/>
  <c r="C3844" i="3"/>
  <c r="B3844" i="3"/>
  <c r="D3843" i="3"/>
  <c r="C3843" i="3"/>
  <c r="B3843" i="3"/>
  <c r="D3842" i="3"/>
  <c r="C3842" i="3"/>
  <c r="B3842" i="3"/>
  <c r="D3841" i="3"/>
  <c r="C3841" i="3"/>
  <c r="B3841" i="3"/>
  <c r="D3840" i="3"/>
  <c r="C3840" i="3"/>
  <c r="B3840" i="3"/>
  <c r="D3839" i="3"/>
  <c r="C3839" i="3"/>
  <c r="B3839" i="3"/>
  <c r="D3838" i="3"/>
  <c r="C3838" i="3"/>
  <c r="B3838" i="3"/>
  <c r="D3837" i="3"/>
  <c r="C3837" i="3"/>
  <c r="B3837" i="3"/>
  <c r="D3836" i="3"/>
  <c r="C3836" i="3"/>
  <c r="B3836" i="3"/>
  <c r="D3835" i="3"/>
  <c r="C3835" i="3"/>
  <c r="B3835" i="3"/>
  <c r="D3834" i="3"/>
  <c r="C3834" i="3"/>
  <c r="B3834" i="3"/>
  <c r="D3833" i="3"/>
  <c r="C3833" i="3"/>
  <c r="B3833" i="3"/>
  <c r="D3832" i="3"/>
  <c r="C3832" i="3"/>
  <c r="B3832" i="3"/>
  <c r="D3831" i="3"/>
  <c r="C3831" i="3"/>
  <c r="B3831" i="3"/>
  <c r="D3830" i="3"/>
  <c r="C3830" i="3"/>
  <c r="B3830" i="3"/>
  <c r="D3829" i="3"/>
  <c r="C3829" i="3"/>
  <c r="B3829" i="3"/>
  <c r="D3828" i="3"/>
  <c r="C3828" i="3"/>
  <c r="B3828" i="3"/>
  <c r="D3827" i="3"/>
  <c r="C3827" i="3"/>
  <c r="B3827" i="3"/>
  <c r="D3826" i="3"/>
  <c r="C3826" i="3"/>
  <c r="B3826" i="3"/>
  <c r="D3825" i="3"/>
  <c r="C3825" i="3"/>
  <c r="B3825" i="3"/>
  <c r="D3824" i="3"/>
  <c r="C3824" i="3"/>
  <c r="B3824" i="3"/>
  <c r="D3823" i="3"/>
  <c r="C3823" i="3"/>
  <c r="B3823" i="3"/>
  <c r="D3822" i="3"/>
  <c r="C3822" i="3"/>
  <c r="B3822" i="3"/>
  <c r="D3821" i="3"/>
  <c r="C3821" i="3"/>
  <c r="B3821" i="3"/>
  <c r="D3820" i="3"/>
  <c r="C3820" i="3"/>
  <c r="B3820" i="3"/>
  <c r="D3819" i="3"/>
  <c r="C3819" i="3"/>
  <c r="B3819" i="3"/>
  <c r="D3818" i="3"/>
  <c r="C3818" i="3"/>
  <c r="B3818" i="3"/>
  <c r="D3817" i="3"/>
  <c r="C3817" i="3"/>
  <c r="B3817" i="3"/>
  <c r="D3816" i="3"/>
  <c r="C3816" i="3"/>
  <c r="B3816" i="3"/>
  <c r="D3815" i="3"/>
  <c r="C3815" i="3"/>
  <c r="B3815" i="3"/>
  <c r="D3814" i="3"/>
  <c r="C3814" i="3"/>
  <c r="B3814" i="3"/>
  <c r="D3813" i="3"/>
  <c r="C3813" i="3"/>
  <c r="B3813" i="3"/>
  <c r="D3812" i="3"/>
  <c r="C3812" i="3"/>
  <c r="B3812" i="3"/>
  <c r="D3811" i="3"/>
  <c r="C3811" i="3"/>
  <c r="B3811" i="3"/>
  <c r="D3810" i="3"/>
  <c r="C3810" i="3"/>
  <c r="B3810" i="3"/>
  <c r="D3809" i="3"/>
  <c r="C3809" i="3"/>
  <c r="B3809" i="3"/>
  <c r="D3808" i="3"/>
  <c r="C3808" i="3"/>
  <c r="B3808" i="3"/>
  <c r="D3807" i="3"/>
  <c r="C3807" i="3"/>
  <c r="B3807" i="3"/>
  <c r="D3806" i="3"/>
  <c r="C3806" i="3"/>
  <c r="B3806" i="3"/>
  <c r="D3805" i="3"/>
  <c r="C3805" i="3"/>
  <c r="B3805" i="3"/>
  <c r="D3804" i="3"/>
  <c r="C3804" i="3"/>
  <c r="B3804" i="3"/>
  <c r="D3803" i="3"/>
  <c r="C3803" i="3"/>
  <c r="B3803" i="3"/>
  <c r="D3802" i="3"/>
  <c r="C3802" i="3"/>
  <c r="B3802" i="3"/>
  <c r="D3801" i="3"/>
  <c r="C3801" i="3"/>
  <c r="B3801" i="3"/>
  <c r="D3800" i="3"/>
  <c r="C3800" i="3"/>
  <c r="B3800" i="3"/>
  <c r="D3799" i="3"/>
  <c r="C3799" i="3"/>
  <c r="B3799" i="3"/>
  <c r="D3798" i="3"/>
  <c r="C3798" i="3"/>
  <c r="B3798" i="3"/>
  <c r="D3797" i="3"/>
  <c r="C3797" i="3"/>
  <c r="B3797" i="3"/>
  <c r="D3796" i="3"/>
  <c r="C3796" i="3"/>
  <c r="B3796" i="3"/>
  <c r="D3795" i="3"/>
  <c r="C3795" i="3"/>
  <c r="B3795" i="3"/>
  <c r="D3794" i="3"/>
  <c r="C3794" i="3"/>
  <c r="B3794" i="3"/>
  <c r="D3793" i="3"/>
  <c r="C3793" i="3"/>
  <c r="B3793" i="3"/>
  <c r="D3792" i="3"/>
  <c r="C3792" i="3"/>
  <c r="B3792" i="3"/>
  <c r="D3791" i="3"/>
  <c r="C3791" i="3"/>
  <c r="B3791" i="3"/>
  <c r="D3790" i="3"/>
  <c r="C3790" i="3"/>
  <c r="B3790" i="3"/>
  <c r="D3789" i="3"/>
  <c r="C3789" i="3"/>
  <c r="B3789" i="3"/>
  <c r="D3788" i="3"/>
  <c r="C3788" i="3"/>
  <c r="B3788" i="3"/>
  <c r="D3787" i="3"/>
  <c r="C3787" i="3"/>
  <c r="B3787" i="3"/>
  <c r="D3786" i="3"/>
  <c r="C3786" i="3"/>
  <c r="B3786" i="3"/>
  <c r="D3785" i="3"/>
  <c r="C3785" i="3"/>
  <c r="B3785" i="3"/>
  <c r="D3784" i="3"/>
  <c r="C3784" i="3"/>
  <c r="B3784" i="3"/>
  <c r="D3783" i="3"/>
  <c r="C3783" i="3"/>
  <c r="B3783" i="3"/>
  <c r="D3782" i="3"/>
  <c r="C3782" i="3"/>
  <c r="B3782" i="3"/>
  <c r="D3781" i="3"/>
  <c r="C3781" i="3"/>
  <c r="B3781" i="3"/>
  <c r="D3780" i="3"/>
  <c r="C3780" i="3"/>
  <c r="B3780" i="3"/>
  <c r="D3779" i="3"/>
  <c r="C3779" i="3"/>
  <c r="B3779" i="3"/>
  <c r="D3778" i="3"/>
  <c r="C3778" i="3"/>
  <c r="B3778" i="3"/>
  <c r="D3777" i="3"/>
  <c r="C3777" i="3"/>
  <c r="B3777" i="3"/>
  <c r="D3776" i="3"/>
  <c r="C3776" i="3"/>
  <c r="B3776" i="3"/>
  <c r="D3775" i="3"/>
  <c r="C3775" i="3"/>
  <c r="B3775" i="3"/>
  <c r="D3774" i="3"/>
  <c r="C3774" i="3"/>
  <c r="B3774" i="3"/>
  <c r="D3773" i="3"/>
  <c r="C3773" i="3"/>
  <c r="B3773" i="3"/>
  <c r="D3772" i="3"/>
  <c r="C3772" i="3"/>
  <c r="B3772" i="3"/>
  <c r="D3771" i="3"/>
  <c r="C3771" i="3"/>
  <c r="B3771" i="3"/>
  <c r="D3770" i="3"/>
  <c r="C3770" i="3"/>
  <c r="B3770" i="3"/>
  <c r="D3769" i="3"/>
  <c r="C3769" i="3"/>
  <c r="B3769" i="3"/>
  <c r="D3768" i="3"/>
  <c r="C3768" i="3"/>
  <c r="B3768" i="3"/>
  <c r="D3767" i="3"/>
  <c r="C3767" i="3"/>
  <c r="B3767" i="3"/>
  <c r="D3766" i="3"/>
  <c r="C3766" i="3"/>
  <c r="B3766" i="3"/>
  <c r="D3765" i="3"/>
  <c r="C3765" i="3"/>
  <c r="B3765" i="3"/>
  <c r="D3764" i="3"/>
  <c r="C3764" i="3"/>
  <c r="B3764" i="3"/>
  <c r="D3763" i="3"/>
  <c r="C3763" i="3"/>
  <c r="B3763" i="3"/>
  <c r="D3762" i="3"/>
  <c r="C3762" i="3"/>
  <c r="B3762" i="3"/>
  <c r="D3761" i="3"/>
  <c r="C3761" i="3"/>
  <c r="B3761" i="3"/>
  <c r="D3760" i="3"/>
  <c r="C3760" i="3"/>
  <c r="B3760" i="3"/>
  <c r="D3759" i="3"/>
  <c r="C3759" i="3"/>
  <c r="B3759" i="3"/>
  <c r="D3758" i="3"/>
  <c r="C3758" i="3"/>
  <c r="B3758" i="3"/>
  <c r="D3757" i="3"/>
  <c r="C3757" i="3"/>
  <c r="B3757" i="3"/>
  <c r="D3756" i="3"/>
  <c r="C3756" i="3"/>
  <c r="B3756" i="3"/>
  <c r="D3755" i="3"/>
  <c r="C3755" i="3"/>
  <c r="B3755" i="3"/>
  <c r="D3754" i="3"/>
  <c r="C3754" i="3"/>
  <c r="B3754" i="3"/>
  <c r="D3753" i="3"/>
  <c r="C3753" i="3"/>
  <c r="B3753" i="3"/>
  <c r="D3752" i="3"/>
  <c r="C3752" i="3"/>
  <c r="B3752" i="3"/>
  <c r="D3751" i="3"/>
  <c r="C3751" i="3"/>
  <c r="B3751" i="3"/>
  <c r="D3750" i="3"/>
  <c r="C3750" i="3"/>
  <c r="B3750" i="3"/>
  <c r="D3749" i="3"/>
  <c r="C3749" i="3"/>
  <c r="B3749" i="3"/>
  <c r="D3748" i="3"/>
  <c r="C3748" i="3"/>
  <c r="B3748" i="3"/>
  <c r="D3747" i="3"/>
  <c r="C3747" i="3"/>
  <c r="B3747" i="3"/>
  <c r="D3746" i="3"/>
  <c r="C3746" i="3"/>
  <c r="B3746" i="3"/>
  <c r="D3745" i="3"/>
  <c r="C3745" i="3"/>
  <c r="B3745" i="3"/>
  <c r="D3744" i="3"/>
  <c r="C3744" i="3"/>
  <c r="B3744" i="3"/>
  <c r="D3743" i="3"/>
  <c r="C3743" i="3"/>
  <c r="B3743" i="3"/>
  <c r="D3742" i="3"/>
  <c r="C3742" i="3"/>
  <c r="B3742" i="3"/>
  <c r="D3741" i="3"/>
  <c r="C3741" i="3"/>
  <c r="B3741" i="3"/>
  <c r="D3740" i="3"/>
  <c r="C3740" i="3"/>
  <c r="B3740" i="3"/>
  <c r="D3739" i="3"/>
  <c r="C3739" i="3"/>
  <c r="B3739" i="3"/>
  <c r="D3738" i="3"/>
  <c r="C3738" i="3"/>
  <c r="B3738" i="3"/>
  <c r="D3737" i="3"/>
  <c r="C3737" i="3"/>
  <c r="B3737" i="3"/>
  <c r="D3736" i="3"/>
  <c r="C3736" i="3"/>
  <c r="B3736" i="3"/>
  <c r="D3735" i="3"/>
  <c r="C3735" i="3"/>
  <c r="B3735" i="3"/>
  <c r="D3734" i="3"/>
  <c r="C3734" i="3"/>
  <c r="B3734" i="3"/>
  <c r="D3733" i="3"/>
  <c r="C3733" i="3"/>
  <c r="B3733" i="3"/>
  <c r="D3732" i="3"/>
  <c r="C3732" i="3"/>
  <c r="B3732" i="3"/>
  <c r="D3731" i="3"/>
  <c r="C3731" i="3"/>
  <c r="B3731" i="3"/>
  <c r="D3730" i="3"/>
  <c r="C3730" i="3"/>
  <c r="B3730" i="3"/>
  <c r="D3729" i="3"/>
  <c r="C3729" i="3"/>
  <c r="B3729" i="3"/>
  <c r="D3728" i="3"/>
  <c r="C3728" i="3"/>
  <c r="B3728" i="3"/>
  <c r="D3727" i="3"/>
  <c r="C3727" i="3"/>
  <c r="B3727" i="3"/>
  <c r="D3726" i="3"/>
  <c r="C3726" i="3"/>
  <c r="B3726" i="3"/>
  <c r="D3725" i="3"/>
  <c r="C3725" i="3"/>
  <c r="B3725" i="3"/>
  <c r="D3724" i="3"/>
  <c r="C3724" i="3"/>
  <c r="B3724" i="3"/>
  <c r="D3723" i="3"/>
  <c r="C3723" i="3"/>
  <c r="B3723" i="3"/>
  <c r="D3722" i="3"/>
  <c r="C3722" i="3"/>
  <c r="B3722" i="3"/>
  <c r="D3721" i="3"/>
  <c r="C3721" i="3"/>
  <c r="B3721" i="3"/>
  <c r="D3720" i="3"/>
  <c r="C3720" i="3"/>
  <c r="B3720" i="3"/>
  <c r="D3719" i="3"/>
  <c r="C3719" i="3"/>
  <c r="B3719" i="3"/>
  <c r="D3718" i="3"/>
  <c r="C3718" i="3"/>
  <c r="B3718" i="3"/>
  <c r="D3717" i="3"/>
  <c r="C3717" i="3"/>
  <c r="B3717" i="3"/>
  <c r="D3716" i="3"/>
  <c r="C3716" i="3"/>
  <c r="B3716" i="3"/>
  <c r="D3715" i="3"/>
  <c r="C3715" i="3"/>
  <c r="B3715" i="3"/>
  <c r="D3714" i="3"/>
  <c r="C3714" i="3"/>
  <c r="B3714" i="3"/>
  <c r="D3713" i="3"/>
  <c r="C3713" i="3"/>
  <c r="B3713" i="3"/>
  <c r="D3712" i="3"/>
  <c r="C3712" i="3"/>
  <c r="B3712" i="3"/>
  <c r="D3711" i="3"/>
  <c r="C3711" i="3"/>
  <c r="B3711" i="3"/>
  <c r="D3710" i="3"/>
  <c r="C3710" i="3"/>
  <c r="B3710" i="3"/>
  <c r="D3709" i="3"/>
  <c r="C3709" i="3"/>
  <c r="B3709" i="3"/>
  <c r="D3708" i="3"/>
  <c r="C3708" i="3"/>
  <c r="B3708" i="3"/>
  <c r="D3707" i="3"/>
  <c r="C3707" i="3"/>
  <c r="B3707" i="3"/>
  <c r="D3706" i="3"/>
  <c r="C3706" i="3"/>
  <c r="B3706" i="3"/>
  <c r="D3705" i="3"/>
  <c r="C3705" i="3"/>
  <c r="B3705" i="3"/>
  <c r="D3704" i="3"/>
  <c r="C3704" i="3"/>
  <c r="B3704" i="3"/>
  <c r="D3703" i="3"/>
  <c r="C3703" i="3"/>
  <c r="B3703" i="3"/>
  <c r="D3702" i="3"/>
  <c r="C3702" i="3"/>
  <c r="B3702" i="3"/>
  <c r="D3701" i="3"/>
  <c r="C3701" i="3"/>
  <c r="B3701" i="3"/>
  <c r="D3700" i="3"/>
  <c r="C3700" i="3"/>
  <c r="B3700" i="3"/>
  <c r="D3699" i="3"/>
  <c r="C3699" i="3"/>
  <c r="B3699" i="3"/>
  <c r="D3698" i="3"/>
  <c r="C3698" i="3"/>
  <c r="B3698" i="3"/>
  <c r="D3697" i="3"/>
  <c r="C3697" i="3"/>
  <c r="B3697" i="3"/>
  <c r="D3696" i="3"/>
  <c r="C3696" i="3"/>
  <c r="B3696" i="3"/>
  <c r="D3695" i="3"/>
  <c r="C3695" i="3"/>
  <c r="B3695" i="3"/>
  <c r="D3694" i="3"/>
  <c r="C3694" i="3"/>
  <c r="B3694" i="3"/>
  <c r="D3693" i="3"/>
  <c r="C3693" i="3"/>
  <c r="B3693" i="3"/>
  <c r="D3692" i="3"/>
  <c r="C3692" i="3"/>
  <c r="B3692" i="3"/>
  <c r="D3691" i="3"/>
  <c r="C3691" i="3"/>
  <c r="B3691" i="3"/>
  <c r="D3690" i="3"/>
  <c r="C3690" i="3"/>
  <c r="B3690" i="3"/>
  <c r="D3689" i="3"/>
  <c r="C3689" i="3"/>
  <c r="B3689" i="3"/>
  <c r="D3688" i="3"/>
  <c r="C3688" i="3"/>
  <c r="B3688" i="3"/>
  <c r="D3687" i="3"/>
  <c r="C3687" i="3"/>
  <c r="B3687" i="3"/>
  <c r="D3686" i="3"/>
  <c r="C3686" i="3"/>
  <c r="B3686" i="3"/>
  <c r="D3685" i="3"/>
  <c r="C3685" i="3"/>
  <c r="B3685" i="3"/>
  <c r="D3684" i="3"/>
  <c r="C3684" i="3"/>
  <c r="B3684" i="3"/>
  <c r="D3683" i="3"/>
  <c r="C3683" i="3"/>
  <c r="B3683" i="3"/>
  <c r="D3682" i="3"/>
  <c r="C3682" i="3"/>
  <c r="B3682" i="3"/>
  <c r="D3681" i="3"/>
  <c r="C3681" i="3"/>
  <c r="B3681" i="3"/>
  <c r="D3680" i="3"/>
  <c r="C3680" i="3"/>
  <c r="B3680" i="3"/>
  <c r="D3679" i="3"/>
  <c r="C3679" i="3"/>
  <c r="B3679" i="3"/>
  <c r="D3678" i="3"/>
  <c r="C3678" i="3"/>
  <c r="B3678" i="3"/>
  <c r="D3677" i="3"/>
  <c r="C3677" i="3"/>
  <c r="B3677" i="3"/>
  <c r="D3676" i="3"/>
  <c r="C3676" i="3"/>
  <c r="B3676" i="3"/>
  <c r="D3675" i="3"/>
  <c r="C3675" i="3"/>
  <c r="B3675" i="3"/>
  <c r="D3674" i="3"/>
  <c r="C3674" i="3"/>
  <c r="B3674" i="3"/>
  <c r="D3673" i="3"/>
  <c r="C3673" i="3"/>
  <c r="B3673" i="3"/>
  <c r="D3672" i="3"/>
  <c r="C3672" i="3"/>
  <c r="B3672" i="3"/>
  <c r="D3671" i="3"/>
  <c r="C3671" i="3"/>
  <c r="B3671" i="3"/>
  <c r="D3670" i="3"/>
  <c r="C3670" i="3"/>
  <c r="B3670" i="3"/>
  <c r="D3669" i="3"/>
  <c r="C3669" i="3"/>
  <c r="B3669" i="3"/>
  <c r="D3668" i="3"/>
  <c r="C3668" i="3"/>
  <c r="B3668" i="3"/>
  <c r="D3667" i="3"/>
  <c r="C3667" i="3"/>
  <c r="B3667" i="3"/>
  <c r="D3666" i="3"/>
  <c r="C3666" i="3"/>
  <c r="B3666" i="3"/>
  <c r="D3665" i="3"/>
  <c r="C3665" i="3"/>
  <c r="B3665" i="3"/>
  <c r="D3664" i="3"/>
  <c r="C3664" i="3"/>
  <c r="B3664" i="3"/>
  <c r="D3663" i="3"/>
  <c r="C3663" i="3"/>
  <c r="B3663" i="3"/>
  <c r="D3662" i="3"/>
  <c r="C3662" i="3"/>
  <c r="B3662" i="3"/>
  <c r="D3661" i="3"/>
  <c r="C3661" i="3"/>
  <c r="B3661" i="3"/>
  <c r="D3660" i="3"/>
  <c r="C3660" i="3"/>
  <c r="B3660" i="3"/>
  <c r="D3659" i="3"/>
  <c r="C3659" i="3"/>
  <c r="B3659" i="3"/>
  <c r="D3658" i="3"/>
  <c r="C3658" i="3"/>
  <c r="B3658" i="3"/>
  <c r="D3657" i="3"/>
  <c r="C3657" i="3"/>
  <c r="B3657" i="3"/>
  <c r="D3656" i="3"/>
  <c r="C3656" i="3"/>
  <c r="B3656" i="3"/>
  <c r="D3655" i="3"/>
  <c r="C3655" i="3"/>
  <c r="B3655" i="3"/>
  <c r="D3654" i="3"/>
  <c r="C3654" i="3"/>
  <c r="B3654" i="3"/>
  <c r="D3653" i="3"/>
  <c r="C3653" i="3"/>
  <c r="B3653" i="3"/>
  <c r="D3652" i="3"/>
  <c r="C3652" i="3"/>
  <c r="B3652" i="3"/>
  <c r="D3651" i="3"/>
  <c r="C3651" i="3"/>
  <c r="B3651" i="3"/>
  <c r="D3650" i="3"/>
  <c r="C3650" i="3"/>
  <c r="B3650" i="3"/>
  <c r="D3649" i="3"/>
  <c r="C3649" i="3"/>
  <c r="B3649" i="3"/>
  <c r="D3648" i="3"/>
  <c r="C3648" i="3"/>
  <c r="B3648" i="3"/>
  <c r="D3647" i="3"/>
  <c r="C3647" i="3"/>
  <c r="B3647" i="3"/>
  <c r="D3646" i="3"/>
  <c r="C3646" i="3"/>
  <c r="B3646" i="3"/>
  <c r="D3645" i="3"/>
  <c r="C3645" i="3"/>
  <c r="B3645" i="3"/>
  <c r="D3644" i="3"/>
  <c r="C3644" i="3"/>
  <c r="B3644" i="3"/>
  <c r="D3643" i="3"/>
  <c r="C3643" i="3"/>
  <c r="B3643" i="3"/>
  <c r="D3642" i="3"/>
  <c r="C3642" i="3"/>
  <c r="B3642" i="3"/>
  <c r="D3641" i="3"/>
  <c r="C3641" i="3"/>
  <c r="B3641" i="3"/>
  <c r="D3640" i="3"/>
  <c r="C3640" i="3"/>
  <c r="B3640" i="3"/>
  <c r="D3639" i="3"/>
  <c r="C3639" i="3"/>
  <c r="B3639" i="3"/>
  <c r="D3638" i="3"/>
  <c r="C3638" i="3"/>
  <c r="B3638" i="3"/>
  <c r="D3637" i="3"/>
  <c r="C3637" i="3"/>
  <c r="B3637" i="3"/>
  <c r="D3636" i="3"/>
  <c r="C3636" i="3"/>
  <c r="B3636" i="3"/>
  <c r="D3635" i="3"/>
  <c r="C3635" i="3"/>
  <c r="B3635" i="3"/>
  <c r="D3634" i="3"/>
  <c r="C3634" i="3"/>
  <c r="B3634" i="3"/>
  <c r="D3633" i="3"/>
  <c r="C3633" i="3"/>
  <c r="B3633" i="3"/>
  <c r="D3632" i="3"/>
  <c r="C3632" i="3"/>
  <c r="B3632" i="3"/>
  <c r="D3631" i="3"/>
  <c r="C3631" i="3"/>
  <c r="B3631" i="3"/>
  <c r="D3630" i="3"/>
  <c r="C3630" i="3"/>
  <c r="B3630" i="3"/>
  <c r="D3629" i="3"/>
  <c r="C3629" i="3"/>
  <c r="B3629" i="3"/>
  <c r="D3628" i="3"/>
  <c r="C3628" i="3"/>
  <c r="B3628" i="3"/>
  <c r="D3627" i="3"/>
  <c r="C3627" i="3"/>
  <c r="B3627" i="3"/>
  <c r="D3626" i="3"/>
  <c r="C3626" i="3"/>
  <c r="B3626" i="3"/>
  <c r="D3625" i="3"/>
  <c r="C3625" i="3"/>
  <c r="B3625" i="3"/>
  <c r="D3624" i="3"/>
  <c r="C3624" i="3"/>
  <c r="B3624" i="3"/>
  <c r="D3623" i="3"/>
  <c r="C3623" i="3"/>
  <c r="B3623" i="3"/>
  <c r="D3622" i="3"/>
  <c r="C3622" i="3"/>
  <c r="B3622" i="3"/>
  <c r="D3621" i="3"/>
  <c r="C3621" i="3"/>
  <c r="B3621" i="3"/>
  <c r="D3620" i="3"/>
  <c r="C3620" i="3"/>
  <c r="B3620" i="3"/>
  <c r="D3619" i="3"/>
  <c r="C3619" i="3"/>
  <c r="B3619" i="3"/>
  <c r="D3618" i="3"/>
  <c r="C3618" i="3"/>
  <c r="B3618" i="3"/>
  <c r="D3617" i="3"/>
  <c r="C3617" i="3"/>
  <c r="B3617" i="3"/>
  <c r="D3616" i="3"/>
  <c r="C3616" i="3"/>
  <c r="B3616" i="3"/>
  <c r="D3615" i="3"/>
  <c r="C3615" i="3"/>
  <c r="B3615" i="3"/>
  <c r="D3614" i="3"/>
  <c r="C3614" i="3"/>
  <c r="B3614" i="3"/>
  <c r="D3613" i="3"/>
  <c r="C3613" i="3"/>
  <c r="B3613" i="3"/>
  <c r="D3612" i="3"/>
  <c r="C3612" i="3"/>
  <c r="B3612" i="3"/>
  <c r="D3611" i="3"/>
  <c r="C3611" i="3"/>
  <c r="B3611" i="3"/>
  <c r="D3610" i="3"/>
  <c r="C3610" i="3"/>
  <c r="B3610" i="3"/>
  <c r="D3609" i="3"/>
  <c r="C3609" i="3"/>
  <c r="B3609" i="3"/>
  <c r="D3608" i="3"/>
  <c r="C3608" i="3"/>
  <c r="B3608" i="3"/>
  <c r="D3607" i="3"/>
  <c r="C3607" i="3"/>
  <c r="B3607" i="3"/>
  <c r="D3606" i="3"/>
  <c r="C3606" i="3"/>
  <c r="B3606" i="3"/>
  <c r="D3605" i="3"/>
  <c r="C3605" i="3"/>
  <c r="B3605" i="3"/>
  <c r="D3604" i="3"/>
  <c r="C3604" i="3"/>
  <c r="B3604" i="3"/>
  <c r="D3603" i="3"/>
  <c r="C3603" i="3"/>
  <c r="B3603" i="3"/>
  <c r="D3602" i="3"/>
  <c r="C3602" i="3"/>
  <c r="B3602" i="3"/>
  <c r="D3601" i="3"/>
  <c r="C3601" i="3"/>
  <c r="B3601" i="3"/>
  <c r="D3600" i="3"/>
  <c r="C3600" i="3"/>
  <c r="B3600" i="3"/>
  <c r="D3599" i="3"/>
  <c r="C3599" i="3"/>
  <c r="B3599" i="3"/>
  <c r="D3598" i="3"/>
  <c r="C3598" i="3"/>
  <c r="B3598" i="3"/>
  <c r="D3597" i="3"/>
  <c r="C3597" i="3"/>
  <c r="B3597" i="3"/>
  <c r="D3596" i="3"/>
  <c r="C3596" i="3"/>
  <c r="B3596" i="3"/>
  <c r="D3595" i="3"/>
  <c r="C3595" i="3"/>
  <c r="B3595" i="3"/>
  <c r="D3594" i="3"/>
  <c r="C3594" i="3"/>
  <c r="B3594" i="3"/>
  <c r="D3593" i="3"/>
  <c r="C3593" i="3"/>
  <c r="B3593" i="3"/>
  <c r="D3592" i="3"/>
  <c r="C3592" i="3"/>
  <c r="B3592" i="3"/>
  <c r="D3591" i="3"/>
  <c r="C3591" i="3"/>
  <c r="B3591" i="3"/>
  <c r="D3590" i="3"/>
  <c r="C3590" i="3"/>
  <c r="B3590" i="3"/>
  <c r="D3589" i="3"/>
  <c r="C3589" i="3"/>
  <c r="B3589" i="3"/>
  <c r="D3588" i="3"/>
  <c r="C3588" i="3"/>
  <c r="B3588" i="3"/>
  <c r="D3587" i="3"/>
  <c r="C3587" i="3"/>
  <c r="B3587" i="3"/>
  <c r="D3586" i="3"/>
  <c r="C3586" i="3"/>
  <c r="B3586" i="3"/>
  <c r="D3585" i="3"/>
  <c r="C3585" i="3"/>
  <c r="B3585" i="3"/>
  <c r="D3584" i="3"/>
  <c r="C3584" i="3"/>
  <c r="B3584" i="3"/>
  <c r="D3583" i="3"/>
  <c r="C3583" i="3"/>
  <c r="B3583" i="3"/>
  <c r="D3582" i="3"/>
  <c r="C3582" i="3"/>
  <c r="B3582" i="3"/>
  <c r="D3581" i="3"/>
  <c r="C3581" i="3"/>
  <c r="B3581" i="3"/>
  <c r="D3580" i="3"/>
  <c r="C3580" i="3"/>
  <c r="B3580" i="3"/>
  <c r="D3579" i="3"/>
  <c r="C3579" i="3"/>
  <c r="B3579" i="3"/>
  <c r="D3578" i="3"/>
  <c r="C3578" i="3"/>
  <c r="B3578" i="3"/>
  <c r="D3577" i="3"/>
  <c r="C3577" i="3"/>
  <c r="B3577" i="3"/>
  <c r="D3576" i="3"/>
  <c r="C3576" i="3"/>
  <c r="B3576" i="3"/>
  <c r="D3575" i="3"/>
  <c r="C3575" i="3"/>
  <c r="B3575" i="3"/>
  <c r="D3574" i="3"/>
  <c r="C3574" i="3"/>
  <c r="B3574" i="3"/>
  <c r="D3573" i="3"/>
  <c r="C3573" i="3"/>
  <c r="B3573" i="3"/>
  <c r="D3572" i="3"/>
  <c r="C3572" i="3"/>
  <c r="B3572" i="3"/>
  <c r="D3571" i="3"/>
  <c r="C3571" i="3"/>
  <c r="B3571" i="3"/>
  <c r="D3570" i="3"/>
  <c r="C3570" i="3"/>
  <c r="B3570" i="3"/>
  <c r="D3569" i="3"/>
  <c r="C3569" i="3"/>
  <c r="B3569" i="3"/>
  <c r="D3568" i="3"/>
  <c r="C3568" i="3"/>
  <c r="B3568" i="3"/>
  <c r="D3567" i="3"/>
  <c r="C3567" i="3"/>
  <c r="B3567" i="3"/>
  <c r="D3566" i="3"/>
  <c r="C3566" i="3"/>
  <c r="B3566" i="3"/>
  <c r="D3565" i="3"/>
  <c r="C3565" i="3"/>
  <c r="B3565" i="3"/>
  <c r="D3564" i="3"/>
  <c r="C3564" i="3"/>
  <c r="B3564" i="3"/>
  <c r="D3563" i="3"/>
  <c r="C3563" i="3"/>
  <c r="B3563" i="3"/>
  <c r="D3562" i="3"/>
  <c r="C3562" i="3"/>
  <c r="B3562" i="3"/>
  <c r="D3561" i="3"/>
  <c r="C3561" i="3"/>
  <c r="B3561" i="3"/>
  <c r="D3560" i="3"/>
  <c r="C3560" i="3"/>
  <c r="B3560" i="3"/>
  <c r="D3559" i="3"/>
  <c r="C3559" i="3"/>
  <c r="B3559" i="3"/>
  <c r="D3558" i="3"/>
  <c r="C3558" i="3"/>
  <c r="B3558" i="3"/>
  <c r="D3557" i="3"/>
  <c r="C3557" i="3"/>
  <c r="B3557" i="3"/>
  <c r="D3556" i="3"/>
  <c r="C3556" i="3"/>
  <c r="B3556" i="3"/>
  <c r="D3555" i="3"/>
  <c r="C3555" i="3"/>
  <c r="B3555" i="3"/>
  <c r="D3554" i="3"/>
  <c r="C3554" i="3"/>
  <c r="B3554" i="3"/>
  <c r="D3553" i="3"/>
  <c r="C3553" i="3"/>
  <c r="B3553" i="3"/>
  <c r="D3552" i="3"/>
  <c r="C3552" i="3"/>
  <c r="B3552" i="3"/>
  <c r="D3551" i="3"/>
  <c r="C3551" i="3"/>
  <c r="B3551" i="3"/>
  <c r="D3550" i="3"/>
  <c r="C3550" i="3"/>
  <c r="B3550" i="3"/>
  <c r="D3549" i="3"/>
  <c r="C3549" i="3"/>
  <c r="B3549" i="3"/>
  <c r="D3548" i="3"/>
  <c r="C3548" i="3"/>
  <c r="B3548" i="3"/>
  <c r="D3547" i="3"/>
  <c r="C3547" i="3"/>
  <c r="B3547" i="3"/>
  <c r="D3546" i="3"/>
  <c r="C3546" i="3"/>
  <c r="B3546" i="3"/>
  <c r="D3545" i="3"/>
  <c r="C3545" i="3"/>
  <c r="B3545" i="3"/>
  <c r="D3544" i="3"/>
  <c r="C3544" i="3"/>
  <c r="B3544" i="3"/>
  <c r="D3543" i="3"/>
  <c r="C3543" i="3"/>
  <c r="B3543" i="3"/>
  <c r="D3542" i="3"/>
  <c r="C3542" i="3"/>
  <c r="B3542" i="3"/>
  <c r="D3541" i="3"/>
  <c r="C3541" i="3"/>
  <c r="B3541" i="3"/>
  <c r="D3540" i="3"/>
  <c r="C3540" i="3"/>
  <c r="B3540" i="3"/>
  <c r="D3539" i="3"/>
  <c r="C3539" i="3"/>
  <c r="B3539" i="3"/>
  <c r="D3538" i="3"/>
  <c r="C3538" i="3"/>
  <c r="B3538" i="3"/>
  <c r="D3537" i="3"/>
  <c r="C3537" i="3"/>
  <c r="B3537" i="3"/>
  <c r="D3536" i="3"/>
  <c r="C3536" i="3"/>
  <c r="B3536" i="3"/>
  <c r="D3535" i="3"/>
  <c r="C3535" i="3"/>
  <c r="B3535" i="3"/>
  <c r="D3534" i="3"/>
  <c r="C3534" i="3"/>
  <c r="B3534" i="3"/>
  <c r="D3533" i="3"/>
  <c r="C3533" i="3"/>
  <c r="B3533" i="3"/>
  <c r="D3532" i="3"/>
  <c r="C3532" i="3"/>
  <c r="B3532" i="3"/>
  <c r="D3531" i="3"/>
  <c r="C3531" i="3"/>
  <c r="B3531" i="3"/>
  <c r="D3530" i="3"/>
  <c r="C3530" i="3"/>
  <c r="B3530" i="3"/>
  <c r="D3529" i="3"/>
  <c r="C3529" i="3"/>
  <c r="B3529" i="3"/>
  <c r="D3528" i="3"/>
  <c r="C3528" i="3"/>
  <c r="B3528" i="3"/>
  <c r="D3527" i="3"/>
  <c r="C3527" i="3"/>
  <c r="B3527" i="3"/>
  <c r="D3526" i="3"/>
  <c r="C3526" i="3"/>
  <c r="B3526" i="3"/>
  <c r="D3525" i="3"/>
  <c r="C3525" i="3"/>
  <c r="B3525" i="3"/>
  <c r="D3524" i="3"/>
  <c r="C3524" i="3"/>
  <c r="B3524" i="3"/>
  <c r="D3523" i="3"/>
  <c r="C3523" i="3"/>
  <c r="B3523" i="3"/>
  <c r="D3522" i="3"/>
  <c r="C3522" i="3"/>
  <c r="B3522" i="3"/>
  <c r="D3521" i="3"/>
  <c r="C3521" i="3"/>
  <c r="B3521" i="3"/>
  <c r="D3520" i="3"/>
  <c r="C3520" i="3"/>
  <c r="B3520" i="3"/>
  <c r="D3519" i="3"/>
  <c r="C3519" i="3"/>
  <c r="B3519" i="3"/>
  <c r="D3518" i="3"/>
  <c r="C3518" i="3"/>
  <c r="B3518" i="3"/>
  <c r="D3517" i="3"/>
  <c r="C3517" i="3"/>
  <c r="B3517" i="3"/>
  <c r="D3516" i="3"/>
  <c r="C3516" i="3"/>
  <c r="B3516" i="3"/>
  <c r="D3515" i="3"/>
  <c r="C3515" i="3"/>
  <c r="B3515" i="3"/>
  <c r="D3514" i="3"/>
  <c r="C3514" i="3"/>
  <c r="B3514" i="3"/>
  <c r="D3513" i="3"/>
  <c r="C3513" i="3"/>
  <c r="B3513" i="3"/>
  <c r="D3512" i="3"/>
  <c r="C3512" i="3"/>
  <c r="B3512" i="3"/>
  <c r="D3511" i="3"/>
  <c r="C3511" i="3"/>
  <c r="B3511" i="3"/>
  <c r="D3510" i="3"/>
  <c r="C3510" i="3"/>
  <c r="B3510" i="3"/>
  <c r="D3509" i="3"/>
  <c r="C3509" i="3"/>
  <c r="B3509" i="3"/>
  <c r="D3508" i="3"/>
  <c r="C3508" i="3"/>
  <c r="B3508" i="3"/>
  <c r="D3507" i="3"/>
  <c r="C3507" i="3"/>
  <c r="B3507" i="3"/>
  <c r="D3506" i="3"/>
  <c r="C3506" i="3"/>
  <c r="B3506" i="3"/>
  <c r="D3505" i="3"/>
  <c r="C3505" i="3"/>
  <c r="B3505" i="3"/>
  <c r="D3504" i="3"/>
  <c r="C3504" i="3"/>
  <c r="B3504" i="3"/>
  <c r="D3503" i="3"/>
  <c r="C3503" i="3"/>
  <c r="B3503" i="3"/>
  <c r="D3502" i="3"/>
  <c r="C3502" i="3"/>
  <c r="B3502" i="3"/>
  <c r="D3501" i="3"/>
  <c r="C3501" i="3"/>
  <c r="B3501" i="3"/>
  <c r="D3500" i="3"/>
  <c r="C3500" i="3"/>
  <c r="B3500" i="3"/>
  <c r="D3499" i="3"/>
  <c r="C3499" i="3"/>
  <c r="B3499" i="3"/>
  <c r="D3498" i="3"/>
  <c r="C3498" i="3"/>
  <c r="B3498" i="3"/>
  <c r="D3497" i="3"/>
  <c r="C3497" i="3"/>
  <c r="B3497" i="3"/>
  <c r="D3496" i="3"/>
  <c r="C3496" i="3"/>
  <c r="B3496" i="3"/>
  <c r="D3495" i="3"/>
  <c r="C3495" i="3"/>
  <c r="B3495" i="3"/>
  <c r="D3494" i="3"/>
  <c r="C3494" i="3"/>
  <c r="B3494" i="3"/>
  <c r="D3493" i="3"/>
  <c r="C3493" i="3"/>
  <c r="B3493" i="3"/>
  <c r="D3492" i="3"/>
  <c r="C3492" i="3"/>
  <c r="B3492" i="3"/>
  <c r="D3491" i="3"/>
  <c r="C3491" i="3"/>
  <c r="B3491" i="3"/>
  <c r="D3490" i="3"/>
  <c r="C3490" i="3"/>
  <c r="B3490" i="3"/>
  <c r="D3489" i="3"/>
  <c r="C3489" i="3"/>
  <c r="B3489" i="3"/>
  <c r="D3488" i="3"/>
  <c r="C3488" i="3"/>
  <c r="B3488" i="3"/>
  <c r="D3487" i="3"/>
  <c r="C3487" i="3"/>
  <c r="B3487" i="3"/>
  <c r="D3486" i="3"/>
  <c r="C3486" i="3"/>
  <c r="B3486" i="3"/>
  <c r="D3485" i="3"/>
  <c r="C3485" i="3"/>
  <c r="B3485" i="3"/>
  <c r="D3484" i="3"/>
  <c r="C3484" i="3"/>
  <c r="B3484" i="3"/>
  <c r="D3483" i="3"/>
  <c r="C3483" i="3"/>
  <c r="B3483" i="3"/>
  <c r="D3482" i="3"/>
  <c r="C3482" i="3"/>
  <c r="B3482" i="3"/>
  <c r="D3481" i="3"/>
  <c r="C3481" i="3"/>
  <c r="B3481" i="3"/>
  <c r="D3480" i="3"/>
  <c r="C3480" i="3"/>
  <c r="B3480" i="3"/>
  <c r="D3479" i="3"/>
  <c r="C3479" i="3"/>
  <c r="B3479" i="3"/>
  <c r="D3478" i="3"/>
  <c r="C3478" i="3"/>
  <c r="B3478" i="3"/>
  <c r="D3477" i="3"/>
  <c r="C3477" i="3"/>
  <c r="B3477" i="3"/>
  <c r="D3476" i="3"/>
  <c r="C3476" i="3"/>
  <c r="B3476" i="3"/>
  <c r="D3475" i="3"/>
  <c r="C3475" i="3"/>
  <c r="B3475" i="3"/>
  <c r="D3474" i="3"/>
  <c r="C3474" i="3"/>
  <c r="B3474" i="3"/>
  <c r="D3473" i="3"/>
  <c r="C3473" i="3"/>
  <c r="B3473" i="3"/>
  <c r="D3472" i="3"/>
  <c r="C3472" i="3"/>
  <c r="B3472" i="3"/>
  <c r="D3471" i="3"/>
  <c r="C3471" i="3"/>
  <c r="B3471" i="3"/>
  <c r="D3470" i="3"/>
  <c r="C3470" i="3"/>
  <c r="B3470" i="3"/>
  <c r="D3469" i="3"/>
  <c r="C3469" i="3"/>
  <c r="B3469" i="3"/>
  <c r="D3468" i="3"/>
  <c r="C3468" i="3"/>
  <c r="B3468" i="3"/>
  <c r="D3467" i="3"/>
  <c r="C3467" i="3"/>
  <c r="B3467" i="3"/>
  <c r="D3466" i="3"/>
  <c r="C3466" i="3"/>
  <c r="B3466" i="3"/>
  <c r="D3465" i="3"/>
  <c r="C3465" i="3"/>
  <c r="B3465" i="3"/>
  <c r="D3464" i="3"/>
  <c r="C3464" i="3"/>
  <c r="B3464" i="3"/>
  <c r="D3463" i="3"/>
  <c r="C3463" i="3"/>
  <c r="B3463" i="3"/>
  <c r="D3462" i="3"/>
  <c r="C3462" i="3"/>
  <c r="B3462" i="3"/>
  <c r="D3461" i="3"/>
  <c r="C3461" i="3"/>
  <c r="B3461" i="3"/>
  <c r="D3460" i="3"/>
  <c r="C3460" i="3"/>
  <c r="B3460" i="3"/>
  <c r="D3459" i="3"/>
  <c r="C3459" i="3"/>
  <c r="B3459" i="3"/>
  <c r="D3458" i="3"/>
  <c r="C3458" i="3"/>
  <c r="B3458" i="3"/>
  <c r="D3457" i="3"/>
  <c r="C3457" i="3"/>
  <c r="B3457" i="3"/>
  <c r="D3456" i="3"/>
  <c r="C3456" i="3"/>
  <c r="B3456" i="3"/>
  <c r="D3455" i="3"/>
  <c r="C3455" i="3"/>
  <c r="B3455" i="3"/>
  <c r="D3454" i="3"/>
  <c r="C3454" i="3"/>
  <c r="B3454" i="3"/>
  <c r="D3453" i="3"/>
  <c r="C3453" i="3"/>
  <c r="B3453" i="3"/>
  <c r="D3452" i="3"/>
  <c r="C3452" i="3"/>
  <c r="B3452" i="3"/>
  <c r="D3451" i="3"/>
  <c r="C3451" i="3"/>
  <c r="B3451" i="3"/>
  <c r="D3450" i="3"/>
  <c r="C3450" i="3"/>
  <c r="B3450" i="3"/>
  <c r="D3449" i="3"/>
  <c r="C3449" i="3"/>
  <c r="B3449" i="3"/>
  <c r="D3448" i="3"/>
  <c r="C3448" i="3"/>
  <c r="B3448" i="3"/>
  <c r="D3447" i="3"/>
  <c r="C3447" i="3"/>
  <c r="B3447" i="3"/>
  <c r="D3446" i="3"/>
  <c r="C3446" i="3"/>
  <c r="B3446" i="3"/>
  <c r="D3445" i="3"/>
  <c r="C3445" i="3"/>
  <c r="B3445" i="3"/>
  <c r="D3444" i="3"/>
  <c r="C3444" i="3"/>
  <c r="B3444" i="3"/>
  <c r="D3443" i="3"/>
  <c r="C3443" i="3"/>
  <c r="B3443" i="3"/>
  <c r="D3442" i="3"/>
  <c r="C3442" i="3"/>
  <c r="B3442" i="3"/>
  <c r="D3441" i="3"/>
  <c r="C3441" i="3"/>
  <c r="B3441" i="3"/>
  <c r="D3440" i="3"/>
  <c r="C3440" i="3"/>
  <c r="B3440" i="3"/>
  <c r="D3439" i="3"/>
  <c r="C3439" i="3"/>
  <c r="B3439" i="3"/>
  <c r="D3438" i="3"/>
  <c r="C3438" i="3"/>
  <c r="B3438" i="3"/>
  <c r="D3437" i="3"/>
  <c r="C3437" i="3"/>
  <c r="B3437" i="3"/>
  <c r="D3436" i="3"/>
  <c r="C3436" i="3"/>
  <c r="B3436" i="3"/>
  <c r="D3435" i="3"/>
  <c r="C3435" i="3"/>
  <c r="B3435" i="3"/>
  <c r="D3434" i="3"/>
  <c r="C3434" i="3"/>
  <c r="B3434" i="3"/>
  <c r="D3433" i="3"/>
  <c r="C3433" i="3"/>
  <c r="B3433" i="3"/>
  <c r="D3432" i="3"/>
  <c r="C3432" i="3"/>
  <c r="B3432" i="3"/>
  <c r="D3431" i="3"/>
  <c r="C3431" i="3"/>
  <c r="B3431" i="3"/>
  <c r="D3430" i="3"/>
  <c r="C3430" i="3"/>
  <c r="B3430" i="3"/>
  <c r="D3429" i="3"/>
  <c r="C3429" i="3"/>
  <c r="B3429" i="3"/>
  <c r="D3428" i="3"/>
  <c r="C3428" i="3"/>
  <c r="B3428" i="3"/>
  <c r="D3427" i="3"/>
  <c r="C3427" i="3"/>
  <c r="B3427" i="3"/>
  <c r="D3426" i="3"/>
  <c r="C3426" i="3"/>
  <c r="B3426" i="3"/>
  <c r="D3425" i="3"/>
  <c r="C3425" i="3"/>
  <c r="B3425" i="3"/>
  <c r="D3424" i="3"/>
  <c r="C3424" i="3"/>
  <c r="B3424" i="3"/>
  <c r="D3423" i="3"/>
  <c r="C3423" i="3"/>
  <c r="B3423" i="3"/>
  <c r="D3422" i="3"/>
  <c r="C3422" i="3"/>
  <c r="B3422" i="3"/>
  <c r="D3421" i="3"/>
  <c r="C3421" i="3"/>
  <c r="B3421" i="3"/>
  <c r="D3420" i="3"/>
  <c r="C3420" i="3"/>
  <c r="B3420" i="3"/>
  <c r="D3419" i="3"/>
  <c r="C3419" i="3"/>
  <c r="B3419" i="3"/>
  <c r="D3418" i="3"/>
  <c r="C3418" i="3"/>
  <c r="B3418" i="3"/>
  <c r="D3417" i="3"/>
  <c r="C3417" i="3"/>
  <c r="B3417" i="3"/>
  <c r="D3416" i="3"/>
  <c r="C3416" i="3"/>
  <c r="B3416" i="3"/>
  <c r="D3415" i="3"/>
  <c r="C3415" i="3"/>
  <c r="B3415" i="3"/>
  <c r="D3414" i="3"/>
  <c r="C3414" i="3"/>
  <c r="B3414" i="3"/>
  <c r="D3413" i="3"/>
  <c r="C3413" i="3"/>
  <c r="B3413" i="3"/>
  <c r="D3412" i="3"/>
  <c r="C3412" i="3"/>
  <c r="B3412" i="3"/>
  <c r="D3411" i="3"/>
  <c r="C3411" i="3"/>
  <c r="B3411" i="3"/>
  <c r="D3410" i="3"/>
  <c r="C3410" i="3"/>
  <c r="B3410" i="3"/>
  <c r="D3409" i="3"/>
  <c r="C3409" i="3"/>
  <c r="B3409" i="3"/>
  <c r="D3408" i="3"/>
  <c r="C3408" i="3"/>
  <c r="B3408" i="3"/>
  <c r="D3407" i="3"/>
  <c r="C3407" i="3"/>
  <c r="B3407" i="3"/>
  <c r="D3406" i="3"/>
  <c r="C3406" i="3"/>
  <c r="B3406" i="3"/>
  <c r="D3405" i="3"/>
  <c r="C3405" i="3"/>
  <c r="B3405" i="3"/>
  <c r="D3404" i="3"/>
  <c r="C3404" i="3"/>
  <c r="B3404" i="3"/>
  <c r="D3403" i="3"/>
  <c r="C3403" i="3"/>
  <c r="B3403" i="3"/>
  <c r="D3402" i="3"/>
  <c r="C3402" i="3"/>
  <c r="B3402" i="3"/>
  <c r="D3401" i="3"/>
  <c r="C3401" i="3"/>
  <c r="B3401" i="3"/>
  <c r="D3400" i="3"/>
  <c r="C3400" i="3"/>
  <c r="B3400" i="3"/>
  <c r="D3399" i="3"/>
  <c r="C3399" i="3"/>
  <c r="B3399" i="3"/>
  <c r="D3398" i="3"/>
  <c r="C3398" i="3"/>
  <c r="B3398" i="3"/>
  <c r="D3397" i="3"/>
  <c r="C3397" i="3"/>
  <c r="B3397" i="3"/>
  <c r="D3396" i="3"/>
  <c r="C3396" i="3"/>
  <c r="B3396" i="3"/>
  <c r="D3395" i="3"/>
  <c r="C3395" i="3"/>
  <c r="B3395" i="3"/>
  <c r="D3394" i="3"/>
  <c r="C3394" i="3"/>
  <c r="B3394" i="3"/>
  <c r="D3393" i="3"/>
  <c r="C3393" i="3"/>
  <c r="B3393" i="3"/>
  <c r="D3392" i="3"/>
  <c r="C3392" i="3"/>
  <c r="B3392" i="3"/>
  <c r="D3391" i="3"/>
  <c r="C3391" i="3"/>
  <c r="B3391" i="3"/>
  <c r="D3390" i="3"/>
  <c r="C3390" i="3"/>
  <c r="B3390" i="3"/>
  <c r="D3389" i="3"/>
  <c r="C3389" i="3"/>
  <c r="B3389" i="3"/>
  <c r="D3388" i="3"/>
  <c r="C3388" i="3"/>
  <c r="B3388" i="3"/>
  <c r="D3387" i="3"/>
  <c r="C3387" i="3"/>
  <c r="B3387" i="3"/>
  <c r="D3386" i="3"/>
  <c r="C3386" i="3"/>
  <c r="B3386" i="3"/>
  <c r="D3385" i="3"/>
  <c r="C3385" i="3"/>
  <c r="B3385" i="3"/>
  <c r="D3384" i="3"/>
  <c r="C3384" i="3"/>
  <c r="B3384" i="3"/>
  <c r="D3383" i="3"/>
  <c r="C3383" i="3"/>
  <c r="B3383" i="3"/>
  <c r="D3382" i="3"/>
  <c r="C3382" i="3"/>
  <c r="B3382" i="3"/>
  <c r="D3381" i="3"/>
  <c r="C3381" i="3"/>
  <c r="B3381" i="3"/>
  <c r="D3380" i="3"/>
  <c r="C3380" i="3"/>
  <c r="B3380" i="3"/>
  <c r="D3379" i="3"/>
  <c r="C3379" i="3"/>
  <c r="B3379" i="3"/>
  <c r="D3378" i="3"/>
  <c r="C3378" i="3"/>
  <c r="B3378" i="3"/>
  <c r="D3377" i="3"/>
  <c r="C3377" i="3"/>
  <c r="B3377" i="3"/>
  <c r="D3376" i="3"/>
  <c r="C3376" i="3"/>
  <c r="B3376" i="3"/>
  <c r="D3375" i="3"/>
  <c r="C3375" i="3"/>
  <c r="B3375" i="3"/>
  <c r="D3374" i="3"/>
  <c r="C3374" i="3"/>
  <c r="B3374" i="3"/>
  <c r="D3373" i="3"/>
  <c r="C3373" i="3"/>
  <c r="B3373" i="3"/>
  <c r="D3372" i="3"/>
  <c r="C3372" i="3"/>
  <c r="B3372" i="3"/>
  <c r="D3371" i="3"/>
  <c r="C3371" i="3"/>
  <c r="B3371" i="3"/>
  <c r="D3370" i="3"/>
  <c r="C3370" i="3"/>
  <c r="B3370" i="3"/>
  <c r="D3369" i="3"/>
  <c r="C3369" i="3"/>
  <c r="B3369" i="3"/>
  <c r="D3368" i="3"/>
  <c r="C3368" i="3"/>
  <c r="B3368" i="3"/>
  <c r="D3367" i="3"/>
  <c r="C3367" i="3"/>
  <c r="B3367" i="3"/>
  <c r="D3366" i="3"/>
  <c r="C3366" i="3"/>
  <c r="B3366" i="3"/>
  <c r="D3365" i="3"/>
  <c r="C3365" i="3"/>
  <c r="B3365" i="3"/>
  <c r="D3364" i="3"/>
  <c r="C3364" i="3"/>
  <c r="B3364" i="3"/>
  <c r="D3363" i="3"/>
  <c r="C3363" i="3"/>
  <c r="B3363" i="3"/>
  <c r="D3362" i="3"/>
  <c r="C3362" i="3"/>
  <c r="B3362" i="3"/>
  <c r="D3361" i="3"/>
  <c r="C3361" i="3"/>
  <c r="B3361" i="3"/>
  <c r="D3360" i="3"/>
  <c r="C3360" i="3"/>
  <c r="B3360" i="3"/>
  <c r="D3359" i="3"/>
  <c r="C3359" i="3"/>
  <c r="B3359" i="3"/>
  <c r="D3358" i="3"/>
  <c r="C3358" i="3"/>
  <c r="B3358" i="3"/>
  <c r="D3357" i="3"/>
  <c r="C3357" i="3"/>
  <c r="B3357" i="3"/>
  <c r="D3356" i="3"/>
  <c r="C3356" i="3"/>
  <c r="B3356" i="3"/>
  <c r="D3355" i="3"/>
  <c r="C3355" i="3"/>
  <c r="B3355" i="3"/>
  <c r="D3354" i="3"/>
  <c r="C3354" i="3"/>
  <c r="B3354" i="3"/>
  <c r="D3353" i="3"/>
  <c r="C3353" i="3"/>
  <c r="B3353" i="3"/>
  <c r="D3352" i="3"/>
  <c r="C3352" i="3"/>
  <c r="B3352" i="3"/>
  <c r="D3351" i="3"/>
  <c r="C3351" i="3"/>
  <c r="B3351" i="3"/>
  <c r="D3350" i="3"/>
  <c r="C3350" i="3"/>
  <c r="B3350" i="3"/>
  <c r="D3349" i="3"/>
  <c r="C3349" i="3"/>
  <c r="B3349" i="3"/>
  <c r="D3348" i="3"/>
  <c r="C3348" i="3"/>
  <c r="B3348" i="3"/>
  <c r="D3347" i="3"/>
  <c r="C3347" i="3"/>
  <c r="B3347" i="3"/>
  <c r="D3346" i="3"/>
  <c r="C3346" i="3"/>
  <c r="B3346" i="3"/>
  <c r="D3345" i="3"/>
  <c r="C3345" i="3"/>
  <c r="B3345" i="3"/>
  <c r="D3344" i="3"/>
  <c r="C3344" i="3"/>
  <c r="B3344" i="3"/>
  <c r="D3343" i="3"/>
  <c r="C3343" i="3"/>
  <c r="B3343" i="3"/>
  <c r="D3342" i="3"/>
  <c r="C3342" i="3"/>
  <c r="B3342" i="3"/>
  <c r="D3341" i="3"/>
  <c r="C3341" i="3"/>
  <c r="B3341" i="3"/>
  <c r="D3340" i="3"/>
  <c r="C3340" i="3"/>
  <c r="B3340" i="3"/>
  <c r="D3339" i="3"/>
  <c r="C3339" i="3"/>
  <c r="B3339" i="3"/>
  <c r="D3338" i="3"/>
  <c r="C3338" i="3"/>
  <c r="B3338" i="3"/>
  <c r="D3337" i="3"/>
  <c r="C3337" i="3"/>
  <c r="B3337" i="3"/>
  <c r="D3336" i="3"/>
  <c r="C3336" i="3"/>
  <c r="B3336" i="3"/>
  <c r="D3335" i="3"/>
  <c r="C3335" i="3"/>
  <c r="B3335" i="3"/>
  <c r="D3334" i="3"/>
  <c r="C3334" i="3"/>
  <c r="B3334" i="3"/>
  <c r="D3333" i="3"/>
  <c r="C3333" i="3"/>
  <c r="B3333" i="3"/>
  <c r="D3332" i="3"/>
  <c r="C3332" i="3"/>
  <c r="B3332" i="3"/>
  <c r="D3331" i="3"/>
  <c r="C3331" i="3"/>
  <c r="B3331" i="3"/>
  <c r="D3330" i="3"/>
  <c r="C3330" i="3"/>
  <c r="B3330" i="3"/>
  <c r="D3329" i="3"/>
  <c r="C3329" i="3"/>
  <c r="B3329" i="3"/>
  <c r="D3328" i="3"/>
  <c r="C3328" i="3"/>
  <c r="B3328" i="3"/>
  <c r="D3327" i="3"/>
  <c r="C3327" i="3"/>
  <c r="B3327" i="3"/>
  <c r="D3326" i="3"/>
  <c r="C3326" i="3"/>
  <c r="B3326" i="3"/>
  <c r="D3325" i="3"/>
  <c r="C3325" i="3"/>
  <c r="B3325" i="3"/>
  <c r="D3324" i="3"/>
  <c r="C3324" i="3"/>
  <c r="B3324" i="3"/>
  <c r="D3323" i="3"/>
  <c r="C3323" i="3"/>
  <c r="B3323" i="3"/>
  <c r="D3322" i="3"/>
  <c r="C3322" i="3"/>
  <c r="B3322" i="3"/>
  <c r="D3321" i="3"/>
  <c r="C3321" i="3"/>
  <c r="B3321" i="3"/>
  <c r="D3320" i="3"/>
  <c r="C3320" i="3"/>
  <c r="B3320" i="3"/>
  <c r="D3319" i="3"/>
  <c r="C3319" i="3"/>
  <c r="B3319" i="3"/>
  <c r="D3318" i="3"/>
  <c r="C3318" i="3"/>
  <c r="B3318" i="3"/>
  <c r="D3317" i="3"/>
  <c r="C3317" i="3"/>
  <c r="B3317" i="3"/>
  <c r="D3316" i="3"/>
  <c r="C3316" i="3"/>
  <c r="B3316" i="3"/>
  <c r="D3315" i="3"/>
  <c r="C3315" i="3"/>
  <c r="B3315" i="3"/>
  <c r="D3314" i="3"/>
  <c r="C3314" i="3"/>
  <c r="B3314" i="3"/>
  <c r="D3313" i="3"/>
  <c r="C3313" i="3"/>
  <c r="B3313" i="3"/>
  <c r="D3312" i="3"/>
  <c r="C3312" i="3"/>
  <c r="B3312" i="3"/>
  <c r="D3311" i="3"/>
  <c r="C3311" i="3"/>
  <c r="B3311" i="3"/>
  <c r="D3310" i="3"/>
  <c r="C3310" i="3"/>
  <c r="B3310" i="3"/>
  <c r="D3309" i="3"/>
  <c r="C3309" i="3"/>
  <c r="B3309" i="3"/>
  <c r="D3308" i="3"/>
  <c r="C3308" i="3"/>
  <c r="B3308" i="3"/>
  <c r="D3307" i="3"/>
  <c r="C3307" i="3"/>
  <c r="B3307" i="3"/>
  <c r="D3306" i="3"/>
  <c r="C3306" i="3"/>
  <c r="B3306" i="3"/>
  <c r="D3305" i="3"/>
  <c r="C3305" i="3"/>
  <c r="B3305" i="3"/>
  <c r="D3304" i="3"/>
  <c r="C3304" i="3"/>
  <c r="B3304" i="3"/>
  <c r="D3303" i="3"/>
  <c r="C3303" i="3"/>
  <c r="B3303" i="3"/>
  <c r="D3302" i="3"/>
  <c r="C3302" i="3"/>
  <c r="B3302" i="3"/>
  <c r="D3301" i="3"/>
  <c r="C3301" i="3"/>
  <c r="B3301" i="3"/>
  <c r="D3300" i="3"/>
  <c r="C3300" i="3"/>
  <c r="B3300" i="3"/>
  <c r="D3299" i="3"/>
  <c r="C3299" i="3"/>
  <c r="B3299" i="3"/>
  <c r="D3298" i="3"/>
  <c r="C3298" i="3"/>
  <c r="B3298" i="3"/>
  <c r="D3297" i="3"/>
  <c r="C3297" i="3"/>
  <c r="B3297" i="3"/>
  <c r="D3296" i="3"/>
  <c r="C3296" i="3"/>
  <c r="B3296" i="3"/>
  <c r="D3295" i="3"/>
  <c r="C3295" i="3"/>
  <c r="B3295" i="3"/>
  <c r="D3294" i="3"/>
  <c r="C3294" i="3"/>
  <c r="B3294" i="3"/>
  <c r="D3293" i="3"/>
  <c r="C3293" i="3"/>
  <c r="B3293" i="3"/>
  <c r="D3292" i="3"/>
  <c r="C3292" i="3"/>
  <c r="B3292" i="3"/>
  <c r="D3291" i="3"/>
  <c r="C3291" i="3"/>
  <c r="B3291" i="3"/>
  <c r="D3290" i="3"/>
  <c r="C3290" i="3"/>
  <c r="B3290" i="3"/>
  <c r="D3289" i="3"/>
  <c r="C3289" i="3"/>
  <c r="B3289" i="3"/>
  <c r="D3288" i="3"/>
  <c r="C3288" i="3"/>
  <c r="B3288" i="3"/>
  <c r="D3287" i="3"/>
  <c r="C3287" i="3"/>
  <c r="B3287" i="3"/>
  <c r="D3286" i="3"/>
  <c r="C3286" i="3"/>
  <c r="B3286" i="3"/>
  <c r="D3285" i="3"/>
  <c r="C3285" i="3"/>
  <c r="B3285" i="3"/>
  <c r="D3284" i="3"/>
  <c r="C3284" i="3"/>
  <c r="B3284" i="3"/>
  <c r="D3283" i="3"/>
  <c r="C3283" i="3"/>
  <c r="B3283" i="3"/>
  <c r="D3282" i="3"/>
  <c r="C3282" i="3"/>
  <c r="B3282" i="3"/>
  <c r="D3281" i="3"/>
  <c r="C3281" i="3"/>
  <c r="B3281" i="3"/>
  <c r="D3280" i="3"/>
  <c r="C3280" i="3"/>
  <c r="B3280" i="3"/>
  <c r="D3279" i="3"/>
  <c r="C3279" i="3"/>
  <c r="B3279" i="3"/>
  <c r="D3278" i="3"/>
  <c r="C3278" i="3"/>
  <c r="B3278" i="3"/>
  <c r="D3277" i="3"/>
  <c r="C3277" i="3"/>
  <c r="B3277" i="3"/>
  <c r="D3276" i="3"/>
  <c r="C3276" i="3"/>
  <c r="B3276" i="3"/>
  <c r="D3275" i="3"/>
  <c r="C3275" i="3"/>
  <c r="B3275" i="3"/>
  <c r="D3274" i="3"/>
  <c r="C3274" i="3"/>
  <c r="B3274" i="3"/>
  <c r="D3273" i="3"/>
  <c r="C3273" i="3"/>
  <c r="B3273" i="3"/>
  <c r="D3272" i="3"/>
  <c r="C3272" i="3"/>
  <c r="B3272" i="3"/>
  <c r="D3271" i="3"/>
  <c r="C3271" i="3"/>
  <c r="B3271" i="3"/>
  <c r="D3270" i="3"/>
  <c r="C3270" i="3"/>
  <c r="B3270" i="3"/>
  <c r="D3269" i="3"/>
  <c r="C3269" i="3"/>
  <c r="B3269" i="3"/>
  <c r="D3268" i="3"/>
  <c r="C3268" i="3"/>
  <c r="B3268" i="3"/>
  <c r="D3267" i="3"/>
  <c r="C3267" i="3"/>
  <c r="B3267" i="3"/>
  <c r="D3266" i="3"/>
  <c r="C3266" i="3"/>
  <c r="B3266" i="3"/>
  <c r="D3265" i="3"/>
  <c r="C3265" i="3"/>
  <c r="B3265" i="3"/>
  <c r="D3264" i="3"/>
  <c r="C3264" i="3"/>
  <c r="B3264" i="3"/>
  <c r="D3263" i="3"/>
  <c r="C3263" i="3"/>
  <c r="B3263" i="3"/>
  <c r="D3262" i="3"/>
  <c r="C3262" i="3"/>
  <c r="B3262" i="3"/>
  <c r="D3261" i="3"/>
  <c r="C3261" i="3"/>
  <c r="B3261" i="3"/>
  <c r="D3260" i="3"/>
  <c r="C3260" i="3"/>
  <c r="B3260" i="3"/>
  <c r="D3259" i="3"/>
  <c r="C3259" i="3"/>
  <c r="B3259" i="3"/>
  <c r="D3258" i="3"/>
  <c r="C3258" i="3"/>
  <c r="B3258" i="3"/>
  <c r="D3257" i="3"/>
  <c r="C3257" i="3"/>
  <c r="B3257" i="3"/>
  <c r="D3256" i="3"/>
  <c r="C3256" i="3"/>
  <c r="B3256" i="3"/>
  <c r="D3255" i="3"/>
  <c r="C3255" i="3"/>
  <c r="B3255" i="3"/>
  <c r="D3254" i="3"/>
  <c r="C3254" i="3"/>
  <c r="B3254" i="3"/>
  <c r="D3253" i="3"/>
  <c r="C3253" i="3"/>
  <c r="B3253" i="3"/>
  <c r="D3252" i="3"/>
  <c r="C3252" i="3"/>
  <c r="B3252" i="3"/>
  <c r="D3251" i="3"/>
  <c r="C3251" i="3"/>
  <c r="B3251" i="3"/>
  <c r="D3250" i="3"/>
  <c r="C3250" i="3"/>
  <c r="B3250" i="3"/>
  <c r="D3249" i="3"/>
  <c r="C3249" i="3"/>
  <c r="B3249" i="3"/>
  <c r="D3248" i="3"/>
  <c r="C3248" i="3"/>
  <c r="B3248" i="3"/>
  <c r="D3247" i="3"/>
  <c r="C3247" i="3"/>
  <c r="B3247" i="3"/>
  <c r="D3246" i="3"/>
  <c r="C3246" i="3"/>
  <c r="B3246" i="3"/>
  <c r="D3245" i="3"/>
  <c r="C3245" i="3"/>
  <c r="B3245" i="3"/>
  <c r="D3244" i="3"/>
  <c r="C3244" i="3"/>
  <c r="B3244" i="3"/>
  <c r="D3243" i="3"/>
  <c r="C3243" i="3"/>
  <c r="B3243" i="3"/>
  <c r="D3242" i="3"/>
  <c r="C3242" i="3"/>
  <c r="B3242" i="3"/>
  <c r="D3241" i="3"/>
  <c r="C3241" i="3"/>
  <c r="B3241" i="3"/>
  <c r="D3240" i="3"/>
  <c r="C3240" i="3"/>
  <c r="B3240" i="3"/>
  <c r="D3239" i="3"/>
  <c r="C3239" i="3"/>
  <c r="B3239" i="3"/>
  <c r="D3238" i="3"/>
  <c r="C3238" i="3"/>
  <c r="B3238" i="3"/>
  <c r="D3237" i="3"/>
  <c r="C3237" i="3"/>
  <c r="B3237" i="3"/>
  <c r="D3236" i="3"/>
  <c r="C3236" i="3"/>
  <c r="B3236" i="3"/>
  <c r="D3235" i="3"/>
  <c r="C3235" i="3"/>
  <c r="B3235" i="3"/>
  <c r="D3234" i="3"/>
  <c r="C3234" i="3"/>
  <c r="B3234" i="3"/>
  <c r="D3233" i="3"/>
  <c r="C3233" i="3"/>
  <c r="B3233" i="3"/>
  <c r="D3232" i="3"/>
  <c r="C3232" i="3"/>
  <c r="B3232" i="3"/>
  <c r="D3231" i="3"/>
  <c r="C3231" i="3"/>
  <c r="B3231" i="3"/>
  <c r="D3230" i="3"/>
  <c r="C3230" i="3"/>
  <c r="B3230" i="3"/>
  <c r="D3229" i="3"/>
  <c r="C3229" i="3"/>
  <c r="B3229" i="3"/>
  <c r="D3228" i="3"/>
  <c r="C3228" i="3"/>
  <c r="B3228" i="3"/>
  <c r="D3227" i="3"/>
  <c r="C3227" i="3"/>
  <c r="B3227" i="3"/>
  <c r="D3226" i="3"/>
  <c r="C3226" i="3"/>
  <c r="B3226" i="3"/>
  <c r="D3225" i="3"/>
  <c r="C3225" i="3"/>
  <c r="B3225" i="3"/>
  <c r="D3224" i="3"/>
  <c r="C3224" i="3"/>
  <c r="B3224" i="3"/>
  <c r="D3223" i="3"/>
  <c r="C3223" i="3"/>
  <c r="B3223" i="3"/>
  <c r="D3222" i="3"/>
  <c r="C3222" i="3"/>
  <c r="B3222" i="3"/>
  <c r="D3221" i="3"/>
  <c r="C3221" i="3"/>
  <c r="B3221" i="3"/>
  <c r="D3220" i="3"/>
  <c r="C3220" i="3"/>
  <c r="B3220" i="3"/>
  <c r="D3219" i="3"/>
  <c r="C3219" i="3"/>
  <c r="B3219" i="3"/>
  <c r="D3218" i="3"/>
  <c r="C3218" i="3"/>
  <c r="B3218" i="3"/>
  <c r="D3217" i="3"/>
  <c r="C3217" i="3"/>
  <c r="B3217" i="3"/>
  <c r="D3216" i="3"/>
  <c r="C3216" i="3"/>
  <c r="B3216" i="3"/>
  <c r="D3215" i="3"/>
  <c r="C3215" i="3"/>
  <c r="B3215" i="3"/>
  <c r="D3214" i="3"/>
  <c r="C3214" i="3"/>
  <c r="B3214" i="3"/>
  <c r="D3213" i="3"/>
  <c r="C3213" i="3"/>
  <c r="B3213" i="3"/>
  <c r="D3212" i="3"/>
  <c r="C3212" i="3"/>
  <c r="B3212" i="3"/>
  <c r="D3211" i="3"/>
  <c r="C3211" i="3"/>
  <c r="B3211" i="3"/>
  <c r="D3210" i="3"/>
  <c r="C3210" i="3"/>
  <c r="B3210" i="3"/>
  <c r="D3209" i="3"/>
  <c r="C3209" i="3"/>
  <c r="B3209" i="3"/>
  <c r="D3208" i="3"/>
  <c r="C3208" i="3"/>
  <c r="B3208" i="3"/>
  <c r="D3207" i="3"/>
  <c r="C3207" i="3"/>
  <c r="B3207" i="3"/>
  <c r="D3206" i="3"/>
  <c r="C3206" i="3"/>
  <c r="B3206" i="3"/>
  <c r="D3205" i="3"/>
  <c r="C3205" i="3"/>
  <c r="B3205" i="3"/>
  <c r="D3204" i="3"/>
  <c r="C3204" i="3"/>
  <c r="B3204" i="3"/>
  <c r="D3203" i="3"/>
  <c r="C3203" i="3"/>
  <c r="B3203" i="3"/>
  <c r="D3202" i="3"/>
  <c r="C3202" i="3"/>
  <c r="B3202" i="3"/>
  <c r="D3201" i="3"/>
  <c r="C3201" i="3"/>
  <c r="B3201" i="3"/>
  <c r="D3200" i="3"/>
  <c r="C3200" i="3"/>
  <c r="B3200" i="3"/>
  <c r="D3199" i="3"/>
  <c r="C3199" i="3"/>
  <c r="B3199" i="3"/>
  <c r="D3198" i="3"/>
  <c r="C3198" i="3"/>
  <c r="B3198" i="3"/>
  <c r="D3197" i="3"/>
  <c r="C3197" i="3"/>
  <c r="B3197" i="3"/>
  <c r="D3196" i="3"/>
  <c r="C3196" i="3"/>
  <c r="B3196" i="3"/>
  <c r="D3195" i="3"/>
  <c r="C3195" i="3"/>
  <c r="B3195" i="3"/>
  <c r="D3194" i="3"/>
  <c r="C3194" i="3"/>
  <c r="B3194" i="3"/>
  <c r="D3193" i="3"/>
  <c r="C3193" i="3"/>
  <c r="B3193" i="3"/>
  <c r="D3192" i="3"/>
  <c r="C3192" i="3"/>
  <c r="B3192" i="3"/>
  <c r="D3191" i="3"/>
  <c r="C3191" i="3"/>
  <c r="B3191" i="3"/>
  <c r="D3190" i="3"/>
  <c r="C3190" i="3"/>
  <c r="B3190" i="3"/>
  <c r="D3189" i="3"/>
  <c r="C3189" i="3"/>
  <c r="B3189" i="3"/>
  <c r="D3188" i="3"/>
  <c r="C3188" i="3"/>
  <c r="B3188" i="3"/>
  <c r="D3187" i="3"/>
  <c r="C3187" i="3"/>
  <c r="B3187" i="3"/>
  <c r="D3186" i="3"/>
  <c r="C3186" i="3"/>
  <c r="B3186" i="3"/>
  <c r="D3185" i="3"/>
  <c r="C3185" i="3"/>
  <c r="B3185" i="3"/>
  <c r="D3184" i="3"/>
  <c r="C3184" i="3"/>
  <c r="B3184" i="3"/>
  <c r="D3183" i="3"/>
  <c r="C3183" i="3"/>
  <c r="B3183" i="3"/>
  <c r="D3182" i="3"/>
  <c r="C3182" i="3"/>
  <c r="B3182" i="3"/>
  <c r="D3181" i="3"/>
  <c r="C3181" i="3"/>
  <c r="B3181" i="3"/>
  <c r="D3180" i="3"/>
  <c r="C3180" i="3"/>
  <c r="B3180" i="3"/>
  <c r="D3179" i="3"/>
  <c r="C3179" i="3"/>
  <c r="B3179" i="3"/>
  <c r="D3178" i="3"/>
  <c r="C3178" i="3"/>
  <c r="B3178" i="3"/>
  <c r="D3177" i="3"/>
  <c r="C3177" i="3"/>
  <c r="B3177" i="3"/>
  <c r="D3176" i="3"/>
  <c r="C3176" i="3"/>
  <c r="B3176" i="3"/>
  <c r="D3175" i="3"/>
  <c r="C3175" i="3"/>
  <c r="B3175" i="3"/>
  <c r="D3174" i="3"/>
  <c r="C3174" i="3"/>
  <c r="B3174" i="3"/>
  <c r="D3173" i="3"/>
  <c r="C3173" i="3"/>
  <c r="B3173" i="3"/>
  <c r="D3172" i="3"/>
  <c r="C3172" i="3"/>
  <c r="B3172" i="3"/>
  <c r="D3171" i="3"/>
  <c r="C3171" i="3"/>
  <c r="B3171" i="3"/>
  <c r="D3170" i="3"/>
  <c r="C3170" i="3"/>
  <c r="B3170" i="3"/>
  <c r="D3169" i="3"/>
  <c r="C3169" i="3"/>
  <c r="B3169" i="3"/>
  <c r="D3168" i="3"/>
  <c r="C3168" i="3"/>
  <c r="B3168" i="3"/>
  <c r="D3167" i="3"/>
  <c r="C3167" i="3"/>
  <c r="B3167" i="3"/>
  <c r="D3166" i="3"/>
  <c r="C3166" i="3"/>
  <c r="B3166" i="3"/>
  <c r="D3165" i="3"/>
  <c r="C3165" i="3"/>
  <c r="B3165" i="3"/>
  <c r="D3164" i="3"/>
  <c r="C3164" i="3"/>
  <c r="B3164" i="3"/>
  <c r="D3163" i="3"/>
  <c r="C3163" i="3"/>
  <c r="B3163" i="3"/>
  <c r="D3162" i="3"/>
  <c r="C3162" i="3"/>
  <c r="B3162" i="3"/>
  <c r="D3161" i="3"/>
  <c r="C3161" i="3"/>
  <c r="B3161" i="3"/>
  <c r="D3160" i="3"/>
  <c r="C3160" i="3"/>
  <c r="B3160" i="3"/>
  <c r="D3159" i="3"/>
  <c r="C3159" i="3"/>
  <c r="B3159" i="3"/>
  <c r="D3158" i="3"/>
  <c r="C3158" i="3"/>
  <c r="B3158" i="3"/>
  <c r="D3157" i="3"/>
  <c r="C3157" i="3"/>
  <c r="B3157" i="3"/>
  <c r="D3156" i="3"/>
  <c r="C3156" i="3"/>
  <c r="B3156" i="3"/>
  <c r="D3155" i="3"/>
  <c r="C3155" i="3"/>
  <c r="B3155" i="3"/>
  <c r="D3154" i="3"/>
  <c r="C3154" i="3"/>
  <c r="B3154" i="3"/>
  <c r="D3153" i="3"/>
  <c r="C3153" i="3"/>
  <c r="B3153" i="3"/>
  <c r="D3152" i="3"/>
  <c r="C3152" i="3"/>
  <c r="B3152" i="3"/>
  <c r="D3151" i="3"/>
  <c r="C3151" i="3"/>
  <c r="B3151" i="3"/>
  <c r="D3150" i="3"/>
  <c r="C3150" i="3"/>
  <c r="B3150" i="3"/>
  <c r="D3149" i="3"/>
  <c r="C3149" i="3"/>
  <c r="B3149" i="3"/>
  <c r="D3148" i="3"/>
  <c r="C3148" i="3"/>
  <c r="B3148" i="3"/>
  <c r="D3147" i="3"/>
  <c r="C3147" i="3"/>
  <c r="B3147" i="3"/>
  <c r="D3146" i="3"/>
  <c r="C3146" i="3"/>
  <c r="B3146" i="3"/>
  <c r="D3145" i="3"/>
  <c r="C3145" i="3"/>
  <c r="B3145" i="3"/>
  <c r="D3144" i="3"/>
  <c r="C3144" i="3"/>
  <c r="B3144" i="3"/>
  <c r="D3143" i="3"/>
  <c r="C3143" i="3"/>
  <c r="B3143" i="3"/>
  <c r="D3142" i="3"/>
  <c r="C3142" i="3"/>
  <c r="B3142" i="3"/>
  <c r="D3141" i="3"/>
  <c r="C3141" i="3"/>
  <c r="B3141" i="3"/>
  <c r="D3140" i="3"/>
  <c r="C3140" i="3"/>
  <c r="B3140" i="3"/>
  <c r="D3139" i="3"/>
  <c r="C3139" i="3"/>
  <c r="B3139" i="3"/>
  <c r="D3138" i="3"/>
  <c r="C3138" i="3"/>
  <c r="B3138" i="3"/>
  <c r="D3137" i="3"/>
  <c r="C3137" i="3"/>
  <c r="B3137" i="3"/>
  <c r="D3136" i="3"/>
  <c r="C3136" i="3"/>
  <c r="B3136" i="3"/>
  <c r="D3135" i="3"/>
  <c r="C3135" i="3"/>
  <c r="B3135" i="3"/>
  <c r="D3134" i="3"/>
  <c r="C3134" i="3"/>
  <c r="B3134" i="3"/>
  <c r="D3133" i="3"/>
  <c r="C3133" i="3"/>
  <c r="B3133" i="3"/>
  <c r="D3132" i="3"/>
  <c r="C3132" i="3"/>
  <c r="B3132" i="3"/>
  <c r="D3131" i="3"/>
  <c r="C3131" i="3"/>
  <c r="B3131" i="3"/>
  <c r="D3130" i="3"/>
  <c r="C3130" i="3"/>
  <c r="B3130" i="3"/>
  <c r="D3129" i="3"/>
  <c r="C3129" i="3"/>
  <c r="B3129" i="3"/>
  <c r="D3128" i="3"/>
  <c r="C3128" i="3"/>
  <c r="B3128" i="3"/>
  <c r="D3127" i="3"/>
  <c r="C3127" i="3"/>
  <c r="B3127" i="3"/>
  <c r="D3126" i="3"/>
  <c r="C3126" i="3"/>
  <c r="B3126" i="3"/>
  <c r="D3125" i="3"/>
  <c r="C3125" i="3"/>
  <c r="B3125" i="3"/>
  <c r="D3124" i="3"/>
  <c r="C3124" i="3"/>
  <c r="B3124" i="3"/>
  <c r="D3123" i="3"/>
  <c r="C3123" i="3"/>
  <c r="B3123" i="3"/>
  <c r="D3122" i="3"/>
  <c r="C3122" i="3"/>
  <c r="B3122" i="3"/>
  <c r="D3121" i="3"/>
  <c r="C3121" i="3"/>
  <c r="B3121" i="3"/>
  <c r="D3120" i="3"/>
  <c r="C3120" i="3"/>
  <c r="B3120" i="3"/>
  <c r="D3119" i="3"/>
  <c r="C3119" i="3"/>
  <c r="B3119" i="3"/>
  <c r="D3118" i="3"/>
  <c r="C3118" i="3"/>
  <c r="B3118" i="3"/>
  <c r="D3117" i="3"/>
  <c r="C3117" i="3"/>
  <c r="B3117" i="3"/>
  <c r="D3116" i="3"/>
  <c r="C3116" i="3"/>
  <c r="B3116" i="3"/>
  <c r="D3115" i="3"/>
  <c r="C3115" i="3"/>
  <c r="B3115" i="3"/>
  <c r="D3114" i="3"/>
  <c r="C3114" i="3"/>
  <c r="B3114" i="3"/>
  <c r="D3113" i="3"/>
  <c r="C3113" i="3"/>
  <c r="B3113" i="3"/>
  <c r="D3112" i="3"/>
  <c r="C3112" i="3"/>
  <c r="B3112" i="3"/>
  <c r="D3111" i="3"/>
  <c r="C3111" i="3"/>
  <c r="B3111" i="3"/>
  <c r="D3110" i="3"/>
  <c r="C3110" i="3"/>
  <c r="B3110" i="3"/>
  <c r="D3109" i="3"/>
  <c r="C3109" i="3"/>
  <c r="B3109" i="3"/>
  <c r="D3108" i="3"/>
  <c r="C3108" i="3"/>
  <c r="B3108" i="3"/>
  <c r="D3107" i="3"/>
  <c r="C3107" i="3"/>
  <c r="B3107" i="3"/>
  <c r="D3106" i="3"/>
  <c r="C3106" i="3"/>
  <c r="B3106" i="3"/>
  <c r="D3105" i="3"/>
  <c r="C3105" i="3"/>
  <c r="B3105" i="3"/>
  <c r="D3104" i="3"/>
  <c r="C3104" i="3"/>
  <c r="B3104" i="3"/>
  <c r="D3103" i="3"/>
  <c r="C3103" i="3"/>
  <c r="B3103" i="3"/>
  <c r="D3102" i="3"/>
  <c r="C3102" i="3"/>
  <c r="B3102" i="3"/>
  <c r="D3101" i="3"/>
  <c r="C3101" i="3"/>
  <c r="B3101" i="3"/>
  <c r="D3100" i="3"/>
  <c r="C3100" i="3"/>
  <c r="B3100" i="3"/>
  <c r="D3099" i="3"/>
  <c r="C3099" i="3"/>
  <c r="B3099" i="3"/>
  <c r="D3098" i="3"/>
  <c r="C3098" i="3"/>
  <c r="B3098" i="3"/>
  <c r="D3097" i="3"/>
  <c r="C3097" i="3"/>
  <c r="B3097" i="3"/>
  <c r="D3096" i="3"/>
  <c r="C3096" i="3"/>
  <c r="B3096" i="3"/>
  <c r="D3095" i="3"/>
  <c r="C3095" i="3"/>
  <c r="B3095" i="3"/>
  <c r="D3094" i="3"/>
  <c r="C3094" i="3"/>
  <c r="B3094" i="3"/>
  <c r="D3093" i="3"/>
  <c r="C3093" i="3"/>
  <c r="B3093" i="3"/>
  <c r="D3092" i="3"/>
  <c r="C3092" i="3"/>
  <c r="B3092" i="3"/>
  <c r="D3091" i="3"/>
  <c r="C3091" i="3"/>
  <c r="B3091" i="3"/>
  <c r="D3090" i="3"/>
  <c r="C3090" i="3"/>
  <c r="B3090" i="3"/>
  <c r="D3089" i="3"/>
  <c r="C3089" i="3"/>
  <c r="B3089" i="3"/>
  <c r="D3088" i="3"/>
  <c r="C3088" i="3"/>
  <c r="B3088" i="3"/>
  <c r="D3087" i="3"/>
  <c r="C3087" i="3"/>
  <c r="B3087" i="3"/>
  <c r="D3086" i="3"/>
  <c r="C3086" i="3"/>
  <c r="B3086" i="3"/>
  <c r="D3085" i="3"/>
  <c r="C3085" i="3"/>
  <c r="B3085" i="3"/>
  <c r="D3084" i="3"/>
  <c r="C3084" i="3"/>
  <c r="B3084" i="3"/>
  <c r="D3083" i="3"/>
  <c r="C3083" i="3"/>
  <c r="B3083" i="3"/>
  <c r="D3082" i="3"/>
  <c r="C3082" i="3"/>
  <c r="B3082" i="3"/>
  <c r="D3081" i="3"/>
  <c r="C3081" i="3"/>
  <c r="B3081" i="3"/>
  <c r="D3080" i="3"/>
  <c r="C3080" i="3"/>
  <c r="B3080" i="3"/>
  <c r="D3079" i="3"/>
  <c r="C3079" i="3"/>
  <c r="B3079" i="3"/>
  <c r="D3078" i="3"/>
  <c r="C3078" i="3"/>
  <c r="B3078" i="3"/>
  <c r="D3077" i="3"/>
  <c r="C3077" i="3"/>
  <c r="B3077" i="3"/>
  <c r="D3076" i="3"/>
  <c r="C3076" i="3"/>
  <c r="B3076" i="3"/>
  <c r="D3075" i="3"/>
  <c r="C3075" i="3"/>
  <c r="B3075" i="3"/>
  <c r="D3074" i="3"/>
  <c r="C3074" i="3"/>
  <c r="B3074" i="3"/>
  <c r="D3073" i="3"/>
  <c r="C3073" i="3"/>
  <c r="B3073" i="3"/>
  <c r="D3072" i="3"/>
  <c r="C3072" i="3"/>
  <c r="B3072" i="3"/>
  <c r="D3071" i="3"/>
  <c r="C3071" i="3"/>
  <c r="B3071" i="3"/>
  <c r="D3070" i="3"/>
  <c r="C3070" i="3"/>
  <c r="B3070" i="3"/>
  <c r="D3069" i="3"/>
  <c r="C3069" i="3"/>
  <c r="B3069" i="3"/>
  <c r="D3068" i="3"/>
  <c r="C3068" i="3"/>
  <c r="B3068" i="3"/>
  <c r="D3067" i="3"/>
  <c r="C3067" i="3"/>
  <c r="B3067" i="3"/>
  <c r="D3066" i="3"/>
  <c r="C3066" i="3"/>
  <c r="B3066" i="3"/>
  <c r="D3065" i="3"/>
  <c r="C3065" i="3"/>
  <c r="B3065" i="3"/>
  <c r="D3064" i="3"/>
  <c r="C3064" i="3"/>
  <c r="B3064" i="3"/>
  <c r="D3063" i="3"/>
  <c r="C3063" i="3"/>
  <c r="B3063" i="3"/>
  <c r="D3062" i="3"/>
  <c r="C3062" i="3"/>
  <c r="B3062" i="3"/>
  <c r="D3061" i="3"/>
  <c r="C3061" i="3"/>
  <c r="B3061" i="3"/>
  <c r="D3060" i="3"/>
  <c r="C3060" i="3"/>
  <c r="B3060" i="3"/>
  <c r="D3059" i="3"/>
  <c r="C3059" i="3"/>
  <c r="B3059" i="3"/>
  <c r="D3058" i="3"/>
  <c r="C3058" i="3"/>
  <c r="B3058" i="3"/>
  <c r="D3057" i="3"/>
  <c r="C3057" i="3"/>
  <c r="B3057" i="3"/>
  <c r="D3056" i="3"/>
  <c r="C3056" i="3"/>
  <c r="B3056" i="3"/>
  <c r="D3055" i="3"/>
  <c r="C3055" i="3"/>
  <c r="B3055" i="3"/>
  <c r="D3054" i="3"/>
  <c r="C3054" i="3"/>
  <c r="B3054" i="3"/>
  <c r="D3053" i="3"/>
  <c r="C3053" i="3"/>
  <c r="B3053" i="3"/>
  <c r="D3052" i="3"/>
  <c r="C3052" i="3"/>
  <c r="B3052" i="3"/>
  <c r="D3051" i="3"/>
  <c r="C3051" i="3"/>
  <c r="B3051" i="3"/>
  <c r="D3050" i="3"/>
  <c r="C3050" i="3"/>
  <c r="B3050" i="3"/>
  <c r="D3049" i="3"/>
  <c r="C3049" i="3"/>
  <c r="B3049" i="3"/>
  <c r="D3048" i="3"/>
  <c r="C3048" i="3"/>
  <c r="B3048" i="3"/>
  <c r="D3047" i="3"/>
  <c r="C3047" i="3"/>
  <c r="B3047" i="3"/>
  <c r="D3046" i="3"/>
  <c r="C3046" i="3"/>
  <c r="B3046" i="3"/>
  <c r="D3045" i="3"/>
  <c r="C3045" i="3"/>
  <c r="B3045" i="3"/>
  <c r="D3044" i="3"/>
  <c r="C3044" i="3"/>
  <c r="B3044" i="3"/>
  <c r="D3043" i="3"/>
  <c r="C3043" i="3"/>
  <c r="B3043" i="3"/>
  <c r="D3042" i="3"/>
  <c r="C3042" i="3"/>
  <c r="B3042" i="3"/>
  <c r="D3041" i="3"/>
  <c r="C3041" i="3"/>
  <c r="B3041" i="3"/>
  <c r="D3040" i="3"/>
  <c r="C3040" i="3"/>
  <c r="B3040" i="3"/>
  <c r="D3039" i="3"/>
  <c r="C3039" i="3"/>
  <c r="B3039" i="3"/>
  <c r="D3038" i="3"/>
  <c r="C3038" i="3"/>
  <c r="B3038" i="3"/>
  <c r="D3037" i="3"/>
  <c r="C3037" i="3"/>
  <c r="B3037" i="3"/>
  <c r="D3036" i="3"/>
  <c r="C3036" i="3"/>
  <c r="B3036" i="3"/>
  <c r="D3035" i="3"/>
  <c r="C3035" i="3"/>
  <c r="B3035" i="3"/>
  <c r="D3034" i="3"/>
  <c r="C3034" i="3"/>
  <c r="B3034" i="3"/>
  <c r="D3033" i="3"/>
  <c r="C3033" i="3"/>
  <c r="B3033" i="3"/>
  <c r="D3032" i="3"/>
  <c r="C3032" i="3"/>
  <c r="B3032" i="3"/>
  <c r="D3031" i="3"/>
  <c r="C3031" i="3"/>
  <c r="B3031" i="3"/>
  <c r="D3030" i="3"/>
  <c r="C3030" i="3"/>
  <c r="B3030" i="3"/>
  <c r="D3029" i="3"/>
  <c r="C3029" i="3"/>
  <c r="B3029" i="3"/>
  <c r="D3028" i="3"/>
  <c r="C3028" i="3"/>
  <c r="B3028" i="3"/>
  <c r="D3027" i="3"/>
  <c r="C3027" i="3"/>
  <c r="B3027" i="3"/>
  <c r="D3026" i="3"/>
  <c r="C3026" i="3"/>
  <c r="B3026" i="3"/>
  <c r="D3025" i="3"/>
  <c r="C3025" i="3"/>
  <c r="B3025" i="3"/>
  <c r="D3024" i="3"/>
  <c r="C3024" i="3"/>
  <c r="B3024" i="3"/>
  <c r="D3023" i="3"/>
  <c r="C3023" i="3"/>
  <c r="B3023" i="3"/>
  <c r="D3022" i="3"/>
  <c r="C3022" i="3"/>
  <c r="B3022" i="3"/>
  <c r="D3021" i="3"/>
  <c r="C3021" i="3"/>
  <c r="B3021" i="3"/>
  <c r="D3020" i="3"/>
  <c r="C3020" i="3"/>
  <c r="B3020" i="3"/>
  <c r="D3019" i="3"/>
  <c r="C3019" i="3"/>
  <c r="B3019" i="3"/>
  <c r="D3018" i="3"/>
  <c r="C3018" i="3"/>
  <c r="B3018" i="3"/>
  <c r="D3017" i="3"/>
  <c r="C3017" i="3"/>
  <c r="B3017" i="3"/>
  <c r="D3016" i="3"/>
  <c r="C3016" i="3"/>
  <c r="B3016" i="3"/>
  <c r="D3015" i="3"/>
  <c r="C3015" i="3"/>
  <c r="B3015" i="3"/>
  <c r="D3014" i="3"/>
  <c r="C3014" i="3"/>
  <c r="B3014" i="3"/>
  <c r="D3013" i="3"/>
  <c r="C3013" i="3"/>
  <c r="B3013" i="3"/>
  <c r="D3012" i="3"/>
  <c r="C3012" i="3"/>
  <c r="B3012" i="3"/>
  <c r="D3011" i="3"/>
  <c r="C3011" i="3"/>
  <c r="B3011" i="3"/>
  <c r="D3010" i="3"/>
  <c r="C3010" i="3"/>
  <c r="B3010" i="3"/>
  <c r="D3009" i="3"/>
  <c r="C3009" i="3"/>
  <c r="B3009" i="3"/>
  <c r="D3008" i="3"/>
  <c r="C3008" i="3"/>
  <c r="B3008" i="3"/>
  <c r="D3007" i="3"/>
  <c r="C3007" i="3"/>
  <c r="B3007" i="3"/>
  <c r="D3006" i="3"/>
  <c r="C3006" i="3"/>
  <c r="B3006" i="3"/>
  <c r="D3005" i="3"/>
  <c r="C3005" i="3"/>
  <c r="B3005" i="3"/>
  <c r="D3004" i="3"/>
  <c r="C3004" i="3"/>
  <c r="B3004" i="3"/>
  <c r="D3003" i="3"/>
  <c r="C3003" i="3"/>
  <c r="B3003" i="3"/>
  <c r="D3002" i="3"/>
  <c r="C3002" i="3"/>
  <c r="B3002" i="3"/>
  <c r="D3001" i="3"/>
  <c r="C3001" i="3"/>
  <c r="B3001" i="3"/>
  <c r="D3000" i="3"/>
  <c r="C3000" i="3"/>
  <c r="B3000" i="3"/>
  <c r="D2999" i="3"/>
  <c r="C2999" i="3"/>
  <c r="B2999" i="3"/>
  <c r="D2998" i="3"/>
  <c r="C2998" i="3"/>
  <c r="B2998" i="3"/>
  <c r="D2997" i="3"/>
  <c r="C2997" i="3"/>
  <c r="B2997" i="3"/>
  <c r="D2996" i="3"/>
  <c r="C2996" i="3"/>
  <c r="B2996" i="3"/>
  <c r="D2995" i="3"/>
  <c r="C2995" i="3"/>
  <c r="B2995" i="3"/>
  <c r="D2994" i="3"/>
  <c r="C2994" i="3"/>
  <c r="B2994" i="3"/>
  <c r="D2993" i="3"/>
  <c r="C2993" i="3"/>
  <c r="B2993" i="3"/>
  <c r="D2992" i="3"/>
  <c r="C2992" i="3"/>
  <c r="B2992" i="3"/>
  <c r="D2991" i="3"/>
  <c r="C2991" i="3"/>
  <c r="B2991" i="3"/>
  <c r="D2990" i="3"/>
  <c r="C2990" i="3"/>
  <c r="B2990" i="3"/>
  <c r="D2989" i="3"/>
  <c r="C2989" i="3"/>
  <c r="B2989" i="3"/>
  <c r="D2988" i="3"/>
  <c r="C2988" i="3"/>
  <c r="B2988" i="3"/>
  <c r="D2987" i="3"/>
  <c r="C2987" i="3"/>
  <c r="B2987" i="3"/>
  <c r="D2986" i="3"/>
  <c r="C2986" i="3"/>
  <c r="B2986" i="3"/>
  <c r="D2985" i="3"/>
  <c r="C2985" i="3"/>
  <c r="B2985" i="3"/>
  <c r="D2984" i="3"/>
  <c r="C2984" i="3"/>
  <c r="B2984" i="3"/>
  <c r="D2983" i="3"/>
  <c r="C2983" i="3"/>
  <c r="B2983" i="3"/>
  <c r="D2982" i="3"/>
  <c r="C2982" i="3"/>
  <c r="B2982" i="3"/>
  <c r="D2981" i="3"/>
  <c r="C2981" i="3"/>
  <c r="B2981" i="3"/>
  <c r="D2980" i="3"/>
  <c r="C2980" i="3"/>
  <c r="B2980" i="3"/>
  <c r="D2979" i="3"/>
  <c r="C2979" i="3"/>
  <c r="B2979" i="3"/>
  <c r="D2978" i="3"/>
  <c r="C2978" i="3"/>
  <c r="B2978" i="3"/>
  <c r="D2977" i="3"/>
  <c r="C2977" i="3"/>
  <c r="B2977" i="3"/>
  <c r="D2976" i="3"/>
  <c r="C2976" i="3"/>
  <c r="B2976" i="3"/>
  <c r="D2975" i="3"/>
  <c r="C2975" i="3"/>
  <c r="B2975" i="3"/>
  <c r="D2974" i="3"/>
  <c r="C2974" i="3"/>
  <c r="B2974" i="3"/>
  <c r="D2973" i="3"/>
  <c r="C2973" i="3"/>
  <c r="B2973" i="3"/>
  <c r="D2972" i="3"/>
  <c r="C2972" i="3"/>
  <c r="B2972" i="3"/>
  <c r="D2971" i="3"/>
  <c r="C2971" i="3"/>
  <c r="B2971" i="3"/>
  <c r="D2970" i="3"/>
  <c r="C2970" i="3"/>
  <c r="B2970" i="3"/>
  <c r="D2969" i="3"/>
  <c r="C2969" i="3"/>
  <c r="B2969" i="3"/>
  <c r="D2968" i="3"/>
  <c r="C2968" i="3"/>
  <c r="B2968" i="3"/>
  <c r="D2967" i="3"/>
  <c r="C2967" i="3"/>
  <c r="B2967" i="3"/>
  <c r="D2966" i="3"/>
  <c r="C2966" i="3"/>
  <c r="B2966" i="3"/>
  <c r="D2965" i="3"/>
  <c r="C2965" i="3"/>
  <c r="B2965" i="3"/>
  <c r="D2964" i="3"/>
  <c r="C2964" i="3"/>
  <c r="B2964" i="3"/>
  <c r="D2963" i="3"/>
  <c r="C2963" i="3"/>
  <c r="B2963" i="3"/>
  <c r="D2962" i="3"/>
  <c r="C2962" i="3"/>
  <c r="B2962" i="3"/>
  <c r="D2961" i="3"/>
  <c r="C2961" i="3"/>
  <c r="B2961" i="3"/>
  <c r="D2960" i="3"/>
  <c r="C2960" i="3"/>
  <c r="B2960" i="3"/>
  <c r="D2959" i="3"/>
  <c r="C2959" i="3"/>
  <c r="B2959" i="3"/>
  <c r="D2958" i="3"/>
  <c r="C2958" i="3"/>
  <c r="B2958" i="3"/>
  <c r="D2957" i="3"/>
  <c r="C2957" i="3"/>
  <c r="B2957" i="3"/>
  <c r="D2956" i="3"/>
  <c r="C2956" i="3"/>
  <c r="B2956" i="3"/>
  <c r="D2955" i="3"/>
  <c r="C2955" i="3"/>
  <c r="B2955" i="3"/>
  <c r="D2954" i="3"/>
  <c r="C2954" i="3"/>
  <c r="B2954" i="3"/>
  <c r="D2953" i="3"/>
  <c r="C2953" i="3"/>
  <c r="B2953" i="3"/>
  <c r="D2952" i="3"/>
  <c r="C2952" i="3"/>
  <c r="B2952" i="3"/>
  <c r="D2951" i="3"/>
  <c r="C2951" i="3"/>
  <c r="B2951" i="3"/>
  <c r="D2950" i="3"/>
  <c r="C2950" i="3"/>
  <c r="B2950" i="3"/>
  <c r="D2949" i="3"/>
  <c r="C2949" i="3"/>
  <c r="B2949" i="3"/>
  <c r="D2948" i="3"/>
  <c r="C2948" i="3"/>
  <c r="B2948" i="3"/>
  <c r="D2947" i="3"/>
  <c r="C2947" i="3"/>
  <c r="B2947" i="3"/>
  <c r="D2946" i="3"/>
  <c r="C2946" i="3"/>
  <c r="B2946" i="3"/>
  <c r="D2945" i="3"/>
  <c r="C2945" i="3"/>
  <c r="B2945" i="3"/>
  <c r="D2944" i="3"/>
  <c r="C2944" i="3"/>
  <c r="B2944" i="3"/>
  <c r="D2943" i="3"/>
  <c r="C2943" i="3"/>
  <c r="B2943" i="3"/>
  <c r="D2942" i="3"/>
  <c r="C2942" i="3"/>
  <c r="B2942" i="3"/>
  <c r="D2941" i="3"/>
  <c r="C2941" i="3"/>
  <c r="B2941" i="3"/>
  <c r="D2940" i="3"/>
  <c r="C2940" i="3"/>
  <c r="B2940" i="3"/>
  <c r="D2939" i="3"/>
  <c r="C2939" i="3"/>
  <c r="B2939" i="3"/>
  <c r="D2938" i="3"/>
  <c r="C2938" i="3"/>
  <c r="B2938" i="3"/>
  <c r="D2937" i="3"/>
  <c r="C2937" i="3"/>
  <c r="B2937" i="3"/>
  <c r="D2936" i="3"/>
  <c r="C2936" i="3"/>
  <c r="B2936" i="3"/>
  <c r="D2935" i="3"/>
  <c r="C2935" i="3"/>
  <c r="B2935" i="3"/>
  <c r="D2934" i="3"/>
  <c r="C2934" i="3"/>
  <c r="B2934" i="3"/>
  <c r="D2933" i="3"/>
  <c r="C2933" i="3"/>
  <c r="B2933" i="3"/>
  <c r="D2932" i="3"/>
  <c r="C2932" i="3"/>
  <c r="B2932" i="3"/>
  <c r="D2931" i="3"/>
  <c r="C2931" i="3"/>
  <c r="B2931" i="3"/>
  <c r="D2930" i="3"/>
  <c r="C2930" i="3"/>
  <c r="B2930" i="3"/>
  <c r="D2929" i="3"/>
  <c r="C2929" i="3"/>
  <c r="B2929" i="3"/>
  <c r="D2928" i="3"/>
  <c r="C2928" i="3"/>
  <c r="B2928" i="3"/>
  <c r="D2927" i="3"/>
  <c r="C2927" i="3"/>
  <c r="B2927" i="3"/>
  <c r="D2926" i="3"/>
  <c r="C2926" i="3"/>
  <c r="B2926" i="3"/>
  <c r="D2925" i="3"/>
  <c r="C2925" i="3"/>
  <c r="B2925" i="3"/>
  <c r="D2924" i="3"/>
  <c r="C2924" i="3"/>
  <c r="B2924" i="3"/>
  <c r="D2923" i="3"/>
  <c r="C2923" i="3"/>
  <c r="B2923" i="3"/>
  <c r="D2922" i="3"/>
  <c r="C2922" i="3"/>
  <c r="B2922" i="3"/>
  <c r="D2921" i="3"/>
  <c r="C2921" i="3"/>
  <c r="B2921" i="3"/>
  <c r="D2920" i="3"/>
  <c r="C2920" i="3"/>
  <c r="B2920" i="3"/>
  <c r="D2919" i="3"/>
  <c r="C2919" i="3"/>
  <c r="B2919" i="3"/>
  <c r="D2918" i="3"/>
  <c r="C2918" i="3"/>
  <c r="B2918" i="3"/>
  <c r="D2917" i="3"/>
  <c r="C2917" i="3"/>
  <c r="B2917" i="3"/>
  <c r="D2916" i="3"/>
  <c r="C2916" i="3"/>
  <c r="B2916" i="3"/>
  <c r="D2915" i="3"/>
  <c r="C2915" i="3"/>
  <c r="B2915" i="3"/>
  <c r="D2914" i="3"/>
  <c r="C2914" i="3"/>
  <c r="B2914" i="3"/>
  <c r="D2913" i="3"/>
  <c r="C2913" i="3"/>
  <c r="B2913" i="3"/>
  <c r="D2912" i="3"/>
  <c r="C2912" i="3"/>
  <c r="B2912" i="3"/>
  <c r="D2911" i="3"/>
  <c r="C2911" i="3"/>
  <c r="B2911" i="3"/>
  <c r="D2910" i="3"/>
  <c r="C2910" i="3"/>
  <c r="B2910" i="3"/>
  <c r="D2909" i="3"/>
  <c r="C2909" i="3"/>
  <c r="B2909" i="3"/>
  <c r="D2908" i="3"/>
  <c r="C2908" i="3"/>
  <c r="B2908" i="3"/>
  <c r="D2907" i="3"/>
  <c r="C2907" i="3"/>
  <c r="B2907" i="3"/>
  <c r="D2906" i="3"/>
  <c r="C2906" i="3"/>
  <c r="B2906" i="3"/>
  <c r="D2905" i="3"/>
  <c r="C2905" i="3"/>
  <c r="B2905" i="3"/>
  <c r="D2904" i="3"/>
  <c r="C2904" i="3"/>
  <c r="B2904" i="3"/>
  <c r="D2903" i="3"/>
  <c r="C2903" i="3"/>
  <c r="B2903" i="3"/>
  <c r="D2902" i="3"/>
  <c r="C2902" i="3"/>
  <c r="B2902" i="3"/>
  <c r="D2901" i="3"/>
  <c r="C2901" i="3"/>
  <c r="B2901" i="3"/>
  <c r="D2900" i="3"/>
  <c r="C2900" i="3"/>
  <c r="B2900" i="3"/>
  <c r="D2899" i="3"/>
  <c r="C2899" i="3"/>
  <c r="B2899" i="3"/>
  <c r="D2898" i="3"/>
  <c r="C2898" i="3"/>
  <c r="B2898" i="3"/>
  <c r="D2897" i="3"/>
  <c r="C2897" i="3"/>
  <c r="B2897" i="3"/>
  <c r="D2896" i="3"/>
  <c r="C2896" i="3"/>
  <c r="B2896" i="3"/>
  <c r="D2895" i="3"/>
  <c r="C2895" i="3"/>
  <c r="B2895" i="3"/>
  <c r="D2894" i="3"/>
  <c r="C2894" i="3"/>
  <c r="B2894" i="3"/>
  <c r="D2893" i="3"/>
  <c r="C2893" i="3"/>
  <c r="B2893" i="3"/>
  <c r="D2892" i="3"/>
  <c r="C2892" i="3"/>
  <c r="B2892" i="3"/>
  <c r="D2891" i="3"/>
  <c r="C2891" i="3"/>
  <c r="B2891" i="3"/>
  <c r="D2890" i="3"/>
  <c r="C2890" i="3"/>
  <c r="B2890" i="3"/>
  <c r="D2889" i="3"/>
  <c r="C2889" i="3"/>
  <c r="B2889" i="3"/>
  <c r="D2888" i="3"/>
  <c r="C2888" i="3"/>
  <c r="B2888" i="3"/>
  <c r="D2887" i="3"/>
  <c r="C2887" i="3"/>
  <c r="B2887" i="3"/>
  <c r="D2886" i="3"/>
  <c r="C2886" i="3"/>
  <c r="B2886" i="3"/>
  <c r="D2885" i="3"/>
  <c r="C2885" i="3"/>
  <c r="B2885" i="3"/>
  <c r="D2884" i="3"/>
  <c r="C2884" i="3"/>
  <c r="B2884" i="3"/>
  <c r="D2883" i="3"/>
  <c r="C2883" i="3"/>
  <c r="B2883" i="3"/>
  <c r="D2882" i="3"/>
  <c r="C2882" i="3"/>
  <c r="B2882" i="3"/>
  <c r="D2881" i="3"/>
  <c r="C2881" i="3"/>
  <c r="B2881" i="3"/>
  <c r="D2880" i="3"/>
  <c r="C2880" i="3"/>
  <c r="B2880" i="3"/>
  <c r="D2879" i="3"/>
  <c r="C2879" i="3"/>
  <c r="B2879" i="3"/>
  <c r="D2878" i="3"/>
  <c r="C2878" i="3"/>
  <c r="B2878" i="3"/>
  <c r="D2877" i="3"/>
  <c r="C2877" i="3"/>
  <c r="B2877" i="3"/>
  <c r="D2876" i="3"/>
  <c r="C2876" i="3"/>
  <c r="B2876" i="3"/>
  <c r="D2875" i="3"/>
  <c r="C2875" i="3"/>
  <c r="B2875" i="3"/>
  <c r="D2874" i="3"/>
  <c r="C2874" i="3"/>
  <c r="B2874" i="3"/>
  <c r="D2873" i="3"/>
  <c r="C2873" i="3"/>
  <c r="B2873" i="3"/>
  <c r="D2872" i="3"/>
  <c r="C2872" i="3"/>
  <c r="B2872" i="3"/>
  <c r="D2871" i="3"/>
  <c r="C2871" i="3"/>
  <c r="B2871" i="3"/>
  <c r="D2870" i="3"/>
  <c r="C2870" i="3"/>
  <c r="B2870" i="3"/>
  <c r="D2869" i="3"/>
  <c r="C2869" i="3"/>
  <c r="B2869" i="3"/>
  <c r="D2868" i="3"/>
  <c r="C2868" i="3"/>
  <c r="B2868" i="3"/>
  <c r="D2867" i="3"/>
  <c r="C2867" i="3"/>
  <c r="B2867" i="3"/>
  <c r="D2866" i="3"/>
  <c r="C2866" i="3"/>
  <c r="B2866" i="3"/>
  <c r="D2865" i="3"/>
  <c r="C2865" i="3"/>
  <c r="B2865" i="3"/>
  <c r="D2864" i="3"/>
  <c r="C2864" i="3"/>
  <c r="B2864" i="3"/>
  <c r="D2863" i="3"/>
  <c r="C2863" i="3"/>
  <c r="B2863" i="3"/>
  <c r="D2862" i="3"/>
  <c r="C2862" i="3"/>
  <c r="B2862" i="3"/>
  <c r="D2861" i="3"/>
  <c r="C2861" i="3"/>
  <c r="B2861" i="3"/>
  <c r="D2860" i="3"/>
  <c r="C2860" i="3"/>
  <c r="B2860" i="3"/>
  <c r="D2859" i="3"/>
  <c r="C2859" i="3"/>
  <c r="B2859" i="3"/>
  <c r="D2858" i="3"/>
  <c r="C2858" i="3"/>
  <c r="B2858" i="3"/>
  <c r="D2857" i="3"/>
  <c r="C2857" i="3"/>
  <c r="B2857" i="3"/>
  <c r="D2856" i="3"/>
  <c r="C2856" i="3"/>
  <c r="B2856" i="3"/>
  <c r="D2855" i="3"/>
  <c r="C2855" i="3"/>
  <c r="B2855" i="3"/>
  <c r="D2854" i="3"/>
  <c r="C2854" i="3"/>
  <c r="B2854" i="3"/>
  <c r="D2853" i="3"/>
  <c r="C2853" i="3"/>
  <c r="B2853" i="3"/>
  <c r="D2852" i="3"/>
  <c r="C2852" i="3"/>
  <c r="B2852" i="3"/>
  <c r="D2851" i="3"/>
  <c r="C2851" i="3"/>
  <c r="B2851" i="3"/>
  <c r="D2850" i="3"/>
  <c r="C2850" i="3"/>
  <c r="B2850" i="3"/>
  <c r="D2849" i="3"/>
  <c r="C2849" i="3"/>
  <c r="B2849" i="3"/>
  <c r="D2848" i="3"/>
  <c r="C2848" i="3"/>
  <c r="B2848" i="3"/>
  <c r="D2847" i="3"/>
  <c r="C2847" i="3"/>
  <c r="B2847" i="3"/>
  <c r="D2846" i="3"/>
  <c r="C2846" i="3"/>
  <c r="B2846" i="3"/>
  <c r="D2845" i="3"/>
  <c r="C2845" i="3"/>
  <c r="B2845" i="3"/>
  <c r="D2844" i="3"/>
  <c r="C2844" i="3"/>
  <c r="B2844" i="3"/>
  <c r="D2843" i="3"/>
  <c r="C2843" i="3"/>
  <c r="B2843" i="3"/>
  <c r="D2842" i="3"/>
  <c r="C2842" i="3"/>
  <c r="B2842" i="3"/>
  <c r="D2841" i="3"/>
  <c r="C2841" i="3"/>
  <c r="B2841" i="3"/>
  <c r="D2840" i="3"/>
  <c r="C2840" i="3"/>
  <c r="B2840" i="3"/>
  <c r="D2839" i="3"/>
  <c r="C2839" i="3"/>
  <c r="B2839" i="3"/>
  <c r="D2838" i="3"/>
  <c r="C2838" i="3"/>
  <c r="B2838" i="3"/>
  <c r="D2837" i="3"/>
  <c r="C2837" i="3"/>
  <c r="B2837" i="3"/>
  <c r="D2836" i="3"/>
  <c r="C2836" i="3"/>
  <c r="B2836" i="3"/>
  <c r="D2835" i="3"/>
  <c r="C2835" i="3"/>
  <c r="B2835" i="3"/>
  <c r="D2834" i="3"/>
  <c r="C2834" i="3"/>
  <c r="B2834" i="3"/>
  <c r="D2833" i="3"/>
  <c r="C2833" i="3"/>
  <c r="B2833" i="3"/>
  <c r="D2832" i="3"/>
  <c r="C2832" i="3"/>
  <c r="B2832" i="3"/>
  <c r="D2831" i="3"/>
  <c r="C2831" i="3"/>
  <c r="B2831" i="3"/>
  <c r="D2830" i="3"/>
  <c r="C2830" i="3"/>
  <c r="B2830" i="3"/>
  <c r="D2829" i="3"/>
  <c r="C2829" i="3"/>
  <c r="B2829" i="3"/>
  <c r="D2828" i="3"/>
  <c r="C2828" i="3"/>
  <c r="B2828" i="3"/>
  <c r="D2827" i="3"/>
  <c r="C2827" i="3"/>
  <c r="B2827" i="3"/>
  <c r="D2826" i="3"/>
  <c r="C2826" i="3"/>
  <c r="B2826" i="3"/>
  <c r="D2825" i="3"/>
  <c r="C2825" i="3"/>
  <c r="B2825" i="3"/>
  <c r="D2824" i="3"/>
  <c r="C2824" i="3"/>
  <c r="B2824" i="3"/>
  <c r="D2823" i="3"/>
  <c r="C2823" i="3"/>
  <c r="B2823" i="3"/>
  <c r="D2822" i="3"/>
  <c r="C2822" i="3"/>
  <c r="B2822" i="3"/>
  <c r="D2821" i="3"/>
  <c r="C2821" i="3"/>
  <c r="B2821" i="3"/>
  <c r="D2820" i="3"/>
  <c r="C2820" i="3"/>
  <c r="B2820" i="3"/>
  <c r="D2819" i="3"/>
  <c r="C2819" i="3"/>
  <c r="B2819" i="3"/>
  <c r="D2818" i="3"/>
  <c r="C2818" i="3"/>
  <c r="B2818" i="3"/>
  <c r="D2817" i="3"/>
  <c r="C2817" i="3"/>
  <c r="B2817" i="3"/>
  <c r="D2816" i="3"/>
  <c r="C2816" i="3"/>
  <c r="B2816" i="3"/>
  <c r="D2815" i="3"/>
  <c r="C2815" i="3"/>
  <c r="B2815" i="3"/>
  <c r="D2814" i="3"/>
  <c r="C2814" i="3"/>
  <c r="B2814" i="3"/>
  <c r="D2813" i="3"/>
  <c r="C2813" i="3"/>
  <c r="B2813" i="3"/>
  <c r="D2812" i="3"/>
  <c r="C2812" i="3"/>
  <c r="B2812" i="3"/>
  <c r="D2811" i="3"/>
  <c r="C2811" i="3"/>
  <c r="B2811" i="3"/>
  <c r="D2810" i="3"/>
  <c r="C2810" i="3"/>
  <c r="B2810" i="3"/>
  <c r="D2809" i="3"/>
  <c r="C2809" i="3"/>
  <c r="B2809" i="3"/>
  <c r="D2808" i="3"/>
  <c r="C2808" i="3"/>
  <c r="B2808" i="3"/>
  <c r="D2807" i="3"/>
  <c r="C2807" i="3"/>
  <c r="B2807" i="3"/>
  <c r="D2806" i="3"/>
  <c r="C2806" i="3"/>
  <c r="B2806" i="3"/>
  <c r="D2805" i="3"/>
  <c r="C2805" i="3"/>
  <c r="B2805" i="3"/>
  <c r="D2804" i="3"/>
  <c r="C2804" i="3"/>
  <c r="B2804" i="3"/>
  <c r="D2803" i="3"/>
  <c r="C2803" i="3"/>
  <c r="B2803" i="3"/>
  <c r="D2802" i="3"/>
  <c r="C2802" i="3"/>
  <c r="B2802" i="3"/>
  <c r="D2801" i="3"/>
  <c r="C2801" i="3"/>
  <c r="B2801" i="3"/>
  <c r="D2800" i="3"/>
  <c r="C2800" i="3"/>
  <c r="B2800" i="3"/>
  <c r="D2799" i="3"/>
  <c r="C2799" i="3"/>
  <c r="B2799" i="3"/>
  <c r="D2798" i="3"/>
  <c r="C2798" i="3"/>
  <c r="B2798" i="3"/>
  <c r="D2797" i="3"/>
  <c r="C2797" i="3"/>
  <c r="B2797" i="3"/>
  <c r="D2796" i="3"/>
  <c r="C2796" i="3"/>
  <c r="B2796" i="3"/>
  <c r="D2795" i="3"/>
  <c r="C2795" i="3"/>
  <c r="B2795" i="3"/>
  <c r="D2794" i="3"/>
  <c r="C2794" i="3"/>
  <c r="B2794" i="3"/>
  <c r="D2793" i="3"/>
  <c r="C2793" i="3"/>
  <c r="B2793" i="3"/>
  <c r="D2792" i="3"/>
  <c r="C2792" i="3"/>
  <c r="B2792" i="3"/>
  <c r="D2791" i="3"/>
  <c r="C2791" i="3"/>
  <c r="B2791" i="3"/>
  <c r="D2790" i="3"/>
  <c r="C2790" i="3"/>
  <c r="B2790" i="3"/>
  <c r="D2789" i="3"/>
  <c r="C2789" i="3"/>
  <c r="B2789" i="3"/>
  <c r="D2788" i="3"/>
  <c r="C2788" i="3"/>
  <c r="B2788" i="3"/>
  <c r="D2787" i="3"/>
  <c r="C2787" i="3"/>
  <c r="B2787" i="3"/>
  <c r="D2786" i="3"/>
  <c r="C2786" i="3"/>
  <c r="B2786" i="3"/>
  <c r="D2785" i="3"/>
  <c r="C2785" i="3"/>
  <c r="B2785" i="3"/>
  <c r="D2784" i="3"/>
  <c r="C2784" i="3"/>
  <c r="B2784" i="3"/>
  <c r="D2783" i="3"/>
  <c r="C2783" i="3"/>
  <c r="B2783" i="3"/>
  <c r="D2782" i="3"/>
  <c r="C2782" i="3"/>
  <c r="B2782" i="3"/>
  <c r="D2781" i="3"/>
  <c r="C2781" i="3"/>
  <c r="B2781" i="3"/>
  <c r="D2780" i="3"/>
  <c r="C2780" i="3"/>
  <c r="B2780" i="3"/>
  <c r="D2779" i="3"/>
  <c r="C2779" i="3"/>
  <c r="B2779" i="3"/>
  <c r="D2778" i="3"/>
  <c r="C2778" i="3"/>
  <c r="B2778" i="3"/>
  <c r="D2777" i="3"/>
  <c r="C2777" i="3"/>
  <c r="B2777" i="3"/>
  <c r="D2776" i="3"/>
  <c r="C2776" i="3"/>
  <c r="B2776" i="3"/>
  <c r="D2775" i="3"/>
  <c r="C2775" i="3"/>
  <c r="B2775" i="3"/>
  <c r="D2774" i="3"/>
  <c r="C2774" i="3"/>
  <c r="B2774" i="3"/>
  <c r="D2773" i="3"/>
  <c r="C2773" i="3"/>
  <c r="B2773" i="3"/>
  <c r="D2772" i="3"/>
  <c r="C2772" i="3"/>
  <c r="B2772" i="3"/>
  <c r="D2771" i="3"/>
  <c r="C2771" i="3"/>
  <c r="B2771" i="3"/>
  <c r="D2770" i="3"/>
  <c r="C2770" i="3"/>
  <c r="B2770" i="3"/>
  <c r="D2769" i="3"/>
  <c r="C2769" i="3"/>
  <c r="B2769" i="3"/>
  <c r="D2768" i="3"/>
  <c r="C2768" i="3"/>
  <c r="B2768" i="3"/>
  <c r="D2767" i="3"/>
  <c r="C2767" i="3"/>
  <c r="B2767" i="3"/>
  <c r="D2766" i="3"/>
  <c r="C2766" i="3"/>
  <c r="B2766" i="3"/>
  <c r="D2765" i="3"/>
  <c r="C2765" i="3"/>
  <c r="B2765" i="3"/>
  <c r="D2764" i="3"/>
  <c r="C2764" i="3"/>
  <c r="B2764" i="3"/>
  <c r="D2763" i="3"/>
  <c r="C2763" i="3"/>
  <c r="B2763" i="3"/>
  <c r="D2762" i="3"/>
  <c r="C2762" i="3"/>
  <c r="B2762" i="3"/>
  <c r="D2761" i="3"/>
  <c r="C2761" i="3"/>
  <c r="B2761" i="3"/>
  <c r="D2760" i="3"/>
  <c r="C2760" i="3"/>
  <c r="B2760" i="3"/>
  <c r="D2759" i="3"/>
  <c r="C2759" i="3"/>
  <c r="B2759" i="3"/>
  <c r="D2758" i="3"/>
  <c r="C2758" i="3"/>
  <c r="B2758" i="3"/>
  <c r="D2757" i="3"/>
  <c r="C2757" i="3"/>
  <c r="B2757" i="3"/>
  <c r="D2756" i="3"/>
  <c r="C2756" i="3"/>
  <c r="B2756" i="3"/>
  <c r="D2755" i="3"/>
  <c r="C2755" i="3"/>
  <c r="B2755" i="3"/>
  <c r="D2754" i="3"/>
  <c r="C2754" i="3"/>
  <c r="B2754" i="3"/>
  <c r="D2753" i="3"/>
  <c r="C2753" i="3"/>
  <c r="B2753" i="3"/>
  <c r="D2752" i="3"/>
  <c r="C2752" i="3"/>
  <c r="B2752" i="3"/>
  <c r="D2751" i="3"/>
  <c r="C2751" i="3"/>
  <c r="B2751" i="3"/>
  <c r="D2750" i="3"/>
  <c r="C2750" i="3"/>
  <c r="B2750" i="3"/>
  <c r="D2749" i="3"/>
  <c r="C2749" i="3"/>
  <c r="B2749" i="3"/>
  <c r="D2748" i="3"/>
  <c r="C2748" i="3"/>
  <c r="B2748" i="3"/>
  <c r="D2747" i="3"/>
  <c r="C2747" i="3"/>
  <c r="B2747" i="3"/>
  <c r="D2746" i="3"/>
  <c r="C2746" i="3"/>
  <c r="B2746" i="3"/>
  <c r="D2745" i="3"/>
  <c r="C2745" i="3"/>
  <c r="B2745" i="3"/>
  <c r="D2744" i="3"/>
  <c r="C2744" i="3"/>
  <c r="B2744" i="3"/>
  <c r="D2743" i="3"/>
  <c r="C2743" i="3"/>
  <c r="B2743" i="3"/>
  <c r="D2742" i="3"/>
  <c r="C2742" i="3"/>
  <c r="B2742" i="3"/>
  <c r="D2741" i="3"/>
  <c r="C2741" i="3"/>
  <c r="B2741" i="3"/>
  <c r="D2740" i="3"/>
  <c r="C2740" i="3"/>
  <c r="B2740" i="3"/>
  <c r="D2739" i="3"/>
  <c r="C2739" i="3"/>
  <c r="B2739" i="3"/>
  <c r="D2738" i="3"/>
  <c r="C2738" i="3"/>
  <c r="B2738" i="3"/>
  <c r="D2737" i="3"/>
  <c r="C2737" i="3"/>
  <c r="B2737" i="3"/>
  <c r="D2736" i="3"/>
  <c r="C2736" i="3"/>
  <c r="B2736" i="3"/>
  <c r="D2735" i="3"/>
  <c r="C2735" i="3"/>
  <c r="B2735" i="3"/>
  <c r="D2734" i="3"/>
  <c r="C2734" i="3"/>
  <c r="B2734" i="3"/>
  <c r="D2733" i="3"/>
  <c r="C2733" i="3"/>
  <c r="B2733" i="3"/>
  <c r="D2732" i="3"/>
  <c r="C2732" i="3"/>
  <c r="B2732" i="3"/>
  <c r="D2731" i="3"/>
  <c r="C2731" i="3"/>
  <c r="B2731" i="3"/>
  <c r="D2730" i="3"/>
  <c r="C2730" i="3"/>
  <c r="B2730" i="3"/>
  <c r="D2729" i="3"/>
  <c r="C2729" i="3"/>
  <c r="B2729" i="3"/>
  <c r="D2728" i="3"/>
  <c r="C2728" i="3"/>
  <c r="B2728" i="3"/>
  <c r="D2727" i="3"/>
  <c r="C2727" i="3"/>
  <c r="B2727" i="3"/>
  <c r="D2726" i="3"/>
  <c r="C2726" i="3"/>
  <c r="B2726" i="3"/>
  <c r="D2725" i="3"/>
  <c r="C2725" i="3"/>
  <c r="B2725" i="3"/>
  <c r="D2724" i="3"/>
  <c r="C2724" i="3"/>
  <c r="B2724" i="3"/>
  <c r="D2723" i="3"/>
  <c r="C2723" i="3"/>
  <c r="B2723" i="3"/>
  <c r="D2722" i="3"/>
  <c r="C2722" i="3"/>
  <c r="B2722" i="3"/>
  <c r="D2721" i="3"/>
  <c r="C2721" i="3"/>
  <c r="B2721" i="3"/>
  <c r="D2720" i="3"/>
  <c r="C2720" i="3"/>
  <c r="B2720" i="3"/>
  <c r="D2719" i="3"/>
  <c r="C2719" i="3"/>
  <c r="B2719" i="3"/>
  <c r="D2718" i="3"/>
  <c r="C2718" i="3"/>
  <c r="B2718" i="3"/>
  <c r="D2717" i="3"/>
  <c r="C2717" i="3"/>
  <c r="B2717" i="3"/>
  <c r="D2716" i="3"/>
  <c r="C2716" i="3"/>
  <c r="B2716" i="3"/>
  <c r="D2715" i="3"/>
  <c r="C2715" i="3"/>
  <c r="B2715" i="3"/>
  <c r="D2714" i="3"/>
  <c r="C2714" i="3"/>
  <c r="B2714" i="3"/>
  <c r="D2713" i="3"/>
  <c r="C2713" i="3"/>
  <c r="B2713" i="3"/>
  <c r="D2712" i="3"/>
  <c r="C2712" i="3"/>
  <c r="B2712" i="3"/>
  <c r="D2711" i="3"/>
  <c r="C2711" i="3"/>
  <c r="B2711" i="3"/>
  <c r="D2710" i="3"/>
  <c r="C2710" i="3"/>
  <c r="B2710" i="3"/>
  <c r="D2709" i="3"/>
  <c r="C2709" i="3"/>
  <c r="B2709" i="3"/>
  <c r="D2708" i="3"/>
  <c r="C2708" i="3"/>
  <c r="B2708" i="3"/>
  <c r="D2707" i="3"/>
  <c r="C2707" i="3"/>
  <c r="B2707" i="3"/>
  <c r="D2706" i="3"/>
  <c r="C2706" i="3"/>
  <c r="B2706" i="3"/>
  <c r="D2705" i="3"/>
  <c r="C2705" i="3"/>
  <c r="B2705" i="3"/>
  <c r="D2704" i="3"/>
  <c r="C2704" i="3"/>
  <c r="B2704" i="3"/>
  <c r="D2703" i="3"/>
  <c r="C2703" i="3"/>
  <c r="B2703" i="3"/>
  <c r="D2702" i="3"/>
  <c r="C2702" i="3"/>
  <c r="B2702" i="3"/>
  <c r="D2701" i="3"/>
  <c r="C2701" i="3"/>
  <c r="B2701" i="3"/>
  <c r="D2700" i="3"/>
  <c r="C2700" i="3"/>
  <c r="B2700" i="3"/>
  <c r="D2699" i="3"/>
  <c r="C2699" i="3"/>
  <c r="B2699" i="3"/>
  <c r="D2698" i="3"/>
  <c r="C2698" i="3"/>
  <c r="B2698" i="3"/>
  <c r="D2697" i="3"/>
  <c r="C2697" i="3"/>
  <c r="B2697" i="3"/>
  <c r="D2696" i="3"/>
  <c r="C2696" i="3"/>
  <c r="B2696" i="3"/>
  <c r="D2695" i="3"/>
  <c r="C2695" i="3"/>
  <c r="B2695" i="3"/>
  <c r="D2694" i="3"/>
  <c r="C2694" i="3"/>
  <c r="B2694" i="3"/>
  <c r="D2693" i="3"/>
  <c r="C2693" i="3"/>
  <c r="B2693" i="3"/>
  <c r="D2692" i="3"/>
  <c r="C2692" i="3"/>
  <c r="B2692" i="3"/>
  <c r="D2691" i="3"/>
  <c r="C2691" i="3"/>
  <c r="B2691" i="3"/>
  <c r="D2690" i="3"/>
  <c r="C2690" i="3"/>
  <c r="B2690" i="3"/>
  <c r="D2689" i="3"/>
  <c r="C2689" i="3"/>
  <c r="B2689" i="3"/>
  <c r="D2688" i="3"/>
  <c r="C2688" i="3"/>
  <c r="B2688" i="3"/>
  <c r="D2687" i="3"/>
  <c r="C2687" i="3"/>
  <c r="B2687" i="3"/>
  <c r="D2686" i="3"/>
  <c r="C2686" i="3"/>
  <c r="B2686" i="3"/>
  <c r="D2685" i="3"/>
  <c r="C2685" i="3"/>
  <c r="B2685" i="3"/>
  <c r="D2684" i="3"/>
  <c r="C2684" i="3"/>
  <c r="B2684" i="3"/>
  <c r="D2683" i="3"/>
  <c r="C2683" i="3"/>
  <c r="B2683" i="3"/>
  <c r="D2682" i="3"/>
  <c r="C2682" i="3"/>
  <c r="B2682" i="3"/>
  <c r="D2681" i="3"/>
  <c r="C2681" i="3"/>
  <c r="B2681" i="3"/>
  <c r="D2680" i="3"/>
  <c r="C2680" i="3"/>
  <c r="B2680" i="3"/>
  <c r="D2679" i="3"/>
  <c r="C2679" i="3"/>
  <c r="B2679" i="3"/>
  <c r="D2678" i="3"/>
  <c r="C2678" i="3"/>
  <c r="B2678" i="3"/>
  <c r="D2677" i="3"/>
  <c r="C2677" i="3"/>
  <c r="B2677" i="3"/>
  <c r="D2676" i="3"/>
  <c r="C2676" i="3"/>
  <c r="B2676" i="3"/>
  <c r="D2675" i="3"/>
  <c r="C2675" i="3"/>
  <c r="B2675" i="3"/>
  <c r="D2674" i="3"/>
  <c r="C2674" i="3"/>
  <c r="B2674" i="3"/>
  <c r="D2673" i="3"/>
  <c r="C2673" i="3"/>
  <c r="B2673" i="3"/>
  <c r="D2672" i="3"/>
  <c r="C2672" i="3"/>
  <c r="B2672" i="3"/>
  <c r="D2671" i="3"/>
  <c r="C2671" i="3"/>
  <c r="B2671" i="3"/>
  <c r="D2670" i="3"/>
  <c r="C2670" i="3"/>
  <c r="B2670" i="3"/>
  <c r="D2669" i="3"/>
  <c r="C2669" i="3"/>
  <c r="B2669" i="3"/>
  <c r="D2668" i="3"/>
  <c r="C2668" i="3"/>
  <c r="B2668" i="3"/>
  <c r="D2667" i="3"/>
  <c r="C2667" i="3"/>
  <c r="B2667" i="3"/>
  <c r="D2666" i="3"/>
  <c r="C2666" i="3"/>
  <c r="B2666" i="3"/>
  <c r="D2665" i="3"/>
  <c r="C2665" i="3"/>
  <c r="B2665" i="3"/>
  <c r="D2664" i="3"/>
  <c r="C2664" i="3"/>
  <c r="B2664" i="3"/>
  <c r="D2663" i="3"/>
  <c r="C2663" i="3"/>
  <c r="B2663" i="3"/>
  <c r="D2662" i="3"/>
  <c r="C2662" i="3"/>
  <c r="B2662" i="3"/>
  <c r="D2661" i="3"/>
  <c r="C2661" i="3"/>
  <c r="B2661" i="3"/>
  <c r="D2660" i="3"/>
  <c r="C2660" i="3"/>
  <c r="B2660" i="3"/>
  <c r="D2659" i="3"/>
  <c r="C2659" i="3"/>
  <c r="B2659" i="3"/>
  <c r="D2658" i="3"/>
  <c r="C2658" i="3"/>
  <c r="B2658" i="3"/>
  <c r="D2657" i="3"/>
  <c r="C2657" i="3"/>
  <c r="B2657" i="3"/>
  <c r="D2656" i="3"/>
  <c r="C2656" i="3"/>
  <c r="B2656" i="3"/>
  <c r="D2655" i="3"/>
  <c r="C2655" i="3"/>
  <c r="B2655" i="3"/>
  <c r="D2654" i="3"/>
  <c r="C2654" i="3"/>
  <c r="B2654" i="3"/>
  <c r="D2653" i="3"/>
  <c r="C2653" i="3"/>
  <c r="B2653" i="3"/>
  <c r="D2652" i="3"/>
  <c r="C2652" i="3"/>
  <c r="B2652" i="3"/>
  <c r="D2651" i="3"/>
  <c r="C2651" i="3"/>
  <c r="B2651" i="3"/>
  <c r="D2650" i="3"/>
  <c r="C2650" i="3"/>
  <c r="B2650" i="3"/>
  <c r="D2649" i="3"/>
  <c r="C2649" i="3"/>
  <c r="B2649" i="3"/>
  <c r="D2648" i="3"/>
  <c r="C2648" i="3"/>
  <c r="B2648" i="3"/>
  <c r="D2647" i="3"/>
  <c r="C2647" i="3"/>
  <c r="B2647" i="3"/>
  <c r="D2646" i="3"/>
  <c r="C2646" i="3"/>
  <c r="B2646" i="3"/>
  <c r="D2645" i="3"/>
  <c r="C2645" i="3"/>
  <c r="B2645" i="3"/>
  <c r="D2644" i="3"/>
  <c r="C2644" i="3"/>
  <c r="B2644" i="3"/>
  <c r="D2643" i="3"/>
  <c r="C2643" i="3"/>
  <c r="B2643" i="3"/>
  <c r="D2642" i="3"/>
  <c r="C2642" i="3"/>
  <c r="B2642" i="3"/>
  <c r="D2641" i="3"/>
  <c r="C2641" i="3"/>
  <c r="B2641" i="3"/>
  <c r="D2640" i="3"/>
  <c r="C2640" i="3"/>
  <c r="B2640" i="3"/>
  <c r="D2639" i="3"/>
  <c r="C2639" i="3"/>
  <c r="B2639" i="3"/>
  <c r="D2638" i="3"/>
  <c r="C2638" i="3"/>
  <c r="B2638" i="3"/>
  <c r="D2637" i="3"/>
  <c r="C2637" i="3"/>
  <c r="B2637" i="3"/>
  <c r="D2636" i="3"/>
  <c r="C2636" i="3"/>
  <c r="B2636" i="3"/>
  <c r="D2635" i="3"/>
  <c r="C2635" i="3"/>
  <c r="B2635" i="3"/>
  <c r="D2634" i="3"/>
  <c r="C2634" i="3"/>
  <c r="B2634" i="3"/>
  <c r="D2633" i="3"/>
  <c r="C2633" i="3"/>
  <c r="B2633" i="3"/>
  <c r="D2632" i="3"/>
  <c r="C2632" i="3"/>
  <c r="B2632" i="3"/>
  <c r="D2631" i="3"/>
  <c r="C2631" i="3"/>
  <c r="B2631" i="3"/>
  <c r="D2630" i="3"/>
  <c r="C2630" i="3"/>
  <c r="B2630" i="3"/>
  <c r="D2629" i="3"/>
  <c r="C2629" i="3"/>
  <c r="B2629" i="3"/>
  <c r="D2628" i="3"/>
  <c r="C2628" i="3"/>
  <c r="B2628" i="3"/>
  <c r="D2627" i="3"/>
  <c r="C2627" i="3"/>
  <c r="B2627" i="3"/>
  <c r="D2626" i="3"/>
  <c r="C2626" i="3"/>
  <c r="B2626" i="3"/>
  <c r="D2625" i="3"/>
  <c r="C2625" i="3"/>
  <c r="B2625" i="3"/>
  <c r="D2624" i="3"/>
  <c r="C2624" i="3"/>
  <c r="B2624" i="3"/>
  <c r="D2623" i="3"/>
  <c r="C2623" i="3"/>
  <c r="B2623" i="3"/>
  <c r="D2622" i="3"/>
  <c r="C2622" i="3"/>
  <c r="B2622" i="3"/>
  <c r="D2621" i="3"/>
  <c r="C2621" i="3"/>
  <c r="B2621" i="3"/>
  <c r="D2620" i="3"/>
  <c r="C2620" i="3"/>
  <c r="B2620" i="3"/>
  <c r="D2619" i="3"/>
  <c r="C2619" i="3"/>
  <c r="B2619" i="3"/>
  <c r="D2618" i="3"/>
  <c r="C2618" i="3"/>
  <c r="B2618" i="3"/>
  <c r="D2617" i="3"/>
  <c r="C2617" i="3"/>
  <c r="B2617" i="3"/>
  <c r="D2616" i="3"/>
  <c r="C2616" i="3"/>
  <c r="B2616" i="3"/>
  <c r="D2615" i="3"/>
  <c r="C2615" i="3"/>
  <c r="B2615" i="3"/>
  <c r="D2614" i="3"/>
  <c r="C2614" i="3"/>
  <c r="B2614" i="3"/>
  <c r="D2613" i="3"/>
  <c r="C2613" i="3"/>
  <c r="B2613" i="3"/>
  <c r="D2612" i="3"/>
  <c r="C2612" i="3"/>
  <c r="B2612" i="3"/>
  <c r="D2611" i="3"/>
  <c r="C2611" i="3"/>
  <c r="B2611" i="3"/>
  <c r="D2610" i="3"/>
  <c r="C2610" i="3"/>
  <c r="B2610" i="3"/>
  <c r="D2609" i="3"/>
  <c r="C2609" i="3"/>
  <c r="B2609" i="3"/>
  <c r="D2608" i="3"/>
  <c r="C2608" i="3"/>
  <c r="B2608" i="3"/>
  <c r="D2607" i="3"/>
  <c r="C2607" i="3"/>
  <c r="B2607" i="3"/>
  <c r="D2606" i="3"/>
  <c r="C2606" i="3"/>
  <c r="B2606" i="3"/>
  <c r="D2605" i="3"/>
  <c r="C2605" i="3"/>
  <c r="B2605" i="3"/>
  <c r="D2604" i="3"/>
  <c r="C2604" i="3"/>
  <c r="B2604" i="3"/>
  <c r="D2603" i="3"/>
  <c r="C2603" i="3"/>
  <c r="B2603" i="3"/>
  <c r="D2602" i="3"/>
  <c r="C2602" i="3"/>
  <c r="B2602" i="3"/>
  <c r="D2601" i="3"/>
  <c r="C2601" i="3"/>
  <c r="B2601" i="3"/>
  <c r="D2600" i="3"/>
  <c r="C2600" i="3"/>
  <c r="B2600" i="3"/>
  <c r="D2599" i="3"/>
  <c r="C2599" i="3"/>
  <c r="B2599" i="3"/>
  <c r="D2598" i="3"/>
  <c r="C2598" i="3"/>
  <c r="B2598" i="3"/>
  <c r="D2597" i="3"/>
  <c r="C2597" i="3"/>
  <c r="B2597" i="3"/>
  <c r="D2596" i="3"/>
  <c r="C2596" i="3"/>
  <c r="B2596" i="3"/>
  <c r="D2595" i="3"/>
  <c r="C2595" i="3"/>
  <c r="B2595" i="3"/>
  <c r="D2594" i="3"/>
  <c r="C2594" i="3"/>
  <c r="B2594" i="3"/>
  <c r="D2593" i="3"/>
  <c r="C2593" i="3"/>
  <c r="B2593" i="3"/>
  <c r="D2592" i="3"/>
  <c r="C2592" i="3"/>
  <c r="B2592" i="3"/>
  <c r="D2591" i="3"/>
  <c r="C2591" i="3"/>
  <c r="B2591" i="3"/>
  <c r="D2590" i="3"/>
  <c r="C2590" i="3"/>
  <c r="B2590" i="3"/>
  <c r="D2589" i="3"/>
  <c r="C2589" i="3"/>
  <c r="B2589" i="3"/>
  <c r="D2588" i="3"/>
  <c r="C2588" i="3"/>
  <c r="B2588" i="3"/>
  <c r="D2587" i="3"/>
  <c r="C2587" i="3"/>
  <c r="B2587" i="3"/>
  <c r="D2586" i="3"/>
  <c r="C2586" i="3"/>
  <c r="B2586" i="3"/>
  <c r="D2585" i="3"/>
  <c r="C2585" i="3"/>
  <c r="B2585" i="3"/>
  <c r="D2584" i="3"/>
  <c r="C2584" i="3"/>
  <c r="B2584" i="3"/>
  <c r="D2583" i="3"/>
  <c r="C2583" i="3"/>
  <c r="B2583" i="3"/>
  <c r="D2582" i="3"/>
  <c r="C2582" i="3"/>
  <c r="B2582" i="3"/>
  <c r="D2581" i="3"/>
  <c r="C2581" i="3"/>
  <c r="B2581" i="3"/>
  <c r="D2580" i="3"/>
  <c r="C2580" i="3"/>
  <c r="B2580" i="3"/>
  <c r="D2579" i="3"/>
  <c r="C2579" i="3"/>
  <c r="B2579" i="3"/>
  <c r="D2578" i="3"/>
  <c r="C2578" i="3"/>
  <c r="B2578" i="3"/>
  <c r="D2577" i="3"/>
  <c r="C2577" i="3"/>
  <c r="B2577" i="3"/>
  <c r="D2576" i="3"/>
  <c r="C2576" i="3"/>
  <c r="B2576" i="3"/>
  <c r="D2575" i="3"/>
  <c r="C2575" i="3"/>
  <c r="B2575" i="3"/>
  <c r="D2574" i="3"/>
  <c r="C2574" i="3"/>
  <c r="B2574" i="3"/>
  <c r="D2573" i="3"/>
  <c r="C2573" i="3"/>
  <c r="B2573" i="3"/>
  <c r="D2572" i="3"/>
  <c r="C2572" i="3"/>
  <c r="B2572" i="3"/>
  <c r="D2571" i="3"/>
  <c r="C2571" i="3"/>
  <c r="B2571" i="3"/>
  <c r="D2570" i="3"/>
  <c r="C2570" i="3"/>
  <c r="B2570" i="3"/>
  <c r="D2569" i="3"/>
  <c r="C2569" i="3"/>
  <c r="B2569" i="3"/>
  <c r="D2568" i="3"/>
  <c r="C2568" i="3"/>
  <c r="B2568" i="3"/>
  <c r="D2567" i="3"/>
  <c r="C2567" i="3"/>
  <c r="B2567" i="3"/>
  <c r="D2566" i="3"/>
  <c r="C2566" i="3"/>
  <c r="B2566" i="3"/>
  <c r="D2565" i="3"/>
  <c r="C2565" i="3"/>
  <c r="B2565" i="3"/>
  <c r="D2564" i="3"/>
  <c r="C2564" i="3"/>
  <c r="B2564" i="3"/>
  <c r="D2563" i="3"/>
  <c r="C2563" i="3"/>
  <c r="B2563" i="3"/>
  <c r="D2562" i="3"/>
  <c r="C2562" i="3"/>
  <c r="B2562" i="3"/>
  <c r="D2561" i="3"/>
  <c r="C2561" i="3"/>
  <c r="B2561" i="3"/>
  <c r="D2560" i="3"/>
  <c r="C2560" i="3"/>
  <c r="B2560" i="3"/>
  <c r="D2559" i="3"/>
  <c r="C2559" i="3"/>
  <c r="B2559" i="3"/>
  <c r="D2558" i="3"/>
  <c r="C2558" i="3"/>
  <c r="B2558" i="3"/>
  <c r="D2557" i="3"/>
  <c r="C2557" i="3"/>
  <c r="B2557" i="3"/>
  <c r="D2556" i="3"/>
  <c r="C2556" i="3"/>
  <c r="B2556" i="3"/>
  <c r="D2555" i="3"/>
  <c r="C2555" i="3"/>
  <c r="B2555" i="3"/>
  <c r="D2554" i="3"/>
  <c r="C2554" i="3"/>
  <c r="B2554" i="3"/>
  <c r="D2553" i="3"/>
  <c r="C2553" i="3"/>
  <c r="B2553" i="3"/>
  <c r="D2552" i="3"/>
  <c r="C2552" i="3"/>
  <c r="B2552" i="3"/>
  <c r="D2551" i="3"/>
  <c r="C2551" i="3"/>
  <c r="B2551" i="3"/>
  <c r="D2550" i="3"/>
  <c r="C2550" i="3"/>
  <c r="B2550" i="3"/>
  <c r="D2549" i="3"/>
  <c r="C2549" i="3"/>
  <c r="B2549" i="3"/>
  <c r="D2548" i="3"/>
  <c r="C2548" i="3"/>
  <c r="B2548" i="3"/>
  <c r="D2547" i="3"/>
  <c r="C2547" i="3"/>
  <c r="B2547" i="3"/>
  <c r="D2546" i="3"/>
  <c r="C2546" i="3"/>
  <c r="B2546" i="3"/>
  <c r="D2545" i="3"/>
  <c r="C2545" i="3"/>
  <c r="B2545" i="3"/>
  <c r="D2544" i="3"/>
  <c r="C2544" i="3"/>
  <c r="B2544" i="3"/>
  <c r="D2543" i="3"/>
  <c r="C2543" i="3"/>
  <c r="B2543" i="3"/>
  <c r="D2542" i="3"/>
  <c r="C2542" i="3"/>
  <c r="B2542" i="3"/>
  <c r="D2541" i="3"/>
  <c r="C2541" i="3"/>
  <c r="B2541" i="3"/>
  <c r="D2540" i="3"/>
  <c r="C2540" i="3"/>
  <c r="B2540" i="3"/>
  <c r="D2539" i="3"/>
  <c r="C2539" i="3"/>
  <c r="B2539" i="3"/>
  <c r="D2538" i="3"/>
  <c r="C2538" i="3"/>
  <c r="B2538" i="3"/>
  <c r="D2537" i="3"/>
  <c r="C2537" i="3"/>
  <c r="B2537" i="3"/>
  <c r="D2536" i="3"/>
  <c r="C2536" i="3"/>
  <c r="B2536" i="3"/>
  <c r="D2535" i="3"/>
  <c r="C2535" i="3"/>
  <c r="B2535" i="3"/>
  <c r="D2534" i="3"/>
  <c r="C2534" i="3"/>
  <c r="B2534" i="3"/>
  <c r="D2533" i="3"/>
  <c r="C2533" i="3"/>
  <c r="B2533" i="3"/>
  <c r="D2532" i="3"/>
  <c r="C2532" i="3"/>
  <c r="B2532" i="3"/>
  <c r="D2531" i="3"/>
  <c r="C2531" i="3"/>
  <c r="B2531" i="3"/>
  <c r="D2530" i="3"/>
  <c r="C2530" i="3"/>
  <c r="B2530" i="3"/>
  <c r="D2529" i="3"/>
  <c r="C2529" i="3"/>
  <c r="B2529" i="3"/>
  <c r="D2528" i="3"/>
  <c r="C2528" i="3"/>
  <c r="B2528" i="3"/>
  <c r="D2527" i="3"/>
  <c r="C2527" i="3"/>
  <c r="B2527" i="3"/>
  <c r="D2526" i="3"/>
  <c r="C2526" i="3"/>
  <c r="B2526" i="3"/>
  <c r="D2525" i="3"/>
  <c r="C2525" i="3"/>
  <c r="B2525" i="3"/>
  <c r="D2524" i="3"/>
  <c r="C2524" i="3"/>
  <c r="B2524" i="3"/>
  <c r="D2523" i="3"/>
  <c r="C2523" i="3"/>
  <c r="B2523" i="3"/>
  <c r="D2522" i="3"/>
  <c r="C2522" i="3"/>
  <c r="B2522" i="3"/>
  <c r="D2521" i="3"/>
  <c r="C2521" i="3"/>
  <c r="B2521" i="3"/>
  <c r="D2520" i="3"/>
  <c r="C2520" i="3"/>
  <c r="B2520" i="3"/>
  <c r="D2519" i="3"/>
  <c r="C2519" i="3"/>
  <c r="B2519" i="3"/>
  <c r="D2518" i="3"/>
  <c r="C2518" i="3"/>
  <c r="B2518" i="3"/>
  <c r="D2517" i="3"/>
  <c r="C2517" i="3"/>
  <c r="B2517" i="3"/>
  <c r="D2516" i="3"/>
  <c r="C2516" i="3"/>
  <c r="B2516" i="3"/>
  <c r="D2515" i="3"/>
  <c r="C2515" i="3"/>
  <c r="B2515" i="3"/>
  <c r="D2514" i="3"/>
  <c r="C2514" i="3"/>
  <c r="B2514" i="3"/>
  <c r="D2513" i="3"/>
  <c r="C2513" i="3"/>
  <c r="B2513" i="3"/>
  <c r="D2512" i="3"/>
  <c r="C2512" i="3"/>
  <c r="B2512" i="3"/>
  <c r="D2511" i="3"/>
  <c r="C2511" i="3"/>
  <c r="B2511" i="3"/>
  <c r="D2510" i="3"/>
  <c r="C2510" i="3"/>
  <c r="B2510" i="3"/>
  <c r="D2509" i="3"/>
  <c r="C2509" i="3"/>
  <c r="B2509" i="3"/>
  <c r="D2508" i="3"/>
  <c r="C2508" i="3"/>
  <c r="B2508" i="3"/>
  <c r="D2507" i="3"/>
  <c r="C2507" i="3"/>
  <c r="B2507" i="3"/>
  <c r="D2506" i="3"/>
  <c r="C2506" i="3"/>
  <c r="B2506" i="3"/>
  <c r="D2505" i="3"/>
  <c r="C2505" i="3"/>
  <c r="B2505" i="3"/>
  <c r="D2504" i="3"/>
  <c r="C2504" i="3"/>
  <c r="B2504" i="3"/>
  <c r="D2503" i="3"/>
  <c r="C2503" i="3"/>
  <c r="B2503" i="3"/>
  <c r="D2502" i="3"/>
  <c r="C2502" i="3"/>
  <c r="B2502" i="3"/>
  <c r="D2501" i="3"/>
  <c r="C2501" i="3"/>
  <c r="B2501" i="3"/>
  <c r="D2500" i="3"/>
  <c r="C2500" i="3"/>
  <c r="B2500" i="3"/>
  <c r="D2499" i="3"/>
  <c r="C2499" i="3"/>
  <c r="B2499" i="3"/>
  <c r="D2498" i="3"/>
  <c r="C2498" i="3"/>
  <c r="B2498" i="3"/>
  <c r="D2497" i="3"/>
  <c r="C2497" i="3"/>
  <c r="B2497" i="3"/>
  <c r="D2496" i="3"/>
  <c r="C2496" i="3"/>
  <c r="B2496" i="3"/>
  <c r="D2495" i="3"/>
  <c r="C2495" i="3"/>
  <c r="B2495" i="3"/>
  <c r="D2494" i="3"/>
  <c r="C2494" i="3"/>
  <c r="B2494" i="3"/>
  <c r="D2493" i="3"/>
  <c r="C2493" i="3"/>
  <c r="B2493" i="3"/>
  <c r="D2492" i="3"/>
  <c r="C2492" i="3"/>
  <c r="B2492" i="3"/>
  <c r="D2491" i="3"/>
  <c r="C2491" i="3"/>
  <c r="B2491" i="3"/>
  <c r="D2490" i="3"/>
  <c r="C2490" i="3"/>
  <c r="B2490" i="3"/>
  <c r="D2489" i="3"/>
  <c r="C2489" i="3"/>
  <c r="B2489" i="3"/>
  <c r="D2488" i="3"/>
  <c r="C2488" i="3"/>
  <c r="B2488" i="3"/>
  <c r="D2487" i="3"/>
  <c r="C2487" i="3"/>
  <c r="B2487" i="3"/>
  <c r="D2486" i="3"/>
  <c r="C2486" i="3"/>
  <c r="B2486" i="3"/>
  <c r="D2485" i="3"/>
  <c r="C2485" i="3"/>
  <c r="B2485" i="3"/>
  <c r="D2484" i="3"/>
  <c r="C2484" i="3"/>
  <c r="B2484" i="3"/>
  <c r="D2483" i="3"/>
  <c r="C2483" i="3"/>
  <c r="B2483" i="3"/>
  <c r="D2482" i="3"/>
  <c r="C2482" i="3"/>
  <c r="B2482" i="3"/>
  <c r="D2481" i="3"/>
  <c r="C2481" i="3"/>
  <c r="B2481" i="3"/>
  <c r="D2480" i="3"/>
  <c r="C2480" i="3"/>
  <c r="B2480" i="3"/>
  <c r="D2479" i="3"/>
  <c r="C2479" i="3"/>
  <c r="B2479" i="3"/>
  <c r="D2478" i="3"/>
  <c r="C2478" i="3"/>
  <c r="B2478" i="3"/>
  <c r="D2477" i="3"/>
  <c r="C2477" i="3"/>
  <c r="B2477" i="3"/>
  <c r="D2476" i="3"/>
  <c r="C2476" i="3"/>
  <c r="B2476" i="3"/>
  <c r="D2475" i="3"/>
  <c r="C2475" i="3"/>
  <c r="B2475" i="3"/>
  <c r="D2474" i="3"/>
  <c r="C2474" i="3"/>
  <c r="B2474" i="3"/>
  <c r="D2473" i="3"/>
  <c r="C2473" i="3"/>
  <c r="B2473" i="3"/>
  <c r="D2472" i="3"/>
  <c r="C2472" i="3"/>
  <c r="B2472" i="3"/>
  <c r="D2471" i="3"/>
  <c r="C2471" i="3"/>
  <c r="B2471" i="3"/>
  <c r="D2470" i="3"/>
  <c r="C2470" i="3"/>
  <c r="B2470" i="3"/>
  <c r="D2469" i="3"/>
  <c r="C2469" i="3"/>
  <c r="B2469" i="3"/>
  <c r="D2468" i="3"/>
  <c r="C2468" i="3"/>
  <c r="B2468" i="3"/>
  <c r="D2467" i="3"/>
  <c r="C2467" i="3"/>
  <c r="B2467" i="3"/>
  <c r="D2466" i="3"/>
  <c r="C2466" i="3"/>
  <c r="B2466" i="3"/>
  <c r="D2465" i="3"/>
  <c r="C2465" i="3"/>
  <c r="B2465" i="3"/>
  <c r="D2464" i="3"/>
  <c r="C2464" i="3"/>
  <c r="B2464" i="3"/>
  <c r="D2463" i="3"/>
  <c r="C2463" i="3"/>
  <c r="B2463" i="3"/>
  <c r="D2462" i="3"/>
  <c r="C2462" i="3"/>
  <c r="B2462" i="3"/>
  <c r="D2461" i="3"/>
  <c r="C2461" i="3"/>
  <c r="B2461" i="3"/>
  <c r="D2460" i="3"/>
  <c r="C2460" i="3"/>
  <c r="B2460" i="3"/>
  <c r="D2459" i="3"/>
  <c r="C2459" i="3"/>
  <c r="B2459" i="3"/>
  <c r="D2458" i="3"/>
  <c r="C2458" i="3"/>
  <c r="B2458" i="3"/>
  <c r="D2457" i="3"/>
  <c r="C2457" i="3"/>
  <c r="B2457" i="3"/>
  <c r="D2456" i="3"/>
  <c r="C2456" i="3"/>
  <c r="B2456" i="3"/>
  <c r="D2455" i="3"/>
  <c r="C2455" i="3"/>
  <c r="B2455" i="3"/>
  <c r="D2454" i="3"/>
  <c r="C2454" i="3"/>
  <c r="B2454" i="3"/>
  <c r="D2453" i="3"/>
  <c r="C2453" i="3"/>
  <c r="B2453" i="3"/>
  <c r="D2452" i="3"/>
  <c r="C2452" i="3"/>
  <c r="B2452" i="3"/>
  <c r="D2451" i="3"/>
  <c r="C2451" i="3"/>
  <c r="B2451" i="3"/>
  <c r="D2450" i="3"/>
  <c r="C2450" i="3"/>
  <c r="B2450" i="3"/>
  <c r="D2449" i="3"/>
  <c r="C2449" i="3"/>
  <c r="B2449" i="3"/>
  <c r="D2448" i="3"/>
  <c r="C2448" i="3"/>
  <c r="B2448" i="3"/>
  <c r="D2447" i="3"/>
  <c r="C2447" i="3"/>
  <c r="B2447" i="3"/>
  <c r="D2446" i="3"/>
  <c r="C2446" i="3"/>
  <c r="B2446" i="3"/>
  <c r="D2445" i="3"/>
  <c r="C2445" i="3"/>
  <c r="B2445" i="3"/>
  <c r="D2444" i="3"/>
  <c r="C2444" i="3"/>
  <c r="B2444" i="3"/>
  <c r="D2443" i="3"/>
  <c r="C2443" i="3"/>
  <c r="B2443" i="3"/>
  <c r="D2442" i="3"/>
  <c r="C2442" i="3"/>
  <c r="B2442" i="3"/>
  <c r="D2441" i="3"/>
  <c r="C2441" i="3"/>
  <c r="B2441" i="3"/>
  <c r="D2440" i="3"/>
  <c r="C2440" i="3"/>
  <c r="B2440" i="3"/>
  <c r="D2439" i="3"/>
  <c r="C2439" i="3"/>
  <c r="B2439" i="3"/>
  <c r="D2438" i="3"/>
  <c r="C2438" i="3"/>
  <c r="B2438" i="3"/>
  <c r="D2437" i="3"/>
  <c r="C2437" i="3"/>
  <c r="B2437" i="3"/>
  <c r="D2436" i="3"/>
  <c r="C2436" i="3"/>
  <c r="B2436" i="3"/>
  <c r="D2435" i="3"/>
  <c r="C2435" i="3"/>
  <c r="B2435" i="3"/>
  <c r="D2434" i="3"/>
  <c r="C2434" i="3"/>
  <c r="B2434" i="3"/>
  <c r="D2433" i="3"/>
  <c r="C2433" i="3"/>
  <c r="B2433" i="3"/>
  <c r="D2432" i="3"/>
  <c r="C2432" i="3"/>
  <c r="B2432" i="3"/>
  <c r="D2431" i="3"/>
  <c r="C2431" i="3"/>
  <c r="B2431" i="3"/>
  <c r="D2430" i="3"/>
  <c r="C2430" i="3"/>
  <c r="B2430" i="3"/>
  <c r="D2429" i="3"/>
  <c r="C2429" i="3"/>
  <c r="B2429" i="3"/>
  <c r="D2428" i="3"/>
  <c r="C2428" i="3"/>
  <c r="B2428" i="3"/>
  <c r="D2427" i="3"/>
  <c r="C2427" i="3"/>
  <c r="B2427" i="3"/>
  <c r="D2426" i="3"/>
  <c r="C2426" i="3"/>
  <c r="B2426" i="3"/>
  <c r="D2425" i="3"/>
  <c r="C2425" i="3"/>
  <c r="B2425" i="3"/>
  <c r="D2424" i="3"/>
  <c r="C2424" i="3"/>
  <c r="B2424" i="3"/>
  <c r="D2423" i="3"/>
  <c r="C2423" i="3"/>
  <c r="B2423" i="3"/>
  <c r="D2422" i="3"/>
  <c r="C2422" i="3"/>
  <c r="B2422" i="3"/>
  <c r="D2421" i="3"/>
  <c r="C2421" i="3"/>
  <c r="B2421" i="3"/>
  <c r="D2420" i="3"/>
  <c r="C2420" i="3"/>
  <c r="B2420" i="3"/>
  <c r="D2419" i="3"/>
  <c r="C2419" i="3"/>
  <c r="B2419" i="3"/>
  <c r="D2418" i="3"/>
  <c r="C2418" i="3"/>
  <c r="B2418" i="3"/>
  <c r="D2417" i="3"/>
  <c r="C2417" i="3"/>
  <c r="B2417" i="3"/>
  <c r="D2416" i="3"/>
  <c r="C2416" i="3"/>
  <c r="B2416" i="3"/>
  <c r="D2415" i="3"/>
  <c r="C2415" i="3"/>
  <c r="B2415" i="3"/>
  <c r="D2414" i="3"/>
  <c r="C2414" i="3"/>
  <c r="B2414" i="3"/>
  <c r="D2413" i="3"/>
  <c r="C2413" i="3"/>
  <c r="B2413" i="3"/>
  <c r="D2412" i="3"/>
  <c r="C2412" i="3"/>
  <c r="B2412" i="3"/>
  <c r="D2411" i="3"/>
  <c r="C2411" i="3"/>
  <c r="B2411" i="3"/>
  <c r="D2410" i="3"/>
  <c r="C2410" i="3"/>
  <c r="B2410" i="3"/>
  <c r="D2409" i="3"/>
  <c r="C2409" i="3"/>
  <c r="B2409" i="3"/>
  <c r="D2408" i="3"/>
  <c r="C2408" i="3"/>
  <c r="B2408" i="3"/>
  <c r="D2407" i="3"/>
  <c r="C2407" i="3"/>
  <c r="B2407" i="3"/>
  <c r="D2406" i="3"/>
  <c r="C2406" i="3"/>
  <c r="B2406" i="3"/>
  <c r="D2405" i="3"/>
  <c r="C2405" i="3"/>
  <c r="B2405" i="3"/>
  <c r="D2404" i="3"/>
  <c r="C2404" i="3"/>
  <c r="B2404" i="3"/>
  <c r="D2403" i="3"/>
  <c r="C2403" i="3"/>
  <c r="B2403" i="3"/>
  <c r="D2402" i="3"/>
  <c r="C2402" i="3"/>
  <c r="B2402" i="3"/>
  <c r="D2401" i="3"/>
  <c r="C2401" i="3"/>
  <c r="B2401" i="3"/>
  <c r="D2400" i="3"/>
  <c r="C2400" i="3"/>
  <c r="B2400" i="3"/>
  <c r="D2399" i="3"/>
  <c r="C2399" i="3"/>
  <c r="B2399" i="3"/>
  <c r="D2398" i="3"/>
  <c r="C2398" i="3"/>
  <c r="B2398" i="3"/>
  <c r="D2397" i="3"/>
  <c r="C2397" i="3"/>
  <c r="B2397" i="3"/>
  <c r="D2396" i="3"/>
  <c r="C2396" i="3"/>
  <c r="B2396" i="3"/>
  <c r="D2395" i="3"/>
  <c r="C2395" i="3"/>
  <c r="B2395" i="3"/>
  <c r="D2394" i="3"/>
  <c r="C2394" i="3"/>
  <c r="B2394" i="3"/>
  <c r="D2393" i="3"/>
  <c r="C2393" i="3"/>
  <c r="B2393" i="3"/>
  <c r="D2392" i="3"/>
  <c r="C2392" i="3"/>
  <c r="B2392" i="3"/>
  <c r="D2391" i="3"/>
  <c r="C2391" i="3"/>
  <c r="B2391" i="3"/>
  <c r="D2390" i="3"/>
  <c r="C2390" i="3"/>
  <c r="B2390" i="3"/>
  <c r="D2389" i="3"/>
  <c r="C2389" i="3"/>
  <c r="B2389" i="3"/>
  <c r="D2388" i="3"/>
  <c r="C2388" i="3"/>
  <c r="B2388" i="3"/>
  <c r="D2387" i="3"/>
  <c r="C2387" i="3"/>
  <c r="B2387" i="3"/>
  <c r="D2386" i="3"/>
  <c r="C2386" i="3"/>
  <c r="B2386" i="3"/>
  <c r="D2385" i="3"/>
  <c r="C2385" i="3"/>
  <c r="B2385" i="3"/>
  <c r="D2384" i="3"/>
  <c r="C2384" i="3"/>
  <c r="B2384" i="3"/>
  <c r="D2383" i="3"/>
  <c r="C2383" i="3"/>
  <c r="B2383" i="3"/>
  <c r="D2382" i="3"/>
  <c r="C2382" i="3"/>
  <c r="B2382" i="3"/>
  <c r="D2381" i="3"/>
  <c r="C2381" i="3"/>
  <c r="B2381" i="3"/>
  <c r="D2380" i="3"/>
  <c r="C2380" i="3"/>
  <c r="B2380" i="3"/>
  <c r="D2379" i="3"/>
  <c r="C2379" i="3"/>
  <c r="B2379" i="3"/>
  <c r="D2378" i="3"/>
  <c r="C2378" i="3"/>
  <c r="B2378" i="3"/>
  <c r="D2377" i="3"/>
  <c r="C2377" i="3"/>
  <c r="B2377" i="3"/>
  <c r="D2376" i="3"/>
  <c r="C2376" i="3"/>
  <c r="B2376" i="3"/>
  <c r="D2375" i="3"/>
  <c r="C2375" i="3"/>
  <c r="B2375" i="3"/>
  <c r="D2374" i="3"/>
  <c r="C2374" i="3"/>
  <c r="B2374" i="3"/>
  <c r="D2373" i="3"/>
  <c r="C2373" i="3"/>
  <c r="B2373" i="3"/>
  <c r="D2372" i="3"/>
  <c r="C2372" i="3"/>
  <c r="B2372" i="3"/>
  <c r="D2371" i="3"/>
  <c r="C2371" i="3"/>
  <c r="B2371" i="3"/>
  <c r="D2370" i="3"/>
  <c r="C2370" i="3"/>
  <c r="B2370" i="3"/>
  <c r="D2369" i="3"/>
  <c r="C2369" i="3"/>
  <c r="B2369" i="3"/>
  <c r="D2368" i="3"/>
  <c r="C2368" i="3"/>
  <c r="B2368" i="3"/>
  <c r="D2367" i="3"/>
  <c r="C2367" i="3"/>
  <c r="B2367" i="3"/>
  <c r="D2366" i="3"/>
  <c r="C2366" i="3"/>
  <c r="B2366" i="3"/>
  <c r="D2365" i="3"/>
  <c r="C2365" i="3"/>
  <c r="B2365" i="3"/>
  <c r="D2364" i="3"/>
  <c r="C2364" i="3"/>
  <c r="B2364" i="3"/>
  <c r="D2363" i="3"/>
  <c r="C2363" i="3"/>
  <c r="B2363" i="3"/>
  <c r="D2362" i="3"/>
  <c r="C2362" i="3"/>
  <c r="B2362" i="3"/>
  <c r="D2361" i="3"/>
  <c r="C2361" i="3"/>
  <c r="B2361" i="3"/>
  <c r="D2360" i="3"/>
  <c r="C2360" i="3"/>
  <c r="B2360" i="3"/>
  <c r="D2359" i="3"/>
  <c r="C2359" i="3"/>
  <c r="B2359" i="3"/>
  <c r="D2358" i="3"/>
  <c r="C2358" i="3"/>
  <c r="B2358" i="3"/>
  <c r="D2357" i="3"/>
  <c r="C2357" i="3"/>
  <c r="B2357" i="3"/>
  <c r="D2356" i="3"/>
  <c r="C2356" i="3"/>
  <c r="B2356" i="3"/>
  <c r="D2355" i="3"/>
  <c r="C2355" i="3"/>
  <c r="B2355" i="3"/>
  <c r="D2354" i="3"/>
  <c r="C2354" i="3"/>
  <c r="B2354" i="3"/>
  <c r="D2353" i="3"/>
  <c r="C2353" i="3"/>
  <c r="B2353" i="3"/>
  <c r="D2352" i="3"/>
  <c r="C2352" i="3"/>
  <c r="B2352" i="3"/>
  <c r="D2351" i="3"/>
  <c r="C2351" i="3"/>
  <c r="B2351" i="3"/>
  <c r="D2350" i="3"/>
  <c r="C2350" i="3"/>
  <c r="B2350" i="3"/>
  <c r="D2349" i="3"/>
  <c r="C2349" i="3"/>
  <c r="B2349" i="3"/>
  <c r="D2348" i="3"/>
  <c r="C2348" i="3"/>
  <c r="B2348" i="3"/>
  <c r="D2347" i="3"/>
  <c r="C2347" i="3"/>
  <c r="B2347" i="3"/>
  <c r="D2346" i="3"/>
  <c r="C2346" i="3"/>
  <c r="B2346" i="3"/>
  <c r="D2345" i="3"/>
  <c r="C2345" i="3"/>
  <c r="B2345" i="3"/>
  <c r="D2344" i="3"/>
  <c r="C2344" i="3"/>
  <c r="B2344" i="3"/>
  <c r="D2343" i="3"/>
  <c r="C2343" i="3"/>
  <c r="B2343" i="3"/>
  <c r="D2342" i="3"/>
  <c r="C2342" i="3"/>
  <c r="B2342" i="3"/>
  <c r="D2341" i="3"/>
  <c r="C2341" i="3"/>
  <c r="B2341" i="3"/>
  <c r="D2340" i="3"/>
  <c r="C2340" i="3"/>
  <c r="B2340" i="3"/>
  <c r="D2339" i="3"/>
  <c r="C2339" i="3"/>
  <c r="B2339" i="3"/>
  <c r="D2338" i="3"/>
  <c r="C2338" i="3"/>
  <c r="B2338" i="3"/>
  <c r="D2337" i="3"/>
  <c r="C2337" i="3"/>
  <c r="B2337" i="3"/>
  <c r="D2336" i="3"/>
  <c r="C2336" i="3"/>
  <c r="B2336" i="3"/>
  <c r="D2335" i="3"/>
  <c r="C2335" i="3"/>
  <c r="B2335" i="3"/>
  <c r="D2334" i="3"/>
  <c r="C2334" i="3"/>
  <c r="B2334" i="3"/>
  <c r="D2333" i="3"/>
  <c r="C2333" i="3"/>
  <c r="B2333" i="3"/>
  <c r="D2332" i="3"/>
  <c r="C2332" i="3"/>
  <c r="B2332" i="3"/>
  <c r="D2331" i="3"/>
  <c r="C2331" i="3"/>
  <c r="B2331" i="3"/>
  <c r="D2330" i="3"/>
  <c r="C2330" i="3"/>
  <c r="B2330" i="3"/>
  <c r="D2329" i="3"/>
  <c r="C2329" i="3"/>
  <c r="B2329" i="3"/>
  <c r="D2328" i="3"/>
  <c r="C2328" i="3"/>
  <c r="B2328" i="3"/>
  <c r="D2327" i="3"/>
  <c r="C2327" i="3"/>
  <c r="B2327" i="3"/>
  <c r="D2326" i="3"/>
  <c r="C2326" i="3"/>
  <c r="B2326" i="3"/>
  <c r="D2325" i="3"/>
  <c r="C2325" i="3"/>
  <c r="B2325" i="3"/>
  <c r="D2324" i="3"/>
  <c r="C2324" i="3"/>
  <c r="B2324" i="3"/>
  <c r="D2323" i="3"/>
  <c r="C2323" i="3"/>
  <c r="B2323" i="3"/>
  <c r="D2322" i="3"/>
  <c r="C2322" i="3"/>
  <c r="B2322" i="3"/>
  <c r="D2321" i="3"/>
  <c r="C2321" i="3"/>
  <c r="B2321" i="3"/>
  <c r="D2320" i="3"/>
  <c r="C2320" i="3"/>
  <c r="B2320" i="3"/>
  <c r="D2319" i="3"/>
  <c r="C2319" i="3"/>
  <c r="B2319" i="3"/>
  <c r="D2318" i="3"/>
  <c r="C2318" i="3"/>
  <c r="B2318" i="3"/>
  <c r="D2317" i="3"/>
  <c r="C2317" i="3"/>
  <c r="B2317" i="3"/>
  <c r="D2316" i="3"/>
  <c r="C2316" i="3"/>
  <c r="B2316" i="3"/>
  <c r="D2315" i="3"/>
  <c r="C2315" i="3"/>
  <c r="B2315" i="3"/>
  <c r="D2314" i="3"/>
  <c r="C2314" i="3"/>
  <c r="B2314" i="3"/>
  <c r="D2313" i="3"/>
  <c r="C2313" i="3"/>
  <c r="B2313" i="3"/>
  <c r="D2312" i="3"/>
  <c r="C2312" i="3"/>
  <c r="B2312" i="3"/>
  <c r="D2311" i="3"/>
  <c r="C2311" i="3"/>
  <c r="B2311" i="3"/>
  <c r="D2310" i="3"/>
  <c r="C2310" i="3"/>
  <c r="B2310" i="3"/>
  <c r="D2309" i="3"/>
  <c r="C2309" i="3"/>
  <c r="B2309" i="3"/>
  <c r="D2308" i="3"/>
  <c r="C2308" i="3"/>
  <c r="B2308" i="3"/>
  <c r="D2307" i="3"/>
  <c r="C2307" i="3"/>
  <c r="B2307" i="3"/>
  <c r="D2306" i="3"/>
  <c r="C2306" i="3"/>
  <c r="B2306" i="3"/>
  <c r="D2305" i="3"/>
  <c r="C2305" i="3"/>
  <c r="B2305" i="3"/>
  <c r="D2304" i="3"/>
  <c r="C2304" i="3"/>
  <c r="B2304" i="3"/>
  <c r="D2303" i="3"/>
  <c r="C2303" i="3"/>
  <c r="B2303" i="3"/>
  <c r="D2302" i="3"/>
  <c r="C2302" i="3"/>
  <c r="B2302" i="3"/>
  <c r="D2301" i="3"/>
  <c r="C2301" i="3"/>
  <c r="B2301" i="3"/>
  <c r="D2300" i="3"/>
  <c r="C2300" i="3"/>
  <c r="B2300" i="3"/>
  <c r="D2299" i="3"/>
  <c r="C2299" i="3"/>
  <c r="B2299" i="3"/>
  <c r="D2298" i="3"/>
  <c r="C2298" i="3"/>
  <c r="B2298" i="3"/>
  <c r="D2297" i="3"/>
  <c r="C2297" i="3"/>
  <c r="B2297" i="3"/>
  <c r="D2296" i="3"/>
  <c r="C2296" i="3"/>
  <c r="B2296" i="3"/>
  <c r="D2295" i="3"/>
  <c r="C2295" i="3"/>
  <c r="B2295" i="3"/>
  <c r="D2294" i="3"/>
  <c r="C2294" i="3"/>
  <c r="B2294" i="3"/>
  <c r="D2293" i="3"/>
  <c r="C2293" i="3"/>
  <c r="B2293" i="3"/>
  <c r="D2292" i="3"/>
  <c r="C2292" i="3"/>
  <c r="B2292" i="3"/>
  <c r="D2291" i="3"/>
  <c r="C2291" i="3"/>
  <c r="B2291" i="3"/>
  <c r="D2290" i="3"/>
  <c r="C2290" i="3"/>
  <c r="B2290" i="3"/>
  <c r="D2289" i="3"/>
  <c r="C2289" i="3"/>
  <c r="B2289" i="3"/>
  <c r="D2288" i="3"/>
  <c r="C2288" i="3"/>
  <c r="B2288" i="3"/>
  <c r="D2287" i="3"/>
  <c r="C2287" i="3"/>
  <c r="B2287" i="3"/>
  <c r="D2286" i="3"/>
  <c r="C2286" i="3"/>
  <c r="B2286" i="3"/>
  <c r="D2285" i="3"/>
  <c r="C2285" i="3"/>
  <c r="B2285" i="3"/>
  <c r="D2284" i="3"/>
  <c r="C2284" i="3"/>
  <c r="B2284" i="3"/>
  <c r="D2283" i="3"/>
  <c r="C2283" i="3"/>
  <c r="B2283" i="3"/>
  <c r="D2282" i="3"/>
  <c r="C2282" i="3"/>
  <c r="B2282" i="3"/>
  <c r="D2281" i="3"/>
  <c r="C2281" i="3"/>
  <c r="B2281" i="3"/>
  <c r="D2280" i="3"/>
  <c r="C2280" i="3"/>
  <c r="B2280" i="3"/>
  <c r="D2279" i="3"/>
  <c r="C2279" i="3"/>
  <c r="B2279" i="3"/>
  <c r="D2278" i="3"/>
  <c r="C2278" i="3"/>
  <c r="B2278" i="3"/>
  <c r="D2277" i="3"/>
  <c r="C2277" i="3"/>
  <c r="B2277" i="3"/>
  <c r="D2276" i="3"/>
  <c r="C2276" i="3"/>
  <c r="B2276" i="3"/>
  <c r="D2275" i="3"/>
  <c r="C2275" i="3"/>
  <c r="B2275" i="3"/>
  <c r="D2274" i="3"/>
  <c r="C2274" i="3"/>
  <c r="B2274" i="3"/>
  <c r="D2273" i="3"/>
  <c r="C2273" i="3"/>
  <c r="B2273" i="3"/>
  <c r="D2272" i="3"/>
  <c r="C2272" i="3"/>
  <c r="B2272" i="3"/>
  <c r="D2271" i="3"/>
  <c r="C2271" i="3"/>
  <c r="B2271" i="3"/>
  <c r="D2270" i="3"/>
  <c r="C2270" i="3"/>
  <c r="B2270" i="3"/>
  <c r="D2269" i="3"/>
  <c r="C2269" i="3"/>
  <c r="B2269" i="3"/>
  <c r="D2268" i="3"/>
  <c r="C2268" i="3"/>
  <c r="B2268" i="3"/>
  <c r="D2267" i="3"/>
  <c r="C2267" i="3"/>
  <c r="B2267" i="3"/>
  <c r="D2266" i="3"/>
  <c r="C2266" i="3"/>
  <c r="B2266" i="3"/>
  <c r="D2265" i="3"/>
  <c r="C2265" i="3"/>
  <c r="B2265" i="3"/>
  <c r="D2264" i="3"/>
  <c r="C2264" i="3"/>
  <c r="B2264" i="3"/>
  <c r="D2263" i="3"/>
  <c r="C2263" i="3"/>
  <c r="B2263" i="3"/>
  <c r="D2262" i="3"/>
  <c r="C2262" i="3"/>
  <c r="B2262" i="3"/>
  <c r="D2261" i="3"/>
  <c r="C2261" i="3"/>
  <c r="B2261" i="3"/>
  <c r="D2260" i="3"/>
  <c r="C2260" i="3"/>
  <c r="B2260" i="3"/>
  <c r="D2259" i="3"/>
  <c r="C2259" i="3"/>
  <c r="B2259" i="3"/>
  <c r="D2258" i="3"/>
  <c r="C2258" i="3"/>
  <c r="B2258" i="3"/>
  <c r="D2257" i="3"/>
  <c r="C2257" i="3"/>
  <c r="B2257" i="3"/>
  <c r="D2256" i="3"/>
  <c r="C2256" i="3"/>
  <c r="B2256" i="3"/>
  <c r="D2255" i="3"/>
  <c r="C2255" i="3"/>
  <c r="B2255" i="3"/>
  <c r="D2254" i="3"/>
  <c r="C2254" i="3"/>
  <c r="B2254" i="3"/>
  <c r="D2253" i="3"/>
  <c r="C2253" i="3"/>
  <c r="B2253" i="3"/>
  <c r="D2252" i="3"/>
  <c r="C2252" i="3"/>
  <c r="B2252" i="3"/>
  <c r="D2251" i="3"/>
  <c r="C2251" i="3"/>
  <c r="B2251" i="3"/>
  <c r="D2250" i="3"/>
  <c r="C2250" i="3"/>
  <c r="B2250" i="3"/>
  <c r="D2249" i="3"/>
  <c r="C2249" i="3"/>
  <c r="B2249" i="3"/>
  <c r="D2248" i="3"/>
  <c r="C2248" i="3"/>
  <c r="B2248" i="3"/>
  <c r="D2247" i="3"/>
  <c r="C2247" i="3"/>
  <c r="B2247" i="3"/>
  <c r="D2246" i="3"/>
  <c r="C2246" i="3"/>
  <c r="B2246" i="3"/>
  <c r="D2245" i="3"/>
  <c r="C2245" i="3"/>
  <c r="B2245" i="3"/>
  <c r="D2244" i="3"/>
  <c r="C2244" i="3"/>
  <c r="B2244" i="3"/>
  <c r="D2243" i="3"/>
  <c r="C2243" i="3"/>
  <c r="B2243" i="3"/>
  <c r="D2242" i="3"/>
  <c r="C2242" i="3"/>
  <c r="B2242" i="3"/>
  <c r="D2241" i="3"/>
  <c r="C2241" i="3"/>
  <c r="B2241" i="3"/>
  <c r="D2240" i="3"/>
  <c r="C2240" i="3"/>
  <c r="B2240" i="3"/>
  <c r="D2239" i="3"/>
  <c r="C2239" i="3"/>
  <c r="B2239" i="3"/>
  <c r="D2238" i="3"/>
  <c r="C2238" i="3"/>
  <c r="B2238" i="3"/>
  <c r="D2237" i="3"/>
  <c r="C2237" i="3"/>
  <c r="B2237" i="3"/>
  <c r="D2236" i="3"/>
  <c r="C2236" i="3"/>
  <c r="B2236" i="3"/>
  <c r="D2235" i="3"/>
  <c r="C2235" i="3"/>
  <c r="B2235" i="3"/>
  <c r="D2234" i="3"/>
  <c r="C2234" i="3"/>
  <c r="B2234" i="3"/>
  <c r="D2233" i="3"/>
  <c r="C2233" i="3"/>
  <c r="B2233" i="3"/>
  <c r="D2232" i="3"/>
  <c r="C2232" i="3"/>
  <c r="B2232" i="3"/>
  <c r="D2231" i="3"/>
  <c r="C2231" i="3"/>
  <c r="B2231" i="3"/>
  <c r="D2230" i="3"/>
  <c r="C2230" i="3"/>
  <c r="B2230" i="3"/>
  <c r="D2229" i="3"/>
  <c r="C2229" i="3"/>
  <c r="B2229" i="3"/>
  <c r="D2228" i="3"/>
  <c r="C2228" i="3"/>
  <c r="B2228" i="3"/>
  <c r="D2227" i="3"/>
  <c r="C2227" i="3"/>
  <c r="B2227" i="3"/>
  <c r="D2226" i="3"/>
  <c r="C2226" i="3"/>
  <c r="B2226" i="3"/>
  <c r="D2225" i="3"/>
  <c r="C2225" i="3"/>
  <c r="B2225" i="3"/>
  <c r="D2224" i="3"/>
  <c r="C2224" i="3"/>
  <c r="B2224" i="3"/>
  <c r="D2223" i="3"/>
  <c r="C2223" i="3"/>
  <c r="B2223" i="3"/>
  <c r="D2222" i="3"/>
  <c r="C2222" i="3"/>
  <c r="B2222" i="3"/>
  <c r="D2221" i="3"/>
  <c r="C2221" i="3"/>
  <c r="B2221" i="3"/>
  <c r="D2220" i="3"/>
  <c r="C2220" i="3"/>
  <c r="B2220" i="3"/>
  <c r="D2219" i="3"/>
  <c r="C2219" i="3"/>
  <c r="B2219" i="3"/>
  <c r="D2218" i="3"/>
  <c r="C2218" i="3"/>
  <c r="B2218" i="3"/>
  <c r="D2217" i="3"/>
  <c r="C2217" i="3"/>
  <c r="B2217" i="3"/>
  <c r="D2216" i="3"/>
  <c r="C2216" i="3"/>
  <c r="B2216" i="3"/>
  <c r="D2215" i="3"/>
  <c r="C2215" i="3"/>
  <c r="B2215" i="3"/>
  <c r="D2214" i="3"/>
  <c r="C2214" i="3"/>
  <c r="B2214" i="3"/>
  <c r="D2213" i="3"/>
  <c r="C2213" i="3"/>
  <c r="B2213" i="3"/>
  <c r="D2212" i="3"/>
  <c r="C2212" i="3"/>
  <c r="B2212" i="3"/>
  <c r="D2211" i="3"/>
  <c r="C2211" i="3"/>
  <c r="B2211" i="3"/>
  <c r="D2210" i="3"/>
  <c r="C2210" i="3"/>
  <c r="B2210" i="3"/>
  <c r="D2209" i="3"/>
  <c r="C2209" i="3"/>
  <c r="B2209" i="3"/>
  <c r="D2208" i="3"/>
  <c r="C2208" i="3"/>
  <c r="B2208" i="3"/>
  <c r="D2207" i="3"/>
  <c r="C2207" i="3"/>
  <c r="B2207" i="3"/>
  <c r="D2206" i="3"/>
  <c r="C2206" i="3"/>
  <c r="B2206" i="3"/>
  <c r="D2205" i="3"/>
  <c r="C2205" i="3"/>
  <c r="B2205" i="3"/>
  <c r="D2204" i="3"/>
  <c r="C2204" i="3"/>
  <c r="B2204" i="3"/>
  <c r="D2203" i="3"/>
  <c r="C2203" i="3"/>
  <c r="B2203" i="3"/>
  <c r="D2202" i="3"/>
  <c r="C2202" i="3"/>
  <c r="B2202" i="3"/>
  <c r="D2201" i="3"/>
  <c r="C2201" i="3"/>
  <c r="B2201" i="3"/>
  <c r="D2200" i="3"/>
  <c r="C2200" i="3"/>
  <c r="B2200" i="3"/>
  <c r="D2199" i="3"/>
  <c r="C2199" i="3"/>
  <c r="B2199" i="3"/>
  <c r="D2198" i="3"/>
  <c r="C2198" i="3"/>
  <c r="B2198" i="3"/>
  <c r="D2197" i="3"/>
  <c r="C2197" i="3"/>
  <c r="B2197" i="3"/>
  <c r="D2196" i="3"/>
  <c r="C2196" i="3"/>
  <c r="B2196" i="3"/>
  <c r="D2195" i="3"/>
  <c r="C2195" i="3"/>
  <c r="B2195" i="3"/>
  <c r="D2194" i="3"/>
  <c r="C2194" i="3"/>
  <c r="B2194" i="3"/>
  <c r="D2193" i="3"/>
  <c r="C2193" i="3"/>
  <c r="B2193" i="3"/>
  <c r="D2192" i="3"/>
  <c r="C2192" i="3"/>
  <c r="B2192" i="3"/>
  <c r="D2191" i="3"/>
  <c r="C2191" i="3"/>
  <c r="B2191" i="3"/>
  <c r="D2190" i="3"/>
  <c r="C2190" i="3"/>
  <c r="B2190" i="3"/>
  <c r="D2189" i="3"/>
  <c r="C2189" i="3"/>
  <c r="B2189" i="3"/>
  <c r="D2188" i="3"/>
  <c r="C2188" i="3"/>
  <c r="B2188" i="3"/>
  <c r="D2187" i="3"/>
  <c r="C2187" i="3"/>
  <c r="B2187" i="3"/>
  <c r="D2186" i="3"/>
  <c r="C2186" i="3"/>
  <c r="B2186" i="3"/>
  <c r="D2185" i="3"/>
  <c r="C2185" i="3"/>
  <c r="B2185" i="3"/>
  <c r="D2184" i="3"/>
  <c r="C2184" i="3"/>
  <c r="B2184" i="3"/>
  <c r="D2183" i="3"/>
  <c r="C2183" i="3"/>
  <c r="B2183" i="3"/>
  <c r="D2182" i="3"/>
  <c r="C2182" i="3"/>
  <c r="B2182" i="3"/>
  <c r="D2181" i="3"/>
  <c r="C2181" i="3"/>
  <c r="B2181" i="3"/>
  <c r="D2180" i="3"/>
  <c r="C2180" i="3"/>
  <c r="B2180" i="3"/>
  <c r="D2179" i="3"/>
  <c r="C2179" i="3"/>
  <c r="B2179" i="3"/>
  <c r="D2178" i="3"/>
  <c r="C2178" i="3"/>
  <c r="B2178" i="3"/>
  <c r="D2177" i="3"/>
  <c r="C2177" i="3"/>
  <c r="B2177" i="3"/>
  <c r="D2176" i="3"/>
  <c r="C2176" i="3"/>
  <c r="B2176" i="3"/>
  <c r="D2175" i="3"/>
  <c r="C2175" i="3"/>
  <c r="B2175" i="3"/>
  <c r="D2174" i="3"/>
  <c r="C2174" i="3"/>
  <c r="B2174" i="3"/>
  <c r="D2173" i="3"/>
  <c r="C2173" i="3"/>
  <c r="B2173" i="3"/>
  <c r="D2172" i="3"/>
  <c r="C2172" i="3"/>
  <c r="B2172" i="3"/>
  <c r="D2171" i="3"/>
  <c r="C2171" i="3"/>
  <c r="B2171" i="3"/>
  <c r="D2170" i="3"/>
  <c r="C2170" i="3"/>
  <c r="B2170" i="3"/>
  <c r="D2169" i="3"/>
  <c r="C2169" i="3"/>
  <c r="B2169" i="3"/>
  <c r="D2168" i="3"/>
  <c r="C2168" i="3"/>
  <c r="B2168" i="3"/>
  <c r="D2167" i="3"/>
  <c r="C2167" i="3"/>
  <c r="B2167" i="3"/>
  <c r="D2166" i="3"/>
  <c r="C2166" i="3"/>
  <c r="B2166" i="3"/>
  <c r="D2165" i="3"/>
  <c r="C2165" i="3"/>
  <c r="B2165" i="3"/>
  <c r="D2164" i="3"/>
  <c r="C2164" i="3"/>
  <c r="B2164" i="3"/>
  <c r="D2163" i="3"/>
  <c r="C2163" i="3"/>
  <c r="B2163" i="3"/>
  <c r="D2162" i="3"/>
  <c r="C2162" i="3"/>
  <c r="B2162" i="3"/>
  <c r="D2161" i="3"/>
  <c r="C2161" i="3"/>
  <c r="B2161" i="3"/>
  <c r="D2160" i="3"/>
  <c r="C2160" i="3"/>
  <c r="B2160" i="3"/>
  <c r="D2159" i="3"/>
  <c r="C2159" i="3"/>
  <c r="B2159" i="3"/>
  <c r="D2158" i="3"/>
  <c r="C2158" i="3"/>
  <c r="B2158" i="3"/>
  <c r="D2157" i="3"/>
  <c r="C2157" i="3"/>
  <c r="B2157" i="3"/>
  <c r="D2156" i="3"/>
  <c r="C2156" i="3"/>
  <c r="B2156" i="3"/>
  <c r="D2155" i="3"/>
  <c r="C2155" i="3"/>
  <c r="B2155" i="3"/>
  <c r="D2154" i="3"/>
  <c r="C2154" i="3"/>
  <c r="B2154" i="3"/>
  <c r="D2153" i="3"/>
  <c r="C2153" i="3"/>
  <c r="B2153" i="3"/>
  <c r="D2152" i="3"/>
  <c r="C2152" i="3"/>
  <c r="B2152" i="3"/>
  <c r="D2151" i="3"/>
  <c r="C2151" i="3"/>
  <c r="B2151" i="3"/>
  <c r="D2150" i="3"/>
  <c r="C2150" i="3"/>
  <c r="B2150" i="3"/>
  <c r="D2149" i="3"/>
  <c r="C2149" i="3"/>
  <c r="B2149" i="3"/>
  <c r="D2148" i="3"/>
  <c r="C2148" i="3"/>
  <c r="B2148" i="3"/>
  <c r="D2147" i="3"/>
  <c r="C2147" i="3"/>
  <c r="B2147" i="3"/>
  <c r="D2146" i="3"/>
  <c r="C2146" i="3"/>
  <c r="B2146" i="3"/>
  <c r="D2145" i="3"/>
  <c r="C2145" i="3"/>
  <c r="B2145" i="3"/>
  <c r="D2144" i="3"/>
  <c r="C2144" i="3"/>
  <c r="B2144" i="3"/>
  <c r="D2143" i="3"/>
  <c r="C2143" i="3"/>
  <c r="B2143" i="3"/>
  <c r="D2142" i="3"/>
  <c r="C2142" i="3"/>
  <c r="B2142" i="3"/>
  <c r="D2141" i="3"/>
  <c r="C2141" i="3"/>
  <c r="B2141" i="3"/>
  <c r="D2140" i="3"/>
  <c r="C2140" i="3"/>
  <c r="B2140" i="3"/>
  <c r="D2139" i="3"/>
  <c r="C2139" i="3"/>
  <c r="B2139" i="3"/>
  <c r="D2138" i="3"/>
  <c r="C2138" i="3"/>
  <c r="B2138" i="3"/>
  <c r="D2137" i="3"/>
  <c r="C2137" i="3"/>
  <c r="B2137" i="3"/>
  <c r="D2136" i="3"/>
  <c r="C2136" i="3"/>
  <c r="B2136" i="3"/>
  <c r="D2135" i="3"/>
  <c r="C2135" i="3"/>
  <c r="B2135" i="3"/>
  <c r="D2134" i="3"/>
  <c r="C2134" i="3"/>
  <c r="B2134" i="3"/>
  <c r="D2133" i="3"/>
  <c r="C2133" i="3"/>
  <c r="B2133" i="3"/>
  <c r="D2132" i="3"/>
  <c r="C2132" i="3"/>
  <c r="B2132" i="3"/>
  <c r="D2131" i="3"/>
  <c r="C2131" i="3"/>
  <c r="B2131" i="3"/>
  <c r="D2130" i="3"/>
  <c r="C2130" i="3"/>
  <c r="B2130" i="3"/>
  <c r="D2129" i="3"/>
  <c r="C2129" i="3"/>
  <c r="B2129" i="3"/>
  <c r="D2128" i="3"/>
  <c r="C2128" i="3"/>
  <c r="B2128" i="3"/>
  <c r="D2127" i="3"/>
  <c r="C2127" i="3"/>
  <c r="B2127" i="3"/>
  <c r="D2126" i="3"/>
  <c r="C2126" i="3"/>
  <c r="B2126" i="3"/>
  <c r="D2125" i="3"/>
  <c r="C2125" i="3"/>
  <c r="B2125" i="3"/>
  <c r="D2124" i="3"/>
  <c r="C2124" i="3"/>
  <c r="B2124" i="3"/>
  <c r="D2123" i="3"/>
  <c r="C2123" i="3"/>
  <c r="B2123" i="3"/>
  <c r="D2122" i="3"/>
  <c r="C2122" i="3"/>
  <c r="B2122" i="3"/>
  <c r="D2121" i="3"/>
  <c r="C2121" i="3"/>
  <c r="B2121" i="3"/>
  <c r="D2120" i="3"/>
  <c r="C2120" i="3"/>
  <c r="B2120" i="3"/>
  <c r="D2119" i="3"/>
  <c r="C2119" i="3"/>
  <c r="B2119" i="3"/>
  <c r="D2118" i="3"/>
  <c r="C2118" i="3"/>
  <c r="B2118" i="3"/>
  <c r="D2117" i="3"/>
  <c r="C2117" i="3"/>
  <c r="B2117" i="3"/>
  <c r="D2116" i="3"/>
  <c r="C2116" i="3"/>
  <c r="B2116" i="3"/>
  <c r="D2115" i="3"/>
  <c r="C2115" i="3"/>
  <c r="B2115" i="3"/>
  <c r="D2114" i="3"/>
  <c r="C2114" i="3"/>
  <c r="B2114" i="3"/>
  <c r="D2113" i="3"/>
  <c r="C2113" i="3"/>
  <c r="B2113" i="3"/>
  <c r="D2112" i="3"/>
  <c r="C2112" i="3"/>
  <c r="B2112" i="3"/>
  <c r="D2111" i="3"/>
  <c r="C2111" i="3"/>
  <c r="B2111" i="3"/>
  <c r="D2110" i="3"/>
  <c r="C2110" i="3"/>
  <c r="B2110" i="3"/>
  <c r="D2109" i="3"/>
  <c r="C2109" i="3"/>
  <c r="B2109" i="3"/>
  <c r="D2108" i="3"/>
  <c r="C2108" i="3"/>
  <c r="B2108" i="3"/>
  <c r="D2107" i="3"/>
  <c r="C2107" i="3"/>
  <c r="B2107" i="3"/>
  <c r="D2106" i="3"/>
  <c r="C2106" i="3"/>
  <c r="B2106" i="3"/>
  <c r="D2105" i="3"/>
  <c r="C2105" i="3"/>
  <c r="B2105" i="3"/>
  <c r="D2104" i="3"/>
  <c r="C2104" i="3"/>
  <c r="B2104" i="3"/>
  <c r="D2103" i="3"/>
  <c r="C2103" i="3"/>
  <c r="B2103" i="3"/>
  <c r="D2102" i="3"/>
  <c r="C2102" i="3"/>
  <c r="B2102" i="3"/>
  <c r="D2101" i="3"/>
  <c r="C2101" i="3"/>
  <c r="B2101" i="3"/>
  <c r="D2100" i="3"/>
  <c r="C2100" i="3"/>
  <c r="B2100" i="3"/>
  <c r="D2099" i="3"/>
  <c r="C2099" i="3"/>
  <c r="B2099" i="3"/>
  <c r="D2098" i="3"/>
  <c r="C2098" i="3"/>
  <c r="B2098" i="3"/>
  <c r="D2097" i="3"/>
  <c r="C2097" i="3"/>
  <c r="B2097" i="3"/>
  <c r="D2096" i="3"/>
  <c r="C2096" i="3"/>
  <c r="B2096" i="3"/>
  <c r="D2095" i="3"/>
  <c r="C2095" i="3"/>
  <c r="B2095" i="3"/>
  <c r="D2094" i="3"/>
  <c r="C2094" i="3"/>
  <c r="B2094" i="3"/>
  <c r="D2093" i="3"/>
  <c r="C2093" i="3"/>
  <c r="B2093" i="3"/>
  <c r="D2092" i="3"/>
  <c r="C2092" i="3"/>
  <c r="B2092" i="3"/>
  <c r="D2091" i="3"/>
  <c r="C2091" i="3"/>
  <c r="B2091" i="3"/>
  <c r="D2090" i="3"/>
  <c r="C2090" i="3"/>
  <c r="B2090" i="3"/>
  <c r="D2089" i="3"/>
  <c r="C2089" i="3"/>
  <c r="B2089" i="3"/>
  <c r="D2088" i="3"/>
  <c r="C2088" i="3"/>
  <c r="B2088" i="3"/>
  <c r="D2087" i="3"/>
  <c r="C2087" i="3"/>
  <c r="B2087" i="3"/>
  <c r="D2086" i="3"/>
  <c r="C2086" i="3"/>
  <c r="B2086" i="3"/>
  <c r="D2085" i="3"/>
  <c r="C2085" i="3"/>
  <c r="B2085" i="3"/>
  <c r="D2084" i="3"/>
  <c r="C2084" i="3"/>
  <c r="B2084" i="3"/>
  <c r="D2083" i="3"/>
  <c r="C2083" i="3"/>
  <c r="B2083" i="3"/>
  <c r="D2082" i="3"/>
  <c r="C2082" i="3"/>
  <c r="B2082" i="3"/>
  <c r="D2081" i="3"/>
  <c r="C2081" i="3"/>
  <c r="B2081" i="3"/>
  <c r="D2080" i="3"/>
  <c r="C2080" i="3"/>
  <c r="B2080" i="3"/>
  <c r="D2079" i="3"/>
  <c r="C2079" i="3"/>
  <c r="B2079" i="3"/>
  <c r="D2078" i="3"/>
  <c r="C2078" i="3"/>
  <c r="B2078" i="3"/>
  <c r="D2077" i="3"/>
  <c r="C2077" i="3"/>
  <c r="B2077" i="3"/>
  <c r="D2076" i="3"/>
  <c r="C2076" i="3"/>
  <c r="B2076" i="3"/>
  <c r="D2075" i="3"/>
  <c r="C2075" i="3"/>
  <c r="B2075" i="3"/>
  <c r="D2074" i="3"/>
  <c r="C2074" i="3"/>
  <c r="B2074" i="3"/>
  <c r="D2073" i="3"/>
  <c r="C2073" i="3"/>
  <c r="B2073" i="3"/>
  <c r="D2072" i="3"/>
  <c r="C2072" i="3"/>
  <c r="B2072" i="3"/>
  <c r="D2071" i="3"/>
  <c r="C2071" i="3"/>
  <c r="B2071" i="3"/>
  <c r="D2070" i="3"/>
  <c r="C2070" i="3"/>
  <c r="B2070" i="3"/>
  <c r="D2069" i="3"/>
  <c r="C2069" i="3"/>
  <c r="B2069" i="3"/>
  <c r="D2068" i="3"/>
  <c r="C2068" i="3"/>
  <c r="B2068" i="3"/>
  <c r="D2067" i="3"/>
  <c r="C2067" i="3"/>
  <c r="B2067" i="3"/>
  <c r="D2066" i="3"/>
  <c r="C2066" i="3"/>
  <c r="B2066" i="3"/>
  <c r="D2065" i="3"/>
  <c r="C2065" i="3"/>
  <c r="B2065" i="3"/>
  <c r="D2064" i="3"/>
  <c r="C2064" i="3"/>
  <c r="B2064" i="3"/>
  <c r="D2063" i="3"/>
  <c r="C2063" i="3"/>
  <c r="B2063" i="3"/>
  <c r="D2062" i="3"/>
  <c r="C2062" i="3"/>
  <c r="B2062" i="3"/>
  <c r="D2061" i="3"/>
  <c r="C2061" i="3"/>
  <c r="B2061" i="3"/>
  <c r="D2060" i="3"/>
  <c r="C2060" i="3"/>
  <c r="B2060" i="3"/>
  <c r="D2059" i="3"/>
  <c r="C2059" i="3"/>
  <c r="B2059" i="3"/>
  <c r="D2058" i="3"/>
  <c r="C2058" i="3"/>
  <c r="B2058" i="3"/>
  <c r="D2057" i="3"/>
  <c r="C2057" i="3"/>
  <c r="B2057" i="3"/>
  <c r="D2056" i="3"/>
  <c r="C2056" i="3"/>
  <c r="B2056" i="3"/>
  <c r="D2055" i="3"/>
  <c r="C2055" i="3"/>
  <c r="B2055" i="3"/>
  <c r="D2054" i="3"/>
  <c r="C2054" i="3"/>
  <c r="B2054" i="3"/>
  <c r="D2053" i="3"/>
  <c r="C2053" i="3"/>
  <c r="B2053" i="3"/>
  <c r="D2052" i="3"/>
  <c r="C2052" i="3"/>
  <c r="B2052" i="3"/>
  <c r="D2051" i="3"/>
  <c r="C2051" i="3"/>
  <c r="B2051" i="3"/>
  <c r="D2050" i="3"/>
  <c r="C2050" i="3"/>
  <c r="B2050" i="3"/>
  <c r="D2049" i="3"/>
  <c r="C2049" i="3"/>
  <c r="B2049" i="3"/>
  <c r="D2048" i="3"/>
  <c r="C2048" i="3"/>
  <c r="B2048" i="3"/>
  <c r="D2047" i="3"/>
  <c r="C2047" i="3"/>
  <c r="B2047" i="3"/>
  <c r="D2046" i="3"/>
  <c r="C2046" i="3"/>
  <c r="B2046" i="3"/>
  <c r="D2045" i="3"/>
  <c r="C2045" i="3"/>
  <c r="B2045" i="3"/>
  <c r="D2044" i="3"/>
  <c r="C2044" i="3"/>
  <c r="B2044" i="3"/>
  <c r="D2043" i="3"/>
  <c r="C2043" i="3"/>
  <c r="B2043" i="3"/>
  <c r="D2042" i="3"/>
  <c r="C2042" i="3"/>
  <c r="B2042" i="3"/>
  <c r="D2041" i="3"/>
  <c r="C2041" i="3"/>
  <c r="B2041" i="3"/>
  <c r="D2040" i="3"/>
  <c r="C2040" i="3"/>
  <c r="B2040" i="3"/>
  <c r="D2039" i="3"/>
  <c r="C2039" i="3"/>
  <c r="B2039" i="3"/>
  <c r="D2038" i="3"/>
  <c r="C2038" i="3"/>
  <c r="B2038" i="3"/>
  <c r="D2037" i="3"/>
  <c r="C2037" i="3"/>
  <c r="B2037" i="3"/>
  <c r="D2036" i="3"/>
  <c r="C2036" i="3"/>
  <c r="B2036" i="3"/>
  <c r="D2035" i="3"/>
  <c r="C2035" i="3"/>
  <c r="B2035" i="3"/>
  <c r="D2034" i="3"/>
  <c r="C2034" i="3"/>
  <c r="B2034" i="3"/>
  <c r="D2033" i="3"/>
  <c r="C2033" i="3"/>
  <c r="B2033" i="3"/>
  <c r="D2032" i="3"/>
  <c r="C2032" i="3"/>
  <c r="B2032" i="3"/>
  <c r="D2031" i="3"/>
  <c r="C2031" i="3"/>
  <c r="B2031" i="3"/>
  <c r="D2030" i="3"/>
  <c r="C2030" i="3"/>
  <c r="B2030" i="3"/>
  <c r="D2029" i="3"/>
  <c r="C2029" i="3"/>
  <c r="B2029" i="3"/>
  <c r="D2028" i="3"/>
  <c r="C2028" i="3"/>
  <c r="B2028" i="3"/>
  <c r="D2027" i="3"/>
  <c r="C2027" i="3"/>
  <c r="B2027" i="3"/>
  <c r="D2026" i="3"/>
  <c r="C2026" i="3"/>
  <c r="B2026" i="3"/>
  <c r="D2025" i="3"/>
  <c r="C2025" i="3"/>
  <c r="B2025" i="3"/>
  <c r="D2024" i="3"/>
  <c r="C2024" i="3"/>
  <c r="B2024" i="3"/>
  <c r="D2023" i="3"/>
  <c r="C2023" i="3"/>
  <c r="B2023" i="3"/>
  <c r="D2022" i="3"/>
  <c r="C2022" i="3"/>
  <c r="B2022" i="3"/>
  <c r="D2021" i="3"/>
  <c r="C2021" i="3"/>
  <c r="B2021" i="3"/>
  <c r="D2020" i="3"/>
  <c r="C2020" i="3"/>
  <c r="B2020" i="3"/>
  <c r="D2019" i="3"/>
  <c r="C2019" i="3"/>
  <c r="B2019" i="3"/>
  <c r="D2018" i="3"/>
  <c r="C2018" i="3"/>
  <c r="B2018" i="3"/>
  <c r="D2017" i="3"/>
  <c r="C2017" i="3"/>
  <c r="B2017" i="3"/>
  <c r="D2016" i="3"/>
  <c r="C2016" i="3"/>
  <c r="B2016" i="3"/>
  <c r="D2015" i="3"/>
  <c r="C2015" i="3"/>
  <c r="B2015" i="3"/>
  <c r="D2014" i="3"/>
  <c r="C2014" i="3"/>
  <c r="B2014" i="3"/>
  <c r="D2013" i="3"/>
  <c r="C2013" i="3"/>
  <c r="B2013" i="3"/>
  <c r="D2012" i="3"/>
  <c r="C2012" i="3"/>
  <c r="B2012" i="3"/>
  <c r="D2011" i="3"/>
  <c r="C2011" i="3"/>
  <c r="B2011" i="3"/>
  <c r="D2010" i="3"/>
  <c r="C2010" i="3"/>
  <c r="B2010" i="3"/>
  <c r="D2009" i="3"/>
  <c r="C2009" i="3"/>
  <c r="B2009" i="3"/>
  <c r="D2008" i="3"/>
  <c r="C2008" i="3"/>
  <c r="B2008" i="3"/>
  <c r="D2007" i="3"/>
  <c r="C2007" i="3"/>
  <c r="B2007" i="3"/>
  <c r="D2006" i="3"/>
  <c r="C2006" i="3"/>
  <c r="B2006" i="3"/>
  <c r="D2005" i="3"/>
  <c r="C2005" i="3"/>
  <c r="B2005" i="3"/>
  <c r="D2004" i="3"/>
  <c r="C2004" i="3"/>
  <c r="B2004" i="3"/>
  <c r="D2003" i="3"/>
  <c r="C2003" i="3"/>
  <c r="B2003" i="3"/>
  <c r="D2002" i="3"/>
  <c r="C2002" i="3"/>
  <c r="B2002" i="3"/>
  <c r="D2001" i="3"/>
  <c r="C2001" i="3"/>
  <c r="B2001" i="3"/>
  <c r="D2000" i="3"/>
  <c r="C2000" i="3"/>
  <c r="B2000" i="3"/>
  <c r="D1999" i="3"/>
  <c r="C1999" i="3"/>
  <c r="B1999" i="3"/>
  <c r="D1998" i="3"/>
  <c r="C1998" i="3"/>
  <c r="B1998" i="3"/>
  <c r="D1997" i="3"/>
  <c r="C1997" i="3"/>
  <c r="B1997" i="3"/>
  <c r="D1996" i="3"/>
  <c r="C1996" i="3"/>
  <c r="B1996" i="3"/>
  <c r="D1995" i="3"/>
  <c r="C1995" i="3"/>
  <c r="B1995" i="3"/>
  <c r="D1994" i="3"/>
  <c r="C1994" i="3"/>
  <c r="B1994" i="3"/>
  <c r="D1993" i="3"/>
  <c r="C1993" i="3"/>
  <c r="B1993" i="3"/>
  <c r="D1992" i="3"/>
  <c r="C1992" i="3"/>
  <c r="B1992" i="3"/>
  <c r="D1991" i="3"/>
  <c r="C1991" i="3"/>
  <c r="B1991" i="3"/>
  <c r="D1990" i="3"/>
  <c r="C1990" i="3"/>
  <c r="B1990" i="3"/>
  <c r="D1989" i="3"/>
  <c r="C1989" i="3"/>
  <c r="B1989" i="3"/>
  <c r="D1988" i="3"/>
  <c r="C1988" i="3"/>
  <c r="B1988" i="3"/>
  <c r="D1987" i="3"/>
  <c r="C1987" i="3"/>
  <c r="B1987" i="3"/>
  <c r="D1986" i="3"/>
  <c r="C1986" i="3"/>
  <c r="B1986" i="3"/>
  <c r="D1985" i="3"/>
  <c r="C1985" i="3"/>
  <c r="B1985" i="3"/>
  <c r="D1984" i="3"/>
  <c r="C1984" i="3"/>
  <c r="B1984" i="3"/>
  <c r="D1983" i="3"/>
  <c r="C1983" i="3"/>
  <c r="B1983" i="3"/>
  <c r="D1982" i="3"/>
  <c r="C1982" i="3"/>
  <c r="B1982" i="3"/>
  <c r="D1981" i="3"/>
  <c r="C1981" i="3"/>
  <c r="B1981" i="3"/>
  <c r="D1980" i="3"/>
  <c r="C1980" i="3"/>
  <c r="B1980" i="3"/>
  <c r="D1979" i="3"/>
  <c r="C1979" i="3"/>
  <c r="B1979" i="3"/>
  <c r="D1978" i="3"/>
  <c r="C1978" i="3"/>
  <c r="B1978" i="3"/>
  <c r="D1977" i="3"/>
  <c r="C1977" i="3"/>
  <c r="B1977" i="3"/>
  <c r="D1976" i="3"/>
  <c r="C1976" i="3"/>
  <c r="B1976" i="3"/>
  <c r="D1975" i="3"/>
  <c r="C1975" i="3"/>
  <c r="B1975" i="3"/>
  <c r="D1974" i="3"/>
  <c r="C1974" i="3"/>
  <c r="B1974" i="3"/>
  <c r="D1973" i="3"/>
  <c r="C1973" i="3"/>
  <c r="B1973" i="3"/>
  <c r="D1972" i="3"/>
  <c r="C1972" i="3"/>
  <c r="B1972" i="3"/>
  <c r="D1971" i="3"/>
  <c r="C1971" i="3"/>
  <c r="B1971" i="3"/>
  <c r="D1970" i="3"/>
  <c r="C1970" i="3"/>
  <c r="B1970" i="3"/>
  <c r="D1969" i="3"/>
  <c r="C1969" i="3"/>
  <c r="B1969" i="3"/>
  <c r="D1968" i="3"/>
  <c r="C1968" i="3"/>
  <c r="B1968" i="3"/>
  <c r="D1967" i="3"/>
  <c r="C1967" i="3"/>
  <c r="B1967" i="3"/>
  <c r="D1966" i="3"/>
  <c r="C1966" i="3"/>
  <c r="B1966" i="3"/>
  <c r="D1965" i="3"/>
  <c r="C1965" i="3"/>
  <c r="B1965" i="3"/>
  <c r="D1964" i="3"/>
  <c r="C1964" i="3"/>
  <c r="B1964" i="3"/>
  <c r="D1963" i="3"/>
  <c r="C1963" i="3"/>
  <c r="B1963" i="3"/>
  <c r="D1962" i="3"/>
  <c r="C1962" i="3"/>
  <c r="B1962" i="3"/>
  <c r="D1961" i="3"/>
  <c r="C1961" i="3"/>
  <c r="B1961" i="3"/>
  <c r="D1960" i="3"/>
  <c r="C1960" i="3"/>
  <c r="B1960" i="3"/>
  <c r="D1959" i="3"/>
  <c r="C1959" i="3"/>
  <c r="B1959" i="3"/>
  <c r="D1958" i="3"/>
  <c r="C1958" i="3"/>
  <c r="B1958" i="3"/>
  <c r="D1957" i="3"/>
  <c r="C1957" i="3"/>
  <c r="B1957" i="3"/>
  <c r="D1956" i="3"/>
  <c r="C1956" i="3"/>
  <c r="B1956" i="3"/>
  <c r="D1955" i="3"/>
  <c r="C1955" i="3"/>
  <c r="B1955" i="3"/>
  <c r="D1954" i="3"/>
  <c r="C1954" i="3"/>
  <c r="B1954" i="3"/>
  <c r="D1953" i="3"/>
  <c r="C1953" i="3"/>
  <c r="B1953" i="3"/>
  <c r="D1952" i="3"/>
  <c r="C1952" i="3"/>
  <c r="B1952" i="3"/>
  <c r="D1951" i="3"/>
  <c r="C1951" i="3"/>
  <c r="B1951" i="3"/>
  <c r="D1950" i="3"/>
  <c r="C1950" i="3"/>
  <c r="B1950" i="3"/>
  <c r="D1949" i="3"/>
  <c r="C1949" i="3"/>
  <c r="B1949" i="3"/>
  <c r="D1948" i="3"/>
  <c r="C1948" i="3"/>
  <c r="B1948" i="3"/>
  <c r="D1947" i="3"/>
  <c r="C1947" i="3"/>
  <c r="B1947" i="3"/>
  <c r="D1946" i="3"/>
  <c r="C1946" i="3"/>
  <c r="B1946" i="3"/>
  <c r="D1945" i="3"/>
  <c r="C1945" i="3"/>
  <c r="B1945" i="3"/>
  <c r="D1944" i="3"/>
  <c r="C1944" i="3"/>
  <c r="B1944" i="3"/>
  <c r="D1943" i="3"/>
  <c r="C1943" i="3"/>
  <c r="B1943" i="3"/>
  <c r="D1942" i="3"/>
  <c r="C1942" i="3"/>
  <c r="B1942" i="3"/>
  <c r="D1941" i="3"/>
  <c r="C1941" i="3"/>
  <c r="B1941" i="3"/>
  <c r="D1940" i="3"/>
  <c r="C1940" i="3"/>
  <c r="B1940" i="3"/>
  <c r="D1939" i="3"/>
  <c r="C1939" i="3"/>
  <c r="B1939" i="3"/>
  <c r="D1938" i="3"/>
  <c r="C1938" i="3"/>
  <c r="B1938" i="3"/>
  <c r="D1937" i="3"/>
  <c r="C1937" i="3"/>
  <c r="B1937" i="3"/>
  <c r="D1936" i="3"/>
  <c r="C1936" i="3"/>
  <c r="B1936" i="3"/>
  <c r="D1935" i="3"/>
  <c r="C1935" i="3"/>
  <c r="B1935" i="3"/>
  <c r="D1934" i="3"/>
  <c r="C1934" i="3"/>
  <c r="B1934" i="3"/>
  <c r="D1933" i="3"/>
  <c r="C1933" i="3"/>
  <c r="B1933" i="3"/>
  <c r="D1932" i="3"/>
  <c r="C1932" i="3"/>
  <c r="B1932" i="3"/>
  <c r="D1931" i="3"/>
  <c r="C1931" i="3"/>
  <c r="B1931" i="3"/>
  <c r="D1930" i="3"/>
  <c r="C1930" i="3"/>
  <c r="B1930" i="3"/>
  <c r="D1929" i="3"/>
  <c r="C1929" i="3"/>
  <c r="B1929" i="3"/>
  <c r="D1928" i="3"/>
  <c r="C1928" i="3"/>
  <c r="B1928" i="3"/>
  <c r="D1927" i="3"/>
  <c r="C1927" i="3"/>
  <c r="B1927" i="3"/>
  <c r="D1926" i="3"/>
  <c r="C1926" i="3"/>
  <c r="B1926" i="3"/>
  <c r="D1925" i="3"/>
  <c r="C1925" i="3"/>
  <c r="B1925" i="3"/>
  <c r="D1924" i="3"/>
  <c r="C1924" i="3"/>
  <c r="B1924" i="3"/>
  <c r="D1923" i="3"/>
  <c r="C1923" i="3"/>
  <c r="B1923" i="3"/>
  <c r="D1922" i="3"/>
  <c r="C1922" i="3"/>
  <c r="B1922" i="3"/>
  <c r="D1921" i="3"/>
  <c r="C1921" i="3"/>
  <c r="B1921" i="3"/>
  <c r="D1920" i="3"/>
  <c r="C1920" i="3"/>
  <c r="B1920" i="3"/>
  <c r="D1919" i="3"/>
  <c r="C1919" i="3"/>
  <c r="B1919" i="3"/>
  <c r="D1918" i="3"/>
  <c r="C1918" i="3"/>
  <c r="B1918" i="3"/>
  <c r="D1917" i="3"/>
  <c r="C1917" i="3"/>
  <c r="B1917" i="3"/>
  <c r="D1916" i="3"/>
  <c r="C1916" i="3"/>
  <c r="B1916" i="3"/>
  <c r="D1915" i="3"/>
  <c r="C1915" i="3"/>
  <c r="B1915" i="3"/>
  <c r="D1914" i="3"/>
  <c r="C1914" i="3"/>
  <c r="B1914" i="3"/>
  <c r="D1913" i="3"/>
  <c r="C1913" i="3"/>
  <c r="B1913" i="3"/>
  <c r="D1912" i="3"/>
  <c r="C1912" i="3"/>
  <c r="B1912" i="3"/>
  <c r="D1911" i="3"/>
  <c r="C1911" i="3"/>
  <c r="B1911" i="3"/>
  <c r="D1910" i="3"/>
  <c r="C1910" i="3"/>
  <c r="B1910" i="3"/>
  <c r="D1909" i="3"/>
  <c r="C1909" i="3"/>
  <c r="B1909" i="3"/>
  <c r="D1908" i="3"/>
  <c r="C1908" i="3"/>
  <c r="B1908" i="3"/>
  <c r="D1907" i="3"/>
  <c r="C1907" i="3"/>
  <c r="B1907" i="3"/>
  <c r="D1906" i="3"/>
  <c r="C1906" i="3"/>
  <c r="B1906" i="3"/>
  <c r="D1905" i="3"/>
  <c r="C1905" i="3"/>
  <c r="B1905" i="3"/>
  <c r="D1904" i="3"/>
  <c r="C1904" i="3"/>
  <c r="B1904" i="3"/>
  <c r="D1903" i="3"/>
  <c r="C1903" i="3"/>
  <c r="B1903" i="3"/>
  <c r="D1902" i="3"/>
  <c r="C1902" i="3"/>
  <c r="B1902" i="3"/>
  <c r="D1901" i="3"/>
  <c r="C1901" i="3"/>
  <c r="B1901" i="3"/>
  <c r="D1900" i="3"/>
  <c r="C1900" i="3"/>
  <c r="B1900" i="3"/>
  <c r="D1899" i="3"/>
  <c r="C1899" i="3"/>
  <c r="B1899" i="3"/>
  <c r="D1898" i="3"/>
  <c r="C1898" i="3"/>
  <c r="B1898" i="3"/>
  <c r="D1897" i="3"/>
  <c r="C1897" i="3"/>
  <c r="B1897" i="3"/>
  <c r="D1896" i="3"/>
  <c r="C1896" i="3"/>
  <c r="B1896" i="3"/>
  <c r="D1895" i="3"/>
  <c r="C1895" i="3"/>
  <c r="B1895" i="3"/>
  <c r="D1894" i="3"/>
  <c r="C1894" i="3"/>
  <c r="B1894" i="3"/>
  <c r="D1893" i="3"/>
  <c r="C1893" i="3"/>
  <c r="B1893" i="3"/>
  <c r="D1892" i="3"/>
  <c r="C1892" i="3"/>
  <c r="B1892" i="3"/>
  <c r="D1891" i="3"/>
  <c r="C1891" i="3"/>
  <c r="B1891" i="3"/>
  <c r="D1890" i="3"/>
  <c r="C1890" i="3"/>
  <c r="B1890" i="3"/>
  <c r="D1889" i="3"/>
  <c r="C1889" i="3"/>
  <c r="B1889" i="3"/>
  <c r="D1888" i="3"/>
  <c r="C1888" i="3"/>
  <c r="B1888" i="3"/>
  <c r="D1887" i="3"/>
  <c r="C1887" i="3"/>
  <c r="B1887" i="3"/>
  <c r="D1886" i="3"/>
  <c r="C1886" i="3"/>
  <c r="B1886" i="3"/>
  <c r="D1885" i="3"/>
  <c r="C1885" i="3"/>
  <c r="B1885" i="3"/>
  <c r="D1884" i="3"/>
  <c r="C1884" i="3"/>
  <c r="B1884" i="3"/>
  <c r="D1883" i="3"/>
  <c r="C1883" i="3"/>
  <c r="B1883" i="3"/>
  <c r="D1882" i="3"/>
  <c r="C1882" i="3"/>
  <c r="B1882" i="3"/>
  <c r="D1881" i="3"/>
  <c r="C1881" i="3"/>
  <c r="B1881" i="3"/>
  <c r="D1880" i="3"/>
  <c r="C1880" i="3"/>
  <c r="B1880" i="3"/>
  <c r="D1879" i="3"/>
  <c r="C1879" i="3"/>
  <c r="B1879" i="3"/>
  <c r="D1878" i="3"/>
  <c r="C1878" i="3"/>
  <c r="B1878" i="3"/>
  <c r="D1877" i="3"/>
  <c r="C1877" i="3"/>
  <c r="B1877" i="3"/>
  <c r="D1876" i="3"/>
  <c r="C1876" i="3"/>
  <c r="B1876" i="3"/>
  <c r="D1875" i="3"/>
  <c r="C1875" i="3"/>
  <c r="B1875" i="3"/>
  <c r="D1874" i="3"/>
  <c r="C1874" i="3"/>
  <c r="B1874" i="3"/>
  <c r="D1873" i="3"/>
  <c r="C1873" i="3"/>
  <c r="B1873" i="3"/>
  <c r="D1872" i="3"/>
  <c r="C1872" i="3"/>
  <c r="B1872" i="3"/>
  <c r="D1871" i="3"/>
  <c r="C1871" i="3"/>
  <c r="B1871" i="3"/>
  <c r="D1870" i="3"/>
  <c r="C1870" i="3"/>
  <c r="B1870" i="3"/>
  <c r="D1869" i="3"/>
  <c r="C1869" i="3"/>
  <c r="B1869" i="3"/>
  <c r="D1868" i="3"/>
  <c r="C1868" i="3"/>
  <c r="B1868" i="3"/>
  <c r="D1867" i="3"/>
  <c r="C1867" i="3"/>
  <c r="B1867" i="3"/>
  <c r="D1866" i="3"/>
  <c r="C1866" i="3"/>
  <c r="B1866" i="3"/>
  <c r="D1865" i="3"/>
  <c r="C1865" i="3"/>
  <c r="B1865" i="3"/>
  <c r="D1864" i="3"/>
  <c r="C1864" i="3"/>
  <c r="B1864" i="3"/>
  <c r="D1863" i="3"/>
  <c r="C1863" i="3"/>
  <c r="B1863" i="3"/>
  <c r="D1862" i="3"/>
  <c r="C1862" i="3"/>
  <c r="B1862" i="3"/>
  <c r="D1861" i="3"/>
  <c r="C1861" i="3"/>
  <c r="B1861" i="3"/>
  <c r="D1860" i="3"/>
  <c r="C1860" i="3"/>
  <c r="B1860" i="3"/>
  <c r="D1859" i="3"/>
  <c r="C1859" i="3"/>
  <c r="B1859" i="3"/>
  <c r="D1858" i="3"/>
  <c r="C1858" i="3"/>
  <c r="B1858" i="3"/>
  <c r="D1857" i="3"/>
  <c r="C1857" i="3"/>
  <c r="B1857" i="3"/>
  <c r="D1856" i="3"/>
  <c r="C1856" i="3"/>
  <c r="B1856" i="3"/>
  <c r="D1855" i="3"/>
  <c r="C1855" i="3"/>
  <c r="B1855" i="3"/>
  <c r="D1854" i="3"/>
  <c r="C1854" i="3"/>
  <c r="B1854" i="3"/>
  <c r="D1853" i="3"/>
  <c r="C1853" i="3"/>
  <c r="B1853" i="3"/>
  <c r="D1852" i="3"/>
  <c r="C1852" i="3"/>
  <c r="B1852" i="3"/>
  <c r="D1851" i="3"/>
  <c r="C1851" i="3"/>
  <c r="B1851" i="3"/>
  <c r="D1850" i="3"/>
  <c r="C1850" i="3"/>
  <c r="B1850" i="3"/>
  <c r="D1849" i="3"/>
  <c r="C1849" i="3"/>
  <c r="B1849" i="3"/>
  <c r="D1848" i="3"/>
  <c r="C1848" i="3"/>
  <c r="B1848" i="3"/>
  <c r="D1847" i="3"/>
  <c r="C1847" i="3"/>
  <c r="B1847" i="3"/>
  <c r="D1846" i="3"/>
  <c r="C1846" i="3"/>
  <c r="B1846" i="3"/>
  <c r="D1845" i="3"/>
  <c r="C1845" i="3"/>
  <c r="B1845" i="3"/>
  <c r="D1844" i="3"/>
  <c r="C1844" i="3"/>
  <c r="B1844" i="3"/>
  <c r="D1843" i="3"/>
  <c r="C1843" i="3"/>
  <c r="B1843" i="3"/>
  <c r="D1842" i="3"/>
  <c r="C1842" i="3"/>
  <c r="B1842" i="3"/>
  <c r="D1841" i="3"/>
  <c r="C1841" i="3"/>
  <c r="B1841" i="3"/>
  <c r="D1840" i="3"/>
  <c r="C1840" i="3"/>
  <c r="B1840" i="3"/>
  <c r="D1839" i="3"/>
  <c r="C1839" i="3"/>
  <c r="B1839" i="3"/>
  <c r="D1838" i="3"/>
  <c r="C1838" i="3"/>
  <c r="B1838" i="3"/>
  <c r="D1837" i="3"/>
  <c r="C1837" i="3"/>
  <c r="B1837" i="3"/>
  <c r="D1836" i="3"/>
  <c r="C1836" i="3"/>
  <c r="B1836" i="3"/>
  <c r="D1835" i="3"/>
  <c r="C1835" i="3"/>
  <c r="B1835" i="3"/>
  <c r="D1834" i="3"/>
  <c r="C1834" i="3"/>
  <c r="B1834" i="3"/>
  <c r="D1833" i="3"/>
  <c r="C1833" i="3"/>
  <c r="B1833" i="3"/>
  <c r="D1832" i="3"/>
  <c r="C1832" i="3"/>
  <c r="B1832" i="3"/>
  <c r="D1831" i="3"/>
  <c r="C1831" i="3"/>
  <c r="B1831" i="3"/>
  <c r="D1830" i="3"/>
  <c r="C1830" i="3"/>
  <c r="B1830" i="3"/>
  <c r="D1829" i="3"/>
  <c r="C1829" i="3"/>
  <c r="B1829" i="3"/>
  <c r="D1828" i="3"/>
  <c r="C1828" i="3"/>
  <c r="B1828" i="3"/>
  <c r="D1827" i="3"/>
  <c r="C1827" i="3"/>
  <c r="B1827" i="3"/>
  <c r="D1826" i="3"/>
  <c r="C1826" i="3"/>
  <c r="B1826" i="3"/>
  <c r="D1825" i="3"/>
  <c r="C1825" i="3"/>
  <c r="B1825" i="3"/>
  <c r="D1824" i="3"/>
  <c r="C1824" i="3"/>
  <c r="B1824" i="3"/>
  <c r="D1823" i="3"/>
  <c r="C1823" i="3"/>
  <c r="B1823" i="3"/>
  <c r="D1822" i="3"/>
  <c r="C1822" i="3"/>
  <c r="B1822" i="3"/>
  <c r="D1821" i="3"/>
  <c r="C1821" i="3"/>
  <c r="B1821" i="3"/>
  <c r="D1820" i="3"/>
  <c r="C1820" i="3"/>
  <c r="B1820" i="3"/>
  <c r="D1819" i="3"/>
  <c r="C1819" i="3"/>
  <c r="B1819" i="3"/>
  <c r="D1818" i="3"/>
  <c r="C1818" i="3"/>
  <c r="B1818" i="3"/>
  <c r="D1817" i="3"/>
  <c r="C1817" i="3"/>
  <c r="B1817" i="3"/>
  <c r="D1816" i="3"/>
  <c r="C1816" i="3"/>
  <c r="B1816" i="3"/>
  <c r="D1815" i="3"/>
  <c r="C1815" i="3"/>
  <c r="B1815" i="3"/>
  <c r="D1814" i="3"/>
  <c r="C1814" i="3"/>
  <c r="B1814" i="3"/>
  <c r="D1813" i="3"/>
  <c r="C1813" i="3"/>
  <c r="B1813" i="3"/>
  <c r="D1812" i="3"/>
  <c r="C1812" i="3"/>
  <c r="B1812" i="3"/>
  <c r="D1811" i="3"/>
  <c r="C1811" i="3"/>
  <c r="B1811" i="3"/>
  <c r="D1810" i="3"/>
  <c r="C1810" i="3"/>
  <c r="B1810" i="3"/>
  <c r="D1809" i="3"/>
  <c r="C1809" i="3"/>
  <c r="B1809" i="3"/>
  <c r="D1808" i="3"/>
  <c r="C1808" i="3"/>
  <c r="B1808" i="3"/>
  <c r="D1807" i="3"/>
  <c r="C1807" i="3"/>
  <c r="B1807" i="3"/>
  <c r="D1806" i="3"/>
  <c r="C1806" i="3"/>
  <c r="B1806" i="3"/>
  <c r="D1805" i="3"/>
  <c r="C1805" i="3"/>
  <c r="B1805" i="3"/>
  <c r="D1804" i="3"/>
  <c r="C1804" i="3"/>
  <c r="B1804" i="3"/>
  <c r="D1803" i="3"/>
  <c r="C1803" i="3"/>
  <c r="B1803" i="3"/>
  <c r="D1802" i="3"/>
  <c r="C1802" i="3"/>
  <c r="B1802" i="3"/>
  <c r="D1801" i="3"/>
  <c r="C1801" i="3"/>
  <c r="B1801" i="3"/>
  <c r="D1800" i="3"/>
  <c r="C1800" i="3"/>
  <c r="B1800" i="3"/>
  <c r="D1799" i="3"/>
  <c r="C1799" i="3"/>
  <c r="B1799" i="3"/>
  <c r="D1798" i="3"/>
  <c r="C1798" i="3"/>
  <c r="B1798" i="3"/>
  <c r="D1797" i="3"/>
  <c r="C1797" i="3"/>
  <c r="B1797" i="3"/>
  <c r="D1796" i="3"/>
  <c r="C1796" i="3"/>
  <c r="B1796" i="3"/>
  <c r="D1795" i="3"/>
  <c r="C1795" i="3"/>
  <c r="B1795" i="3"/>
  <c r="D1794" i="3"/>
  <c r="C1794" i="3"/>
  <c r="B1794" i="3"/>
  <c r="D1793" i="3"/>
  <c r="C1793" i="3"/>
  <c r="B1793" i="3"/>
  <c r="D1792" i="3"/>
  <c r="C1792" i="3"/>
  <c r="B1792" i="3"/>
  <c r="D1791" i="3"/>
  <c r="C1791" i="3"/>
  <c r="B1791" i="3"/>
  <c r="D1790" i="3"/>
  <c r="C1790" i="3"/>
  <c r="B1790" i="3"/>
  <c r="D1789" i="3"/>
  <c r="C1789" i="3"/>
  <c r="B1789" i="3"/>
  <c r="D1788" i="3"/>
  <c r="C1788" i="3"/>
  <c r="B1788" i="3"/>
  <c r="D1787" i="3"/>
  <c r="C1787" i="3"/>
  <c r="B1787" i="3"/>
  <c r="D1786" i="3"/>
  <c r="C1786" i="3"/>
  <c r="B1786" i="3"/>
  <c r="D1785" i="3"/>
  <c r="C1785" i="3"/>
  <c r="B1785" i="3"/>
  <c r="D1784" i="3"/>
  <c r="C1784" i="3"/>
  <c r="B1784" i="3"/>
  <c r="D1783" i="3"/>
  <c r="C1783" i="3"/>
  <c r="B1783" i="3"/>
  <c r="D1782" i="3"/>
  <c r="C1782" i="3"/>
  <c r="B1782" i="3"/>
  <c r="D1781" i="3"/>
  <c r="C1781" i="3"/>
  <c r="B1781" i="3"/>
  <c r="D1780" i="3"/>
  <c r="C1780" i="3"/>
  <c r="B1780" i="3"/>
  <c r="D1779" i="3"/>
  <c r="C1779" i="3"/>
  <c r="B1779" i="3"/>
  <c r="D1778" i="3"/>
  <c r="C1778" i="3"/>
  <c r="B1778" i="3"/>
  <c r="D1777" i="3"/>
  <c r="C1777" i="3"/>
  <c r="B1777" i="3"/>
  <c r="D1776" i="3"/>
  <c r="C1776" i="3"/>
  <c r="B1776" i="3"/>
  <c r="D1775" i="3"/>
  <c r="C1775" i="3"/>
  <c r="B1775" i="3"/>
  <c r="D1774" i="3"/>
  <c r="C1774" i="3"/>
  <c r="B1774" i="3"/>
  <c r="D1773" i="3"/>
  <c r="C1773" i="3"/>
  <c r="B1773" i="3"/>
  <c r="D1772" i="3"/>
  <c r="C1772" i="3"/>
  <c r="B1772" i="3"/>
  <c r="D1771" i="3"/>
  <c r="C1771" i="3"/>
  <c r="B1771" i="3"/>
  <c r="D1770" i="3"/>
  <c r="C1770" i="3"/>
  <c r="B1770" i="3"/>
  <c r="D1769" i="3"/>
  <c r="C1769" i="3"/>
  <c r="B1769" i="3"/>
  <c r="D1768" i="3"/>
  <c r="C1768" i="3"/>
  <c r="B1768" i="3"/>
  <c r="D1767" i="3"/>
  <c r="C1767" i="3"/>
  <c r="B1767" i="3"/>
  <c r="D1766" i="3"/>
  <c r="C1766" i="3"/>
  <c r="B1766" i="3"/>
  <c r="D1765" i="3"/>
  <c r="C1765" i="3"/>
  <c r="B1765" i="3"/>
  <c r="D1764" i="3"/>
  <c r="C1764" i="3"/>
  <c r="B1764" i="3"/>
  <c r="D1763" i="3"/>
  <c r="C1763" i="3"/>
  <c r="B1763" i="3"/>
  <c r="D1762" i="3"/>
  <c r="C1762" i="3"/>
  <c r="B1762" i="3"/>
  <c r="D1761" i="3"/>
  <c r="C1761" i="3"/>
  <c r="B1761" i="3"/>
  <c r="D1760" i="3"/>
  <c r="C1760" i="3"/>
  <c r="B1760" i="3"/>
  <c r="D1759" i="3"/>
  <c r="C1759" i="3"/>
  <c r="B1759" i="3"/>
  <c r="D1758" i="3"/>
  <c r="C1758" i="3"/>
  <c r="B1758" i="3"/>
  <c r="D1757" i="3"/>
  <c r="C1757" i="3"/>
  <c r="B1757" i="3"/>
  <c r="D1756" i="3"/>
  <c r="C1756" i="3"/>
  <c r="B1756" i="3"/>
  <c r="D1755" i="3"/>
  <c r="C1755" i="3"/>
  <c r="B1755" i="3"/>
  <c r="D1754" i="3"/>
  <c r="C1754" i="3"/>
  <c r="B1754" i="3"/>
  <c r="D1753" i="3"/>
  <c r="C1753" i="3"/>
  <c r="B1753" i="3"/>
  <c r="D1752" i="3"/>
  <c r="C1752" i="3"/>
  <c r="B1752" i="3"/>
  <c r="D1751" i="3"/>
  <c r="C1751" i="3"/>
  <c r="B1751" i="3"/>
  <c r="D1750" i="3"/>
  <c r="C1750" i="3"/>
  <c r="B1750" i="3"/>
  <c r="D1749" i="3"/>
  <c r="C1749" i="3"/>
  <c r="B1749" i="3"/>
  <c r="D1748" i="3"/>
  <c r="C1748" i="3"/>
  <c r="B1748" i="3"/>
  <c r="D1747" i="3"/>
  <c r="C1747" i="3"/>
  <c r="B1747" i="3"/>
  <c r="D1746" i="3"/>
  <c r="C1746" i="3"/>
  <c r="B1746" i="3"/>
  <c r="D1745" i="3"/>
  <c r="C1745" i="3"/>
  <c r="B1745" i="3"/>
  <c r="D1744" i="3"/>
  <c r="C1744" i="3"/>
  <c r="B1744" i="3"/>
  <c r="D1743" i="3"/>
  <c r="C1743" i="3"/>
  <c r="B1743" i="3"/>
  <c r="D1742" i="3"/>
  <c r="C1742" i="3"/>
  <c r="B1742" i="3"/>
  <c r="D1741" i="3"/>
  <c r="C1741" i="3"/>
  <c r="B1741" i="3"/>
  <c r="D1740" i="3"/>
  <c r="C1740" i="3"/>
  <c r="B1740" i="3"/>
  <c r="D1739" i="3"/>
  <c r="C1739" i="3"/>
  <c r="B1739" i="3"/>
  <c r="D1738" i="3"/>
  <c r="C1738" i="3"/>
  <c r="B1738" i="3"/>
  <c r="D1737" i="3"/>
  <c r="C1737" i="3"/>
  <c r="B1737" i="3"/>
  <c r="D1736" i="3"/>
  <c r="C1736" i="3"/>
  <c r="B1736" i="3"/>
  <c r="D1735" i="3"/>
  <c r="C1735" i="3"/>
  <c r="B1735" i="3"/>
  <c r="D1734" i="3"/>
  <c r="C1734" i="3"/>
  <c r="B1734" i="3"/>
  <c r="D1733" i="3"/>
  <c r="C1733" i="3"/>
  <c r="B1733" i="3"/>
  <c r="D1732" i="3"/>
  <c r="C1732" i="3"/>
  <c r="B1732" i="3"/>
  <c r="D1731" i="3"/>
  <c r="C1731" i="3"/>
  <c r="B1731" i="3"/>
  <c r="D1730" i="3"/>
  <c r="C1730" i="3"/>
  <c r="B1730" i="3"/>
  <c r="D1729" i="3"/>
  <c r="C1729" i="3"/>
  <c r="B1729" i="3"/>
  <c r="D1728" i="3"/>
  <c r="C1728" i="3"/>
  <c r="B1728" i="3"/>
  <c r="D1727" i="3"/>
  <c r="C1727" i="3"/>
  <c r="B1727" i="3"/>
  <c r="D1726" i="3"/>
  <c r="C1726" i="3"/>
  <c r="B1726" i="3"/>
  <c r="D1725" i="3"/>
  <c r="C1725" i="3"/>
  <c r="B1725" i="3"/>
  <c r="D1724" i="3"/>
  <c r="C1724" i="3"/>
  <c r="B1724" i="3"/>
  <c r="D1723" i="3"/>
  <c r="C1723" i="3"/>
  <c r="B1723" i="3"/>
  <c r="D1722" i="3"/>
  <c r="C1722" i="3"/>
  <c r="B1722" i="3"/>
  <c r="D1721" i="3"/>
  <c r="C1721" i="3"/>
  <c r="B1721" i="3"/>
  <c r="D1720" i="3"/>
  <c r="C1720" i="3"/>
  <c r="B1720" i="3"/>
  <c r="D1719" i="3"/>
  <c r="C1719" i="3"/>
  <c r="B1719" i="3"/>
  <c r="D1718" i="3"/>
  <c r="C1718" i="3"/>
  <c r="B1718" i="3"/>
  <c r="D1717" i="3"/>
  <c r="C1717" i="3"/>
  <c r="B1717" i="3"/>
  <c r="D1716" i="3"/>
  <c r="C1716" i="3"/>
  <c r="B1716" i="3"/>
  <c r="D1715" i="3"/>
  <c r="C1715" i="3"/>
  <c r="B1715" i="3"/>
  <c r="D1714" i="3"/>
  <c r="C1714" i="3"/>
  <c r="B1714" i="3"/>
  <c r="D1713" i="3"/>
  <c r="C1713" i="3"/>
  <c r="B1713" i="3"/>
  <c r="D1712" i="3"/>
  <c r="C1712" i="3"/>
  <c r="B1712" i="3"/>
  <c r="D1711" i="3"/>
  <c r="C1711" i="3"/>
  <c r="B1711" i="3"/>
  <c r="D1710" i="3"/>
  <c r="C1710" i="3"/>
  <c r="B1710" i="3"/>
  <c r="D1709" i="3"/>
  <c r="C1709" i="3"/>
  <c r="B1709" i="3"/>
  <c r="D1708" i="3"/>
  <c r="C1708" i="3"/>
  <c r="B1708" i="3"/>
  <c r="D1707" i="3"/>
  <c r="C1707" i="3"/>
  <c r="B1707" i="3"/>
  <c r="D1706" i="3"/>
  <c r="C1706" i="3"/>
  <c r="B1706" i="3"/>
  <c r="D1705" i="3"/>
  <c r="C1705" i="3"/>
  <c r="B1705" i="3"/>
  <c r="D1704" i="3"/>
  <c r="C1704" i="3"/>
  <c r="B1704" i="3"/>
  <c r="D1703" i="3"/>
  <c r="C1703" i="3"/>
  <c r="B1703" i="3"/>
  <c r="D1702" i="3"/>
  <c r="C1702" i="3"/>
  <c r="B1702" i="3"/>
  <c r="D1701" i="3"/>
  <c r="C1701" i="3"/>
  <c r="B1701" i="3"/>
  <c r="D1700" i="3"/>
  <c r="C1700" i="3"/>
  <c r="B1700" i="3"/>
  <c r="D1699" i="3"/>
  <c r="C1699" i="3"/>
  <c r="B1699" i="3"/>
  <c r="D1698" i="3"/>
  <c r="C1698" i="3"/>
  <c r="B1698" i="3"/>
  <c r="D1697" i="3"/>
  <c r="C1697" i="3"/>
  <c r="B1697" i="3"/>
  <c r="D1696" i="3"/>
  <c r="C1696" i="3"/>
  <c r="B1696" i="3"/>
  <c r="D1695" i="3"/>
  <c r="C1695" i="3"/>
  <c r="B1695" i="3"/>
  <c r="D1694" i="3"/>
  <c r="C1694" i="3"/>
  <c r="B1694" i="3"/>
  <c r="D1693" i="3"/>
  <c r="C1693" i="3"/>
  <c r="B1693" i="3"/>
  <c r="D1692" i="3"/>
  <c r="C1692" i="3"/>
  <c r="B1692" i="3"/>
  <c r="D1691" i="3"/>
  <c r="C1691" i="3"/>
  <c r="B1691" i="3"/>
  <c r="D1690" i="3"/>
  <c r="C1690" i="3"/>
  <c r="B1690" i="3"/>
  <c r="D1689" i="3"/>
  <c r="C1689" i="3"/>
  <c r="B1689" i="3"/>
  <c r="D1688" i="3"/>
  <c r="C1688" i="3"/>
  <c r="B1688" i="3"/>
  <c r="D1687" i="3"/>
  <c r="C1687" i="3"/>
  <c r="B1687" i="3"/>
  <c r="D1686" i="3"/>
  <c r="C1686" i="3"/>
  <c r="B1686" i="3"/>
  <c r="D1685" i="3"/>
  <c r="C1685" i="3"/>
  <c r="B1685" i="3"/>
  <c r="D1684" i="3"/>
  <c r="C1684" i="3"/>
  <c r="B1684" i="3"/>
  <c r="D1683" i="3"/>
  <c r="C1683" i="3"/>
  <c r="B1683" i="3"/>
  <c r="D1682" i="3"/>
  <c r="C1682" i="3"/>
  <c r="B1682" i="3"/>
  <c r="D1681" i="3"/>
  <c r="C1681" i="3"/>
  <c r="B1681" i="3"/>
  <c r="D1680" i="3"/>
  <c r="C1680" i="3"/>
  <c r="B1680" i="3"/>
  <c r="D1679" i="3"/>
  <c r="C1679" i="3"/>
  <c r="B1679" i="3"/>
  <c r="D1678" i="3"/>
  <c r="C1678" i="3"/>
  <c r="B1678" i="3"/>
  <c r="D1677" i="3"/>
  <c r="C1677" i="3"/>
  <c r="B1677" i="3"/>
  <c r="D1676" i="3"/>
  <c r="C1676" i="3"/>
  <c r="B1676" i="3"/>
  <c r="D1675" i="3"/>
  <c r="C1675" i="3"/>
  <c r="B1675" i="3"/>
  <c r="D1674" i="3"/>
  <c r="C1674" i="3"/>
  <c r="B1674" i="3"/>
  <c r="D1673" i="3"/>
  <c r="C1673" i="3"/>
  <c r="B1673" i="3"/>
  <c r="D1672" i="3"/>
  <c r="C1672" i="3"/>
  <c r="B1672" i="3"/>
  <c r="D1671" i="3"/>
  <c r="C1671" i="3"/>
  <c r="B1671" i="3"/>
  <c r="D1670" i="3"/>
  <c r="C1670" i="3"/>
  <c r="B1670" i="3"/>
  <c r="D1669" i="3"/>
  <c r="C1669" i="3"/>
  <c r="B1669" i="3"/>
  <c r="D1668" i="3"/>
  <c r="C1668" i="3"/>
  <c r="B1668" i="3"/>
  <c r="D1667" i="3"/>
  <c r="C1667" i="3"/>
  <c r="B1667" i="3"/>
  <c r="D1666" i="3"/>
  <c r="C1666" i="3"/>
  <c r="B1666" i="3"/>
  <c r="D1665" i="3"/>
  <c r="C1665" i="3"/>
  <c r="B1665" i="3"/>
  <c r="D1664" i="3"/>
  <c r="C1664" i="3"/>
  <c r="B1664" i="3"/>
  <c r="D1663" i="3"/>
  <c r="C1663" i="3"/>
  <c r="B1663" i="3"/>
  <c r="D1662" i="3"/>
  <c r="C1662" i="3"/>
  <c r="B1662" i="3"/>
  <c r="D1661" i="3"/>
  <c r="C1661" i="3"/>
  <c r="B1661" i="3"/>
  <c r="D1660" i="3"/>
  <c r="C1660" i="3"/>
  <c r="B1660" i="3"/>
  <c r="D1659" i="3"/>
  <c r="C1659" i="3"/>
  <c r="B1659" i="3"/>
  <c r="D1658" i="3"/>
  <c r="C1658" i="3"/>
  <c r="B1658" i="3"/>
  <c r="D1657" i="3"/>
  <c r="C1657" i="3"/>
  <c r="B1657" i="3"/>
  <c r="D1656" i="3"/>
  <c r="C1656" i="3"/>
  <c r="B1656" i="3"/>
  <c r="D1655" i="3"/>
  <c r="C1655" i="3"/>
  <c r="B1655" i="3"/>
  <c r="D1654" i="3"/>
  <c r="C1654" i="3"/>
  <c r="B1654" i="3"/>
  <c r="D1653" i="3"/>
  <c r="C1653" i="3"/>
  <c r="B1653" i="3"/>
  <c r="D1652" i="3"/>
  <c r="C1652" i="3"/>
  <c r="B1652" i="3"/>
  <c r="D1651" i="3"/>
  <c r="C1651" i="3"/>
  <c r="B1651" i="3"/>
  <c r="D1650" i="3"/>
  <c r="C1650" i="3"/>
  <c r="B1650" i="3"/>
  <c r="D1649" i="3"/>
  <c r="C1649" i="3"/>
  <c r="B1649" i="3"/>
  <c r="D1648" i="3"/>
  <c r="C1648" i="3"/>
  <c r="B1648" i="3"/>
  <c r="D1647" i="3"/>
  <c r="C1647" i="3"/>
  <c r="B1647" i="3"/>
  <c r="D1646" i="3"/>
  <c r="C1646" i="3"/>
  <c r="B1646" i="3"/>
  <c r="D1645" i="3"/>
  <c r="C1645" i="3"/>
  <c r="B1645" i="3"/>
  <c r="D1644" i="3"/>
  <c r="C1644" i="3"/>
  <c r="B1644" i="3"/>
  <c r="D1643" i="3"/>
  <c r="C1643" i="3"/>
  <c r="B1643" i="3"/>
  <c r="D1642" i="3"/>
  <c r="C1642" i="3"/>
  <c r="B1642" i="3"/>
  <c r="D1641" i="3"/>
  <c r="C1641" i="3"/>
  <c r="B1641" i="3"/>
  <c r="D1640" i="3"/>
  <c r="C1640" i="3"/>
  <c r="B1640" i="3"/>
  <c r="D1639" i="3"/>
  <c r="C1639" i="3"/>
  <c r="B1639" i="3"/>
  <c r="D1638" i="3"/>
  <c r="C1638" i="3"/>
  <c r="B1638" i="3"/>
  <c r="D1637" i="3"/>
  <c r="C1637" i="3"/>
  <c r="B1637" i="3"/>
  <c r="D1636" i="3"/>
  <c r="C1636" i="3"/>
  <c r="B1636" i="3"/>
  <c r="D1635" i="3"/>
  <c r="C1635" i="3"/>
  <c r="B1635" i="3"/>
  <c r="D1634" i="3"/>
  <c r="C1634" i="3"/>
  <c r="B1634" i="3"/>
  <c r="D1633" i="3"/>
  <c r="C1633" i="3"/>
  <c r="B1633" i="3"/>
  <c r="D1632" i="3"/>
  <c r="C1632" i="3"/>
  <c r="B1632" i="3"/>
  <c r="D1631" i="3"/>
  <c r="C1631" i="3"/>
  <c r="B1631" i="3"/>
  <c r="D1630" i="3"/>
  <c r="C1630" i="3"/>
  <c r="B1630" i="3"/>
  <c r="D1629" i="3"/>
  <c r="C1629" i="3"/>
  <c r="B1629" i="3"/>
  <c r="D1628" i="3"/>
  <c r="C1628" i="3"/>
  <c r="B1628" i="3"/>
  <c r="D1627" i="3"/>
  <c r="C1627" i="3"/>
  <c r="B1627" i="3"/>
  <c r="D1626" i="3"/>
  <c r="C1626" i="3"/>
  <c r="B1626" i="3"/>
  <c r="D1625" i="3"/>
  <c r="C1625" i="3"/>
  <c r="B1625" i="3"/>
  <c r="D1624" i="3"/>
  <c r="C1624" i="3"/>
  <c r="B1624" i="3"/>
  <c r="D1623" i="3"/>
  <c r="C1623" i="3"/>
  <c r="B1623" i="3"/>
  <c r="D1622" i="3"/>
  <c r="C1622" i="3"/>
  <c r="B1622" i="3"/>
  <c r="D1621" i="3"/>
  <c r="C1621" i="3"/>
  <c r="B1621" i="3"/>
  <c r="D1620" i="3"/>
  <c r="C1620" i="3"/>
  <c r="B1620" i="3"/>
  <c r="D1619" i="3"/>
  <c r="C1619" i="3"/>
  <c r="B1619" i="3"/>
  <c r="D1618" i="3"/>
  <c r="C1618" i="3"/>
  <c r="B1618" i="3"/>
  <c r="D1617" i="3"/>
  <c r="C1617" i="3"/>
  <c r="B1617" i="3"/>
  <c r="D1616" i="3"/>
  <c r="C1616" i="3"/>
  <c r="B1616" i="3"/>
  <c r="D1615" i="3"/>
  <c r="C1615" i="3"/>
  <c r="B1615" i="3"/>
  <c r="D1614" i="3"/>
  <c r="C1614" i="3"/>
  <c r="B1614" i="3"/>
  <c r="D1613" i="3"/>
  <c r="C1613" i="3"/>
  <c r="B1613" i="3"/>
  <c r="D1612" i="3"/>
  <c r="C1612" i="3"/>
  <c r="B1612" i="3"/>
  <c r="D1611" i="3"/>
  <c r="C1611" i="3"/>
  <c r="B1611" i="3"/>
  <c r="D1610" i="3"/>
  <c r="C1610" i="3"/>
  <c r="B1610" i="3"/>
  <c r="D1609" i="3"/>
  <c r="C1609" i="3"/>
  <c r="B1609" i="3"/>
  <c r="D1608" i="3"/>
  <c r="C1608" i="3"/>
  <c r="B1608" i="3"/>
  <c r="D1607" i="3"/>
  <c r="C1607" i="3"/>
  <c r="B1607" i="3"/>
  <c r="D1606" i="3"/>
  <c r="C1606" i="3"/>
  <c r="B1606" i="3"/>
  <c r="D1605" i="3"/>
  <c r="C1605" i="3"/>
  <c r="B1605" i="3"/>
  <c r="D1604" i="3"/>
  <c r="C1604" i="3"/>
  <c r="B1604" i="3"/>
  <c r="D1603" i="3"/>
  <c r="C1603" i="3"/>
  <c r="B1603" i="3"/>
  <c r="D1602" i="3"/>
  <c r="C1602" i="3"/>
  <c r="B1602" i="3"/>
  <c r="D1601" i="3"/>
  <c r="C1601" i="3"/>
  <c r="B1601" i="3"/>
  <c r="D1600" i="3"/>
  <c r="C1600" i="3"/>
  <c r="B1600" i="3"/>
  <c r="D1599" i="3"/>
  <c r="C1599" i="3"/>
  <c r="B1599" i="3"/>
  <c r="D1598" i="3"/>
  <c r="C1598" i="3"/>
  <c r="B1598" i="3"/>
  <c r="D1597" i="3"/>
  <c r="C1597" i="3"/>
  <c r="B1597" i="3"/>
  <c r="D1596" i="3"/>
  <c r="C1596" i="3"/>
  <c r="B1596" i="3"/>
  <c r="D1595" i="3"/>
  <c r="C1595" i="3"/>
  <c r="B1595" i="3"/>
  <c r="D1594" i="3"/>
  <c r="C1594" i="3"/>
  <c r="B1594" i="3"/>
  <c r="D1593" i="3"/>
  <c r="C1593" i="3"/>
  <c r="B1593" i="3"/>
  <c r="D1592" i="3"/>
  <c r="C1592" i="3"/>
  <c r="B1592" i="3"/>
  <c r="D1591" i="3"/>
  <c r="C1591" i="3"/>
  <c r="B1591" i="3"/>
  <c r="D1590" i="3"/>
  <c r="C1590" i="3"/>
  <c r="B1590" i="3"/>
  <c r="D1589" i="3"/>
  <c r="C1589" i="3"/>
  <c r="B1589" i="3"/>
  <c r="D1588" i="3"/>
  <c r="C1588" i="3"/>
  <c r="B1588" i="3"/>
  <c r="D1587" i="3"/>
  <c r="C1587" i="3"/>
  <c r="B1587" i="3"/>
  <c r="D1586" i="3"/>
  <c r="C1586" i="3"/>
  <c r="B1586" i="3"/>
  <c r="D1585" i="3"/>
  <c r="C1585" i="3"/>
  <c r="B1585" i="3"/>
  <c r="D1584" i="3"/>
  <c r="C1584" i="3"/>
  <c r="B1584" i="3"/>
  <c r="D1583" i="3"/>
  <c r="C1583" i="3"/>
  <c r="B1583" i="3"/>
  <c r="D1582" i="3"/>
  <c r="C1582" i="3"/>
  <c r="B1582" i="3"/>
  <c r="D1581" i="3"/>
  <c r="C1581" i="3"/>
  <c r="B1581" i="3"/>
  <c r="D1580" i="3"/>
  <c r="C1580" i="3"/>
  <c r="B1580" i="3"/>
  <c r="D1579" i="3"/>
  <c r="C1579" i="3"/>
  <c r="B1579" i="3"/>
  <c r="D1578" i="3"/>
  <c r="C1578" i="3"/>
  <c r="B1578" i="3"/>
  <c r="D1577" i="3"/>
  <c r="C1577" i="3"/>
  <c r="B1577" i="3"/>
  <c r="D1576" i="3"/>
  <c r="C1576" i="3"/>
  <c r="B1576" i="3"/>
  <c r="D1575" i="3"/>
  <c r="C1575" i="3"/>
  <c r="B1575" i="3"/>
  <c r="D1574" i="3"/>
  <c r="C1574" i="3"/>
  <c r="B1574" i="3"/>
  <c r="D1573" i="3"/>
  <c r="C1573" i="3"/>
  <c r="B1573" i="3"/>
  <c r="D1572" i="3"/>
  <c r="C1572" i="3"/>
  <c r="B1572" i="3"/>
  <c r="D1571" i="3"/>
  <c r="C1571" i="3"/>
  <c r="B1571" i="3"/>
  <c r="D1570" i="3"/>
  <c r="C1570" i="3"/>
  <c r="B1570" i="3"/>
  <c r="D1569" i="3"/>
  <c r="C1569" i="3"/>
  <c r="B1569" i="3"/>
  <c r="D1568" i="3"/>
  <c r="C1568" i="3"/>
  <c r="B1568" i="3"/>
  <c r="D1567" i="3"/>
  <c r="C1567" i="3"/>
  <c r="B1567" i="3"/>
  <c r="D1566" i="3"/>
  <c r="C1566" i="3"/>
  <c r="B1566" i="3"/>
  <c r="D1565" i="3"/>
  <c r="C1565" i="3"/>
  <c r="B1565" i="3"/>
  <c r="D1564" i="3"/>
  <c r="C1564" i="3"/>
  <c r="B1564" i="3"/>
  <c r="D1563" i="3"/>
  <c r="C1563" i="3"/>
  <c r="B1563" i="3"/>
  <c r="D1562" i="3"/>
  <c r="C1562" i="3"/>
  <c r="B1562" i="3"/>
  <c r="D1561" i="3"/>
  <c r="C1561" i="3"/>
  <c r="B1561" i="3"/>
  <c r="D1560" i="3"/>
  <c r="C1560" i="3"/>
  <c r="B1560" i="3"/>
  <c r="D1559" i="3"/>
  <c r="C1559" i="3"/>
  <c r="B1559" i="3"/>
  <c r="D1558" i="3"/>
  <c r="C1558" i="3"/>
  <c r="B1558" i="3"/>
  <c r="D1557" i="3"/>
  <c r="C1557" i="3"/>
  <c r="B1557" i="3"/>
  <c r="D1556" i="3"/>
  <c r="C1556" i="3"/>
  <c r="B1556" i="3"/>
  <c r="D1555" i="3"/>
  <c r="C1555" i="3"/>
  <c r="B1555" i="3"/>
  <c r="D1554" i="3"/>
  <c r="C1554" i="3"/>
  <c r="B1554" i="3"/>
  <c r="D1553" i="3"/>
  <c r="C1553" i="3"/>
  <c r="B1553" i="3"/>
  <c r="D1552" i="3"/>
  <c r="C1552" i="3"/>
  <c r="B1552" i="3"/>
  <c r="D1551" i="3"/>
  <c r="C1551" i="3"/>
  <c r="B1551" i="3"/>
  <c r="D1550" i="3"/>
  <c r="C1550" i="3"/>
  <c r="B1550" i="3"/>
  <c r="D1549" i="3"/>
  <c r="C1549" i="3"/>
  <c r="B1549" i="3"/>
  <c r="D1548" i="3"/>
  <c r="C1548" i="3"/>
  <c r="B1548" i="3"/>
  <c r="D1547" i="3"/>
  <c r="C1547" i="3"/>
  <c r="B1547" i="3"/>
  <c r="D1546" i="3"/>
  <c r="C1546" i="3"/>
  <c r="B1546" i="3"/>
  <c r="D1545" i="3"/>
  <c r="C1545" i="3"/>
  <c r="B1545" i="3"/>
  <c r="D1544" i="3"/>
  <c r="C1544" i="3"/>
  <c r="B1544" i="3"/>
  <c r="D1543" i="3"/>
  <c r="C1543" i="3"/>
  <c r="B1543" i="3"/>
  <c r="D1542" i="3"/>
  <c r="C1542" i="3"/>
  <c r="B1542" i="3"/>
  <c r="D1541" i="3"/>
  <c r="C1541" i="3"/>
  <c r="B1541" i="3"/>
  <c r="D1540" i="3"/>
  <c r="C1540" i="3"/>
  <c r="B1540" i="3"/>
  <c r="D1539" i="3"/>
  <c r="C1539" i="3"/>
  <c r="B1539" i="3"/>
  <c r="D1538" i="3"/>
  <c r="C1538" i="3"/>
  <c r="B1538" i="3"/>
  <c r="D1537" i="3"/>
  <c r="C1537" i="3"/>
  <c r="B1537" i="3"/>
  <c r="D1536" i="3"/>
  <c r="C1536" i="3"/>
  <c r="B1536" i="3"/>
  <c r="D1535" i="3"/>
  <c r="C1535" i="3"/>
  <c r="B1535" i="3"/>
  <c r="D1534" i="3"/>
  <c r="C1534" i="3"/>
  <c r="B1534" i="3"/>
  <c r="D1533" i="3"/>
  <c r="C1533" i="3"/>
  <c r="B1533" i="3"/>
  <c r="D1532" i="3"/>
  <c r="C1532" i="3"/>
  <c r="B1532" i="3"/>
  <c r="D1531" i="3"/>
  <c r="C1531" i="3"/>
  <c r="B1531" i="3"/>
  <c r="D1530" i="3"/>
  <c r="C1530" i="3"/>
  <c r="B1530" i="3"/>
  <c r="D1529" i="3"/>
  <c r="C1529" i="3"/>
  <c r="B1529" i="3"/>
  <c r="D1528" i="3"/>
  <c r="C1528" i="3"/>
  <c r="B1528" i="3"/>
  <c r="D1527" i="3"/>
  <c r="C1527" i="3"/>
  <c r="B1527" i="3"/>
  <c r="D1526" i="3"/>
  <c r="C1526" i="3"/>
  <c r="B1526" i="3"/>
  <c r="D1525" i="3"/>
  <c r="C1525" i="3"/>
  <c r="B1525" i="3"/>
  <c r="D1524" i="3"/>
  <c r="C1524" i="3"/>
  <c r="B1524" i="3"/>
  <c r="D1523" i="3"/>
  <c r="C1523" i="3"/>
  <c r="B1523" i="3"/>
  <c r="D1522" i="3"/>
  <c r="C1522" i="3"/>
  <c r="B1522" i="3"/>
  <c r="D1521" i="3"/>
  <c r="C1521" i="3"/>
  <c r="B1521" i="3"/>
  <c r="D1520" i="3"/>
  <c r="C1520" i="3"/>
  <c r="B1520" i="3"/>
  <c r="D1519" i="3"/>
  <c r="C1519" i="3"/>
  <c r="B1519" i="3"/>
  <c r="D1518" i="3"/>
  <c r="C1518" i="3"/>
  <c r="B1518" i="3"/>
  <c r="D1517" i="3"/>
  <c r="C1517" i="3"/>
  <c r="B1517" i="3"/>
  <c r="D1516" i="3"/>
  <c r="C1516" i="3"/>
  <c r="B1516" i="3"/>
  <c r="D1515" i="3"/>
  <c r="C1515" i="3"/>
  <c r="B1515" i="3"/>
  <c r="D1514" i="3"/>
  <c r="C1514" i="3"/>
  <c r="B1514" i="3"/>
  <c r="D1513" i="3"/>
  <c r="C1513" i="3"/>
  <c r="B1513" i="3"/>
  <c r="D1512" i="3"/>
  <c r="C1512" i="3"/>
  <c r="B1512" i="3"/>
  <c r="D1511" i="3"/>
  <c r="C1511" i="3"/>
  <c r="B1511" i="3"/>
  <c r="D1510" i="3"/>
  <c r="C1510" i="3"/>
  <c r="B1510" i="3"/>
  <c r="D1509" i="3"/>
  <c r="C1509" i="3"/>
  <c r="B1509" i="3"/>
  <c r="D1508" i="3"/>
  <c r="C1508" i="3"/>
  <c r="B1508" i="3"/>
  <c r="D1507" i="3"/>
  <c r="C1507" i="3"/>
  <c r="B1507" i="3"/>
  <c r="D1506" i="3"/>
  <c r="C1506" i="3"/>
  <c r="B1506" i="3"/>
  <c r="D1505" i="3"/>
  <c r="C1505" i="3"/>
  <c r="B1505" i="3"/>
  <c r="D1504" i="3"/>
  <c r="C1504" i="3"/>
  <c r="B1504" i="3"/>
  <c r="D1503" i="3"/>
  <c r="C1503" i="3"/>
  <c r="B1503" i="3"/>
  <c r="D1502" i="3"/>
  <c r="C1502" i="3"/>
  <c r="B1502" i="3"/>
  <c r="D1501" i="3"/>
  <c r="C1501" i="3"/>
  <c r="B1501" i="3"/>
  <c r="D1500" i="3"/>
  <c r="C1500" i="3"/>
  <c r="B1500" i="3"/>
  <c r="D1499" i="3"/>
  <c r="C1499" i="3"/>
  <c r="B1499" i="3"/>
  <c r="D1498" i="3"/>
  <c r="C1498" i="3"/>
  <c r="B1498" i="3"/>
  <c r="D1497" i="3"/>
  <c r="C1497" i="3"/>
  <c r="B1497" i="3"/>
  <c r="D1496" i="3"/>
  <c r="C1496" i="3"/>
  <c r="B1496" i="3"/>
  <c r="D1495" i="3"/>
  <c r="C1495" i="3"/>
  <c r="B1495" i="3"/>
  <c r="D1494" i="3"/>
  <c r="C1494" i="3"/>
  <c r="B1494" i="3"/>
  <c r="D1493" i="3"/>
  <c r="C1493" i="3"/>
  <c r="B1493" i="3"/>
  <c r="D1492" i="3"/>
  <c r="C1492" i="3"/>
  <c r="B1492" i="3"/>
  <c r="D1491" i="3"/>
  <c r="C1491" i="3"/>
  <c r="B1491" i="3"/>
  <c r="D1490" i="3"/>
  <c r="C1490" i="3"/>
  <c r="B1490" i="3"/>
  <c r="D1489" i="3"/>
  <c r="C1489" i="3"/>
  <c r="B1489" i="3"/>
  <c r="D1488" i="3"/>
  <c r="C1488" i="3"/>
  <c r="B1488" i="3"/>
  <c r="D1487" i="3"/>
  <c r="C1487" i="3"/>
  <c r="B1487" i="3"/>
  <c r="D1486" i="3"/>
  <c r="C1486" i="3"/>
  <c r="B1486" i="3"/>
  <c r="D1485" i="3"/>
  <c r="C1485" i="3"/>
  <c r="B1485" i="3"/>
  <c r="D1484" i="3"/>
  <c r="C1484" i="3"/>
  <c r="B1484" i="3"/>
  <c r="D1483" i="3"/>
  <c r="C1483" i="3"/>
  <c r="B1483" i="3"/>
  <c r="D1482" i="3"/>
  <c r="C1482" i="3"/>
  <c r="B1482" i="3"/>
  <c r="D1481" i="3"/>
  <c r="C1481" i="3"/>
  <c r="B1481" i="3"/>
  <c r="D1480" i="3"/>
  <c r="C1480" i="3"/>
  <c r="B1480" i="3"/>
  <c r="D1479" i="3"/>
  <c r="C1479" i="3"/>
  <c r="B1479" i="3"/>
  <c r="D1478" i="3"/>
  <c r="C1478" i="3"/>
  <c r="B1478" i="3"/>
  <c r="D1477" i="3"/>
  <c r="C1477" i="3"/>
  <c r="B1477" i="3"/>
  <c r="D1476" i="3"/>
  <c r="C1476" i="3"/>
  <c r="B1476" i="3"/>
  <c r="D1475" i="3"/>
  <c r="C1475" i="3"/>
  <c r="B1475" i="3"/>
  <c r="D1474" i="3"/>
  <c r="C1474" i="3"/>
  <c r="B1474" i="3"/>
  <c r="D1473" i="3"/>
  <c r="C1473" i="3"/>
  <c r="B1473" i="3"/>
  <c r="D1472" i="3"/>
  <c r="C1472" i="3"/>
  <c r="B1472" i="3"/>
  <c r="D1471" i="3"/>
  <c r="C1471" i="3"/>
  <c r="B1471" i="3"/>
  <c r="D1470" i="3"/>
  <c r="C1470" i="3"/>
  <c r="B1470" i="3"/>
  <c r="D1469" i="3"/>
  <c r="C1469" i="3"/>
  <c r="B1469" i="3"/>
  <c r="D1468" i="3"/>
  <c r="C1468" i="3"/>
  <c r="B1468" i="3"/>
  <c r="D1467" i="3"/>
  <c r="C1467" i="3"/>
  <c r="B1467" i="3"/>
  <c r="D1466" i="3"/>
  <c r="C1466" i="3"/>
  <c r="B1466" i="3"/>
  <c r="D1465" i="3"/>
  <c r="C1465" i="3"/>
  <c r="B1465" i="3"/>
  <c r="D1464" i="3"/>
  <c r="C1464" i="3"/>
  <c r="B1464" i="3"/>
  <c r="D1463" i="3"/>
  <c r="C1463" i="3"/>
  <c r="B1463" i="3"/>
  <c r="D1462" i="3"/>
  <c r="C1462" i="3"/>
  <c r="B1462" i="3"/>
  <c r="D1461" i="3"/>
  <c r="C1461" i="3"/>
  <c r="B1461" i="3"/>
  <c r="D1460" i="3"/>
  <c r="C1460" i="3"/>
  <c r="B1460" i="3"/>
  <c r="D1459" i="3"/>
  <c r="C1459" i="3"/>
  <c r="B1459" i="3"/>
  <c r="D1458" i="3"/>
  <c r="C1458" i="3"/>
  <c r="B1458" i="3"/>
  <c r="D1457" i="3"/>
  <c r="C1457" i="3"/>
  <c r="B1457" i="3"/>
  <c r="D1456" i="3"/>
  <c r="C1456" i="3"/>
  <c r="B1456" i="3"/>
  <c r="D1455" i="3"/>
  <c r="C1455" i="3"/>
  <c r="B1455" i="3"/>
  <c r="D1454" i="3"/>
  <c r="C1454" i="3"/>
  <c r="B1454" i="3"/>
  <c r="D1453" i="3"/>
  <c r="C1453" i="3"/>
  <c r="B1453" i="3"/>
  <c r="D1452" i="3"/>
  <c r="C1452" i="3"/>
  <c r="B1452" i="3"/>
  <c r="D1451" i="3"/>
  <c r="C1451" i="3"/>
  <c r="B1451" i="3"/>
  <c r="D1450" i="3"/>
  <c r="C1450" i="3"/>
  <c r="B1450" i="3"/>
  <c r="D1449" i="3"/>
  <c r="C1449" i="3"/>
  <c r="B1449" i="3"/>
  <c r="D1448" i="3"/>
  <c r="C1448" i="3"/>
  <c r="B1448" i="3"/>
  <c r="D1447" i="3"/>
  <c r="C1447" i="3"/>
  <c r="B1447" i="3"/>
  <c r="D1446" i="3"/>
  <c r="C1446" i="3"/>
  <c r="B1446" i="3"/>
  <c r="D1445" i="3"/>
  <c r="C1445" i="3"/>
  <c r="B1445" i="3"/>
  <c r="D1444" i="3"/>
  <c r="C1444" i="3"/>
  <c r="B1444" i="3"/>
  <c r="D1443" i="3"/>
  <c r="C1443" i="3"/>
  <c r="B1443" i="3"/>
  <c r="D1442" i="3"/>
  <c r="C1442" i="3"/>
  <c r="B1442" i="3"/>
  <c r="D1441" i="3"/>
  <c r="C1441" i="3"/>
  <c r="B1441" i="3"/>
  <c r="D1440" i="3"/>
  <c r="C1440" i="3"/>
  <c r="B1440" i="3"/>
  <c r="D1439" i="3"/>
  <c r="C1439" i="3"/>
  <c r="B1439" i="3"/>
  <c r="D1438" i="3"/>
  <c r="C1438" i="3"/>
  <c r="B1438" i="3"/>
  <c r="D1437" i="3"/>
  <c r="C1437" i="3"/>
  <c r="B1437" i="3"/>
  <c r="D1436" i="3"/>
  <c r="C1436" i="3"/>
  <c r="B1436" i="3"/>
  <c r="D1435" i="3"/>
  <c r="C1435" i="3"/>
  <c r="B1435" i="3"/>
  <c r="D1434" i="3"/>
  <c r="C1434" i="3"/>
  <c r="B1434" i="3"/>
  <c r="D1433" i="3"/>
  <c r="C1433" i="3"/>
  <c r="B1433" i="3"/>
  <c r="D1432" i="3"/>
  <c r="C1432" i="3"/>
  <c r="B1432" i="3"/>
  <c r="D1431" i="3"/>
  <c r="C1431" i="3"/>
  <c r="B1431" i="3"/>
  <c r="D1430" i="3"/>
  <c r="C1430" i="3"/>
  <c r="B1430" i="3"/>
  <c r="D1429" i="3"/>
  <c r="C1429" i="3"/>
  <c r="B1429" i="3"/>
  <c r="D1428" i="3"/>
  <c r="C1428" i="3"/>
  <c r="B1428" i="3"/>
  <c r="D1427" i="3"/>
  <c r="C1427" i="3"/>
  <c r="B1427" i="3"/>
  <c r="D1426" i="3"/>
  <c r="C1426" i="3"/>
  <c r="B1426" i="3"/>
  <c r="D1425" i="3"/>
  <c r="C1425" i="3"/>
  <c r="B1425" i="3"/>
  <c r="D1424" i="3"/>
  <c r="C1424" i="3"/>
  <c r="B1424" i="3"/>
  <c r="D1423" i="3"/>
  <c r="C1423" i="3"/>
  <c r="B1423" i="3"/>
  <c r="D1422" i="3"/>
  <c r="C1422" i="3"/>
  <c r="B1422" i="3"/>
  <c r="D1421" i="3"/>
  <c r="C1421" i="3"/>
  <c r="B1421" i="3"/>
  <c r="D1420" i="3"/>
  <c r="C1420" i="3"/>
  <c r="B1420" i="3"/>
  <c r="D1419" i="3"/>
  <c r="C1419" i="3"/>
  <c r="B1419" i="3"/>
  <c r="D1418" i="3"/>
  <c r="C1418" i="3"/>
  <c r="B1418" i="3"/>
  <c r="D1417" i="3"/>
  <c r="C1417" i="3"/>
  <c r="B1417" i="3"/>
  <c r="D1416" i="3"/>
  <c r="C1416" i="3"/>
  <c r="B1416" i="3"/>
  <c r="D1415" i="3"/>
  <c r="C1415" i="3"/>
  <c r="B1415" i="3"/>
  <c r="D1414" i="3"/>
  <c r="C1414" i="3"/>
  <c r="B1414" i="3"/>
  <c r="D1413" i="3"/>
  <c r="C1413" i="3"/>
  <c r="B1413" i="3"/>
  <c r="D1412" i="3"/>
  <c r="C1412" i="3"/>
  <c r="B1412" i="3"/>
  <c r="D1411" i="3"/>
  <c r="C1411" i="3"/>
  <c r="B1411" i="3"/>
  <c r="D1410" i="3"/>
  <c r="C1410" i="3"/>
  <c r="B1410" i="3"/>
  <c r="D1409" i="3"/>
  <c r="C1409" i="3"/>
  <c r="B1409" i="3"/>
  <c r="D1408" i="3"/>
  <c r="C1408" i="3"/>
  <c r="B1408" i="3"/>
  <c r="D1407" i="3"/>
  <c r="C1407" i="3"/>
  <c r="B1407" i="3"/>
  <c r="D1406" i="3"/>
  <c r="C1406" i="3"/>
  <c r="B1406" i="3"/>
  <c r="D1405" i="3"/>
  <c r="C1405" i="3"/>
  <c r="B1405" i="3"/>
  <c r="D1404" i="3"/>
  <c r="C1404" i="3"/>
  <c r="B1404" i="3"/>
  <c r="D1403" i="3"/>
  <c r="C1403" i="3"/>
  <c r="B1403" i="3"/>
  <c r="D1402" i="3"/>
  <c r="C1402" i="3"/>
  <c r="B1402" i="3"/>
  <c r="D1401" i="3"/>
  <c r="C1401" i="3"/>
  <c r="B1401" i="3"/>
  <c r="D1400" i="3"/>
  <c r="C1400" i="3"/>
  <c r="B1400" i="3"/>
  <c r="D1399" i="3"/>
  <c r="C1399" i="3"/>
  <c r="B1399" i="3"/>
  <c r="D1398" i="3"/>
  <c r="C1398" i="3"/>
  <c r="B1398" i="3"/>
  <c r="D1397" i="3"/>
  <c r="C1397" i="3"/>
  <c r="B1397" i="3"/>
  <c r="D1396" i="3"/>
  <c r="C1396" i="3"/>
  <c r="B1396" i="3"/>
  <c r="D1395" i="3"/>
  <c r="C1395" i="3"/>
  <c r="B1395" i="3"/>
  <c r="D1394" i="3"/>
  <c r="C1394" i="3"/>
  <c r="B1394" i="3"/>
  <c r="D1393" i="3"/>
  <c r="C1393" i="3"/>
  <c r="B1393" i="3"/>
  <c r="D1392" i="3"/>
  <c r="C1392" i="3"/>
  <c r="B1392" i="3"/>
  <c r="D1391" i="3"/>
  <c r="C1391" i="3"/>
  <c r="B1391" i="3"/>
  <c r="D1390" i="3"/>
  <c r="C1390" i="3"/>
  <c r="B1390" i="3"/>
  <c r="D1389" i="3"/>
  <c r="C1389" i="3"/>
  <c r="B1389" i="3"/>
  <c r="D1388" i="3"/>
  <c r="C1388" i="3"/>
  <c r="B1388" i="3"/>
  <c r="D1387" i="3"/>
  <c r="C1387" i="3"/>
  <c r="B1387" i="3"/>
  <c r="D1386" i="3"/>
  <c r="C1386" i="3"/>
  <c r="B1386" i="3"/>
  <c r="D1385" i="3"/>
  <c r="C1385" i="3"/>
  <c r="B1385" i="3"/>
  <c r="D1384" i="3"/>
  <c r="C1384" i="3"/>
  <c r="B1384" i="3"/>
  <c r="D1383" i="3"/>
  <c r="C1383" i="3"/>
  <c r="B1383" i="3"/>
  <c r="D1382" i="3"/>
  <c r="C1382" i="3"/>
  <c r="B1382" i="3"/>
  <c r="D1381" i="3"/>
  <c r="C1381" i="3"/>
  <c r="B1381" i="3"/>
  <c r="D1380" i="3"/>
  <c r="C1380" i="3"/>
  <c r="B1380" i="3"/>
  <c r="D1379" i="3"/>
  <c r="C1379" i="3"/>
  <c r="B1379" i="3"/>
  <c r="D1378" i="3"/>
  <c r="C1378" i="3"/>
  <c r="B1378" i="3"/>
  <c r="D1377" i="3"/>
  <c r="C1377" i="3"/>
  <c r="B1377" i="3"/>
  <c r="D1376" i="3"/>
  <c r="C1376" i="3"/>
  <c r="B1376" i="3"/>
  <c r="D1375" i="3"/>
  <c r="C1375" i="3"/>
  <c r="B1375" i="3"/>
  <c r="D1374" i="3"/>
  <c r="C1374" i="3"/>
  <c r="B1374" i="3"/>
  <c r="D1373" i="3"/>
  <c r="C1373" i="3"/>
  <c r="B1373" i="3"/>
  <c r="D1372" i="3"/>
  <c r="C1372" i="3"/>
  <c r="B1372" i="3"/>
  <c r="D1371" i="3"/>
  <c r="C1371" i="3"/>
  <c r="B1371" i="3"/>
  <c r="D1370" i="3"/>
  <c r="C1370" i="3"/>
  <c r="B1370" i="3"/>
  <c r="D1369" i="3"/>
  <c r="C1369" i="3"/>
  <c r="B1369" i="3"/>
  <c r="D1368" i="3"/>
  <c r="C1368" i="3"/>
  <c r="B1368" i="3"/>
  <c r="D1367" i="3"/>
  <c r="C1367" i="3"/>
  <c r="B1367" i="3"/>
  <c r="D1366" i="3"/>
  <c r="C1366" i="3"/>
  <c r="B1366" i="3"/>
  <c r="D1365" i="3"/>
  <c r="C1365" i="3"/>
  <c r="B1365" i="3"/>
  <c r="D1364" i="3"/>
  <c r="C1364" i="3"/>
  <c r="B1364" i="3"/>
  <c r="D1363" i="3"/>
  <c r="C1363" i="3"/>
  <c r="B1363" i="3"/>
  <c r="D1362" i="3"/>
  <c r="C1362" i="3"/>
  <c r="B1362" i="3"/>
  <c r="D1361" i="3"/>
  <c r="C1361" i="3"/>
  <c r="B1361" i="3"/>
  <c r="D1360" i="3"/>
  <c r="C1360" i="3"/>
  <c r="B1360" i="3"/>
  <c r="D1359" i="3"/>
  <c r="C1359" i="3"/>
  <c r="B1359" i="3"/>
  <c r="D1358" i="3"/>
  <c r="C1358" i="3"/>
  <c r="B1358" i="3"/>
  <c r="D1357" i="3"/>
  <c r="C1357" i="3"/>
  <c r="B1357" i="3"/>
  <c r="D1356" i="3"/>
  <c r="C1356" i="3"/>
  <c r="B1356" i="3"/>
  <c r="D1355" i="3"/>
  <c r="C1355" i="3"/>
  <c r="B1355" i="3"/>
  <c r="D1354" i="3"/>
  <c r="C1354" i="3"/>
  <c r="B1354" i="3"/>
  <c r="D1353" i="3"/>
  <c r="C1353" i="3"/>
  <c r="B1353" i="3"/>
  <c r="D1352" i="3"/>
  <c r="C1352" i="3"/>
  <c r="B1352" i="3"/>
  <c r="D1351" i="3"/>
  <c r="C1351" i="3"/>
  <c r="B1351" i="3"/>
  <c r="D1350" i="3"/>
  <c r="C1350" i="3"/>
  <c r="B1350" i="3"/>
  <c r="D1349" i="3"/>
  <c r="C1349" i="3"/>
  <c r="B1349" i="3"/>
  <c r="D1348" i="3"/>
  <c r="C1348" i="3"/>
  <c r="B1348" i="3"/>
  <c r="D1347" i="3"/>
  <c r="C1347" i="3"/>
  <c r="B1347" i="3"/>
  <c r="D1346" i="3"/>
  <c r="C1346" i="3"/>
  <c r="B1346" i="3"/>
  <c r="D1345" i="3"/>
  <c r="C1345" i="3"/>
  <c r="B1345" i="3"/>
  <c r="D1344" i="3"/>
  <c r="C1344" i="3"/>
  <c r="B1344" i="3"/>
  <c r="D1343" i="3"/>
  <c r="C1343" i="3"/>
  <c r="B1343" i="3"/>
  <c r="D1342" i="3"/>
  <c r="C1342" i="3"/>
  <c r="B1342" i="3"/>
  <c r="D1341" i="3"/>
  <c r="C1341" i="3"/>
  <c r="B1341" i="3"/>
  <c r="D1340" i="3"/>
  <c r="C1340" i="3"/>
  <c r="B1340" i="3"/>
  <c r="D1339" i="3"/>
  <c r="C1339" i="3"/>
  <c r="B1339" i="3"/>
  <c r="D1338" i="3"/>
  <c r="C1338" i="3"/>
  <c r="B1338" i="3"/>
  <c r="D1337" i="3"/>
  <c r="C1337" i="3"/>
  <c r="B1337" i="3"/>
  <c r="D1336" i="3"/>
  <c r="C1336" i="3"/>
  <c r="B1336" i="3"/>
  <c r="D1335" i="3"/>
  <c r="C1335" i="3"/>
  <c r="B1335" i="3"/>
  <c r="D1334" i="3"/>
  <c r="C1334" i="3"/>
  <c r="B1334" i="3"/>
  <c r="D1333" i="3"/>
  <c r="C1333" i="3"/>
  <c r="B1333" i="3"/>
  <c r="D1332" i="3"/>
  <c r="C1332" i="3"/>
  <c r="B1332" i="3"/>
  <c r="D1331" i="3"/>
  <c r="C1331" i="3"/>
  <c r="B1331" i="3"/>
  <c r="D1330" i="3"/>
  <c r="C1330" i="3"/>
  <c r="B1330" i="3"/>
  <c r="D1329" i="3"/>
  <c r="C1329" i="3"/>
  <c r="B1329" i="3"/>
  <c r="D1328" i="3"/>
  <c r="C1328" i="3"/>
  <c r="B1328" i="3"/>
  <c r="D1327" i="3"/>
  <c r="C1327" i="3"/>
  <c r="B1327" i="3"/>
  <c r="D1326" i="3"/>
  <c r="C1326" i="3"/>
  <c r="B1326" i="3"/>
  <c r="D1325" i="3"/>
  <c r="C1325" i="3"/>
  <c r="B1325" i="3"/>
  <c r="D1324" i="3"/>
  <c r="C1324" i="3"/>
  <c r="B1324" i="3"/>
  <c r="D1323" i="3"/>
  <c r="C1323" i="3"/>
  <c r="B1323" i="3"/>
  <c r="D1322" i="3"/>
  <c r="C1322" i="3"/>
  <c r="B1322" i="3"/>
  <c r="D1321" i="3"/>
  <c r="C1321" i="3"/>
  <c r="B1321" i="3"/>
  <c r="D1320" i="3"/>
  <c r="C1320" i="3"/>
  <c r="B1320" i="3"/>
  <c r="D1319" i="3"/>
  <c r="C1319" i="3"/>
  <c r="B1319" i="3"/>
  <c r="D1318" i="3"/>
  <c r="C1318" i="3"/>
  <c r="B1318" i="3"/>
  <c r="D1317" i="3"/>
  <c r="C1317" i="3"/>
  <c r="B1317" i="3"/>
  <c r="D1316" i="3"/>
  <c r="C1316" i="3"/>
  <c r="B1316" i="3"/>
  <c r="D1315" i="3"/>
  <c r="C1315" i="3"/>
  <c r="B1315" i="3"/>
  <c r="D1314" i="3"/>
  <c r="C1314" i="3"/>
  <c r="B1314" i="3"/>
  <c r="D1313" i="3"/>
  <c r="C1313" i="3"/>
  <c r="B1313" i="3"/>
  <c r="D1312" i="3"/>
  <c r="C1312" i="3"/>
  <c r="B1312" i="3"/>
  <c r="D1311" i="3"/>
  <c r="C1311" i="3"/>
  <c r="B1311" i="3"/>
  <c r="D1310" i="3"/>
  <c r="C1310" i="3"/>
  <c r="B1310" i="3"/>
  <c r="D1309" i="3"/>
  <c r="C1309" i="3"/>
  <c r="B1309" i="3"/>
  <c r="D1308" i="3"/>
  <c r="C1308" i="3"/>
  <c r="B1308" i="3"/>
  <c r="D1307" i="3"/>
  <c r="C1307" i="3"/>
  <c r="B1307" i="3"/>
  <c r="D1306" i="3"/>
  <c r="C1306" i="3"/>
  <c r="B1306" i="3"/>
  <c r="D1305" i="3"/>
  <c r="C1305" i="3"/>
  <c r="B1305" i="3"/>
  <c r="D1304" i="3"/>
  <c r="C1304" i="3"/>
  <c r="B1304" i="3"/>
  <c r="D1303" i="3"/>
  <c r="C1303" i="3"/>
  <c r="B1303" i="3"/>
  <c r="D1302" i="3"/>
  <c r="C1302" i="3"/>
  <c r="B1302" i="3"/>
  <c r="D1301" i="3"/>
  <c r="C1301" i="3"/>
  <c r="B1301" i="3"/>
  <c r="D1300" i="3"/>
  <c r="C1300" i="3"/>
  <c r="B1300" i="3"/>
  <c r="D1299" i="3"/>
  <c r="C1299" i="3"/>
  <c r="B1299" i="3"/>
  <c r="D1298" i="3"/>
  <c r="C1298" i="3"/>
  <c r="B1298" i="3"/>
  <c r="D1297" i="3"/>
  <c r="C1297" i="3"/>
  <c r="B1297" i="3"/>
  <c r="D1296" i="3"/>
  <c r="C1296" i="3"/>
  <c r="B1296" i="3"/>
  <c r="D1295" i="3"/>
  <c r="C1295" i="3"/>
  <c r="B1295" i="3"/>
  <c r="D1294" i="3"/>
  <c r="C1294" i="3"/>
  <c r="B1294" i="3"/>
  <c r="D1293" i="3"/>
  <c r="C1293" i="3"/>
  <c r="B1293" i="3"/>
  <c r="D1292" i="3"/>
  <c r="C1292" i="3"/>
  <c r="B1292" i="3"/>
  <c r="D1291" i="3"/>
  <c r="C1291" i="3"/>
  <c r="B1291" i="3"/>
  <c r="D1290" i="3"/>
  <c r="C1290" i="3"/>
  <c r="B1290" i="3"/>
  <c r="D1289" i="3"/>
  <c r="C1289" i="3"/>
  <c r="B1289" i="3"/>
  <c r="D1288" i="3"/>
  <c r="C1288" i="3"/>
  <c r="B1288" i="3"/>
  <c r="D1287" i="3"/>
  <c r="C1287" i="3"/>
  <c r="B1287" i="3"/>
  <c r="D1286" i="3"/>
  <c r="C1286" i="3"/>
  <c r="B1286" i="3"/>
  <c r="D1285" i="3"/>
  <c r="C1285" i="3"/>
  <c r="B1285" i="3"/>
  <c r="D1284" i="3"/>
  <c r="C1284" i="3"/>
  <c r="B1284" i="3"/>
  <c r="D1283" i="3"/>
  <c r="C1283" i="3"/>
  <c r="B1283" i="3"/>
  <c r="D1282" i="3"/>
  <c r="C1282" i="3"/>
  <c r="B1282" i="3"/>
  <c r="D1281" i="3"/>
  <c r="C1281" i="3"/>
  <c r="B1281" i="3"/>
  <c r="D1280" i="3"/>
  <c r="C1280" i="3"/>
  <c r="B1280" i="3"/>
  <c r="D1279" i="3"/>
  <c r="C1279" i="3"/>
  <c r="B1279" i="3"/>
  <c r="D1278" i="3"/>
  <c r="C1278" i="3"/>
  <c r="B1278" i="3"/>
  <c r="D1277" i="3"/>
  <c r="C1277" i="3"/>
  <c r="B1277" i="3"/>
  <c r="D1276" i="3"/>
  <c r="C1276" i="3"/>
  <c r="B1276" i="3"/>
  <c r="D1275" i="3"/>
  <c r="C1275" i="3"/>
  <c r="B1275" i="3"/>
  <c r="D1274" i="3"/>
  <c r="C1274" i="3"/>
  <c r="B1274" i="3"/>
  <c r="D1273" i="3"/>
  <c r="C1273" i="3"/>
  <c r="B1273" i="3"/>
  <c r="D1272" i="3"/>
  <c r="C1272" i="3"/>
  <c r="B1272" i="3"/>
  <c r="D1271" i="3"/>
  <c r="C1271" i="3"/>
  <c r="B1271" i="3"/>
  <c r="D1270" i="3"/>
  <c r="C1270" i="3"/>
  <c r="B1270" i="3"/>
  <c r="D1269" i="3"/>
  <c r="C1269" i="3"/>
  <c r="B1269" i="3"/>
  <c r="D1268" i="3"/>
  <c r="C1268" i="3"/>
  <c r="B1268" i="3"/>
  <c r="D1267" i="3"/>
  <c r="C1267" i="3"/>
  <c r="B1267" i="3"/>
  <c r="D1266" i="3"/>
  <c r="C1266" i="3"/>
  <c r="B1266" i="3"/>
  <c r="D1265" i="3"/>
  <c r="C1265" i="3"/>
  <c r="B1265" i="3"/>
  <c r="D1264" i="3"/>
  <c r="C1264" i="3"/>
  <c r="B1264" i="3"/>
  <c r="D1263" i="3"/>
  <c r="C1263" i="3"/>
  <c r="B1263" i="3"/>
  <c r="D1262" i="3"/>
  <c r="C1262" i="3"/>
  <c r="B1262" i="3"/>
  <c r="D1261" i="3"/>
  <c r="C1261" i="3"/>
  <c r="B1261" i="3"/>
  <c r="D1260" i="3"/>
  <c r="C1260" i="3"/>
  <c r="B1260" i="3"/>
  <c r="D1259" i="3"/>
  <c r="C1259" i="3"/>
  <c r="B1259" i="3"/>
  <c r="D1258" i="3"/>
  <c r="C1258" i="3"/>
  <c r="B1258" i="3"/>
  <c r="D1257" i="3"/>
  <c r="C1257" i="3"/>
  <c r="B1257" i="3"/>
  <c r="D1256" i="3"/>
  <c r="C1256" i="3"/>
  <c r="B1256" i="3"/>
  <c r="D1255" i="3"/>
  <c r="C1255" i="3"/>
  <c r="B1255" i="3"/>
  <c r="D1254" i="3"/>
  <c r="C1254" i="3"/>
  <c r="B1254" i="3"/>
  <c r="D1253" i="3"/>
  <c r="C1253" i="3"/>
  <c r="B1253" i="3"/>
  <c r="D1252" i="3"/>
  <c r="C1252" i="3"/>
  <c r="B1252" i="3"/>
  <c r="D1251" i="3"/>
  <c r="C1251" i="3"/>
  <c r="B1251" i="3"/>
  <c r="D1250" i="3"/>
  <c r="C1250" i="3"/>
  <c r="B1250" i="3"/>
  <c r="D1249" i="3"/>
  <c r="C1249" i="3"/>
  <c r="B1249" i="3"/>
  <c r="D1248" i="3"/>
  <c r="C1248" i="3"/>
  <c r="B1248" i="3"/>
  <c r="D1247" i="3"/>
  <c r="C1247" i="3"/>
  <c r="B1247" i="3"/>
  <c r="D1246" i="3"/>
  <c r="C1246" i="3"/>
  <c r="B1246" i="3"/>
  <c r="D1245" i="3"/>
  <c r="C1245" i="3"/>
  <c r="B1245" i="3"/>
  <c r="D1244" i="3"/>
  <c r="C1244" i="3"/>
  <c r="B1244" i="3"/>
  <c r="D1243" i="3"/>
  <c r="C1243" i="3"/>
  <c r="B1243" i="3"/>
  <c r="D1242" i="3"/>
  <c r="C1242" i="3"/>
  <c r="B1242" i="3"/>
  <c r="D1241" i="3"/>
  <c r="C1241" i="3"/>
  <c r="B1241" i="3"/>
  <c r="D1240" i="3"/>
  <c r="C1240" i="3"/>
  <c r="B1240" i="3"/>
  <c r="D1239" i="3"/>
  <c r="C1239" i="3"/>
  <c r="B1239" i="3"/>
  <c r="D1238" i="3"/>
  <c r="C1238" i="3"/>
  <c r="B1238" i="3"/>
  <c r="D1237" i="3"/>
  <c r="C1237" i="3"/>
  <c r="B1237" i="3"/>
  <c r="D1236" i="3"/>
  <c r="C1236" i="3"/>
  <c r="B1236" i="3"/>
  <c r="D1235" i="3"/>
  <c r="C1235" i="3"/>
  <c r="B1235" i="3"/>
  <c r="D1234" i="3"/>
  <c r="C1234" i="3"/>
  <c r="B1234" i="3"/>
  <c r="D1233" i="3"/>
  <c r="C1233" i="3"/>
  <c r="B1233" i="3"/>
  <c r="D1232" i="3"/>
  <c r="C1232" i="3"/>
  <c r="B1232" i="3"/>
  <c r="D1231" i="3"/>
  <c r="C1231" i="3"/>
  <c r="B1231" i="3"/>
  <c r="D1230" i="3"/>
  <c r="C1230" i="3"/>
  <c r="B1230" i="3"/>
  <c r="D1229" i="3"/>
  <c r="C1229" i="3"/>
  <c r="B1229" i="3"/>
  <c r="D1228" i="3"/>
  <c r="C1228" i="3"/>
  <c r="B1228" i="3"/>
  <c r="D1227" i="3"/>
  <c r="C1227" i="3"/>
  <c r="B1227" i="3"/>
  <c r="D1226" i="3"/>
  <c r="C1226" i="3"/>
  <c r="B1226" i="3"/>
  <c r="D1225" i="3"/>
  <c r="C1225" i="3"/>
  <c r="B1225" i="3"/>
  <c r="D1224" i="3"/>
  <c r="C1224" i="3"/>
  <c r="B1224" i="3"/>
  <c r="D1223" i="3"/>
  <c r="C1223" i="3"/>
  <c r="B1223" i="3"/>
  <c r="D1222" i="3"/>
  <c r="C1222" i="3"/>
  <c r="B1222" i="3"/>
  <c r="D1221" i="3"/>
  <c r="C1221" i="3"/>
  <c r="B1221" i="3"/>
  <c r="D1220" i="3"/>
  <c r="C1220" i="3"/>
  <c r="B1220" i="3"/>
  <c r="D1219" i="3"/>
  <c r="C1219" i="3"/>
  <c r="B1219" i="3"/>
  <c r="D1218" i="3"/>
  <c r="C1218" i="3"/>
  <c r="B1218" i="3"/>
  <c r="D1217" i="3"/>
  <c r="C1217" i="3"/>
  <c r="B1217" i="3"/>
  <c r="D1216" i="3"/>
  <c r="C1216" i="3"/>
  <c r="B1216" i="3"/>
  <c r="D1215" i="3"/>
  <c r="C1215" i="3"/>
  <c r="B1215" i="3"/>
  <c r="D1214" i="3"/>
  <c r="C1214" i="3"/>
  <c r="B1214" i="3"/>
  <c r="D1213" i="3"/>
  <c r="C1213" i="3"/>
  <c r="B1213" i="3"/>
  <c r="D1212" i="3"/>
  <c r="C1212" i="3"/>
  <c r="B1212" i="3"/>
  <c r="D1211" i="3"/>
  <c r="C1211" i="3"/>
  <c r="B1211" i="3"/>
  <c r="D1210" i="3"/>
  <c r="C1210" i="3"/>
  <c r="B1210" i="3"/>
  <c r="D1209" i="3"/>
  <c r="C1209" i="3"/>
  <c r="B1209" i="3"/>
  <c r="D1208" i="3"/>
  <c r="C1208" i="3"/>
  <c r="B1208" i="3"/>
  <c r="D1207" i="3"/>
  <c r="C1207" i="3"/>
  <c r="B1207" i="3"/>
  <c r="D1206" i="3"/>
  <c r="C1206" i="3"/>
  <c r="B1206" i="3"/>
  <c r="D1205" i="3"/>
  <c r="C1205" i="3"/>
  <c r="B1205" i="3"/>
  <c r="D1204" i="3"/>
  <c r="C1204" i="3"/>
  <c r="B1204" i="3"/>
  <c r="D1203" i="3"/>
  <c r="C1203" i="3"/>
  <c r="B1203" i="3"/>
  <c r="D1202" i="3"/>
  <c r="C1202" i="3"/>
  <c r="B1202" i="3"/>
  <c r="D1201" i="3"/>
  <c r="C1201" i="3"/>
  <c r="B1201" i="3"/>
  <c r="D1200" i="3"/>
  <c r="C1200" i="3"/>
  <c r="B1200" i="3"/>
  <c r="D1199" i="3"/>
  <c r="C1199" i="3"/>
  <c r="B1199" i="3"/>
  <c r="D1198" i="3"/>
  <c r="C1198" i="3"/>
  <c r="B1198" i="3"/>
  <c r="D1197" i="3"/>
  <c r="C1197" i="3"/>
  <c r="B1197" i="3"/>
  <c r="D1196" i="3"/>
  <c r="C1196" i="3"/>
  <c r="B1196" i="3"/>
  <c r="D1195" i="3"/>
  <c r="C1195" i="3"/>
  <c r="B1195" i="3"/>
  <c r="D1194" i="3"/>
  <c r="C1194" i="3"/>
  <c r="B1194" i="3"/>
  <c r="D1193" i="3"/>
  <c r="C1193" i="3"/>
  <c r="B1193" i="3"/>
  <c r="D1192" i="3"/>
  <c r="C1192" i="3"/>
  <c r="B1192" i="3"/>
  <c r="D1191" i="3"/>
  <c r="C1191" i="3"/>
  <c r="B1191" i="3"/>
  <c r="D1190" i="3"/>
  <c r="C1190" i="3"/>
  <c r="B1190" i="3"/>
  <c r="D1189" i="3"/>
  <c r="C1189" i="3"/>
  <c r="B1189" i="3"/>
  <c r="D1188" i="3"/>
  <c r="C1188" i="3"/>
  <c r="B1188" i="3"/>
  <c r="D1187" i="3"/>
  <c r="C1187" i="3"/>
  <c r="B1187" i="3"/>
  <c r="D1186" i="3"/>
  <c r="C1186" i="3"/>
  <c r="B1186" i="3"/>
  <c r="D1185" i="3"/>
  <c r="C1185" i="3"/>
  <c r="B1185" i="3"/>
  <c r="D1184" i="3"/>
  <c r="C1184" i="3"/>
  <c r="B1184" i="3"/>
  <c r="D1183" i="3"/>
  <c r="C1183" i="3"/>
  <c r="B1183" i="3"/>
  <c r="D1182" i="3"/>
  <c r="C1182" i="3"/>
  <c r="B1182" i="3"/>
  <c r="D1181" i="3"/>
  <c r="C1181" i="3"/>
  <c r="B1181" i="3"/>
  <c r="D1180" i="3"/>
  <c r="C1180" i="3"/>
  <c r="B1180" i="3"/>
  <c r="D1179" i="3"/>
  <c r="C1179" i="3"/>
  <c r="B1179" i="3"/>
  <c r="D1178" i="3"/>
  <c r="C1178" i="3"/>
  <c r="B1178" i="3"/>
  <c r="D1177" i="3"/>
  <c r="C1177" i="3"/>
  <c r="B1177" i="3"/>
  <c r="D1176" i="3"/>
  <c r="C1176" i="3"/>
  <c r="B1176" i="3"/>
  <c r="D1175" i="3"/>
  <c r="C1175" i="3"/>
  <c r="B1175" i="3"/>
  <c r="D1174" i="3"/>
  <c r="C1174" i="3"/>
  <c r="B1174" i="3"/>
  <c r="D1173" i="3"/>
  <c r="C1173" i="3"/>
  <c r="B1173" i="3"/>
  <c r="D1172" i="3"/>
  <c r="C1172" i="3"/>
  <c r="B1172" i="3"/>
  <c r="D1171" i="3"/>
  <c r="C1171" i="3"/>
  <c r="B1171" i="3"/>
  <c r="D1170" i="3"/>
  <c r="C1170" i="3"/>
  <c r="B1170" i="3"/>
  <c r="D1169" i="3"/>
  <c r="C1169" i="3"/>
  <c r="B1169" i="3"/>
  <c r="D1168" i="3"/>
  <c r="C1168" i="3"/>
  <c r="B1168" i="3"/>
  <c r="D1167" i="3"/>
  <c r="C1167" i="3"/>
  <c r="B1167" i="3"/>
  <c r="D1166" i="3"/>
  <c r="C1166" i="3"/>
  <c r="B1166" i="3"/>
  <c r="D1165" i="3"/>
  <c r="C1165" i="3"/>
  <c r="B1165" i="3"/>
  <c r="D1164" i="3"/>
  <c r="C1164" i="3"/>
  <c r="B1164" i="3"/>
  <c r="D1163" i="3"/>
  <c r="C1163" i="3"/>
  <c r="B1163" i="3"/>
  <c r="D1162" i="3"/>
  <c r="C1162" i="3"/>
  <c r="B1162" i="3"/>
  <c r="D1161" i="3"/>
  <c r="C1161" i="3"/>
  <c r="B1161" i="3"/>
  <c r="D1160" i="3"/>
  <c r="C1160" i="3"/>
  <c r="B1160" i="3"/>
  <c r="D1159" i="3"/>
  <c r="C1159" i="3"/>
  <c r="B1159" i="3"/>
  <c r="D1158" i="3"/>
  <c r="C1158" i="3"/>
  <c r="B1158" i="3"/>
  <c r="D1157" i="3"/>
  <c r="C1157" i="3"/>
  <c r="B1157" i="3"/>
  <c r="D1156" i="3"/>
  <c r="C1156" i="3"/>
  <c r="B1156" i="3"/>
  <c r="D1155" i="3"/>
  <c r="C1155" i="3"/>
  <c r="B1155" i="3"/>
  <c r="D1154" i="3"/>
  <c r="C1154" i="3"/>
  <c r="B1154" i="3"/>
  <c r="D1153" i="3"/>
  <c r="C1153" i="3"/>
  <c r="B1153" i="3"/>
  <c r="D1152" i="3"/>
  <c r="C1152" i="3"/>
  <c r="B1152" i="3"/>
  <c r="D1151" i="3"/>
  <c r="C1151" i="3"/>
  <c r="B1151" i="3"/>
  <c r="D1150" i="3"/>
  <c r="C1150" i="3"/>
  <c r="B1150" i="3"/>
  <c r="D1149" i="3"/>
  <c r="C1149" i="3"/>
  <c r="B1149" i="3"/>
  <c r="D1148" i="3"/>
  <c r="C1148" i="3"/>
  <c r="B1148" i="3"/>
  <c r="D1147" i="3"/>
  <c r="C1147" i="3"/>
  <c r="B1147" i="3"/>
  <c r="D1146" i="3"/>
  <c r="C1146" i="3"/>
  <c r="B1146" i="3"/>
  <c r="D1145" i="3"/>
  <c r="C1145" i="3"/>
  <c r="B1145" i="3"/>
  <c r="D1144" i="3"/>
  <c r="C1144" i="3"/>
  <c r="B1144" i="3"/>
  <c r="D1143" i="3"/>
  <c r="C1143" i="3"/>
  <c r="B1143" i="3"/>
  <c r="D1142" i="3"/>
  <c r="C1142" i="3"/>
  <c r="B1142" i="3"/>
  <c r="D1141" i="3"/>
  <c r="C1141" i="3"/>
  <c r="B1141" i="3"/>
  <c r="D1140" i="3"/>
  <c r="C1140" i="3"/>
  <c r="B1140" i="3"/>
  <c r="D1139" i="3"/>
  <c r="C1139" i="3"/>
  <c r="B1139" i="3"/>
  <c r="D1138" i="3"/>
  <c r="C1138" i="3"/>
  <c r="B1138" i="3"/>
  <c r="D1137" i="3"/>
  <c r="C1137" i="3"/>
  <c r="B1137" i="3"/>
  <c r="D1136" i="3"/>
  <c r="C1136" i="3"/>
  <c r="B1136" i="3"/>
  <c r="D1135" i="3"/>
  <c r="C1135" i="3"/>
  <c r="B1135" i="3"/>
  <c r="D1134" i="3"/>
  <c r="C1134" i="3"/>
  <c r="B1134" i="3"/>
  <c r="D1133" i="3"/>
  <c r="C1133" i="3"/>
  <c r="B1133" i="3"/>
  <c r="D1132" i="3"/>
  <c r="C1132" i="3"/>
  <c r="B1132" i="3"/>
  <c r="D1131" i="3"/>
  <c r="C1131" i="3"/>
  <c r="B1131" i="3"/>
  <c r="D1130" i="3"/>
  <c r="C1130" i="3"/>
  <c r="B1130" i="3"/>
  <c r="D1129" i="3"/>
  <c r="C1129" i="3"/>
  <c r="B1129" i="3"/>
  <c r="D1128" i="3"/>
  <c r="C1128" i="3"/>
  <c r="B1128" i="3"/>
  <c r="D1127" i="3"/>
  <c r="C1127" i="3"/>
  <c r="B1127" i="3"/>
  <c r="D1126" i="3"/>
  <c r="C1126" i="3"/>
  <c r="B1126" i="3"/>
  <c r="D1125" i="3"/>
  <c r="C1125" i="3"/>
  <c r="B1125" i="3"/>
  <c r="D1124" i="3"/>
  <c r="C1124" i="3"/>
  <c r="B1124" i="3"/>
  <c r="D1123" i="3"/>
  <c r="C1123" i="3"/>
  <c r="B1123" i="3"/>
  <c r="D1122" i="3"/>
  <c r="C1122" i="3"/>
  <c r="B1122" i="3"/>
  <c r="D1121" i="3"/>
  <c r="C1121" i="3"/>
  <c r="B1121" i="3"/>
  <c r="D1120" i="3"/>
  <c r="C1120" i="3"/>
  <c r="B1120" i="3"/>
  <c r="D1119" i="3"/>
  <c r="C1119" i="3"/>
  <c r="B1119" i="3"/>
  <c r="D1118" i="3"/>
  <c r="C1118" i="3"/>
  <c r="B1118" i="3"/>
  <c r="D1117" i="3"/>
  <c r="C1117" i="3"/>
  <c r="B1117" i="3"/>
  <c r="D1116" i="3"/>
  <c r="C1116" i="3"/>
  <c r="B1116" i="3"/>
  <c r="D1115" i="3"/>
  <c r="C1115" i="3"/>
  <c r="B1115" i="3"/>
  <c r="D1114" i="3"/>
  <c r="C1114" i="3"/>
  <c r="B1114" i="3"/>
  <c r="D1113" i="3"/>
  <c r="C1113" i="3"/>
  <c r="B1113" i="3"/>
  <c r="D1112" i="3"/>
  <c r="C1112" i="3"/>
  <c r="B1112" i="3"/>
  <c r="D1111" i="3"/>
  <c r="C1111" i="3"/>
  <c r="B1111" i="3"/>
  <c r="D1110" i="3"/>
  <c r="C1110" i="3"/>
  <c r="B1110" i="3"/>
  <c r="D1109" i="3"/>
  <c r="C1109" i="3"/>
  <c r="B1109" i="3"/>
  <c r="D1108" i="3"/>
  <c r="C1108" i="3"/>
  <c r="B1108" i="3"/>
  <c r="D1107" i="3"/>
  <c r="C1107" i="3"/>
  <c r="B1107" i="3"/>
  <c r="D1106" i="3"/>
  <c r="C1106" i="3"/>
  <c r="B1106" i="3"/>
  <c r="D1105" i="3"/>
  <c r="C1105" i="3"/>
  <c r="B1105" i="3"/>
  <c r="D1104" i="3"/>
  <c r="C1104" i="3"/>
  <c r="B1104" i="3"/>
  <c r="D1103" i="3"/>
  <c r="C1103" i="3"/>
  <c r="B1103" i="3"/>
  <c r="D1102" i="3"/>
  <c r="C1102" i="3"/>
  <c r="B1102" i="3"/>
  <c r="D1101" i="3"/>
  <c r="C1101" i="3"/>
  <c r="B1101" i="3"/>
  <c r="D1100" i="3"/>
  <c r="C1100" i="3"/>
  <c r="B1100" i="3"/>
  <c r="D1099" i="3"/>
  <c r="C1099" i="3"/>
  <c r="B1099" i="3"/>
  <c r="D1098" i="3"/>
  <c r="C1098" i="3"/>
  <c r="B1098" i="3"/>
  <c r="D1097" i="3"/>
  <c r="C1097" i="3"/>
  <c r="B1097" i="3"/>
  <c r="D1096" i="3"/>
  <c r="C1096" i="3"/>
  <c r="B1096" i="3"/>
  <c r="D1095" i="3"/>
  <c r="C1095" i="3"/>
  <c r="B1095" i="3"/>
  <c r="D1094" i="3"/>
  <c r="C1094" i="3"/>
  <c r="B1094" i="3"/>
  <c r="D1093" i="3"/>
  <c r="C1093" i="3"/>
  <c r="B1093" i="3"/>
  <c r="D1092" i="3"/>
  <c r="C1092" i="3"/>
  <c r="B1092" i="3"/>
  <c r="D1091" i="3"/>
  <c r="C1091" i="3"/>
  <c r="B1091" i="3"/>
  <c r="D1090" i="3"/>
  <c r="C1090" i="3"/>
  <c r="B1090" i="3"/>
  <c r="D1089" i="3"/>
  <c r="C1089" i="3"/>
  <c r="B1089" i="3"/>
  <c r="D1088" i="3"/>
  <c r="C1088" i="3"/>
  <c r="B1088" i="3"/>
  <c r="D1087" i="3"/>
  <c r="C1087" i="3"/>
  <c r="B1087" i="3"/>
  <c r="D1086" i="3"/>
  <c r="C1086" i="3"/>
  <c r="B1086" i="3"/>
  <c r="D1085" i="3"/>
  <c r="C1085" i="3"/>
  <c r="B1085" i="3"/>
  <c r="D1084" i="3"/>
  <c r="C1084" i="3"/>
  <c r="B1084" i="3"/>
  <c r="D1083" i="3"/>
  <c r="C1083" i="3"/>
  <c r="B1083" i="3"/>
  <c r="D1082" i="3"/>
  <c r="C1082" i="3"/>
  <c r="B1082" i="3"/>
  <c r="D1081" i="3"/>
  <c r="C1081" i="3"/>
  <c r="B1081" i="3"/>
  <c r="D1080" i="3"/>
  <c r="C1080" i="3"/>
  <c r="B1080" i="3"/>
  <c r="D1079" i="3"/>
  <c r="C1079" i="3"/>
  <c r="B1079" i="3"/>
  <c r="D1078" i="3"/>
  <c r="C1078" i="3"/>
  <c r="B1078" i="3"/>
  <c r="D1077" i="3"/>
  <c r="C1077" i="3"/>
  <c r="B1077" i="3"/>
  <c r="D1076" i="3"/>
  <c r="C1076" i="3"/>
  <c r="B1076" i="3"/>
  <c r="D1075" i="3"/>
  <c r="C1075" i="3"/>
  <c r="B1075" i="3"/>
  <c r="D1074" i="3"/>
  <c r="C1074" i="3"/>
  <c r="B1074" i="3"/>
  <c r="D1073" i="3"/>
  <c r="C1073" i="3"/>
  <c r="B1073" i="3"/>
  <c r="D1072" i="3"/>
  <c r="C1072" i="3"/>
  <c r="B1072" i="3"/>
  <c r="D1071" i="3"/>
  <c r="C1071" i="3"/>
  <c r="B1071" i="3"/>
  <c r="D1070" i="3"/>
  <c r="C1070" i="3"/>
  <c r="B1070" i="3"/>
  <c r="D1069" i="3"/>
  <c r="C1069" i="3"/>
  <c r="B1069" i="3"/>
  <c r="D1068" i="3"/>
  <c r="C1068" i="3"/>
  <c r="B1068" i="3"/>
  <c r="D1067" i="3"/>
  <c r="C1067" i="3"/>
  <c r="B1067" i="3"/>
  <c r="D1066" i="3"/>
  <c r="C1066" i="3"/>
  <c r="B1066" i="3"/>
  <c r="D1065" i="3"/>
  <c r="C1065" i="3"/>
  <c r="B1065" i="3"/>
  <c r="D1064" i="3"/>
  <c r="C1064" i="3"/>
  <c r="B1064" i="3"/>
  <c r="D1063" i="3"/>
  <c r="C1063" i="3"/>
  <c r="B1063" i="3"/>
  <c r="D1062" i="3"/>
  <c r="C1062" i="3"/>
  <c r="B1062" i="3"/>
  <c r="D1061" i="3"/>
  <c r="C1061" i="3"/>
  <c r="B1061" i="3"/>
  <c r="D1060" i="3"/>
  <c r="C1060" i="3"/>
  <c r="B1060" i="3"/>
  <c r="D1059" i="3"/>
  <c r="C1059" i="3"/>
  <c r="B1059" i="3"/>
  <c r="D1058" i="3"/>
  <c r="C1058" i="3"/>
  <c r="B1058" i="3"/>
  <c r="D1057" i="3"/>
  <c r="C1057" i="3"/>
  <c r="B1057" i="3"/>
  <c r="D1056" i="3"/>
  <c r="C1056" i="3"/>
  <c r="B1056" i="3"/>
  <c r="D1055" i="3"/>
  <c r="C1055" i="3"/>
  <c r="B1055" i="3"/>
  <c r="D1054" i="3"/>
  <c r="C1054" i="3"/>
  <c r="B1054" i="3"/>
  <c r="D1053" i="3"/>
  <c r="C1053" i="3"/>
  <c r="B1053" i="3"/>
  <c r="D1052" i="3"/>
  <c r="C1052" i="3"/>
  <c r="B1052" i="3"/>
  <c r="D1051" i="3"/>
  <c r="C1051" i="3"/>
  <c r="B1051" i="3"/>
  <c r="D1050" i="3"/>
  <c r="C1050" i="3"/>
  <c r="B1050" i="3"/>
  <c r="D1049" i="3"/>
  <c r="C1049" i="3"/>
  <c r="B1049" i="3"/>
  <c r="D1048" i="3"/>
  <c r="C1048" i="3"/>
  <c r="B1048" i="3"/>
  <c r="D1047" i="3"/>
  <c r="C1047" i="3"/>
  <c r="B1047" i="3"/>
  <c r="D1046" i="3"/>
  <c r="C1046" i="3"/>
  <c r="B1046" i="3"/>
  <c r="D1045" i="3"/>
  <c r="C1045" i="3"/>
  <c r="B1045" i="3"/>
  <c r="D1044" i="3"/>
  <c r="C1044" i="3"/>
  <c r="B1044" i="3"/>
  <c r="D1043" i="3"/>
  <c r="C1043" i="3"/>
  <c r="B1043" i="3"/>
  <c r="D1042" i="3"/>
  <c r="C1042" i="3"/>
  <c r="B1042" i="3"/>
  <c r="D1041" i="3"/>
  <c r="C1041" i="3"/>
  <c r="B1041" i="3"/>
  <c r="D1040" i="3"/>
  <c r="C1040" i="3"/>
  <c r="B1040" i="3"/>
  <c r="D1039" i="3"/>
  <c r="C1039" i="3"/>
  <c r="B1039" i="3"/>
  <c r="D1038" i="3"/>
  <c r="C1038" i="3"/>
  <c r="B1038" i="3"/>
  <c r="D1037" i="3"/>
  <c r="C1037" i="3"/>
  <c r="B1037" i="3"/>
  <c r="D1036" i="3"/>
  <c r="C1036" i="3"/>
  <c r="B1036" i="3"/>
  <c r="D1035" i="3"/>
  <c r="C1035" i="3"/>
  <c r="B1035" i="3"/>
  <c r="D1034" i="3"/>
  <c r="C1034" i="3"/>
  <c r="B1034" i="3"/>
  <c r="D1033" i="3"/>
  <c r="C1033" i="3"/>
  <c r="B1033" i="3"/>
  <c r="D1032" i="3"/>
  <c r="C1032" i="3"/>
  <c r="B1032" i="3"/>
  <c r="D1031" i="3"/>
  <c r="C1031" i="3"/>
  <c r="B1031" i="3"/>
  <c r="D1030" i="3"/>
  <c r="C1030" i="3"/>
  <c r="B1030" i="3"/>
  <c r="D1029" i="3"/>
  <c r="C1029" i="3"/>
  <c r="B1029" i="3"/>
  <c r="D1028" i="3"/>
  <c r="C1028" i="3"/>
  <c r="B1028" i="3"/>
  <c r="D1027" i="3"/>
  <c r="C1027" i="3"/>
  <c r="B1027" i="3"/>
  <c r="D1026" i="3"/>
  <c r="C1026" i="3"/>
  <c r="B1026" i="3"/>
  <c r="D1025" i="3"/>
  <c r="C1025" i="3"/>
  <c r="B1025" i="3"/>
  <c r="D1024" i="3"/>
  <c r="C1024" i="3"/>
  <c r="B1024" i="3"/>
  <c r="D1023" i="3"/>
  <c r="C1023" i="3"/>
  <c r="B1023" i="3"/>
  <c r="D1022" i="3"/>
  <c r="C1022" i="3"/>
  <c r="B1022" i="3"/>
  <c r="D1021" i="3"/>
  <c r="C1021" i="3"/>
  <c r="B1021" i="3"/>
  <c r="D1020" i="3"/>
  <c r="C1020" i="3"/>
  <c r="B1020" i="3"/>
  <c r="D1019" i="3"/>
  <c r="C1019" i="3"/>
  <c r="B1019" i="3"/>
  <c r="D1018" i="3"/>
  <c r="C1018" i="3"/>
  <c r="B1018" i="3"/>
  <c r="D1017" i="3"/>
  <c r="C1017" i="3"/>
  <c r="B1017" i="3"/>
  <c r="D1016" i="3"/>
  <c r="C1016" i="3"/>
  <c r="B1016" i="3"/>
  <c r="D1015" i="3"/>
  <c r="C1015" i="3"/>
  <c r="B1015" i="3"/>
  <c r="D1014" i="3"/>
  <c r="C1014" i="3"/>
  <c r="B1014" i="3"/>
  <c r="D1013" i="3"/>
  <c r="C1013" i="3"/>
  <c r="B1013" i="3"/>
  <c r="D1012" i="3"/>
  <c r="C1012" i="3"/>
  <c r="B1012" i="3"/>
  <c r="D1011" i="3"/>
  <c r="C1011" i="3"/>
  <c r="B1011" i="3"/>
  <c r="D1010" i="3"/>
  <c r="C1010" i="3"/>
  <c r="B1010" i="3"/>
  <c r="D1009" i="3"/>
  <c r="C1009" i="3"/>
  <c r="B1009" i="3"/>
  <c r="D1008" i="3"/>
  <c r="C1008" i="3"/>
  <c r="B1008" i="3"/>
  <c r="D1007" i="3"/>
  <c r="C1007" i="3"/>
  <c r="B1007" i="3"/>
  <c r="D1006" i="3"/>
  <c r="C1006" i="3"/>
  <c r="B1006" i="3"/>
  <c r="D1005" i="3"/>
  <c r="C1005" i="3"/>
  <c r="B1005" i="3"/>
  <c r="D1004" i="3"/>
  <c r="C1004" i="3"/>
  <c r="B1004" i="3"/>
  <c r="D1003" i="3"/>
  <c r="C1003" i="3"/>
  <c r="B1003" i="3"/>
  <c r="D1002" i="3"/>
  <c r="C1002" i="3"/>
  <c r="B1002" i="3"/>
  <c r="D1001" i="3"/>
  <c r="C1001" i="3"/>
  <c r="B1001" i="3"/>
  <c r="D1000" i="3"/>
  <c r="C1000" i="3"/>
  <c r="B1000" i="3"/>
  <c r="D999" i="3"/>
  <c r="C999" i="3"/>
  <c r="B999" i="3"/>
  <c r="D998" i="3"/>
  <c r="C998" i="3"/>
  <c r="B998" i="3"/>
  <c r="D997" i="3"/>
  <c r="C997" i="3"/>
  <c r="B997" i="3"/>
  <c r="D996" i="3"/>
  <c r="C996" i="3"/>
  <c r="B996" i="3"/>
  <c r="D995" i="3"/>
  <c r="C995" i="3"/>
  <c r="B995" i="3"/>
  <c r="D994" i="3"/>
  <c r="C994" i="3"/>
  <c r="B994" i="3"/>
  <c r="D993" i="3"/>
  <c r="C993" i="3"/>
  <c r="B993" i="3"/>
  <c r="D992" i="3"/>
  <c r="C992" i="3"/>
  <c r="B992" i="3"/>
  <c r="D991" i="3"/>
  <c r="C991" i="3"/>
  <c r="B991" i="3"/>
  <c r="D990" i="3"/>
  <c r="C990" i="3"/>
  <c r="B990" i="3"/>
  <c r="D989" i="3"/>
  <c r="C989" i="3"/>
  <c r="B989" i="3"/>
  <c r="D988" i="3"/>
  <c r="C988" i="3"/>
  <c r="B988" i="3"/>
  <c r="D987" i="3"/>
  <c r="C987" i="3"/>
  <c r="B987" i="3"/>
  <c r="D986" i="3"/>
  <c r="C986" i="3"/>
  <c r="B986" i="3"/>
  <c r="D985" i="3"/>
  <c r="C985" i="3"/>
  <c r="B985" i="3"/>
  <c r="D984" i="3"/>
  <c r="C984" i="3"/>
  <c r="B984" i="3"/>
  <c r="D983" i="3"/>
  <c r="C983" i="3"/>
  <c r="B983" i="3"/>
  <c r="D982" i="3"/>
  <c r="C982" i="3"/>
  <c r="B982" i="3"/>
  <c r="D981" i="3"/>
  <c r="C981" i="3"/>
  <c r="B981" i="3"/>
  <c r="D980" i="3"/>
  <c r="C980" i="3"/>
  <c r="B980" i="3"/>
  <c r="D979" i="3"/>
  <c r="C979" i="3"/>
  <c r="B979" i="3"/>
  <c r="D978" i="3"/>
  <c r="C978" i="3"/>
  <c r="B978" i="3"/>
  <c r="D977" i="3"/>
  <c r="C977" i="3"/>
  <c r="B977" i="3"/>
  <c r="D976" i="3"/>
  <c r="C976" i="3"/>
  <c r="B976" i="3"/>
  <c r="D975" i="3"/>
  <c r="C975" i="3"/>
  <c r="B975" i="3"/>
  <c r="D974" i="3"/>
  <c r="C974" i="3"/>
  <c r="B974" i="3"/>
  <c r="D973" i="3"/>
  <c r="C973" i="3"/>
  <c r="B973" i="3"/>
  <c r="D972" i="3"/>
  <c r="C972" i="3"/>
  <c r="B972" i="3"/>
  <c r="D971" i="3"/>
  <c r="C971" i="3"/>
  <c r="B971" i="3"/>
  <c r="D970" i="3"/>
  <c r="C970" i="3"/>
  <c r="B970" i="3"/>
  <c r="D969" i="3"/>
  <c r="C969" i="3"/>
  <c r="B969" i="3"/>
  <c r="D968" i="3"/>
  <c r="C968" i="3"/>
  <c r="B968" i="3"/>
  <c r="D967" i="3"/>
  <c r="C967" i="3"/>
  <c r="B967" i="3"/>
  <c r="D966" i="3"/>
  <c r="C966" i="3"/>
  <c r="B966" i="3"/>
  <c r="D965" i="3"/>
  <c r="C965" i="3"/>
  <c r="B965" i="3"/>
  <c r="D964" i="3"/>
  <c r="C964" i="3"/>
  <c r="B964" i="3"/>
  <c r="D963" i="3"/>
  <c r="C963" i="3"/>
  <c r="B963" i="3"/>
  <c r="D962" i="3"/>
  <c r="C962" i="3"/>
  <c r="B962" i="3"/>
  <c r="D961" i="3"/>
  <c r="C961" i="3"/>
  <c r="B961" i="3"/>
  <c r="D960" i="3"/>
  <c r="C960" i="3"/>
  <c r="B960" i="3"/>
  <c r="D959" i="3"/>
  <c r="C959" i="3"/>
  <c r="B959" i="3"/>
  <c r="D958" i="3"/>
  <c r="C958" i="3"/>
  <c r="B958" i="3"/>
  <c r="D957" i="3"/>
  <c r="C957" i="3"/>
  <c r="B957" i="3"/>
  <c r="D956" i="3"/>
  <c r="C956" i="3"/>
  <c r="B956" i="3"/>
  <c r="D955" i="3"/>
  <c r="C955" i="3"/>
  <c r="B955" i="3"/>
  <c r="D954" i="3"/>
  <c r="C954" i="3"/>
  <c r="B954" i="3"/>
  <c r="D953" i="3"/>
  <c r="C953" i="3"/>
  <c r="B953" i="3"/>
  <c r="D952" i="3"/>
  <c r="C952" i="3"/>
  <c r="B952" i="3"/>
  <c r="D951" i="3"/>
  <c r="C951" i="3"/>
  <c r="B951" i="3"/>
  <c r="D950" i="3"/>
  <c r="C950" i="3"/>
  <c r="B950" i="3"/>
  <c r="D949" i="3"/>
  <c r="C949" i="3"/>
  <c r="B949" i="3"/>
  <c r="D948" i="3"/>
  <c r="C948" i="3"/>
  <c r="B948" i="3"/>
  <c r="D947" i="3"/>
  <c r="C947" i="3"/>
  <c r="B947" i="3"/>
  <c r="D946" i="3"/>
  <c r="C946" i="3"/>
  <c r="B946" i="3"/>
  <c r="D945" i="3"/>
  <c r="C945" i="3"/>
  <c r="B945" i="3"/>
  <c r="D944" i="3"/>
  <c r="C944" i="3"/>
  <c r="B944" i="3"/>
  <c r="D943" i="3"/>
  <c r="C943" i="3"/>
  <c r="B943" i="3"/>
  <c r="D942" i="3"/>
  <c r="C942" i="3"/>
  <c r="B942" i="3"/>
  <c r="D941" i="3"/>
  <c r="C941" i="3"/>
  <c r="B941" i="3"/>
  <c r="D940" i="3"/>
  <c r="C940" i="3"/>
  <c r="B940" i="3"/>
  <c r="D939" i="3"/>
  <c r="C939" i="3"/>
  <c r="B939" i="3"/>
  <c r="D938" i="3"/>
  <c r="C938" i="3"/>
  <c r="B938" i="3"/>
  <c r="D937" i="3"/>
  <c r="C937" i="3"/>
  <c r="B937" i="3"/>
  <c r="D936" i="3"/>
  <c r="C936" i="3"/>
  <c r="B936" i="3"/>
  <c r="D935" i="3"/>
  <c r="C935" i="3"/>
  <c r="B935" i="3"/>
  <c r="D934" i="3"/>
  <c r="C934" i="3"/>
  <c r="B934" i="3"/>
  <c r="D933" i="3"/>
  <c r="C933" i="3"/>
  <c r="B933" i="3"/>
  <c r="D932" i="3"/>
  <c r="C932" i="3"/>
  <c r="B932" i="3"/>
  <c r="D931" i="3"/>
  <c r="C931" i="3"/>
  <c r="B931" i="3"/>
  <c r="D930" i="3"/>
  <c r="C930" i="3"/>
  <c r="B930" i="3"/>
  <c r="D929" i="3"/>
  <c r="C929" i="3"/>
  <c r="B929" i="3"/>
  <c r="D928" i="3"/>
  <c r="C928" i="3"/>
  <c r="B928" i="3"/>
  <c r="D927" i="3"/>
  <c r="C927" i="3"/>
  <c r="B927" i="3"/>
  <c r="D926" i="3"/>
  <c r="C926" i="3"/>
  <c r="B926" i="3"/>
  <c r="D925" i="3"/>
  <c r="C925" i="3"/>
  <c r="B925" i="3"/>
  <c r="D924" i="3"/>
  <c r="C924" i="3"/>
  <c r="B924" i="3"/>
  <c r="D923" i="3"/>
  <c r="C923" i="3"/>
  <c r="B923" i="3"/>
  <c r="D922" i="3"/>
  <c r="C922" i="3"/>
  <c r="B922" i="3"/>
  <c r="D921" i="3"/>
  <c r="C921" i="3"/>
  <c r="B921" i="3"/>
  <c r="D920" i="3"/>
  <c r="C920" i="3"/>
  <c r="B920" i="3"/>
  <c r="D919" i="3"/>
  <c r="C919" i="3"/>
  <c r="B919" i="3"/>
  <c r="D918" i="3"/>
  <c r="C918" i="3"/>
  <c r="B918" i="3"/>
  <c r="D917" i="3"/>
  <c r="C917" i="3"/>
  <c r="B917" i="3"/>
  <c r="D916" i="3"/>
  <c r="C916" i="3"/>
  <c r="B916" i="3"/>
  <c r="D915" i="3"/>
  <c r="C915" i="3"/>
  <c r="B915" i="3"/>
  <c r="D914" i="3"/>
  <c r="C914" i="3"/>
  <c r="B914" i="3"/>
  <c r="D913" i="3"/>
  <c r="C913" i="3"/>
  <c r="B913" i="3"/>
  <c r="D912" i="3"/>
  <c r="C912" i="3"/>
  <c r="B912" i="3"/>
  <c r="D911" i="3"/>
  <c r="C911" i="3"/>
  <c r="B911" i="3"/>
  <c r="D910" i="3"/>
  <c r="C910" i="3"/>
  <c r="B910" i="3"/>
  <c r="D909" i="3"/>
  <c r="C909" i="3"/>
  <c r="B909" i="3"/>
  <c r="D908" i="3"/>
  <c r="C908" i="3"/>
  <c r="B908" i="3"/>
  <c r="D907" i="3"/>
  <c r="C907" i="3"/>
  <c r="B907" i="3"/>
  <c r="D906" i="3"/>
  <c r="C906" i="3"/>
  <c r="B906" i="3"/>
  <c r="D905" i="3"/>
  <c r="C905" i="3"/>
  <c r="B905" i="3"/>
  <c r="D904" i="3"/>
  <c r="C904" i="3"/>
  <c r="B904" i="3"/>
  <c r="D903" i="3"/>
  <c r="C903" i="3"/>
  <c r="B903" i="3"/>
  <c r="D902" i="3"/>
  <c r="C902" i="3"/>
  <c r="B902" i="3"/>
  <c r="D901" i="3"/>
  <c r="C901" i="3"/>
  <c r="B901" i="3"/>
  <c r="D900" i="3"/>
  <c r="C900" i="3"/>
  <c r="B900" i="3"/>
  <c r="D899" i="3"/>
  <c r="C899" i="3"/>
  <c r="B899" i="3"/>
  <c r="D898" i="3"/>
  <c r="C898" i="3"/>
  <c r="B898" i="3"/>
  <c r="D897" i="3"/>
  <c r="C897" i="3"/>
  <c r="B897" i="3"/>
  <c r="D896" i="3"/>
  <c r="C896" i="3"/>
  <c r="B896" i="3"/>
  <c r="D895" i="3"/>
  <c r="C895" i="3"/>
  <c r="B895" i="3"/>
  <c r="D894" i="3"/>
  <c r="C894" i="3"/>
  <c r="B894" i="3"/>
  <c r="D893" i="3"/>
  <c r="C893" i="3"/>
  <c r="B893" i="3"/>
  <c r="D892" i="3"/>
  <c r="C892" i="3"/>
  <c r="B892" i="3"/>
  <c r="D891" i="3"/>
  <c r="C891" i="3"/>
  <c r="B891" i="3"/>
  <c r="D890" i="3"/>
  <c r="C890" i="3"/>
  <c r="B890" i="3"/>
  <c r="D889" i="3"/>
  <c r="C889" i="3"/>
  <c r="B889" i="3"/>
  <c r="D888" i="3"/>
  <c r="C888" i="3"/>
  <c r="B888" i="3"/>
  <c r="D887" i="3"/>
  <c r="C887" i="3"/>
  <c r="B887" i="3"/>
  <c r="D886" i="3"/>
  <c r="C886" i="3"/>
  <c r="B886" i="3"/>
  <c r="D885" i="3"/>
  <c r="C885" i="3"/>
  <c r="B885" i="3"/>
  <c r="D884" i="3"/>
  <c r="C884" i="3"/>
  <c r="B884" i="3"/>
  <c r="D883" i="3"/>
  <c r="C883" i="3"/>
  <c r="B883" i="3"/>
  <c r="D882" i="3"/>
  <c r="C882" i="3"/>
  <c r="B882" i="3"/>
  <c r="D881" i="3"/>
  <c r="C881" i="3"/>
  <c r="B881" i="3"/>
  <c r="D880" i="3"/>
  <c r="C880" i="3"/>
  <c r="B880" i="3"/>
  <c r="D879" i="3"/>
  <c r="C879" i="3"/>
  <c r="B879" i="3"/>
  <c r="D878" i="3"/>
  <c r="C878" i="3"/>
  <c r="B878" i="3"/>
  <c r="D877" i="3"/>
  <c r="C877" i="3"/>
  <c r="B877" i="3"/>
  <c r="D876" i="3"/>
  <c r="C876" i="3"/>
  <c r="B876" i="3"/>
  <c r="D875" i="3"/>
  <c r="C875" i="3"/>
  <c r="B875" i="3"/>
  <c r="D874" i="3"/>
  <c r="C874" i="3"/>
  <c r="B874" i="3"/>
  <c r="D873" i="3"/>
  <c r="C873" i="3"/>
  <c r="B873" i="3"/>
  <c r="D872" i="3"/>
  <c r="C872" i="3"/>
  <c r="B872" i="3"/>
  <c r="D871" i="3"/>
  <c r="C871" i="3"/>
  <c r="B871" i="3"/>
  <c r="D870" i="3"/>
  <c r="C870" i="3"/>
  <c r="B870" i="3"/>
  <c r="D869" i="3"/>
  <c r="C869" i="3"/>
  <c r="B869" i="3"/>
  <c r="D868" i="3"/>
  <c r="C868" i="3"/>
  <c r="B868" i="3"/>
  <c r="D867" i="3"/>
  <c r="C867" i="3"/>
  <c r="B867" i="3"/>
  <c r="D866" i="3"/>
  <c r="C866" i="3"/>
  <c r="B866" i="3"/>
  <c r="D865" i="3"/>
  <c r="C865" i="3"/>
  <c r="B865" i="3"/>
  <c r="D864" i="3"/>
  <c r="C864" i="3"/>
  <c r="B864" i="3"/>
  <c r="D863" i="3"/>
  <c r="C863" i="3"/>
  <c r="B863" i="3"/>
  <c r="D862" i="3"/>
  <c r="C862" i="3"/>
  <c r="B862" i="3"/>
  <c r="D861" i="3"/>
  <c r="C861" i="3"/>
  <c r="B861" i="3"/>
  <c r="D860" i="3"/>
  <c r="C860" i="3"/>
  <c r="B860" i="3"/>
  <c r="D859" i="3"/>
  <c r="C859" i="3"/>
  <c r="B859" i="3"/>
  <c r="D858" i="3"/>
  <c r="C858" i="3"/>
  <c r="B858" i="3"/>
  <c r="D857" i="3"/>
  <c r="C857" i="3"/>
  <c r="B857" i="3"/>
  <c r="D856" i="3"/>
  <c r="C856" i="3"/>
  <c r="B856" i="3"/>
  <c r="D855" i="3"/>
  <c r="C855" i="3"/>
  <c r="B855" i="3"/>
  <c r="D854" i="3"/>
  <c r="C854" i="3"/>
  <c r="B854" i="3"/>
  <c r="D853" i="3"/>
  <c r="C853" i="3"/>
  <c r="B853" i="3"/>
  <c r="D852" i="3"/>
  <c r="C852" i="3"/>
  <c r="B852" i="3"/>
  <c r="D851" i="3"/>
  <c r="C851" i="3"/>
  <c r="B851" i="3"/>
  <c r="D850" i="3"/>
  <c r="C850" i="3"/>
  <c r="B850" i="3"/>
  <c r="D849" i="3"/>
  <c r="C849" i="3"/>
  <c r="B849" i="3"/>
  <c r="D848" i="3"/>
  <c r="C848" i="3"/>
  <c r="B848" i="3"/>
  <c r="D847" i="3"/>
  <c r="C847" i="3"/>
  <c r="B847" i="3"/>
  <c r="D846" i="3"/>
  <c r="C846" i="3"/>
  <c r="B846" i="3"/>
  <c r="D845" i="3"/>
  <c r="C845" i="3"/>
  <c r="B845" i="3"/>
  <c r="D844" i="3"/>
  <c r="C844" i="3"/>
  <c r="B844" i="3"/>
  <c r="D843" i="3"/>
  <c r="C843" i="3"/>
  <c r="B843" i="3"/>
  <c r="D842" i="3"/>
  <c r="C842" i="3"/>
  <c r="B842" i="3"/>
  <c r="D841" i="3"/>
  <c r="C841" i="3"/>
  <c r="B841" i="3"/>
  <c r="D840" i="3"/>
  <c r="C840" i="3"/>
  <c r="B840" i="3"/>
  <c r="D839" i="3"/>
  <c r="C839" i="3"/>
  <c r="B839" i="3"/>
  <c r="D838" i="3"/>
  <c r="C838" i="3"/>
  <c r="B838" i="3"/>
  <c r="D837" i="3"/>
  <c r="C837" i="3"/>
  <c r="B837" i="3"/>
  <c r="D836" i="3"/>
  <c r="C836" i="3"/>
  <c r="B836" i="3"/>
  <c r="D835" i="3"/>
  <c r="C835" i="3"/>
  <c r="B835" i="3"/>
  <c r="D834" i="3"/>
  <c r="C834" i="3"/>
  <c r="B834" i="3"/>
  <c r="D833" i="3"/>
  <c r="C833" i="3"/>
  <c r="B833" i="3"/>
  <c r="D832" i="3"/>
  <c r="C832" i="3"/>
  <c r="B832" i="3"/>
  <c r="D831" i="3"/>
  <c r="C831" i="3"/>
  <c r="B831" i="3"/>
  <c r="D830" i="3"/>
  <c r="C830" i="3"/>
  <c r="B830" i="3"/>
  <c r="D829" i="3"/>
  <c r="C829" i="3"/>
  <c r="B829" i="3"/>
  <c r="D828" i="3"/>
  <c r="C828" i="3"/>
  <c r="B828" i="3"/>
  <c r="D827" i="3"/>
  <c r="C827" i="3"/>
  <c r="B827" i="3"/>
  <c r="D826" i="3"/>
  <c r="C826" i="3"/>
  <c r="B826" i="3"/>
  <c r="D825" i="3"/>
  <c r="C825" i="3"/>
  <c r="B825" i="3"/>
  <c r="D824" i="3"/>
  <c r="C824" i="3"/>
  <c r="B824" i="3"/>
  <c r="D823" i="3"/>
  <c r="C823" i="3"/>
  <c r="B823" i="3"/>
  <c r="D822" i="3"/>
  <c r="C822" i="3"/>
  <c r="B822" i="3"/>
  <c r="D821" i="3"/>
  <c r="C821" i="3"/>
  <c r="B821" i="3"/>
  <c r="D820" i="3"/>
  <c r="C820" i="3"/>
  <c r="B820" i="3"/>
  <c r="D819" i="3"/>
  <c r="C819" i="3"/>
  <c r="B819" i="3"/>
  <c r="D818" i="3"/>
  <c r="C818" i="3"/>
  <c r="B818" i="3"/>
  <c r="D817" i="3"/>
  <c r="C817" i="3"/>
  <c r="B817" i="3"/>
  <c r="D816" i="3"/>
  <c r="C816" i="3"/>
  <c r="B816" i="3"/>
  <c r="D815" i="3"/>
  <c r="C815" i="3"/>
  <c r="B815" i="3"/>
  <c r="D814" i="3"/>
  <c r="C814" i="3"/>
  <c r="B814" i="3"/>
  <c r="D813" i="3"/>
  <c r="C813" i="3"/>
  <c r="B813" i="3"/>
  <c r="D812" i="3"/>
  <c r="C812" i="3"/>
  <c r="B812" i="3"/>
  <c r="D811" i="3"/>
  <c r="C811" i="3"/>
  <c r="B811" i="3"/>
  <c r="D810" i="3"/>
  <c r="C810" i="3"/>
  <c r="B810" i="3"/>
  <c r="D809" i="3"/>
  <c r="C809" i="3"/>
  <c r="B809" i="3"/>
  <c r="D808" i="3"/>
  <c r="C808" i="3"/>
  <c r="B808" i="3"/>
  <c r="D807" i="3"/>
  <c r="C807" i="3"/>
  <c r="B807" i="3"/>
  <c r="D806" i="3"/>
  <c r="C806" i="3"/>
  <c r="B806" i="3"/>
  <c r="D805" i="3"/>
  <c r="C805" i="3"/>
  <c r="B805" i="3"/>
  <c r="D804" i="3"/>
  <c r="C804" i="3"/>
  <c r="B804" i="3"/>
  <c r="D803" i="3"/>
  <c r="C803" i="3"/>
  <c r="B803" i="3"/>
  <c r="D802" i="3"/>
  <c r="C802" i="3"/>
  <c r="B802" i="3"/>
  <c r="D801" i="3"/>
  <c r="C801" i="3"/>
  <c r="B801" i="3"/>
  <c r="D800" i="3"/>
  <c r="C800" i="3"/>
  <c r="B800" i="3"/>
  <c r="D799" i="3"/>
  <c r="C799" i="3"/>
  <c r="B799" i="3"/>
  <c r="D798" i="3"/>
  <c r="C798" i="3"/>
  <c r="B798" i="3"/>
  <c r="D797" i="3"/>
  <c r="C797" i="3"/>
  <c r="B797" i="3"/>
  <c r="D796" i="3"/>
  <c r="C796" i="3"/>
  <c r="B796" i="3"/>
  <c r="D795" i="3"/>
  <c r="C795" i="3"/>
  <c r="B795" i="3"/>
  <c r="D794" i="3"/>
  <c r="C794" i="3"/>
  <c r="B794" i="3"/>
  <c r="D793" i="3"/>
  <c r="C793" i="3"/>
  <c r="B793" i="3"/>
  <c r="D792" i="3"/>
  <c r="C792" i="3"/>
  <c r="B792" i="3"/>
  <c r="D791" i="3"/>
  <c r="C791" i="3"/>
  <c r="B791" i="3"/>
  <c r="D790" i="3"/>
  <c r="C790" i="3"/>
  <c r="B790" i="3"/>
  <c r="D789" i="3"/>
  <c r="C789" i="3"/>
  <c r="B789" i="3"/>
  <c r="D788" i="3"/>
  <c r="C788" i="3"/>
  <c r="B788" i="3"/>
  <c r="D787" i="3"/>
  <c r="C787" i="3"/>
  <c r="B787" i="3"/>
  <c r="D786" i="3"/>
  <c r="C786" i="3"/>
  <c r="B786" i="3"/>
  <c r="D785" i="3"/>
  <c r="C785" i="3"/>
  <c r="B785" i="3"/>
  <c r="D784" i="3"/>
  <c r="C784" i="3"/>
  <c r="B784" i="3"/>
  <c r="D783" i="3"/>
  <c r="C783" i="3"/>
  <c r="B783" i="3"/>
  <c r="D782" i="3"/>
  <c r="C782" i="3"/>
  <c r="B782" i="3"/>
  <c r="D781" i="3"/>
  <c r="C781" i="3"/>
  <c r="B781" i="3"/>
  <c r="D780" i="3"/>
  <c r="C780" i="3"/>
  <c r="B780" i="3"/>
  <c r="D779" i="3"/>
  <c r="C779" i="3"/>
  <c r="B779" i="3"/>
  <c r="D778" i="3"/>
  <c r="C778" i="3"/>
  <c r="B778" i="3"/>
  <c r="D777" i="3"/>
  <c r="C777" i="3"/>
  <c r="B777" i="3"/>
  <c r="D776" i="3"/>
  <c r="C776" i="3"/>
  <c r="B776" i="3"/>
  <c r="D775" i="3"/>
  <c r="C775" i="3"/>
  <c r="B775" i="3"/>
  <c r="D774" i="3"/>
  <c r="C774" i="3"/>
  <c r="B774" i="3"/>
  <c r="D773" i="3"/>
  <c r="C773" i="3"/>
  <c r="B773" i="3"/>
  <c r="D772" i="3"/>
  <c r="C772" i="3"/>
  <c r="B772" i="3"/>
  <c r="D771" i="3"/>
  <c r="C771" i="3"/>
  <c r="B771" i="3"/>
  <c r="D770" i="3"/>
  <c r="C770" i="3"/>
  <c r="B770" i="3"/>
  <c r="D769" i="3"/>
  <c r="C769" i="3"/>
  <c r="B769" i="3"/>
  <c r="D768" i="3"/>
  <c r="C768" i="3"/>
  <c r="B768" i="3"/>
  <c r="D767" i="3"/>
  <c r="C767" i="3"/>
  <c r="B767" i="3"/>
  <c r="D766" i="3"/>
  <c r="C766" i="3"/>
  <c r="B766" i="3"/>
  <c r="D765" i="3"/>
  <c r="C765" i="3"/>
  <c r="B765" i="3"/>
  <c r="D764" i="3"/>
  <c r="C764" i="3"/>
  <c r="B764" i="3"/>
  <c r="D763" i="3"/>
  <c r="C763" i="3"/>
  <c r="B763" i="3"/>
  <c r="D762" i="3"/>
  <c r="C762" i="3"/>
  <c r="B762" i="3"/>
  <c r="D761" i="3"/>
  <c r="C761" i="3"/>
  <c r="B761" i="3"/>
  <c r="D760" i="3"/>
  <c r="C760" i="3"/>
  <c r="B760" i="3"/>
  <c r="D759" i="3"/>
  <c r="C759" i="3"/>
  <c r="B759" i="3"/>
  <c r="D758" i="3"/>
  <c r="C758" i="3"/>
  <c r="B758" i="3"/>
  <c r="D757" i="3"/>
  <c r="C757" i="3"/>
  <c r="B757" i="3"/>
  <c r="D756" i="3"/>
  <c r="C756" i="3"/>
  <c r="B756" i="3"/>
  <c r="D755" i="3"/>
  <c r="C755" i="3"/>
  <c r="B755" i="3"/>
  <c r="D754" i="3"/>
  <c r="C754" i="3"/>
  <c r="B754" i="3"/>
  <c r="D753" i="3"/>
  <c r="C753" i="3"/>
  <c r="B753" i="3"/>
  <c r="D752" i="3"/>
  <c r="C752" i="3"/>
  <c r="B752" i="3"/>
  <c r="D751" i="3"/>
  <c r="C751" i="3"/>
  <c r="B751" i="3"/>
  <c r="D750" i="3"/>
  <c r="C750" i="3"/>
  <c r="B750" i="3"/>
  <c r="D749" i="3"/>
  <c r="C749" i="3"/>
  <c r="B749" i="3"/>
  <c r="D748" i="3"/>
  <c r="C748" i="3"/>
  <c r="B748" i="3"/>
  <c r="D747" i="3"/>
  <c r="C747" i="3"/>
  <c r="B747" i="3"/>
  <c r="D746" i="3"/>
  <c r="C746" i="3"/>
  <c r="B746" i="3"/>
  <c r="D745" i="3"/>
  <c r="C745" i="3"/>
  <c r="B745" i="3"/>
  <c r="D744" i="3"/>
  <c r="C744" i="3"/>
  <c r="B744" i="3"/>
  <c r="D743" i="3"/>
  <c r="C743" i="3"/>
  <c r="B743" i="3"/>
  <c r="D742" i="3"/>
  <c r="C742" i="3"/>
  <c r="B742" i="3"/>
  <c r="D741" i="3"/>
  <c r="C741" i="3"/>
  <c r="B741" i="3"/>
  <c r="D740" i="3"/>
  <c r="C740" i="3"/>
  <c r="B740" i="3"/>
  <c r="D739" i="3"/>
  <c r="C739" i="3"/>
  <c r="B739" i="3"/>
  <c r="D738" i="3"/>
  <c r="C738" i="3"/>
  <c r="B738" i="3"/>
  <c r="D737" i="3"/>
  <c r="C737" i="3"/>
  <c r="B737" i="3"/>
  <c r="D736" i="3"/>
  <c r="C736" i="3"/>
  <c r="B736" i="3"/>
  <c r="D735" i="3"/>
  <c r="C735" i="3"/>
  <c r="B735" i="3"/>
  <c r="D734" i="3"/>
  <c r="C734" i="3"/>
  <c r="B734" i="3"/>
  <c r="D733" i="3"/>
  <c r="C733" i="3"/>
  <c r="B733" i="3"/>
  <c r="D732" i="3"/>
  <c r="C732" i="3"/>
  <c r="B732" i="3"/>
  <c r="D731" i="3"/>
  <c r="C731" i="3"/>
  <c r="B731" i="3"/>
  <c r="D730" i="3"/>
  <c r="C730" i="3"/>
  <c r="B730" i="3"/>
  <c r="D729" i="3"/>
  <c r="C729" i="3"/>
  <c r="B729" i="3"/>
  <c r="D728" i="3"/>
  <c r="C728" i="3"/>
  <c r="B728" i="3"/>
  <c r="D727" i="3"/>
  <c r="C727" i="3"/>
  <c r="B727" i="3"/>
  <c r="D726" i="3"/>
  <c r="C726" i="3"/>
  <c r="B726" i="3"/>
  <c r="D725" i="3"/>
  <c r="C725" i="3"/>
  <c r="B725" i="3"/>
  <c r="D724" i="3"/>
  <c r="C724" i="3"/>
  <c r="B724" i="3"/>
  <c r="D723" i="3"/>
  <c r="C723" i="3"/>
  <c r="B723" i="3"/>
  <c r="D722" i="3"/>
  <c r="C722" i="3"/>
  <c r="B722" i="3"/>
  <c r="D721" i="3"/>
  <c r="C721" i="3"/>
  <c r="B721" i="3"/>
  <c r="D720" i="3"/>
  <c r="C720" i="3"/>
  <c r="B720" i="3"/>
  <c r="D719" i="3"/>
  <c r="C719" i="3"/>
  <c r="B719" i="3"/>
  <c r="D718" i="3"/>
  <c r="C718" i="3"/>
  <c r="B718" i="3"/>
  <c r="D717" i="3"/>
  <c r="C717" i="3"/>
  <c r="B717" i="3"/>
  <c r="D716" i="3"/>
  <c r="C716" i="3"/>
  <c r="B716" i="3"/>
  <c r="D715" i="3"/>
  <c r="C715" i="3"/>
  <c r="B715" i="3"/>
  <c r="D714" i="3"/>
  <c r="C714" i="3"/>
  <c r="B714" i="3"/>
  <c r="D713" i="3"/>
  <c r="C713" i="3"/>
  <c r="B713" i="3"/>
  <c r="D712" i="3"/>
  <c r="C712" i="3"/>
  <c r="B712" i="3"/>
  <c r="D711" i="3"/>
  <c r="C711" i="3"/>
  <c r="B711" i="3"/>
  <c r="D710" i="3"/>
  <c r="C710" i="3"/>
  <c r="B710" i="3"/>
  <c r="D709" i="3"/>
  <c r="C709" i="3"/>
  <c r="B709" i="3"/>
  <c r="D708" i="3"/>
  <c r="C708" i="3"/>
  <c r="B708" i="3"/>
  <c r="D707" i="3"/>
  <c r="C707" i="3"/>
  <c r="B707" i="3"/>
  <c r="D706" i="3"/>
  <c r="C706" i="3"/>
  <c r="B706" i="3"/>
  <c r="D705" i="3"/>
  <c r="C705" i="3"/>
  <c r="B705" i="3"/>
  <c r="D704" i="3"/>
  <c r="C704" i="3"/>
  <c r="B704" i="3"/>
  <c r="D703" i="3"/>
  <c r="C703" i="3"/>
  <c r="B703" i="3"/>
  <c r="D702" i="3"/>
  <c r="C702" i="3"/>
  <c r="B702" i="3"/>
  <c r="D701" i="3"/>
  <c r="C701" i="3"/>
  <c r="B701" i="3"/>
  <c r="D700" i="3"/>
  <c r="C700" i="3"/>
  <c r="B700" i="3"/>
  <c r="D699" i="3"/>
  <c r="C699" i="3"/>
  <c r="B699" i="3"/>
  <c r="D698" i="3"/>
  <c r="C698" i="3"/>
  <c r="B698" i="3"/>
  <c r="D697" i="3"/>
  <c r="C697" i="3"/>
  <c r="B697" i="3"/>
  <c r="D696" i="3"/>
  <c r="C696" i="3"/>
  <c r="B696" i="3"/>
  <c r="D695" i="3"/>
  <c r="C695" i="3"/>
  <c r="B695" i="3"/>
  <c r="D694" i="3"/>
  <c r="C694" i="3"/>
  <c r="B694" i="3"/>
  <c r="D693" i="3"/>
  <c r="C693" i="3"/>
  <c r="B693" i="3"/>
  <c r="D692" i="3"/>
  <c r="C692" i="3"/>
  <c r="B692" i="3"/>
  <c r="D691" i="3"/>
  <c r="C691" i="3"/>
  <c r="B691" i="3"/>
  <c r="D690" i="3"/>
  <c r="C690" i="3"/>
  <c r="B690" i="3"/>
  <c r="D689" i="3"/>
  <c r="C689" i="3"/>
  <c r="B689" i="3"/>
  <c r="D688" i="3"/>
  <c r="C688" i="3"/>
  <c r="B688" i="3"/>
  <c r="D687" i="3"/>
  <c r="C687" i="3"/>
  <c r="B687" i="3"/>
  <c r="D686" i="3"/>
  <c r="C686" i="3"/>
  <c r="B686" i="3"/>
  <c r="D685" i="3"/>
  <c r="C685" i="3"/>
  <c r="B685" i="3"/>
  <c r="D684" i="3"/>
  <c r="C684" i="3"/>
  <c r="B684" i="3"/>
  <c r="D683" i="3"/>
  <c r="C683" i="3"/>
  <c r="B683" i="3"/>
  <c r="D682" i="3"/>
  <c r="C682" i="3"/>
  <c r="B682" i="3"/>
  <c r="D681" i="3"/>
  <c r="C681" i="3"/>
  <c r="B681" i="3"/>
  <c r="D680" i="3"/>
  <c r="C680" i="3"/>
  <c r="B680" i="3"/>
  <c r="D679" i="3"/>
  <c r="C679" i="3"/>
  <c r="B679" i="3"/>
  <c r="D678" i="3"/>
  <c r="C678" i="3"/>
  <c r="B678" i="3"/>
  <c r="D677" i="3"/>
  <c r="C677" i="3"/>
  <c r="B677" i="3"/>
  <c r="D676" i="3"/>
  <c r="C676" i="3"/>
  <c r="B676" i="3"/>
  <c r="D675" i="3"/>
  <c r="C675" i="3"/>
  <c r="B675" i="3"/>
  <c r="D674" i="3"/>
  <c r="C674" i="3"/>
  <c r="B674" i="3"/>
  <c r="D673" i="3"/>
  <c r="C673" i="3"/>
  <c r="B673" i="3"/>
  <c r="D672" i="3"/>
  <c r="C672" i="3"/>
  <c r="B672" i="3"/>
  <c r="D671" i="3"/>
  <c r="C671" i="3"/>
  <c r="B671" i="3"/>
  <c r="D670" i="3"/>
  <c r="C670" i="3"/>
  <c r="B670" i="3"/>
  <c r="D669" i="3"/>
  <c r="C669" i="3"/>
  <c r="B669" i="3"/>
  <c r="D668" i="3"/>
  <c r="C668" i="3"/>
  <c r="B668" i="3"/>
  <c r="D667" i="3"/>
  <c r="C667" i="3"/>
  <c r="B667" i="3"/>
  <c r="D666" i="3"/>
  <c r="C666" i="3"/>
  <c r="B666" i="3"/>
  <c r="D665" i="3"/>
  <c r="C665" i="3"/>
  <c r="B665" i="3"/>
  <c r="D664" i="3"/>
  <c r="C664" i="3"/>
  <c r="B664" i="3"/>
  <c r="D663" i="3"/>
  <c r="C663" i="3"/>
  <c r="B663" i="3"/>
  <c r="D662" i="3"/>
  <c r="C662" i="3"/>
  <c r="B662" i="3"/>
  <c r="D661" i="3"/>
  <c r="C661" i="3"/>
  <c r="B661" i="3"/>
  <c r="D660" i="3"/>
  <c r="C660" i="3"/>
  <c r="B660" i="3"/>
  <c r="D659" i="3"/>
  <c r="C659" i="3"/>
  <c r="B659" i="3"/>
  <c r="D658" i="3"/>
  <c r="C658" i="3"/>
  <c r="B658" i="3"/>
  <c r="D657" i="3"/>
  <c r="C657" i="3"/>
  <c r="B657" i="3"/>
  <c r="D656" i="3"/>
  <c r="C656" i="3"/>
  <c r="B656" i="3"/>
  <c r="D655" i="3"/>
  <c r="C655" i="3"/>
  <c r="B655" i="3"/>
  <c r="D654" i="3"/>
  <c r="C654" i="3"/>
  <c r="B654" i="3"/>
  <c r="D653" i="3"/>
  <c r="C653" i="3"/>
  <c r="B653" i="3"/>
  <c r="D652" i="3"/>
  <c r="C652" i="3"/>
  <c r="B652" i="3"/>
  <c r="D651" i="3"/>
  <c r="C651" i="3"/>
  <c r="B651" i="3"/>
  <c r="D650" i="3"/>
  <c r="C650" i="3"/>
  <c r="B650" i="3"/>
  <c r="D649" i="3"/>
  <c r="C649" i="3"/>
  <c r="B649" i="3"/>
  <c r="D648" i="3"/>
  <c r="C648" i="3"/>
  <c r="B648" i="3"/>
  <c r="D647" i="3"/>
  <c r="C647" i="3"/>
  <c r="B647" i="3"/>
  <c r="D646" i="3"/>
  <c r="C646" i="3"/>
  <c r="B646" i="3"/>
  <c r="D645" i="3"/>
  <c r="C645" i="3"/>
  <c r="B645" i="3"/>
  <c r="D644" i="3"/>
  <c r="C644" i="3"/>
  <c r="B644" i="3"/>
  <c r="D643" i="3"/>
  <c r="C643" i="3"/>
  <c r="B643" i="3"/>
  <c r="D642" i="3"/>
  <c r="C642" i="3"/>
  <c r="B642" i="3"/>
  <c r="D641" i="3"/>
  <c r="C641" i="3"/>
  <c r="B641" i="3"/>
  <c r="D640" i="3"/>
  <c r="C640" i="3"/>
  <c r="B640" i="3"/>
  <c r="D639" i="3"/>
  <c r="C639" i="3"/>
  <c r="B639" i="3"/>
  <c r="D638" i="3"/>
  <c r="C638" i="3"/>
  <c r="B638" i="3"/>
  <c r="D637" i="3"/>
  <c r="C637" i="3"/>
  <c r="B637" i="3"/>
  <c r="D636" i="3"/>
  <c r="C636" i="3"/>
  <c r="B636" i="3"/>
  <c r="D635" i="3"/>
  <c r="C635" i="3"/>
  <c r="B635" i="3"/>
  <c r="D634" i="3"/>
  <c r="C634" i="3"/>
  <c r="B634" i="3"/>
  <c r="D633" i="3"/>
  <c r="C633" i="3"/>
  <c r="B633" i="3"/>
  <c r="D632" i="3"/>
  <c r="C632" i="3"/>
  <c r="B632" i="3"/>
  <c r="D631" i="3"/>
  <c r="C631" i="3"/>
  <c r="B631" i="3"/>
  <c r="D630" i="3"/>
  <c r="C630" i="3"/>
  <c r="B630" i="3"/>
  <c r="D629" i="3"/>
  <c r="C629" i="3"/>
  <c r="B629" i="3"/>
  <c r="D628" i="3"/>
  <c r="C628" i="3"/>
  <c r="B628" i="3"/>
  <c r="D627" i="3"/>
  <c r="C627" i="3"/>
  <c r="B627" i="3"/>
  <c r="D626" i="3"/>
  <c r="C626" i="3"/>
  <c r="B626" i="3"/>
  <c r="D625" i="3"/>
  <c r="C625" i="3"/>
  <c r="B625" i="3"/>
  <c r="D624" i="3"/>
  <c r="C624" i="3"/>
  <c r="B624" i="3"/>
  <c r="D623" i="3"/>
  <c r="C623" i="3"/>
  <c r="B623" i="3"/>
  <c r="D622" i="3"/>
  <c r="C622" i="3"/>
  <c r="B622" i="3"/>
  <c r="D621" i="3"/>
  <c r="C621" i="3"/>
  <c r="B621" i="3"/>
  <c r="D620" i="3"/>
  <c r="C620" i="3"/>
  <c r="B620" i="3"/>
  <c r="D619" i="3"/>
  <c r="C619" i="3"/>
  <c r="B619" i="3"/>
  <c r="D618" i="3"/>
  <c r="C618" i="3"/>
  <c r="B618" i="3"/>
  <c r="D617" i="3"/>
  <c r="C617" i="3"/>
  <c r="B617" i="3"/>
  <c r="D616" i="3"/>
  <c r="C616" i="3"/>
  <c r="B616" i="3"/>
  <c r="D615" i="3"/>
  <c r="C615" i="3"/>
  <c r="B615" i="3"/>
  <c r="D614" i="3"/>
  <c r="C614" i="3"/>
  <c r="B614" i="3"/>
  <c r="D613" i="3"/>
  <c r="C613" i="3"/>
  <c r="B613" i="3"/>
  <c r="D612" i="3"/>
  <c r="C612" i="3"/>
  <c r="B612" i="3"/>
  <c r="D611" i="3"/>
  <c r="C611" i="3"/>
  <c r="B611" i="3"/>
  <c r="D610" i="3"/>
  <c r="C610" i="3"/>
  <c r="B610" i="3"/>
  <c r="D609" i="3"/>
  <c r="C609" i="3"/>
  <c r="B609" i="3"/>
  <c r="D608" i="3"/>
  <c r="C608" i="3"/>
  <c r="B608" i="3"/>
  <c r="D607" i="3"/>
  <c r="C607" i="3"/>
  <c r="B607" i="3"/>
  <c r="D606" i="3"/>
  <c r="C606" i="3"/>
  <c r="B606" i="3"/>
  <c r="D605" i="3"/>
  <c r="C605" i="3"/>
  <c r="B605" i="3"/>
  <c r="D604" i="3"/>
  <c r="C604" i="3"/>
  <c r="B604" i="3"/>
  <c r="D603" i="3"/>
  <c r="C603" i="3"/>
  <c r="B603" i="3"/>
  <c r="D602" i="3"/>
  <c r="C602" i="3"/>
  <c r="B602" i="3"/>
  <c r="D601" i="3"/>
  <c r="C601" i="3"/>
  <c r="B601" i="3"/>
  <c r="D600" i="3"/>
  <c r="C600" i="3"/>
  <c r="B600" i="3"/>
  <c r="D599" i="3"/>
  <c r="C599" i="3"/>
  <c r="B599" i="3"/>
  <c r="D598" i="3"/>
  <c r="C598" i="3"/>
  <c r="B598" i="3"/>
  <c r="D597" i="3"/>
  <c r="C597" i="3"/>
  <c r="B597" i="3"/>
  <c r="D596" i="3"/>
  <c r="C596" i="3"/>
  <c r="B596" i="3"/>
  <c r="D595" i="3"/>
  <c r="C595" i="3"/>
  <c r="B595" i="3"/>
  <c r="D594" i="3"/>
  <c r="C594" i="3"/>
  <c r="B594" i="3"/>
  <c r="D593" i="3"/>
  <c r="C593" i="3"/>
  <c r="B593" i="3"/>
  <c r="D592" i="3"/>
  <c r="C592" i="3"/>
  <c r="B592" i="3"/>
  <c r="D591" i="3"/>
  <c r="C591" i="3"/>
  <c r="B591" i="3"/>
  <c r="D590" i="3"/>
  <c r="C590" i="3"/>
  <c r="B590" i="3"/>
  <c r="D589" i="3"/>
  <c r="C589" i="3"/>
  <c r="B589" i="3"/>
  <c r="D588" i="3"/>
  <c r="C588" i="3"/>
  <c r="B588" i="3"/>
  <c r="D587" i="3"/>
  <c r="C587" i="3"/>
  <c r="B587" i="3"/>
  <c r="D586" i="3"/>
  <c r="C586" i="3"/>
  <c r="B586" i="3"/>
  <c r="D585" i="3"/>
  <c r="C585" i="3"/>
  <c r="B585" i="3"/>
  <c r="D584" i="3"/>
  <c r="C584" i="3"/>
  <c r="B584" i="3"/>
  <c r="D583" i="3"/>
  <c r="C583" i="3"/>
  <c r="B583" i="3"/>
  <c r="D582" i="3"/>
  <c r="C582" i="3"/>
  <c r="B582" i="3"/>
  <c r="D581" i="3"/>
  <c r="C581" i="3"/>
  <c r="B581" i="3"/>
  <c r="D580" i="3"/>
  <c r="C580" i="3"/>
  <c r="B580" i="3"/>
  <c r="D579" i="3"/>
  <c r="C579" i="3"/>
  <c r="B579" i="3"/>
  <c r="D578" i="3"/>
  <c r="C578" i="3"/>
  <c r="B578" i="3"/>
  <c r="D577" i="3"/>
  <c r="C577" i="3"/>
  <c r="B577" i="3"/>
  <c r="D576" i="3"/>
  <c r="C576" i="3"/>
  <c r="B576" i="3"/>
  <c r="D575" i="3"/>
  <c r="C575" i="3"/>
  <c r="B575" i="3"/>
  <c r="D574" i="3"/>
  <c r="C574" i="3"/>
  <c r="B574" i="3"/>
  <c r="D573" i="3"/>
  <c r="C573" i="3"/>
  <c r="B573" i="3"/>
  <c r="D572" i="3"/>
  <c r="C572" i="3"/>
  <c r="B572" i="3"/>
  <c r="D571" i="3"/>
  <c r="C571" i="3"/>
  <c r="B571" i="3"/>
  <c r="D570" i="3"/>
  <c r="C570" i="3"/>
  <c r="B570" i="3"/>
  <c r="D569" i="3"/>
  <c r="C569" i="3"/>
  <c r="B569" i="3"/>
  <c r="D568" i="3"/>
  <c r="C568" i="3"/>
  <c r="B568" i="3"/>
  <c r="D567" i="3"/>
  <c r="C567" i="3"/>
  <c r="B567" i="3"/>
  <c r="D566" i="3"/>
  <c r="C566" i="3"/>
  <c r="B566" i="3"/>
  <c r="D565" i="3"/>
  <c r="C565" i="3"/>
  <c r="B565" i="3"/>
  <c r="D564" i="3"/>
  <c r="C564" i="3"/>
  <c r="B564" i="3"/>
  <c r="D563" i="3"/>
  <c r="C563" i="3"/>
  <c r="B563" i="3"/>
  <c r="D562" i="3"/>
  <c r="C562" i="3"/>
  <c r="B562" i="3"/>
  <c r="D561" i="3"/>
  <c r="C561" i="3"/>
  <c r="B561" i="3"/>
  <c r="D560" i="3"/>
  <c r="C560" i="3"/>
  <c r="B560" i="3"/>
  <c r="D559" i="3"/>
  <c r="C559" i="3"/>
  <c r="B559" i="3"/>
  <c r="D558" i="3"/>
  <c r="C558" i="3"/>
  <c r="B558" i="3"/>
  <c r="D557" i="3"/>
  <c r="C557" i="3"/>
  <c r="B557" i="3"/>
  <c r="D556" i="3"/>
  <c r="C556" i="3"/>
  <c r="B556" i="3"/>
  <c r="D555" i="3"/>
  <c r="C555" i="3"/>
  <c r="B555" i="3"/>
  <c r="D554" i="3"/>
  <c r="C554" i="3"/>
  <c r="B554" i="3"/>
  <c r="D553" i="3"/>
  <c r="C553" i="3"/>
  <c r="B553" i="3"/>
  <c r="D552" i="3"/>
  <c r="C552" i="3"/>
  <c r="B552" i="3"/>
  <c r="D551" i="3"/>
  <c r="C551" i="3"/>
  <c r="B551" i="3"/>
  <c r="D550" i="3"/>
  <c r="C550" i="3"/>
  <c r="B550" i="3"/>
  <c r="D549" i="3"/>
  <c r="C549" i="3"/>
  <c r="B549" i="3"/>
  <c r="D548" i="3"/>
  <c r="C548" i="3"/>
  <c r="B548" i="3"/>
  <c r="D547" i="3"/>
  <c r="C547" i="3"/>
  <c r="B547" i="3"/>
  <c r="D546" i="3"/>
  <c r="C546" i="3"/>
  <c r="B546" i="3"/>
  <c r="D545" i="3"/>
  <c r="C545" i="3"/>
  <c r="B545" i="3"/>
  <c r="D544" i="3"/>
  <c r="C544" i="3"/>
  <c r="B544" i="3"/>
  <c r="D543" i="3"/>
  <c r="C543" i="3"/>
  <c r="B543" i="3"/>
  <c r="D542" i="3"/>
  <c r="C542" i="3"/>
  <c r="B542" i="3"/>
  <c r="D541" i="3"/>
  <c r="C541" i="3"/>
  <c r="B541" i="3"/>
  <c r="D540" i="3"/>
  <c r="C540" i="3"/>
  <c r="B540" i="3"/>
  <c r="D539" i="3"/>
  <c r="C539" i="3"/>
  <c r="B539" i="3"/>
  <c r="D538" i="3"/>
  <c r="C538" i="3"/>
  <c r="B538" i="3"/>
  <c r="D537" i="3"/>
  <c r="C537" i="3"/>
  <c r="B537" i="3"/>
  <c r="D536" i="3"/>
  <c r="C536" i="3"/>
  <c r="B536" i="3"/>
  <c r="D535" i="3"/>
  <c r="C535" i="3"/>
  <c r="B535" i="3"/>
  <c r="D534" i="3"/>
  <c r="C534" i="3"/>
  <c r="B534" i="3"/>
  <c r="D533" i="3"/>
  <c r="C533" i="3"/>
  <c r="B533" i="3"/>
  <c r="D532" i="3"/>
  <c r="C532" i="3"/>
  <c r="B532" i="3"/>
  <c r="D531" i="3"/>
  <c r="C531" i="3"/>
  <c r="B531" i="3"/>
  <c r="D530" i="3"/>
  <c r="C530" i="3"/>
  <c r="B530" i="3"/>
  <c r="D529" i="3"/>
  <c r="C529" i="3"/>
  <c r="B529" i="3"/>
  <c r="D528" i="3"/>
  <c r="C528" i="3"/>
  <c r="B528" i="3"/>
  <c r="D527" i="3"/>
  <c r="C527" i="3"/>
  <c r="B527" i="3"/>
  <c r="D526" i="3"/>
  <c r="C526" i="3"/>
  <c r="B526" i="3"/>
  <c r="D525" i="3"/>
  <c r="C525" i="3"/>
  <c r="B525" i="3"/>
  <c r="D524" i="3"/>
  <c r="C524" i="3"/>
  <c r="B524" i="3"/>
  <c r="D523" i="3"/>
  <c r="C523" i="3"/>
  <c r="B523" i="3"/>
  <c r="D522" i="3"/>
  <c r="C522" i="3"/>
  <c r="B522" i="3"/>
  <c r="D521" i="3"/>
  <c r="C521" i="3"/>
  <c r="B521" i="3"/>
  <c r="D520" i="3"/>
  <c r="C520" i="3"/>
  <c r="B520" i="3"/>
  <c r="D519" i="3"/>
  <c r="C519" i="3"/>
  <c r="B519" i="3"/>
  <c r="D518" i="3"/>
  <c r="C518" i="3"/>
  <c r="B518" i="3"/>
  <c r="D517" i="3"/>
  <c r="C517" i="3"/>
  <c r="B517" i="3"/>
  <c r="D516" i="3"/>
  <c r="C516" i="3"/>
  <c r="B516" i="3"/>
  <c r="D515" i="3"/>
  <c r="C515" i="3"/>
  <c r="B515" i="3"/>
  <c r="D514" i="3"/>
  <c r="C514" i="3"/>
  <c r="B514" i="3"/>
  <c r="D513" i="3"/>
  <c r="C513" i="3"/>
  <c r="B513" i="3"/>
  <c r="D512" i="3"/>
  <c r="C512" i="3"/>
  <c r="B512" i="3"/>
  <c r="D511" i="3"/>
  <c r="C511" i="3"/>
  <c r="B511" i="3"/>
  <c r="D510" i="3"/>
  <c r="C510" i="3"/>
  <c r="B510" i="3"/>
  <c r="D509" i="3"/>
  <c r="C509" i="3"/>
  <c r="B509" i="3"/>
  <c r="D508" i="3"/>
  <c r="C508" i="3"/>
  <c r="B508" i="3"/>
  <c r="D507" i="3"/>
  <c r="C507" i="3"/>
  <c r="B507" i="3"/>
  <c r="D506" i="3"/>
  <c r="C506" i="3"/>
  <c r="B506" i="3"/>
  <c r="D505" i="3"/>
  <c r="C505" i="3"/>
  <c r="B505" i="3"/>
  <c r="D504" i="3"/>
  <c r="C504" i="3"/>
  <c r="B504" i="3"/>
  <c r="D503" i="3"/>
  <c r="C503" i="3"/>
  <c r="B503" i="3"/>
  <c r="D502" i="3"/>
  <c r="C502" i="3"/>
  <c r="B502" i="3"/>
  <c r="D501" i="3"/>
  <c r="C501" i="3"/>
  <c r="B501" i="3"/>
  <c r="D500" i="3"/>
  <c r="C500" i="3"/>
  <c r="B500" i="3"/>
  <c r="D499" i="3"/>
  <c r="C499" i="3"/>
  <c r="B499" i="3"/>
  <c r="D498" i="3"/>
  <c r="C498" i="3"/>
  <c r="B498" i="3"/>
  <c r="D497" i="3"/>
  <c r="C497" i="3"/>
  <c r="B497" i="3"/>
  <c r="D496" i="3"/>
  <c r="C496" i="3"/>
  <c r="B496" i="3"/>
  <c r="D495" i="3"/>
  <c r="C495" i="3"/>
  <c r="B495" i="3"/>
  <c r="D494" i="3"/>
  <c r="C494" i="3"/>
  <c r="B494" i="3"/>
  <c r="D493" i="3"/>
  <c r="C493" i="3"/>
  <c r="B493" i="3"/>
  <c r="D492" i="3"/>
  <c r="C492" i="3"/>
  <c r="B492" i="3"/>
  <c r="D491" i="3"/>
  <c r="C491" i="3"/>
  <c r="B491" i="3"/>
  <c r="D490" i="3"/>
  <c r="C490" i="3"/>
  <c r="B490" i="3"/>
  <c r="D489" i="3"/>
  <c r="C489" i="3"/>
  <c r="B489" i="3"/>
  <c r="D488" i="3"/>
  <c r="C488" i="3"/>
  <c r="B488" i="3"/>
  <c r="D487" i="3"/>
  <c r="C487" i="3"/>
  <c r="B487" i="3"/>
  <c r="D486" i="3"/>
  <c r="C486" i="3"/>
  <c r="B486" i="3"/>
  <c r="D485" i="3"/>
  <c r="C485" i="3"/>
  <c r="B485" i="3"/>
  <c r="D484" i="3"/>
  <c r="C484" i="3"/>
  <c r="B484" i="3"/>
  <c r="D483" i="3"/>
  <c r="C483" i="3"/>
  <c r="B483" i="3"/>
  <c r="D482" i="3"/>
  <c r="C482" i="3"/>
  <c r="B482" i="3"/>
  <c r="D481" i="3"/>
  <c r="C481" i="3"/>
  <c r="B481" i="3"/>
  <c r="D480" i="3"/>
  <c r="C480" i="3"/>
  <c r="B480" i="3"/>
  <c r="D479" i="3"/>
  <c r="C479" i="3"/>
  <c r="B479" i="3"/>
  <c r="D478" i="3"/>
  <c r="C478" i="3"/>
  <c r="B478" i="3"/>
  <c r="D477" i="3"/>
  <c r="C477" i="3"/>
  <c r="B477" i="3"/>
  <c r="D476" i="3"/>
  <c r="C476" i="3"/>
  <c r="B476" i="3"/>
  <c r="D475" i="3"/>
  <c r="C475" i="3"/>
  <c r="B475" i="3"/>
  <c r="D474" i="3"/>
  <c r="C474" i="3"/>
  <c r="B474" i="3"/>
  <c r="D473" i="3"/>
  <c r="C473" i="3"/>
  <c r="B473" i="3"/>
  <c r="D472" i="3"/>
  <c r="C472" i="3"/>
  <c r="B472" i="3"/>
  <c r="D471" i="3"/>
  <c r="C471" i="3"/>
  <c r="B471" i="3"/>
  <c r="D470" i="3"/>
  <c r="C470" i="3"/>
  <c r="B470" i="3"/>
  <c r="D469" i="3"/>
  <c r="C469" i="3"/>
  <c r="B469" i="3"/>
  <c r="D468" i="3"/>
  <c r="C468" i="3"/>
  <c r="B468" i="3"/>
  <c r="D467" i="3"/>
  <c r="C467" i="3"/>
  <c r="B467" i="3"/>
  <c r="D466" i="3"/>
  <c r="C466" i="3"/>
  <c r="B466" i="3"/>
  <c r="D465" i="3"/>
  <c r="C465" i="3"/>
  <c r="B465" i="3"/>
  <c r="D464" i="3"/>
  <c r="C464" i="3"/>
  <c r="B464" i="3"/>
  <c r="D463" i="3"/>
  <c r="C463" i="3"/>
  <c r="B463" i="3"/>
  <c r="D462" i="3"/>
  <c r="C462" i="3"/>
  <c r="B462" i="3"/>
  <c r="D461" i="3"/>
  <c r="C461" i="3"/>
  <c r="B461" i="3"/>
  <c r="D460" i="3"/>
  <c r="C460" i="3"/>
  <c r="B460" i="3"/>
  <c r="D459" i="3"/>
  <c r="C459" i="3"/>
  <c r="B459" i="3"/>
  <c r="D458" i="3"/>
  <c r="C458" i="3"/>
  <c r="B458" i="3"/>
  <c r="D457" i="3"/>
  <c r="C457" i="3"/>
  <c r="B457" i="3"/>
  <c r="D456" i="3"/>
  <c r="C456" i="3"/>
  <c r="B456" i="3"/>
  <c r="D455" i="3"/>
  <c r="C455" i="3"/>
  <c r="B455" i="3"/>
  <c r="D454" i="3"/>
  <c r="C454" i="3"/>
  <c r="B454" i="3"/>
  <c r="D453" i="3"/>
  <c r="C453" i="3"/>
  <c r="B453" i="3"/>
  <c r="D452" i="3"/>
  <c r="C452" i="3"/>
  <c r="B452" i="3"/>
  <c r="D451" i="3"/>
  <c r="C451" i="3"/>
  <c r="B451" i="3"/>
  <c r="D450" i="3"/>
  <c r="C450" i="3"/>
  <c r="B450" i="3"/>
  <c r="D449" i="3"/>
  <c r="C449" i="3"/>
  <c r="B449" i="3"/>
  <c r="D448" i="3"/>
  <c r="C448" i="3"/>
  <c r="B448" i="3"/>
  <c r="D447" i="3"/>
  <c r="C447" i="3"/>
  <c r="B447" i="3"/>
  <c r="D446" i="3"/>
  <c r="C446" i="3"/>
  <c r="B446" i="3"/>
  <c r="D445" i="3"/>
  <c r="C445" i="3"/>
  <c r="B445" i="3"/>
  <c r="D444" i="3"/>
  <c r="C444" i="3"/>
  <c r="B444" i="3"/>
  <c r="D443" i="3"/>
  <c r="C443" i="3"/>
  <c r="B443" i="3"/>
  <c r="D442" i="3"/>
  <c r="C442" i="3"/>
  <c r="B442" i="3"/>
  <c r="D441" i="3"/>
  <c r="C441" i="3"/>
  <c r="B441" i="3"/>
  <c r="D440" i="3"/>
  <c r="C440" i="3"/>
  <c r="B440" i="3"/>
  <c r="D439" i="3"/>
  <c r="C439" i="3"/>
  <c r="B439" i="3"/>
  <c r="D438" i="3"/>
  <c r="C438" i="3"/>
  <c r="B438" i="3"/>
  <c r="D437" i="3"/>
  <c r="C437" i="3"/>
  <c r="B437" i="3"/>
  <c r="D436" i="3"/>
  <c r="C436" i="3"/>
  <c r="B436" i="3"/>
  <c r="D435" i="3"/>
  <c r="C435" i="3"/>
  <c r="B435" i="3"/>
  <c r="D434" i="3"/>
  <c r="C434" i="3"/>
  <c r="B434" i="3"/>
  <c r="D433" i="3"/>
  <c r="C433" i="3"/>
  <c r="B433" i="3"/>
  <c r="D432" i="3"/>
  <c r="C432" i="3"/>
  <c r="B432" i="3"/>
  <c r="D431" i="3"/>
  <c r="C431" i="3"/>
  <c r="B431" i="3"/>
  <c r="D430" i="3"/>
  <c r="C430" i="3"/>
  <c r="B430" i="3"/>
  <c r="D429" i="3"/>
  <c r="C429" i="3"/>
  <c r="B429" i="3"/>
  <c r="D428" i="3"/>
  <c r="C428" i="3"/>
  <c r="B428" i="3"/>
  <c r="D427" i="3"/>
  <c r="C427" i="3"/>
  <c r="B427" i="3"/>
  <c r="D426" i="3"/>
  <c r="C426" i="3"/>
  <c r="B426" i="3"/>
  <c r="D425" i="3"/>
  <c r="C425" i="3"/>
  <c r="B425" i="3"/>
  <c r="D424" i="3"/>
  <c r="C424" i="3"/>
  <c r="B424" i="3"/>
  <c r="D423" i="3"/>
  <c r="C423" i="3"/>
  <c r="B423" i="3"/>
  <c r="D422" i="3"/>
  <c r="C422" i="3"/>
  <c r="B422" i="3"/>
  <c r="D421" i="3"/>
  <c r="C421" i="3"/>
  <c r="B421" i="3"/>
  <c r="D420" i="3"/>
  <c r="C420" i="3"/>
  <c r="B420" i="3"/>
  <c r="D419" i="3"/>
  <c r="C419" i="3"/>
  <c r="B419" i="3"/>
  <c r="D418" i="3"/>
  <c r="C418" i="3"/>
  <c r="B418" i="3"/>
  <c r="D417" i="3"/>
  <c r="C417" i="3"/>
  <c r="B417" i="3"/>
  <c r="D416" i="3"/>
  <c r="C416" i="3"/>
  <c r="B416" i="3"/>
  <c r="D415" i="3"/>
  <c r="C415" i="3"/>
  <c r="B415" i="3"/>
  <c r="D414" i="3"/>
  <c r="C414" i="3"/>
  <c r="B414" i="3"/>
  <c r="D413" i="3"/>
  <c r="C413" i="3"/>
  <c r="B413" i="3"/>
  <c r="D412" i="3"/>
  <c r="C412" i="3"/>
  <c r="B412" i="3"/>
  <c r="D411" i="3"/>
  <c r="C411" i="3"/>
  <c r="B411" i="3"/>
  <c r="D410" i="3"/>
  <c r="C410" i="3"/>
  <c r="B410" i="3"/>
  <c r="D409" i="3"/>
  <c r="C409" i="3"/>
  <c r="B409" i="3"/>
  <c r="D408" i="3"/>
  <c r="C408" i="3"/>
  <c r="B408" i="3"/>
  <c r="D407" i="3"/>
  <c r="C407" i="3"/>
  <c r="B407" i="3"/>
  <c r="D406" i="3"/>
  <c r="C406" i="3"/>
  <c r="B406" i="3"/>
  <c r="D405" i="3"/>
  <c r="C405" i="3"/>
  <c r="B405" i="3"/>
  <c r="D404" i="3"/>
  <c r="C404" i="3"/>
  <c r="B404" i="3"/>
  <c r="D403" i="3"/>
  <c r="C403" i="3"/>
  <c r="B403" i="3"/>
  <c r="D402" i="3"/>
  <c r="C402" i="3"/>
  <c r="B402" i="3"/>
  <c r="D401" i="3"/>
  <c r="C401" i="3"/>
  <c r="B401" i="3"/>
  <c r="D400" i="3"/>
  <c r="C400" i="3"/>
  <c r="B400" i="3"/>
  <c r="D399" i="3"/>
  <c r="C399" i="3"/>
  <c r="B399" i="3"/>
  <c r="D398" i="3"/>
  <c r="C398" i="3"/>
  <c r="B398" i="3"/>
  <c r="D397" i="3"/>
  <c r="C397" i="3"/>
  <c r="B397" i="3"/>
  <c r="D396" i="3"/>
  <c r="C396" i="3"/>
  <c r="B396" i="3"/>
  <c r="D395" i="3"/>
  <c r="C395" i="3"/>
  <c r="B395" i="3"/>
  <c r="D394" i="3"/>
  <c r="C394" i="3"/>
  <c r="B394" i="3"/>
  <c r="D393" i="3"/>
  <c r="C393" i="3"/>
  <c r="B393" i="3"/>
  <c r="D392" i="3"/>
  <c r="C392" i="3"/>
  <c r="B392" i="3"/>
  <c r="D391" i="3"/>
  <c r="C391" i="3"/>
  <c r="B391" i="3"/>
  <c r="D390" i="3"/>
  <c r="C390" i="3"/>
  <c r="B390" i="3"/>
  <c r="D389" i="3"/>
  <c r="C389" i="3"/>
  <c r="B389" i="3"/>
  <c r="D388" i="3"/>
  <c r="C388" i="3"/>
  <c r="B388" i="3"/>
  <c r="D387" i="3"/>
  <c r="C387" i="3"/>
  <c r="B387" i="3"/>
  <c r="D386" i="3"/>
  <c r="C386" i="3"/>
  <c r="B386" i="3"/>
  <c r="D385" i="3"/>
  <c r="C385" i="3"/>
  <c r="B385" i="3"/>
  <c r="D384" i="3"/>
  <c r="C384" i="3"/>
  <c r="B384" i="3"/>
  <c r="D383" i="3"/>
  <c r="C383" i="3"/>
  <c r="B383" i="3"/>
  <c r="D382" i="3"/>
  <c r="C382" i="3"/>
  <c r="B382" i="3"/>
  <c r="D381" i="3"/>
  <c r="C381" i="3"/>
  <c r="B381" i="3"/>
  <c r="D380" i="3"/>
  <c r="C380" i="3"/>
  <c r="B380" i="3"/>
  <c r="D379" i="3"/>
  <c r="C379" i="3"/>
  <c r="B379" i="3"/>
  <c r="D378" i="3"/>
  <c r="C378" i="3"/>
  <c r="B378" i="3"/>
  <c r="D377" i="3"/>
  <c r="C377" i="3"/>
  <c r="B377" i="3"/>
  <c r="D376" i="3"/>
  <c r="C376" i="3"/>
  <c r="B376" i="3"/>
  <c r="D375" i="3"/>
  <c r="C375" i="3"/>
  <c r="B375" i="3"/>
  <c r="D374" i="3"/>
  <c r="C374" i="3"/>
  <c r="B374" i="3"/>
  <c r="D373" i="3"/>
  <c r="C373" i="3"/>
  <c r="B373" i="3"/>
  <c r="D372" i="3"/>
  <c r="C372" i="3"/>
  <c r="B372" i="3"/>
  <c r="D371" i="3"/>
  <c r="C371" i="3"/>
  <c r="B371" i="3"/>
  <c r="D370" i="3"/>
  <c r="C370" i="3"/>
  <c r="B370" i="3"/>
  <c r="D369" i="3"/>
  <c r="C369" i="3"/>
  <c r="B369" i="3"/>
  <c r="D368" i="3"/>
  <c r="C368" i="3"/>
  <c r="B368" i="3"/>
  <c r="D367" i="3"/>
  <c r="C367" i="3"/>
  <c r="B367" i="3"/>
  <c r="D366" i="3"/>
  <c r="C366" i="3"/>
  <c r="B366" i="3"/>
  <c r="D365" i="3"/>
  <c r="C365" i="3"/>
  <c r="B365" i="3"/>
  <c r="D364" i="3"/>
  <c r="C364" i="3"/>
  <c r="B364" i="3"/>
  <c r="D363" i="3"/>
  <c r="C363" i="3"/>
  <c r="B363" i="3"/>
  <c r="D362" i="3"/>
  <c r="C362" i="3"/>
  <c r="B362" i="3"/>
  <c r="D361" i="3"/>
  <c r="C361" i="3"/>
  <c r="B361" i="3"/>
  <c r="D360" i="3"/>
  <c r="C360" i="3"/>
  <c r="B360" i="3"/>
  <c r="D359" i="3"/>
  <c r="C359" i="3"/>
  <c r="B359" i="3"/>
  <c r="D358" i="3"/>
  <c r="C358" i="3"/>
  <c r="B358" i="3"/>
  <c r="D357" i="3"/>
  <c r="C357" i="3"/>
  <c r="B357" i="3"/>
  <c r="D356" i="3"/>
  <c r="C356" i="3"/>
  <c r="B356" i="3"/>
  <c r="D355" i="3"/>
  <c r="C355" i="3"/>
  <c r="B355" i="3"/>
  <c r="D354" i="3"/>
  <c r="C354" i="3"/>
  <c r="B354" i="3"/>
  <c r="D353" i="3"/>
  <c r="C353" i="3"/>
  <c r="B353" i="3"/>
  <c r="D352" i="3"/>
  <c r="C352" i="3"/>
  <c r="B352" i="3"/>
  <c r="D351" i="3"/>
  <c r="C351" i="3"/>
  <c r="B351" i="3"/>
  <c r="D350" i="3"/>
  <c r="C350" i="3"/>
  <c r="B350" i="3"/>
  <c r="D349" i="3"/>
  <c r="C349" i="3"/>
  <c r="B349" i="3"/>
  <c r="D348" i="3"/>
  <c r="C348" i="3"/>
  <c r="B348" i="3"/>
  <c r="D347" i="3"/>
  <c r="C347" i="3"/>
  <c r="B347" i="3"/>
  <c r="D346" i="3"/>
  <c r="C346" i="3"/>
  <c r="B346" i="3"/>
  <c r="D345" i="3"/>
  <c r="C345" i="3"/>
  <c r="B345" i="3"/>
  <c r="D344" i="3"/>
  <c r="C344" i="3"/>
  <c r="B344" i="3"/>
  <c r="D343" i="3"/>
  <c r="C343" i="3"/>
  <c r="B343" i="3"/>
  <c r="D342" i="3"/>
  <c r="C342" i="3"/>
  <c r="B342" i="3"/>
  <c r="D341" i="3"/>
  <c r="C341" i="3"/>
  <c r="B341" i="3"/>
  <c r="D340" i="3"/>
  <c r="C340" i="3"/>
  <c r="B340" i="3"/>
  <c r="D339" i="3"/>
  <c r="C339" i="3"/>
  <c r="B339" i="3"/>
  <c r="D338" i="3"/>
  <c r="C338" i="3"/>
  <c r="B338" i="3"/>
  <c r="D337" i="3"/>
  <c r="C337" i="3"/>
  <c r="B337" i="3"/>
  <c r="D336" i="3"/>
  <c r="C336" i="3"/>
  <c r="B336" i="3"/>
  <c r="D335" i="3"/>
  <c r="C335" i="3"/>
  <c r="B335" i="3"/>
  <c r="D334" i="3"/>
  <c r="C334" i="3"/>
  <c r="B334" i="3"/>
  <c r="D333" i="3"/>
  <c r="C333" i="3"/>
  <c r="B333" i="3"/>
  <c r="D332" i="3"/>
  <c r="C332" i="3"/>
  <c r="B332" i="3"/>
  <c r="D331" i="3"/>
  <c r="C331" i="3"/>
  <c r="B331" i="3"/>
  <c r="D330" i="3"/>
  <c r="C330" i="3"/>
  <c r="B330" i="3"/>
  <c r="D329" i="3"/>
  <c r="C329" i="3"/>
  <c r="B329" i="3"/>
  <c r="D328" i="3"/>
  <c r="C328" i="3"/>
  <c r="B328" i="3"/>
  <c r="D327" i="3"/>
  <c r="C327" i="3"/>
  <c r="B327" i="3"/>
  <c r="D326" i="3"/>
  <c r="C326" i="3"/>
  <c r="B326" i="3"/>
  <c r="D325" i="3"/>
  <c r="C325" i="3"/>
  <c r="B325" i="3"/>
  <c r="D324" i="3"/>
  <c r="C324" i="3"/>
  <c r="B324" i="3"/>
  <c r="D323" i="3"/>
  <c r="C323" i="3"/>
  <c r="B323" i="3"/>
  <c r="D322" i="3"/>
  <c r="C322" i="3"/>
  <c r="B322" i="3"/>
  <c r="D321" i="3"/>
  <c r="C321" i="3"/>
  <c r="B321" i="3"/>
  <c r="D320" i="3"/>
  <c r="C320" i="3"/>
  <c r="B320" i="3"/>
  <c r="D319" i="3"/>
  <c r="C319" i="3"/>
  <c r="B319" i="3"/>
  <c r="D318" i="3"/>
  <c r="C318" i="3"/>
  <c r="B318" i="3"/>
  <c r="D317" i="3"/>
  <c r="C317" i="3"/>
  <c r="B317" i="3"/>
  <c r="D316" i="3"/>
  <c r="C316" i="3"/>
  <c r="B316" i="3"/>
  <c r="D315" i="3"/>
  <c r="C315" i="3"/>
  <c r="B315" i="3"/>
  <c r="D314" i="3"/>
  <c r="C314" i="3"/>
  <c r="B314" i="3"/>
  <c r="D313" i="3"/>
  <c r="C313" i="3"/>
  <c r="B313" i="3"/>
  <c r="D312" i="3"/>
  <c r="C312" i="3"/>
  <c r="B312" i="3"/>
  <c r="D311" i="3"/>
  <c r="C311" i="3"/>
  <c r="B311" i="3"/>
  <c r="D310" i="3"/>
  <c r="C310" i="3"/>
  <c r="B310" i="3"/>
  <c r="D309" i="3"/>
  <c r="C309" i="3"/>
  <c r="B309" i="3"/>
  <c r="D308" i="3"/>
  <c r="C308" i="3"/>
  <c r="B308" i="3"/>
  <c r="D307" i="3"/>
  <c r="C307" i="3"/>
  <c r="B307" i="3"/>
  <c r="D306" i="3"/>
  <c r="C306" i="3"/>
  <c r="B306" i="3"/>
  <c r="D305" i="3"/>
  <c r="C305" i="3"/>
  <c r="B305" i="3"/>
  <c r="D304" i="3"/>
  <c r="C304" i="3"/>
  <c r="B304" i="3"/>
  <c r="D303" i="3"/>
  <c r="C303" i="3"/>
  <c r="B303" i="3"/>
  <c r="D302" i="3"/>
  <c r="C302" i="3"/>
  <c r="B302" i="3"/>
  <c r="D301" i="3"/>
  <c r="C301" i="3"/>
  <c r="B301" i="3"/>
  <c r="D300" i="3"/>
  <c r="C300" i="3"/>
  <c r="B300" i="3"/>
  <c r="D299" i="3"/>
  <c r="C299" i="3"/>
  <c r="B299" i="3"/>
  <c r="D298" i="3"/>
  <c r="C298" i="3"/>
  <c r="B298" i="3"/>
  <c r="D297" i="3"/>
  <c r="C297" i="3"/>
  <c r="B297" i="3"/>
  <c r="D296" i="3"/>
  <c r="C296" i="3"/>
  <c r="B296" i="3"/>
  <c r="D295" i="3"/>
  <c r="C295" i="3"/>
  <c r="B295" i="3"/>
  <c r="D294" i="3"/>
  <c r="C294" i="3"/>
  <c r="B294" i="3"/>
  <c r="D293" i="3"/>
  <c r="C293" i="3"/>
  <c r="B293" i="3"/>
  <c r="D292" i="3"/>
  <c r="C292" i="3"/>
  <c r="B292" i="3"/>
  <c r="D291" i="3"/>
  <c r="C291" i="3"/>
  <c r="B291" i="3"/>
  <c r="D290" i="3"/>
  <c r="C290" i="3"/>
  <c r="B290" i="3"/>
  <c r="D289" i="3"/>
  <c r="C289" i="3"/>
  <c r="B289" i="3"/>
  <c r="D288" i="3"/>
  <c r="C288" i="3"/>
  <c r="B288" i="3"/>
  <c r="D287" i="3"/>
  <c r="C287" i="3"/>
  <c r="B287" i="3"/>
  <c r="D286" i="3"/>
  <c r="C286" i="3"/>
  <c r="B286" i="3"/>
  <c r="D285" i="3"/>
  <c r="C285" i="3"/>
  <c r="B285" i="3"/>
  <c r="D284" i="3"/>
  <c r="C284" i="3"/>
  <c r="B284" i="3"/>
  <c r="D283" i="3"/>
  <c r="C283" i="3"/>
  <c r="B283" i="3"/>
  <c r="D282" i="3"/>
  <c r="C282" i="3"/>
  <c r="B282" i="3"/>
  <c r="D281" i="3"/>
  <c r="C281" i="3"/>
  <c r="B281" i="3"/>
  <c r="D280" i="3"/>
  <c r="C280" i="3"/>
  <c r="B280" i="3"/>
  <c r="D279" i="3"/>
  <c r="C279" i="3"/>
  <c r="B279" i="3"/>
  <c r="D278" i="3"/>
  <c r="C278" i="3"/>
  <c r="B278" i="3"/>
  <c r="D277" i="3"/>
  <c r="C277" i="3"/>
  <c r="B277" i="3"/>
  <c r="D276" i="3"/>
  <c r="C276" i="3"/>
  <c r="B276" i="3"/>
  <c r="D275" i="3"/>
  <c r="C275" i="3"/>
  <c r="B275" i="3"/>
  <c r="D274" i="3"/>
  <c r="C274" i="3"/>
  <c r="B274" i="3"/>
  <c r="D273" i="3"/>
  <c r="C273" i="3"/>
  <c r="B273" i="3"/>
  <c r="D272" i="3"/>
  <c r="C272" i="3"/>
  <c r="B272" i="3"/>
  <c r="D271" i="3"/>
  <c r="C271" i="3"/>
  <c r="B271" i="3"/>
  <c r="D270" i="3"/>
  <c r="C270" i="3"/>
  <c r="B270" i="3"/>
  <c r="D269" i="3"/>
  <c r="C269" i="3"/>
  <c r="B269" i="3"/>
  <c r="D268" i="3"/>
  <c r="C268" i="3"/>
  <c r="B268" i="3"/>
  <c r="D267" i="3"/>
  <c r="C267" i="3"/>
  <c r="B267" i="3"/>
  <c r="D266" i="3"/>
  <c r="C266" i="3"/>
  <c r="B266" i="3"/>
  <c r="D265" i="3"/>
  <c r="C265" i="3"/>
  <c r="B265" i="3"/>
  <c r="D264" i="3"/>
  <c r="C264" i="3"/>
  <c r="B264" i="3"/>
  <c r="D263" i="3"/>
  <c r="C263" i="3"/>
  <c r="B263" i="3"/>
  <c r="D262" i="3"/>
  <c r="C262" i="3"/>
  <c r="B262" i="3"/>
  <c r="D261" i="3"/>
  <c r="C261" i="3"/>
  <c r="B261" i="3"/>
  <c r="D260" i="3"/>
  <c r="C260" i="3"/>
  <c r="B260" i="3"/>
  <c r="D259" i="3"/>
  <c r="C259" i="3"/>
  <c r="B259" i="3"/>
  <c r="D258" i="3"/>
  <c r="C258" i="3"/>
  <c r="B258" i="3"/>
  <c r="D257" i="3"/>
  <c r="C257" i="3"/>
  <c r="B257" i="3"/>
  <c r="D256" i="3"/>
  <c r="C256" i="3"/>
  <c r="B256" i="3"/>
  <c r="D255" i="3"/>
  <c r="C255" i="3"/>
  <c r="B255" i="3"/>
  <c r="D254" i="3"/>
  <c r="C254" i="3"/>
  <c r="B254" i="3"/>
  <c r="D253" i="3"/>
  <c r="C253" i="3"/>
  <c r="B253" i="3"/>
  <c r="D252" i="3"/>
  <c r="C252" i="3"/>
  <c r="B252" i="3"/>
  <c r="D251" i="3"/>
  <c r="C251" i="3"/>
  <c r="B251" i="3"/>
  <c r="D250" i="3"/>
  <c r="C250" i="3"/>
  <c r="B250" i="3"/>
  <c r="D249" i="3"/>
  <c r="C249" i="3"/>
  <c r="B249" i="3"/>
  <c r="D248" i="3"/>
  <c r="C248" i="3"/>
  <c r="B248" i="3"/>
  <c r="D247" i="3"/>
  <c r="C247" i="3"/>
  <c r="B247" i="3"/>
  <c r="D246" i="3"/>
  <c r="C246" i="3"/>
  <c r="B246" i="3"/>
  <c r="D245" i="3"/>
  <c r="C245" i="3"/>
  <c r="B245" i="3"/>
  <c r="D244" i="3"/>
  <c r="C244" i="3"/>
  <c r="B244" i="3"/>
  <c r="D243" i="3"/>
  <c r="C243" i="3"/>
  <c r="B243" i="3"/>
  <c r="D242" i="3"/>
  <c r="C242" i="3"/>
  <c r="B242" i="3"/>
  <c r="D241" i="3"/>
  <c r="C241" i="3"/>
  <c r="B241" i="3"/>
  <c r="D240" i="3"/>
  <c r="C240" i="3"/>
  <c r="B240" i="3"/>
  <c r="D239" i="3"/>
  <c r="C239" i="3"/>
  <c r="B239" i="3"/>
  <c r="D238" i="3"/>
  <c r="C238" i="3"/>
  <c r="B238" i="3"/>
  <c r="D237" i="3"/>
  <c r="C237" i="3"/>
  <c r="B237" i="3"/>
  <c r="D236" i="3"/>
  <c r="C236" i="3"/>
  <c r="B236" i="3"/>
  <c r="D235" i="3"/>
  <c r="C235" i="3"/>
  <c r="B235" i="3"/>
  <c r="D234" i="3"/>
  <c r="C234" i="3"/>
  <c r="B234" i="3"/>
  <c r="D233" i="3"/>
  <c r="C233" i="3"/>
  <c r="B233" i="3"/>
  <c r="D232" i="3"/>
  <c r="C232" i="3"/>
  <c r="B232" i="3"/>
  <c r="D231" i="3"/>
  <c r="C231" i="3"/>
  <c r="B231" i="3"/>
  <c r="D230" i="3"/>
  <c r="C230" i="3"/>
  <c r="B230" i="3"/>
  <c r="D229" i="3"/>
  <c r="C229" i="3"/>
  <c r="B229" i="3"/>
  <c r="D228" i="3"/>
  <c r="C228" i="3"/>
  <c r="B228" i="3"/>
  <c r="D227" i="3"/>
  <c r="C227" i="3"/>
  <c r="B227" i="3"/>
  <c r="D226" i="3"/>
  <c r="C226" i="3"/>
  <c r="B226" i="3"/>
  <c r="D225" i="3"/>
  <c r="C225" i="3"/>
  <c r="B225" i="3"/>
  <c r="D224" i="3"/>
  <c r="C224" i="3"/>
  <c r="B224" i="3"/>
  <c r="D223" i="3"/>
  <c r="C223" i="3"/>
  <c r="B223" i="3"/>
  <c r="D222" i="3"/>
  <c r="C222" i="3"/>
  <c r="B222" i="3"/>
  <c r="D221" i="3"/>
  <c r="C221" i="3"/>
  <c r="B221" i="3"/>
  <c r="D220" i="3"/>
  <c r="C220" i="3"/>
  <c r="B220" i="3"/>
  <c r="D219" i="3"/>
  <c r="C219" i="3"/>
  <c r="B219" i="3"/>
  <c r="D218" i="3"/>
  <c r="C218" i="3"/>
  <c r="B218" i="3"/>
  <c r="D217" i="3"/>
  <c r="C217" i="3"/>
  <c r="B217" i="3"/>
  <c r="D216" i="3"/>
  <c r="C216" i="3"/>
  <c r="B216" i="3"/>
  <c r="D215" i="3"/>
  <c r="C215" i="3"/>
  <c r="B215" i="3"/>
  <c r="D214" i="3"/>
  <c r="C214" i="3"/>
  <c r="B214" i="3"/>
  <c r="D213" i="3"/>
  <c r="C213" i="3"/>
  <c r="B213" i="3"/>
  <c r="D212" i="3"/>
  <c r="C212" i="3"/>
  <c r="B212" i="3"/>
  <c r="D211" i="3"/>
  <c r="C211" i="3"/>
  <c r="B211" i="3"/>
  <c r="D210" i="3"/>
  <c r="C210" i="3"/>
  <c r="B210" i="3"/>
  <c r="D209" i="3"/>
  <c r="C209" i="3"/>
  <c r="B209" i="3"/>
  <c r="D208" i="3"/>
  <c r="C208" i="3"/>
  <c r="B208" i="3"/>
  <c r="D207" i="3"/>
  <c r="C207" i="3"/>
  <c r="B207" i="3"/>
  <c r="D206" i="3"/>
  <c r="C206" i="3"/>
  <c r="B206" i="3"/>
  <c r="D205" i="3"/>
  <c r="C205" i="3"/>
  <c r="B205" i="3"/>
  <c r="D204" i="3"/>
  <c r="C204" i="3"/>
  <c r="B204" i="3"/>
  <c r="D203" i="3"/>
  <c r="C203" i="3"/>
  <c r="B203" i="3"/>
  <c r="D202" i="3"/>
  <c r="C202" i="3"/>
  <c r="B202" i="3"/>
  <c r="D201" i="3"/>
  <c r="C201" i="3"/>
  <c r="B201" i="3"/>
  <c r="D200" i="3"/>
  <c r="C200" i="3"/>
  <c r="B200" i="3"/>
  <c r="D199" i="3"/>
  <c r="C199" i="3"/>
  <c r="B199" i="3"/>
  <c r="D198" i="3"/>
  <c r="C198" i="3"/>
  <c r="B198" i="3"/>
  <c r="D197" i="3"/>
  <c r="C197" i="3"/>
  <c r="B197" i="3"/>
  <c r="D196" i="3"/>
  <c r="C196" i="3"/>
  <c r="B196" i="3"/>
  <c r="D195" i="3"/>
  <c r="C195" i="3"/>
  <c r="B195" i="3"/>
  <c r="D194" i="3"/>
  <c r="C194" i="3"/>
  <c r="B194" i="3"/>
  <c r="D193" i="3"/>
  <c r="C193" i="3"/>
  <c r="B193" i="3"/>
  <c r="D192" i="3"/>
  <c r="C192" i="3"/>
  <c r="B192" i="3"/>
  <c r="D191" i="3"/>
  <c r="C191" i="3"/>
  <c r="B191" i="3"/>
  <c r="D190" i="3"/>
  <c r="C190" i="3"/>
  <c r="B190" i="3"/>
  <c r="D189" i="3"/>
  <c r="C189" i="3"/>
  <c r="B189" i="3"/>
  <c r="D188" i="3"/>
  <c r="C188" i="3"/>
  <c r="B188" i="3"/>
  <c r="D187" i="3"/>
  <c r="C187" i="3"/>
  <c r="B187" i="3"/>
  <c r="D186" i="3"/>
  <c r="C186" i="3"/>
  <c r="B186" i="3"/>
  <c r="D185" i="3"/>
  <c r="C185" i="3"/>
  <c r="B185" i="3"/>
  <c r="D184" i="3"/>
  <c r="C184" i="3"/>
  <c r="B184" i="3"/>
  <c r="D183" i="3"/>
  <c r="C183" i="3"/>
  <c r="B183" i="3"/>
  <c r="D182" i="3"/>
  <c r="C182" i="3"/>
  <c r="B182" i="3"/>
  <c r="D181" i="3"/>
  <c r="C181" i="3"/>
  <c r="B181" i="3"/>
  <c r="D180" i="3"/>
  <c r="C180" i="3"/>
  <c r="B180" i="3"/>
  <c r="D179" i="3"/>
  <c r="C179" i="3"/>
  <c r="B179" i="3"/>
  <c r="D178" i="3"/>
  <c r="C178" i="3"/>
  <c r="B178" i="3"/>
  <c r="D177" i="3"/>
  <c r="C177" i="3"/>
  <c r="B177" i="3"/>
  <c r="D176" i="3"/>
  <c r="C176" i="3"/>
  <c r="B176" i="3"/>
  <c r="D175" i="3"/>
  <c r="C175" i="3"/>
  <c r="B175" i="3"/>
  <c r="D174" i="3"/>
  <c r="C174" i="3"/>
  <c r="B174" i="3"/>
  <c r="D173" i="3"/>
  <c r="C173" i="3"/>
  <c r="B173" i="3"/>
  <c r="D172" i="3"/>
  <c r="C172" i="3"/>
  <c r="B172" i="3"/>
  <c r="D171" i="3"/>
  <c r="C171" i="3"/>
  <c r="B171" i="3"/>
  <c r="D170" i="3"/>
  <c r="C170" i="3"/>
  <c r="B170" i="3"/>
  <c r="D169" i="3"/>
  <c r="C169" i="3"/>
  <c r="B169" i="3"/>
  <c r="D168" i="3"/>
  <c r="C168" i="3"/>
  <c r="B168" i="3"/>
  <c r="D167" i="3"/>
  <c r="C167" i="3"/>
  <c r="B167" i="3"/>
  <c r="D166" i="3"/>
  <c r="C166" i="3"/>
  <c r="B166" i="3"/>
  <c r="D165" i="3"/>
  <c r="C165" i="3"/>
  <c r="B165" i="3"/>
  <c r="D164" i="3"/>
  <c r="C164" i="3"/>
  <c r="B164" i="3"/>
  <c r="D163" i="3"/>
  <c r="C163" i="3"/>
  <c r="B163" i="3"/>
  <c r="D162" i="3"/>
  <c r="C162" i="3"/>
  <c r="B162" i="3"/>
  <c r="D161" i="3"/>
  <c r="C161" i="3"/>
  <c r="B161" i="3"/>
  <c r="D160" i="3"/>
  <c r="C160" i="3"/>
  <c r="B160" i="3"/>
  <c r="D159" i="3"/>
  <c r="C159" i="3"/>
  <c r="B159" i="3"/>
  <c r="D158" i="3"/>
  <c r="C158" i="3"/>
  <c r="B158" i="3"/>
  <c r="D157" i="3"/>
  <c r="C157" i="3"/>
  <c r="B157" i="3"/>
  <c r="D156" i="3"/>
  <c r="C156" i="3"/>
  <c r="B156" i="3"/>
  <c r="D155" i="3"/>
  <c r="C155" i="3"/>
  <c r="B155" i="3"/>
  <c r="D154" i="3"/>
  <c r="C154" i="3"/>
  <c r="B154" i="3"/>
  <c r="D153" i="3"/>
  <c r="C153" i="3"/>
  <c r="B153" i="3"/>
  <c r="D152" i="3"/>
  <c r="C152" i="3"/>
  <c r="B152" i="3"/>
  <c r="D151" i="3"/>
  <c r="C151" i="3"/>
  <c r="B151" i="3"/>
  <c r="D150" i="3"/>
  <c r="C150" i="3"/>
  <c r="B150" i="3"/>
  <c r="D149" i="3"/>
  <c r="C149" i="3"/>
  <c r="B149" i="3"/>
  <c r="D148" i="3"/>
  <c r="C148" i="3"/>
  <c r="B148" i="3"/>
  <c r="D147" i="3"/>
  <c r="C147" i="3"/>
  <c r="B147" i="3"/>
  <c r="D146" i="3"/>
  <c r="C146" i="3"/>
  <c r="B146" i="3"/>
  <c r="D145" i="3"/>
  <c r="C145" i="3"/>
  <c r="B145" i="3"/>
  <c r="D144" i="3"/>
  <c r="C144" i="3"/>
  <c r="B144" i="3"/>
  <c r="D143" i="3"/>
  <c r="C143" i="3"/>
  <c r="B143" i="3"/>
  <c r="D142" i="3"/>
  <c r="C142" i="3"/>
  <c r="B142" i="3"/>
  <c r="D141" i="3"/>
  <c r="C141" i="3"/>
  <c r="B141" i="3"/>
  <c r="D140" i="3"/>
  <c r="C140" i="3"/>
  <c r="B140" i="3"/>
  <c r="D139" i="3"/>
  <c r="C139" i="3"/>
  <c r="B139" i="3"/>
  <c r="D138" i="3"/>
  <c r="C138" i="3"/>
  <c r="B138" i="3"/>
  <c r="D137" i="3"/>
  <c r="C137" i="3"/>
  <c r="B137" i="3"/>
  <c r="D136" i="3"/>
  <c r="C136" i="3"/>
  <c r="B136" i="3"/>
  <c r="D135" i="3"/>
  <c r="C135" i="3"/>
  <c r="B135" i="3"/>
  <c r="D134" i="3"/>
  <c r="C134" i="3"/>
  <c r="B134" i="3"/>
  <c r="D133" i="3"/>
  <c r="C133" i="3"/>
  <c r="B133" i="3"/>
  <c r="D132" i="3"/>
  <c r="C132" i="3"/>
  <c r="B132" i="3"/>
  <c r="D131" i="3"/>
  <c r="C131" i="3"/>
  <c r="B131" i="3"/>
  <c r="D130" i="3"/>
  <c r="C130" i="3"/>
  <c r="B130" i="3"/>
  <c r="D129" i="3"/>
  <c r="C129" i="3"/>
  <c r="B129" i="3"/>
  <c r="D128" i="3"/>
  <c r="C128" i="3"/>
  <c r="B128" i="3"/>
  <c r="D127" i="3"/>
  <c r="C127" i="3"/>
  <c r="B127" i="3"/>
  <c r="D126" i="3"/>
  <c r="C126" i="3"/>
  <c r="B126" i="3"/>
  <c r="D125" i="3"/>
  <c r="C125" i="3"/>
  <c r="B125" i="3"/>
  <c r="D124" i="3"/>
  <c r="C124" i="3"/>
  <c r="B124" i="3"/>
  <c r="D123" i="3"/>
  <c r="C123" i="3"/>
  <c r="B123" i="3"/>
  <c r="D122" i="3"/>
  <c r="C122" i="3"/>
  <c r="B122" i="3"/>
  <c r="D121" i="3"/>
  <c r="C121" i="3"/>
  <c r="B121" i="3"/>
  <c r="D120" i="3"/>
  <c r="C120" i="3"/>
  <c r="B120" i="3"/>
  <c r="D119" i="3"/>
  <c r="C119" i="3"/>
  <c r="B119" i="3"/>
  <c r="D118" i="3"/>
  <c r="C118" i="3"/>
  <c r="B118" i="3"/>
  <c r="D117" i="3"/>
  <c r="C117" i="3"/>
  <c r="B117" i="3"/>
  <c r="D116" i="3"/>
  <c r="C116" i="3"/>
  <c r="B116" i="3"/>
  <c r="D115" i="3"/>
  <c r="C115" i="3"/>
  <c r="B115" i="3"/>
  <c r="D114" i="3"/>
  <c r="C114" i="3"/>
  <c r="B114" i="3"/>
  <c r="D113" i="3"/>
  <c r="C113" i="3"/>
  <c r="B113" i="3"/>
  <c r="D112" i="3"/>
  <c r="C112" i="3"/>
  <c r="B112" i="3"/>
  <c r="D111" i="3"/>
  <c r="C111" i="3"/>
  <c r="B111" i="3"/>
  <c r="D110" i="3"/>
  <c r="C110" i="3"/>
  <c r="B110" i="3"/>
  <c r="D109" i="3"/>
  <c r="C109" i="3"/>
  <c r="B109" i="3"/>
  <c r="D108" i="3"/>
  <c r="C108" i="3"/>
  <c r="B108" i="3"/>
  <c r="D107" i="3"/>
  <c r="C107" i="3"/>
  <c r="B107" i="3"/>
  <c r="D106" i="3"/>
  <c r="C106" i="3"/>
  <c r="B106" i="3"/>
  <c r="D105" i="3"/>
  <c r="C105" i="3"/>
  <c r="B105" i="3"/>
  <c r="D104" i="3"/>
  <c r="C104" i="3"/>
  <c r="B104" i="3"/>
  <c r="D103" i="3"/>
  <c r="C103" i="3"/>
  <c r="B103" i="3"/>
  <c r="D102" i="3"/>
  <c r="C102" i="3"/>
  <c r="B102" i="3"/>
  <c r="D101" i="3"/>
  <c r="C101" i="3"/>
  <c r="B101" i="3"/>
  <c r="D100" i="3"/>
  <c r="C100" i="3"/>
  <c r="B100" i="3"/>
  <c r="D99" i="3"/>
  <c r="C99" i="3"/>
  <c r="B99" i="3"/>
  <c r="D98" i="3"/>
  <c r="C98" i="3"/>
  <c r="B98" i="3"/>
  <c r="D97" i="3"/>
  <c r="C97" i="3"/>
  <c r="B97" i="3"/>
  <c r="D96" i="3"/>
  <c r="C96" i="3"/>
  <c r="B96" i="3"/>
  <c r="D95" i="3"/>
  <c r="C95" i="3"/>
  <c r="B95" i="3"/>
  <c r="D94" i="3"/>
  <c r="C94" i="3"/>
  <c r="B94" i="3"/>
  <c r="D93" i="3"/>
  <c r="C93" i="3"/>
  <c r="B93" i="3"/>
  <c r="D92" i="3"/>
  <c r="C92" i="3"/>
  <c r="B92" i="3"/>
  <c r="D91" i="3"/>
  <c r="C91" i="3"/>
  <c r="B91" i="3"/>
  <c r="D90" i="3"/>
  <c r="C90" i="3"/>
  <c r="B90" i="3"/>
  <c r="D89" i="3"/>
  <c r="C89" i="3"/>
  <c r="B89" i="3"/>
  <c r="D88" i="3"/>
  <c r="C88" i="3"/>
  <c r="B88" i="3"/>
  <c r="D87" i="3"/>
  <c r="C87" i="3"/>
  <c r="B87" i="3"/>
  <c r="D86" i="3"/>
  <c r="C86" i="3"/>
  <c r="B86" i="3"/>
  <c r="D85" i="3"/>
  <c r="C85" i="3"/>
  <c r="B85" i="3"/>
  <c r="D84" i="3"/>
  <c r="C84" i="3"/>
  <c r="B84" i="3"/>
  <c r="D83" i="3"/>
  <c r="C83" i="3"/>
  <c r="B83" i="3"/>
  <c r="D82" i="3"/>
  <c r="C82" i="3"/>
  <c r="B82" i="3"/>
  <c r="D81" i="3"/>
  <c r="C81" i="3"/>
  <c r="B81" i="3"/>
  <c r="D80" i="3"/>
  <c r="C80" i="3"/>
  <c r="B80" i="3"/>
  <c r="D79" i="3"/>
  <c r="C79" i="3"/>
  <c r="B79" i="3"/>
  <c r="D78" i="3"/>
  <c r="C78" i="3"/>
  <c r="B78" i="3"/>
  <c r="D77" i="3"/>
  <c r="C77" i="3"/>
  <c r="B77" i="3"/>
  <c r="D76" i="3"/>
  <c r="C76" i="3"/>
  <c r="B76" i="3"/>
  <c r="D75" i="3"/>
  <c r="C75" i="3"/>
  <c r="B75" i="3"/>
  <c r="D74" i="3"/>
  <c r="C74" i="3"/>
  <c r="B74" i="3"/>
  <c r="D73" i="3"/>
  <c r="C73" i="3"/>
  <c r="B73" i="3"/>
  <c r="D72" i="3"/>
  <c r="C72" i="3"/>
  <c r="B72" i="3"/>
  <c r="D71" i="3"/>
  <c r="C71" i="3"/>
  <c r="B71" i="3"/>
  <c r="D70" i="3"/>
  <c r="C70" i="3"/>
  <c r="B70" i="3"/>
  <c r="D69" i="3"/>
  <c r="C69" i="3"/>
  <c r="B69" i="3"/>
  <c r="D68" i="3"/>
  <c r="C68" i="3"/>
  <c r="B68" i="3"/>
  <c r="D67" i="3"/>
  <c r="C67" i="3"/>
  <c r="B67" i="3"/>
  <c r="D66" i="3"/>
  <c r="C66" i="3"/>
  <c r="B66" i="3"/>
  <c r="D65" i="3"/>
  <c r="C65" i="3"/>
  <c r="B65" i="3"/>
  <c r="D64" i="3"/>
  <c r="C64" i="3"/>
  <c r="B64" i="3"/>
  <c r="D63" i="3"/>
  <c r="C63" i="3"/>
  <c r="B63" i="3"/>
  <c r="D62" i="3"/>
  <c r="C62" i="3"/>
  <c r="B62" i="3"/>
  <c r="D61" i="3"/>
  <c r="C61" i="3"/>
  <c r="B61" i="3"/>
  <c r="D60" i="3"/>
  <c r="C60" i="3"/>
  <c r="B60" i="3"/>
  <c r="D59" i="3"/>
  <c r="C59" i="3"/>
  <c r="B59" i="3"/>
  <c r="D58" i="3"/>
  <c r="C58" i="3"/>
  <c r="B58" i="3"/>
  <c r="D57" i="3"/>
  <c r="C57" i="3"/>
  <c r="B57" i="3"/>
  <c r="D56" i="3"/>
  <c r="C56" i="3"/>
  <c r="B56" i="3"/>
  <c r="D55" i="3"/>
  <c r="C55" i="3"/>
  <c r="B55" i="3"/>
  <c r="D54" i="3"/>
  <c r="C54" i="3"/>
  <c r="B54" i="3"/>
  <c r="D53" i="3"/>
  <c r="C53" i="3"/>
  <c r="B53" i="3"/>
  <c r="D52" i="3"/>
  <c r="C52" i="3"/>
  <c r="B52" i="3"/>
  <c r="D51" i="3"/>
  <c r="C51" i="3"/>
  <c r="B51" i="3"/>
  <c r="D50" i="3"/>
  <c r="C50" i="3"/>
  <c r="B50" i="3"/>
  <c r="D49" i="3"/>
  <c r="C49" i="3"/>
  <c r="B49" i="3"/>
  <c r="D48" i="3"/>
  <c r="C48" i="3"/>
  <c r="B48" i="3"/>
  <c r="D47" i="3"/>
  <c r="C47" i="3"/>
  <c r="B47" i="3"/>
  <c r="D46" i="3"/>
  <c r="C46" i="3"/>
  <c r="B46" i="3"/>
  <c r="D45" i="3"/>
  <c r="C45" i="3"/>
  <c r="B45" i="3"/>
  <c r="D44" i="3"/>
  <c r="C44" i="3"/>
  <c r="B44" i="3"/>
  <c r="D43" i="3"/>
  <c r="C43" i="3"/>
  <c r="B43" i="3"/>
  <c r="D42" i="3"/>
  <c r="C42" i="3"/>
  <c r="B42" i="3"/>
  <c r="D41" i="3"/>
  <c r="C41" i="3"/>
  <c r="B41" i="3"/>
  <c r="D40" i="3"/>
  <c r="C40" i="3"/>
  <c r="B40" i="3"/>
  <c r="D39" i="3"/>
  <c r="C39" i="3"/>
  <c r="B39" i="3"/>
  <c r="D38" i="3"/>
  <c r="C38" i="3"/>
  <c r="B38" i="3"/>
  <c r="D37" i="3"/>
  <c r="C37" i="3"/>
  <c r="B37" i="3"/>
  <c r="D36" i="3"/>
  <c r="C36" i="3"/>
  <c r="B36" i="3"/>
  <c r="D35" i="3"/>
  <c r="C35" i="3"/>
  <c r="B35" i="3"/>
  <c r="D34" i="3"/>
  <c r="C34" i="3"/>
  <c r="B34" i="3"/>
  <c r="D33" i="3"/>
  <c r="C33" i="3"/>
  <c r="B33" i="3"/>
  <c r="D32" i="3"/>
  <c r="C32" i="3"/>
  <c r="B32" i="3"/>
  <c r="D31" i="3"/>
  <c r="C31" i="3"/>
  <c r="B31" i="3"/>
  <c r="D30" i="3"/>
  <c r="C30" i="3"/>
  <c r="B30" i="3"/>
  <c r="D29" i="3"/>
  <c r="C29" i="3"/>
  <c r="B29" i="3"/>
  <c r="D28" i="3"/>
  <c r="C28" i="3"/>
  <c r="B28" i="3"/>
  <c r="D27" i="3"/>
  <c r="C27" i="3"/>
  <c r="B27" i="3"/>
  <c r="D26" i="3"/>
  <c r="C26" i="3"/>
  <c r="B26" i="3"/>
  <c r="D25" i="3"/>
  <c r="C25" i="3"/>
  <c r="B25" i="3"/>
  <c r="D24" i="3"/>
  <c r="C24" i="3"/>
  <c r="B24" i="3"/>
  <c r="D23" i="3"/>
  <c r="C23" i="3"/>
  <c r="B23" i="3"/>
  <c r="D22" i="3"/>
  <c r="C22" i="3"/>
  <c r="B22" i="3"/>
  <c r="D21" i="3"/>
  <c r="C21" i="3"/>
  <c r="B21" i="3"/>
  <c r="D20" i="3"/>
  <c r="C20" i="3"/>
  <c r="B20" i="3"/>
  <c r="D19" i="3"/>
  <c r="C19" i="3"/>
  <c r="B19" i="3"/>
  <c r="D18" i="3"/>
  <c r="C18" i="3"/>
  <c r="B18" i="3"/>
  <c r="D17" i="3"/>
  <c r="C17" i="3"/>
  <c r="B17" i="3"/>
  <c r="D16" i="3"/>
  <c r="C16" i="3"/>
  <c r="B16" i="3"/>
  <c r="D15" i="3"/>
  <c r="C15" i="3"/>
  <c r="B15" i="3"/>
  <c r="D14" i="3"/>
  <c r="C14" i="3"/>
  <c r="B14" i="3"/>
  <c r="D13" i="3"/>
  <c r="C13" i="3"/>
  <c r="B13" i="3"/>
  <c r="D12" i="3"/>
  <c r="C12" i="3"/>
  <c r="B12" i="3"/>
  <c r="D11" i="3"/>
  <c r="C11" i="3"/>
  <c r="B11" i="3"/>
  <c r="D10" i="3"/>
  <c r="C10" i="3"/>
  <c r="B10" i="3"/>
  <c r="D9" i="3"/>
  <c r="C9" i="3"/>
  <c r="B9" i="3"/>
  <c r="D8" i="3"/>
  <c r="C8" i="3"/>
  <c r="B8" i="3"/>
  <c r="D7" i="3"/>
  <c r="C7" i="3"/>
  <c r="B7" i="3"/>
  <c r="D6" i="3"/>
  <c r="C6" i="3"/>
  <c r="B6" i="3"/>
  <c r="D5" i="3"/>
  <c r="C5" i="3"/>
  <c r="B5" i="3"/>
  <c r="D4" i="3"/>
  <c r="C4" i="3"/>
  <c r="B4" i="3"/>
  <c r="D3" i="3"/>
  <c r="C3" i="3"/>
  <c r="B3" i="3"/>
  <c r="A988" i="2"/>
  <c r="A987" i="2"/>
  <c r="A986" i="2"/>
  <c r="A985" i="2"/>
  <c r="A984" i="2"/>
  <c r="A983" i="2"/>
  <c r="A982" i="2"/>
  <c r="A981" i="2"/>
  <c r="A980" i="2"/>
  <c r="A979" i="2"/>
  <c r="A978" i="2"/>
  <c r="A977" i="2"/>
  <c r="A976" i="2"/>
  <c r="A975" i="2"/>
  <c r="A974" i="2"/>
  <c r="A973" i="2"/>
  <c r="A972" i="2"/>
  <c r="A971" i="2"/>
  <c r="A970" i="2"/>
  <c r="A969" i="2"/>
  <c r="A968" i="2"/>
  <c r="A967" i="2"/>
  <c r="A966" i="2"/>
  <c r="A965" i="2"/>
  <c r="A964" i="2"/>
  <c r="A963" i="2"/>
  <c r="A962" i="2"/>
  <c r="A961" i="2"/>
  <c r="A960" i="2"/>
  <c r="A959" i="2"/>
  <c r="A958" i="2"/>
  <c r="A957" i="2"/>
  <c r="A956" i="2"/>
  <c r="A955" i="2"/>
  <c r="A954" i="2"/>
  <c r="A953" i="2"/>
  <c r="A952" i="2"/>
  <c r="A951" i="2"/>
  <c r="A950" i="2"/>
  <c r="A949" i="2"/>
  <c r="A948" i="2"/>
  <c r="A947" i="2"/>
  <c r="A946" i="2"/>
  <c r="A945" i="2"/>
  <c r="A944" i="2"/>
  <c r="A943" i="2"/>
  <c r="A942" i="2"/>
  <c r="A941" i="2"/>
  <c r="A940" i="2"/>
  <c r="A939" i="2"/>
  <c r="A938" i="2"/>
  <c r="A937" i="2"/>
  <c r="A936" i="2"/>
  <c r="A935" i="2"/>
  <c r="A934" i="2"/>
  <c r="A933" i="2"/>
  <c r="A932" i="2"/>
  <c r="A931" i="2"/>
  <c r="A930" i="2"/>
  <c r="A929" i="2"/>
  <c r="A928" i="2"/>
  <c r="A927" i="2"/>
  <c r="A926" i="2"/>
  <c r="A925" i="2"/>
  <c r="A924" i="2"/>
  <c r="A923" i="2"/>
  <c r="A922" i="2"/>
  <c r="A921" i="2"/>
  <c r="A920" i="2"/>
  <c r="A919" i="2"/>
  <c r="A918" i="2"/>
  <c r="A917" i="2"/>
  <c r="A916" i="2"/>
  <c r="A915" i="2"/>
  <c r="A914" i="2"/>
  <c r="A913" i="2"/>
  <c r="A912" i="2"/>
  <c r="A911" i="2"/>
  <c r="A910" i="2"/>
  <c r="A909" i="2"/>
  <c r="A908" i="2"/>
  <c r="A907" i="2"/>
  <c r="A906" i="2"/>
  <c r="A905" i="2"/>
  <c r="A904" i="2"/>
  <c r="A903" i="2"/>
  <c r="A902" i="2"/>
  <c r="A901" i="2"/>
  <c r="A900" i="2"/>
  <c r="A899" i="2"/>
  <c r="A898" i="2"/>
  <c r="A897" i="2"/>
  <c r="A896" i="2"/>
  <c r="A895" i="2"/>
  <c r="A894" i="2"/>
  <c r="A893" i="2"/>
  <c r="A892" i="2"/>
  <c r="A891" i="2"/>
  <c r="A890" i="2"/>
  <c r="A889" i="2"/>
  <c r="A888" i="2"/>
  <c r="A887" i="2"/>
  <c r="A886" i="2"/>
  <c r="A885" i="2"/>
  <c r="A884" i="2"/>
  <c r="A883" i="2"/>
  <c r="A882" i="2"/>
  <c r="A881" i="2"/>
  <c r="A880" i="2"/>
  <c r="A879" i="2"/>
  <c r="A878" i="2"/>
  <c r="A877" i="2"/>
  <c r="A876" i="2"/>
  <c r="A875" i="2"/>
  <c r="A874" i="2"/>
  <c r="A873" i="2"/>
  <c r="A872" i="2"/>
  <c r="A871" i="2"/>
  <c r="A870" i="2"/>
  <c r="A869" i="2"/>
  <c r="A868" i="2"/>
  <c r="A867" i="2"/>
  <c r="A866" i="2"/>
  <c r="A865" i="2"/>
  <c r="A864" i="2"/>
  <c r="A863" i="2"/>
  <c r="A862" i="2"/>
  <c r="A861" i="2"/>
  <c r="A860" i="2"/>
  <c r="A859" i="2"/>
  <c r="A858" i="2"/>
  <c r="A857" i="2"/>
  <c r="A856" i="2"/>
  <c r="A855" i="2"/>
  <c r="A854" i="2"/>
  <c r="A853" i="2"/>
  <c r="A852" i="2"/>
  <c r="A851" i="2"/>
  <c r="A850" i="2"/>
  <c r="A849" i="2"/>
  <c r="A848" i="2"/>
  <c r="A847" i="2"/>
  <c r="A846" i="2"/>
  <c r="A845" i="2"/>
  <c r="A844" i="2"/>
  <c r="A843" i="2"/>
  <c r="A842" i="2"/>
  <c r="A841" i="2"/>
  <c r="A840" i="2"/>
  <c r="A839" i="2"/>
  <c r="A838" i="2"/>
  <c r="A837" i="2"/>
  <c r="A836" i="2"/>
  <c r="A835" i="2"/>
  <c r="A834" i="2"/>
  <c r="A833" i="2"/>
  <c r="A832" i="2"/>
  <c r="A831" i="2"/>
  <c r="A830" i="2"/>
  <c r="A829" i="2"/>
  <c r="A828" i="2"/>
  <c r="A827" i="2"/>
  <c r="A826" i="2"/>
  <c r="A825" i="2"/>
  <c r="A824" i="2"/>
  <c r="A823" i="2"/>
  <c r="A822" i="2"/>
  <c r="A821" i="2"/>
  <c r="A820" i="2"/>
  <c r="A819" i="2"/>
  <c r="A818" i="2"/>
  <c r="A817" i="2"/>
  <c r="A816" i="2"/>
  <c r="A815" i="2"/>
  <c r="A814" i="2"/>
  <c r="A813" i="2"/>
  <c r="A812" i="2"/>
  <c r="A811" i="2"/>
  <c r="A810" i="2"/>
  <c r="A809" i="2"/>
  <c r="A808" i="2"/>
  <c r="A807" i="2"/>
  <c r="A806" i="2"/>
  <c r="A805" i="2"/>
  <c r="A804" i="2"/>
  <c r="A803" i="2"/>
  <c r="A802" i="2"/>
  <c r="A801" i="2"/>
  <c r="A800" i="2"/>
  <c r="A799" i="2"/>
  <c r="A798" i="2"/>
  <c r="A797" i="2"/>
  <c r="A796" i="2"/>
  <c r="A795" i="2"/>
  <c r="A794" i="2"/>
  <c r="A793" i="2"/>
  <c r="A792" i="2"/>
  <c r="A791" i="2"/>
  <c r="A790" i="2"/>
  <c r="A789" i="2"/>
  <c r="A788" i="2"/>
  <c r="A787" i="2"/>
  <c r="A786" i="2"/>
  <c r="A785" i="2"/>
  <c r="A784" i="2"/>
  <c r="A783" i="2"/>
  <c r="A782" i="2"/>
  <c r="A781" i="2"/>
  <c r="A780" i="2"/>
  <c r="A779" i="2"/>
  <c r="A778" i="2"/>
  <c r="A777" i="2"/>
  <c r="A776" i="2"/>
  <c r="A775" i="2"/>
  <c r="A774" i="2"/>
  <c r="A773" i="2"/>
  <c r="A772" i="2"/>
  <c r="A771" i="2"/>
  <c r="A770" i="2"/>
  <c r="A769" i="2"/>
  <c r="A768" i="2"/>
  <c r="A767" i="2"/>
  <c r="A766" i="2"/>
  <c r="A765" i="2"/>
  <c r="A764" i="2"/>
  <c r="A763" i="2"/>
  <c r="A762" i="2"/>
  <c r="A761" i="2"/>
  <c r="A760" i="2"/>
  <c r="A759" i="2"/>
  <c r="A758" i="2"/>
  <c r="A757" i="2"/>
  <c r="A756" i="2"/>
  <c r="A755" i="2"/>
  <c r="A754" i="2"/>
  <c r="A753" i="2"/>
  <c r="A752" i="2"/>
  <c r="A751" i="2"/>
  <c r="A750" i="2"/>
  <c r="A749" i="2"/>
  <c r="A748" i="2"/>
  <c r="A747" i="2"/>
  <c r="A746" i="2"/>
  <c r="A745" i="2"/>
  <c r="A744" i="2"/>
  <c r="A743" i="2"/>
  <c r="A742" i="2"/>
  <c r="A741" i="2"/>
  <c r="A740" i="2"/>
  <c r="A739" i="2"/>
  <c r="A738" i="2"/>
  <c r="A737" i="2"/>
  <c r="A736" i="2"/>
  <c r="A735" i="2"/>
  <c r="A734" i="2"/>
  <c r="A733" i="2"/>
  <c r="A732" i="2"/>
  <c r="A731" i="2"/>
  <c r="A730" i="2"/>
  <c r="A729" i="2"/>
  <c r="A728" i="2"/>
  <c r="A727" i="2"/>
  <c r="A726" i="2"/>
  <c r="A725" i="2"/>
  <c r="A724" i="2"/>
  <c r="A723" i="2"/>
  <c r="A722" i="2"/>
  <c r="A721" i="2"/>
  <c r="A720" i="2"/>
  <c r="A719" i="2"/>
  <c r="A718" i="2"/>
  <c r="A717" i="2"/>
  <c r="A716" i="2"/>
  <c r="A715" i="2"/>
  <c r="A714" i="2"/>
  <c r="A713" i="2"/>
  <c r="A712" i="2"/>
  <c r="A711" i="2"/>
  <c r="A710" i="2"/>
  <c r="A709" i="2"/>
  <c r="A708" i="2"/>
  <c r="A707" i="2"/>
  <c r="A706" i="2"/>
  <c r="A705" i="2"/>
  <c r="A704" i="2"/>
  <c r="A703" i="2"/>
  <c r="A702" i="2"/>
  <c r="A701" i="2"/>
  <c r="A700" i="2"/>
  <c r="A699" i="2"/>
  <c r="A698" i="2"/>
  <c r="A697" i="2"/>
  <c r="A696" i="2"/>
  <c r="A695" i="2"/>
  <c r="A694" i="2"/>
  <c r="A693" i="2"/>
  <c r="A692" i="2"/>
  <c r="A691" i="2"/>
  <c r="A690" i="2"/>
  <c r="A689" i="2"/>
  <c r="A688" i="2"/>
  <c r="A687" i="2"/>
  <c r="A686" i="2"/>
  <c r="A685" i="2"/>
  <c r="A684" i="2"/>
  <c r="A683" i="2"/>
  <c r="A682" i="2"/>
  <c r="A681" i="2"/>
  <c r="A680" i="2"/>
  <c r="A679" i="2"/>
  <c r="A678" i="2"/>
  <c r="A677" i="2"/>
  <c r="A676" i="2"/>
  <c r="A675" i="2"/>
  <c r="A674" i="2"/>
  <c r="A673" i="2"/>
  <c r="A672" i="2"/>
  <c r="A671" i="2"/>
  <c r="A670" i="2"/>
  <c r="A669" i="2"/>
  <c r="A668" i="2"/>
  <c r="A667" i="2"/>
  <c r="A666" i="2"/>
  <c r="A665" i="2"/>
  <c r="A664" i="2"/>
  <c r="A663" i="2"/>
  <c r="A662" i="2"/>
  <c r="A661" i="2"/>
  <c r="A660" i="2"/>
  <c r="A659" i="2"/>
  <c r="A658" i="2"/>
  <c r="A657" i="2"/>
  <c r="A656" i="2"/>
  <c r="A655" i="2"/>
  <c r="A654" i="2"/>
  <c r="A653" i="2"/>
  <c r="A652" i="2"/>
  <c r="A651" i="2"/>
  <c r="A650" i="2"/>
  <c r="A649" i="2"/>
  <c r="A648" i="2"/>
  <c r="A647" i="2"/>
  <c r="A646" i="2"/>
  <c r="A645" i="2"/>
  <c r="A644" i="2"/>
  <c r="A643" i="2"/>
  <c r="A642" i="2"/>
  <c r="A641" i="2"/>
  <c r="A640" i="2"/>
  <c r="A639" i="2"/>
  <c r="A638" i="2"/>
  <c r="A637" i="2"/>
  <c r="A636" i="2"/>
  <c r="A635" i="2"/>
  <c r="A634" i="2"/>
  <c r="A633" i="2"/>
  <c r="A632" i="2"/>
  <c r="A631" i="2"/>
  <c r="A630" i="2"/>
  <c r="A629" i="2"/>
  <c r="A628" i="2"/>
  <c r="A627" i="2"/>
  <c r="A626" i="2"/>
  <c r="A625" i="2"/>
  <c r="A624" i="2"/>
  <c r="A623" i="2"/>
  <c r="A622" i="2"/>
  <c r="A621" i="2"/>
  <c r="A620" i="2"/>
  <c r="A619" i="2"/>
  <c r="A618" i="2"/>
  <c r="A617" i="2"/>
  <c r="A616" i="2"/>
  <c r="A615" i="2"/>
  <c r="A614" i="2"/>
  <c r="A613" i="2"/>
  <c r="A612" i="2"/>
  <c r="A611" i="2"/>
  <c r="A610" i="2"/>
  <c r="A609" i="2"/>
  <c r="A608" i="2"/>
  <c r="A607" i="2"/>
  <c r="A606" i="2"/>
  <c r="A605" i="2"/>
  <c r="A604" i="2"/>
  <c r="A603" i="2"/>
  <c r="A602" i="2"/>
  <c r="A601" i="2"/>
  <c r="A600" i="2"/>
  <c r="A599" i="2"/>
  <c r="A598" i="2"/>
  <c r="A597" i="2"/>
  <c r="A596" i="2"/>
  <c r="A595" i="2"/>
  <c r="A594" i="2"/>
  <c r="A593" i="2"/>
  <c r="A592" i="2"/>
  <c r="A591" i="2"/>
  <c r="A590" i="2"/>
  <c r="A589" i="2"/>
  <c r="A588" i="2"/>
  <c r="A587" i="2"/>
  <c r="A586" i="2"/>
  <c r="A585" i="2"/>
  <c r="A584" i="2"/>
  <c r="A583" i="2"/>
  <c r="A582" i="2"/>
  <c r="A581" i="2"/>
  <c r="A580" i="2"/>
  <c r="A579" i="2"/>
  <c r="A578" i="2"/>
  <c r="A577" i="2"/>
  <c r="A576" i="2"/>
  <c r="A575" i="2"/>
  <c r="A574" i="2"/>
  <c r="A573" i="2"/>
  <c r="A572" i="2"/>
  <c r="A571" i="2"/>
  <c r="A570" i="2"/>
  <c r="A569" i="2"/>
  <c r="A568" i="2"/>
  <c r="A567" i="2"/>
  <c r="A566" i="2"/>
  <c r="A565" i="2"/>
  <c r="A564" i="2"/>
  <c r="A563" i="2"/>
  <c r="A562" i="2"/>
  <c r="A561" i="2"/>
  <c r="A560" i="2"/>
  <c r="A559" i="2"/>
  <c r="A558" i="2"/>
  <c r="A557" i="2"/>
  <c r="A556" i="2"/>
  <c r="A555" i="2"/>
  <c r="A554" i="2"/>
  <c r="A553" i="2"/>
  <c r="A552" i="2"/>
  <c r="A551" i="2"/>
  <c r="A550" i="2"/>
  <c r="A549" i="2"/>
  <c r="A548" i="2"/>
  <c r="A547" i="2"/>
  <c r="A546" i="2"/>
  <c r="A545" i="2"/>
  <c r="A544" i="2"/>
  <c r="A543" i="2"/>
  <c r="A542" i="2"/>
  <c r="A541" i="2"/>
  <c r="A540" i="2"/>
  <c r="A539" i="2"/>
  <c r="A538" i="2"/>
  <c r="A537" i="2"/>
  <c r="A536" i="2"/>
  <c r="A535" i="2"/>
  <c r="A534" i="2"/>
  <c r="A533" i="2"/>
  <c r="A532" i="2"/>
  <c r="A531" i="2"/>
  <c r="A530" i="2"/>
  <c r="A529" i="2"/>
  <c r="A528" i="2"/>
  <c r="A527" i="2"/>
  <c r="A526" i="2"/>
  <c r="A525" i="2"/>
  <c r="A524" i="2"/>
  <c r="A523" i="2"/>
  <c r="A522" i="2"/>
  <c r="A521" i="2"/>
  <c r="A520" i="2"/>
  <c r="A519" i="2"/>
  <c r="A518" i="2"/>
  <c r="A517" i="2"/>
  <c r="A516" i="2"/>
  <c r="A515" i="2"/>
  <c r="A514" i="2"/>
  <c r="A513" i="2"/>
  <c r="A512" i="2"/>
  <c r="A511" i="2"/>
  <c r="A510" i="2"/>
  <c r="A509" i="2"/>
  <c r="A508" i="2"/>
  <c r="A507" i="2"/>
  <c r="A506" i="2"/>
  <c r="A505" i="2"/>
  <c r="A504" i="2"/>
  <c r="A503" i="2"/>
  <c r="A502" i="2"/>
  <c r="A501" i="2"/>
  <c r="A500" i="2"/>
  <c r="A499" i="2"/>
  <c r="A498" i="2"/>
  <c r="A497" i="2"/>
  <c r="A496" i="2"/>
  <c r="A495" i="2"/>
  <c r="A494" i="2"/>
  <c r="A493" i="2"/>
  <c r="A492" i="2"/>
  <c r="A491" i="2"/>
  <c r="A490" i="2"/>
  <c r="A489" i="2"/>
  <c r="A488" i="2"/>
  <c r="A487" i="2"/>
  <c r="A486" i="2"/>
  <c r="A485" i="2"/>
  <c r="A484" i="2"/>
  <c r="A483" i="2"/>
  <c r="A482" i="2"/>
  <c r="A481" i="2"/>
  <c r="A480" i="2"/>
  <c r="A479" i="2"/>
  <c r="A478" i="2"/>
  <c r="A477" i="2"/>
  <c r="A476" i="2"/>
  <c r="A475" i="2"/>
  <c r="A474" i="2"/>
  <c r="A473" i="2"/>
  <c r="A472" i="2"/>
  <c r="A471" i="2"/>
  <c r="A470" i="2"/>
  <c r="A469" i="2"/>
  <c r="A468" i="2"/>
  <c r="A467" i="2"/>
  <c r="A466" i="2"/>
  <c r="A465" i="2"/>
  <c r="A464" i="2"/>
  <c r="A463" i="2"/>
  <c r="A462" i="2"/>
  <c r="A461" i="2"/>
  <c r="A460" i="2"/>
  <c r="A459" i="2"/>
  <c r="A458" i="2"/>
  <c r="A457" i="2"/>
  <c r="A456" i="2"/>
  <c r="A455" i="2"/>
  <c r="A454" i="2"/>
  <c r="A453" i="2"/>
  <c r="A452" i="2"/>
  <c r="A451" i="2"/>
  <c r="A450" i="2"/>
  <c r="A449" i="2"/>
  <c r="A448" i="2"/>
  <c r="A447" i="2"/>
  <c r="A446" i="2"/>
  <c r="A445" i="2"/>
  <c r="A444" i="2"/>
  <c r="A443" i="2"/>
  <c r="A442" i="2"/>
  <c r="A441" i="2"/>
  <c r="A440" i="2"/>
  <c r="A439" i="2"/>
  <c r="A438" i="2"/>
  <c r="A437" i="2"/>
  <c r="A436" i="2"/>
  <c r="A435" i="2"/>
  <c r="A434" i="2"/>
  <c r="A433" i="2"/>
  <c r="A432" i="2"/>
  <c r="A431" i="2"/>
  <c r="A430" i="2"/>
  <c r="A429" i="2"/>
  <c r="A428" i="2"/>
  <c r="A427" i="2"/>
  <c r="A426" i="2"/>
  <c r="A425" i="2"/>
  <c r="A424" i="2"/>
  <c r="A423" i="2"/>
  <c r="A422" i="2"/>
  <c r="A421" i="2"/>
  <c r="A420" i="2"/>
  <c r="A419" i="2"/>
  <c r="A418" i="2"/>
  <c r="A417" i="2"/>
  <c r="A416" i="2"/>
  <c r="A415" i="2"/>
  <c r="A414" i="2"/>
  <c r="A413" i="2"/>
  <c r="A412" i="2"/>
  <c r="A411" i="2"/>
  <c r="A410" i="2"/>
  <c r="A409" i="2"/>
  <c r="A408" i="2"/>
  <c r="A407" i="2"/>
  <c r="A406" i="2"/>
  <c r="A405" i="2"/>
  <c r="A404" i="2"/>
  <c r="A403" i="2"/>
  <c r="A402" i="2"/>
  <c r="A401" i="2"/>
  <c r="A400" i="2"/>
  <c r="A399" i="2"/>
  <c r="A398" i="2"/>
  <c r="A397" i="2"/>
  <c r="A396" i="2"/>
  <c r="A395" i="2"/>
  <c r="A394" i="2"/>
  <c r="A393" i="2"/>
  <c r="A392" i="2"/>
  <c r="A391" i="2"/>
  <c r="A390" i="2"/>
  <c r="A389" i="2"/>
  <c r="A388" i="2"/>
  <c r="A387" i="2"/>
  <c r="A386" i="2"/>
  <c r="A385" i="2"/>
  <c r="A384" i="2"/>
  <c r="A383" i="2"/>
  <c r="A382" i="2"/>
  <c r="A381" i="2"/>
  <c r="A380" i="2"/>
  <c r="A379" i="2"/>
  <c r="A378" i="2"/>
  <c r="A377" i="2"/>
  <c r="A376" i="2"/>
  <c r="A375" i="2"/>
  <c r="A374" i="2"/>
  <c r="A373" i="2"/>
  <c r="A372" i="2"/>
  <c r="A371" i="2"/>
  <c r="A370" i="2"/>
  <c r="A369" i="2"/>
  <c r="A368" i="2"/>
  <c r="A367" i="2"/>
  <c r="A366" i="2"/>
  <c r="A365" i="2"/>
  <c r="A364" i="2"/>
  <c r="A363" i="2"/>
  <c r="A362" i="2"/>
  <c r="A361" i="2"/>
  <c r="A360" i="2"/>
  <c r="A359" i="2"/>
  <c r="A358" i="2"/>
  <c r="A357" i="2"/>
  <c r="A356" i="2"/>
  <c r="A355" i="2"/>
  <c r="A354" i="2"/>
  <c r="A353" i="2"/>
  <c r="A352" i="2"/>
  <c r="A351" i="2"/>
  <c r="A350" i="2"/>
  <c r="A349" i="2"/>
  <c r="A348" i="2"/>
  <c r="A347" i="2"/>
  <c r="A346" i="2"/>
  <c r="A345" i="2"/>
  <c r="A344" i="2"/>
  <c r="A343" i="2"/>
  <c r="A342" i="2"/>
  <c r="A341" i="2"/>
  <c r="A340" i="2"/>
  <c r="A339" i="2"/>
  <c r="A338" i="2"/>
  <c r="A337" i="2"/>
  <c r="A336" i="2"/>
  <c r="A335" i="2"/>
  <c r="A334" i="2"/>
  <c r="A333" i="2"/>
  <c r="A332" i="2"/>
  <c r="A331" i="2"/>
  <c r="A330" i="2"/>
  <c r="A329" i="2"/>
  <c r="A328" i="2"/>
  <c r="A327" i="2"/>
  <c r="A326" i="2"/>
  <c r="A325" i="2"/>
  <c r="A324" i="2"/>
  <c r="A323" i="2"/>
  <c r="A322" i="2"/>
  <c r="A321" i="2"/>
  <c r="A320" i="2"/>
  <c r="A319" i="2"/>
  <c r="A318" i="2"/>
  <c r="A317" i="2"/>
  <c r="A316" i="2"/>
  <c r="A315" i="2"/>
  <c r="A314" i="2"/>
  <c r="A313" i="2"/>
  <c r="A312" i="2"/>
  <c r="A311" i="2"/>
  <c r="A310" i="2"/>
  <c r="A309" i="2"/>
  <c r="A308" i="2"/>
  <c r="A307" i="2"/>
  <c r="A306" i="2"/>
  <c r="A305" i="2"/>
  <c r="A304" i="2"/>
  <c r="A303" i="2"/>
  <c r="A302" i="2"/>
  <c r="A301" i="2"/>
  <c r="A300" i="2"/>
  <c r="A299" i="2"/>
  <c r="A298" i="2"/>
  <c r="A297" i="2"/>
  <c r="A296" i="2"/>
  <c r="A295" i="2"/>
  <c r="A294" i="2"/>
  <c r="A293" i="2"/>
  <c r="A292" i="2"/>
  <c r="A291" i="2"/>
  <c r="A290" i="2"/>
  <c r="A289" i="2"/>
  <c r="A288" i="2"/>
  <c r="A287" i="2"/>
  <c r="A286" i="2"/>
  <c r="A285" i="2"/>
  <c r="A284" i="2"/>
  <c r="A283" i="2"/>
  <c r="A282" i="2"/>
  <c r="A281" i="2"/>
  <c r="A280" i="2"/>
  <c r="A279" i="2"/>
  <c r="A278" i="2"/>
  <c r="A277" i="2"/>
  <c r="A276" i="2"/>
  <c r="A275" i="2"/>
  <c r="A274" i="2"/>
  <c r="A273" i="2"/>
  <c r="A272" i="2"/>
  <c r="A271" i="2"/>
  <c r="A270" i="2"/>
  <c r="A269" i="2"/>
  <c r="A268" i="2"/>
  <c r="A267" i="2"/>
  <c r="A266" i="2"/>
  <c r="A265" i="2"/>
  <c r="A264" i="2"/>
  <c r="A263" i="2"/>
  <c r="A262" i="2"/>
  <c r="A261" i="2"/>
  <c r="A260" i="2"/>
  <c r="A259" i="2"/>
  <c r="A258" i="2"/>
  <c r="A257" i="2"/>
  <c r="A256" i="2"/>
  <c r="A255" i="2"/>
  <c r="A254" i="2"/>
  <c r="A253" i="2"/>
  <c r="A252" i="2"/>
  <c r="A251" i="2"/>
  <c r="A250" i="2"/>
  <c r="A249" i="2"/>
  <c r="A248" i="2"/>
  <c r="A247" i="2"/>
  <c r="A246" i="2"/>
  <c r="A245" i="2"/>
  <c r="A244" i="2"/>
  <c r="A243" i="2"/>
  <c r="A242" i="2"/>
  <c r="A241" i="2"/>
  <c r="A240" i="2"/>
  <c r="A239" i="2"/>
  <c r="A238" i="2"/>
  <c r="A237" i="2"/>
  <c r="A236" i="2"/>
  <c r="A235" i="2"/>
  <c r="A234" i="2"/>
  <c r="A233" i="2"/>
  <c r="A232" i="2"/>
  <c r="A231" i="2"/>
  <c r="A230" i="2"/>
  <c r="A229" i="2"/>
  <c r="A228" i="2"/>
  <c r="A227" i="2"/>
  <c r="A226" i="2"/>
  <c r="A225" i="2"/>
  <c r="A224" i="2"/>
  <c r="A223" i="2"/>
  <c r="A222" i="2"/>
  <c r="A221" i="2"/>
  <c r="A220" i="2"/>
  <c r="A219" i="2"/>
  <c r="A218" i="2"/>
  <c r="A217" i="2"/>
  <c r="A216" i="2"/>
  <c r="A215" i="2"/>
  <c r="A214" i="2"/>
  <c r="A213" i="2"/>
  <c r="A212" i="2"/>
  <c r="A211" i="2"/>
  <c r="A210" i="2"/>
  <c r="A209" i="2"/>
  <c r="A208" i="2"/>
  <c r="A207" i="2"/>
  <c r="A206" i="2"/>
  <c r="A205" i="2"/>
  <c r="A204" i="2"/>
  <c r="A203" i="2"/>
  <c r="A202" i="2"/>
  <c r="A201"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2277" i="1"/>
  <c r="A2276" i="1"/>
  <c r="A2275" i="1"/>
  <c r="A2274" i="1"/>
  <c r="A2273" i="1"/>
  <c r="A2272" i="1"/>
  <c r="A2271" i="1"/>
  <c r="A2270" i="1"/>
  <c r="A2269" i="1"/>
  <c r="A2268" i="1"/>
  <c r="A2267" i="1"/>
  <c r="A2266" i="1"/>
  <c r="A2265" i="1"/>
  <c r="A2264" i="1"/>
  <c r="A2263" i="1"/>
  <c r="A2262" i="1"/>
  <c r="A2261" i="1"/>
  <c r="A2260" i="1"/>
  <c r="A2259" i="1"/>
  <c r="A2258" i="1"/>
  <c r="A2257" i="1"/>
  <c r="A2256" i="1"/>
  <c r="A2255" i="1"/>
  <c r="A2254" i="1"/>
  <c r="A2253" i="1"/>
  <c r="A2252" i="1"/>
  <c r="A2251" i="1"/>
  <c r="A2250" i="1"/>
  <c r="A2249" i="1"/>
  <c r="A2248" i="1"/>
  <c r="A2247" i="1"/>
  <c r="A2246" i="1"/>
  <c r="A2245" i="1"/>
  <c r="A2244" i="1"/>
  <c r="A2243" i="1"/>
  <c r="A2242" i="1"/>
  <c r="A2241" i="1"/>
  <c r="A2240" i="1"/>
  <c r="A2239" i="1"/>
  <c r="A2238" i="1"/>
  <c r="A2237" i="1"/>
  <c r="A2236" i="1"/>
  <c r="A2235" i="1"/>
  <c r="A2234" i="1"/>
  <c r="A2233" i="1"/>
  <c r="A2232" i="1"/>
  <c r="A2231" i="1"/>
  <c r="A2230" i="1"/>
  <c r="A2229" i="1"/>
  <c r="A2228" i="1"/>
  <c r="A2227" i="1"/>
  <c r="A2226" i="1"/>
  <c r="A2225" i="1"/>
  <c r="A2224" i="1"/>
  <c r="A2223" i="1"/>
  <c r="A2222" i="1"/>
  <c r="A2221" i="1"/>
  <c r="A2220" i="1"/>
  <c r="A2219" i="1"/>
  <c r="A2218" i="1"/>
  <c r="A2217" i="1"/>
  <c r="A2216" i="1"/>
  <c r="A2215" i="1"/>
  <c r="A2214" i="1"/>
  <c r="A2213" i="1"/>
  <c r="A2212" i="1"/>
  <c r="A2211" i="1"/>
  <c r="A2210" i="1"/>
  <c r="A2209" i="1"/>
  <c r="A2208" i="1"/>
  <c r="A2207" i="1"/>
  <c r="A2206" i="1"/>
  <c r="A2205" i="1"/>
  <c r="A2204" i="1"/>
  <c r="A2203" i="1"/>
  <c r="A2202" i="1"/>
  <c r="A2201" i="1"/>
  <c r="A2200" i="1"/>
  <c r="A2199" i="1"/>
  <c r="A2198" i="1"/>
  <c r="A2197" i="1"/>
  <c r="A2196" i="1"/>
  <c r="A2195" i="1"/>
  <c r="A2194" i="1"/>
  <c r="A2193" i="1"/>
  <c r="A2192" i="1"/>
  <c r="A2191" i="1"/>
  <c r="A2190" i="1"/>
  <c r="A2189" i="1"/>
  <c r="A2188" i="1"/>
  <c r="A2187" i="1"/>
  <c r="A2186" i="1"/>
  <c r="A2185" i="1"/>
  <c r="A2184" i="1"/>
  <c r="A2183" i="1"/>
  <c r="A2182" i="1"/>
  <c r="A2181" i="1"/>
  <c r="A2180" i="1"/>
  <c r="A2179" i="1"/>
  <c r="A2178" i="1"/>
  <c r="A2177" i="1"/>
  <c r="A2176" i="1"/>
  <c r="A2175" i="1"/>
  <c r="A2174" i="1"/>
  <c r="A2173" i="1"/>
  <c r="A2172" i="1"/>
  <c r="A2171" i="1"/>
  <c r="A2170" i="1"/>
  <c r="A2169" i="1"/>
  <c r="A2168" i="1"/>
  <c r="A2167" i="1"/>
  <c r="A2166" i="1"/>
  <c r="A2165" i="1"/>
  <c r="A2164" i="1"/>
  <c r="A2163" i="1"/>
  <c r="A2162" i="1"/>
  <c r="A2161" i="1"/>
  <c r="A2160" i="1"/>
  <c r="A2159" i="1"/>
  <c r="A2158" i="1"/>
  <c r="A2157" i="1"/>
  <c r="A2156" i="1"/>
  <c r="A2155" i="1"/>
  <c r="A2154" i="1"/>
  <c r="A2153" i="1"/>
  <c r="A2152" i="1"/>
  <c r="A2151" i="1"/>
  <c r="A2150" i="1"/>
  <c r="A2149" i="1"/>
  <c r="A2148" i="1"/>
  <c r="A2147" i="1"/>
  <c r="A2146" i="1"/>
  <c r="A2145" i="1"/>
  <c r="A2144" i="1"/>
  <c r="A2143" i="1"/>
  <c r="A2142" i="1"/>
  <c r="A2141" i="1"/>
  <c r="A2140" i="1"/>
  <c r="A2139" i="1"/>
  <c r="A2138" i="1"/>
  <c r="A2137" i="1"/>
  <c r="A2136" i="1"/>
  <c r="A2135" i="1"/>
  <c r="A2134" i="1"/>
  <c r="A2133" i="1"/>
  <c r="A2132" i="1"/>
  <c r="A2131" i="1"/>
  <c r="A2130" i="1"/>
  <c r="A2129" i="1"/>
  <c r="A2128" i="1"/>
  <c r="A2127" i="1"/>
  <c r="A2126" i="1"/>
  <c r="A2125" i="1"/>
  <c r="A2124" i="1"/>
  <c r="A2123" i="1"/>
  <c r="A2122" i="1"/>
  <c r="A2121" i="1"/>
  <c r="A2120" i="1"/>
  <c r="A2119" i="1"/>
  <c r="A2118" i="1"/>
  <c r="A2117" i="1"/>
  <c r="A2116" i="1"/>
  <c r="A2115" i="1"/>
  <c r="A2114" i="1"/>
  <c r="A2113" i="1"/>
  <c r="A2112" i="1"/>
  <c r="A2111" i="1"/>
  <c r="A2110" i="1"/>
  <c r="A2109" i="1"/>
  <c r="A2108" i="1"/>
  <c r="A2107" i="1"/>
  <c r="A2106" i="1"/>
  <c r="A2105" i="1"/>
  <c r="A2104" i="1"/>
  <c r="A2103" i="1"/>
  <c r="A2102" i="1"/>
  <c r="A2101" i="1"/>
  <c r="A2100" i="1"/>
  <c r="A2099" i="1"/>
  <c r="A2098" i="1"/>
  <c r="A2097" i="1"/>
  <c r="A2096" i="1"/>
  <c r="A2095" i="1"/>
  <c r="A2094" i="1"/>
  <c r="A2093" i="1"/>
  <c r="A2092" i="1"/>
  <c r="A2091" i="1"/>
  <c r="A2090" i="1"/>
  <c r="A2089" i="1"/>
  <c r="A2088" i="1"/>
  <c r="A2087" i="1"/>
  <c r="A2086" i="1"/>
  <c r="A2085" i="1"/>
  <c r="A2084" i="1"/>
  <c r="A2083" i="1"/>
  <c r="A2082" i="1"/>
  <c r="A2081" i="1"/>
  <c r="A2080" i="1"/>
  <c r="A2079" i="1"/>
  <c r="A2078" i="1"/>
  <c r="A2077" i="1"/>
  <c r="A2076" i="1"/>
  <c r="A2075" i="1"/>
  <c r="A2074" i="1"/>
  <c r="A2073" i="1"/>
  <c r="A2072" i="1"/>
  <c r="A2071" i="1"/>
  <c r="A2070" i="1"/>
  <c r="A2069" i="1"/>
  <c r="A2068" i="1"/>
  <c r="A2067" i="1"/>
  <c r="A2066" i="1"/>
  <c r="A2065" i="1"/>
  <c r="A2064" i="1"/>
  <c r="A2063" i="1"/>
  <c r="A2062" i="1"/>
  <c r="A2061" i="1"/>
  <c r="A2060" i="1"/>
  <c r="A2059" i="1"/>
  <c r="A2058" i="1"/>
  <c r="A2057" i="1"/>
  <c r="A2056" i="1"/>
  <c r="A2055" i="1"/>
  <c r="A2054" i="1"/>
  <c r="A2053" i="1"/>
  <c r="A2052" i="1"/>
  <c r="A2051" i="1"/>
  <c r="A2050" i="1"/>
  <c r="A2049" i="1"/>
  <c r="A2048" i="1"/>
  <c r="A2047" i="1"/>
  <c r="A2046" i="1"/>
  <c r="A2045" i="1"/>
  <c r="A2044" i="1"/>
  <c r="A2043" i="1"/>
  <c r="A2042" i="1"/>
  <c r="A2041" i="1"/>
  <c r="A2040" i="1"/>
  <c r="A2039" i="1"/>
  <c r="A2038" i="1"/>
  <c r="A2037" i="1"/>
  <c r="A2036" i="1"/>
  <c r="A2035" i="1"/>
  <c r="A2034" i="1"/>
  <c r="A2033" i="1"/>
  <c r="A2032" i="1"/>
  <c r="A2031" i="1"/>
  <c r="A2030" i="1"/>
  <c r="A2029" i="1"/>
  <c r="A2028" i="1"/>
  <c r="A2027" i="1"/>
  <c r="A2026" i="1"/>
  <c r="A2025" i="1"/>
  <c r="A2024" i="1"/>
  <c r="A2023" i="1"/>
  <c r="A2022" i="1"/>
  <c r="A2021" i="1"/>
  <c r="A2020" i="1"/>
  <c r="A2019" i="1"/>
  <c r="A2018" i="1"/>
  <c r="A2017" i="1"/>
  <c r="A2016" i="1"/>
  <c r="A2015" i="1"/>
  <c r="A2014" i="1"/>
  <c r="A2013" i="1"/>
  <c r="A2012" i="1"/>
  <c r="A2011" i="1"/>
  <c r="A2010" i="1"/>
  <c r="A2009" i="1"/>
  <c r="A2008" i="1"/>
  <c r="A2007" i="1"/>
  <c r="A2006" i="1"/>
  <c r="A2005" i="1"/>
  <c r="A2004" i="1"/>
  <c r="A2003" i="1"/>
  <c r="A2002" i="1"/>
  <c r="A2001"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K6" i="2" l="1" a="1"/>
  <c r="K844" i="2" s="1"/>
  <c r="I7" i="1" a="1"/>
  <c r="I461" i="1" s="1"/>
  <c r="K114" i="2" l="1"/>
  <c r="K142" i="2"/>
  <c r="K202" i="2"/>
  <c r="K26" i="2"/>
  <c r="K70" i="2"/>
  <c r="K31" i="2"/>
  <c r="K75" i="2"/>
  <c r="K135" i="2"/>
  <c r="K187" i="2"/>
  <c r="K32" i="2"/>
  <c r="K88" i="2"/>
  <c r="K144" i="2"/>
  <c r="K200" i="2"/>
  <c r="K41" i="2"/>
  <c r="K93" i="2"/>
  <c r="K153" i="2"/>
  <c r="K213" i="2"/>
  <c r="K286" i="2"/>
  <c r="K482" i="2"/>
  <c r="K387" i="2"/>
  <c r="K356" i="2"/>
  <c r="K469" i="2"/>
  <c r="K807" i="2"/>
  <c r="K50" i="2"/>
  <c r="K78" i="2"/>
  <c r="K138" i="2"/>
  <c r="K182" i="2"/>
  <c r="K7" i="2"/>
  <c r="K47" i="2"/>
  <c r="K95" i="2"/>
  <c r="K155" i="2"/>
  <c r="K207" i="2"/>
  <c r="K52" i="2"/>
  <c r="K112" i="2"/>
  <c r="K164" i="2"/>
  <c r="K6" i="2"/>
  <c r="K61" i="2"/>
  <c r="K117" i="2"/>
  <c r="K173" i="2"/>
  <c r="K234" i="2"/>
  <c r="K322" i="2"/>
  <c r="K530" i="2"/>
  <c r="K451" i="2"/>
  <c r="K468" i="2"/>
  <c r="K611" i="2"/>
  <c r="K637" i="2"/>
  <c r="K194" i="2"/>
  <c r="K34" i="2"/>
  <c r="K62" i="2"/>
  <c r="K106" i="2"/>
  <c r="K166" i="2"/>
  <c r="K11" i="2"/>
  <c r="K55" i="2"/>
  <c r="K103" i="2"/>
  <c r="K159" i="2"/>
  <c r="K219" i="2"/>
  <c r="K56" i="2"/>
  <c r="K116" i="2"/>
  <c r="K176" i="2"/>
  <c r="K9" i="2"/>
  <c r="K69" i="2"/>
  <c r="K125" i="2"/>
  <c r="K181" i="2"/>
  <c r="K238" i="2"/>
  <c r="K358" i="2"/>
  <c r="K243" i="2"/>
  <c r="K535" i="2"/>
  <c r="K556" i="2"/>
  <c r="K785" i="2"/>
  <c r="K562" i="2"/>
  <c r="K130" i="2"/>
  <c r="K174" i="2"/>
  <c r="K218" i="2"/>
  <c r="K42" i="2"/>
  <c r="K102" i="2"/>
  <c r="K27" i="2"/>
  <c r="K71" i="2"/>
  <c r="K123" i="2"/>
  <c r="K183" i="2"/>
  <c r="K24" i="2"/>
  <c r="K80" i="2"/>
  <c r="K136" i="2"/>
  <c r="K196" i="2"/>
  <c r="K29" i="2"/>
  <c r="K89" i="2"/>
  <c r="K149" i="2"/>
  <c r="K201" i="2"/>
  <c r="K262" i="2"/>
  <c r="K418" i="2"/>
  <c r="K307" i="2"/>
  <c r="K264" i="2"/>
  <c r="K309" i="2"/>
  <c r="K608" i="2"/>
  <c r="K981" i="2"/>
  <c r="K266" i="2"/>
  <c r="K298" i="2"/>
  <c r="K334" i="2"/>
  <c r="K370" i="2"/>
  <c r="K434" i="2"/>
  <c r="K486" i="2"/>
  <c r="K546" i="2"/>
  <c r="K271" i="2"/>
  <c r="K323" i="2"/>
  <c r="K391" i="2"/>
  <c r="K479" i="2"/>
  <c r="K559" i="2"/>
  <c r="K280" i="2"/>
  <c r="K384" i="2"/>
  <c r="K476" i="2"/>
  <c r="K245" i="2"/>
  <c r="K385" i="2"/>
  <c r="K497" i="2"/>
  <c r="K619" i="2"/>
  <c r="K865" i="2"/>
  <c r="K648" i="2"/>
  <c r="K861" i="2"/>
  <c r="K723" i="2"/>
  <c r="K586" i="2"/>
  <c r="K724" i="2"/>
  <c r="K178" i="2"/>
  <c r="K98" i="2"/>
  <c r="K206" i="2"/>
  <c r="K126" i="2"/>
  <c r="K46" i="2"/>
  <c r="K170" i="2"/>
  <c r="K90" i="2"/>
  <c r="K10" i="2"/>
  <c r="K134" i="2"/>
  <c r="K54" i="2"/>
  <c r="K15" i="2"/>
  <c r="K39" i="2"/>
  <c r="K59" i="2"/>
  <c r="K79" i="2"/>
  <c r="K111" i="2"/>
  <c r="K139" i="2"/>
  <c r="K167" i="2"/>
  <c r="K199" i="2"/>
  <c r="K8" i="2"/>
  <c r="K36" i="2"/>
  <c r="K68" i="2"/>
  <c r="K96" i="2"/>
  <c r="K120" i="2"/>
  <c r="K152" i="2"/>
  <c r="K180" i="2"/>
  <c r="K208" i="2"/>
  <c r="K21" i="2"/>
  <c r="K45" i="2"/>
  <c r="K73" i="2"/>
  <c r="K105" i="2"/>
  <c r="K133" i="2"/>
  <c r="K157" i="2"/>
  <c r="K189" i="2"/>
  <c r="K217" i="2"/>
  <c r="K246" i="2"/>
  <c r="K278" i="2"/>
  <c r="K302" i="2"/>
  <c r="K338" i="2"/>
  <c r="K390" i="2"/>
  <c r="K450" i="2"/>
  <c r="K498" i="2"/>
  <c r="K223" i="2"/>
  <c r="K275" i="2"/>
  <c r="K343" i="2"/>
  <c r="K431" i="2"/>
  <c r="K495" i="2"/>
  <c r="K220" i="2"/>
  <c r="K304" i="2"/>
  <c r="K412" i="2"/>
  <c r="K496" i="2"/>
  <c r="K277" i="2"/>
  <c r="K389" i="2"/>
  <c r="K533" i="2"/>
  <c r="K710" i="2"/>
  <c r="K907" i="2"/>
  <c r="K679" i="2"/>
  <c r="K946" i="2"/>
  <c r="K814" i="2"/>
  <c r="K746" i="2"/>
  <c r="K985" i="2"/>
  <c r="K940" i="2"/>
  <c r="K796" i="2"/>
  <c r="K672" i="2"/>
  <c r="K831" i="2"/>
  <c r="K642" i="2"/>
  <c r="K931" i="2"/>
  <c r="K745" i="2"/>
  <c r="K581" i="2"/>
  <c r="K877" i="2"/>
  <c r="K749" i="2"/>
  <c r="K616" i="2"/>
  <c r="K934" i="2"/>
  <c r="K795" i="2"/>
  <c r="K651" i="2"/>
  <c r="K583" i="2"/>
  <c r="K501" i="2"/>
  <c r="K425" i="2"/>
  <c r="K353" i="2"/>
  <c r="K285" i="2"/>
  <c r="K225" i="2"/>
  <c r="K508" i="2"/>
  <c r="K448" i="2"/>
  <c r="K388" i="2"/>
  <c r="K336" i="2"/>
  <c r="K284" i="2"/>
  <c r="K240" i="2"/>
  <c r="K543" i="2"/>
  <c r="K499" i="2"/>
  <c r="K455" i="2"/>
  <c r="K415" i="2"/>
  <c r="K371" i="2"/>
  <c r="K327" i="2"/>
  <c r="K291" i="2"/>
  <c r="K259" i="2"/>
  <c r="K227" i="2"/>
  <c r="K534" i="2"/>
  <c r="K502" i="2"/>
  <c r="K470" i="2"/>
  <c r="K438" i="2"/>
  <c r="K406" i="2"/>
  <c r="K374" i="2"/>
  <c r="K350" i="2"/>
  <c r="K326" i="2"/>
  <c r="K306" i="2"/>
  <c r="K290" i="2"/>
  <c r="K274" i="2"/>
  <c r="K258" i="2"/>
  <c r="K242" i="2"/>
  <c r="K226" i="2"/>
  <c r="K209" i="2"/>
  <c r="K193" i="2"/>
  <c r="K177" i="2"/>
  <c r="K161" i="2"/>
  <c r="K145" i="2"/>
  <c r="K129" i="2"/>
  <c r="K113" i="2"/>
  <c r="K97" i="2"/>
  <c r="K81" i="2"/>
  <c r="K65" i="2"/>
  <c r="K49" i="2"/>
  <c r="K33" i="2"/>
  <c r="K17" i="2"/>
  <c r="K221" i="2"/>
  <c r="K204" i="2"/>
  <c r="K188" i="2"/>
  <c r="K172" i="2"/>
  <c r="K156" i="2"/>
  <c r="K140" i="2"/>
  <c r="K124" i="2"/>
  <c r="K108" i="2"/>
  <c r="K92" i="2"/>
  <c r="K76" i="2"/>
  <c r="K60" i="2"/>
  <c r="K44" i="2"/>
  <c r="K28" i="2"/>
  <c r="K12" i="2"/>
  <c r="K211" i="2"/>
  <c r="K195" i="2"/>
  <c r="K179" i="2"/>
  <c r="K163" i="2"/>
  <c r="K147" i="2"/>
  <c r="K131" i="2"/>
  <c r="K115" i="2"/>
  <c r="K99" i="2"/>
  <c r="K83" i="2"/>
  <c r="K788" i="2"/>
  <c r="K917" i="2"/>
  <c r="K719" i="2"/>
  <c r="K894" i="2"/>
  <c r="K665" i="2"/>
  <c r="K935" i="2"/>
  <c r="K727" i="2"/>
  <c r="K564" i="2"/>
  <c r="K843" i="2"/>
  <c r="K647" i="2"/>
  <c r="K537" i="2"/>
  <c r="K453" i="2"/>
  <c r="K341" i="2"/>
  <c r="K257" i="2"/>
  <c r="K528" i="2"/>
  <c r="K444" i="2"/>
  <c r="K364" i="2"/>
  <c r="K300" i="2"/>
  <c r="K236" i="2"/>
  <c r="K519" i="2"/>
  <c r="K471" i="2"/>
  <c r="K407" i="2"/>
  <c r="K351" i="2"/>
  <c r="K303" i="2"/>
  <c r="K255" i="2"/>
  <c r="K550" i="2"/>
  <c r="K514" i="2"/>
  <c r="K466" i="2"/>
  <c r="K422" i="2"/>
  <c r="K386" i="2"/>
  <c r="K342" i="2"/>
  <c r="K318" i="2"/>
  <c r="K294" i="2"/>
  <c r="K270" i="2"/>
  <c r="K250" i="2"/>
  <c r="K230" i="2"/>
  <c r="K205" i="2"/>
  <c r="K185" i="2"/>
  <c r="K165" i="2"/>
  <c r="K141" i="2"/>
  <c r="K121" i="2"/>
  <c r="K101" i="2"/>
  <c r="K77" i="2"/>
  <c r="K57" i="2"/>
  <c r="K37" i="2"/>
  <c r="K13" i="2"/>
  <c r="K212" i="2"/>
  <c r="K192" i="2"/>
  <c r="K168" i="2"/>
  <c r="K148" i="2"/>
  <c r="K128" i="2"/>
  <c r="K104" i="2"/>
  <c r="K84" i="2"/>
  <c r="K64" i="2"/>
  <c r="K40" i="2"/>
  <c r="K20" i="2"/>
  <c r="K215" i="2"/>
  <c r="K191" i="2"/>
  <c r="K171" i="2"/>
  <c r="K151" i="2"/>
  <c r="K127" i="2"/>
  <c r="K107" i="2"/>
  <c r="K87" i="2"/>
  <c r="K67" i="2"/>
  <c r="K51" i="2"/>
  <c r="K35" i="2"/>
  <c r="K19" i="2"/>
  <c r="K22" i="2"/>
  <c r="K86" i="2"/>
  <c r="K150" i="2"/>
  <c r="K214" i="2"/>
  <c r="K58" i="2"/>
  <c r="K122" i="2"/>
  <c r="K186" i="2"/>
  <c r="K30" i="2"/>
  <c r="K94" i="2"/>
  <c r="K158" i="2"/>
  <c r="K18" i="2"/>
  <c r="K82" i="2"/>
  <c r="K146" i="2"/>
  <c r="K210" i="2"/>
  <c r="K924" i="2"/>
  <c r="K732" i="2"/>
  <c r="K895" i="2"/>
  <c r="K638" i="2"/>
  <c r="K162" i="2"/>
  <c r="K66" i="2"/>
  <c r="K190" i="2"/>
  <c r="K110" i="2"/>
  <c r="K14" i="2"/>
  <c r="K154" i="2"/>
  <c r="K74" i="2"/>
  <c r="K198" i="2"/>
  <c r="K118" i="2"/>
  <c r="K38" i="2"/>
  <c r="K23" i="2"/>
  <c r="K43" i="2"/>
  <c r="K63" i="2"/>
  <c r="K91" i="2"/>
  <c r="K119" i="2"/>
  <c r="K143" i="2"/>
  <c r="K175" i="2"/>
  <c r="K203" i="2"/>
  <c r="K16" i="2"/>
  <c r="K48" i="2"/>
  <c r="K72" i="2"/>
  <c r="K100" i="2"/>
  <c r="K132" i="2"/>
  <c r="K160" i="2"/>
  <c r="K184" i="2"/>
  <c r="K216" i="2"/>
  <c r="K25" i="2"/>
  <c r="K53" i="2"/>
  <c r="K85" i="2"/>
  <c r="K109" i="2"/>
  <c r="K137" i="2"/>
  <c r="K169" i="2"/>
  <c r="K197" i="2"/>
  <c r="K222" i="2"/>
  <c r="K254" i="2"/>
  <c r="K282" i="2"/>
  <c r="K310" i="2"/>
  <c r="K354" i="2"/>
  <c r="K402" i="2"/>
  <c r="K454" i="2"/>
  <c r="K518" i="2"/>
  <c r="K239" i="2"/>
  <c r="K287" i="2"/>
  <c r="K367" i="2"/>
  <c r="K435" i="2"/>
  <c r="K515" i="2"/>
  <c r="K256" i="2"/>
  <c r="K324" i="2"/>
  <c r="K420" i="2"/>
  <c r="K532" i="2"/>
  <c r="K305" i="2"/>
  <c r="K417" i="2"/>
  <c r="K567" i="2"/>
  <c r="K731" i="2"/>
  <c r="K560" i="2"/>
  <c r="K791" i="2"/>
  <c r="K561" i="2"/>
  <c r="K830" i="2"/>
  <c r="K821" i="2"/>
  <c r="K876" i="2"/>
  <c r="K366" i="2"/>
  <c r="K382" i="2"/>
  <c r="K398" i="2"/>
  <c r="K414" i="2"/>
  <c r="K430" i="2"/>
  <c r="K446" i="2"/>
  <c r="K462" i="2"/>
  <c r="K478" i="2"/>
  <c r="K494" i="2"/>
  <c r="K510" i="2"/>
  <c r="K526" i="2"/>
  <c r="K542" i="2"/>
  <c r="K558" i="2"/>
  <c r="K235" i="2"/>
  <c r="K251" i="2"/>
  <c r="K267" i="2"/>
  <c r="K283" i="2"/>
  <c r="K299" i="2"/>
  <c r="K319" i="2"/>
  <c r="K339" i="2"/>
  <c r="K359" i="2"/>
  <c r="K383" i="2"/>
  <c r="K403" i="2"/>
  <c r="K423" i="2"/>
  <c r="K447" i="2"/>
  <c r="K467" i="2"/>
  <c r="K487" i="2"/>
  <c r="K511" i="2"/>
  <c r="K531" i="2"/>
  <c r="K551" i="2"/>
  <c r="K232" i="2"/>
  <c r="K252" i="2"/>
  <c r="K272" i="2"/>
  <c r="K296" i="2"/>
  <c r="K320" i="2"/>
  <c r="K348" i="2"/>
  <c r="K380" i="2"/>
  <c r="K404" i="2"/>
  <c r="K432" i="2"/>
  <c r="K464" i="2"/>
  <c r="K492" i="2"/>
  <c r="K516" i="2"/>
  <c r="K548" i="2"/>
  <c r="K241" i="2"/>
  <c r="K269" i="2"/>
  <c r="K301" i="2"/>
  <c r="K329" i="2"/>
  <c r="K369" i="2"/>
  <c r="K409" i="2"/>
  <c r="K449" i="2"/>
  <c r="K481" i="2"/>
  <c r="K521" i="2"/>
  <c r="K563" i="2"/>
  <c r="K599" i="2"/>
  <c r="K643" i="2"/>
  <c r="K694" i="2"/>
  <c r="K758" i="2"/>
  <c r="K838" i="2"/>
  <c r="K902" i="2"/>
  <c r="K955" i="2"/>
  <c r="K596" i="2"/>
  <c r="K644" i="2"/>
  <c r="K706" i="2"/>
  <c r="K786" i="2"/>
  <c r="K839" i="2"/>
  <c r="K903" i="2"/>
  <c r="K983" i="2"/>
  <c r="K621" i="2"/>
  <c r="K686" i="2"/>
  <c r="K787" i="2"/>
  <c r="K873" i="2"/>
  <c r="K974" i="2"/>
  <c r="K622" i="2"/>
  <c r="K693" i="2"/>
  <c r="K783" i="2"/>
  <c r="K874" i="2"/>
  <c r="K975" i="2"/>
  <c r="K692" i="2"/>
  <c r="K768" i="2"/>
  <c r="K836" i="2"/>
  <c r="K900" i="2"/>
  <c r="K314" i="2"/>
  <c r="K330" i="2"/>
  <c r="K346" i="2"/>
  <c r="K362" i="2"/>
  <c r="K378" i="2"/>
  <c r="K394" i="2"/>
  <c r="K410" i="2"/>
  <c r="K426" i="2"/>
  <c r="K442" i="2"/>
  <c r="K458" i="2"/>
  <c r="K474" i="2"/>
  <c r="K490" i="2"/>
  <c r="K506" i="2"/>
  <c r="K522" i="2"/>
  <c r="K538" i="2"/>
  <c r="K554" i="2"/>
  <c r="K231" i="2"/>
  <c r="K247" i="2"/>
  <c r="K263" i="2"/>
  <c r="K279" i="2"/>
  <c r="K295" i="2"/>
  <c r="K311" i="2"/>
  <c r="K335" i="2"/>
  <c r="K355" i="2"/>
  <c r="K375" i="2"/>
  <c r="K399" i="2"/>
  <c r="K419" i="2"/>
  <c r="K439" i="2"/>
  <c r="K463" i="2"/>
  <c r="K483" i="2"/>
  <c r="K503" i="2"/>
  <c r="K527" i="2"/>
  <c r="K547" i="2"/>
  <c r="K224" i="2"/>
  <c r="K248" i="2"/>
  <c r="K268" i="2"/>
  <c r="K288" i="2"/>
  <c r="K316" i="2"/>
  <c r="K340" i="2"/>
  <c r="K368" i="2"/>
  <c r="K400" i="2"/>
  <c r="K428" i="2"/>
  <c r="K452" i="2"/>
  <c r="K484" i="2"/>
  <c r="K512" i="2"/>
  <c r="K540" i="2"/>
  <c r="K237" i="2"/>
  <c r="K261" i="2"/>
  <c r="K289" i="2"/>
  <c r="K325" i="2"/>
  <c r="K361" i="2"/>
  <c r="K393" i="2"/>
  <c r="K437" i="2"/>
  <c r="K473" i="2"/>
  <c r="K513" i="2"/>
  <c r="K553" i="2"/>
  <c r="K587" i="2"/>
  <c r="K627" i="2"/>
  <c r="K678" i="2"/>
  <c r="K753" i="2"/>
  <c r="K806" i="2"/>
  <c r="K881" i="2"/>
  <c r="K950" i="2"/>
  <c r="K580" i="2"/>
  <c r="K640" i="2"/>
  <c r="K690" i="2"/>
  <c r="K754" i="2"/>
  <c r="K834" i="2"/>
  <c r="K898" i="2"/>
  <c r="K957" i="2"/>
  <c r="K605" i="2"/>
  <c r="K675" i="2"/>
  <c r="K761" i="2"/>
  <c r="K867" i="2"/>
  <c r="K942" i="2"/>
  <c r="K594" i="2"/>
  <c r="K677" i="2"/>
  <c r="K762" i="2"/>
  <c r="K842" i="2"/>
  <c r="K949" i="2"/>
  <c r="K684" i="2"/>
  <c r="K752" i="2"/>
  <c r="K820" i="2"/>
  <c r="K880" i="2"/>
  <c r="K948" i="2"/>
  <c r="K315" i="2"/>
  <c r="K331" i="2"/>
  <c r="K347" i="2"/>
  <c r="K363" i="2"/>
  <c r="K379" i="2"/>
  <c r="K395" i="2"/>
  <c r="K411" i="2"/>
  <c r="K427" i="2"/>
  <c r="K443" i="2"/>
  <c r="K459" i="2"/>
  <c r="K475" i="2"/>
  <c r="K491" i="2"/>
  <c r="K507" i="2"/>
  <c r="K523" i="2"/>
  <c r="K539" i="2"/>
  <c r="K555" i="2"/>
  <c r="K228" i="2"/>
  <c r="K244" i="2"/>
  <c r="K260" i="2"/>
  <c r="K276" i="2"/>
  <c r="K292" i="2"/>
  <c r="K308" i="2"/>
  <c r="K332" i="2"/>
  <c r="K352" i="2"/>
  <c r="K372" i="2"/>
  <c r="K396" i="2"/>
  <c r="K416" i="2"/>
  <c r="K436" i="2"/>
  <c r="K460" i="2"/>
  <c r="K480" i="2"/>
  <c r="K500" i="2"/>
  <c r="K524" i="2"/>
  <c r="K544" i="2"/>
  <c r="K229" i="2"/>
  <c r="K253" i="2"/>
  <c r="K273" i="2"/>
  <c r="K293" i="2"/>
  <c r="K321" i="2"/>
  <c r="K345" i="2"/>
  <c r="K373" i="2"/>
  <c r="K405" i="2"/>
  <c r="K433" i="2"/>
  <c r="K457" i="2"/>
  <c r="K489" i="2"/>
  <c r="K517" i="2"/>
  <c r="K545" i="2"/>
  <c r="K579" i="2"/>
  <c r="K603" i="2"/>
  <c r="K631" i="2"/>
  <c r="K673" i="2"/>
  <c r="K721" i="2"/>
  <c r="K763" i="2"/>
  <c r="K822" i="2"/>
  <c r="K870" i="2"/>
  <c r="K923" i="2"/>
  <c r="K977" i="2"/>
  <c r="K584" i="2"/>
  <c r="K624" i="2"/>
  <c r="K669" i="2"/>
  <c r="K722" i="2"/>
  <c r="K765" i="2"/>
  <c r="K818" i="2"/>
  <c r="K871" i="2"/>
  <c r="K919" i="2"/>
  <c r="K978" i="2"/>
  <c r="K593" i="2"/>
  <c r="K641" i="2"/>
  <c r="K718" i="2"/>
  <c r="K782" i="2"/>
  <c r="K835" i="2"/>
  <c r="K915" i="2"/>
  <c r="K979" i="2"/>
  <c r="K606" i="2"/>
  <c r="K671" i="2"/>
  <c r="K725" i="2"/>
  <c r="K789" i="2"/>
  <c r="K869" i="2"/>
  <c r="K933" i="2"/>
  <c r="K652" i="2"/>
  <c r="K708" i="2"/>
  <c r="K756" i="2"/>
  <c r="K812" i="2"/>
  <c r="K864" i="2"/>
  <c r="K908" i="2"/>
  <c r="K960" i="2"/>
  <c r="K312" i="2"/>
  <c r="K328" i="2"/>
  <c r="K344" i="2"/>
  <c r="K360" i="2"/>
  <c r="K376" i="2"/>
  <c r="K392" i="2"/>
  <c r="K408" i="2"/>
  <c r="K424" i="2"/>
  <c r="K440" i="2"/>
  <c r="K456" i="2"/>
  <c r="K472" i="2"/>
  <c r="K488" i="2"/>
  <c r="K504" i="2"/>
  <c r="K520" i="2"/>
  <c r="K536" i="2"/>
  <c r="K552" i="2"/>
  <c r="K233" i="2"/>
  <c r="K249" i="2"/>
  <c r="K265" i="2"/>
  <c r="K281" i="2"/>
  <c r="K297" i="2"/>
  <c r="K313" i="2"/>
  <c r="K337" i="2"/>
  <c r="K357" i="2"/>
  <c r="K377" i="2"/>
  <c r="K401" i="2"/>
  <c r="K421" i="2"/>
  <c r="K441" i="2"/>
  <c r="K465" i="2"/>
  <c r="K485" i="2"/>
  <c r="K505" i="2"/>
  <c r="K529" i="2"/>
  <c r="K549" i="2"/>
  <c r="K571" i="2"/>
  <c r="K595" i="2"/>
  <c r="K615" i="2"/>
  <c r="K635" i="2"/>
  <c r="K667" i="2"/>
  <c r="K699" i="2"/>
  <c r="K737" i="2"/>
  <c r="K779" i="2"/>
  <c r="K817" i="2"/>
  <c r="K849" i="2"/>
  <c r="K891" i="2"/>
  <c r="K929" i="2"/>
  <c r="K966" i="2"/>
  <c r="K576" i="2"/>
  <c r="K600" i="2"/>
  <c r="K628" i="2"/>
  <c r="K663" i="2"/>
  <c r="K701" i="2"/>
  <c r="K733" i="2"/>
  <c r="K775" i="2"/>
  <c r="K813" i="2"/>
  <c r="K850" i="2"/>
  <c r="K893" i="2"/>
  <c r="K925" i="2"/>
  <c r="K962" i="2"/>
  <c r="K577" i="2"/>
  <c r="K613" i="2"/>
  <c r="K645" i="2"/>
  <c r="K702" i="2"/>
  <c r="K750" i="2"/>
  <c r="K803" i="2"/>
  <c r="K857" i="2"/>
  <c r="K899" i="2"/>
  <c r="K953" i="2"/>
  <c r="K578" i="2"/>
  <c r="K618" i="2"/>
  <c r="K650" i="2"/>
  <c r="K703" i="2"/>
  <c r="K757" i="2"/>
  <c r="K805" i="2"/>
  <c r="K863" i="2"/>
  <c r="K906" i="2"/>
  <c r="K954" i="2"/>
  <c r="K668" i="2"/>
  <c r="K704" i="2"/>
  <c r="K736" i="2"/>
  <c r="K780" i="2"/>
  <c r="K816" i="2"/>
  <c r="K852" i="2"/>
  <c r="K896" i="2"/>
  <c r="K928" i="2"/>
  <c r="K968" i="2"/>
  <c r="K317" i="2"/>
  <c r="K333" i="2"/>
  <c r="K349" i="2"/>
  <c r="K365" i="2"/>
  <c r="K381" i="2"/>
  <c r="K397" i="2"/>
  <c r="K413" i="2"/>
  <c r="K429" i="2"/>
  <c r="K445" i="2"/>
  <c r="K461" i="2"/>
  <c r="K477" i="2"/>
  <c r="K493" i="2"/>
  <c r="K509" i="2"/>
  <c r="K525" i="2"/>
  <c r="K541" i="2"/>
  <c r="K557" i="2"/>
  <c r="K575" i="2"/>
  <c r="K591" i="2"/>
  <c r="K607" i="2"/>
  <c r="K623" i="2"/>
  <c r="K639" i="2"/>
  <c r="K657" i="2"/>
  <c r="K689" i="2"/>
  <c r="K715" i="2"/>
  <c r="K742" i="2"/>
  <c r="K774" i="2"/>
  <c r="K801" i="2"/>
  <c r="K827" i="2"/>
  <c r="K859" i="2"/>
  <c r="K886" i="2"/>
  <c r="K913" i="2"/>
  <c r="K945" i="2"/>
  <c r="K971" i="2"/>
  <c r="K568" i="2"/>
  <c r="K592" i="2"/>
  <c r="K612" i="2"/>
  <c r="K632" i="2"/>
  <c r="K658" i="2"/>
  <c r="K685" i="2"/>
  <c r="K711" i="2"/>
  <c r="K743" i="2"/>
  <c r="K770" i="2"/>
  <c r="K797" i="2"/>
  <c r="K829" i="2"/>
  <c r="K855" i="2"/>
  <c r="K882" i="2"/>
  <c r="K914" i="2"/>
  <c r="K941" i="2"/>
  <c r="K967" i="2"/>
  <c r="K573" i="2"/>
  <c r="K597" i="2"/>
  <c r="K625" i="2"/>
  <c r="K659" i="2"/>
  <c r="K697" i="2"/>
  <c r="K729" i="2"/>
  <c r="K771" i="2"/>
  <c r="K809" i="2"/>
  <c r="K846" i="2"/>
  <c r="K889" i="2"/>
  <c r="K921" i="2"/>
  <c r="K958" i="2"/>
  <c r="K574" i="2"/>
  <c r="K602" i="2"/>
  <c r="K626" i="2"/>
  <c r="K661" i="2"/>
  <c r="K698" i="2"/>
  <c r="K735" i="2"/>
  <c r="K778" i="2"/>
  <c r="K810" i="2"/>
  <c r="K847" i="2"/>
  <c r="K890" i="2"/>
  <c r="K927" i="2"/>
  <c r="K959" i="2"/>
  <c r="K660" i="2"/>
  <c r="K688" i="2"/>
  <c r="K716" i="2"/>
  <c r="K748" i="2"/>
  <c r="K772" i="2"/>
  <c r="K800" i="2"/>
  <c r="K832" i="2"/>
  <c r="K860" i="2"/>
  <c r="K884" i="2"/>
  <c r="K916" i="2"/>
  <c r="K944" i="2"/>
  <c r="K984" i="2"/>
  <c r="K662" i="2"/>
  <c r="K683" i="2"/>
  <c r="K705" i="2"/>
  <c r="K726" i="2"/>
  <c r="K747" i="2"/>
  <c r="K769" i="2"/>
  <c r="K790" i="2"/>
  <c r="K811" i="2"/>
  <c r="K833" i="2"/>
  <c r="K854" i="2"/>
  <c r="K875" i="2"/>
  <c r="K897" i="2"/>
  <c r="K918" i="2"/>
  <c r="K939" i="2"/>
  <c r="K961" i="2"/>
  <c r="K982" i="2"/>
  <c r="K572" i="2"/>
  <c r="K588" i="2"/>
  <c r="K604" i="2"/>
  <c r="K620" i="2"/>
  <c r="K636" i="2"/>
  <c r="K653" i="2"/>
  <c r="K674" i="2"/>
  <c r="K695" i="2"/>
  <c r="K717" i="2"/>
  <c r="K738" i="2"/>
  <c r="K759" i="2"/>
  <c r="K781" i="2"/>
  <c r="K802" i="2"/>
  <c r="K823" i="2"/>
  <c r="K845" i="2"/>
  <c r="K866" i="2"/>
  <c r="K887" i="2"/>
  <c r="K909" i="2"/>
  <c r="K930" i="2"/>
  <c r="K951" i="2"/>
  <c r="K973" i="2"/>
  <c r="K565" i="2"/>
  <c r="K589" i="2"/>
  <c r="K609" i="2"/>
  <c r="K629" i="2"/>
  <c r="K654" i="2"/>
  <c r="K681" i="2"/>
  <c r="K707" i="2"/>
  <c r="K739" i="2"/>
  <c r="K766" i="2"/>
  <c r="K793" i="2"/>
  <c r="K825" i="2"/>
  <c r="K851" i="2"/>
  <c r="K878" i="2"/>
  <c r="K910" i="2"/>
  <c r="K937" i="2"/>
  <c r="K963" i="2"/>
  <c r="K570" i="2"/>
  <c r="K590" i="2"/>
  <c r="K610" i="2"/>
  <c r="K634" i="2"/>
  <c r="K655" i="2"/>
  <c r="K682" i="2"/>
  <c r="K714" i="2"/>
  <c r="K741" i="2"/>
  <c r="K767" i="2"/>
  <c r="K799" i="2"/>
  <c r="K826" i="2"/>
  <c r="K853" i="2"/>
  <c r="K885" i="2"/>
  <c r="K911" i="2"/>
  <c r="K938" i="2"/>
  <c r="K970" i="2"/>
  <c r="K656" i="2"/>
  <c r="K676" i="2"/>
  <c r="K700" i="2"/>
  <c r="K720" i="2"/>
  <c r="K740" i="2"/>
  <c r="K764" i="2"/>
  <c r="K784" i="2"/>
  <c r="K804" i="2"/>
  <c r="K828" i="2"/>
  <c r="K848" i="2"/>
  <c r="K868" i="2"/>
  <c r="K892" i="2"/>
  <c r="K912" i="2"/>
  <c r="K932" i="2"/>
  <c r="K956" i="2"/>
  <c r="K988" i="2"/>
  <c r="I925" i="1"/>
  <c r="I2340" i="1"/>
  <c r="I1807" i="1"/>
  <c r="I1342" i="1"/>
  <c r="I1105" i="1"/>
  <c r="I913" i="1"/>
  <c r="I753" i="1"/>
  <c r="I537" i="1"/>
  <c r="I281" i="1"/>
  <c r="I118" i="1"/>
  <c r="I2138" i="1"/>
  <c r="I639" i="1"/>
  <c r="I2095" i="1"/>
  <c r="I655" i="1"/>
  <c r="I1871" i="1"/>
  <c r="I997" i="1"/>
  <c r="I2087" i="1"/>
  <c r="I1110" i="1"/>
  <c r="I245" i="1"/>
  <c r="I829" i="1"/>
  <c r="I1181" i="1"/>
  <c r="I2213" i="1"/>
  <c r="I447" i="1"/>
  <c r="I1183" i="1"/>
  <c r="I149" i="1"/>
  <c r="I767" i="1"/>
  <c r="I1650" i="1"/>
  <c r="I74" i="1"/>
  <c r="I158" i="1"/>
  <c r="I329" i="1"/>
  <c r="I497" i="1"/>
  <c r="I665" i="1"/>
  <c r="I817" i="1"/>
  <c r="I945" i="1"/>
  <c r="I1073" i="1"/>
  <c r="I1214" i="1"/>
  <c r="I1470" i="1"/>
  <c r="I1935" i="1"/>
  <c r="I2284" i="1"/>
  <c r="I2149" i="1"/>
  <c r="I1658" i="1"/>
  <c r="I1278" i="1"/>
  <c r="I1041" i="1"/>
  <c r="I881" i="1"/>
  <c r="I713" i="1"/>
  <c r="I457" i="1"/>
  <c r="I241" i="1"/>
  <c r="I94" i="1"/>
  <c r="I1322" i="1"/>
  <c r="I479" i="1"/>
  <c r="I1450" i="1"/>
  <c r="I279" i="1"/>
  <c r="I1494" i="1"/>
  <c r="I2245" i="1"/>
  <c r="I2106" i="1"/>
  <c r="I1541" i="1"/>
  <c r="I1169" i="1"/>
  <c r="I1009" i="1"/>
  <c r="I849" i="1"/>
  <c r="I625" i="1"/>
  <c r="I409" i="1"/>
  <c r="I201" i="1"/>
  <c r="I54" i="1"/>
  <c r="I1119" i="1"/>
  <c r="I287" i="1"/>
  <c r="I991" i="1"/>
  <c r="I145" i="1"/>
  <c r="I1318" i="1"/>
  <c r="I725" i="1"/>
  <c r="I619" i="1"/>
  <c r="I1978" i="1"/>
  <c r="I1406" i="1"/>
  <c r="I1137" i="1"/>
  <c r="I977" i="1"/>
  <c r="I785" i="1"/>
  <c r="I585" i="1"/>
  <c r="I369" i="1"/>
  <c r="I138" i="1"/>
  <c r="I22" i="1"/>
  <c r="I951" i="1"/>
  <c r="I77" i="1"/>
  <c r="I847" i="1"/>
  <c r="I49" i="1"/>
  <c r="I1085" i="1"/>
  <c r="I629" i="1"/>
  <c r="I202" i="1"/>
  <c r="K569" i="2"/>
  <c r="K585" i="2"/>
  <c r="K601" i="2"/>
  <c r="K617" i="2"/>
  <c r="K633" i="2"/>
  <c r="K649" i="2"/>
  <c r="K670" i="2"/>
  <c r="K691" i="2"/>
  <c r="K713" i="2"/>
  <c r="K734" i="2"/>
  <c r="K755" i="2"/>
  <c r="K777" i="2"/>
  <c r="K798" i="2"/>
  <c r="K819" i="2"/>
  <c r="K841" i="2"/>
  <c r="K862" i="2"/>
  <c r="K883" i="2"/>
  <c r="K905" i="2"/>
  <c r="K926" i="2"/>
  <c r="K947" i="2"/>
  <c r="K969" i="2"/>
  <c r="K566" i="2"/>
  <c r="K582" i="2"/>
  <c r="K598" i="2"/>
  <c r="K614" i="2"/>
  <c r="K630" i="2"/>
  <c r="K646" i="2"/>
  <c r="K666" i="2"/>
  <c r="K687" i="2"/>
  <c r="K709" i="2"/>
  <c r="K730" i="2"/>
  <c r="K751" i="2"/>
  <c r="K773" i="2"/>
  <c r="K794" i="2"/>
  <c r="K815" i="2"/>
  <c r="K837" i="2"/>
  <c r="K858" i="2"/>
  <c r="K879" i="2"/>
  <c r="K901" i="2"/>
  <c r="K922" i="2"/>
  <c r="K943" i="2"/>
  <c r="K965" i="2"/>
  <c r="K987" i="2"/>
  <c r="K664" i="2"/>
  <c r="K680" i="2"/>
  <c r="K696" i="2"/>
  <c r="K712" i="2"/>
  <c r="K728" i="2"/>
  <c r="K744" i="2"/>
  <c r="K760" i="2"/>
  <c r="K776" i="2"/>
  <c r="K792" i="2"/>
  <c r="K808" i="2"/>
  <c r="K824" i="2"/>
  <c r="K840" i="2"/>
  <c r="K856" i="2"/>
  <c r="K872" i="2"/>
  <c r="K888" i="2"/>
  <c r="K904" i="2"/>
  <c r="K920" i="2"/>
  <c r="K936" i="2"/>
  <c r="K952" i="2"/>
  <c r="K972" i="2"/>
  <c r="K964" i="2"/>
  <c r="K980" i="2"/>
  <c r="K986" i="2"/>
  <c r="I2191" i="1"/>
  <c r="I2021" i="1"/>
  <c r="I1850" i="1"/>
  <c r="I1690" i="1"/>
  <c r="I1562" i="1"/>
  <c r="I1486" i="1"/>
  <c r="I1422" i="1"/>
  <c r="I1358" i="1"/>
  <c r="I1294" i="1"/>
  <c r="I1230" i="1"/>
  <c r="I1177" i="1"/>
  <c r="I1145" i="1"/>
  <c r="I1113" i="1"/>
  <c r="I1081" i="1"/>
  <c r="I1049" i="1"/>
  <c r="I1017" i="1"/>
  <c r="I985" i="1"/>
  <c r="I953" i="1"/>
  <c r="I921" i="1"/>
  <c r="I889" i="1"/>
  <c r="I857" i="1"/>
  <c r="I825" i="1"/>
  <c r="I793" i="1"/>
  <c r="I761" i="1"/>
  <c r="I721" i="1"/>
  <c r="I681" i="1"/>
  <c r="I633" i="1"/>
  <c r="I593" i="1"/>
  <c r="I553" i="1"/>
  <c r="I505" i="1"/>
  <c r="I465" i="1"/>
  <c r="I425" i="1"/>
  <c r="I377" i="1"/>
  <c r="I337" i="1"/>
  <c r="I297" i="1"/>
  <c r="I249" i="1"/>
  <c r="I209" i="1"/>
  <c r="I169" i="1"/>
  <c r="I142" i="1"/>
  <c r="I122" i="1"/>
  <c r="I102" i="1"/>
  <c r="I78" i="1"/>
  <c r="I58" i="1"/>
  <c r="I34" i="1"/>
  <c r="I2326" i="1"/>
  <c r="I1714" i="1"/>
  <c r="I1402" i="1"/>
  <c r="I1135" i="1"/>
  <c r="I999" i="1"/>
  <c r="I831" i="1"/>
  <c r="I663" i="1"/>
  <c r="I503" i="1"/>
  <c r="I359" i="1"/>
  <c r="I175" i="1"/>
  <c r="I89" i="1"/>
  <c r="I2269" i="1"/>
  <c r="I1514" i="1"/>
  <c r="I1258" i="1"/>
  <c r="I1063" i="1"/>
  <c r="I871" i="1"/>
  <c r="I679" i="1"/>
  <c r="I519" i="1"/>
  <c r="I327" i="1"/>
  <c r="I157" i="1"/>
  <c r="I73" i="1"/>
  <c r="I2255" i="1"/>
  <c r="I1914" i="1"/>
  <c r="I1578" i="1"/>
  <c r="I1366" i="1"/>
  <c r="I1190" i="1"/>
  <c r="I1117" i="1"/>
  <c r="I1021" i="1"/>
  <c r="I933" i="1"/>
  <c r="I861" i="1"/>
  <c r="I757" i="1"/>
  <c r="I637" i="1"/>
  <c r="I541" i="1"/>
  <c r="I285" i="1"/>
  <c r="I88" i="1"/>
  <c r="I963" i="1"/>
  <c r="I103" i="1"/>
  <c r="I662" i="1"/>
  <c r="I1765" i="1"/>
  <c r="I1626" i="1"/>
  <c r="I1520" i="1"/>
  <c r="I1454" i="1"/>
  <c r="I1390" i="1"/>
  <c r="I1326" i="1"/>
  <c r="I1262" i="1"/>
  <c r="I1198" i="1"/>
  <c r="I1161" i="1"/>
  <c r="I1129" i="1"/>
  <c r="I1097" i="1"/>
  <c r="I1065" i="1"/>
  <c r="I1033" i="1"/>
  <c r="I1001" i="1"/>
  <c r="I969" i="1"/>
  <c r="I937" i="1"/>
  <c r="I905" i="1"/>
  <c r="I873" i="1"/>
  <c r="I841" i="1"/>
  <c r="I809" i="1"/>
  <c r="I777" i="1"/>
  <c r="I745" i="1"/>
  <c r="I697" i="1"/>
  <c r="I657" i="1"/>
  <c r="I617" i="1"/>
  <c r="I569" i="1"/>
  <c r="I529" i="1"/>
  <c r="I489" i="1"/>
  <c r="I441" i="1"/>
  <c r="I401" i="1"/>
  <c r="I361" i="1"/>
  <c r="I313" i="1"/>
  <c r="I273" i="1"/>
  <c r="I233" i="1"/>
  <c r="I185" i="1"/>
  <c r="I154" i="1"/>
  <c r="I134" i="1"/>
  <c r="I110" i="1"/>
  <c r="I90" i="1"/>
  <c r="I70" i="1"/>
  <c r="I42" i="1"/>
  <c r="I18" i="1"/>
  <c r="I2053" i="1"/>
  <c r="I1498" i="1"/>
  <c r="I1242" i="1"/>
  <c r="I1095" i="1"/>
  <c r="I903" i="1"/>
  <c r="I751" i="1"/>
  <c r="I599" i="1"/>
  <c r="I407" i="1"/>
  <c r="I263" i="1"/>
  <c r="I137" i="1"/>
  <c r="I41" i="1"/>
  <c r="I1839" i="1"/>
  <c r="I1418" i="1"/>
  <c r="I1143" i="1"/>
  <c r="I967" i="1"/>
  <c r="I799" i="1"/>
  <c r="I567" i="1"/>
  <c r="I423" i="1"/>
  <c r="I255" i="1"/>
  <c r="I109" i="1"/>
  <c r="I25" i="1"/>
  <c r="I2170" i="1"/>
  <c r="I1706" i="1"/>
  <c r="I1446" i="1"/>
  <c r="I1302" i="1"/>
  <c r="I1149" i="1"/>
  <c r="I1061" i="1"/>
  <c r="I989" i="1"/>
  <c r="I893" i="1"/>
  <c r="I805" i="1"/>
  <c r="I717" i="1"/>
  <c r="I589" i="1"/>
  <c r="I413" i="1"/>
  <c r="I205" i="1"/>
  <c r="I1733" i="1"/>
  <c r="I491" i="1"/>
  <c r="I314" i="1"/>
  <c r="I360" i="1"/>
  <c r="K976" i="2"/>
  <c r="I2234" i="1"/>
  <c r="I2063" i="1"/>
  <c r="I1893" i="1"/>
  <c r="I1722" i="1"/>
  <c r="I1594" i="1"/>
  <c r="I1502" i="1"/>
  <c r="I1438" i="1"/>
  <c r="I1374" i="1"/>
  <c r="I1310" i="1"/>
  <c r="I1246" i="1"/>
  <c r="I1185" i="1"/>
  <c r="I1153" i="1"/>
  <c r="I1121" i="1"/>
  <c r="I1089" i="1"/>
  <c r="I1057" i="1"/>
  <c r="I1025" i="1"/>
  <c r="I993" i="1"/>
  <c r="I961" i="1"/>
  <c r="I929" i="1"/>
  <c r="I897" i="1"/>
  <c r="I865" i="1"/>
  <c r="I833" i="1"/>
  <c r="I801" i="1"/>
  <c r="I769" i="1"/>
  <c r="I729" i="1"/>
  <c r="I689" i="1"/>
  <c r="I649" i="1"/>
  <c r="I601" i="1"/>
  <c r="I561" i="1"/>
  <c r="I521" i="1"/>
  <c r="I473" i="1"/>
  <c r="I433" i="1"/>
  <c r="I393" i="1"/>
  <c r="I345" i="1"/>
  <c r="I305" i="1"/>
  <c r="I265" i="1"/>
  <c r="I217" i="1"/>
  <c r="I177" i="1"/>
  <c r="I150" i="1"/>
  <c r="I126" i="1"/>
  <c r="I106" i="1"/>
  <c r="I86" i="1"/>
  <c r="I62" i="1"/>
  <c r="I38" i="1"/>
  <c r="I10" i="1"/>
  <c r="I1797" i="1"/>
  <c r="I1466" i="1"/>
  <c r="I1194" i="1"/>
  <c r="I1023" i="1"/>
  <c r="I855" i="1"/>
  <c r="I727" i="1"/>
  <c r="I551" i="1"/>
  <c r="I383" i="1"/>
  <c r="I215" i="1"/>
  <c r="I101" i="1"/>
  <c r="I29" i="1"/>
  <c r="I1754" i="1"/>
  <c r="I1306" i="1"/>
  <c r="I1087" i="1"/>
  <c r="I943" i="1"/>
  <c r="I735" i="1"/>
  <c r="I543" i="1"/>
  <c r="I375" i="1"/>
  <c r="I183" i="1"/>
  <c r="I97" i="1"/>
  <c r="I13" i="1"/>
  <c r="I2042" i="1"/>
  <c r="I1610" i="1"/>
  <c r="I1430" i="1"/>
  <c r="I1238" i="1"/>
  <c r="I1125" i="1"/>
  <c r="I1053" i="1"/>
  <c r="I957" i="1"/>
  <c r="I869" i="1"/>
  <c r="I797" i="1"/>
  <c r="I669" i="1"/>
  <c r="I557" i="1"/>
  <c r="I373" i="1"/>
  <c r="I120" i="1"/>
  <c r="I1059" i="1"/>
  <c r="I159" i="1"/>
  <c r="I430" i="1"/>
  <c r="I1345" i="1"/>
  <c r="I140" i="1"/>
  <c r="I32" i="1"/>
  <c r="I1171" i="1"/>
  <c r="I723" i="1"/>
  <c r="I283" i="1"/>
  <c r="I174" i="1"/>
  <c r="I286" i="1"/>
  <c r="I398" i="1"/>
  <c r="I554" i="1"/>
  <c r="I1002" i="1"/>
  <c r="I2175" i="1"/>
  <c r="I1172" i="1"/>
  <c r="I230" i="1"/>
  <c r="I346" i="1"/>
  <c r="I458" i="1"/>
  <c r="I766" i="1"/>
  <c r="I1288" i="1"/>
  <c r="I568" i="1"/>
  <c r="I1235" i="1"/>
  <c r="I737" i="1"/>
  <c r="I705" i="1"/>
  <c r="I673" i="1"/>
  <c r="I641" i="1"/>
  <c r="I609" i="1"/>
  <c r="I577" i="1"/>
  <c r="I545" i="1"/>
  <c r="I513" i="1"/>
  <c r="I481" i="1"/>
  <c r="I449" i="1"/>
  <c r="I417" i="1"/>
  <c r="I385" i="1"/>
  <c r="I353" i="1"/>
  <c r="I321" i="1"/>
  <c r="I289" i="1"/>
  <c r="I257" i="1"/>
  <c r="I225" i="1"/>
  <c r="I193" i="1"/>
  <c r="I162" i="1"/>
  <c r="I146" i="1"/>
  <c r="I130" i="1"/>
  <c r="I114" i="1"/>
  <c r="I98" i="1"/>
  <c r="I82" i="1"/>
  <c r="I66" i="1"/>
  <c r="I50" i="1"/>
  <c r="I26" i="1"/>
  <c r="I7" i="1"/>
  <c r="I1967" i="1"/>
  <c r="I1536" i="1"/>
  <c r="I1354" i="1"/>
  <c r="I1175" i="1"/>
  <c r="I1047" i="1"/>
  <c r="I927" i="1"/>
  <c r="I815" i="1"/>
  <c r="I687" i="1"/>
  <c r="I575" i="1"/>
  <c r="I455" i="1"/>
  <c r="I311" i="1"/>
  <c r="I199" i="1"/>
  <c r="I125" i="1"/>
  <c r="I53" i="1"/>
  <c r="I2181" i="1"/>
  <c r="I1618" i="1"/>
  <c r="I1338" i="1"/>
  <c r="I1167" i="1"/>
  <c r="I1039" i="1"/>
  <c r="I895" i="1"/>
  <c r="I775" i="1"/>
  <c r="I631" i="1"/>
  <c r="I471" i="1"/>
  <c r="I351" i="1"/>
  <c r="I231" i="1"/>
  <c r="I121" i="1"/>
  <c r="I61" i="1"/>
  <c r="I2369" i="1"/>
  <c r="I2085" i="1"/>
  <c r="I1743" i="1"/>
  <c r="I1510" i="1"/>
  <c r="I1382" i="1"/>
  <c r="I1254" i="1"/>
  <c r="I1157" i="1"/>
  <c r="I1093" i="1"/>
  <c r="I1029" i="1"/>
  <c r="I965" i="1"/>
  <c r="I901" i="1"/>
  <c r="I837" i="1"/>
  <c r="I765" i="1"/>
  <c r="I685" i="1"/>
  <c r="I597" i="1"/>
  <c r="I501" i="1"/>
  <c r="I333" i="1"/>
  <c r="I160" i="1"/>
  <c r="I60" i="1"/>
  <c r="I1410" i="1"/>
  <c r="I835" i="1"/>
  <c r="I395" i="1"/>
  <c r="I55" i="1"/>
  <c r="I262" i="1"/>
  <c r="I374" i="1"/>
  <c r="I490" i="1"/>
  <c r="I894" i="1"/>
  <c r="I1504" i="1"/>
  <c r="I816" i="1"/>
  <c r="I1881" i="1"/>
  <c r="I509" i="1"/>
  <c r="I469" i="1"/>
  <c r="I429" i="1"/>
  <c r="I381" i="1"/>
  <c r="I341" i="1"/>
  <c r="I301" i="1"/>
  <c r="I253" i="1"/>
  <c r="I213" i="1"/>
  <c r="I173" i="1"/>
  <c r="I144" i="1"/>
  <c r="I124" i="1"/>
  <c r="I96" i="1"/>
  <c r="I64" i="1"/>
  <c r="I40" i="1"/>
  <c r="I12" i="1"/>
  <c r="I1818" i="1"/>
  <c r="I1442" i="1"/>
  <c r="I1250" i="1"/>
  <c r="I1091" i="1"/>
  <c r="I979" i="1"/>
  <c r="I867" i="1"/>
  <c r="I739" i="1"/>
  <c r="I651" i="1"/>
  <c r="I539" i="1"/>
  <c r="I411" i="1"/>
  <c r="I299" i="1"/>
  <c r="I203" i="1"/>
  <c r="I119" i="1"/>
  <c r="I63" i="1"/>
  <c r="I166" i="1"/>
  <c r="I198" i="1"/>
  <c r="I222" i="1"/>
  <c r="I250" i="1"/>
  <c r="I282" i="1"/>
  <c r="I310" i="1"/>
  <c r="I334" i="1"/>
  <c r="I366" i="1"/>
  <c r="I394" i="1"/>
  <c r="I422" i="1"/>
  <c r="I454" i="1"/>
  <c r="I486" i="1"/>
  <c r="I518" i="1"/>
  <c r="I638" i="1"/>
  <c r="I746" i="1"/>
  <c r="I854" i="1"/>
  <c r="I982" i="1"/>
  <c r="I1086" i="1"/>
  <c r="I1200" i="1"/>
  <c r="I1456" i="1"/>
  <c r="I2026" i="1"/>
  <c r="I280" i="1"/>
  <c r="I508" i="1"/>
  <c r="I764" i="1"/>
  <c r="I1032" i="1"/>
  <c r="I1261" i="1"/>
  <c r="I2071" i="1"/>
  <c r="I2187" i="1"/>
  <c r="I1904" i="1"/>
  <c r="I1645" i="1"/>
  <c r="I1379" i="1"/>
  <c r="I1592" i="1"/>
  <c r="I2143" i="1"/>
  <c r="I1100" i="1"/>
  <c r="I872" i="1"/>
  <c r="I656" i="1"/>
  <c r="I472" i="1"/>
  <c r="I320" i="1"/>
  <c r="I168" i="1"/>
  <c r="I1710" i="1"/>
  <c r="I1416" i="1"/>
  <c r="I1240" i="1"/>
  <c r="I1130" i="1"/>
  <c r="I1046" i="1"/>
  <c r="I958" i="1"/>
  <c r="I874" i="1"/>
  <c r="I790" i="1"/>
  <c r="I702" i="1"/>
  <c r="I618" i="1"/>
  <c r="I534" i="1"/>
  <c r="I494" i="1"/>
  <c r="I470" i="1"/>
  <c r="I446" i="1"/>
  <c r="I426" i="1"/>
  <c r="I406" i="1"/>
  <c r="I382" i="1"/>
  <c r="I362" i="1"/>
  <c r="I342" i="1"/>
  <c r="I318" i="1"/>
  <c r="I298" i="1"/>
  <c r="I278" i="1"/>
  <c r="I254" i="1"/>
  <c r="I234" i="1"/>
  <c r="I214" i="1"/>
  <c r="I190" i="1"/>
  <c r="I170" i="1"/>
  <c r="I39" i="1"/>
  <c r="I87" i="1"/>
  <c r="I127" i="1"/>
  <c r="I171" i="1"/>
  <c r="I267" i="1"/>
  <c r="I347" i="1"/>
  <c r="I427" i="1"/>
  <c r="I523" i="1"/>
  <c r="I603" i="1"/>
  <c r="I675" i="1"/>
  <c r="I771" i="1"/>
  <c r="I851" i="1"/>
  <c r="I931" i="1"/>
  <c r="I1027" i="1"/>
  <c r="I1107" i="1"/>
  <c r="I1187" i="1"/>
  <c r="I1378" i="1"/>
  <c r="I1546" i="1"/>
  <c r="I1903" i="1"/>
  <c r="I8" i="1"/>
  <c r="I28" i="1"/>
  <c r="I48" i="1"/>
  <c r="I72" i="1"/>
  <c r="I92" i="1"/>
  <c r="I112" i="1"/>
  <c r="I132" i="1"/>
  <c r="I148" i="1"/>
  <c r="I165" i="1"/>
  <c r="I197" i="1"/>
  <c r="I229" i="1"/>
  <c r="I261" i="1"/>
  <c r="I293" i="1"/>
  <c r="I325" i="1"/>
  <c r="I357" i="1"/>
  <c r="I389" i="1"/>
  <c r="I421" i="1"/>
  <c r="I453" i="1"/>
  <c r="I485" i="1"/>
  <c r="I517" i="1"/>
  <c r="I549" i="1"/>
  <c r="I581" i="1"/>
  <c r="I613" i="1"/>
  <c r="I645" i="1"/>
  <c r="I677" i="1"/>
  <c r="I709" i="1"/>
  <c r="I741" i="1"/>
  <c r="I773" i="1"/>
  <c r="I1999" i="1"/>
  <c r="I1829" i="1"/>
  <c r="I1674" i="1"/>
  <c r="I1552" i="1"/>
  <c r="I1478" i="1"/>
  <c r="I1414" i="1"/>
  <c r="I1350" i="1"/>
  <c r="I1286" i="1"/>
  <c r="I1222" i="1"/>
  <c r="I1173" i="1"/>
  <c r="I1141" i="1"/>
  <c r="I1109" i="1"/>
  <c r="I1077" i="1"/>
  <c r="I1045" i="1"/>
  <c r="I1013" i="1"/>
  <c r="I981" i="1"/>
  <c r="I949" i="1"/>
  <c r="I917" i="1"/>
  <c r="I885" i="1"/>
  <c r="I853" i="1"/>
  <c r="I821" i="1"/>
  <c r="I789" i="1"/>
  <c r="I749" i="1"/>
  <c r="I701" i="1"/>
  <c r="I661" i="1"/>
  <c r="I621" i="1"/>
  <c r="I573" i="1"/>
  <c r="I533" i="1"/>
  <c r="I493" i="1"/>
  <c r="I445" i="1"/>
  <c r="I405" i="1"/>
  <c r="I365" i="1"/>
  <c r="I317" i="1"/>
  <c r="I277" i="1"/>
  <c r="I237" i="1"/>
  <c r="I189" i="1"/>
  <c r="I156" i="1"/>
  <c r="I136" i="1"/>
  <c r="I108" i="1"/>
  <c r="I80" i="1"/>
  <c r="I56" i="1"/>
  <c r="I24" i="1"/>
  <c r="I2159" i="1"/>
  <c r="I1602" i="1"/>
  <c r="I1314" i="1"/>
  <c r="I1155" i="1"/>
  <c r="I1043" i="1"/>
  <c r="I915" i="1"/>
  <c r="I803" i="1"/>
  <c r="I707" i="1"/>
  <c r="I587" i="1"/>
  <c r="I475" i="1"/>
  <c r="I363" i="1"/>
  <c r="I235" i="1"/>
  <c r="I151" i="1"/>
  <c r="I95" i="1"/>
  <c r="I31" i="1"/>
  <c r="I182" i="1"/>
  <c r="I206" i="1"/>
  <c r="I238" i="1"/>
  <c r="I266" i="1"/>
  <c r="I294" i="1"/>
  <c r="I326" i="1"/>
  <c r="I350" i="1"/>
  <c r="I378" i="1"/>
  <c r="I410" i="1"/>
  <c r="I438" i="1"/>
  <c r="I462" i="1"/>
  <c r="I506" i="1"/>
  <c r="I574" i="1"/>
  <c r="I682" i="1"/>
  <c r="I810" i="1"/>
  <c r="I918" i="1"/>
  <c r="I1022" i="1"/>
  <c r="I1150" i="1"/>
  <c r="I1328" i="1"/>
  <c r="I1598" i="1"/>
  <c r="I208" i="1"/>
  <c r="I396" i="1"/>
  <c r="I616" i="1"/>
  <c r="I912" i="1"/>
  <c r="I1380" i="1"/>
  <c r="I1453" i="1"/>
  <c r="I1499" i="1"/>
  <c r="I2163" i="1"/>
  <c r="I46" i="1"/>
  <c r="I30" i="1"/>
  <c r="I14" i="1"/>
  <c r="I2223" i="1"/>
  <c r="I1882" i="1"/>
  <c r="I1586" i="1"/>
  <c r="I1434" i="1"/>
  <c r="I1274" i="1"/>
  <c r="I1151" i="1"/>
  <c r="I1071" i="1"/>
  <c r="I975" i="1"/>
  <c r="I879" i="1"/>
  <c r="I791" i="1"/>
  <c r="I711" i="1"/>
  <c r="I615" i="1"/>
  <c r="I527" i="1"/>
  <c r="I431" i="1"/>
  <c r="I335" i="1"/>
  <c r="I239" i="1"/>
  <c r="I161" i="1"/>
  <c r="I113" i="1"/>
  <c r="I65" i="1"/>
  <c r="I17" i="1"/>
  <c r="I1925" i="1"/>
  <c r="I1557" i="1"/>
  <c r="I1386" i="1"/>
  <c r="I1226" i="1"/>
  <c r="I1111" i="1"/>
  <c r="I1015" i="1"/>
  <c r="I919" i="1"/>
  <c r="I823" i="1"/>
  <c r="I703" i="1"/>
  <c r="I591" i="1"/>
  <c r="I495" i="1"/>
  <c r="I399" i="1"/>
  <c r="I303" i="1"/>
  <c r="I207" i="1"/>
  <c r="I133" i="1"/>
  <c r="I85" i="1"/>
  <c r="I37" i="1"/>
  <c r="I2312" i="1"/>
  <c r="I2127" i="1"/>
  <c r="I1957" i="1"/>
  <c r="I1786" i="1"/>
  <c r="I1642" i="1"/>
  <c r="I1530" i="1"/>
  <c r="I1462" i="1"/>
  <c r="I1398" i="1"/>
  <c r="I1334" i="1"/>
  <c r="I1270" i="1"/>
  <c r="I1206" i="1"/>
  <c r="I1165" i="1"/>
  <c r="I1133" i="1"/>
  <c r="I1101" i="1"/>
  <c r="I1069" i="1"/>
  <c r="I1037" i="1"/>
  <c r="I1005" i="1"/>
  <c r="I973" i="1"/>
  <c r="I941" i="1"/>
  <c r="I909" i="1"/>
  <c r="I877" i="1"/>
  <c r="I845" i="1"/>
  <c r="I813" i="1"/>
  <c r="I781" i="1"/>
  <c r="I733" i="1"/>
  <c r="I693" i="1"/>
  <c r="I653" i="1"/>
  <c r="I605" i="1"/>
  <c r="I565" i="1"/>
  <c r="I525" i="1"/>
  <c r="I477" i="1"/>
  <c r="I437" i="1"/>
  <c r="I397" i="1"/>
  <c r="I349" i="1"/>
  <c r="I309" i="1"/>
  <c r="I269" i="1"/>
  <c r="I221" i="1"/>
  <c r="I181" i="1"/>
  <c r="I152" i="1"/>
  <c r="I128" i="1"/>
  <c r="I104" i="1"/>
  <c r="I76" i="1"/>
  <c r="I44" i="1"/>
  <c r="I16" i="1"/>
  <c r="I2074" i="1"/>
  <c r="I1506" i="1"/>
  <c r="I1282" i="1"/>
  <c r="I1123" i="1"/>
  <c r="I995" i="1"/>
  <c r="I899" i="1"/>
  <c r="I787" i="1"/>
  <c r="I667" i="1"/>
  <c r="I555" i="1"/>
  <c r="I459" i="1"/>
  <c r="I331" i="1"/>
  <c r="I219" i="1"/>
  <c r="I135" i="1"/>
  <c r="I71" i="1"/>
  <c r="I23" i="1"/>
  <c r="I186" i="1"/>
  <c r="I218" i="1"/>
  <c r="I246" i="1"/>
  <c r="I270" i="1"/>
  <c r="I302" i="1"/>
  <c r="I330" i="1"/>
  <c r="I358" i="1"/>
  <c r="I390" i="1"/>
  <c r="I414" i="1"/>
  <c r="I442" i="1"/>
  <c r="I474" i="1"/>
  <c r="I510" i="1"/>
  <c r="I598" i="1"/>
  <c r="I726" i="1"/>
  <c r="I830" i="1"/>
  <c r="I938" i="1"/>
  <c r="I1066" i="1"/>
  <c r="I1174" i="1"/>
  <c r="I1368" i="1"/>
  <c r="I1855" i="1"/>
  <c r="I248" i="1"/>
  <c r="I440" i="1"/>
  <c r="I716" i="1"/>
  <c r="I968" i="1"/>
  <c r="I1654" i="1"/>
  <c r="I1805" i="1"/>
  <c r="I1789" i="1"/>
  <c r="I1575" i="1"/>
  <c r="I526" i="1"/>
  <c r="I550" i="1"/>
  <c r="I570" i="1"/>
  <c r="I590" i="1"/>
  <c r="I614" i="1"/>
  <c r="I634" i="1"/>
  <c r="I654" i="1"/>
  <c r="I678" i="1"/>
  <c r="I698" i="1"/>
  <c r="I718" i="1"/>
  <c r="I742" i="1"/>
  <c r="I762" i="1"/>
  <c r="I782" i="1"/>
  <c r="I806" i="1"/>
  <c r="I826" i="1"/>
  <c r="I846" i="1"/>
  <c r="I870" i="1"/>
  <c r="I890" i="1"/>
  <c r="I910" i="1"/>
  <c r="I934" i="1"/>
  <c r="I954" i="1"/>
  <c r="I974" i="1"/>
  <c r="I998" i="1"/>
  <c r="I1018" i="1"/>
  <c r="I1038" i="1"/>
  <c r="I1062" i="1"/>
  <c r="I1082" i="1"/>
  <c r="I1102" i="1"/>
  <c r="I1126" i="1"/>
  <c r="I1146" i="1"/>
  <c r="I1166" i="1"/>
  <c r="I1192" i="1"/>
  <c r="I1232" i="1"/>
  <c r="I1272" i="1"/>
  <c r="I1320" i="1"/>
  <c r="I1360" i="1"/>
  <c r="I1400" i="1"/>
  <c r="I1448" i="1"/>
  <c r="I1496" i="1"/>
  <c r="I1566" i="1"/>
  <c r="I1694" i="1"/>
  <c r="I1813" i="1"/>
  <c r="I1962" i="1"/>
  <c r="I2154" i="1"/>
  <c r="I2376" i="1"/>
  <c r="I192" i="1"/>
  <c r="I236" i="1"/>
  <c r="I272" i="1"/>
  <c r="I312" i="1"/>
  <c r="I352" i="1"/>
  <c r="I384" i="1"/>
  <c r="I424" i="1"/>
  <c r="I464" i="1"/>
  <c r="I504" i="1"/>
  <c r="I544" i="1"/>
  <c r="I604" i="1"/>
  <c r="I652" i="1"/>
  <c r="I700" i="1"/>
  <c r="I760" i="1"/>
  <c r="I800" i="1"/>
  <c r="I848" i="1"/>
  <c r="I908" i="1"/>
  <c r="I956" i="1"/>
  <c r="I1000" i="1"/>
  <c r="I1080" i="1"/>
  <c r="I1168" i="1"/>
  <c r="I1332" i="1"/>
  <c r="I1574" i="1"/>
  <c r="I1973" i="1"/>
  <c r="I1225" i="1"/>
  <c r="I1341" i="1"/>
  <c r="I1433" i="1"/>
  <c r="I1518" i="1"/>
  <c r="I1720" i="1"/>
  <c r="I2050" i="1"/>
  <c r="I1203" i="1"/>
  <c r="I1351" i="1"/>
  <c r="I1463" i="1"/>
  <c r="I1676" i="1"/>
  <c r="I2055" i="1"/>
  <c r="I1605" i="1"/>
  <c r="I1769" i="1"/>
  <c r="I2078" i="1"/>
  <c r="I1563" i="1"/>
  <c r="I371" i="1"/>
  <c r="I179" i="1"/>
  <c r="I2076" i="1"/>
  <c r="I2017" i="1"/>
  <c r="I1651" i="1"/>
  <c r="I2353" i="1"/>
  <c r="I2137" i="1"/>
  <c r="I1966" i="1"/>
  <c r="I1817" i="1"/>
  <c r="I1693" i="1"/>
  <c r="I1585" i="1"/>
  <c r="I2173" i="1"/>
  <c r="I1959" i="1"/>
  <c r="I1746" i="1"/>
  <c r="I1604" i="1"/>
  <c r="I1491" i="1"/>
  <c r="I1415" i="1"/>
  <c r="I1339" i="1"/>
  <c r="I1267" i="1"/>
  <c r="I2380" i="1"/>
  <c r="I2157" i="1"/>
  <c r="I1943" i="1"/>
  <c r="I1773" i="1"/>
  <c r="I1656" i="1"/>
  <c r="I1545" i="1"/>
  <c r="I1481" i="1"/>
  <c r="I1425" i="1"/>
  <c r="I1369" i="1"/>
  <c r="I1309" i="1"/>
  <c r="I1257" i="1"/>
  <c r="I1197" i="1"/>
  <c r="I2079" i="1"/>
  <c r="I1802" i="1"/>
  <c r="I1549" i="1"/>
  <c r="I1428" i="1"/>
  <c r="I1316" i="1"/>
  <c r="I1204" i="1"/>
  <c r="I1136" i="1"/>
  <c r="I1096" i="1"/>
  <c r="I1052" i="1"/>
  <c r="I1008" i="1"/>
  <c r="I976" i="1"/>
  <c r="I952" i="1"/>
  <c r="I924" i="1"/>
  <c r="I892" i="1"/>
  <c r="I864" i="1"/>
  <c r="I840" i="1"/>
  <c r="I808" i="1"/>
  <c r="I780" i="1"/>
  <c r="I752" i="1"/>
  <c r="I720" i="1"/>
  <c r="I696" i="1"/>
  <c r="I668" i="1"/>
  <c r="I636" i="1"/>
  <c r="I608" i="1"/>
  <c r="I584" i="1"/>
  <c r="I552" i="1"/>
  <c r="I524" i="1"/>
  <c r="I496" i="1"/>
  <c r="I476" i="1"/>
  <c r="I456" i="1"/>
  <c r="I432" i="1"/>
  <c r="I412" i="1"/>
  <c r="I392" i="1"/>
  <c r="I368" i="1"/>
  <c r="I348" i="1"/>
  <c r="I328" i="1"/>
  <c r="I304" i="1"/>
  <c r="I284" i="1"/>
  <c r="I264" i="1"/>
  <c r="I240" i="1"/>
  <c r="I220" i="1"/>
  <c r="I200" i="1"/>
  <c r="I176" i="1"/>
  <c r="I2348" i="1"/>
  <c r="I2218" i="1"/>
  <c r="I2090" i="1"/>
  <c r="I2005" i="1"/>
  <c r="I1919" i="1"/>
  <c r="I1834" i="1"/>
  <c r="I1749" i="1"/>
  <c r="I1678" i="1"/>
  <c r="I1614" i="1"/>
  <c r="I1554" i="1"/>
  <c r="I1512" i="1"/>
  <c r="I1480" i="1"/>
  <c r="I1035" i="1"/>
  <c r="I1748" i="1"/>
  <c r="I1715" i="1"/>
  <c r="I2274" i="1"/>
  <c r="I2067" i="1"/>
  <c r="I1838" i="1"/>
  <c r="I1649" i="1"/>
  <c r="I2286" i="1"/>
  <c r="I1970" i="1"/>
  <c r="I1684" i="1"/>
  <c r="I1532" i="1"/>
  <c r="I1427" i="1"/>
  <c r="I1315" i="1"/>
  <c r="I1227" i="1"/>
  <c r="I2178" i="1"/>
  <c r="I1879" i="1"/>
  <c r="I1712" i="1"/>
  <c r="I1556" i="1"/>
  <c r="I1457" i="1"/>
  <c r="I1393" i="1"/>
  <c r="I1321" i="1"/>
  <c r="I1233" i="1"/>
  <c r="I2250" i="1"/>
  <c r="I1823" i="1"/>
  <c r="I1500" i="1"/>
  <c r="I1372" i="1"/>
  <c r="I1212" i="1"/>
  <c r="I1120" i="1"/>
  <c r="I1072" i="1"/>
  <c r="I1016" i="1"/>
  <c r="I972" i="1"/>
  <c r="I936" i="1"/>
  <c r="I904" i="1"/>
  <c r="I860" i="1"/>
  <c r="I824" i="1"/>
  <c r="I784" i="1"/>
  <c r="I744" i="1"/>
  <c r="I712" i="1"/>
  <c r="I672" i="1"/>
  <c r="I632" i="1"/>
  <c r="I592" i="1"/>
  <c r="I560" i="1"/>
  <c r="I520" i="1"/>
  <c r="I488" i="1"/>
  <c r="I460" i="1"/>
  <c r="I428" i="1"/>
  <c r="I400" i="1"/>
  <c r="I376" i="1"/>
  <c r="I344" i="1"/>
  <c r="I316" i="1"/>
  <c r="I288" i="1"/>
  <c r="I256" i="1"/>
  <c r="I232" i="1"/>
  <c r="I204" i="1"/>
  <c r="I172" i="1"/>
  <c r="I2262" i="1"/>
  <c r="I2133" i="1"/>
  <c r="I1983" i="1"/>
  <c r="I1877" i="1"/>
  <c r="I1770" i="1"/>
  <c r="I1662" i="1"/>
  <c r="I1582" i="1"/>
  <c r="I1522" i="1"/>
  <c r="I1472" i="1"/>
  <c r="I1440" i="1"/>
  <c r="I1408" i="1"/>
  <c r="I1376" i="1"/>
  <c r="I1344" i="1"/>
  <c r="I1312" i="1"/>
  <c r="I1280" i="1"/>
  <c r="I1248" i="1"/>
  <c r="I1216" i="1"/>
  <c r="I1186" i="1"/>
  <c r="I1170" i="1"/>
  <c r="I1154" i="1"/>
  <c r="I1138" i="1"/>
  <c r="I1122" i="1"/>
  <c r="I1106" i="1"/>
  <c r="I1090" i="1"/>
  <c r="I1074" i="1"/>
  <c r="I1058" i="1"/>
  <c r="I1042" i="1"/>
  <c r="I1026" i="1"/>
  <c r="I1010" i="1"/>
  <c r="I994" i="1"/>
  <c r="I978" i="1"/>
  <c r="I962" i="1"/>
  <c r="I946" i="1"/>
  <c r="I930" i="1"/>
  <c r="I914" i="1"/>
  <c r="I898" i="1"/>
  <c r="I882" i="1"/>
  <c r="I866" i="1"/>
  <c r="I850" i="1"/>
  <c r="I834" i="1"/>
  <c r="I818" i="1"/>
  <c r="I802" i="1"/>
  <c r="I786" i="1"/>
  <c r="I770" i="1"/>
  <c r="I754" i="1"/>
  <c r="I738" i="1"/>
  <c r="I722" i="1"/>
  <c r="I706" i="1"/>
  <c r="I690" i="1"/>
  <c r="I674" i="1"/>
  <c r="I658" i="1"/>
  <c r="I642" i="1"/>
  <c r="I626" i="1"/>
  <c r="I610" i="1"/>
  <c r="I594" i="1"/>
  <c r="I578" i="1"/>
  <c r="I562" i="1"/>
  <c r="I546" i="1"/>
  <c r="I530" i="1"/>
  <c r="I514" i="1"/>
  <c r="I498" i="1"/>
  <c r="I482" i="1"/>
  <c r="I466" i="1"/>
  <c r="I450" i="1"/>
  <c r="I434" i="1"/>
  <c r="I418" i="1"/>
  <c r="I402" i="1"/>
  <c r="I386" i="1"/>
  <c r="I370" i="1"/>
  <c r="I354" i="1"/>
  <c r="I338" i="1"/>
  <c r="I322" i="1"/>
  <c r="I306" i="1"/>
  <c r="I290" i="1"/>
  <c r="I274" i="1"/>
  <c r="I258" i="1"/>
  <c r="I242" i="1"/>
  <c r="I226" i="1"/>
  <c r="I210" i="1"/>
  <c r="I194" i="1"/>
  <c r="I178" i="1"/>
  <c r="I15" i="1"/>
  <c r="I47" i="1"/>
  <c r="I79" i="1"/>
  <c r="I111" i="1"/>
  <c r="I143" i="1"/>
  <c r="I187" i="1"/>
  <c r="I251" i="1"/>
  <c r="I315" i="1"/>
  <c r="I379" i="1"/>
  <c r="I443" i="1"/>
  <c r="I507" i="1"/>
  <c r="I571" i="1"/>
  <c r="I635" i="1"/>
  <c r="I691" i="1"/>
  <c r="I755" i="1"/>
  <c r="I819" i="1"/>
  <c r="I883" i="1"/>
  <c r="I947" i="1"/>
  <c r="I1011" i="1"/>
  <c r="I1075" i="1"/>
  <c r="I1139" i="1"/>
  <c r="I1218" i="1"/>
  <c r="I1346" i="1"/>
  <c r="I1474" i="1"/>
  <c r="I1666" i="1"/>
  <c r="I1989" i="1"/>
  <c r="I2297" i="1"/>
  <c r="I20" i="1"/>
  <c r="I36" i="1"/>
  <c r="I52" i="1"/>
  <c r="I68" i="1"/>
  <c r="I84" i="1"/>
  <c r="I100" i="1"/>
  <c r="I116" i="1"/>
  <c r="I538" i="1"/>
  <c r="I558" i="1"/>
  <c r="I582" i="1"/>
  <c r="I602" i="1"/>
  <c r="I622" i="1"/>
  <c r="I646" i="1"/>
  <c r="I666" i="1"/>
  <c r="I686" i="1"/>
  <c r="I710" i="1"/>
  <c r="I730" i="1"/>
  <c r="I750" i="1"/>
  <c r="I774" i="1"/>
  <c r="I794" i="1"/>
  <c r="I814" i="1"/>
  <c r="I838" i="1"/>
  <c r="I858" i="1"/>
  <c r="I878" i="1"/>
  <c r="I902" i="1"/>
  <c r="I922" i="1"/>
  <c r="I942" i="1"/>
  <c r="I966" i="1"/>
  <c r="I986" i="1"/>
  <c r="I1006" i="1"/>
  <c r="I1030" i="1"/>
  <c r="I1050" i="1"/>
  <c r="I1070" i="1"/>
  <c r="I1094" i="1"/>
  <c r="I1114" i="1"/>
  <c r="I1134" i="1"/>
  <c r="I1158" i="1"/>
  <c r="I1178" i="1"/>
  <c r="I1208" i="1"/>
  <c r="I1256" i="1"/>
  <c r="I1296" i="1"/>
  <c r="I1336" i="1"/>
  <c r="I1384" i="1"/>
  <c r="I1424" i="1"/>
  <c r="I1464" i="1"/>
  <c r="I1533" i="1"/>
  <c r="I1630" i="1"/>
  <c r="I1727" i="1"/>
  <c r="I1898" i="1"/>
  <c r="I2047" i="1"/>
  <c r="I2239" i="1"/>
  <c r="I184" i="1"/>
  <c r="I216" i="1"/>
  <c r="I252" i="1"/>
  <c r="I296" i="1"/>
  <c r="I332" i="1"/>
  <c r="I364" i="1"/>
  <c r="I408" i="1"/>
  <c r="I444" i="1"/>
  <c r="I480" i="1"/>
  <c r="I528" i="1"/>
  <c r="I572" i="1"/>
  <c r="I624" i="1"/>
  <c r="I680" i="1"/>
  <c r="I732" i="1"/>
  <c r="I776" i="1"/>
  <c r="I828" i="1"/>
  <c r="I880" i="1"/>
  <c r="I928" i="1"/>
  <c r="I988" i="1"/>
  <c r="I1036" i="1"/>
  <c r="I1116" i="1"/>
  <c r="I1252" i="1"/>
  <c r="I1444" i="1"/>
  <c r="I1702" i="1"/>
  <c r="I2305" i="1"/>
  <c r="I1281" i="1"/>
  <c r="I1373" i="1"/>
  <c r="I1489" i="1"/>
  <c r="I1616" i="1"/>
  <c r="I1858" i="1"/>
  <c r="I2242" i="1"/>
  <c r="I1271" i="1"/>
  <c r="I1383" i="1"/>
  <c r="I1553" i="1"/>
  <c r="I1863" i="1"/>
  <c r="I2183" i="1"/>
  <c r="I1701" i="1"/>
  <c r="I1897" i="1"/>
  <c r="I2238" i="1"/>
  <c r="I1787" i="1"/>
  <c r="I2298" i="1"/>
  <c r="I478" i="1"/>
  <c r="I502" i="1"/>
  <c r="I522" i="1"/>
  <c r="I542" i="1"/>
  <c r="I566" i="1"/>
  <c r="I586" i="1"/>
  <c r="I606" i="1"/>
  <c r="I630" i="1"/>
  <c r="I650" i="1"/>
  <c r="I670" i="1"/>
  <c r="I694" i="1"/>
  <c r="I714" i="1"/>
  <c r="I734" i="1"/>
  <c r="I758" i="1"/>
  <c r="I778" i="1"/>
  <c r="I798" i="1"/>
  <c r="I822" i="1"/>
  <c r="I842" i="1"/>
  <c r="I862" i="1"/>
  <c r="I886" i="1"/>
  <c r="I906" i="1"/>
  <c r="I926" i="1"/>
  <c r="I950" i="1"/>
  <c r="I970" i="1"/>
  <c r="I990" i="1"/>
  <c r="I1014" i="1"/>
  <c r="I1034" i="1"/>
  <c r="I1054" i="1"/>
  <c r="I1078" i="1"/>
  <c r="I1098" i="1"/>
  <c r="I1118" i="1"/>
  <c r="I1142" i="1"/>
  <c r="I1162" i="1"/>
  <c r="I1182" i="1"/>
  <c r="I1224" i="1"/>
  <c r="I1264" i="1"/>
  <c r="I1304" i="1"/>
  <c r="I1352" i="1"/>
  <c r="I1392" i="1"/>
  <c r="I1432" i="1"/>
  <c r="I1488" i="1"/>
  <c r="I1544" i="1"/>
  <c r="I1646" i="1"/>
  <c r="I1791" i="1"/>
  <c r="I1941" i="1"/>
  <c r="I2069" i="1"/>
  <c r="I2318" i="1"/>
  <c r="I188" i="1"/>
  <c r="I224" i="1"/>
  <c r="I268" i="1"/>
  <c r="I300" i="1"/>
  <c r="I336" i="1"/>
  <c r="I380" i="1"/>
  <c r="I416" i="1"/>
  <c r="I448" i="1"/>
  <c r="I492" i="1"/>
  <c r="I540" i="1"/>
  <c r="I588" i="1"/>
  <c r="I648" i="1"/>
  <c r="I688" i="1"/>
  <c r="I736" i="1"/>
  <c r="I796" i="1"/>
  <c r="I844" i="1"/>
  <c r="I888" i="1"/>
  <c r="I944" i="1"/>
  <c r="I992" i="1"/>
  <c r="I1056" i="1"/>
  <c r="I1148" i="1"/>
  <c r="I1276" i="1"/>
  <c r="I1492" i="1"/>
  <c r="I1951" i="1"/>
  <c r="I1201" i="1"/>
  <c r="I1289" i="1"/>
  <c r="I1405" i="1"/>
  <c r="I1513" i="1"/>
  <c r="I1664" i="1"/>
  <c r="I1965" i="1"/>
  <c r="I2280" i="1"/>
  <c r="I1299" i="1"/>
  <c r="I1459" i="1"/>
  <c r="I1612" i="1"/>
  <c r="I1885" i="1"/>
  <c r="I2344" i="1"/>
  <c r="I1737" i="1"/>
  <c r="I1987" i="1"/>
  <c r="I2381" i="1"/>
  <c r="I1894" i="1"/>
  <c r="I2367" i="1"/>
  <c r="I1623" i="1"/>
  <c r="I1691" i="1"/>
  <c r="I1782" i="1"/>
  <c r="I1867" i="1"/>
  <c r="I1995" i="1"/>
  <c r="I2145" i="1"/>
  <c r="I2334" i="1"/>
  <c r="I1884" i="1"/>
  <c r="I2052" i="1"/>
  <c r="I2204" i="1"/>
  <c r="I2323" i="1"/>
  <c r="I1051" i="1"/>
  <c r="I783" i="1"/>
  <c r="I415" i="1"/>
  <c r="I139" i="1"/>
  <c r="I451" i="1"/>
  <c r="I859" i="1"/>
  <c r="I1426" i="1"/>
  <c r="I2327" i="1"/>
  <c r="I2362" i="1"/>
  <c r="I2224" i="1"/>
  <c r="I2124" i="1"/>
  <c r="I2032" i="1"/>
  <c r="I1908" i="1"/>
  <c r="I1824" i="1"/>
  <c r="I1744" i="1"/>
  <c r="I2257" i="1"/>
  <c r="I2166" i="1"/>
  <c r="I2081" i="1"/>
  <c r="I1958" i="1"/>
  <c r="I1905" i="1"/>
  <c r="I1851" i="1"/>
  <c r="I1798" i="1"/>
  <c r="I1755" i="1"/>
  <c r="I1707" i="1"/>
  <c r="I1667" i="1"/>
  <c r="I1627" i="1"/>
  <c r="I1595" i="1"/>
  <c r="I1555" i="1"/>
  <c r="I1515" i="1"/>
  <c r="I2324" i="1"/>
  <c r="I2249" i="1"/>
  <c r="I2206" i="1"/>
  <c r="I2158" i="1"/>
  <c r="I2099" i="1"/>
  <c r="I2051" i="1"/>
  <c r="I2009" i="1"/>
  <c r="I1950" i="1"/>
  <c r="I1902" i="1"/>
  <c r="I1865" i="1"/>
  <c r="I1822" i="1"/>
  <c r="I1790" i="1"/>
  <c r="I1753" i="1"/>
  <c r="I1713" i="1"/>
  <c r="I1685" i="1"/>
  <c r="I1661" i="1"/>
  <c r="I1629" i="1"/>
  <c r="I1601" i="1"/>
  <c r="I1573" i="1"/>
  <c r="I2301" i="1"/>
  <c r="I2226" i="1"/>
  <c r="I2162" i="1"/>
  <c r="I2098" i="1"/>
  <c r="I2045" i="1"/>
  <c r="I1991" i="1"/>
  <c r="I1927" i="1"/>
  <c r="I1874" i="1"/>
  <c r="I1821" i="1"/>
  <c r="I1757" i="1"/>
  <c r="I1708" i="1"/>
  <c r="I1668" i="1"/>
  <c r="I1620" i="1"/>
  <c r="I1580" i="1"/>
  <c r="I1548" i="1"/>
  <c r="I1516" i="1"/>
  <c r="I1495" i="1"/>
  <c r="I1475" i="1"/>
  <c r="I1451" i="1"/>
  <c r="I1431" i="1"/>
  <c r="I1411" i="1"/>
  <c r="I1387" i="1"/>
  <c r="I1367" i="1"/>
  <c r="I1347" i="1"/>
  <c r="I1323" i="1"/>
  <c r="I1303" i="1"/>
  <c r="I1283" i="1"/>
  <c r="I1259" i="1"/>
  <c r="I1239" i="1"/>
  <c r="I1219" i="1"/>
  <c r="I1195" i="1"/>
  <c r="I2337" i="1"/>
  <c r="I2265" i="1"/>
  <c r="I2199" i="1"/>
  <c r="I2146" i="1"/>
  <c r="I2093" i="1"/>
  <c r="I2029" i="1"/>
  <c r="I1975" i="1"/>
  <c r="I1922" i="1"/>
  <c r="I1210" i="1"/>
  <c r="I195" i="1"/>
  <c r="I795" i="1"/>
  <c r="I1570" i="1"/>
  <c r="I2279" i="1"/>
  <c r="I2252" i="1"/>
  <c r="I2116" i="1"/>
  <c r="I1968" i="1"/>
  <c r="I1840" i="1"/>
  <c r="I2364" i="1"/>
  <c r="I2214" i="1"/>
  <c r="I2086" i="1"/>
  <c r="I1937" i="1"/>
  <c r="I1873" i="1"/>
  <c r="I1819" i="1"/>
  <c r="I1739" i="1"/>
  <c r="I1687" i="1"/>
  <c r="I1639" i="1"/>
  <c r="I1579" i="1"/>
  <c r="I1539" i="1"/>
  <c r="I2345" i="1"/>
  <c r="I2243" i="1"/>
  <c r="I2179" i="1"/>
  <c r="I2121" i="1"/>
  <c r="I2046" i="1"/>
  <c r="I1982" i="1"/>
  <c r="I1907" i="1"/>
  <c r="I1854" i="1"/>
  <c r="I1811" i="1"/>
  <c r="I1758" i="1"/>
  <c r="I1709" i="1"/>
  <c r="I1669" i="1"/>
  <c r="I1637" i="1"/>
  <c r="I1597" i="1"/>
  <c r="I2358" i="1"/>
  <c r="I2237" i="1"/>
  <c r="I2141" i="1"/>
  <c r="I2077" i="1"/>
  <c r="I2002" i="1"/>
  <c r="I1917" i="1"/>
  <c r="I1842" i="1"/>
  <c r="I1778" i="1"/>
  <c r="I1700" i="1"/>
  <c r="I1644" i="1"/>
  <c r="I1588" i="1"/>
  <c r="I1537" i="1"/>
  <c r="I1507" i="1"/>
  <c r="I1479" i="1"/>
  <c r="I1447" i="1"/>
  <c r="I1419" i="1"/>
  <c r="I1395" i="1"/>
  <c r="I1363" i="1"/>
  <c r="I1335" i="1"/>
  <c r="I1307" i="1"/>
  <c r="I1275" i="1"/>
  <c r="I1251" i="1"/>
  <c r="I1223" i="1"/>
  <c r="I1191" i="1"/>
  <c r="I2294" i="1"/>
  <c r="I2221" i="1"/>
  <c r="I2135" i="1"/>
  <c r="I2061" i="1"/>
  <c r="I1986" i="1"/>
  <c r="I1901" i="1"/>
  <c r="I1847" i="1"/>
  <c r="I1794" i="1"/>
  <c r="I1730" i="1"/>
  <c r="I1688" i="1"/>
  <c r="I1648" i="1"/>
  <c r="I1600" i="1"/>
  <c r="I1561" i="1"/>
  <c r="I1534" i="1"/>
  <c r="I1505" i="1"/>
  <c r="I1485" i="1"/>
  <c r="I1465" i="1"/>
  <c r="I1441" i="1"/>
  <c r="I1421" i="1"/>
  <c r="I1401" i="1"/>
  <c r="I1377" i="1"/>
  <c r="I1357" i="1"/>
  <c r="I1337" i="1"/>
  <c r="I1313" i="1"/>
  <c r="I1293" i="1"/>
  <c r="I1273" i="1"/>
  <c r="I1249" i="1"/>
  <c r="I1229" i="1"/>
  <c r="I1209" i="1"/>
  <c r="I2361" i="1"/>
  <c r="I2229" i="1"/>
  <c r="I2122" i="1"/>
  <c r="I1994" i="1"/>
  <c r="I1887" i="1"/>
  <c r="I1781" i="1"/>
  <c r="I1670" i="1"/>
  <c r="I1590" i="1"/>
  <c r="I1528" i="1"/>
  <c r="I1476" i="1"/>
  <c r="I1436" i="1"/>
  <c r="I1396" i="1"/>
  <c r="I1348" i="1"/>
  <c r="I1308" i="1"/>
  <c r="I1268" i="1"/>
  <c r="I1220" i="1"/>
  <c r="I1184" i="1"/>
  <c r="I1164" i="1"/>
  <c r="I1140" i="1"/>
  <c r="I1124" i="1"/>
  <c r="I1108" i="1"/>
  <c r="I1092" i="1"/>
  <c r="I1076" i="1"/>
  <c r="I1060" i="1"/>
  <c r="I1044" i="1"/>
  <c r="I1028" i="1"/>
  <c r="I1012" i="1"/>
  <c r="I996" i="1"/>
  <c r="I980" i="1"/>
  <c r="I964" i="1"/>
  <c r="I948" i="1"/>
  <c r="I932" i="1"/>
  <c r="I916" i="1"/>
  <c r="I900" i="1"/>
  <c r="I884" i="1"/>
  <c r="I868" i="1"/>
  <c r="I852" i="1"/>
  <c r="I836" i="1"/>
  <c r="I820" i="1"/>
  <c r="I804" i="1"/>
  <c r="I788" i="1"/>
  <c r="I772" i="1"/>
  <c r="I756" i="1"/>
  <c r="I740" i="1"/>
  <c r="I724" i="1"/>
  <c r="I708" i="1"/>
  <c r="I692" i="1"/>
  <c r="I676" i="1"/>
  <c r="I660" i="1"/>
  <c r="I644" i="1"/>
  <c r="I628" i="1"/>
  <c r="I612" i="1"/>
  <c r="I596" i="1"/>
  <c r="I580" i="1"/>
  <c r="I564" i="1"/>
  <c r="I548" i="1"/>
  <c r="I532" i="1"/>
  <c r="I516" i="1"/>
  <c r="I500" i="1"/>
  <c r="I484" i="1"/>
  <c r="I468" i="1"/>
  <c r="I452" i="1"/>
  <c r="I436" i="1"/>
  <c r="I420" i="1"/>
  <c r="I404" i="1"/>
  <c r="I388" i="1"/>
  <c r="I372" i="1"/>
  <c r="I356" i="1"/>
  <c r="I340" i="1"/>
  <c r="I324" i="1"/>
  <c r="I308" i="1"/>
  <c r="I292" i="1"/>
  <c r="I276" i="1"/>
  <c r="I260" i="1"/>
  <c r="I244" i="1"/>
  <c r="I228" i="1"/>
  <c r="I212" i="1"/>
  <c r="I196" i="1"/>
  <c r="I180" i="1"/>
  <c r="I164" i="1"/>
  <c r="I2290" i="1"/>
  <c r="I2197" i="1"/>
  <c r="I2111" i="1"/>
  <c r="I1020" i="1"/>
  <c r="I1040" i="1"/>
  <c r="I1064" i="1"/>
  <c r="I1084" i="1"/>
  <c r="I1104" i="1"/>
  <c r="I1128" i="1"/>
  <c r="I1152" i="1"/>
  <c r="I1180" i="1"/>
  <c r="I1236" i="1"/>
  <c r="I1284" i="1"/>
  <c r="I1340" i="1"/>
  <c r="I1404" i="1"/>
  <c r="I1460" i="1"/>
  <c r="I1508" i="1"/>
  <c r="I1606" i="1"/>
  <c r="I1718" i="1"/>
  <c r="I1866" i="1"/>
  <c r="I2037" i="1"/>
  <c r="I2165" i="1"/>
  <c r="I2333" i="1"/>
  <c r="I1213" i="1"/>
  <c r="I1241" i="1"/>
  <c r="I1265" i="1"/>
  <c r="I1297" i="1"/>
  <c r="I1325" i="1"/>
  <c r="I1353" i="1"/>
  <c r="I1385" i="1"/>
  <c r="I1409" i="1"/>
  <c r="I1437" i="1"/>
  <c r="I1469" i="1"/>
  <c r="I1497" i="1"/>
  <c r="I1524" i="1"/>
  <c r="I1568" i="1"/>
  <c r="I1624" i="1"/>
  <c r="I1680" i="1"/>
  <c r="I1751" i="1"/>
  <c r="I1815" i="1"/>
  <c r="I1890" i="1"/>
  <c r="I2007" i="1"/>
  <c r="I2103" i="1"/>
  <c r="I2189" i="1"/>
  <c r="I2322" i="1"/>
  <c r="I1207" i="1"/>
  <c r="I1243" i="1"/>
  <c r="I1287" i="1"/>
  <c r="I1319" i="1"/>
  <c r="I1355" i="1"/>
  <c r="I1399" i="1"/>
  <c r="I1435" i="1"/>
  <c r="I1467" i="1"/>
  <c r="I1511" i="1"/>
  <c r="I1558" i="1"/>
  <c r="I1636" i="1"/>
  <c r="I1716" i="1"/>
  <c r="I1799" i="1"/>
  <c r="I1906" i="1"/>
  <c r="I2013" i="1"/>
  <c r="I2119" i="1"/>
  <c r="I2205" i="1"/>
  <c r="I1565" i="1"/>
  <c r="I1617" i="1"/>
  <c r="I1665" i="1"/>
  <c r="I1726" i="1"/>
  <c r="I1779" i="1"/>
  <c r="I1843" i="1"/>
  <c r="I1929" i="1"/>
  <c r="I2014" i="1"/>
  <c r="I2094" i="1"/>
  <c r="I2195" i="1"/>
  <c r="I2289" i="1"/>
  <c r="I1523" i="1"/>
  <c r="I1603" i="1"/>
  <c r="I1659" i="1"/>
  <c r="I1723" i="1"/>
  <c r="I1825" i="1"/>
  <c r="I1910" i="1"/>
  <c r="I2038" i="1"/>
  <c r="I2251" i="1"/>
  <c r="I1776" i="1"/>
  <c r="I1952" i="1"/>
  <c r="I2140" i="1"/>
  <c r="I2304" i="1"/>
  <c r="I2117" i="1"/>
  <c r="I699" i="1"/>
  <c r="I51" i="1"/>
  <c r="I512" i="1"/>
  <c r="I536" i="1"/>
  <c r="I556" i="1"/>
  <c r="I576" i="1"/>
  <c r="I600" i="1"/>
  <c r="I620" i="1"/>
  <c r="I640" i="1"/>
  <c r="I664" i="1"/>
  <c r="I684" i="1"/>
  <c r="I704" i="1"/>
  <c r="I728" i="1"/>
  <c r="I748" i="1"/>
  <c r="I768" i="1"/>
  <c r="I792" i="1"/>
  <c r="I812" i="1"/>
  <c r="I832" i="1"/>
  <c r="I856" i="1"/>
  <c r="I876" i="1"/>
  <c r="I896" i="1"/>
  <c r="I920" i="1"/>
  <c r="I940" i="1"/>
  <c r="I960" i="1"/>
  <c r="I984" i="1"/>
  <c r="I1004" i="1"/>
  <c r="I1024" i="1"/>
  <c r="I1048" i="1"/>
  <c r="I1068" i="1"/>
  <c r="I1088" i="1"/>
  <c r="I1112" i="1"/>
  <c r="I1132" i="1"/>
  <c r="I1156" i="1"/>
  <c r="I1188" i="1"/>
  <c r="I1244" i="1"/>
  <c r="I1300" i="1"/>
  <c r="I1364" i="1"/>
  <c r="I1412" i="1"/>
  <c r="I1468" i="1"/>
  <c r="I1538" i="1"/>
  <c r="I1638" i="1"/>
  <c r="I1738" i="1"/>
  <c r="I1909" i="1"/>
  <c r="I2058" i="1"/>
  <c r="I2207" i="1"/>
  <c r="I1193" i="1"/>
  <c r="I1217" i="1"/>
  <c r="I1245" i="1"/>
  <c r="I1277" i="1"/>
  <c r="I1305" i="1"/>
  <c r="I1329" i="1"/>
  <c r="I1361" i="1"/>
  <c r="I1389" i="1"/>
  <c r="I1417" i="1"/>
  <c r="I1449" i="1"/>
  <c r="I1473" i="1"/>
  <c r="I1501" i="1"/>
  <c r="I1540" i="1"/>
  <c r="I1584" i="1"/>
  <c r="I1632" i="1"/>
  <c r="I1696" i="1"/>
  <c r="I1762" i="1"/>
  <c r="I1837" i="1"/>
  <c r="I1933" i="1"/>
  <c r="I2018" i="1"/>
  <c r="I2114" i="1"/>
  <c r="I2231" i="1"/>
  <c r="I2350" i="1"/>
  <c r="I1211" i="1"/>
  <c r="I1255" i="1"/>
  <c r="I1291" i="1"/>
  <c r="I1331" i="1"/>
  <c r="I1371" i="1"/>
  <c r="I1403" i="1"/>
  <c r="I1443" i="1"/>
  <c r="I1483" i="1"/>
  <c r="I1526" i="1"/>
  <c r="I1572" i="1"/>
  <c r="I1652" i="1"/>
  <c r="I1735" i="1"/>
  <c r="I1831" i="1"/>
  <c r="I1949" i="1"/>
  <c r="I2034" i="1"/>
  <c r="I2130" i="1"/>
  <c r="I2273" i="1"/>
  <c r="I1581" i="1"/>
  <c r="I1621" i="1"/>
  <c r="I1681" i="1"/>
  <c r="I1731" i="1"/>
  <c r="I1795" i="1"/>
  <c r="I1875" i="1"/>
  <c r="I1939" i="1"/>
  <c r="I2025" i="1"/>
  <c r="I2131" i="1"/>
  <c r="I2217" i="1"/>
  <c r="I2302" i="1"/>
  <c r="I1543" i="1"/>
  <c r="I1607" i="1"/>
  <c r="I1683" i="1"/>
  <c r="I1761" i="1"/>
  <c r="I1841" i="1"/>
  <c r="I1931" i="1"/>
  <c r="I2102" i="1"/>
  <c r="I2313" i="1"/>
  <c r="I1796" i="1"/>
  <c r="I1996" i="1"/>
  <c r="I2180" i="1"/>
  <c r="I2259" i="1"/>
  <c r="I1147" i="1"/>
  <c r="I531" i="1"/>
  <c r="I11" i="1"/>
  <c r="I2354" i="1"/>
  <c r="I93" i="1"/>
  <c r="I559" i="1"/>
  <c r="I1055" i="1"/>
  <c r="I43" i="1"/>
  <c r="I123" i="1"/>
  <c r="I259" i="1"/>
  <c r="I435" i="1"/>
  <c r="I595" i="1"/>
  <c r="I779" i="1"/>
  <c r="I955" i="1"/>
  <c r="I1115" i="1"/>
  <c r="I1394" i="1"/>
  <c r="I2031" i="1"/>
  <c r="I2351" i="1"/>
  <c r="I2307" i="1"/>
  <c r="I2263" i="1"/>
  <c r="I2336" i="1"/>
  <c r="I2277" i="1"/>
  <c r="I2228" i="1"/>
  <c r="I2188" i="1"/>
  <c r="I2144" i="1"/>
  <c r="I2100" i="1"/>
  <c r="I2060" i="1"/>
  <c r="I2016" i="1"/>
  <c r="I1972" i="1"/>
  <c r="I1932" i="1"/>
  <c r="I1888" i="1"/>
  <c r="I1844" i="1"/>
  <c r="I1804" i="1"/>
  <c r="I1764" i="1"/>
  <c r="I1732" i="1"/>
  <c r="I2342" i="1"/>
  <c r="I2285" i="1"/>
  <c r="I2235" i="1"/>
  <c r="I2193" i="1"/>
  <c r="I2150" i="1"/>
  <c r="I2107" i="1"/>
  <c r="I2065" i="1"/>
  <c r="I2022" i="1"/>
  <c r="I1979" i="1"/>
  <c r="I1942" i="1"/>
  <c r="I1921" i="1"/>
  <c r="I1899" i="1"/>
  <c r="I1878" i="1"/>
  <c r="I1857" i="1"/>
  <c r="I1835" i="1"/>
  <c r="I1814" i="1"/>
  <c r="I1793" i="1"/>
  <c r="I1771" i="1"/>
  <c r="I1750" i="1"/>
  <c r="I1729" i="1"/>
  <c r="I1711" i="1"/>
  <c r="I1695" i="1"/>
  <c r="I1679" i="1"/>
  <c r="I1663" i="1"/>
  <c r="I1647" i="1"/>
  <c r="I1631" i="1"/>
  <c r="I1615" i="1"/>
  <c r="I1599" i="1"/>
  <c r="I1583" i="1"/>
  <c r="I1567" i="1"/>
  <c r="I1551" i="1"/>
  <c r="I1535" i="1"/>
  <c r="I1519" i="1"/>
  <c r="I2366" i="1"/>
  <c r="I2338" i="1"/>
  <c r="I2310" i="1"/>
  <c r="I2281" i="1"/>
  <c r="I2254" i="1"/>
  <c r="I2233" i="1"/>
  <c r="I2211" i="1"/>
  <c r="I2190" i="1"/>
  <c r="I2169" i="1"/>
  <c r="I2147" i="1"/>
  <c r="I2126" i="1"/>
  <c r="I2105" i="1"/>
  <c r="I2083" i="1"/>
  <c r="I2062" i="1"/>
  <c r="I2041" i="1"/>
  <c r="I2019" i="1"/>
  <c r="I1998" i="1"/>
  <c r="I1977" i="1"/>
  <c r="I1955" i="1"/>
  <c r="I1934" i="1"/>
  <c r="I1913" i="1"/>
  <c r="I671" i="1"/>
  <c r="I1682" i="1"/>
  <c r="I91" i="1"/>
  <c r="I275" i="1"/>
  <c r="I515" i="1"/>
  <c r="I715" i="1"/>
  <c r="I971" i="1"/>
  <c r="I1234" i="1"/>
  <c r="I1698" i="1"/>
  <c r="I2343" i="1"/>
  <c r="I2287" i="1"/>
  <c r="I2357" i="1"/>
  <c r="I2272" i="1"/>
  <c r="I2208" i="1"/>
  <c r="I2160" i="1"/>
  <c r="I2096" i="1"/>
  <c r="I2036" i="1"/>
  <c r="I1988" i="1"/>
  <c r="I1924" i="1"/>
  <c r="I1868" i="1"/>
  <c r="I1820" i="1"/>
  <c r="I1760" i="1"/>
  <c r="I2370" i="1"/>
  <c r="I2306" i="1"/>
  <c r="I2230" i="1"/>
  <c r="I2171" i="1"/>
  <c r="I2123" i="1"/>
  <c r="I2059" i="1"/>
  <c r="I2001" i="1"/>
  <c r="I1953" i="1"/>
  <c r="I1915" i="1"/>
  <c r="I1889" i="1"/>
  <c r="I1862" i="1"/>
  <c r="I1830" i="1"/>
  <c r="I1803" i="1"/>
  <c r="I1777" i="1"/>
  <c r="I1745" i="1"/>
  <c r="I1719" i="1"/>
  <c r="I1699" i="1"/>
  <c r="I1675" i="1"/>
  <c r="I1655" i="1"/>
  <c r="I1635" i="1"/>
  <c r="I1611" i="1"/>
  <c r="I1591" i="1"/>
  <c r="I1571" i="1"/>
  <c r="I1547" i="1"/>
  <c r="I1527" i="1"/>
  <c r="I2374" i="1"/>
  <c r="I2332" i="1"/>
  <c r="I2296" i="1"/>
  <c r="I2260" i="1"/>
  <c r="I2227" i="1"/>
  <c r="I2201" i="1"/>
  <c r="I2174" i="1"/>
  <c r="I2142" i="1"/>
  <c r="I2115" i="1"/>
  <c r="I2089" i="1"/>
  <c r="I2057" i="1"/>
  <c r="I2030" i="1"/>
  <c r="I2003" i="1"/>
  <c r="I1971" i="1"/>
  <c r="I1945" i="1"/>
  <c r="I1918" i="1"/>
  <c r="I1891" i="1"/>
  <c r="I1870" i="1"/>
  <c r="I1849" i="1"/>
  <c r="I1827" i="1"/>
  <c r="I1806" i="1"/>
  <c r="I1785" i="1"/>
  <c r="I1763" i="1"/>
  <c r="I1742" i="1"/>
  <c r="I1721" i="1"/>
  <c r="I1705" i="1"/>
  <c r="I1689" i="1"/>
  <c r="I1673" i="1"/>
  <c r="I1657" i="1"/>
  <c r="I1641" i="1"/>
  <c r="I1625" i="1"/>
  <c r="I1609" i="1"/>
  <c r="I1593" i="1"/>
  <c r="I1577" i="1"/>
  <c r="I2372" i="1"/>
  <c r="I2316" i="1"/>
  <c r="I2258" i="1"/>
  <c r="I2215" i="1"/>
  <c r="I295" i="1"/>
  <c r="I1144" i="1"/>
  <c r="I1160" i="1"/>
  <c r="I1176" i="1"/>
  <c r="I1196" i="1"/>
  <c r="I1228" i="1"/>
  <c r="I1260" i="1"/>
  <c r="I1292" i="1"/>
  <c r="I1324" i="1"/>
  <c r="I1356" i="1"/>
  <c r="I1388" i="1"/>
  <c r="I1420" i="1"/>
  <c r="I1452" i="1"/>
  <c r="I1484" i="1"/>
  <c r="I1517" i="1"/>
  <c r="I1560" i="1"/>
  <c r="I1622" i="1"/>
  <c r="I1686" i="1"/>
  <c r="I1759" i="1"/>
  <c r="I1845" i="1"/>
  <c r="I1930" i="1"/>
  <c r="I2015" i="1"/>
  <c r="I2101" i="1"/>
  <c r="I2186" i="1"/>
  <c r="I2276" i="1"/>
  <c r="I1189" i="1"/>
  <c r="I1205" i="1"/>
  <c r="I1221" i="1"/>
  <c r="I1237" i="1"/>
  <c r="I1253" i="1"/>
  <c r="I1269" i="1"/>
  <c r="I1285" i="1"/>
  <c r="I1301" i="1"/>
  <c r="I1317" i="1"/>
  <c r="I1333" i="1"/>
  <c r="I1349" i="1"/>
  <c r="I1365" i="1"/>
  <c r="I1381" i="1"/>
  <c r="I1397" i="1"/>
  <c r="I1413" i="1"/>
  <c r="I1429" i="1"/>
  <c r="I1445" i="1"/>
  <c r="I1461" i="1"/>
  <c r="I1477" i="1"/>
  <c r="I1493" i="1"/>
  <c r="I1509" i="1"/>
  <c r="I1529" i="1"/>
  <c r="I1550" i="1"/>
  <c r="I1576" i="1"/>
  <c r="I1608" i="1"/>
  <c r="I1640" i="1"/>
  <c r="I1672" i="1"/>
  <c r="I1704" i="1"/>
  <c r="I1741" i="1"/>
  <c r="I1783" i="1"/>
  <c r="I1826" i="1"/>
  <c r="I1869" i="1"/>
  <c r="I1911" i="1"/>
  <c r="I1954" i="1"/>
  <c r="I1997" i="1"/>
  <c r="I2039" i="1"/>
  <c r="I2082" i="1"/>
  <c r="I2125" i="1"/>
  <c r="I2167" i="1"/>
  <c r="I2210" i="1"/>
  <c r="I2253" i="1"/>
  <c r="I2308" i="1"/>
  <c r="I2365" i="1"/>
  <c r="I1199" i="1"/>
  <c r="I1215" i="1"/>
  <c r="I1231" i="1"/>
  <c r="I1247" i="1"/>
  <c r="I1263" i="1"/>
  <c r="I1279" i="1"/>
  <c r="I1295" i="1"/>
  <c r="I1311" i="1"/>
  <c r="I1327" i="1"/>
  <c r="I1343" i="1"/>
  <c r="I1359" i="1"/>
  <c r="I1375" i="1"/>
  <c r="I1391" i="1"/>
  <c r="I1407" i="1"/>
  <c r="I1423" i="1"/>
  <c r="I1439" i="1"/>
  <c r="I1455" i="1"/>
  <c r="I1471" i="1"/>
  <c r="I1487" i="1"/>
  <c r="I1503" i="1"/>
  <c r="I1521" i="1"/>
  <c r="I1542" i="1"/>
  <c r="I1564" i="1"/>
  <c r="I1596" i="1"/>
  <c r="I1628" i="1"/>
  <c r="I1660" i="1"/>
  <c r="I1692" i="1"/>
  <c r="I1725" i="1"/>
  <c r="I1767" i="1"/>
  <c r="I1810" i="1"/>
  <c r="I1853" i="1"/>
  <c r="I1895" i="1"/>
  <c r="I1938" i="1"/>
  <c r="I1981" i="1"/>
  <c r="I2023" i="1"/>
  <c r="I2066" i="1"/>
  <c r="I2109" i="1"/>
  <c r="I2151" i="1"/>
  <c r="I2194" i="1"/>
  <c r="I2247" i="1"/>
  <c r="I2329" i="1"/>
  <c r="I1569" i="1"/>
  <c r="I1589" i="1"/>
  <c r="I1613" i="1"/>
  <c r="I1633" i="1"/>
  <c r="I1653" i="1"/>
  <c r="I1677" i="1"/>
  <c r="I1697" i="1"/>
  <c r="I1717" i="1"/>
  <c r="I1747" i="1"/>
  <c r="I1774" i="1"/>
  <c r="I1801" i="1"/>
  <c r="I1833" i="1"/>
  <c r="I1859" i="1"/>
  <c r="I1886" i="1"/>
  <c r="I1923" i="1"/>
  <c r="I1961" i="1"/>
  <c r="I1993" i="1"/>
  <c r="I2035" i="1"/>
  <c r="I2073" i="1"/>
  <c r="I2110" i="1"/>
  <c r="I2153" i="1"/>
  <c r="I2185" i="1"/>
  <c r="I2222" i="1"/>
  <c r="I2268" i="1"/>
  <c r="I2317" i="1"/>
  <c r="I2360" i="1"/>
  <c r="I1531" i="1"/>
  <c r="I1559" i="1"/>
  <c r="I1587" i="1"/>
  <c r="I1619" i="1"/>
  <c r="I1643" i="1"/>
  <c r="I1671" i="1"/>
  <c r="I1703" i="1"/>
  <c r="I1734" i="1"/>
  <c r="I1766" i="1"/>
  <c r="I1809" i="1"/>
  <c r="I1846" i="1"/>
  <c r="I1883" i="1"/>
  <c r="I1926" i="1"/>
  <c r="I1974" i="1"/>
  <c r="I2043" i="1"/>
  <c r="I2129" i="1"/>
  <c r="I2209" i="1"/>
  <c r="I2278" i="1"/>
  <c r="I1728" i="1"/>
  <c r="I1780" i="1"/>
  <c r="I1860" i="1"/>
  <c r="I1948" i="1"/>
  <c r="I2012" i="1"/>
  <c r="I2080" i="1"/>
  <c r="I2164" i="1"/>
  <c r="I2244" i="1"/>
  <c r="I2325" i="1"/>
  <c r="I2303" i="1"/>
  <c r="I2371" i="1"/>
  <c r="I1266" i="1"/>
  <c r="I891" i="1"/>
  <c r="I627" i="1"/>
  <c r="I339" i="1"/>
  <c r="I83" i="1"/>
  <c r="I935" i="1"/>
  <c r="I167" i="1"/>
  <c r="I1947" i="1"/>
  <c r="I1969" i="1"/>
  <c r="I1990" i="1"/>
  <c r="I2011" i="1"/>
  <c r="I2033" i="1"/>
  <c r="I2054" i="1"/>
  <c r="I2075" i="1"/>
  <c r="I2097" i="1"/>
  <c r="I2118" i="1"/>
  <c r="I2139" i="1"/>
  <c r="I2161" i="1"/>
  <c r="I2182" i="1"/>
  <c r="I2203" i="1"/>
  <c r="I2225" i="1"/>
  <c r="I2246" i="1"/>
  <c r="I2270" i="1"/>
  <c r="I2300" i="1"/>
  <c r="I2328" i="1"/>
  <c r="I2356" i="1"/>
  <c r="I1724" i="1"/>
  <c r="I1740" i="1"/>
  <c r="I1756" i="1"/>
  <c r="I1772" i="1"/>
  <c r="I1792" i="1"/>
  <c r="I1812" i="1"/>
  <c r="I1836" i="1"/>
  <c r="I1856" i="1"/>
  <c r="I1876" i="1"/>
  <c r="I1900" i="1"/>
  <c r="I1920" i="1"/>
  <c r="I1940" i="1"/>
  <c r="I1964" i="1"/>
  <c r="I1984" i="1"/>
  <c r="I2004" i="1"/>
  <c r="I2028" i="1"/>
  <c r="I2048" i="1"/>
  <c r="I2068" i="1"/>
  <c r="I2092" i="1"/>
  <c r="I2112" i="1"/>
  <c r="I2132" i="1"/>
  <c r="I2156" i="1"/>
  <c r="I2176" i="1"/>
  <c r="I2196" i="1"/>
  <c r="I2220" i="1"/>
  <c r="I2240" i="1"/>
  <c r="I2261" i="1"/>
  <c r="I2293" i="1"/>
  <c r="I2320" i="1"/>
  <c r="I2346" i="1"/>
  <c r="I2378" i="1"/>
  <c r="I2275" i="1"/>
  <c r="I2295" i="1"/>
  <c r="I2319" i="1"/>
  <c r="I2339" i="1"/>
  <c r="I2359" i="1"/>
  <c r="I2202" i="1"/>
  <c r="I1775" i="1"/>
  <c r="I1490" i="1"/>
  <c r="I1298" i="1"/>
  <c r="I1163" i="1"/>
  <c r="I1083" i="1"/>
  <c r="I987" i="1"/>
  <c r="I907" i="1"/>
  <c r="I827" i="1"/>
  <c r="I731" i="1"/>
  <c r="I643" i="1"/>
  <c r="I563" i="1"/>
  <c r="I467" i="1"/>
  <c r="I387" i="1"/>
  <c r="I307" i="1"/>
  <c r="I211" i="1"/>
  <c r="I147" i="1"/>
  <c r="I107" i="1"/>
  <c r="I59" i="1"/>
  <c r="I19" i="1"/>
  <c r="I1370" i="1"/>
  <c r="I1079" i="1"/>
  <c r="I959" i="1"/>
  <c r="I839" i="1"/>
  <c r="I695" i="1"/>
  <c r="I583" i="1"/>
  <c r="I463" i="1"/>
  <c r="I319" i="1"/>
  <c r="I191" i="1"/>
  <c r="I117" i="1"/>
  <c r="I1159" i="1"/>
  <c r="I1031" i="1"/>
  <c r="I887" i="1"/>
  <c r="I759" i="1"/>
  <c r="I647" i="1"/>
  <c r="I511" i="1"/>
  <c r="I391" i="1"/>
  <c r="I271" i="1"/>
  <c r="I141" i="1"/>
  <c r="I81" i="1"/>
  <c r="I1963" i="1"/>
  <c r="I1985" i="1"/>
  <c r="I2006" i="1"/>
  <c r="I2027" i="1"/>
  <c r="I2049" i="1"/>
  <c r="I2070" i="1"/>
  <c r="I2091" i="1"/>
  <c r="I2113" i="1"/>
  <c r="I2134" i="1"/>
  <c r="I2155" i="1"/>
  <c r="I2177" i="1"/>
  <c r="I2198" i="1"/>
  <c r="I2219" i="1"/>
  <c r="I2241" i="1"/>
  <c r="I2264" i="1"/>
  <c r="I2292" i="1"/>
  <c r="I2321" i="1"/>
  <c r="I2349" i="1"/>
  <c r="I2377" i="1"/>
  <c r="I1736" i="1"/>
  <c r="I1752" i="1"/>
  <c r="I1768" i="1"/>
  <c r="I1788" i="1"/>
  <c r="I1808" i="1"/>
  <c r="I1828" i="1"/>
  <c r="I1852" i="1"/>
  <c r="I1872" i="1"/>
  <c r="I1892" i="1"/>
  <c r="I1916" i="1"/>
  <c r="I1936" i="1"/>
  <c r="I1956" i="1"/>
  <c r="I1980" i="1"/>
  <c r="I2000" i="1"/>
  <c r="I2020" i="1"/>
  <c r="I2044" i="1"/>
  <c r="I2064" i="1"/>
  <c r="I2084" i="1"/>
  <c r="I2108" i="1"/>
  <c r="I2128" i="1"/>
  <c r="I2148" i="1"/>
  <c r="I2172" i="1"/>
  <c r="I2192" i="1"/>
  <c r="I2212" i="1"/>
  <c r="I2236" i="1"/>
  <c r="I2256" i="1"/>
  <c r="I2282" i="1"/>
  <c r="I2314" i="1"/>
  <c r="I2341" i="1"/>
  <c r="I2368" i="1"/>
  <c r="I2271" i="1"/>
  <c r="I2291" i="1"/>
  <c r="I2311" i="1"/>
  <c r="I2335" i="1"/>
  <c r="I2355" i="1"/>
  <c r="I2375" i="1"/>
  <c r="I1861" i="1"/>
  <c r="I1525" i="1"/>
  <c r="I1362" i="1"/>
  <c r="I1179" i="1"/>
  <c r="I1099" i="1"/>
  <c r="I1019" i="1"/>
  <c r="I923" i="1"/>
  <c r="I843" i="1"/>
  <c r="I763" i="1"/>
  <c r="I659" i="1"/>
  <c r="I579" i="1"/>
  <c r="I499" i="1"/>
  <c r="I403" i="1"/>
  <c r="I323" i="1"/>
  <c r="I243" i="1"/>
  <c r="I155" i="1"/>
  <c r="I115" i="1"/>
  <c r="I75" i="1"/>
  <c r="I27" i="1"/>
  <c r="I1482" i="1"/>
  <c r="I1127" i="1"/>
  <c r="I983" i="1"/>
  <c r="I863" i="1"/>
  <c r="I743" i="1"/>
  <c r="I607" i="1"/>
  <c r="I487" i="1"/>
  <c r="I367" i="1"/>
  <c r="I223" i="1"/>
  <c r="I129" i="1"/>
  <c r="I33" i="1"/>
  <c r="I45" i="1"/>
  <c r="I69" i="1"/>
  <c r="I21" i="1"/>
  <c r="I1784" i="1"/>
  <c r="I1800" i="1"/>
  <c r="I1816" i="1"/>
  <c r="I1832" i="1"/>
  <c r="I1848" i="1"/>
  <c r="I1864" i="1"/>
  <c r="I1880" i="1"/>
  <c r="I1896" i="1"/>
  <c r="I1912" i="1"/>
  <c r="I1928" i="1"/>
  <c r="I1944" i="1"/>
  <c r="I1960" i="1"/>
  <c r="I1976" i="1"/>
  <c r="I1992" i="1"/>
  <c r="I2008" i="1"/>
  <c r="I2024" i="1"/>
  <c r="I2040" i="1"/>
  <c r="I2056" i="1"/>
  <c r="I2072" i="1"/>
  <c r="I2088" i="1"/>
  <c r="I2104" i="1"/>
  <c r="I2120" i="1"/>
  <c r="I2136" i="1"/>
  <c r="I2152" i="1"/>
  <c r="I2168" i="1"/>
  <c r="I2184" i="1"/>
  <c r="I2200" i="1"/>
  <c r="I2216" i="1"/>
  <c r="I2232" i="1"/>
  <c r="I2248" i="1"/>
  <c r="I2266" i="1"/>
  <c r="I2288" i="1"/>
  <c r="I2309" i="1"/>
  <c r="I2330" i="1"/>
  <c r="I2352" i="1"/>
  <c r="I2373" i="1"/>
  <c r="I2267" i="1"/>
  <c r="I2283" i="1"/>
  <c r="I2299" i="1"/>
  <c r="I2315" i="1"/>
  <c r="I2331" i="1"/>
  <c r="I2347" i="1"/>
  <c r="I2363" i="1"/>
  <c r="I2379" i="1"/>
  <c r="I1946" i="1"/>
  <c r="I1634" i="1"/>
  <c r="I1458" i="1"/>
  <c r="I1330" i="1"/>
  <c r="I1202" i="1"/>
  <c r="I1131" i="1"/>
  <c r="I1067" i="1"/>
  <c r="I1003" i="1"/>
  <c r="I939" i="1"/>
  <c r="I875" i="1"/>
  <c r="I811" i="1"/>
  <c r="I747" i="1"/>
  <c r="I683" i="1"/>
  <c r="I611" i="1"/>
  <c r="I547" i="1"/>
  <c r="I483" i="1"/>
  <c r="I419" i="1"/>
  <c r="I355" i="1"/>
  <c r="I291" i="1"/>
  <c r="I227" i="1"/>
  <c r="I163" i="1"/>
  <c r="I131" i="1"/>
  <c r="I99" i="1"/>
  <c r="I67" i="1"/>
  <c r="I35" i="1"/>
  <c r="I2010" i="1"/>
  <c r="I1290" i="1"/>
  <c r="I1103" i="1"/>
  <c r="I1007" i="1"/>
  <c r="I911" i="1"/>
  <c r="I807" i="1"/>
  <c r="I719" i="1"/>
  <c r="I623" i="1"/>
  <c r="I535" i="1"/>
  <c r="I439" i="1"/>
  <c r="I343" i="1"/>
  <c r="I247" i="1"/>
  <c r="I153" i="1"/>
  <c r="I105" i="1"/>
  <c r="I57" i="1"/>
  <c r="I9" i="1"/>
</calcChain>
</file>

<file path=xl/sharedStrings.xml><?xml version="1.0" encoding="utf-8"?>
<sst xmlns="http://schemas.openxmlformats.org/spreadsheetml/2006/main" count="11659" uniqueCount="1760">
  <si>
    <t>https://docs.google.com/spreadsheets/d/1cWssYxATByXnyyr36UAZFbgMLUbWh7qVnHtcu129_4Y/edit#gid=844763542</t>
  </si>
  <si>
    <t>ボタン料率</t>
  </si>
  <si>
    <t>★少なくとも26期中は物件増受注がNGな会員・「いついつ」までは物件増受注がNGな会員を記載</t>
  </si>
  <si>
    <t>上限代表落ち</t>
  </si>
  <si>
    <t>入力補助</t>
  </si>
  <si>
    <t>家賃上限下げ</t>
  </si>
  <si>
    <t>W定額</t>
  </si>
  <si>
    <t>その他</t>
  </si>
  <si>
    <t>差分なしZ</t>
  </si>
  <si>
    <t>【注意】</t>
  </si>
  <si>
    <t>掲載枠の場合は「掲載枠」と記載</t>
  </si>
  <si>
    <t>属性</t>
  </si>
  <si>
    <t>CL計画時期</t>
  </si>
  <si>
    <t>ID</t>
  </si>
  <si>
    <t>会員名</t>
  </si>
  <si>
    <t>失注日</t>
  </si>
  <si>
    <t>失注理由</t>
  </si>
  <si>
    <t>失注理由備考</t>
  </si>
  <si>
    <t>記入担当</t>
  </si>
  <si>
    <t>G長チェック</t>
  </si>
  <si>
    <t>Sのみ物件_新定義</t>
  </si>
  <si>
    <t>複数店舗を一括で受注した場合、すべてのIDを入力すること。</t>
  </si>
  <si>
    <t>記入箇所はすべて記入すること。</t>
  </si>
  <si>
    <t>↓パーセント記載でお願いします！！</t>
  </si>
  <si>
    <t>期限まで無理</t>
  </si>
  <si>
    <t>総掲載数何件までは載せる・を記載</t>
  </si>
  <si>
    <t>記入Flg</t>
  </si>
  <si>
    <t>プラン</t>
  </si>
  <si>
    <t>見込料率</t>
  </si>
  <si>
    <t>＊＊＊</t>
  </si>
  <si>
    <t>見込U物件増</t>
  </si>
  <si>
    <t>サンプル不動産</t>
  </si>
  <si>
    <t>競合優位</t>
  </si>
  <si>
    <t>掲載開始時期</t>
  </si>
  <si>
    <t>反響単価1,000円で競合提供中のため、緩和効き目なし</t>
  </si>
  <si>
    <t>握り掲載数</t>
  </si>
  <si>
    <t>吉村 祐輔</t>
  </si>
  <si>
    <t>現担当</t>
  </si>
  <si>
    <t>上期Ace担当</t>
  </si>
  <si>
    <t>アパマン不落フラグ</t>
  </si>
  <si>
    <t>OK</t>
  </si>
  <si>
    <t>26期中は無理</t>
  </si>
  <si>
    <t>備考</t>
  </si>
  <si>
    <t>株式会社ユーミーネット　ユーミーらいふ平塚西口店【４末解約】</t>
  </si>
  <si>
    <t>退会決定</t>
  </si>
  <si>
    <t>4月の引継ぎ時点で４月末解約が確定していたため</t>
  </si>
  <si>
    <t>菅野 ぎんが</t>
  </si>
  <si>
    <t>株式会社オーリック不動産　エイブルネットワーク天文館店</t>
  </si>
  <si>
    <t>LH嫌い・交渉余地なし</t>
  </si>
  <si>
    <t>柳井 優一</t>
  </si>
  <si>
    <t>-</t>
  </si>
  <si>
    <t>Ace2Q受注ID</t>
  </si>
  <si>
    <t>受注</t>
  </si>
  <si>
    <t>現値引き継続条件</t>
  </si>
  <si>
    <t>株式会社オーリック不動産　エイブルネットワーク姶良加治木店</t>
  </si>
  <si>
    <t>株式会社ユーミーネット　ユーミーらいふ大船店【４末解約】</t>
  </si>
  <si>
    <t>人的リソースなし</t>
  </si>
  <si>
    <t>小川 純</t>
  </si>
  <si>
    <t>株式会社ユーミーネット　ユーミーらいふ辻堂店【４末解約】</t>
  </si>
  <si>
    <t>株式会社ユーミーネット　ユーミーらいふ戸塚店【４末解約】</t>
  </si>
  <si>
    <t>株式会社ユーミーネット　ユーミーらいふ藤沢店【４末解約】</t>
  </si>
  <si>
    <t>競合契約更新時まで予算変えられない</t>
  </si>
  <si>
    <t>株式会社ユーミーネット　ユーミーらいふ湘南台店【４末解約】</t>
  </si>
  <si>
    <t>株式会社オーリック不動産　エイブルネットワーク鹿屋店</t>
  </si>
  <si>
    <t>コロナが落ち着くまでは</t>
  </si>
  <si>
    <t>株式会社ユーミーネット　ユーミーらいふ不動産販売【４末解約】</t>
  </si>
  <si>
    <t>株式会社セレクトハウス(３末退会)</t>
  </si>
  <si>
    <t>株式会社オーリック不動産　エイブルネットワーク国分霧島店</t>
  </si>
  <si>
    <t>島根不動産株式会社</t>
  </si>
  <si>
    <t>1-3月でW定額実施したが、結果(成約)出ず。来期繁忙期に再検討</t>
  </si>
  <si>
    <t>村上 浩一朗</t>
  </si>
  <si>
    <t>株式会社オーリック不動産　エイブルネットワーク谷山店</t>
  </si>
  <si>
    <t xml:space="preserve">株式会社クライスホーム　神田支店
</t>
  </si>
  <si>
    <t>店舗閉鎖のため、HOME’S掲載停止。</t>
  </si>
  <si>
    <t>成嶋　夏未</t>
  </si>
  <si>
    <t>株式会社オーリック不動産　エイブルネットワーク鹿屋西原店</t>
  </si>
  <si>
    <t>株式会社グッド不動産　ピタットハウス新居浜店</t>
  </si>
  <si>
    <t>担当変更挨拶時、今まで連絡がなかったことでクレーム発生のため</t>
  </si>
  <si>
    <t>奥野 貴大</t>
  </si>
  <si>
    <t>株式会社オーリック不動産　エイブルネットワーク隼人店</t>
  </si>
  <si>
    <t>株式会社ルームズ</t>
  </si>
  <si>
    <t>今月で賃貸営業が全員退職したため</t>
  </si>
  <si>
    <t>桐山勝気</t>
  </si>
  <si>
    <t>退会</t>
  </si>
  <si>
    <t xml:space="preserve">株式会社リロエステート　新宿南口店
</t>
  </si>
  <si>
    <t>株式会社オーリック不動産　エイブルネットワーク荒田鹿大通り店</t>
  </si>
  <si>
    <t>株式会社リロエステート　早稲田正門前店</t>
  </si>
  <si>
    <t>株式会社常口アトム　円山公園店</t>
  </si>
  <si>
    <t>北山ハウス産業株式会社 本店</t>
  </si>
  <si>
    <t>芳賀 亮輔</t>
  </si>
  <si>
    <t>株式会社日建企画　港北ニュータウン本店</t>
  </si>
  <si>
    <t>株式会社常口アトム　琴似中央店</t>
  </si>
  <si>
    <t>費用対効果悪化によりHOME'S全解約</t>
  </si>
  <si>
    <t>株式会社小浜土地建物</t>
  </si>
  <si>
    <t>費用対効果悪化とこれまで担当から連絡がなかったことでクレーム発生。全解約</t>
  </si>
  <si>
    <t>株式会社常口アトム　札幌白石支店</t>
  </si>
  <si>
    <t>栄光商事株式会社</t>
  </si>
  <si>
    <t>株式会社常口アトム　菊水駅前店</t>
  </si>
  <si>
    <t>常輝商事株式会社</t>
  </si>
  <si>
    <t>川崎住宅株式会社</t>
  </si>
  <si>
    <t>株式会社ライフハウジング　日吉店</t>
  </si>
  <si>
    <t>有限会社　柏菱</t>
  </si>
  <si>
    <t>株式会社常口アトム　宮の沢店</t>
  </si>
  <si>
    <t>City　Forest　有限会社全国学生引越センター</t>
  </si>
  <si>
    <t>株式会社常口アトム　イオン桑園店</t>
  </si>
  <si>
    <t>サンキューホームズ</t>
  </si>
  <si>
    <t>未入金のため強制退会が決まった為</t>
  </si>
  <si>
    <t>東京エステート株式会社</t>
  </si>
  <si>
    <t>株式会社常口アトム　麻生中央店</t>
  </si>
  <si>
    <t>株式会社畠山冷機工業所</t>
  </si>
  <si>
    <t>田嶋　将太</t>
  </si>
  <si>
    <t>株式会社常口アトム　西１８丁目店</t>
  </si>
  <si>
    <t>萬屋商会</t>
  </si>
  <si>
    <t>優和産業株式会社</t>
  </si>
  <si>
    <t>株式会社常口アトム　北１８条店</t>
  </si>
  <si>
    <t>4月の引継ぎ時点で3月末退会していたため</t>
  </si>
  <si>
    <t>株式会社ＦＰライフデザイン</t>
  </si>
  <si>
    <t>株式会社常口アトム　手稲店</t>
  </si>
  <si>
    <t>北越不動産</t>
  </si>
  <si>
    <t>引継ぎ挨拶時退会をしたはずだがと確認したところ12月の申込書で取り交わし不備があった</t>
  </si>
  <si>
    <t>株式会社常口アトム　新札幌駅前店</t>
  </si>
  <si>
    <t>株式会社レントバンク　レントドゥ！藤島通店</t>
  </si>
  <si>
    <t>ピタットハウス福井店　成和不動産株式会社</t>
  </si>
  <si>
    <t>株式会社常口アトム　札幌駅前店</t>
  </si>
  <si>
    <t>株式会社クレメンティアホーム 日本橋店</t>
  </si>
  <si>
    <t>店舗閉鎖のため、HOME’S掲載停止。再開の目途がたたないため。</t>
  </si>
  <si>
    <t>株式会社常口アトム　札幌北店</t>
  </si>
  <si>
    <t>株式会社あぷろ</t>
  </si>
  <si>
    <t>店舗閉鎖と賃貸領域撤退の為5末退会</t>
  </si>
  <si>
    <t>株式会社パーソネット　スマイスター横浜店</t>
  </si>
  <si>
    <t>これまでのHOME'Sの対応に不満有、プランどうこうではなく会社として信用できないと提案も失注した為5末解約</t>
  </si>
  <si>
    <t>株式会社常口アトム　東札幌店</t>
  </si>
  <si>
    <t>株式会社パーソネット　スマイスター大宮店</t>
  </si>
  <si>
    <t>株式会社常口アトム　札幌元町支店</t>
  </si>
  <si>
    <t>株式会社パーソネット　スマイスター日暮里店</t>
  </si>
  <si>
    <t>株式会社常口アトム　麻生駅前店</t>
  </si>
  <si>
    <t>株式会社パーソネット　スマイスター本八幡店</t>
  </si>
  <si>
    <t>株式会社パーソネット　スマイスター藤沢店</t>
  </si>
  <si>
    <t>株式会社常口アトム　手稲北口店</t>
  </si>
  <si>
    <t>株式会社パーソネット　スマイスター立川店</t>
  </si>
  <si>
    <t>株式会社常口アトム　福住店</t>
  </si>
  <si>
    <t>株式会社パーソネット　スマイスター町田店</t>
  </si>
  <si>
    <t>株式会社鬼塚工務店</t>
  </si>
  <si>
    <t>株式会社常口アトム　川沿店</t>
  </si>
  <si>
    <t>毎日住宅流通株式会社　本店　</t>
  </si>
  <si>
    <t>送客課金用のアカウントが残ってしまっているためこのアカウントでの掲載は不可</t>
  </si>
  <si>
    <t>株式会社コスギ不動産　本店</t>
  </si>
  <si>
    <t>ワイズ株式会社　溝の口店</t>
  </si>
  <si>
    <t>株式会社　オリバー３６５        淵野辺南口店</t>
  </si>
  <si>
    <t>4末解約のため</t>
  </si>
  <si>
    <t>株式会社　大好き湘南不動産	東海大学前店</t>
  </si>
  <si>
    <t>株式会社　大好き湘南不動産	辻堂店</t>
  </si>
  <si>
    <t>株式会社　Ｓｅｌｅｃｔ	新杉田店</t>
  </si>
  <si>
    <t>有限会社アスミル　エイブルネットワーク徳島中央店</t>
  </si>
  <si>
    <t>特殊掲載増枠</t>
  </si>
  <si>
    <t>桑原　明子</t>
  </si>
  <si>
    <t>株式会社コスギ不動産　光の森支店</t>
  </si>
  <si>
    <t>株式会社レコメンダード</t>
  </si>
  <si>
    <t>未入金強制退会のため</t>
  </si>
  <si>
    <t>稲場 勇介</t>
  </si>
  <si>
    <t>株式会社Unir</t>
  </si>
  <si>
    <t>株式会社コスギ不動産　東部支店</t>
  </si>
  <si>
    <t>朝日ハウス</t>
  </si>
  <si>
    <t>小関麻起</t>
  </si>
  <si>
    <t>株式会社コスギ不動産　健軍支店</t>
  </si>
  <si>
    <t>株式会社コスギ不動産　下通支店</t>
  </si>
  <si>
    <t>ハウスメイトネットワーク宇部店　アムズ不動産株式会社</t>
  </si>
  <si>
    <t>株式会社コスギ不動産　熊本駅支店</t>
  </si>
  <si>
    <t>5月末退会のため</t>
  </si>
  <si>
    <t>株式会社三浦エステート　エイブルネットワーク小松島店</t>
  </si>
  <si>
    <t>6月末退会のため</t>
  </si>
  <si>
    <t>株式会社コスギ不動産　平成店</t>
  </si>
  <si>
    <t>エイブルネットワーク大津店　株式会社日本プロパティシステムズ</t>
  </si>
  <si>
    <t>店舗休業（閉店）のため</t>
  </si>
  <si>
    <t>株式会社ネクストライフ 府中本店</t>
  </si>
  <si>
    <t>小関 麻起</t>
  </si>
  <si>
    <t>株式会社吉田八十八本店　やそはち不動産</t>
  </si>
  <si>
    <t>株式会社ネクストライフ　町田本店</t>
  </si>
  <si>
    <t>アパマンショップ屋島店　株式会社グローバルセンター</t>
  </si>
  <si>
    <t>株式会社ネクストライフ　川崎店</t>
  </si>
  <si>
    <t>店舗移転のため</t>
  </si>
  <si>
    <t>株式会社ネクストライフ　相模大野店</t>
  </si>
  <si>
    <t>株式会社ネクストライフ　立川店</t>
  </si>
  <si>
    <t>株式会社ネクストライフ　調布店</t>
  </si>
  <si>
    <t>レオパレスセンター函館</t>
  </si>
  <si>
    <t>大木 優香</t>
  </si>
  <si>
    <t>法人全体で53,000件</t>
  </si>
  <si>
    <t>レオパレスセンター苫小牧</t>
  </si>
  <si>
    <t>レオパレスセンター旭川</t>
  </si>
  <si>
    <t>レオパレスセンター釧路</t>
  </si>
  <si>
    <t>レオパレスセンター札幌</t>
  </si>
  <si>
    <t>レオパレスセンター新さっぽろ</t>
  </si>
  <si>
    <t>レオパレスセンター青森</t>
  </si>
  <si>
    <t>レオパレスセンター八戸</t>
  </si>
  <si>
    <t>レオパレスセンター盛岡</t>
  </si>
  <si>
    <t>レオパレスセンター北上</t>
  </si>
  <si>
    <t>レオパレスセンター仙台</t>
  </si>
  <si>
    <t>レオパレスセンター仙台泉中央</t>
  </si>
  <si>
    <t>レオパレスセンター仙台宮城野</t>
  </si>
  <si>
    <t>レオパレスセンター古川</t>
  </si>
  <si>
    <t>株式会社レオパレス２１　レオパレスセンター仙台名取</t>
  </si>
  <si>
    <t>レオパレスセンター秋田</t>
  </si>
  <si>
    <t>レオパレスセンター山形</t>
  </si>
  <si>
    <t>レオパレスセンター鶴岡</t>
  </si>
  <si>
    <t>レオパレスセンター福島</t>
  </si>
  <si>
    <t>レオパレスセンター郡山</t>
  </si>
  <si>
    <t>レオパレスセンターいわき</t>
  </si>
  <si>
    <t>株式会社レオパレス２１　レオパレスセンター水戸</t>
  </si>
  <si>
    <t>レオパレスセンター日立</t>
  </si>
  <si>
    <t>レオパレスセンター土浦</t>
  </si>
  <si>
    <t>レオパレスセンターつくば</t>
  </si>
  <si>
    <t>株式会社レオパレス２１　レオパレスセンター宇都宮西口</t>
  </si>
  <si>
    <t>レオパレスセンター足利</t>
  </si>
  <si>
    <t>レオパレスセンター小山</t>
  </si>
  <si>
    <t>レオパレスセンター前橋</t>
  </si>
  <si>
    <t>株式会社レオパレス２１　レオパレスセンター高崎</t>
  </si>
  <si>
    <t>株式会社レオパレス２１　レオパレスセンター伊勢崎</t>
  </si>
  <si>
    <t>レオパレスセンター太田</t>
  </si>
  <si>
    <t>レオパレスセンター川越</t>
  </si>
  <si>
    <t>レオパレスセンター熊谷</t>
  </si>
  <si>
    <t>レオパレスセンター川口</t>
  </si>
  <si>
    <t>レオパレスセンター武蔵浦和</t>
  </si>
  <si>
    <t>レオパレスセンター所沢</t>
  </si>
  <si>
    <t>レオパレスセンター東松山</t>
  </si>
  <si>
    <t>レオパレスセンター深谷</t>
  </si>
  <si>
    <t>レオパレスセンター上尾</t>
  </si>
  <si>
    <t>レオパレスセンター南越谷</t>
  </si>
  <si>
    <t>レオパレスセンター朝霞台</t>
  </si>
  <si>
    <t>レオパレスセンター久喜</t>
  </si>
  <si>
    <t>レオパレスセンター千葉</t>
  </si>
  <si>
    <t>レオパレスセンター銚子</t>
  </si>
  <si>
    <t>レオパレスセンター船橋</t>
  </si>
  <si>
    <t>レオパレスセンター木更津</t>
  </si>
  <si>
    <t>レオパレスセンター茂原</t>
  </si>
  <si>
    <t>レオパレスセンター成田</t>
  </si>
  <si>
    <t>レオパレスセンター柏</t>
  </si>
  <si>
    <t>レオパレスセンター市原</t>
  </si>
  <si>
    <t>株式会社レオパレス２１　レオパレスセンター勝田台</t>
  </si>
  <si>
    <t>レオパレスセンター新宿</t>
  </si>
  <si>
    <t>レオパレスセンター池袋</t>
  </si>
  <si>
    <t>レオパレスセンター八王子</t>
  </si>
  <si>
    <t>レオパレスセンター立川</t>
  </si>
  <si>
    <t>レオパレスセンター町田</t>
  </si>
  <si>
    <t>レオパレスセンター田無</t>
  </si>
  <si>
    <t>レオパレスセンター福生</t>
  </si>
  <si>
    <t>レオパレスセンター横浜</t>
  </si>
  <si>
    <t>レオパレスセンター溝の口</t>
  </si>
  <si>
    <t>レオパレスセンター横須賀</t>
  </si>
  <si>
    <t>レオパレスセンター平塚</t>
  </si>
  <si>
    <t>レオパレスセンター藤沢</t>
  </si>
  <si>
    <t>レオパレスセンター小田原</t>
  </si>
  <si>
    <t>レオパレスセンター本厚木</t>
  </si>
  <si>
    <t>レオパレスセンター新潟</t>
  </si>
  <si>
    <t>レオパレスセンター長岡</t>
  </si>
  <si>
    <t>レオパレスセンター富山</t>
  </si>
  <si>
    <t>レオパレスセンター高岡</t>
  </si>
  <si>
    <t>レオパレスセンター金沢</t>
  </si>
  <si>
    <t>レオパレスセンター福井</t>
  </si>
  <si>
    <t>レオパレスセンター甲府</t>
  </si>
  <si>
    <t>レオパレスセンター長野</t>
  </si>
  <si>
    <t>レオパレスセンター松本</t>
  </si>
  <si>
    <t>レオパレスセンター上田</t>
  </si>
  <si>
    <t>レオパレスセンター飯田</t>
  </si>
  <si>
    <t>レオパレスセンター茅野</t>
  </si>
  <si>
    <t>レオパレスセンター岐阜</t>
  </si>
  <si>
    <t>株式会社レオパレス２１　レオパレスセンター西岐阜</t>
  </si>
  <si>
    <t>レオパレスセンター静岡</t>
  </si>
  <si>
    <t>レオパレスセンター浜松</t>
  </si>
  <si>
    <t>レオパレスセンター沼津</t>
  </si>
  <si>
    <t>レオパレスセンター富士</t>
  </si>
  <si>
    <t>レオパレスセンター磐田</t>
  </si>
  <si>
    <t>レオパレスセンター焼津</t>
  </si>
  <si>
    <t>レオパレスセンター掛川</t>
  </si>
  <si>
    <t>レオパレスセンター大曽根</t>
  </si>
  <si>
    <t>株式会社レオパレス２１　レオパレスセンター名古屋新栄</t>
  </si>
  <si>
    <t>レオパレスセンター豊橋</t>
  </si>
  <si>
    <t>レオパレスセンター岡崎</t>
  </si>
  <si>
    <t>レオパレスセンター一宮</t>
  </si>
  <si>
    <t>レオパレスセンター春日井</t>
  </si>
  <si>
    <t>レオパレスセンター豊田</t>
  </si>
  <si>
    <t>レオパレスセンター犬山</t>
  </si>
  <si>
    <t>株式会社レオパレス２１　レオパレスセンター太田川</t>
  </si>
  <si>
    <t>レオパレスセンター津</t>
  </si>
  <si>
    <t>レオパレスセンター四日市</t>
  </si>
  <si>
    <t>レオパレスセンター大津</t>
  </si>
  <si>
    <t>レオパレスセンター彦根</t>
  </si>
  <si>
    <t>レオパレスセンター京都</t>
  </si>
  <si>
    <t>レオパレスセンター伏見</t>
  </si>
  <si>
    <t>レオパレスセンター舞鶴</t>
  </si>
  <si>
    <t>レオパレスセンター大阪</t>
  </si>
  <si>
    <t>レオパレスセンターなんば</t>
  </si>
  <si>
    <t>レオパレスセンター岸和田</t>
  </si>
  <si>
    <t>レオパレスセンター豊中</t>
  </si>
  <si>
    <t>レオパレスセンター東大阪</t>
  </si>
  <si>
    <t>レオパレスセンター高槻</t>
  </si>
  <si>
    <t>レオパレスセンター枚方</t>
  </si>
  <si>
    <t>レオパレスセンターなかもず</t>
  </si>
  <si>
    <t>レオパレスセンター神戸</t>
  </si>
  <si>
    <t>レオパレスセンター姫路</t>
  </si>
  <si>
    <t>株式会社レオパレス２１　レオパレスセンター姫路網干</t>
  </si>
  <si>
    <t>レオパレスセンター明石</t>
  </si>
  <si>
    <t>レオパレスセンター西宮</t>
  </si>
  <si>
    <t>レオパレスセンター加古川</t>
  </si>
  <si>
    <t>レオパレスセンター奈良</t>
  </si>
  <si>
    <t>株式会社レオパレス２１　レオパレスセンター大和八木</t>
  </si>
  <si>
    <t>レオパレスセンター和歌山</t>
  </si>
  <si>
    <t>レオパレスセンター鳥取</t>
  </si>
  <si>
    <t>レオパレスセンター米子</t>
  </si>
  <si>
    <t>レオパレスセンター松江</t>
  </si>
  <si>
    <t>レオパレスセンター岡山</t>
  </si>
  <si>
    <t>レオパレスセンター倉敷</t>
  </si>
  <si>
    <t>株式会社レオパレス２１　レオパレスセンター広島本通</t>
  </si>
  <si>
    <t>株式会社レオパレス２１　レオパレスセンター広島五日市</t>
  </si>
  <si>
    <t>レオパレスセンター福山</t>
  </si>
  <si>
    <t>レオパレスセンター下関</t>
  </si>
  <si>
    <t>レオパレスセンター新山口</t>
  </si>
  <si>
    <t>レオパレスセンター徳島</t>
  </si>
  <si>
    <t>レオパレスセンター高松</t>
  </si>
  <si>
    <t>レオパレスセンター宇多津</t>
  </si>
  <si>
    <t>レオパレスセンター松山</t>
  </si>
  <si>
    <t>レオパレスセンター高知</t>
  </si>
  <si>
    <t>株式会社レオパレス２１　レオパレスセンター小倉</t>
  </si>
  <si>
    <t>レオパレスセンター黒崎</t>
  </si>
  <si>
    <t>レオパレスセンター博多駅前</t>
  </si>
  <si>
    <t>株式会社レオパレス２１　レオパレスセンター福岡天神</t>
  </si>
  <si>
    <t>レオパレスセンター久留米</t>
  </si>
  <si>
    <t>株式会社レオパレス２１　レオパレスセンター春日</t>
  </si>
  <si>
    <t>レオパレスセンター佐賀</t>
  </si>
  <si>
    <t>レオパレスセンター長崎</t>
  </si>
  <si>
    <t>レオパレスセンター佐世保</t>
  </si>
  <si>
    <t>レオパレスセンター熊本</t>
  </si>
  <si>
    <t>レオパレスセンター八代</t>
  </si>
  <si>
    <t>レオパレスセンター大分</t>
  </si>
  <si>
    <t>レオパレスセンター宮崎</t>
  </si>
  <si>
    <t>レオパレスセンター鹿児島</t>
  </si>
  <si>
    <t>レオパレスセンター那覇</t>
  </si>
  <si>
    <t>レオパレスセンター沖縄中部</t>
  </si>
  <si>
    <t>レオパレスセンター藤ヶ丘店</t>
  </si>
  <si>
    <t>レオパレスセンター上野</t>
  </si>
  <si>
    <t>レオパレスセンター大宮西口</t>
  </si>
  <si>
    <t>有限会社中津リアルエステートセンター</t>
  </si>
  <si>
    <t>株式会社コミーズ</t>
  </si>
  <si>
    <t>サカイ土地株式会社</t>
  </si>
  <si>
    <t>ウイングライフ株式会社</t>
  </si>
  <si>
    <t>有限会社ファインホーム</t>
  </si>
  <si>
    <t>グランディア不動産</t>
  </si>
  <si>
    <t>株式会社不動産信託リサーチ</t>
  </si>
  <si>
    <t>福知山不動産株式会社</t>
  </si>
  <si>
    <t>有限会社公陽ハウジング</t>
  </si>
  <si>
    <t>有限会社東信不動産</t>
  </si>
  <si>
    <t>有限会社不動産情報センター</t>
  </si>
  <si>
    <t>有限会社伊藤コンサルタント</t>
  </si>
  <si>
    <t>有限会社三島駅前賃貸センター</t>
  </si>
  <si>
    <t>株式会社ナガタハウジング</t>
  </si>
  <si>
    <t>株式会社ハナインターナショナル</t>
  </si>
  <si>
    <t>アジア宅建株式会社</t>
  </si>
  <si>
    <t>鶴山不動産株式会社</t>
  </si>
  <si>
    <t>サンライズ住研株式会社</t>
  </si>
  <si>
    <t>株式会社三ツ星綜合不動産</t>
  </si>
  <si>
    <t>株式会社Ｖｉｖｉｏ</t>
  </si>
  <si>
    <t>株式会社成家</t>
  </si>
  <si>
    <t>株式会社ハウスネット</t>
  </si>
  <si>
    <t>株式会社みかん不動産</t>
  </si>
  <si>
    <t>有限会社丸金商事</t>
  </si>
  <si>
    <t>有限会社アドワーク</t>
  </si>
  <si>
    <t>まるさ住宅株式会社</t>
  </si>
  <si>
    <t>株式会社よさこい不動産</t>
  </si>
  <si>
    <t>株式会社ジェイズコーポレーション</t>
  </si>
  <si>
    <t>リライアンス株式会社</t>
  </si>
  <si>
    <t>株式会社バンブーハウス</t>
  </si>
  <si>
    <t>シティーホーム株式会社</t>
  </si>
  <si>
    <t>株式会社ワールドプランニング</t>
  </si>
  <si>
    <t>ユーディーホーム有限会社</t>
  </si>
  <si>
    <t>株式会社アパレオ</t>
  </si>
  <si>
    <t>株式会社マンションセンター</t>
  </si>
  <si>
    <t>株式会社DoBA</t>
  </si>
  <si>
    <t>ファイントラスト有限会社</t>
  </si>
  <si>
    <t>有限会社ベル・エキップ</t>
  </si>
  <si>
    <t>株式会社ライフワンプラス</t>
  </si>
  <si>
    <t>株式会社セントラル都市開発</t>
  </si>
  <si>
    <t>株式会社RoomSearch</t>
  </si>
  <si>
    <t>ハセガワ不動産管理システム株式会社</t>
  </si>
  <si>
    <t>有限会社賃貸のラバン</t>
  </si>
  <si>
    <t>株式会社フクシマエンタープライズ</t>
  </si>
  <si>
    <t>株式会社キューブ</t>
  </si>
  <si>
    <t>セカンドフィールド株式会社</t>
  </si>
  <si>
    <t>セイヨー不動産株式会社</t>
  </si>
  <si>
    <t>株式会社ハウススタイル</t>
  </si>
  <si>
    <t>ビジョナリーハウジング株式会社</t>
  </si>
  <si>
    <t>フェニックス商事株式会社</t>
  </si>
  <si>
    <t>株式会社クローバーホーム</t>
  </si>
  <si>
    <t>株式会社ハウスギャラリー</t>
  </si>
  <si>
    <t>株式会社クローバー</t>
  </si>
  <si>
    <t>有限会社キャスト</t>
  </si>
  <si>
    <t>レオパレスセンター渋谷</t>
  </si>
  <si>
    <t>レオパレスセンター赤羽</t>
  </si>
  <si>
    <t>レオパレスセンター吉祥寺</t>
  </si>
  <si>
    <t>株式会社プラスロジー</t>
  </si>
  <si>
    <t>有限会社翔山</t>
  </si>
  <si>
    <t>株式会社倶楽部ハウス</t>
  </si>
  <si>
    <t>株式会社ケーアイコーポレーション</t>
  </si>
  <si>
    <t>レオパレスセンター高田馬場</t>
  </si>
  <si>
    <t>岡本不動産株式会社</t>
  </si>
  <si>
    <t>株式会社亀谷不動産</t>
  </si>
  <si>
    <t>株式会社くじらハウジング</t>
  </si>
  <si>
    <t>有限会社フロンティアハウジング</t>
  </si>
  <si>
    <t>有限会社広勘不動産</t>
  </si>
  <si>
    <t>アース不動産株式会社</t>
  </si>
  <si>
    <t>株式会社スモッチ</t>
  </si>
  <si>
    <t>株式会社アース開発</t>
  </si>
  <si>
    <t>株式会社スマイリーホーム</t>
  </si>
  <si>
    <t>レオパレスセンター秋葉原</t>
  </si>
  <si>
    <t>合同会社ベアクル</t>
  </si>
  <si>
    <t>株式会社アドバンス</t>
  </si>
  <si>
    <t>レオパレスセンター草津</t>
  </si>
  <si>
    <t>レオパレスセンター名古屋駅前</t>
  </si>
  <si>
    <t>レオパレスセンター千歳</t>
  </si>
  <si>
    <t>レオパレスセンター天王寺</t>
  </si>
  <si>
    <t>レオパレスセンター国分寺</t>
  </si>
  <si>
    <t>レオパレスセンター浦和</t>
  </si>
  <si>
    <t>株式会社エスケー住建</t>
  </si>
  <si>
    <t>レオパレスセンター鳥栖</t>
  </si>
  <si>
    <t>レオパレスセンター琴似</t>
  </si>
  <si>
    <t>レオパレスセンター宇都宮東</t>
  </si>
  <si>
    <t>株式会社レオパレス２１　レオパレスセンター前橋荒牧</t>
  </si>
  <si>
    <t>レオパレスセンター我孫子</t>
  </si>
  <si>
    <t>レオパレスセンター八柱</t>
  </si>
  <si>
    <t>レオパレスセンター甲府昭和</t>
  </si>
  <si>
    <t>レオパレスセンター佐野</t>
  </si>
  <si>
    <t>株式会社レオパレス２１　レオパレスセンター浜松葵</t>
  </si>
  <si>
    <t>レオパレスセンター春日部</t>
  </si>
  <si>
    <t>レオパレスセンター中野</t>
  </si>
  <si>
    <t>ファースト・パレス株式会社</t>
  </si>
  <si>
    <t>株式会社レオパレス２１　レオパレスセンター広島大町</t>
  </si>
  <si>
    <t>レオパレスセンター江別</t>
  </si>
  <si>
    <t>レオパレスセンター寝屋川</t>
  </si>
  <si>
    <t>レオパレスセンター大和</t>
  </si>
  <si>
    <t>株式会社Room Search</t>
  </si>
  <si>
    <t>株式会社アクアホーム</t>
  </si>
  <si>
    <t>株式会社ハナインターナショナル　京橋駅前</t>
  </si>
  <si>
    <t>誠夢株式会社</t>
  </si>
  <si>
    <t>レオパレスセンター府中</t>
  </si>
  <si>
    <t>レオパレスセンター鈴鹿</t>
  </si>
  <si>
    <t>株式会社ハナインターナショナル　草加駅前店</t>
  </si>
  <si>
    <t>株式会社ナガタハウジング　レオパレスパートナーズ　天白野並店</t>
  </si>
  <si>
    <t>株式会社ハナインターナショナル　P調布店</t>
  </si>
  <si>
    <t>株式会社成家　戸塚駅前店</t>
  </si>
  <si>
    <t>株式会社スマイリーホーム　別府駅前店</t>
  </si>
  <si>
    <t>株式会社成家　レオパレスパートナーズ本八幡店</t>
  </si>
  <si>
    <t>レオパレスパートナーズ大泉学園駅前店　家．com株式会社</t>
  </si>
  <si>
    <t>株式会社成家　レオパレスパートナーズ香椎駅前店</t>
  </si>
  <si>
    <t>レオパレスパートナーズ藤枝店　株式会社ライフコムD</t>
  </si>
  <si>
    <t>アイレントホーム株式会社　新小岩店</t>
  </si>
  <si>
    <t>神田 憲幸</t>
  </si>
  <si>
    <t>アイレントホーム株式会社　綾瀬店</t>
  </si>
  <si>
    <t>アイレントホーム株式会社 錦糸町店</t>
  </si>
  <si>
    <t>アイレントホーム株式会社　北千住西口店</t>
  </si>
  <si>
    <t>アイレントホーム株式会社　小岩店</t>
  </si>
  <si>
    <t>アイレントホーム株式会社　金町店</t>
  </si>
  <si>
    <t>アイレントホーム株式会社　門前仲町店</t>
  </si>
  <si>
    <t>アイレントホーム株式会社　東陽町店</t>
  </si>
  <si>
    <t>株式会社いえなび　ホームメイトFC岡山柳川店</t>
  </si>
  <si>
    <t>株式会社いえなび　ホームメイトFC高松中央通り店</t>
  </si>
  <si>
    <t>株式会社いえなび　福山春日店</t>
  </si>
  <si>
    <t>株式会社いえなび　ホームメイトFC岡山医大南店</t>
  </si>
  <si>
    <t>株式会社いえなび　ホームメイトFC高松サンフラワー通り店</t>
  </si>
  <si>
    <t>株式会社いえなび	福山多治米店</t>
  </si>
  <si>
    <t>株式会社エリッツ　四条烏丸店</t>
  </si>
  <si>
    <t>栗原 大武</t>
  </si>
  <si>
    <t>法人間除外</t>
  </si>
  <si>
    <t>株式会社エリッツ　烏丸丸太町店</t>
  </si>
  <si>
    <t>株式会社エリッツ　二条駅前店</t>
  </si>
  <si>
    <t>株式会社エリッツ　京都駅前店</t>
  </si>
  <si>
    <t>株式会社エリッツ　深草店</t>
  </si>
  <si>
    <t>株式会社エリッツ　伏見店</t>
  </si>
  <si>
    <t>株式会社エリッツ　今出川店</t>
  </si>
  <si>
    <t>株式会社エリッツ　西院店</t>
  </si>
  <si>
    <t>株式会社エリッツ　出町柳店</t>
  </si>
  <si>
    <t>株式会社エリッツ　山科店</t>
  </si>
  <si>
    <t>株式会社エリッツ 北大路店</t>
  </si>
  <si>
    <t>株式会社エリッツ 瀬田店</t>
  </si>
  <si>
    <t>株式会社エリッツ　桂店</t>
  </si>
  <si>
    <t>株式会社エリッツ　長岡天神店</t>
  </si>
  <si>
    <t>株式会社エリッツ　宇治小倉店</t>
  </si>
  <si>
    <t>株式会社エリッツ　京都産業大学前店</t>
  </si>
  <si>
    <t>株式会社エリッツ　西京極店</t>
  </si>
  <si>
    <t>株式会社エリッツ　京都大学前店</t>
  </si>
  <si>
    <t>株式会社エリッツ　椥辻店</t>
  </si>
  <si>
    <t>株式会社エリッツ　太秦店</t>
  </si>
  <si>
    <t>株式会社エリッツ　竹田店</t>
  </si>
  <si>
    <t>株式会社エリッツ　四条大宮店</t>
  </si>
  <si>
    <t>株式会社エリッツ　佛教大学前店</t>
  </si>
  <si>
    <t>株式会社エリッツ　円町店</t>
  </si>
  <si>
    <t>株式会社エリッツ　京都造形芸大前店</t>
  </si>
  <si>
    <t>株式会社エリッツ　立命館大学前店</t>
  </si>
  <si>
    <t>株式会社エリッツ　白梅町店</t>
  </si>
  <si>
    <t>株式会社エリッツ　西大路駅前店</t>
  </si>
  <si>
    <t>株式会社エリッツ　七条京阪店</t>
  </si>
  <si>
    <t>株式会社エリッツ　南草津店</t>
  </si>
  <si>
    <t>株式会社エリッツ　四条河原町店</t>
  </si>
  <si>
    <t>株式会社エリッツ　六地蔵店</t>
  </si>
  <si>
    <t>株式会社エリッツ　大津駅前店</t>
  </si>
  <si>
    <t>株式会社エリッツ　北山店</t>
  </si>
  <si>
    <t>株式会社エリッツ　四条烏丸テナント係</t>
  </si>
  <si>
    <t>株式会社エリッツ　守山店</t>
  </si>
  <si>
    <t>株式会社エリッツ　三条柳馬場店</t>
  </si>
  <si>
    <t>株式会社エリッツ　野洲店</t>
  </si>
  <si>
    <t>株式会社エリッツ　新田辺店</t>
  </si>
  <si>
    <t>株式会社エリッツ　JR茨木店</t>
  </si>
  <si>
    <t>株式会社エリッツ　上桂駅前店</t>
  </si>
  <si>
    <t>株式会社エリッツ　JR高槻店</t>
  </si>
  <si>
    <t>株式会社リーベハウス　リロの賃貸蒲田西口店</t>
  </si>
  <si>
    <t>株式会社リーベハウス　リロの賃貸蒲田店</t>
  </si>
  <si>
    <t>株式会社リーベハウス　リロの賃貸池上店</t>
  </si>
  <si>
    <t>株式会社リーベハウス　リロの賃貸大森駅ビルRaRa店</t>
  </si>
  <si>
    <t>株式会社リライフ　リライフ四谷店</t>
  </si>
  <si>
    <t>成嶋 夏未</t>
  </si>
  <si>
    <t>柿崎 晃司</t>
  </si>
  <si>
    <t>株式会社リライフ　早稲田店</t>
  </si>
  <si>
    <t>株式会社リライフ　浅草橋店</t>
  </si>
  <si>
    <t>株式会社リライフ　豪徳寺店</t>
  </si>
  <si>
    <t>株式会社リライフ　飯田橋店</t>
  </si>
  <si>
    <t>株式会社リライフ　千代田店</t>
  </si>
  <si>
    <t>株式会社リライフ　浅草店</t>
  </si>
  <si>
    <t>株式会社リライフ　国立店</t>
  </si>
  <si>
    <t>株式会社リライフ　駒込店</t>
  </si>
  <si>
    <t>株式会社ワイエス・ホーム　三鷹本店</t>
  </si>
  <si>
    <t>株式会社ワイエス・ホーム　吉祥寺店</t>
  </si>
  <si>
    <t>株式会社ワイエス・ホーム　国分寺店</t>
  </si>
  <si>
    <t>株式会社ワイエス・ホーム　高円寺南口店</t>
  </si>
  <si>
    <t>株式会社ワイエス・ホーム　中野支店</t>
  </si>
  <si>
    <t>株式会社長太郎不動産　成増駅北口前店</t>
  </si>
  <si>
    <t>前田 嘉哉</t>
  </si>
  <si>
    <t>株式会社長太郎不動産　和光市駅前店</t>
  </si>
  <si>
    <t>株式会社長太郎不動産　若葉駅前店</t>
  </si>
  <si>
    <t>株式会社長太郎不動産　坂戸駅前店</t>
  </si>
  <si>
    <t>株式会社長太郎不動産　本蓮沼駅前店</t>
  </si>
  <si>
    <t>株式会社長太郎不動産　蓮根駅前店</t>
  </si>
  <si>
    <t>株式会社長太郎不動産　高島平駅前店</t>
  </si>
  <si>
    <t>株式会社長太郎不動産　春日町駅前店</t>
  </si>
  <si>
    <t>株式会社長太郎不動産　光が丘駅前店</t>
  </si>
  <si>
    <t>株式会社長太郎不動産　平和台駅前店</t>
  </si>
  <si>
    <t>株式会社長太郎不動産　大山北口店</t>
  </si>
  <si>
    <t>株式会社S-FIT　お部屋探しCAFEヘヤギメ！目黒店</t>
  </si>
  <si>
    <t>株式会社S-FIT　お部屋探しCAFEヘヤギメ！六本木店</t>
  </si>
  <si>
    <t>株式会社S-FIT　お部屋探しCAFEヘヤギメ！御茶ノ水店</t>
  </si>
  <si>
    <t>株式会社S-FIT　お部屋探しCAFEヘヤギメ！門前仲町店</t>
  </si>
  <si>
    <t>株式会社S-FIT　お部屋探しCAFEヘヤギメ！下北沢店</t>
  </si>
  <si>
    <t>株式会社S-FIT　お部屋探しCAFEヘヤギメ！川崎店</t>
  </si>
  <si>
    <t>株式会社S-FIT　お部屋探しCAFEヘヤギメ！高円寺店</t>
  </si>
  <si>
    <t>株式会社S-FIT　ヘヤギメ！池袋店</t>
  </si>
  <si>
    <t>株式会社日住サービス　京都営業部</t>
  </si>
  <si>
    <t>※3月末退会</t>
  </si>
  <si>
    <t>株式会社日住サービス　高槻営業所</t>
  </si>
  <si>
    <t>株式会社日住サービス　本店営業部</t>
  </si>
  <si>
    <t>株式会社日住サービス　なかもず営業所</t>
  </si>
  <si>
    <t>株式会社日住サービス　千里中央営業所</t>
  </si>
  <si>
    <t>株式会社日住サービス　武庫之荘営業所</t>
  </si>
  <si>
    <t>株式会社日住サービス　西宮営業所</t>
  </si>
  <si>
    <t>株式会社日住サービス　夙川営業所</t>
  </si>
  <si>
    <t>株式会社日住サービス　住吉営業所</t>
  </si>
  <si>
    <t>株式会社日住サービス　六甲営業所</t>
  </si>
  <si>
    <t>株式会社日住サービス　三宮営業部</t>
  </si>
  <si>
    <t>株式会社日住サービス　鈴蘭台営業所</t>
  </si>
  <si>
    <t>株式会社日住サービス　三田営業所</t>
  </si>
  <si>
    <t>株式会社日住サービス　名谷営業所</t>
  </si>
  <si>
    <t>株式会社日住サービス　垂水営業所</t>
  </si>
  <si>
    <t>株式会社　クレアス レント　本店</t>
  </si>
  <si>
    <t>株式会社クレアスレント　新宿店</t>
  </si>
  <si>
    <t>株式会社クレアスレント　池袋店</t>
  </si>
  <si>
    <t>株式会社クレアスレント　五反田店</t>
  </si>
  <si>
    <t>株式会社クレアスレント　クレアスレント六本木店</t>
  </si>
  <si>
    <t>株式会社クレアスレント　上野店</t>
  </si>
  <si>
    <t>株式会社トーマスリビング　博多本店</t>
  </si>
  <si>
    <t>株式会社トーマスリビング　 大橋店</t>
  </si>
  <si>
    <t>株式会社トーマスリビング　春日原店</t>
  </si>
  <si>
    <t>株式会社トーマスリビング　香椎店</t>
  </si>
  <si>
    <t>株式会社トーマスリビング　天神店</t>
  </si>
  <si>
    <t>株式会社トーマスリビング　西新店</t>
  </si>
  <si>
    <t>株式会社トーマスリビング　二日市店</t>
  </si>
  <si>
    <t>株式会社トーマスリビング　古賀店</t>
  </si>
  <si>
    <t>株式会社トーマスリビング　六本松店</t>
  </si>
  <si>
    <t>株式会社トーマスリビング　博多駅前店</t>
  </si>
  <si>
    <t>株式会社トーマスリビング　小倉店</t>
  </si>
  <si>
    <t>株式会社トーマスリビング　福間店</t>
  </si>
  <si>
    <t>株式会社トーマスリビング　下曽根店</t>
  </si>
  <si>
    <t>株式会社トーマスリビング　赤間店</t>
  </si>
  <si>
    <t>株式会社トーマスリビング　鳥栖店</t>
  </si>
  <si>
    <t>株式会社トーマスリビング　折尾店</t>
  </si>
  <si>
    <t>株式会社トーマスリビング　粕屋店</t>
  </si>
  <si>
    <t>株式会社トーマスリビング　黒崎店</t>
  </si>
  <si>
    <t>株式会社トーマスリビング　飯塚店</t>
  </si>
  <si>
    <t>株式会社トーマスリビング　戸畑店</t>
  </si>
  <si>
    <t>株式会社トーマスリビング　福岡空港前店</t>
  </si>
  <si>
    <t>ＭＡＳＴ株式会社ハウスパートナー松戸店</t>
  </si>
  <si>
    <t>MAST株式会社ハウスパートナー 柏東口店</t>
  </si>
  <si>
    <t>MAST株式会社ハウスパートナー 綾瀬店</t>
  </si>
  <si>
    <t>MAST株式会社ハウスパートナー 金町店</t>
  </si>
  <si>
    <t>MAST株式会社ハウスパートナー 南柏店</t>
  </si>
  <si>
    <t>株式会社ハウスパートナー 新松戸店</t>
  </si>
  <si>
    <t>MAST株式会社ハウスパートナー 柏西口店</t>
  </si>
  <si>
    <t>MAST株式会社ハウスパートナー 亀有店</t>
  </si>
  <si>
    <t>株式会社ハウスパートナー　青戸店</t>
  </si>
  <si>
    <t>株式会社ハウスパートナー　北千住店</t>
  </si>
  <si>
    <t>MAST株式会社ハウスパートナー　八柱店</t>
  </si>
  <si>
    <t>MAST株式会社ハウスパートナー　西新井店</t>
  </si>
  <si>
    <t>株式会社ハウスパートナー　錦糸町店</t>
  </si>
  <si>
    <t>株式会社ハウスパートナー　西船橋店</t>
  </si>
  <si>
    <t>MAST株式会社ハウスパートナー　草加店</t>
  </si>
  <si>
    <t>株式会社ハウスパートナー　押上店</t>
  </si>
  <si>
    <t>MAST株式会社ハウスパートナー千葉店</t>
  </si>
  <si>
    <t>株式会社ハウスパートナー　南流山店</t>
  </si>
  <si>
    <t>株式会社ハウスパートナー　新越谷店</t>
  </si>
  <si>
    <t>株式会社ハウスパートナー　津田沼店</t>
  </si>
  <si>
    <t>株式会社ハウスパートナー　船橋店</t>
  </si>
  <si>
    <t>株式会社ハウスパートナー　町屋店</t>
  </si>
  <si>
    <t>株式会社ハウスパートナー　本八幡店</t>
  </si>
  <si>
    <t>株式会社リゾン　朝霞台支店</t>
  </si>
  <si>
    <t>長谷川 陸朗</t>
  </si>
  <si>
    <t>株式会社リゾン　成増支店</t>
  </si>
  <si>
    <t>株式会社リゾン　和光支店</t>
  </si>
  <si>
    <t>株式会社リゾン　朝霞支店</t>
  </si>
  <si>
    <t>株式会社リゾン　志木支店</t>
  </si>
  <si>
    <t>株式会社リゾン　新座支店</t>
  </si>
  <si>
    <t>株式会社リゾン　みずほ台支店</t>
  </si>
  <si>
    <t>株式会社穴吹ハウジングサービス　松山店</t>
  </si>
  <si>
    <t>株式会社穴吹ハウジングサービス　福岡営業所</t>
  </si>
  <si>
    <t>株式会社穴吹ハウジングサービス　岡山駅前店</t>
  </si>
  <si>
    <t>株式会社穴吹ハウジングサービス　高松支店</t>
  </si>
  <si>
    <t>株式会社穴吹ハウジングサービス　鹿児島店</t>
  </si>
  <si>
    <t>ミニミニFC梅田店　株式会社成都不動産</t>
  </si>
  <si>
    <t>桐山 勝気</t>
  </si>
  <si>
    <t>株式会社成都不動産　ミニミニFC池田店</t>
  </si>
  <si>
    <t>株式会社成都賃貸ホームズ　ミニミニFC曽根駅前店</t>
  </si>
  <si>
    <t>株式会社成都賃貸ホームズ　ミニミニFCJR塚本駅前店</t>
  </si>
  <si>
    <t>株式会社成都賃貸ホームズ　ミニミニFCJR野田駅前店</t>
  </si>
  <si>
    <t>株式会社成都不動産　ミニミニFC福島店</t>
  </si>
  <si>
    <t>株式会社成都不動産　ミニミニFC大阪空港蛍池店</t>
  </si>
  <si>
    <t>株式会社成都賃貸ホームズ　ミニミニFC福島南店</t>
  </si>
  <si>
    <t>ミニミニＦＣ箕面店　株式会社成都賃貸ホームズ</t>
  </si>
  <si>
    <t>株式会社成都賃貸ホームズ　ミニミニFC阪急三国店</t>
  </si>
  <si>
    <t>ミニミニFCJR大阪駅前店　(株)成都賃貸ホームズ</t>
  </si>
  <si>
    <t>ミニミニFC野田阪神店　(株)成都不動産</t>
  </si>
  <si>
    <t>ミニミニFC石橋店　(株)成都賃貸ホームズ</t>
  </si>
  <si>
    <t>ミニミニFC阪急十三店　(株)成都不動産</t>
  </si>
  <si>
    <t>ミニミニＦＣ豊中駅前店 株式会社　成都不動産</t>
  </si>
  <si>
    <t>ミニミニ北千里阪大前店　株式会社宅都</t>
  </si>
  <si>
    <t>辻村 将大</t>
  </si>
  <si>
    <t>株式会社宅都 ミニミニFC新大阪中央店</t>
  </si>
  <si>
    <t>株式会社宅都 ミニミニFC新大阪駅前店</t>
  </si>
  <si>
    <t>株式会社宅都 ミニミニFC西中島南方店</t>
  </si>
  <si>
    <t>株式会社宅都 ミニミニFC緑地公園店</t>
  </si>
  <si>
    <t>株式会社宅都 ミニミニFC千里桃山台店</t>
  </si>
  <si>
    <t>株式会社宅都 ミニミニFC千里中央北店</t>
  </si>
  <si>
    <t>株式会社宅都 ミニミニFC天満橋店</t>
  </si>
  <si>
    <t>株式会社宅都 ミニミニFC江坂店</t>
  </si>
  <si>
    <t>株式会社宅都 ミニミニFC新大阪北店</t>
  </si>
  <si>
    <t>株式会社宅都　ミニミニFC四ツ橋堀江店</t>
  </si>
  <si>
    <t>株式会社宅都 ミニミニFC心斎橋筋店</t>
  </si>
  <si>
    <t>株式会社宅都 ミニミニFC本町店</t>
  </si>
  <si>
    <t>株式会社宅都 ミニミニFC京橋店</t>
  </si>
  <si>
    <t>株式会社宅都 ミニミニFC上新庄店</t>
  </si>
  <si>
    <t>株式会社宅都　ミニミニFC肥後橋店</t>
  </si>
  <si>
    <t>株式会社宅都 ミニミニFC天六店</t>
  </si>
  <si>
    <t>株式会社宅都　ミニミニFC西院店</t>
  </si>
  <si>
    <t>株式会社宅都 ミニミニＦＣ南森町店</t>
  </si>
  <si>
    <t>株式会社宅都　ミニミニFC江坂駅前店</t>
  </si>
  <si>
    <t>ミニミニ山田万博公園店　株式会社宅都</t>
  </si>
  <si>
    <t>株式会社宅都　ミニミニFC守口店</t>
  </si>
  <si>
    <t>株式会社宅都　ミニミニFC千里中央南店</t>
  </si>
  <si>
    <t>株式会社宅都　住コンシェル宅都大阪サロン</t>
  </si>
  <si>
    <t>株式会社宅都　WEB店淀屋橋</t>
  </si>
  <si>
    <t xml:space="preserve">- </t>
  </si>
  <si>
    <t>株式会社宅都　法人営業部東京営業所</t>
  </si>
  <si>
    <t>株式会社宅都　ソリューション部開発課</t>
  </si>
  <si>
    <t>株式会社FACE 賃貸住宅サービス NetWorkJR高槻店</t>
  </si>
  <si>
    <t>担当者違う</t>
  </si>
  <si>
    <t>株式会社E NET 賃貸住宅サービス NetWork西田辺店</t>
  </si>
  <si>
    <t>株式会社GRANDIR 賃貸住宅サービス FC高槻駅前店</t>
  </si>
  <si>
    <t>株式会社E NET 賃貸住宅サービス NetWork藤井寺店</t>
  </si>
  <si>
    <t>株式会社E NET 賃貸住宅サービス NetWork 道頓堀店</t>
  </si>
  <si>
    <t>株式会社ナウ 賃貸住宅サービス FC住道駅前店</t>
  </si>
  <si>
    <t>株式会社アリオ　賃貸住宅サービスNetWork大阪駅前店</t>
  </si>
  <si>
    <t>株式会社マイルド 賃貸住宅サービス NetWorkあびこ店</t>
  </si>
  <si>
    <t>株式会社LEGATO 賃貸住宅サービス NetWork布施店</t>
  </si>
  <si>
    <t>株式会社アリオ　賃貸住宅サービス NetWork 阿波座店</t>
  </si>
  <si>
    <t>株式会社LEGATO 賃貸住宅サービス NetWork上本町店</t>
  </si>
  <si>
    <t>株式会社兵住 賃貸住宅サービス FC川西駅前ギャラリー</t>
  </si>
  <si>
    <t>株式会社アリオ 賃貸住宅サービス NetWork鳳駅前店</t>
  </si>
  <si>
    <t>株式会社ＢＲＡＶＥ　賃貸住宅サービスFC西院駅前店</t>
  </si>
  <si>
    <t>株式会社ナウ 賃貸住宅サービス FC江坂ギャラリー</t>
  </si>
  <si>
    <t>株式会社兵住 賃貸住宅サービス FC伊丹駅前店</t>
  </si>
  <si>
    <t>株式会社GLUCK 賃貸住宅サービス FC東三国店</t>
  </si>
  <si>
    <t>株式会社ナウ 賃貸住宅サービス FC京阪枚方店</t>
  </si>
  <si>
    <t>株式会社HOUSE NET 賃貸住宅サービス FC武庫之荘店</t>
  </si>
  <si>
    <t>株式会社ナウ 賃貸住宅サービス FC京橋ＯＢＰ前店</t>
  </si>
  <si>
    <t>株式会社ナウ 賃貸住宅サービス FCJR塚本駅前店</t>
  </si>
  <si>
    <t>株式会社GLUCK 賃貸住宅サービス FC喜連瓜破店</t>
  </si>
  <si>
    <t>株式会社ナウ 賃貸住宅サービス FC阪急茨木駅前店</t>
  </si>
  <si>
    <t>株式会社兵住 賃貸住宅サービス FC阪急西宮店</t>
  </si>
  <si>
    <t>株式会社アリオ 賃貸住宅サービス NetWork中百舌鳥店</t>
  </si>
  <si>
    <t>株式会社アリオ 賃貸住宅サービス NetWork 三国ヶ丘店</t>
  </si>
  <si>
    <t>株式会社ナウ 賃貸住宅サービス FC梅田店</t>
  </si>
  <si>
    <t>株式会社GRANDIR 賃貸住宅サービス FC阪急池田駅前店</t>
  </si>
  <si>
    <t>株式会社アリオ 　賃貸住宅サービスNetWork 野田阪神店</t>
  </si>
  <si>
    <t>株式会社GLUCK 賃貸住宅サービスFC西中島駅前店</t>
  </si>
  <si>
    <t>株式会社賃貸ネット FC玉出店</t>
  </si>
  <si>
    <t>株式会社HOUSE NET 賃貸住宅サービス FC阪神尼崎店</t>
  </si>
  <si>
    <t>株式会社マイルド 賃貸住宅サービス NetWork北花田店</t>
  </si>
  <si>
    <t>株式会社マイルド 賃貸住宅サービス NetWork堺東店</t>
  </si>
  <si>
    <t>株式会社FACE 賃貸住宅サービス NetWorkJR吹田店</t>
  </si>
  <si>
    <t>株式会社FACE 賃貸住宅サービス NetWorkJR茨木店</t>
  </si>
  <si>
    <t>株式会社GRANDIR 賃貸住宅サービス FC阪急淡路駅前店</t>
  </si>
  <si>
    <t>株式会社ナウ 賃貸住宅サービス FC都島店</t>
  </si>
  <si>
    <t>株式会社GRANDIR 賃貸住宅サービス FC阪急豊中駅前店</t>
  </si>
  <si>
    <t>株式会社HOUSE NET 賃貸住宅サービス FC園田店</t>
  </si>
  <si>
    <t>株式会社HOUSE NET 賃貸住宅サービス FC阪神西宮店</t>
  </si>
  <si>
    <t>株式会社兵住 賃貸住宅サービス FC六甲道ギャラリー</t>
  </si>
  <si>
    <t>株式会社GLUCK 賃貸住宅サービス FC阪急十三駅前店</t>
  </si>
  <si>
    <t>株式会社BRAVE 賃貸住宅サービス FC桂駅前店</t>
  </si>
  <si>
    <t>株式会社FACE 賃貸住宅サービス NetWork新大阪中央店</t>
  </si>
  <si>
    <t>株式会社ナウ 賃貸住宅サービス FC寝屋川店</t>
  </si>
  <si>
    <t>株式会社HOUSE NET 賃貸住宅サービス FC夙川店</t>
  </si>
  <si>
    <t>株式会社BRAVE 賃貸住宅サービス FC山科駅前店</t>
  </si>
  <si>
    <t>株式会社PITTARI賃貸  FC名古屋店</t>
  </si>
  <si>
    <t>株式会社兵住 賃貸住宅サービス FC兵庫駅前ギャラリー</t>
  </si>
  <si>
    <t>株式会社賃貸ネット 賃貸住宅サービス FC生駒店</t>
  </si>
  <si>
    <t>株式会社LEGATO 賃貸住宅サービス NetWork南森町店</t>
  </si>
  <si>
    <t>株式会社PLA NET 賃貸住宅サービス FC西新店</t>
  </si>
  <si>
    <t>株式会社LEGATO 賃貸住宅サービス NetWork瓢箪山店</t>
  </si>
  <si>
    <t>株式会社兵住 賃貸住宅サービス FC三宮ギャラリー</t>
  </si>
  <si>
    <t>株式会社ＰＬＡＮＥＴ 賃貸住宅サービス FC福岡天神店</t>
  </si>
  <si>
    <t>株式会社CJS TOKYO 賃貸住宅サービス FC錦糸町ギャラリー</t>
  </si>
  <si>
    <t>株式会社PITTARI 賃貸住宅サービス FC名古屋セントラルパーク店</t>
  </si>
  <si>
    <t>株式会社賃貸ネット 賃貸住宅サービス FCJR奈良駅前店</t>
  </si>
  <si>
    <t>株式会社ナウ 賃貸住宅サービス FC樟葉駅前店</t>
  </si>
  <si>
    <t>株式会社CJS TOKYO 賃貸住宅サービス FC吉祥寺ギャラリー</t>
  </si>
  <si>
    <t>株式会社ナウ 賃貸住宅サービス FC千里中央ギャラリー</t>
  </si>
  <si>
    <t>株式会社ＰＩＴＴＡＲＩ賃貸　賃貸住宅サービス FC金山店</t>
  </si>
  <si>
    <t>株式会社CJS TOKYO 賃貸住宅サービス FC渋谷ギャラリー</t>
  </si>
  <si>
    <t>株式会社PLANET 賃貸住宅サービス FC博多シティ店</t>
  </si>
  <si>
    <t>株式会社賃貸ネット 賃貸住宅サービス FC南草津店</t>
  </si>
  <si>
    <t>株式会社E NET 賃貸住宅サービス NetWork天王寺店</t>
  </si>
  <si>
    <t>株式会社兵住 賃貸住宅サービス FC西宮甲子園口店</t>
  </si>
  <si>
    <t>株式会社E NET 賃貸住宅サービス NetWorkなんばパークス前店</t>
  </si>
  <si>
    <t>株式会社CJS TOKYO　賃貸住宅サービス　FC三鷹店</t>
  </si>
  <si>
    <t>株式会社CJS TOKYO　賃貸住宅サービス・押上スカイツリー前店</t>
  </si>
  <si>
    <t>賃貸住宅サービスFC十日市店　株式会社CLOUD</t>
  </si>
  <si>
    <t>株式会社LEGATO　賃貸住宅サービスNetWork鶴橋店</t>
  </si>
  <si>
    <t>株式会社HOUSE NET　賃貸住宅サービス　FC阪急宝塚店</t>
  </si>
  <si>
    <t>株式会社兵住　賃貸住宅サービスFC　JR尼崎店</t>
  </si>
  <si>
    <t>株式会社CJS TOKYO　賃貸住宅サービスFC高田馬場店</t>
  </si>
  <si>
    <t>株式会社PITTARI賃貸　賃貸住宅サービスFC御器所店</t>
  </si>
  <si>
    <t>株式会社HOUSE NET　賃貸住宅サービスFC塚口店</t>
  </si>
  <si>
    <t>株式会社兵住　賃貸住宅サービス FC ＪＲ立花店</t>
  </si>
  <si>
    <t>株式会社CJS TOKYO　賃貸住宅サービス荻窪店</t>
  </si>
  <si>
    <t>株式会社CJS　TOKYO　賃貸住宅サービス千歳烏山店</t>
  </si>
  <si>
    <t>株式会社賃貸ネット　賃貸住宅サービスFC大和八木店</t>
  </si>
  <si>
    <t>株式会社E　NET　賃貸住宅サービスNetWork淀屋橋店</t>
  </si>
  <si>
    <t>株式会社GRANDIR　賃貸住宅サービスFC阪急曽根駅前店</t>
  </si>
  <si>
    <t>株式会社HOUSE　NET　賃貸住宅サービスFC　JR宝塚店</t>
  </si>
  <si>
    <t>株式会社マイルド　賃貸住宅サービス　NetWork堺店</t>
  </si>
  <si>
    <t>株式会社CLOUD　賃貸住宅サービスFC八丁堀店</t>
  </si>
  <si>
    <t>賃貸大阪株式会社　新大阪本店</t>
  </si>
  <si>
    <t>賃貸大阪株式会社　福島店</t>
  </si>
  <si>
    <t>賃貸大阪株式会社　西中島店</t>
  </si>
  <si>
    <t>ワントップハウス　江坂店  賃貸大阪株式会社</t>
  </si>
  <si>
    <t>賃貸大阪株式会社　ワントップハウス京橋店</t>
  </si>
  <si>
    <t>株式会社豊後企画集団　お部屋ラボ　大分駅上野の森口支店</t>
  </si>
  <si>
    <t>株式会社豊後企画集団　お部屋ラボ　日出店</t>
  </si>
  <si>
    <t>お部屋ラボ萩原店　株式会社豊後企画集団</t>
  </si>
  <si>
    <t>お部屋ラボ光吉店　株式会社豊後企画集団</t>
  </si>
  <si>
    <t>お部屋ラボ別府店　株式会社豊後企画集団</t>
  </si>
  <si>
    <t>お部屋ラボ大在店　株式会社豊後企画集団</t>
  </si>
  <si>
    <t>お部屋ラボ森町店　株式会社豊後企画集団</t>
  </si>
  <si>
    <t>株式会社RENET ワン・トップハウスFCJR茨木店</t>
  </si>
  <si>
    <t>株式会社CJS　TOKYO　FC武蔵境店</t>
  </si>
  <si>
    <t>賃貸住宅サービスFC石橋阪大前店　株式会社GRANDIR</t>
  </si>
  <si>
    <t>株式会社アズ・スタット 賃貸住宅サービス FC緑地千里ニュータウン店</t>
  </si>
  <si>
    <t>株式会社ＡＬＩＶＥ 賃貸住宅サービス FC四条烏丸店</t>
  </si>
  <si>
    <t>株式会社ＡＬＩＶＥ賃貸住宅サービス FC京都駅前店</t>
  </si>
  <si>
    <t>株式会社賃貸ネット　賃貸住宅サービス　住之江公園ギャラリー</t>
  </si>
  <si>
    <t>シティ・ハウジング 糀谷本店</t>
  </si>
  <si>
    <t>シティ・ハウジング 大森店</t>
  </si>
  <si>
    <t>株式会社シティ・ハウジング 雪が谷店</t>
  </si>
  <si>
    <t>株式会社シティ・ハウジング 大井町店</t>
  </si>
  <si>
    <t>株式会社シティ・ハウジング　京急蒲田店</t>
  </si>
  <si>
    <t>株式会社シティ・ハウジング　蒲田店</t>
  </si>
  <si>
    <t>スターツピタットハウス株式会社　幕張本郷店</t>
  </si>
  <si>
    <t>出し渋りない為、握りなし</t>
  </si>
  <si>
    <t>スターツピタットハウス株式会社　千葉店</t>
  </si>
  <si>
    <t>スターツピタットハウス株式会社　高崎店</t>
  </si>
  <si>
    <t>スターツピタットハウス株式会社　ふじみ野店</t>
  </si>
  <si>
    <t>スターツピタットハウス株式会社　東川口店</t>
  </si>
  <si>
    <t>スターツピタットハウス株式会社　稲毛店</t>
  </si>
  <si>
    <t>スターツピタットハウス株式会社　鎌取店</t>
  </si>
  <si>
    <t>スターツピタットハウス株式会社　南浦和店</t>
  </si>
  <si>
    <t>スターツピタットハウス株式会社　上大岡店</t>
  </si>
  <si>
    <t>スターツピタットハウス株式会社　立川店</t>
  </si>
  <si>
    <t>スターツピタットハウス株式会社　行徳販売センター</t>
  </si>
  <si>
    <t>スターツピタットハウス株式会社　新百合ヶ丘店</t>
  </si>
  <si>
    <t>スターツピタットハウス株式会社　池袋店</t>
  </si>
  <si>
    <t>スターツピタットハウス株式会社　府中店</t>
  </si>
  <si>
    <t>スターツピタットハウス株式会社　西新井店</t>
  </si>
  <si>
    <t>スターツピタットハウス株式会社　船橋北口店</t>
  </si>
  <si>
    <t>スターツピタットハウス株式会社 八潮店</t>
  </si>
  <si>
    <t>スターツピタットハウス株式会社　門前仲町店</t>
  </si>
  <si>
    <t>スターツピタットハウス株式会社　篠崎店</t>
  </si>
  <si>
    <t>スターツピタットハウス株式会社　南流山店</t>
  </si>
  <si>
    <t>スターツピタットハウス株式会社 登戸店</t>
  </si>
  <si>
    <t>スターツピタットハウス株式会社　豊洲シエルタワー店</t>
  </si>
  <si>
    <t>スターツピタットハウス株式会社　松戸店</t>
  </si>
  <si>
    <t>スターツピタットハウス株式会社　天王台店</t>
  </si>
  <si>
    <t>スターツピタットハウス株式会社　和光店</t>
  </si>
  <si>
    <t>スターツピタットハウス株式会社　船堀店</t>
  </si>
  <si>
    <t>スターツピタットハウス株式会社　柏店</t>
  </si>
  <si>
    <t>スターツピタットハウス株式会社 アセット営業部</t>
  </si>
  <si>
    <t>スターツピタットハウス株式会社　調布店</t>
  </si>
  <si>
    <t>スターツピタットハウス株式会社　自由が丘店</t>
  </si>
  <si>
    <t>スターツピタットハウス株式会社　成田店</t>
  </si>
  <si>
    <t>スターツピタットハウス株式会社　新越谷店</t>
  </si>
  <si>
    <t>スターツピタットハウス株式会社　津田沼店</t>
  </si>
  <si>
    <t>スターツピタットハウス株式会社　みずほ台店</t>
  </si>
  <si>
    <t>スターツピタットハウス株式会社　中野店</t>
  </si>
  <si>
    <t>スターツピタットハウス株式会社 綱島店</t>
  </si>
  <si>
    <t>スターツピタットハウス株式会社　小岩店</t>
  </si>
  <si>
    <t>スターツピタットハウス株式会社　都心営業課</t>
  </si>
  <si>
    <t>スターツピタットハウス株式会社　亀戸店</t>
  </si>
  <si>
    <t>スターツピタットハウス株式会社　横浜ハマボールイアス店</t>
  </si>
  <si>
    <t>スターツピタットハウス株式会社　センター南店</t>
  </si>
  <si>
    <t>スターツピタットハウス株式会社　三鷹北口店</t>
  </si>
  <si>
    <t>スターツピタットハウス株式会社　法人営業課</t>
  </si>
  <si>
    <t>スターツピタットハウス株式会社　北習志野店</t>
  </si>
  <si>
    <t>スターツピタットハウス株式会社　五反田店</t>
  </si>
  <si>
    <t>スターツピタットハウス株式会社　東松戸店</t>
  </si>
  <si>
    <t>スターツピタットハウス株式会社　我孫子店</t>
  </si>
  <si>
    <t>スターツピタットハウス株式会社　八千代緑が丘店</t>
  </si>
  <si>
    <t>スターツピタットハウス株式会社　柏西口店</t>
  </si>
  <si>
    <t>スターツピタットハウス株式会社　新八柱店</t>
  </si>
  <si>
    <t>スターツピタットハウス株式会社　新松戸店</t>
  </si>
  <si>
    <t>スターツピタットハウス株式会社　せんげん台店</t>
  </si>
  <si>
    <t>スターツピタットハウス株式会社　仙川店</t>
  </si>
  <si>
    <t>スターツピタットハウス株式会社 明大前店</t>
  </si>
  <si>
    <t>スターツピタットハウス株式会社　新小岩店</t>
  </si>
  <si>
    <t>スターツピタットハウス株式会社　蒲田店</t>
  </si>
  <si>
    <t>スターツピタットハウス株式会社　志木店</t>
  </si>
  <si>
    <t>スターツピタットハウス株式会社　浦安店</t>
  </si>
  <si>
    <t>スターツピタットハウス株式会社　東陽町店</t>
  </si>
  <si>
    <t>スターツピタットハウス株式会社　センター北店</t>
  </si>
  <si>
    <t>スターツピタットハウス株式会社　仲町台店</t>
  </si>
  <si>
    <t>スターツピタットハウス株式会社　川崎駅前店</t>
  </si>
  <si>
    <t>スターツピタットハウス株式会社　日吉店</t>
  </si>
  <si>
    <t>スターツピタットハウス株式会社　菊名店</t>
  </si>
  <si>
    <t>スターツピタットハウス株式会社　荻窪店</t>
  </si>
  <si>
    <t>スターツピタットハウス株式会社　国分寺店</t>
  </si>
  <si>
    <t>スターツピタットハウス株式会社　茅場町店</t>
  </si>
  <si>
    <t>スターツピタットハウス株式会社　一之江店</t>
  </si>
  <si>
    <t>スターツピタットハウス株式会社　瑞江店</t>
  </si>
  <si>
    <t>スターツピタットハウス株式会社　西葛西店</t>
  </si>
  <si>
    <t>スターツピタットハウス株式会社　葛西店</t>
  </si>
  <si>
    <t>スターツピタットハウス株式会社　南行徳店</t>
  </si>
  <si>
    <t>スターツピタットハウス株式会社　行徳駅前店</t>
  </si>
  <si>
    <t>スターツピタットハウス株式会社　妙典店</t>
  </si>
  <si>
    <t>スターツピタットハウス株式会社　本八幡店</t>
  </si>
  <si>
    <t>スターツピタットハウス株式会社　東船橋店</t>
  </si>
  <si>
    <t>スターツピタットハウス株式会社　東金店</t>
  </si>
  <si>
    <t>スターツピタットハウス株式会社　四街道店</t>
  </si>
  <si>
    <t>スターツピタットハウス株式会社　八千代中央店</t>
  </si>
  <si>
    <t>スターツピタットハウス株式会社　勝田台店</t>
  </si>
  <si>
    <t>スターツピタットハウス株式会社　公津の杜店</t>
  </si>
  <si>
    <t>スターツピタットハウス株式会社　新鎌ヶ谷店</t>
  </si>
  <si>
    <t>スターツピタットハウス株式会社　浅草橋店</t>
  </si>
  <si>
    <t>スターツピタットハウス株式会社　北千住東口店</t>
  </si>
  <si>
    <t>スターツピタットハウス株式会社　新浦安店</t>
  </si>
  <si>
    <t>スターツピタットハウス株式会社　流山おおたかの森店</t>
  </si>
  <si>
    <t>スターツピタットハウス株式会社　三郷中央店</t>
  </si>
  <si>
    <t>スターツピタットハウス株式会社　高松瓦町店</t>
  </si>
  <si>
    <t>スターツピタットハウス株式会社　練馬西口店</t>
  </si>
  <si>
    <t>スターツピタットハウス株式会社　那覇店</t>
  </si>
  <si>
    <t>スターツピタットハウス株式会社　都心販売センター</t>
  </si>
  <si>
    <t>スターツピタットハウス株式会社　大宮店</t>
  </si>
  <si>
    <t>スターツピタットハウス株式会社　森下店</t>
  </si>
  <si>
    <t>スターツピタットハウス株式会社　渋谷明治通り店</t>
  </si>
  <si>
    <t>スターツピタットハウス株式会社　三軒茶屋店</t>
  </si>
  <si>
    <t>スターツピタットハウス株式会社　飯田橋店</t>
  </si>
  <si>
    <t>スターツピタットハウス株式会社　武蔵小杉北口店</t>
  </si>
  <si>
    <t>スターツピタットハウス株式会社　横浜販売センター</t>
  </si>
  <si>
    <t>スターツピタットハウス株式会社　西葛西販売センター</t>
  </si>
  <si>
    <t>スターツピタットハウス株式会社　船堀販売センター</t>
  </si>
  <si>
    <t>スターツピタットハウス株式会社　津田沼販売センター</t>
  </si>
  <si>
    <t>スターツピタットハウス株式会社　柏販売センター</t>
  </si>
  <si>
    <t>スターツピタットハウス株式会社　大井町区役所通り店</t>
  </si>
  <si>
    <t>株式会社プライムコーポレーション　　下北沢本店</t>
  </si>
  <si>
    <t>株式会社プライムコーポレーション　三軒茶屋店</t>
  </si>
  <si>
    <t>株式会社プライムコーポレーション　中目黒店</t>
  </si>
  <si>
    <t>株式会社プライムコーポレーション　目黒店</t>
  </si>
  <si>
    <t>株式会社プライムコーポレーション　売買部</t>
  </si>
  <si>
    <t>株式会社プライムコーポレーション　目黒第二営業部</t>
  </si>
  <si>
    <t>株式会社プライムコーポレーション　副都心営業部</t>
  </si>
  <si>
    <t>株式会社ミルフォード・リアルエステート　大井町駅前店</t>
  </si>
  <si>
    <t>株式会社ミルフォード・リアルエステート　大森店</t>
  </si>
  <si>
    <t>株式会社ミルフォード・リアルエステート　大井町店</t>
  </si>
  <si>
    <t>株式会社ミルフォード・リアルエステート 武蔵小山店</t>
  </si>
  <si>
    <t>株式会社リビングギャラリー　新潟駅前店</t>
  </si>
  <si>
    <t>老田 純輝</t>
  </si>
  <si>
    <t>株式会社リビングギャラリー　上越センター</t>
  </si>
  <si>
    <t>株式会社リビングギャラリー　新発田店</t>
  </si>
  <si>
    <t>株式会社リビングギャラリー 新潟中央センター店</t>
  </si>
  <si>
    <t>株式会社リビングギャラリー 燕三条駅前店</t>
  </si>
  <si>
    <t>株式会社リビングギャラリー　新潟大学前店</t>
  </si>
  <si>
    <t>株式会社リビングギャラリー 新潟東店</t>
  </si>
  <si>
    <t>株式会社リビングギャラリー　長岡西店</t>
  </si>
  <si>
    <t>株式会社リビングギャラリー　新潟古町店</t>
  </si>
  <si>
    <t>株式会社リビングギャラリー　新潟西店</t>
  </si>
  <si>
    <t>株式会社リビングギャラリー　新潟北店</t>
  </si>
  <si>
    <t>株式会社リビングギャラリー　新潟亀田店</t>
  </si>
  <si>
    <t>株式会社リビングギャラリー　長岡東店</t>
  </si>
  <si>
    <t>大東建託リーシング株式会社 東札幌店</t>
  </si>
  <si>
    <t>渋谷 雄大</t>
  </si>
  <si>
    <t>大東建託リーシング株式会社 千歳店</t>
  </si>
  <si>
    <t>大東建託リーシング株式会社 青森店</t>
  </si>
  <si>
    <t>大東建託リーシング株式会社 八戸店</t>
  </si>
  <si>
    <t>大東建託リーシング株式会社 秋田店</t>
  </si>
  <si>
    <t>大東建託リーシング株式会社 山形嶋店</t>
  </si>
  <si>
    <t>大東建託リーシング株式会社 盛岡店</t>
  </si>
  <si>
    <t>大東建託リーシング株式会社 北上駅前店</t>
  </si>
  <si>
    <t>大東建託リーシング株式会社 仙台北店</t>
  </si>
  <si>
    <t>大東建託リーシング株式会社 仙台駅東口店</t>
  </si>
  <si>
    <t>大東建託リーシング株式会社 仙台南店</t>
  </si>
  <si>
    <t>大東建託リーシング株式会社 福島店</t>
  </si>
  <si>
    <t>大東建託リーシング株式会社 会津駅前店</t>
  </si>
  <si>
    <t>大東建託リーシング株式会社 郡山店</t>
  </si>
  <si>
    <t>大東建託リーシング株式会社 いわき店</t>
  </si>
  <si>
    <t>大東建託リーシング株式会社 北栃木店</t>
  </si>
  <si>
    <t>大東建託リーシング株式会社 宇都宮北店</t>
  </si>
  <si>
    <t>大東建託リーシング株式会社 宇都宮店</t>
  </si>
  <si>
    <t>大東建託リーシング株式会社 小山店</t>
  </si>
  <si>
    <t>大東建託リーシング株式会社 足利店</t>
  </si>
  <si>
    <t>大東建託リーシング株式会社　日立駅前店</t>
  </si>
  <si>
    <t>大東建託リーシング株式会社 水戸店</t>
  </si>
  <si>
    <t>大東建託リーシング株式会社 つくば店</t>
  </si>
  <si>
    <t>大東建託リーシング株式会社 柏店</t>
  </si>
  <si>
    <t>大東建託リーシング株式会社 成田店</t>
  </si>
  <si>
    <t>大東建託リーシング株式会社 千葉店</t>
  </si>
  <si>
    <t>大東建託リーシング株式会社 市原店</t>
  </si>
  <si>
    <t>大東建託リーシング株式会社　越谷店</t>
  </si>
  <si>
    <t>大東建託リーシング株式会社 春日部店</t>
  </si>
  <si>
    <t>大東建託リーシング株式会社 さいたま店</t>
  </si>
  <si>
    <t>大東建託リーシング株式会社 船橋店</t>
  </si>
  <si>
    <t>大東建託リーシング株式会社 川口駅前店</t>
  </si>
  <si>
    <t>大東建託リーシング株式会社　東京練馬店</t>
  </si>
  <si>
    <t>大東建託リーシング株式会社　横浜西口店</t>
  </si>
  <si>
    <t>大東建託リーシング株式会社 太田店</t>
  </si>
  <si>
    <t>大東建託リーシング株式会社　高崎店</t>
  </si>
  <si>
    <t>大東建託リーシング株式会社 熊谷店</t>
  </si>
  <si>
    <t>大東建託リーシング株式会社 川越店</t>
  </si>
  <si>
    <t>大東建託リーシング株式会社 立川店</t>
  </si>
  <si>
    <t>大東建託リーシング株式会社 長野店</t>
  </si>
  <si>
    <t>大東建託リーシング株式会社 上田店</t>
  </si>
  <si>
    <t>大東建託リーシング株式会社 松本伊勢町通り店</t>
  </si>
  <si>
    <t>大東建託リーシング株式会社　甲府店</t>
  </si>
  <si>
    <t>大東建託リーシング株式会社 八王子駅前店</t>
  </si>
  <si>
    <t>大東建託リーシング株式会社　町田店</t>
  </si>
  <si>
    <t>大東建託リーシング株式会社 大和駅前店</t>
  </si>
  <si>
    <t>大東建託リーシング株式会社 本厚木店</t>
  </si>
  <si>
    <t>大東建託リーシング株式会社 藤沢店</t>
  </si>
  <si>
    <t>大東建託リーシング株式会社 平塚店</t>
  </si>
  <si>
    <t>大東建託リーシング株式会社 小田原駅前店</t>
  </si>
  <si>
    <t>大東建託リーシング株式会社 新都心店</t>
  </si>
  <si>
    <t>大東建託リーシング株式会社 沼津店</t>
  </si>
  <si>
    <t>大東建託リーシング株式会社 藤枝店</t>
  </si>
  <si>
    <t>大東建託リーシング株式会社 掛川店</t>
  </si>
  <si>
    <t>大東建託リーシング株式会社 磐田店</t>
  </si>
  <si>
    <t>大東建託リーシング株式会社 豊橋店</t>
  </si>
  <si>
    <t>大東建託リーシング株式会社 豊川店</t>
  </si>
  <si>
    <t>大東建託リーシング株式会社 岡崎店</t>
  </si>
  <si>
    <t>大東建託リーシング株式会社 刈谷店</t>
  </si>
  <si>
    <t>大東建託リーシング株式会社 豊田店</t>
  </si>
  <si>
    <t>大東建託リーシング株式会社 半田店</t>
  </si>
  <si>
    <t>大東建託リーシング株式会社　新潟店</t>
  </si>
  <si>
    <t>大東建託リーシング株式会社 長岡店</t>
  </si>
  <si>
    <t>大東建託リーシング株式会社 富山中央店</t>
  </si>
  <si>
    <t>大東建託リーシング株式会社 高岡駅南店</t>
  </si>
  <si>
    <t>大東建託リーシング株式会社 金沢店</t>
  </si>
  <si>
    <t>大東建託リーシング株式会社　小松中央店</t>
  </si>
  <si>
    <t>大東建託リーシング株式会社 福井店</t>
  </si>
  <si>
    <t>大東建託リーシング株式会社 岐阜東店</t>
  </si>
  <si>
    <t>大東建託リーシング株式会社　岐阜店</t>
  </si>
  <si>
    <t>大東建託リーシング株式会社 名古屋南店</t>
  </si>
  <si>
    <t>大東建託リーシング株式会社 名古屋店</t>
  </si>
  <si>
    <t>大東建託リーシング株式会社　名古屋北店</t>
  </si>
  <si>
    <t>大東建託リーシング株式会社 名古屋西店</t>
  </si>
  <si>
    <t>大東建託リーシング株式会社 小牧店</t>
  </si>
  <si>
    <t>大東建託リーシング株式会社 一宮店</t>
  </si>
  <si>
    <t>大東建託リーシング株式会社 桑名国道1号店</t>
  </si>
  <si>
    <t>大東建託リーシング株式会社 四日市店</t>
  </si>
  <si>
    <t>大東建託リーシング株式会社 松阪店</t>
  </si>
  <si>
    <t>大東建託リーシング株式会社 彦根店</t>
  </si>
  <si>
    <t>大東建託リーシング株式会社 南草津駅前店</t>
  </si>
  <si>
    <t>大東建託リーシング株式会社 福知山店</t>
  </si>
  <si>
    <t>大東建託リーシング株式会社 桂店</t>
  </si>
  <si>
    <t>大東建託リーシング株式会社 京都店</t>
  </si>
  <si>
    <t>大東建託リーシング株式会社 神戸店</t>
  </si>
  <si>
    <t>大東建託リーシング株式会社　加古川店</t>
  </si>
  <si>
    <t>大東建託リーシング株式会社 姫路店</t>
  </si>
  <si>
    <t>大東建託リーシング株式会社 姫路西店</t>
  </si>
  <si>
    <t>大東建託リーシング株式会社 JR奈良駅前店</t>
  </si>
  <si>
    <t>大東建託リーシング株式会社 奈良南店</t>
  </si>
  <si>
    <t>大東建託リーシング株式会社　京阪枚方店</t>
  </si>
  <si>
    <t>大東建託リーシング株式会社 住道店</t>
  </si>
  <si>
    <t>大東建託リーシング株式会社 茨木店</t>
  </si>
  <si>
    <t>大東建託リーシング株式会社 東大阪店</t>
  </si>
  <si>
    <t>大東建託リーシング株式会社　藤井寺店</t>
  </si>
  <si>
    <t>大東建託リーシング株式会社　なかもず店</t>
  </si>
  <si>
    <t>大東建託リーシング株式会社　岸和田店</t>
  </si>
  <si>
    <t>大東建託リーシング株式会社 和歌山店</t>
  </si>
  <si>
    <t>大東建託リーシング株式会社 鳥取店</t>
  </si>
  <si>
    <t>大東建託リーシング株式会社　岡山店</t>
  </si>
  <si>
    <t>大東建託リーシング株式会社 岡山東店</t>
  </si>
  <si>
    <t>大東建託リーシング株式会社 高松店</t>
  </si>
  <si>
    <t>大東建託リーシング株式会社 松山店</t>
  </si>
  <si>
    <t>大東建託リーシング株式会社 高知店</t>
  </si>
  <si>
    <t>大東建託リーシング株式会社 松江店</t>
  </si>
  <si>
    <t>大東建託リーシング株式会社 東広島店</t>
  </si>
  <si>
    <t>大東建託リーシング株式会社 安芸店</t>
  </si>
  <si>
    <t>大東建託リーシング株式会社 広島店</t>
  </si>
  <si>
    <t>大東建託リーシング株式会社 岩国店</t>
  </si>
  <si>
    <t>大東建託リーシング株式会社 周南店</t>
  </si>
  <si>
    <t>大東建託リーシング株式会社　山口店</t>
  </si>
  <si>
    <t>大東建託リーシング株式会社 下関店</t>
  </si>
  <si>
    <t>大東建託リーシング株式会社 北九州八幡店</t>
  </si>
  <si>
    <t>大東建託リーシング株式会社　博多店</t>
  </si>
  <si>
    <t>大東建託リーシング株式会社 福岡西店</t>
  </si>
  <si>
    <t>大東建託リーシング株式会社 福岡南店</t>
  </si>
  <si>
    <t>大東建託リーシング株式会社 久留米店</t>
  </si>
  <si>
    <t>大東建託リーシング株式会社 佐賀駅前店</t>
  </si>
  <si>
    <t>大東建託リーシング株式会社 長崎中央店</t>
  </si>
  <si>
    <t>大東建託リーシング株式会社　佐世保駅前店</t>
  </si>
  <si>
    <t>大東建託リーシング株式会社 別府店</t>
  </si>
  <si>
    <t>大東建託リーシング株式会社 大分店</t>
  </si>
  <si>
    <t>大東建託リーシング株式会社 熊本中央店</t>
  </si>
  <si>
    <t>大東建託リーシング株式会社 宮崎店</t>
  </si>
  <si>
    <t>大東建託リーシング株式会社 亀戸店</t>
  </si>
  <si>
    <t>大東建託リーシング株式会社 八千代中央店</t>
  </si>
  <si>
    <t>大東建託リーシング株式会社　狭山店</t>
  </si>
  <si>
    <t>大東建託リーシング株式会社 青梅店</t>
  </si>
  <si>
    <t>大東建託リーシング株式会社 大船店</t>
  </si>
  <si>
    <t>大東建託リーシング株式会社　松戸駅前店</t>
  </si>
  <si>
    <t>大東建託リーシング株式会社 東京蒲田店</t>
  </si>
  <si>
    <t>大東建託リーシング株式会社　名古屋東店</t>
  </si>
  <si>
    <t>大東建託リーシング株式会社 守谷店</t>
  </si>
  <si>
    <t>大東建託リーシング株式会社 野々市店</t>
  </si>
  <si>
    <t>大東建託リーシング株式会社　古賀店</t>
  </si>
  <si>
    <t>大東建託リーシング株式会社　津山店</t>
  </si>
  <si>
    <t>大東建託リーシング株式会社　霧島店</t>
  </si>
  <si>
    <t>大東建託リーシング株式会社 伊丹店</t>
  </si>
  <si>
    <t>大東建託リーシング株式会社 鈴鹿店</t>
  </si>
  <si>
    <t>大東建託リーシング株式会社　小倉店</t>
  </si>
  <si>
    <t>大東建託リーシング株式会社 庄内店</t>
  </si>
  <si>
    <t>大東建託リーシング株式会社 上越店</t>
  </si>
  <si>
    <t>大東建託リーシング株式会社 大牟田中央店</t>
  </si>
  <si>
    <t>大東建託リーシング株式会社 名張店</t>
  </si>
  <si>
    <t>大東建託リーシング株式会社 浜松有玉店</t>
  </si>
  <si>
    <t>大東建託リーシング株式会社 唐津店</t>
  </si>
  <si>
    <t>大東建託リーシング株式会社 米子駅前店</t>
  </si>
  <si>
    <t>大東建託リーシング株式会社 池袋西口駅前店</t>
  </si>
  <si>
    <t>大東建託リーシング株式会社 多治見店</t>
  </si>
  <si>
    <t>大東建託リーシング株式会社 鹿児島中央店</t>
  </si>
  <si>
    <t>大東建託リーシング株式会社 静岡店</t>
  </si>
  <si>
    <t>大東建託リーシング株式会社 苫小牧店</t>
  </si>
  <si>
    <t>大東建託リーシング株式会社　函館店</t>
  </si>
  <si>
    <t>大東建託リーシング株式会社 横手店</t>
  </si>
  <si>
    <t>大東建託リーシング株式会社 古川店</t>
  </si>
  <si>
    <t>大東建託リーシング株式会社 中野栄店</t>
  </si>
  <si>
    <t>大東建託リーシング株式会社 岩沼店</t>
  </si>
  <si>
    <t>大東建託リーシング株式会社 相馬店</t>
  </si>
  <si>
    <t>大東建託リーシング株式会社 米沢店</t>
  </si>
  <si>
    <t>大東建託リーシング株式会社 新白河店</t>
  </si>
  <si>
    <t>大東建託リーシング株式会社 真岡店</t>
  </si>
  <si>
    <t>大東建託リーシング株式会社 下館店</t>
  </si>
  <si>
    <t>大東建託リーシング株式会社 石岡駅前店</t>
  </si>
  <si>
    <t>大東建託リーシング株式会社 ひたちなか店</t>
  </si>
  <si>
    <t>大東建託リーシング株式会社　水戸インター店</t>
  </si>
  <si>
    <t>大東建託リーシング株式会社 牛久店</t>
  </si>
  <si>
    <t>大東建託リーシング株式会社 土浦店</t>
  </si>
  <si>
    <t>大東建託リーシング株式会社 八街店</t>
  </si>
  <si>
    <t>大東建託リーシング株式会社　神栖店</t>
  </si>
  <si>
    <t>大東建託リーシング株式会社 四街道駅前店</t>
  </si>
  <si>
    <t>大東建託リーシング株式会社 木更津店</t>
  </si>
  <si>
    <t>大東建託リーシング株式会社 茂原店</t>
  </si>
  <si>
    <t>大東建託リーシング株式会社 佐野店</t>
  </si>
  <si>
    <t>大東建託リーシング株式会社 桐生店</t>
  </si>
  <si>
    <t>大東建託リーシング株式会社 前橋店</t>
  </si>
  <si>
    <t>大東建託リーシング株式会社 伊勢崎店</t>
  </si>
  <si>
    <t>大東建託リーシング株式会社 深谷店</t>
  </si>
  <si>
    <t>大東建託リーシング株式会社 古河店</t>
  </si>
  <si>
    <t>大東建託リーシング株式会社 久喜店</t>
  </si>
  <si>
    <t>大東建託リーシング株式会社 坂戸店</t>
  </si>
  <si>
    <t>大東建託リーシング株式会社　新発田店</t>
  </si>
  <si>
    <t>大東建託リーシング株式会社　燕三条店</t>
  </si>
  <si>
    <t>大東建託リーシング株式会社 柏崎店</t>
  </si>
  <si>
    <t>大東建託リーシング株式会社 佐久店</t>
  </si>
  <si>
    <t>大東建託リーシング株式会社 七尾店</t>
  </si>
  <si>
    <t>大東建託リーシング株式会社 越前店</t>
  </si>
  <si>
    <t>大東建託リーシング株式会社 御殿場店</t>
  </si>
  <si>
    <t>大東建託リーシング株式会社　富士インター店</t>
  </si>
  <si>
    <t>大東建託リーシング株式会社 清水店</t>
  </si>
  <si>
    <t>大東建託リーシング株式会社 浜松志都呂店</t>
  </si>
  <si>
    <t>大東建託リーシング株式会社 北千住駅前店</t>
  </si>
  <si>
    <t>大東建託リーシング株式会社　石和店</t>
  </si>
  <si>
    <t>大東建託リーシング株式会社 西尾碧南店</t>
  </si>
  <si>
    <t>大東建託リーシング株式会社　岐阜北店</t>
  </si>
  <si>
    <t>大東建託リーシング株式会社 大垣店</t>
  </si>
  <si>
    <t>大東建託リーシング株式会社 近江八幡店</t>
  </si>
  <si>
    <t>大東建託リーシング株式会社 西舞鶴駅前店</t>
  </si>
  <si>
    <t>大東建託リーシング株式会社　三宮店</t>
  </si>
  <si>
    <t>大東建託リーシング株式会社 大久保店</t>
  </si>
  <si>
    <t>大東建託リーシング株式会社　泉佐野店</t>
  </si>
  <si>
    <t>大東建託リーシング株式会社 岩出店</t>
  </si>
  <si>
    <t>大東建託リーシング株式会社 北島店</t>
  </si>
  <si>
    <t>大東建託リーシング株式会社　丸亀店</t>
  </si>
  <si>
    <t>大東建託リーシング株式会社 新居浜店</t>
  </si>
  <si>
    <t>大東建託リーシング株式会社 今治店</t>
  </si>
  <si>
    <t>大東建託リーシング株式会社 出雲店</t>
  </si>
  <si>
    <t>大東建託リーシング株式会社 倉敷店</t>
  </si>
  <si>
    <t>大東建託リーシング株式会社 福山店</t>
  </si>
  <si>
    <t>大東建託リーシング株式会社 三原店</t>
  </si>
  <si>
    <t>大東建託リーシング株式会社　宇部店</t>
  </si>
  <si>
    <t>大東建託リーシング株式会社　防府店</t>
  </si>
  <si>
    <t>大東建託リーシング株式会社 飯塚店</t>
  </si>
  <si>
    <t>大東建託リーシング株式会社 美里店</t>
  </si>
  <si>
    <t>大東建託リーシング株式会社 名護店</t>
  </si>
  <si>
    <t>大東建託リーシング株式会社 鳥栖店</t>
  </si>
  <si>
    <t>大東建託リーシング株式会社 大在店</t>
  </si>
  <si>
    <t>大東建託リーシング株式会社 平成店</t>
  </si>
  <si>
    <t>大東建託リーシング株式会社　宇土店</t>
  </si>
  <si>
    <t>大東建託リーシング株式会社 都城店</t>
  </si>
  <si>
    <t>大東建託リーシング株式会社　浜松浜北店</t>
  </si>
  <si>
    <t>大東建託リーシング株式会社 旭川店</t>
  </si>
  <si>
    <t>大東建託リーシング株式会社 宜野湾店</t>
  </si>
  <si>
    <t>大東建託リーシング株式会社　徳島店</t>
  </si>
  <si>
    <t>大東建託リーシング株式会社 新倉敷駅前店</t>
  </si>
  <si>
    <t>大東建託リーシング株式会社　溝の口店</t>
  </si>
  <si>
    <t>大東建託リーシング株式会社　鹿屋店</t>
  </si>
  <si>
    <t>大東建託リーシング株式会社　日立南店</t>
  </si>
  <si>
    <t>大東建託リーシング株式会社　春日井店</t>
  </si>
  <si>
    <t>大東建託リーシング株式会社　津店</t>
  </si>
  <si>
    <t>大東建託リーシング株式会社　柴田店</t>
  </si>
  <si>
    <t>大東建託リーシング株式会社　桶川店</t>
  </si>
  <si>
    <t>大東建託リーシング株式会社　所沢店</t>
  </si>
  <si>
    <t>大東建託リーシング株式会社　高松国道11号店</t>
  </si>
  <si>
    <t>大東建託リーシング株式会社　麻生店</t>
  </si>
  <si>
    <t>大東建託リーシング株式会社　魚津店</t>
  </si>
  <si>
    <t>大東建託リーシング株式会社　高萩駅前店</t>
  </si>
  <si>
    <t>大東建託リーシング株式会社　新宿店</t>
  </si>
  <si>
    <t>大東建託リーシング株式会社　渋谷店</t>
  </si>
  <si>
    <t>大東建託リーシング株式会社　さいたま店</t>
  </si>
  <si>
    <t>大東建託リーシング株式会社　宇都宮店</t>
  </si>
  <si>
    <t>大東建託リーシング株式会社　春日部店</t>
  </si>
  <si>
    <t>いい部屋ネット 大東建託リーシング株式会社 沼津店</t>
  </si>
  <si>
    <t>いい部屋ネット 大東建託リーシング株式会社 清水店</t>
  </si>
  <si>
    <t>いい部屋ネット 大東建託リーシング株式会社 掛川店</t>
  </si>
  <si>
    <t>いい部屋ネット 大東建託リーシング株式会社 浜松志都呂店</t>
  </si>
  <si>
    <t>いい部屋ネット 大東建託リーシング株式会社 浜北店</t>
  </si>
  <si>
    <t>いい部屋ネット 大東建託リーシング株式会社 浜松有玉店</t>
  </si>
  <si>
    <t>いい部屋ネット 大東建託リーシング株式会社 豊川店</t>
  </si>
  <si>
    <t>いい部屋ネット 大東建託リーシング株式会社 西尾碧南店</t>
  </si>
  <si>
    <t>いい部屋ネット 大東建託リーシング株式会社 岡崎店</t>
  </si>
  <si>
    <t>いい部屋ネット 大東建託リーシング株式会社 名古屋店</t>
  </si>
  <si>
    <t>いい部屋ネット 大東建託リーシング株式会社 名古屋西店</t>
  </si>
  <si>
    <t>いい部屋ネット 大東建託リーシング株式会社 小牧店</t>
  </si>
  <si>
    <t>いい部屋ネット 大東建託リーシング株式会社 一宮店</t>
  </si>
  <si>
    <t>いい部屋ネット 大東建託リーシング株式会社 河和田店</t>
  </si>
  <si>
    <t>いい部屋ネット 大東建託リーシング株式会社 多治見店</t>
  </si>
  <si>
    <t>いい部屋ネット 大東建託リーシング株式会社 水戸店</t>
  </si>
  <si>
    <t>いい部屋ネット 大東建託リーシング株式会社 静岡店</t>
  </si>
  <si>
    <t>いい部屋ネット 大東建託リーシング株式会社 岐阜東店</t>
  </si>
  <si>
    <t>いい部屋ネット 大東建託リーシング株式会社 豊田店</t>
  </si>
  <si>
    <t>いい部屋ネット 大東建託リーシング株式会社 深谷店</t>
  </si>
  <si>
    <t>いい部屋ネット 大東建託リーシング株式会社 半田店</t>
  </si>
  <si>
    <t>いい部屋ネット 大東建託リーシング株式会社 名古屋南店</t>
  </si>
  <si>
    <t>いい部屋ネット 大東建託リーシング株式会社 桑名国道1号店</t>
  </si>
  <si>
    <t>いい部屋ネット　大東建託リーシング株式会社 熊谷店</t>
  </si>
  <si>
    <t>いい部屋ネット 大東建託リーシング株式会社 四日市店</t>
  </si>
  <si>
    <t>いい部屋ネット 大東建託リーシング株式会社 古河店</t>
  </si>
  <si>
    <t>いい部屋ネット 大東建託リーシング株式会社 久喜店</t>
  </si>
  <si>
    <t>いい部屋ネット 大東建託リーシング株式会社 鈴鹿店</t>
  </si>
  <si>
    <t>いい部屋ネット 大東建託リーシング株式会社 桐生店</t>
  </si>
  <si>
    <t>いい部屋ネット 大東建託リーシング株式会社 太田店</t>
  </si>
  <si>
    <t>いい部屋ネット　大東建託リーシング株式会社 彦根店</t>
  </si>
  <si>
    <t>いい部屋ネット 大東建託リーシング株式会社 前橋店</t>
  </si>
  <si>
    <t>いい部屋ネット 大東建託リーシング株式会社 西舞鶴駅前店</t>
  </si>
  <si>
    <t>いい部屋ネット 大東建託リーシング株式会社 伊勢崎店</t>
  </si>
  <si>
    <t>いい部屋ネット 大東建託リーシング株式会社 福知山店</t>
  </si>
  <si>
    <t>いい部屋ネット 大東建託リーシング株式会社 桂店</t>
  </si>
  <si>
    <t>いい部屋ネット 大東建託リーシング株式会社 京都店</t>
  </si>
  <si>
    <t>いい部屋ネット 大東建託リーシング株式会社 さいたま店</t>
  </si>
  <si>
    <t>いい部屋ネット 大東建託リーシング株式会社 伊丹店</t>
  </si>
  <si>
    <t>いい部屋ネット 大東建託リーシング株式会社 岡場店</t>
  </si>
  <si>
    <t>いい部屋ネット 大東建託リーシング株式会社 大久保店</t>
  </si>
  <si>
    <t>いい部屋ネット 大東建託リーシング株式会社 柏崎店</t>
  </si>
  <si>
    <t>いい部屋ネット 大東建託リーシング株式会社 北島店</t>
  </si>
  <si>
    <t>いい部屋ネット 大東建託リーシング株式会社 神戸店</t>
  </si>
  <si>
    <t>いい部屋ネット 大東建託リーシング株式会社 姫路店</t>
  </si>
  <si>
    <t>いい部屋ネット 大東建託リーシング株式会社 姫路西店</t>
  </si>
  <si>
    <t>いい部屋ネット 大東建託リーシング株式会社 長岡店</t>
  </si>
  <si>
    <t>いい部屋ネット 大東建託リーシング株式会社 高松店</t>
  </si>
  <si>
    <t>いい部屋ネット 大東建託リーシング株式会社 JR奈良駅前店</t>
  </si>
  <si>
    <t>いい部屋ネット 大東建託リーシング株式会社 新居浜駅前店</t>
  </si>
  <si>
    <t>いい部屋ネット 大東建託リーシング株式会社 名張店</t>
  </si>
  <si>
    <t>いい部屋ネット 大東建託リーシング株式会社 上越店</t>
  </si>
  <si>
    <t>いい部屋ネット 大東建託リーシング株式会社 奈良南店</t>
  </si>
  <si>
    <t>いい部屋ネット 大東建託リーシング株式会社 松山店</t>
  </si>
  <si>
    <t>いい部屋ネット 大東建託リーシング株式会社 住道店</t>
  </si>
  <si>
    <t>いい部屋ネット 大東建託リーシング株式会社 今治店</t>
  </si>
  <si>
    <t>いい部屋ネット 大東建託リーシング株式会社 牛久店</t>
  </si>
  <si>
    <t>いい部屋ネット 大東建託リーシング株式会社 高知店</t>
  </si>
  <si>
    <t>いい部屋ネット 大東建託リーシング株式会社 つくば店</t>
  </si>
  <si>
    <t>いい部屋ネット 大東建託リーシング株式会社 土浦店</t>
  </si>
  <si>
    <t>いい部屋ネット 大東建託リーシング株式会社 東広島店</t>
  </si>
  <si>
    <t>いい部屋ネット 大東建託リーシング株式会社 安芸店</t>
  </si>
  <si>
    <t>いい部屋ネット　大東建託リーシング株式会社 柏店</t>
  </si>
  <si>
    <t>いい部屋ネット 大東建託リーシング株式会社 四街道駅前店</t>
  </si>
  <si>
    <t>いい部屋ネット 大東建託リーシング株式会社 岩国店</t>
  </si>
  <si>
    <t>いい部屋ネット 大東建託リーシング株式会社 千葉店</t>
  </si>
  <si>
    <t>いい部屋ネット 大東建託リーシング株式会社 周南店</t>
  </si>
  <si>
    <t>いい部屋ネット 大東建託リーシング株式会社 木更津店</t>
  </si>
  <si>
    <t>いい部屋ネット 大東建託リーシング株式会社 下関店</t>
  </si>
  <si>
    <t>いい部屋ネット 大東建託リーシング株式会社 茂原店</t>
  </si>
  <si>
    <t>いい部屋ネット 大東建託リーシング株式会社 佐賀駅前店</t>
  </si>
  <si>
    <t>いい部屋ネット 大東建託リーシング株式会社 唐津店</t>
  </si>
  <si>
    <t>いい部屋ネット 大東建託リーシング株式会社 市原店</t>
  </si>
  <si>
    <t>いい部屋ネット 大東建託リーシング株式会社 長崎中央店</t>
  </si>
  <si>
    <t>いい部屋ネット 大東建託リーシング株式会社 松戸店</t>
  </si>
  <si>
    <t>いい部屋ネット 大東建託リーシング株式会社 美里店</t>
  </si>
  <si>
    <t>いい部屋ネット 大東建託リーシング株式会社 名護店</t>
  </si>
  <si>
    <t>いい部屋ネット 大東建託リーシング株式会社 川口駅前店</t>
  </si>
  <si>
    <t>いい部屋ネット 大東建託リーシング株式会社 宜野湾店</t>
  </si>
  <si>
    <t>いい部屋ネット 大東建託リーシング株式会社 北千住駅前店</t>
  </si>
  <si>
    <t>いい部屋ネット 大東建託リーシング株式会社 新都心店</t>
  </si>
  <si>
    <t>いい部屋ネット 大東建託リーシング株式会社 鳥栖店</t>
  </si>
  <si>
    <t>いい部屋ネット 大東建託リーシング株式会社 池袋西口駅前店</t>
  </si>
  <si>
    <t>いい部屋ネット 大東建託リーシング株式会社 久留米店</t>
  </si>
  <si>
    <t>いい部屋ネット　大東建託リーシング株式会社　東京練馬店</t>
  </si>
  <si>
    <t>いい部屋ネット 大東建託リーシング株式会社 大牟田中央店</t>
  </si>
  <si>
    <t>いい部屋ネット 大東建託リーシング株式会社 国分寺店</t>
  </si>
  <si>
    <t>いい部屋ネット 大東建託リーシング株式会社 別府店</t>
  </si>
  <si>
    <t>いい部屋ネット 大東建託リーシング株式会社 立川店</t>
  </si>
  <si>
    <t>いい部屋ネット 大東建託リーシング株式会社 青梅店</t>
  </si>
  <si>
    <t>いい部屋ネット 大東建託リーシング株式会社　亀戸店</t>
  </si>
  <si>
    <t>いい部屋ネット 大東建託リーシング株式会社 平成店</t>
  </si>
  <si>
    <t>いい部屋ネット 大東建託リーシング株式会社 川崎多摩店</t>
  </si>
  <si>
    <t>いい部屋ネット 大東建託リーシング株式会社 都城店</t>
  </si>
  <si>
    <t>いい部屋ネット 大東建託リーシング株式会社 宮崎店</t>
  </si>
  <si>
    <t>いい部屋ネット 大東建託リーシング株式会社 八王子駅前店</t>
  </si>
  <si>
    <t>いい部屋ネット 大東建託リーシング株式会社 鹿児島中央店</t>
  </si>
  <si>
    <t>いい部屋ネット 大東建託リーシング株式会社 東京蒲田店</t>
  </si>
  <si>
    <t>いい部屋ネット 大東建託リーシング株式会社 本厚木店</t>
  </si>
  <si>
    <t>いい部屋ネット 大東建託リーシング株式会社 大船店</t>
  </si>
  <si>
    <t>いい部屋ネット 大東建託リーシング株式会社 藤沢店</t>
  </si>
  <si>
    <t>いい部屋ネット 大東建託リーシング株式会社 岡山東店</t>
  </si>
  <si>
    <t>いい部屋ネット 大東建託リーシング株式会社 小田原駅前店</t>
  </si>
  <si>
    <t>いい部屋ネット 大東建託リーシング株式会社 倉敷店</t>
  </si>
  <si>
    <t>いい部屋ネット 大東建託リーシング株式会社 御殿場店</t>
  </si>
  <si>
    <t>いい部屋ネット 大東建託リーシング株式会社 新倉敷駅前店</t>
  </si>
  <si>
    <t>いい部屋ネット 大東建託リーシング株式会社 鳥取店</t>
  </si>
  <si>
    <t>いい部屋ネット 大東建託リーシング株式会社 米子駅前店</t>
  </si>
  <si>
    <t>いい部屋ネット 大東建託リーシング株式会社 松江店</t>
  </si>
  <si>
    <t>いい部屋ネット 大東建託リーシング株式会社 出雲店</t>
  </si>
  <si>
    <t>いい部屋ネット　大東建託リーシング株式会社　佐世保駅前店</t>
  </si>
  <si>
    <t>いい部屋ネット　大東建託リーシング株式会社　宇土店</t>
  </si>
  <si>
    <t>いい部屋ネット 大東建託リーシング株式会社 旭川店</t>
  </si>
  <si>
    <t>いい部屋ネット 大東建託リーシング株式会社 千歳店</t>
  </si>
  <si>
    <t>いい部屋ネット 大東建託リーシング株式会社 苫小牧店</t>
  </si>
  <si>
    <t>いい部屋ネット 大東建託リーシング株式会社 長野店</t>
  </si>
  <si>
    <t>いい部屋ネット 大東建託リーシング株式会社 佐久店</t>
  </si>
  <si>
    <t>いい部屋ネット 大東建託リーシング株式会社 上田店</t>
  </si>
  <si>
    <t>いい部屋ネット 大東建託リーシング株式会社 松本伊勢町通り店</t>
  </si>
  <si>
    <t>いい部屋ネット　大東建託リーシング株式会社 北九州八幡店</t>
  </si>
  <si>
    <t>いい部屋ネット 大東建託リーシング株式会社 富山中央店</t>
  </si>
  <si>
    <t>いい部屋ネット 大東建託リーシング株式会社 高岡駅南店</t>
  </si>
  <si>
    <t>いい部屋ネット　大東建託リーシング株式会社 福岡店</t>
  </si>
  <si>
    <t>いい部屋ネット 大東建託リーシング株式会社 福岡西店</t>
  </si>
  <si>
    <t>いい部屋ネット 大東建託リーシング株式会社 七尾店</t>
  </si>
  <si>
    <t>いい部屋ネット 大東建託リーシング株式会社 飯塚店</t>
  </si>
  <si>
    <t>いい部屋ネット 大東建託リーシング株式会社 野々市店</t>
  </si>
  <si>
    <t>いい部屋ネット 大東建託リーシング株式会社 福岡南店</t>
  </si>
  <si>
    <t>いい部屋ネット 大東建託リーシング株式会社 金沢店</t>
  </si>
  <si>
    <t>いい部屋ネット 大東建託リーシング株式会社 越前店</t>
  </si>
  <si>
    <t>いい部屋ネット 大東建託リーシング株式会社 福井店</t>
  </si>
  <si>
    <t>いい部屋ネット 大東建託リーシング株式会社 函館美原店</t>
  </si>
  <si>
    <t>いい部屋ネット 大東建託リーシング株式会社 青森店</t>
  </si>
  <si>
    <t>いい部屋ネット 大東建託リーシング株式会社 八戸店</t>
  </si>
  <si>
    <t>いい部屋ネット 大東建託リーシング株式会社 盛岡店</t>
  </si>
  <si>
    <t>いい部屋ネット 大東建託リーシング株式会社 古川店</t>
  </si>
  <si>
    <t>いい部屋ネット 大東建託リーシング株式会社 仙台北店</t>
  </si>
  <si>
    <t>いい部屋ネット 大東建託リーシング株式会社 岩沼店</t>
  </si>
  <si>
    <t>いい部屋ネット 大東建託リーシング株式会社 相馬店</t>
  </si>
  <si>
    <t>いい部屋ネット 大東建託リーシング株式会社 仙台南店</t>
  </si>
  <si>
    <t>いい部屋ネット 大東建託リーシング株式会社 庄内店</t>
  </si>
  <si>
    <t>いい部屋ネット 大東建託リーシング株式会社 米沢店</t>
  </si>
  <si>
    <t>いい部屋ネット 大東建託リーシング株式会社 山形嶋店</t>
  </si>
  <si>
    <t>いい部屋ネット 大東建託リーシング株式会社 福島店</t>
  </si>
  <si>
    <t>いい部屋ネット 大東建託リーシング株式会社 郡山店</t>
  </si>
  <si>
    <t>いい部屋ネット 大東建託リーシング株式会社 宇都宮北店</t>
  </si>
  <si>
    <t>いい部屋ネット 大東建託リーシング株式会社 真岡店</t>
  </si>
  <si>
    <t>いい部屋ネット 大東建託リーシング株式会社 宇都宮店</t>
  </si>
  <si>
    <t>いい部屋ネット 大東建託リーシング株式会社 下館店</t>
  </si>
  <si>
    <t>いい部屋ネット 大東建託リーシング株式会社 小山店</t>
  </si>
  <si>
    <t>いい部屋ネット 大東建託リーシング株式会社 日立店</t>
  </si>
  <si>
    <t>いい部屋ネット 大東建託リーシング株式会社 石岡店</t>
  </si>
  <si>
    <t>いい部屋ネット 大東建託リーシング株式会社 ひたちなか店</t>
  </si>
  <si>
    <t>いい部屋ネット　大東建託リーシング株式会社　北上駅前店</t>
  </si>
  <si>
    <t>いい部屋ネット　大東建託リーシング株式会社　会津駅前店</t>
  </si>
  <si>
    <t>いい部屋ネット　大東建託リーシング株式会社　いわき店</t>
  </si>
  <si>
    <t>いい部屋ネット　大東建託リーシング株式会社　平塚店</t>
  </si>
  <si>
    <t>いい部屋ネット　大東建託リーシング株式会社　春日部店</t>
  </si>
  <si>
    <t>いい部屋ネット　大東建託リーシング株式会社　富士インター店</t>
  </si>
  <si>
    <t>いい部屋ネット　大東建託リーシング株式会社　小松中央店</t>
  </si>
  <si>
    <t>いい部屋ネット　大東建託リーシング株式会社　刈谷店</t>
  </si>
  <si>
    <t>いい部屋ネット　大東建託リーシング株式会社　横浜港北店</t>
  </si>
  <si>
    <t>いい部屋ネット　大東建託リーシング株式会社　名古屋東店</t>
  </si>
  <si>
    <t>いい部屋ネット　大東建託リーシング株式会社　岸和田店</t>
  </si>
  <si>
    <t>いい部屋ネット　大東建託リーシング株式会社　泉佐野店</t>
  </si>
  <si>
    <t>株式会社賃貸ステーション　聖蹟桜ヶ丘店</t>
  </si>
  <si>
    <t>今泉 彩</t>
  </si>
  <si>
    <t>株式会社賃貸ステーション　橋本店</t>
  </si>
  <si>
    <t>株式会社賃貸ステーション　多摩センター店</t>
  </si>
  <si>
    <t>株式会社賃貸ステーション　本厚木店</t>
  </si>
  <si>
    <t>株式会社賃貸ステーション　大和店</t>
  </si>
  <si>
    <t>株式会社賃貸ステーション　相模大野店</t>
  </si>
  <si>
    <t>株式会社賃貸ステーション　鶴川店</t>
  </si>
  <si>
    <t>株式会社賃貸ステーション　稲田堤店</t>
  </si>
  <si>
    <t>株式会社不動産のデパートひろた　八幡駅前店</t>
  </si>
  <si>
    <t>固定費下げ</t>
  </si>
  <si>
    <t>株式会社不動産のデパートひろた　小倉到津店</t>
  </si>
  <si>
    <t>株式会社不動産のデパートひろた　小倉店</t>
  </si>
  <si>
    <t>株式会社不動産のデパートひろた　折尾店</t>
  </si>
  <si>
    <t>株式会社不動産のデパートひろた　黒崎店</t>
  </si>
  <si>
    <t>株式会社不動産のデパートひろた　黒崎インター店</t>
  </si>
  <si>
    <t>株式会社不動産のデパートひろた　中間店</t>
  </si>
  <si>
    <t>株式会社不動産のデパートひろた　下曽根店</t>
  </si>
  <si>
    <t>株式会社Roomos</t>
  </si>
  <si>
    <t>株式会社UTクリエイト</t>
  </si>
  <si>
    <t>荻曽 克輝</t>
  </si>
  <si>
    <t>株式会社ハウスプロデュース　北章ハウザー東店</t>
  </si>
  <si>
    <t>株式会社ライフィット　ミニミニFC豊岡店</t>
  </si>
  <si>
    <t>TEL物件増</t>
  </si>
  <si>
    <t>株式会社　ハウスプロデュース　FC北章ハウザー　麻生店</t>
  </si>
  <si>
    <t>株式会社ハウスプロデュース　北章ハウザー北12条店</t>
  </si>
  <si>
    <t>株式会社アフロ　AFLO肥後橋店</t>
  </si>
  <si>
    <t>株式会社ライフクリエイト ピタットハウス東加古川店</t>
  </si>
  <si>
    <t>株式会社アフロ　AFLO心斎橋店</t>
  </si>
  <si>
    <t>株式会社アフロ　AFLOなんば店</t>
  </si>
  <si>
    <t>株式会社アフロ　AFLO上本町店</t>
  </si>
  <si>
    <t>クライヴルーム株式会社　新潟駅南店</t>
  </si>
  <si>
    <t>アパマンショップ旭川４条店　株式会社　リアルターアップル</t>
  </si>
  <si>
    <t>株式会社サイラス　ホームメイトFC大阪市立大学前店</t>
  </si>
  <si>
    <t>アパマンショップ旭川パワーズ店　株式会社　リアルターアップル</t>
  </si>
  <si>
    <t>株式会社サイラス　なかもず店</t>
  </si>
  <si>
    <t>株式会社エムスタイル</t>
  </si>
  <si>
    <t>株式会社サイラス　ホームメイトFC平野店</t>
  </si>
  <si>
    <t>株式会社アイエムトラスト アットナビ四日市駅前店</t>
  </si>
  <si>
    <t>川島 幹也</t>
  </si>
  <si>
    <t>株式会社リブ・ホーム　東中野店</t>
  </si>
  <si>
    <t>株式会社モーリアス</t>
  </si>
  <si>
    <t>株式会社リブ・ホーム</t>
  </si>
  <si>
    <t>アイレントホーム王子店　株式会社マイト</t>
  </si>
  <si>
    <t>株式会社大和　ezハウス中野店</t>
  </si>
  <si>
    <t>調布ハウジング株式会社</t>
  </si>
  <si>
    <t>賃貸Free今里店　株式会社伸住不動産</t>
  </si>
  <si>
    <t>株式会社サイラス　ホームメイトFC塚本駅前店</t>
  </si>
  <si>
    <t>株式会社ルーミーズ　北千住店</t>
  </si>
  <si>
    <t>クラスタイル株式会社　町田店</t>
  </si>
  <si>
    <t>新生活　株式会社Laugh Life</t>
  </si>
  <si>
    <t>株式会社ルーミーズ　綾瀬店</t>
  </si>
  <si>
    <t>クラスタイル株式会社　本厚木店</t>
  </si>
  <si>
    <t>ハウス・トゥ・ハウス日暮里店　株式会社せとや不動産</t>
  </si>
  <si>
    <t>アイ・イー・セレクト株式会社　都賀駅前店</t>
  </si>
  <si>
    <t>リーディングライフ株式会社　スモッティー昭和町駅前店</t>
  </si>
  <si>
    <t>MSニューマン株式会社　カインドハウジング泉佐野駅前店</t>
  </si>
  <si>
    <t>ミライエ　大阪駅前店　株式会社ｉクレスト</t>
  </si>
  <si>
    <t>株式会社リブ・ホーム　荻窪店</t>
  </si>
  <si>
    <t>リロの賃貸 株式会社和光 永山店</t>
  </si>
  <si>
    <t>MSニューマン株式会社　カインドハウジング住之江公園店</t>
  </si>
  <si>
    <t>アイ・イー・セレクト株式会社　鎌取駅前店</t>
  </si>
  <si>
    <t>リロの賃貸 株式会社和光 多摩センター店</t>
  </si>
  <si>
    <t>株式会社ヒューマンエステート　ワントップハウス本山店</t>
  </si>
  <si>
    <t>内丸 裕子</t>
  </si>
  <si>
    <t>株式会社アイハウス　本店</t>
  </si>
  <si>
    <t>株式会社LAKIA COMPANY　スモッティー大阪梅田店</t>
  </si>
  <si>
    <t>株式会社LAKIA　COMPANY　スモッティー玉出店</t>
  </si>
  <si>
    <t>玉田工業株式会社　エイブル姫路駅前店</t>
  </si>
  <si>
    <t>株式会社クレス　ピタットハウス豊岡店</t>
  </si>
  <si>
    <t>アンティホーム　株式会社アンティ</t>
  </si>
  <si>
    <t>有限会社アルズプランニング　エイブルネットワーク澄川店</t>
  </si>
  <si>
    <t>株式会社　アパマンメイト</t>
  </si>
  <si>
    <t>部屋プロ　平岸店 株式会社エアリ</t>
  </si>
  <si>
    <t>ホームメイトＦＣ大船駅前店　株式会社ジェイワン</t>
  </si>
  <si>
    <t>sumo-T 天王寺店　株式会社LAKIA COMPANY</t>
  </si>
  <si>
    <t>コアレイズ株式会社　ミライズ吹田店</t>
  </si>
  <si>
    <t>部屋プロ　円山公園店　株式会社エアリ</t>
  </si>
  <si>
    <t>株式会社エクセル　八王子南口店</t>
  </si>
  <si>
    <t>賃貸・売買のクラスモ今里店　株式会社クランホーム</t>
  </si>
  <si>
    <t>株式会社東洋リーベスト　ピタットハウス三鷹南口店</t>
  </si>
  <si>
    <t>ピタットハウス武蔵境店　株式会社東洋リーベスト</t>
  </si>
  <si>
    <t>株式会社スマイエ　川口店</t>
  </si>
  <si>
    <t>株式会社きめたハウジング</t>
  </si>
  <si>
    <t>株式会社三都市アース　中延店</t>
  </si>
  <si>
    <t>株式会社スマイエ　小岩店</t>
  </si>
  <si>
    <t>日生不動産株式会社　エイブルネットワーク新潟中央店</t>
  </si>
  <si>
    <t>エクセル八王子店</t>
  </si>
  <si>
    <t>ラテ・エステート株式会社</t>
  </si>
  <si>
    <t>株式会社エストラスト　溝ノ口</t>
  </si>
  <si>
    <t>株式会社エフズライフ　ホームメイトFC平岸店</t>
  </si>
  <si>
    <t>株式会社SQUARE　賃貸ひろば</t>
  </si>
  <si>
    <t>株式会社エフズライフ　ホームメイトFC円山店</t>
  </si>
  <si>
    <t>ホームメイトＦＣ天王寺キューズモール前店　株式会社エリアリサーチ</t>
  </si>
  <si>
    <t>株式会社エフズライフ　ホームメイトFC元町店</t>
  </si>
  <si>
    <t>株式会社エフズライフ　ホームメイトFC新道東店</t>
  </si>
  <si>
    <t>ピタットハウス王子店　株式会社レンタルハウス</t>
  </si>
  <si>
    <t>株式会社ハウス・ナビ　葛西営業所</t>
  </si>
  <si>
    <t>株式会社フリールーム　エイブルネットワーク栄町店</t>
  </si>
  <si>
    <t>株式会社ヴィダックス　渋谷店</t>
  </si>
  <si>
    <t>ドアーズ株式会社　賃貸営業課</t>
  </si>
  <si>
    <t>株式会社東口エステート</t>
  </si>
  <si>
    <t>和楽エステート</t>
  </si>
  <si>
    <t>掲載枠</t>
  </si>
  <si>
    <t>掲載枠増枠提案</t>
  </si>
  <si>
    <t>株式会社アセットナビ　新宿店</t>
  </si>
  <si>
    <t>株式会社アセットナビ　新橋店</t>
  </si>
  <si>
    <t>株式会社アセットナビ　渋谷店</t>
  </si>
  <si>
    <t>株式会社アセットナビ　亀戸店</t>
  </si>
  <si>
    <t xml:space="preserve">KSC株式会社　賃貸のホームセレクト三国ヶ丘駅前店
</t>
  </si>
  <si>
    <t>株式会社レイエス　浦安店</t>
  </si>
  <si>
    <t>シキダ不動産株式会社</t>
  </si>
  <si>
    <t>田嶋</t>
  </si>
  <si>
    <t>アパマン本舗株式会社</t>
  </si>
  <si>
    <t>堀越</t>
  </si>
  <si>
    <t>株式会社ページ・ワン</t>
  </si>
  <si>
    <t xml:space="preserve"> 株式会社フロンティア技研</t>
  </si>
  <si>
    <t>いえナビ　株式会社エヌ・エー・ワン</t>
  </si>
  <si>
    <t>有限会社不動産コム　本店</t>
  </si>
  <si>
    <t>水戸農業協同組合　MAST水戸農業協同組合ハウジングセンター</t>
  </si>
  <si>
    <t>セブンホーム株式会社</t>
  </si>
  <si>
    <t>株式会社ランドマーク</t>
  </si>
  <si>
    <t>株式会社八幡不動産</t>
  </si>
  <si>
    <t>新潟化成株式会社</t>
  </si>
  <si>
    <t>株式会社三東不動産</t>
  </si>
  <si>
    <t>株式会社サンケイ</t>
  </si>
  <si>
    <t>株式会社織井不動産　本社</t>
  </si>
  <si>
    <t>株式会社ケービーケー久保田</t>
  </si>
  <si>
    <t>株式会社コーホー企画＆ワーク</t>
  </si>
  <si>
    <t>有限会社クリエート桐生</t>
  </si>
  <si>
    <t>センチュリー21グリーンプランニング</t>
  </si>
  <si>
    <t>フェイス不動産</t>
  </si>
  <si>
    <t>ピタットハウス与野店 株式会社彩企</t>
  </si>
  <si>
    <t>株式会社ハウススタイル　北浦和店</t>
  </si>
  <si>
    <t>有限会社寿不動産</t>
  </si>
  <si>
    <t>株式会社くみん不動産 大山駅前店</t>
  </si>
  <si>
    <t>株式会社くみん不動産 志村坂上店</t>
  </si>
  <si>
    <t>株式会社e-nacreate</t>
  </si>
  <si>
    <t>株式会社矢口工業　白銀町店　不動産部</t>
  </si>
  <si>
    <t>越後不動産株式会社</t>
  </si>
  <si>
    <t>ピタットハウス那須大田原店　那須野不動産株式会社</t>
  </si>
  <si>
    <t>ホームメイトＦＣ太田南店　有限会社ベストプラザ</t>
  </si>
  <si>
    <t>株式会社東和不動産</t>
  </si>
  <si>
    <t>桑原 明子</t>
  </si>
  <si>
    <t>株式会社東和不動産　湖南店</t>
  </si>
  <si>
    <t>共同ホーム</t>
  </si>
  <si>
    <t>有限会社友豊</t>
  </si>
  <si>
    <t>金沢暮らし　グローバル・パートナーズ株式会社</t>
  </si>
  <si>
    <t>新規</t>
  </si>
  <si>
    <t>洞口店舗追加①</t>
  </si>
  <si>
    <t>洞口店舗追加②</t>
  </si>
  <si>
    <t>洞口店舗追加③</t>
  </si>
  <si>
    <t>株式会社後楽不動産　ホームメイトFC岡山駅前店</t>
  </si>
  <si>
    <t>株式会社後楽不動産　ホームメイトFC大元店</t>
  </si>
  <si>
    <t>株式会社後楽不動産　ホームメイトFC門田屋敷店</t>
  </si>
  <si>
    <t>株式会社朝日土地</t>
  </si>
  <si>
    <t>株式会社エステート・ワン　本店</t>
  </si>
  <si>
    <t>センチュリー21草加市民ハウジング草加西口店</t>
  </si>
  <si>
    <t>ピタットハウス瑞浪店　株式会社雅</t>
  </si>
  <si>
    <t>クレアーレ賃貸浜松駅前店 株式会社ITBエンタープライズ</t>
  </si>
  <si>
    <t>株式会社ファーストドア不動産　ホームメイトFC津中央店</t>
  </si>
  <si>
    <t>株式会社ファーストドア不動産　ホームメイトFC四日市駅前店</t>
  </si>
  <si>
    <t>株式会社ファーストドア不動産　ホームメイトFC鈴鹿中央通店</t>
  </si>
  <si>
    <t>有限会社青山グループ</t>
  </si>
  <si>
    <t>賃貸コンサルティング店舗追加</t>
  </si>
  <si>
    <t>株式会社スタートハウス</t>
  </si>
  <si>
    <t>センチュリー21リアルタイム</t>
  </si>
  <si>
    <t>株式会社エルセリートホーム</t>
  </si>
  <si>
    <t>石原不動産株式会社</t>
  </si>
  <si>
    <t>株式会社ワイエス・ホーム　荻窪店</t>
  </si>
  <si>
    <t>株式会社SUMIKA</t>
  </si>
  <si>
    <t>株式会社アイランドエステート 駒沢大学本店</t>
  </si>
  <si>
    <t>有限会社中央恒産駅前支店　じたっく</t>
  </si>
  <si>
    <t>仲介手数料40パーセント株式会社</t>
  </si>
  <si>
    <t>有限会社オリエント住販</t>
  </si>
  <si>
    <t>IE-LIFE CREATE　合同会社TREIB</t>
  </si>
  <si>
    <t>レガートホーム株式会社</t>
  </si>
  <si>
    <t>株式会社東和ハウジング</t>
  </si>
  <si>
    <t>株式会社タカハシ</t>
  </si>
  <si>
    <t>株式会社サニースポット　海田店</t>
  </si>
  <si>
    <t>株式会社サニースポット　大町店</t>
  </si>
  <si>
    <t>センチュリー21エージェンシー</t>
  </si>
  <si>
    <t>株式会社スリーエイチ　イースマイルJR久留米店</t>
  </si>
  <si>
    <t>株式会社スリーエイチ　イースマイル博多店</t>
  </si>
  <si>
    <t>株式会社アルコ 博多店</t>
  </si>
  <si>
    <t>株式会社アルコ</t>
  </si>
  <si>
    <t>株式会社アルコ 福岡西営業所</t>
  </si>
  <si>
    <t>株式会社アルコ 東店</t>
  </si>
  <si>
    <t>株式会社アルコ 久留米営業所</t>
  </si>
  <si>
    <t>株式会社アルコ 二日市営業所</t>
  </si>
  <si>
    <t>株式会社アルコ 藤崎駅前営業所</t>
  </si>
  <si>
    <t>株式会社ハウス・ナビ 本店</t>
  </si>
  <si>
    <t>株式会社LiveDesign　ピタットハウス垂水店</t>
  </si>
  <si>
    <t>株式会社Live Design　ピタットハウス三宮店</t>
  </si>
  <si>
    <t>有限会社ハウジングプラザ神戸　須磨店</t>
  </si>
  <si>
    <t>株式会社Room　Planner’s</t>
  </si>
  <si>
    <t>株式会社i．c．GROW　スモライフ神戸店</t>
  </si>
  <si>
    <t>株式会社グッドホームサービス　ピタットハウス守口店</t>
  </si>
  <si>
    <t>ホームメイトＦＣ東海学園前店　株式会社ネクサス</t>
  </si>
  <si>
    <t>ホームメイトＦＣ熊本県庁東店　株式会社ネクサス</t>
  </si>
  <si>
    <t>株式会社三井商事</t>
  </si>
  <si>
    <t>有限会社山田不動産</t>
  </si>
  <si>
    <t>株式会社ほうらい不動産センター</t>
  </si>
  <si>
    <t>株式会社奥田工務店</t>
  </si>
  <si>
    <t>株式会社ウベモク　ピタットハウス宇部店</t>
  </si>
  <si>
    <t>株式会社アールエステート</t>
  </si>
  <si>
    <t>アート不動産株式会社</t>
  </si>
  <si>
    <t>株式会社コバルトエステート賃貸ショップFC松屋町店</t>
  </si>
  <si>
    <t>株式会社コバルトエステート桜川店</t>
  </si>
  <si>
    <t>株式会社かなまる</t>
  </si>
  <si>
    <t>店舗追加のためなし</t>
  </si>
  <si>
    <t>株式会社ジェイ・エス・ビー・ネットワーク　北大前北12条店</t>
  </si>
  <si>
    <t>株式会社ジェイ・エス・ビー・ネットワーク　徳島大学前店</t>
  </si>
  <si>
    <t xml:space="preserve"> 株式会社ウィンドヒル　ビッグ釧路店</t>
  </si>
  <si>
    <t>有限会社アルズプランニング　エイブルネットワーク行啓通店</t>
  </si>
  <si>
    <t>ワイズトラスト株式会社</t>
  </si>
  <si>
    <t>株式会社コージーライフ</t>
  </si>
  <si>
    <t>株式会社グッドライフハウジング</t>
  </si>
  <si>
    <t>日東住宅株式会社</t>
  </si>
  <si>
    <t>太陽不動産株式会社</t>
  </si>
  <si>
    <t>株式会社筑波地所 つくば賃貸サービス</t>
  </si>
  <si>
    <t>中央管財株式会社</t>
  </si>
  <si>
    <t>株式会社新潟リアルティ</t>
  </si>
  <si>
    <t>有限会社フタバ</t>
  </si>
  <si>
    <t>近代住建株式会社</t>
  </si>
  <si>
    <t>有限会社マイハウス</t>
  </si>
  <si>
    <t>有限会社豊受興業</t>
  </si>
  <si>
    <t>株式会社システムクリエイト　本店</t>
  </si>
  <si>
    <t>有限会社西山不動産</t>
  </si>
  <si>
    <t>ハウスルーム坂戸店 株式会社トラストワン</t>
  </si>
  <si>
    <t xml:space="preserve">T-GROUP合同会社　HILOHOUSE	</t>
  </si>
  <si>
    <t>東洋住販株式会社</t>
  </si>
  <si>
    <t>株式会社ネクステージ</t>
  </si>
  <si>
    <t>嶮山開発株式会社</t>
  </si>
  <si>
    <t>株式会社サンシティハウジング 向ヶ丘遊園駅前店</t>
  </si>
  <si>
    <t>株式会社小菅不動産</t>
  </si>
  <si>
    <t>株式会社ファインズ</t>
  </si>
  <si>
    <t>正直不動産株式会社</t>
  </si>
  <si>
    <t>吉田リアルエステート株式会社</t>
  </si>
  <si>
    <t>株式会社クラッシーホーム</t>
  </si>
  <si>
    <t>株式会社Roomie</t>
  </si>
  <si>
    <t>誠豊不動産</t>
  </si>
  <si>
    <t>なるせ不動産</t>
  </si>
  <si>
    <t>株式会社RMJ</t>
  </si>
  <si>
    <t>株式会社ハウスウィン</t>
  </si>
  <si>
    <t>有限会社市川住宅</t>
  </si>
  <si>
    <t>有限会社ランド・ネットワーク</t>
  </si>
  <si>
    <t>株式会社依佐美</t>
  </si>
  <si>
    <t>株式会社マイルームエステート</t>
  </si>
  <si>
    <t xml:space="preserve">株式会社HOME　PARK　ミニミニFC堺東店
</t>
  </si>
  <si>
    <t>有限会社るーむ情報館</t>
  </si>
  <si>
    <t>株式会社備後　ビンゴ夢ハウス</t>
  </si>
  <si>
    <t>株式会社アステック　</t>
  </si>
  <si>
    <t>株式会社富士ハウジング</t>
  </si>
  <si>
    <t>株式会社アネックス</t>
  </si>
  <si>
    <t>株式会社おうち物語</t>
  </si>
  <si>
    <t>株式会社アソシオ</t>
  </si>
  <si>
    <t>株式会社アレンジプラス</t>
  </si>
  <si>
    <t>株式会社エフピーコーポレーション</t>
  </si>
  <si>
    <t>株式会社ワコー不動産管理センター</t>
  </si>
  <si>
    <t>株式会社三星住発</t>
  </si>
  <si>
    <t>株式会社清幸リビング</t>
  </si>
  <si>
    <t>センチュリーハウジング株式会社</t>
  </si>
  <si>
    <t>株式会社新香園</t>
  </si>
  <si>
    <t>＝</t>
  </si>
  <si>
    <t>有限会社進栄商事</t>
  </si>
  <si>
    <t>株式会社丸栄住宅販売</t>
  </si>
  <si>
    <t>株式会社岡不動産</t>
  </si>
  <si>
    <t>株式会社辻興産　武蔵浦和店</t>
  </si>
  <si>
    <t>株式会社エーティーホームズ</t>
  </si>
  <si>
    <t>有限会社矢島</t>
  </si>
  <si>
    <t>株式会社コクド住販</t>
  </si>
  <si>
    <t>株式会社　クイックホーム</t>
  </si>
  <si>
    <t>有限会社鈴木ハウジング</t>
  </si>
  <si>
    <t>有限会社長武商事</t>
  </si>
  <si>
    <t>ホシノ株式会社</t>
  </si>
  <si>
    <t>有限会社ミヤカワ企画</t>
  </si>
  <si>
    <t>愛光不動産</t>
  </si>
  <si>
    <t>有限会社住まいる</t>
  </si>
  <si>
    <t>ランドホーム有限会社</t>
  </si>
  <si>
    <t>渡辺不動産有限会社</t>
  </si>
  <si>
    <t>株式会社イーエン　</t>
  </si>
  <si>
    <t>伊藤不動産事務所</t>
  </si>
  <si>
    <t>富士興地所株式会社</t>
  </si>
  <si>
    <t>ウエスト・ワン</t>
  </si>
  <si>
    <t>神都商会</t>
  </si>
  <si>
    <t>株式会社彩晄エステート</t>
  </si>
  <si>
    <t>株式会社レジェンド　西宮北口店</t>
  </si>
  <si>
    <t>合同会社シェアライフ富山</t>
  </si>
  <si>
    <t>株式会社ＯＳＣＡＲ　Ｊ．Ｊ　ＳＣ部</t>
  </si>
  <si>
    <t>有限会社宮川不動産商会</t>
  </si>
  <si>
    <t>合同ホーム株式会社</t>
  </si>
  <si>
    <t>株式会社エーポジション</t>
  </si>
  <si>
    <t>株式会社エーポジション　中崎町店</t>
  </si>
  <si>
    <t>株式会社オアシス　CLASiS立花店</t>
  </si>
  <si>
    <t>ＣＬＡＳｉＳ　福島店　　株式会社オアシス</t>
  </si>
  <si>
    <t>株式会社NEXT GENERATION　Claccy　クラッシー</t>
  </si>
  <si>
    <t>株式会社LRC　カオルエステート</t>
  </si>
  <si>
    <t>株式会社東友不動産　本店</t>
  </si>
  <si>
    <t>株式会社こぶた不動産</t>
  </si>
  <si>
    <t>スマイルズホーム</t>
  </si>
  <si>
    <t>有限会社ラウンド開発</t>
  </si>
  <si>
    <t>不動地所有限会社</t>
  </si>
  <si>
    <t>有限会社ハウジングみか</t>
  </si>
  <si>
    <t>合同会社スエヨシ商会</t>
  </si>
  <si>
    <t>有限会社浜松不動産</t>
  </si>
  <si>
    <t>株式会社福徳不動産　長崎中央支店</t>
  </si>
  <si>
    <t>不動産システム株式会社　浜田営業所</t>
  </si>
  <si>
    <t>イーグルハウス株式会社　鳥栖店</t>
  </si>
  <si>
    <t>株式会社創和ハウジング　本店</t>
  </si>
  <si>
    <t>株式会社創和ハウジング　浜町支店</t>
  </si>
  <si>
    <t>株式会社創和ハウジング　長崎大学前支店</t>
  </si>
  <si>
    <t>株式会社アイハラ不動産</t>
  </si>
  <si>
    <t>株式会社丸勇不動産</t>
  </si>
  <si>
    <t>アイムエステート株式会社</t>
  </si>
  <si>
    <t>株式会社マイスタイル</t>
  </si>
  <si>
    <t>賃貸Room</t>
  </si>
  <si>
    <t>株式会社エス・コーポレーション</t>
  </si>
  <si>
    <t>エステート・ショップ</t>
  </si>
  <si>
    <t>株式会社ライフワーク</t>
  </si>
  <si>
    <t>株式会社エミホーム</t>
  </si>
  <si>
    <t>株式会社オーエイチシー</t>
  </si>
  <si>
    <t>株式会社リーズ</t>
  </si>
  <si>
    <t>株式会社大山住建</t>
  </si>
  <si>
    <t>ホーメスト不動産関西株式会社</t>
  </si>
  <si>
    <t>株式会社ういんくホーム</t>
  </si>
  <si>
    <t>有限会社足立住宅</t>
  </si>
  <si>
    <t>マルヒロ不動産株式会社</t>
  </si>
  <si>
    <t>株式会社千葉宅建</t>
  </si>
  <si>
    <t>株式会社　Ｙ’ｓエステート</t>
  </si>
  <si>
    <t>株式会社シャルムサービス</t>
  </si>
  <si>
    <t>有限会社津久井不動産</t>
  </si>
  <si>
    <t>友建ホームズ　本店</t>
  </si>
  <si>
    <t>関西不動産流通株式会社　リンクナビ福島店</t>
  </si>
  <si>
    <t>株式会社親交開発</t>
  </si>
  <si>
    <t>ホームアスリート株式会社　ミニミニFC春日原店</t>
  </si>
  <si>
    <t>株式会社弘友ハウス</t>
  </si>
  <si>
    <t>有限会社アート不動産</t>
  </si>
  <si>
    <t>株式会社ウインクス</t>
  </si>
  <si>
    <t>株式会社スリーナイン</t>
  </si>
  <si>
    <t>大茎不動産株式会社　ピタットハウス南大分わさだ店</t>
  </si>
  <si>
    <t>株式会社桜ステージ</t>
  </si>
  <si>
    <t>エステート九州株式会社</t>
  </si>
  <si>
    <t>熊本電気鉄道株式会社　不動産事業部</t>
  </si>
  <si>
    <t>株式会社まるい不動産</t>
  </si>
  <si>
    <t>光栄住宅株式会社</t>
  </si>
  <si>
    <t>株式会社ウィズザライフ</t>
  </si>
  <si>
    <t>株式会社住まいるワークス　ホームメイトFC幕張本郷店</t>
  </si>
  <si>
    <t>有限会社藤井地所</t>
  </si>
  <si>
    <t>U＆I株式会社</t>
  </si>
  <si>
    <t>9.5 %</t>
  </si>
  <si>
    <t>菅原住建株式会社</t>
  </si>
  <si>
    <t>株式会社福住ハウジング</t>
  </si>
  <si>
    <t>西和不動産株式会社</t>
  </si>
  <si>
    <t>松本商事株式会社</t>
  </si>
  <si>
    <t>和宏株式会社</t>
  </si>
  <si>
    <t>エステート住宅産業株式会社 小山西口店</t>
  </si>
  <si>
    <t>エステート住宅産業株式会社 小山店</t>
  </si>
  <si>
    <t>エステート住宅産業株式会社 泉ヶ丘店</t>
  </si>
  <si>
    <t>エステート住宅産業株式会社 東店</t>
  </si>
  <si>
    <t>株式会社徳海</t>
  </si>
  <si>
    <t>有限会社森野ビル</t>
  </si>
  <si>
    <t>イズミ不動産株式会社　賃貸部門</t>
  </si>
  <si>
    <t>株式会社クリエイトホームズ</t>
  </si>
  <si>
    <t>株式会社ライフ・クリエイト　川口東口店</t>
  </si>
  <si>
    <t>株式会社ライフ・クリエイト　武蔵浦和店</t>
  </si>
  <si>
    <t>株式会社ライフ・クリエイト　浦和店</t>
  </si>
  <si>
    <t>株式会社フォーエバー　ドアーズ岡山中央店</t>
  </si>
  <si>
    <t>138990　</t>
  </si>
  <si>
    <t>石川土地コンサルタント</t>
  </si>
  <si>
    <t>ピタットハウス伊勢崎店　株式会社グランディール</t>
  </si>
  <si>
    <t>みまもり企画株式会社</t>
  </si>
  <si>
    <t>合同会社續不動産</t>
  </si>
  <si>
    <t>ワイズルーム</t>
  </si>
  <si>
    <t>株式会社タートルハウス</t>
  </si>
  <si>
    <t>有限会社賃貸のニッセイ</t>
  </si>
  <si>
    <t>旭屋商事株式会社</t>
  </si>
  <si>
    <t>三和相互住宅販売株式会社</t>
  </si>
  <si>
    <t>株式会社アジア住販　本店</t>
  </si>
  <si>
    <t>株式会社アジア住販　筑波大学前店</t>
  </si>
  <si>
    <t>株式会社アジア住販　研究学園店</t>
  </si>
  <si>
    <t>株式会社マイルーム仙台</t>
  </si>
  <si>
    <t>キノシタ開発株式会社　ピタットハウス飯田店</t>
  </si>
  <si>
    <t>株式会社近畿建物管理　管理部</t>
  </si>
  <si>
    <t>近畿住宅センター</t>
  </si>
  <si>
    <t>株式会社ピーエムコンサルティング</t>
  </si>
  <si>
    <t>株式会社カンエイ　本社</t>
  </si>
  <si>
    <t>有限会社アーサー</t>
  </si>
  <si>
    <t>株式会社創和ハウジング　葉山支店</t>
  </si>
  <si>
    <t>株式会社創和ハウジング　新大工支店</t>
  </si>
  <si>
    <t>新日本三光株式会社</t>
  </si>
  <si>
    <t>株式会社出雲トータル不動産</t>
  </si>
  <si>
    <t>有限会社 大興不動産 延岡</t>
  </si>
  <si>
    <t>サンスイ土地建物株式会社</t>
  </si>
  <si>
    <t>木暮建築設計事務所　不動産部</t>
  </si>
  <si>
    <t>関西不動産流通株式会社　リンクナビ梅田店</t>
  </si>
  <si>
    <t>ABCエステート株式会社</t>
  </si>
  <si>
    <t>株式会社八大不動産</t>
  </si>
  <si>
    <t>株式会社東興不動産</t>
  </si>
  <si>
    <t>株式会社あいち不動産コンサルタンツ</t>
  </si>
  <si>
    <t>センチュリー21丸五木材</t>
  </si>
  <si>
    <t>株式会社クルティーボ</t>
  </si>
  <si>
    <t>株式会社オフィッコス</t>
  </si>
  <si>
    <t>アパマンショップ北久里浜店　日光建設株式会社</t>
  </si>
  <si>
    <t>株式会社三栄商事</t>
  </si>
  <si>
    <t>株式会社M・テック</t>
  </si>
  <si>
    <t>株式会社丸善住宅</t>
  </si>
  <si>
    <t>有限会社エイブル不動産</t>
  </si>
  <si>
    <t>大和不動産株式会社</t>
  </si>
  <si>
    <t>株式会社クリーン・シア</t>
  </si>
  <si>
    <t>株式会社KTS</t>
  </si>
  <si>
    <t>上通未来不動産株式会社</t>
  </si>
  <si>
    <t>有限会社立花興産</t>
  </si>
  <si>
    <t>株式会社二日市不動産</t>
  </si>
  <si>
    <t>有限会社諸隈不動産</t>
  </si>
  <si>
    <t>ピタットハウス和歌山駅前店　株式会社スマートホーム</t>
  </si>
  <si>
    <t>有限会社トミ・エステート</t>
  </si>
  <si>
    <t>センチュリー21京都ハウス東寺店</t>
  </si>
  <si>
    <t>ドコホーム</t>
  </si>
  <si>
    <t>アール・イー・ホームズ</t>
  </si>
  <si>
    <t>株式会社誠和</t>
  </si>
  <si>
    <t>オフィスキムラ株式会社</t>
  </si>
  <si>
    <t>T＆Cエステート株式会社</t>
  </si>
  <si>
    <t>シャンピニヨンハウジング</t>
  </si>
  <si>
    <t>アパマンショップ岡谷店　株式会社　諏訪貸家アパートセンター</t>
  </si>
  <si>
    <t>大茎不動産株式会社　ピタットハウス大分別府店</t>
  </si>
  <si>
    <t>株式会社エーレックス</t>
  </si>
  <si>
    <t>株式会社ルーミーズ</t>
  </si>
  <si>
    <t>三和産業株式会社 南口店</t>
  </si>
  <si>
    <t>クーパーズ不動産</t>
  </si>
  <si>
    <t>合同会社フリーライフスタイル</t>
  </si>
  <si>
    <t>大黒商事株式会社</t>
  </si>
  <si>
    <t>株式会社パルハウジング</t>
  </si>
  <si>
    <t>株式会社矢島不動産管理</t>
  </si>
  <si>
    <t>株式会社共済地所</t>
  </si>
  <si>
    <r>
      <t>株式会社</t>
    </r>
    <r>
      <rPr>
        <sz val="11"/>
        <color theme="1"/>
        <rFont val="Meiryo UI"/>
        <family val="2"/>
        <charset val="128"/>
      </rPr>
      <t>Miki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</si>
</sst>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m&quot;/&quot;d"/>
    <numFmt numFmtId="178" formatCode="m/d"/>
  </numFmts>
  <fonts count="18">
    <font>
      <sz val="10"/>
      <color rgb="FF000000"/>
      <name val="Arial"/>
    </font>
    <font>
      <sz val="10"/>
      <color theme="1"/>
      <name val="Arial"/>
    </font>
    <font>
      <b/>
      <sz val="8"/>
      <color rgb="FFFFFFFF"/>
      <name val="Arial"/>
    </font>
    <font>
      <u/>
      <sz val="10"/>
      <color rgb="FF0000FF"/>
      <name val="Arial"/>
    </font>
    <font>
      <sz val="11"/>
      <color theme="1"/>
      <name val="Arial"/>
    </font>
    <font>
      <sz val="11"/>
      <color rgb="FF000000"/>
      <name val="Arial"/>
    </font>
    <font>
      <sz val="6"/>
      <name val="Tsukushi A Round Gothic Bold"/>
      <family val="3"/>
      <charset val="128"/>
    </font>
    <font>
      <sz val="11"/>
      <color theme="1"/>
      <name val="Meiryo UI"/>
      <family val="2"/>
      <charset val="128"/>
    </font>
    <font>
      <sz val="11"/>
      <color rgb="FF000000"/>
      <name val="Meiryo UI"/>
      <family val="2"/>
      <charset val="128"/>
    </font>
    <font>
      <sz val="11"/>
      <color rgb="FF242424"/>
      <name val="Meiryo UI"/>
      <family val="2"/>
      <charset val="128"/>
    </font>
    <font>
      <sz val="11"/>
      <color rgb="FF080707"/>
      <name val="Meiryo UI"/>
      <family val="2"/>
      <charset val="128"/>
    </font>
    <font>
      <sz val="11"/>
      <name val="Meiryo UI"/>
      <family val="2"/>
      <charset val="128"/>
    </font>
    <font>
      <sz val="11"/>
      <color rgb="FFCFE2F3"/>
      <name val="Meiryo UI"/>
      <family val="2"/>
      <charset val="128"/>
    </font>
    <font>
      <b/>
      <sz val="11"/>
      <color theme="1"/>
      <name val="Meiryo UI"/>
      <family val="2"/>
      <charset val="128"/>
    </font>
    <font>
      <b/>
      <sz val="11"/>
      <color rgb="FFFFFFFF"/>
      <name val="Meiryo UI"/>
      <family val="2"/>
      <charset val="128"/>
    </font>
    <font>
      <sz val="11"/>
      <color rgb="FFFFFFFF"/>
      <name val="Meiryo UI"/>
      <family val="2"/>
      <charset val="128"/>
    </font>
    <font>
      <sz val="11"/>
      <color rgb="FFB7B7B7"/>
      <name val="Meiryo UI"/>
      <family val="2"/>
      <charset val="128"/>
    </font>
    <font>
      <sz val="11"/>
      <color rgb="FFFF0000"/>
      <name val="Meiryo UI"/>
      <family val="2"/>
      <charset val="128"/>
    </font>
  </fonts>
  <fills count="16">
    <fill>
      <patternFill patternType="none"/>
    </fill>
    <fill>
      <patternFill patternType="gray125"/>
    </fill>
    <fill>
      <patternFill patternType="solid">
        <fgColor rgb="FFFFF2CC"/>
        <bgColor rgb="FFFFF2CC"/>
      </patternFill>
    </fill>
    <fill>
      <patternFill patternType="solid">
        <fgColor rgb="FF073763"/>
        <bgColor rgb="FF073763"/>
      </patternFill>
    </fill>
    <fill>
      <patternFill patternType="solid">
        <fgColor rgb="FF434343"/>
        <bgColor rgb="FF434343"/>
      </patternFill>
    </fill>
    <fill>
      <patternFill patternType="solid">
        <fgColor rgb="FF274E13"/>
        <bgColor rgb="FF274E13"/>
      </patternFill>
    </fill>
    <fill>
      <patternFill patternType="solid">
        <fgColor rgb="FFC9DAF8"/>
        <bgColor rgb="FFC9DAF8"/>
      </patternFill>
    </fill>
    <fill>
      <patternFill patternType="solid">
        <fgColor rgb="FF9900FF"/>
        <bgColor rgb="FF9900FF"/>
      </patternFill>
    </fill>
    <fill>
      <patternFill patternType="solid">
        <fgColor rgb="FFCCCCCC"/>
        <bgColor rgb="FFCCCCCC"/>
      </patternFill>
    </fill>
    <fill>
      <patternFill patternType="solid">
        <fgColor rgb="FF0B5394"/>
        <bgColor rgb="FF0B5394"/>
      </patternFill>
    </fill>
    <fill>
      <patternFill patternType="solid">
        <fgColor rgb="FFCFE2F3"/>
        <bgColor rgb="FFCFE2F3"/>
      </patternFill>
    </fill>
    <fill>
      <patternFill patternType="solid">
        <fgColor rgb="FF0000FF"/>
        <bgColor rgb="FF0000FF"/>
      </patternFill>
    </fill>
    <fill>
      <patternFill patternType="solid">
        <fgColor rgb="FFD9D9D9"/>
        <bgColor rgb="FFD9D9D9"/>
      </patternFill>
    </fill>
    <fill>
      <patternFill patternType="solid">
        <fgColor rgb="FFFFFFFF"/>
        <bgColor rgb="FFFFFFFF"/>
      </patternFill>
    </fill>
    <fill>
      <patternFill patternType="solid">
        <fgColor rgb="FFCCDFF5"/>
        <bgColor rgb="FFCCDFF5"/>
      </patternFill>
    </fill>
    <fill>
      <patternFill patternType="solid">
        <fgColor rgb="FFE4F6F3"/>
        <bgColor rgb="FFE4F6F3"/>
      </patternFill>
    </fill>
  </fills>
  <borders count="13">
    <border>
      <left/>
      <right/>
      <top/>
      <bottom/>
      <diagonal/>
    </border>
    <border>
      <left style="medium">
        <color rgb="FF073763"/>
      </left>
      <right style="medium">
        <color rgb="FF073763"/>
      </right>
      <top style="medium">
        <color rgb="FF073763"/>
      </top>
      <bottom/>
      <diagonal/>
    </border>
    <border>
      <left style="medium">
        <color rgb="FF073763"/>
      </left>
      <right style="medium">
        <color rgb="FF073763"/>
      </right>
      <top/>
      <bottom style="hair">
        <color rgb="FF000000"/>
      </bottom>
      <diagonal/>
    </border>
    <border>
      <left/>
      <right/>
      <top/>
      <bottom style="hair">
        <color rgb="FF000000"/>
      </bottom>
      <diagonal/>
    </border>
    <border>
      <left style="medium">
        <color rgb="FF073763"/>
      </left>
      <right style="medium">
        <color rgb="FF073763"/>
      </right>
      <top style="hair">
        <color rgb="FF000000"/>
      </top>
      <bottom style="hair">
        <color rgb="FF000000"/>
      </bottom>
      <diagonal/>
    </border>
    <border>
      <left/>
      <right/>
      <top style="hair">
        <color rgb="FF000000"/>
      </top>
      <bottom style="hair">
        <color rgb="FF000000"/>
      </bottom>
      <diagonal/>
    </border>
    <border>
      <left/>
      <right/>
      <top style="hair">
        <color rgb="FF000000"/>
      </top>
      <bottom/>
      <diagonal/>
    </border>
    <border>
      <left style="medium">
        <color rgb="FF073763"/>
      </left>
      <right style="medium">
        <color rgb="FF073763"/>
      </right>
      <top style="hair">
        <color rgb="FF000000"/>
      </top>
      <bottom style="medium">
        <color rgb="FF073763"/>
      </bottom>
      <diagonal/>
    </border>
    <border>
      <left style="thin">
        <color rgb="FF000000"/>
      </left>
      <right style="thin">
        <color rgb="FF000000"/>
      </right>
      <top style="hair">
        <color rgb="FF000000"/>
      </top>
      <bottom style="hair">
        <color rgb="FF000000"/>
      </bottom>
      <diagonal/>
    </border>
    <border>
      <left style="dotted">
        <color rgb="FF000000"/>
      </left>
      <right style="dotted">
        <color rgb="FF000000"/>
      </right>
      <top style="hair">
        <color rgb="FF000000"/>
      </top>
      <bottom style="hair">
        <color rgb="FF000000"/>
      </bottom>
      <diagonal/>
    </border>
    <border>
      <left style="thick">
        <color rgb="FF000000"/>
      </left>
      <right style="dotted">
        <color rgb="FF000000"/>
      </right>
      <top style="hair">
        <color rgb="FF000000"/>
      </top>
      <bottom style="hair">
        <color rgb="FF000000"/>
      </bottom>
      <diagonal/>
    </border>
    <border>
      <left style="thin">
        <color rgb="FFFFFFFF"/>
      </left>
      <right style="thin">
        <color rgb="FF000000"/>
      </right>
      <top style="hair">
        <color rgb="FF000000"/>
      </top>
      <bottom style="hair">
        <color rgb="FF000000"/>
      </bottom>
      <diagonal/>
    </border>
    <border>
      <left style="thin">
        <color rgb="FF000000"/>
      </left>
      <right style="thin">
        <color rgb="FFFFFFFF"/>
      </right>
      <top style="hair">
        <color rgb="FF000000"/>
      </top>
      <bottom style="hair">
        <color rgb="FF000000"/>
      </bottom>
      <diagonal/>
    </border>
  </borders>
  <cellStyleXfs count="1">
    <xf numFmtId="0" fontId="0" fillId="0" borderId="0"/>
  </cellStyleXfs>
  <cellXfs count="117">
    <xf numFmtId="0" fontId="0" fillId="0" borderId="0" xfId="0" applyFont="1" applyAlignment="1"/>
    <xf numFmtId="0" fontId="1" fillId="2" borderId="0" xfId="0" applyFont="1" applyFill="1" applyAlignment="1"/>
    <xf numFmtId="0" fontId="1" fillId="2" borderId="0" xfId="0" applyFont="1" applyFill="1"/>
    <xf numFmtId="0" fontId="2" fillId="3" borderId="1" xfId="0" applyFont="1" applyFill="1" applyBorder="1" applyAlignment="1"/>
    <xf numFmtId="0" fontId="2" fillId="3" borderId="0" xfId="0" applyFont="1" applyFill="1" applyAlignment="1"/>
    <xf numFmtId="0" fontId="2" fillId="4" borderId="0" xfId="0" applyFont="1" applyFill="1" applyAlignment="1"/>
    <xf numFmtId="0" fontId="2" fillId="5" borderId="0" xfId="0" applyFont="1" applyFill="1" applyAlignment="1"/>
    <xf numFmtId="0" fontId="3" fillId="0" borderId="0" xfId="0" applyFont="1" applyAlignment="1"/>
    <xf numFmtId="0" fontId="1" fillId="0" borderId="0" xfId="0" applyFont="1" applyAlignment="1">
      <alignment horizontal="center"/>
    </xf>
    <xf numFmtId="0" fontId="1" fillId="6" borderId="2" xfId="0" applyFont="1" applyFill="1" applyBorder="1" applyAlignment="1"/>
    <xf numFmtId="177" fontId="1" fillId="8" borderId="3" xfId="0" applyNumberFormat="1" applyFont="1" applyFill="1" applyBorder="1" applyAlignment="1"/>
    <xf numFmtId="0" fontId="1" fillId="6" borderId="3" xfId="0" applyFont="1" applyFill="1" applyBorder="1" applyAlignment="1"/>
    <xf numFmtId="0" fontId="1" fillId="0" borderId="0" xfId="0" applyFont="1"/>
    <xf numFmtId="178" fontId="1" fillId="6" borderId="3" xfId="0" applyNumberFormat="1" applyFont="1" applyFill="1" applyBorder="1" applyAlignment="1"/>
    <xf numFmtId="38" fontId="1" fillId="0" borderId="0" xfId="0" applyNumberFormat="1" applyFont="1"/>
    <xf numFmtId="0" fontId="1" fillId="10" borderId="3" xfId="0" applyFont="1" applyFill="1" applyBorder="1" applyAlignment="1"/>
    <xf numFmtId="0" fontId="1" fillId="0" borderId="4" xfId="0" applyFont="1" applyBorder="1" applyAlignment="1"/>
    <xf numFmtId="177" fontId="1" fillId="8" borderId="5" xfId="0" applyNumberFormat="1" applyFont="1" applyFill="1" applyBorder="1" applyAlignment="1"/>
    <xf numFmtId="0" fontId="1" fillId="0" borderId="5" xfId="0" applyFont="1" applyBorder="1" applyAlignment="1"/>
    <xf numFmtId="0" fontId="1" fillId="0" borderId="0" xfId="0" applyFont="1" applyAlignment="1"/>
    <xf numFmtId="178" fontId="1" fillId="0" borderId="5" xfId="0" applyNumberFormat="1" applyFont="1" applyBorder="1" applyAlignment="1"/>
    <xf numFmtId="0" fontId="1" fillId="0" borderId="5" xfId="0" applyFont="1" applyBorder="1" applyAlignment="1"/>
    <xf numFmtId="0" fontId="1" fillId="0" borderId="5" xfId="0" applyFont="1" applyBorder="1" applyAlignment="1"/>
    <xf numFmtId="178" fontId="1" fillId="0" borderId="5" xfId="0" applyNumberFormat="1" applyFont="1" applyBorder="1" applyAlignment="1"/>
    <xf numFmtId="178" fontId="1" fillId="0" borderId="0" xfId="0" applyNumberFormat="1" applyFont="1" applyAlignment="1"/>
    <xf numFmtId="177" fontId="1" fillId="8" borderId="5" xfId="0" applyNumberFormat="1" applyFont="1" applyFill="1" applyBorder="1" applyAlignment="1"/>
    <xf numFmtId="0" fontId="1" fillId="0" borderId="5" xfId="0" applyFont="1" applyBorder="1" applyAlignment="1"/>
    <xf numFmtId="177" fontId="1" fillId="8" borderId="0" xfId="0" applyNumberFormat="1" applyFont="1" applyFill="1" applyAlignment="1"/>
    <xf numFmtId="177" fontId="4" fillId="8" borderId="0" xfId="0" applyNumberFormat="1" applyFont="1" applyFill="1" applyAlignment="1">
      <alignment horizontal="right"/>
    </xf>
    <xf numFmtId="0" fontId="4" fillId="0" borderId="0" xfId="0" applyFont="1" applyAlignment="1">
      <alignment horizontal="right"/>
    </xf>
    <xf numFmtId="0" fontId="4" fillId="0" borderId="0" xfId="0" applyFont="1"/>
    <xf numFmtId="177" fontId="4" fillId="8" borderId="3" xfId="0" applyNumberFormat="1" applyFont="1" applyFill="1" applyBorder="1" applyAlignment="1">
      <alignment horizontal="right"/>
    </xf>
    <xf numFmtId="0" fontId="4" fillId="0" borderId="3" xfId="0" applyFont="1" applyBorder="1" applyAlignment="1">
      <alignment horizontal="right"/>
    </xf>
    <xf numFmtId="0" fontId="4" fillId="0" borderId="3" xfId="0" applyFont="1" applyBorder="1"/>
    <xf numFmtId="177" fontId="4" fillId="8" borderId="5" xfId="0" applyNumberFormat="1" applyFont="1" applyFill="1" applyBorder="1" applyAlignment="1">
      <alignment horizontal="right"/>
    </xf>
    <xf numFmtId="0" fontId="4" fillId="0" borderId="5" xfId="0" applyFont="1" applyBorder="1" applyAlignment="1">
      <alignment horizontal="right"/>
    </xf>
    <xf numFmtId="0" fontId="4" fillId="0" borderId="5" xfId="0" applyFont="1" applyBorder="1"/>
    <xf numFmtId="0" fontId="5" fillId="0" borderId="5" xfId="0" applyFont="1" applyBorder="1"/>
    <xf numFmtId="177" fontId="4" fillId="8" borderId="6" xfId="0" applyNumberFormat="1" applyFont="1" applyFill="1" applyBorder="1" applyAlignment="1">
      <alignment horizontal="right"/>
    </xf>
    <xf numFmtId="0" fontId="4" fillId="0" borderId="6" xfId="0" applyFont="1" applyBorder="1" applyAlignment="1">
      <alignment horizontal="right"/>
    </xf>
    <xf numFmtId="0" fontId="4" fillId="0" borderId="6" xfId="0" applyFont="1" applyBorder="1"/>
    <xf numFmtId="0" fontId="1" fillId="0" borderId="7" xfId="0" applyFont="1" applyBorder="1" applyAlignment="1"/>
    <xf numFmtId="177" fontId="1" fillId="8" borderId="6" xfId="0" applyNumberFormat="1" applyFont="1" applyFill="1" applyBorder="1" applyAlignment="1"/>
    <xf numFmtId="0" fontId="1" fillId="0" borderId="6" xfId="0" applyFont="1" applyBorder="1" applyAlignment="1"/>
    <xf numFmtId="178" fontId="1" fillId="0" borderId="6" xfId="0" applyNumberFormat="1" applyFont="1" applyBorder="1" applyAlignment="1"/>
    <xf numFmtId="38" fontId="7" fillId="0" borderId="3" xfId="0" applyNumberFormat="1" applyFont="1" applyBorder="1" applyAlignment="1">
      <alignment horizontal="right"/>
    </xf>
    <xf numFmtId="38" fontId="7" fillId="0" borderId="5" xfId="0" applyNumberFormat="1" applyFont="1" applyBorder="1" applyAlignment="1">
      <alignment horizontal="right"/>
    </xf>
    <xf numFmtId="38" fontId="8" fillId="0" borderId="5" xfId="0" applyNumberFormat="1" applyFont="1" applyBorder="1" applyAlignment="1">
      <alignment horizontal="right"/>
    </xf>
    <xf numFmtId="0" fontId="7" fillId="0" borderId="5" xfId="0" applyFont="1" applyBorder="1" applyAlignment="1">
      <alignment horizontal="right"/>
    </xf>
    <xf numFmtId="0" fontId="7" fillId="0" borderId="5" xfId="0" applyFont="1" applyBorder="1" applyAlignment="1"/>
    <xf numFmtId="176" fontId="7" fillId="0" borderId="5" xfId="0" applyNumberFormat="1" applyFont="1" applyBorder="1" applyAlignment="1">
      <alignment horizontal="right"/>
    </xf>
    <xf numFmtId="178" fontId="7" fillId="0" borderId="5" xfId="0" applyNumberFormat="1" applyFont="1" applyBorder="1" applyAlignment="1"/>
    <xf numFmtId="0" fontId="9" fillId="13" borderId="5" xfId="0" applyFont="1" applyFill="1" applyBorder="1" applyAlignment="1">
      <alignment wrapText="1"/>
    </xf>
    <xf numFmtId="0" fontId="7" fillId="0" borderId="5" xfId="0" applyFont="1" applyBorder="1"/>
    <xf numFmtId="0" fontId="7" fillId="0" borderId="8" xfId="0" applyFont="1" applyBorder="1" applyAlignment="1">
      <alignment horizontal="right"/>
    </xf>
    <xf numFmtId="0" fontId="8" fillId="0" borderId="9" xfId="0" applyFont="1" applyBorder="1" applyAlignment="1">
      <alignment vertical="center"/>
    </xf>
    <xf numFmtId="0" fontId="7" fillId="0" borderId="9" xfId="0" applyFont="1" applyBorder="1" applyAlignment="1">
      <alignment vertical="center"/>
    </xf>
    <xf numFmtId="10" fontId="7" fillId="0" borderId="5" xfId="0" applyNumberFormat="1" applyFont="1" applyBorder="1" applyAlignment="1">
      <alignment horizontal="right"/>
    </xf>
    <xf numFmtId="0" fontId="7" fillId="0" borderId="10" xfId="0" applyFont="1" applyBorder="1" applyAlignment="1">
      <alignment vertical="center"/>
    </xf>
    <xf numFmtId="0" fontId="8" fillId="0" borderId="10" xfId="0" applyFont="1" applyBorder="1" applyAlignment="1">
      <alignment vertical="center"/>
    </xf>
    <xf numFmtId="0" fontId="8" fillId="13" borderId="5" xfId="0" applyFont="1" applyFill="1" applyBorder="1" applyAlignment="1">
      <alignment horizontal="right"/>
    </xf>
    <xf numFmtId="9" fontId="7" fillId="0" borderId="5" xfId="0" applyNumberFormat="1" applyFont="1" applyBorder="1" applyAlignment="1">
      <alignment horizontal="right"/>
    </xf>
    <xf numFmtId="0" fontId="7" fillId="13" borderId="5" xfId="0" applyFont="1" applyFill="1" applyBorder="1" applyAlignment="1"/>
    <xf numFmtId="176" fontId="7" fillId="0" borderId="5" xfId="0" applyNumberFormat="1" applyFont="1" applyBorder="1" applyAlignment="1"/>
    <xf numFmtId="10" fontId="7" fillId="0" borderId="5" xfId="0" applyNumberFormat="1" applyFont="1" applyBorder="1" applyAlignment="1"/>
    <xf numFmtId="0" fontId="9" fillId="15" borderId="5" xfId="0" applyFont="1" applyFill="1" applyBorder="1" applyAlignment="1"/>
    <xf numFmtId="0" fontId="10" fillId="13" borderId="5" xfId="0" applyFont="1" applyFill="1" applyBorder="1" applyAlignment="1"/>
    <xf numFmtId="0" fontId="7" fillId="13" borderId="11" xfId="0" applyFont="1" applyFill="1" applyBorder="1" applyAlignment="1">
      <alignment horizontal="right"/>
    </xf>
    <xf numFmtId="0" fontId="7" fillId="13" borderId="12" xfId="0" applyFont="1" applyFill="1" applyBorder="1"/>
    <xf numFmtId="0" fontId="8" fillId="0" borderId="5" xfId="0" applyFont="1" applyBorder="1"/>
    <xf numFmtId="0" fontId="8" fillId="0" borderId="5" xfId="0" applyFont="1" applyBorder="1" applyAlignment="1">
      <alignment horizontal="right"/>
    </xf>
    <xf numFmtId="176" fontId="7" fillId="0" borderId="5" xfId="0" applyNumberFormat="1" applyFont="1" applyBorder="1"/>
    <xf numFmtId="178" fontId="7" fillId="0" borderId="5" xfId="0" applyNumberFormat="1" applyFont="1" applyBorder="1"/>
    <xf numFmtId="0" fontId="7" fillId="0" borderId="0" xfId="0" applyFont="1" applyAlignment="1">
      <alignment horizontal="right"/>
    </xf>
    <xf numFmtId="0" fontId="8" fillId="0" borderId="0" xfId="0" applyFont="1"/>
    <xf numFmtId="0" fontId="11" fillId="0" borderId="5" xfId="0" applyFont="1" applyBorder="1" applyAlignment="1">
      <alignment horizontal="right"/>
    </xf>
    <xf numFmtId="0" fontId="11" fillId="0" borderId="5" xfId="0" applyFont="1" applyBorder="1" applyAlignment="1"/>
    <xf numFmtId="38" fontId="11" fillId="0" borderId="5" xfId="0" applyNumberFormat="1" applyFont="1" applyBorder="1" applyAlignment="1">
      <alignment horizontal="right"/>
    </xf>
    <xf numFmtId="178" fontId="11" fillId="0" borderId="5" xfId="0" applyNumberFormat="1" applyFont="1" applyBorder="1" applyAlignment="1"/>
    <xf numFmtId="0" fontId="11" fillId="0" borderId="5" xfId="0" applyFont="1" applyBorder="1"/>
    <xf numFmtId="178" fontId="11" fillId="0" borderId="5" xfId="0" applyNumberFormat="1" applyFont="1" applyBorder="1"/>
    <xf numFmtId="0" fontId="7" fillId="0" borderId="6" xfId="0" applyFont="1" applyBorder="1" applyAlignment="1">
      <alignment horizontal="right"/>
    </xf>
    <xf numFmtId="0" fontId="7" fillId="0" borderId="6" xfId="0" applyFont="1" applyBorder="1"/>
    <xf numFmtId="176" fontId="7" fillId="0" borderId="6" xfId="0" applyNumberFormat="1" applyFont="1" applyBorder="1"/>
    <xf numFmtId="38" fontId="7" fillId="0" borderId="6" xfId="0" applyNumberFormat="1" applyFont="1" applyBorder="1" applyAlignment="1">
      <alignment horizontal="right"/>
    </xf>
    <xf numFmtId="178" fontId="7" fillId="0" borderId="6" xfId="0" applyNumberFormat="1" applyFont="1" applyBorder="1"/>
    <xf numFmtId="0" fontId="8" fillId="0" borderId="0" xfId="0" applyFont="1" applyAlignment="1"/>
    <xf numFmtId="176" fontId="7" fillId="0" borderId="0" xfId="0" applyNumberFormat="1" applyFont="1"/>
    <xf numFmtId="0" fontId="12" fillId="0" borderId="0" xfId="0" applyFont="1" applyAlignment="1"/>
    <xf numFmtId="0" fontId="7" fillId="2" borderId="0" xfId="0" applyFont="1" applyFill="1" applyAlignment="1"/>
    <xf numFmtId="0" fontId="7" fillId="2" borderId="0" xfId="0" applyFont="1" applyFill="1"/>
    <xf numFmtId="0" fontId="13" fillId="2" borderId="0" xfId="0" applyFont="1" applyFill="1" applyAlignment="1"/>
    <xf numFmtId="176" fontId="7" fillId="2" borderId="0" xfId="0" applyNumberFormat="1" applyFont="1" applyFill="1"/>
    <xf numFmtId="176" fontId="13" fillId="0" borderId="0" xfId="0" applyNumberFormat="1" applyFont="1" applyAlignment="1"/>
    <xf numFmtId="0" fontId="13" fillId="0" borderId="0" xfId="0" applyFont="1" applyAlignment="1"/>
    <xf numFmtId="0" fontId="14" fillId="7" borderId="0" xfId="0" applyFont="1" applyFill="1" applyAlignment="1">
      <alignment horizontal="center"/>
    </xf>
    <xf numFmtId="0" fontId="14" fillId="4" borderId="0" xfId="0" applyFont="1" applyFill="1" applyAlignment="1"/>
    <xf numFmtId="176" fontId="14" fillId="9" borderId="0" xfId="0" applyNumberFormat="1" applyFont="1" applyFill="1" applyAlignment="1"/>
    <xf numFmtId="0" fontId="14" fillId="9" borderId="0" xfId="0" applyFont="1" applyFill="1" applyAlignment="1"/>
    <xf numFmtId="0" fontId="15" fillId="11" borderId="0" xfId="0" applyFont="1" applyFill="1" applyAlignment="1"/>
    <xf numFmtId="0" fontId="7" fillId="0" borderId="0" xfId="0" applyFont="1" applyAlignment="1"/>
    <xf numFmtId="0" fontId="7" fillId="0" borderId="0" xfId="0" applyFont="1" applyAlignment="1">
      <alignment horizontal="center"/>
    </xf>
    <xf numFmtId="0" fontId="7" fillId="0" borderId="3" xfId="0" applyFont="1" applyBorder="1" applyAlignment="1"/>
    <xf numFmtId="176" fontId="7" fillId="0" borderId="3" xfId="0" applyNumberFormat="1" applyFont="1" applyBorder="1" applyAlignment="1">
      <alignment horizontal="right"/>
    </xf>
    <xf numFmtId="38" fontId="7" fillId="0" borderId="3" xfId="0" applyNumberFormat="1" applyFont="1" applyBorder="1" applyAlignment="1"/>
    <xf numFmtId="178" fontId="7" fillId="0" borderId="3" xfId="0" applyNumberFormat="1" applyFont="1" applyBorder="1" applyAlignment="1"/>
    <xf numFmtId="0" fontId="7" fillId="12" borderId="3" xfId="0" applyFont="1" applyFill="1" applyBorder="1" applyAlignment="1"/>
    <xf numFmtId="0" fontId="16" fillId="0" borderId="0" xfId="0" applyFont="1" applyAlignment="1"/>
    <xf numFmtId="38" fontId="7" fillId="0" borderId="5" xfId="0" applyNumberFormat="1" applyFont="1" applyBorder="1" applyAlignment="1"/>
    <xf numFmtId="0" fontId="7" fillId="12" borderId="5" xfId="0" applyFont="1" applyFill="1" applyBorder="1" applyAlignment="1"/>
    <xf numFmtId="0" fontId="8" fillId="13" borderId="0" xfId="0" applyFont="1" applyFill="1" applyAlignment="1"/>
    <xf numFmtId="0" fontId="17" fillId="0" borderId="0" xfId="0" applyFont="1" applyAlignment="1"/>
    <xf numFmtId="0" fontId="8" fillId="14" borderId="5" xfId="0" applyFont="1" applyFill="1" applyBorder="1" applyAlignment="1">
      <alignment horizontal="right"/>
    </xf>
    <xf numFmtId="0" fontId="7" fillId="12" borderId="5" xfId="0" applyFont="1" applyFill="1" applyBorder="1"/>
    <xf numFmtId="0" fontId="8" fillId="0" borderId="5" xfId="0" applyFont="1" applyBorder="1" applyAlignment="1"/>
    <xf numFmtId="0" fontId="7" fillId="0" borderId="6" xfId="0" applyFont="1" applyBorder="1" applyAlignment="1"/>
    <xf numFmtId="0" fontId="7" fillId="12" borderId="6" xfId="0" applyFont="1" applyFill="1" applyBorder="1"/>
  </cellXfs>
  <cellStyles count="1">
    <cellStyle name="標準" xfId="0" builtinId="0"/>
  </cellStyles>
  <dxfs count="5">
    <dxf>
      <fill>
        <patternFill patternType="solid">
          <fgColor rgb="FFFFF2CC"/>
          <bgColor rgb="FFFFF2CC"/>
        </patternFill>
      </fill>
    </dxf>
    <dxf>
      <fill>
        <patternFill patternType="solid">
          <fgColor rgb="FFFFF2CC"/>
          <bgColor rgb="FFFFF2CC"/>
        </patternFill>
      </fill>
    </dxf>
    <dxf>
      <fill>
        <patternFill patternType="solid">
          <fgColor rgb="FFFFFF00"/>
          <bgColor rgb="FFFFFF00"/>
        </patternFill>
      </fill>
    </dxf>
    <dxf>
      <fill>
        <patternFill patternType="solid">
          <fgColor rgb="FFFFFF00"/>
          <bgColor rgb="FFFFFF00"/>
        </patternFill>
      </fill>
    </dxf>
    <dxf>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cWssYxATByXnyyr36UAZFbgMLUbWh7qVnHtcu129_4Y/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T2381"/>
  <sheetViews>
    <sheetView showGridLines="0" topLeftCell="B1" zoomScale="162" workbookViewId="0">
      <pane ySplit="6" topLeftCell="A2259" activePane="bottomLeft" state="frozen"/>
      <selection pane="bottomLeft" activeCell="B6" sqref="B6:H2277"/>
    </sheetView>
  </sheetViews>
  <sheetFormatPr baseColWidth="10" defaultColWidth="14.5" defaultRowHeight="15.75" customHeight="1"/>
  <cols>
    <col min="1" max="2" width="14.5" style="86"/>
    <col min="3" max="3" width="50.1640625" style="86" customWidth="1"/>
    <col min="4" max="16384" width="14.5" style="86"/>
  </cols>
  <sheetData>
    <row r="1" spans="1:20" ht="16">
      <c r="E1" s="87"/>
      <c r="N1" s="88" t="s">
        <v>1</v>
      </c>
      <c r="O1" s="88" t="s">
        <v>3</v>
      </c>
      <c r="P1" s="88" t="s">
        <v>4</v>
      </c>
      <c r="Q1" s="88" t="s">
        <v>5</v>
      </c>
      <c r="R1" s="88" t="s">
        <v>6</v>
      </c>
      <c r="S1" s="88" t="s">
        <v>7</v>
      </c>
      <c r="T1" s="88" t="s">
        <v>8</v>
      </c>
    </row>
    <row r="2" spans="1:20" ht="16">
      <c r="B2" s="89" t="s">
        <v>9</v>
      </c>
      <c r="C2" s="90"/>
      <c r="D2" s="91" t="s">
        <v>10</v>
      </c>
      <c r="E2" s="92"/>
      <c r="F2" s="90"/>
    </row>
    <row r="3" spans="1:20" ht="16">
      <c r="B3" s="89" t="s">
        <v>21</v>
      </c>
      <c r="C3" s="90"/>
      <c r="D3" s="90"/>
      <c r="E3" s="92"/>
      <c r="F3" s="90"/>
    </row>
    <row r="4" spans="1:20" ht="16">
      <c r="B4" s="89" t="s">
        <v>22</v>
      </c>
      <c r="C4" s="90"/>
      <c r="D4" s="90"/>
      <c r="E4" s="92"/>
      <c r="F4" s="90"/>
    </row>
    <row r="5" spans="1:20" ht="16">
      <c r="E5" s="93" t="s">
        <v>23</v>
      </c>
      <c r="H5" s="94" t="s">
        <v>25</v>
      </c>
    </row>
    <row r="6" spans="1:20" ht="14.25" customHeight="1">
      <c r="A6" s="95" t="s">
        <v>26</v>
      </c>
      <c r="B6" s="96" t="s">
        <v>13</v>
      </c>
      <c r="C6" s="96" t="s">
        <v>14</v>
      </c>
      <c r="D6" s="96" t="s">
        <v>27</v>
      </c>
      <c r="E6" s="97" t="s">
        <v>28</v>
      </c>
      <c r="F6" s="98" t="s">
        <v>30</v>
      </c>
      <c r="G6" s="98" t="s">
        <v>33</v>
      </c>
      <c r="H6" s="98" t="s">
        <v>35</v>
      </c>
      <c r="I6" s="96" t="s">
        <v>37</v>
      </c>
      <c r="J6" s="96" t="s">
        <v>38</v>
      </c>
      <c r="K6" s="99" t="s">
        <v>39</v>
      </c>
      <c r="L6" s="100" t="s">
        <v>42</v>
      </c>
    </row>
    <row r="7" spans="1:20" ht="16">
      <c r="A7" s="101" t="str">
        <f t="shared" ref="A7:A1466" si="0">IF(B7="","-",IF(COUNTA(B7:H7)=7,"OK","未記入あり"))</f>
        <v>OK</v>
      </c>
      <c r="B7" s="102">
        <v>127445</v>
      </c>
      <c r="C7" s="102" t="s">
        <v>47</v>
      </c>
      <c r="D7" s="102" t="s">
        <v>7</v>
      </c>
      <c r="E7" s="103">
        <v>7.4999999999999997E-2</v>
      </c>
      <c r="F7" s="104">
        <v>74</v>
      </c>
      <c r="G7" s="105">
        <v>43891</v>
      </c>
      <c r="H7" s="45">
        <v>230</v>
      </c>
      <c r="I7" s="102" t="str">
        <f t="array" aca="1" ref="I7:I2381" ca="1">IFERROR(VLOOKUP($B7:$B2381,Sのみ物件数_Data!$B:$D,3,FALSE),"退会済")</f>
        <v>小川 純</v>
      </c>
      <c r="J7" s="106" t="s">
        <v>49</v>
      </c>
      <c r="K7" s="102" t="s">
        <v>50</v>
      </c>
      <c r="L7" s="100" t="s">
        <v>51</v>
      </c>
      <c r="M7" s="107" t="s">
        <v>52</v>
      </c>
      <c r="N7" s="100" t="s">
        <v>53</v>
      </c>
    </row>
    <row r="8" spans="1:20" ht="16">
      <c r="A8" s="101" t="str">
        <f t="shared" si="0"/>
        <v>OK</v>
      </c>
      <c r="B8" s="49">
        <v>127446</v>
      </c>
      <c r="C8" s="49" t="s">
        <v>54</v>
      </c>
      <c r="D8" s="49" t="s">
        <v>7</v>
      </c>
      <c r="E8" s="50">
        <v>7.4999999999999997E-2</v>
      </c>
      <c r="F8" s="108">
        <v>0</v>
      </c>
      <c r="G8" s="51">
        <v>43891</v>
      </c>
      <c r="H8" s="46">
        <v>77</v>
      </c>
      <c r="I8" s="49" t="str">
        <f ca="1"/>
        <v>小川 純</v>
      </c>
      <c r="J8" s="109" t="s">
        <v>49</v>
      </c>
      <c r="K8" s="49" t="s">
        <v>50</v>
      </c>
      <c r="L8" s="100" t="s">
        <v>51</v>
      </c>
      <c r="M8" s="107" t="s">
        <v>52</v>
      </c>
      <c r="N8" s="100" t="s">
        <v>53</v>
      </c>
    </row>
    <row r="9" spans="1:20" ht="16">
      <c r="A9" s="101" t="str">
        <f t="shared" si="0"/>
        <v>OK</v>
      </c>
      <c r="B9" s="49">
        <v>127448</v>
      </c>
      <c r="C9" s="49" t="s">
        <v>63</v>
      </c>
      <c r="D9" s="49" t="s">
        <v>7</v>
      </c>
      <c r="E9" s="50">
        <v>7.4999999999999997E-2</v>
      </c>
      <c r="F9" s="108">
        <v>33</v>
      </c>
      <c r="G9" s="51">
        <v>43891</v>
      </c>
      <c r="H9" s="46">
        <v>330</v>
      </c>
      <c r="I9" s="49" t="str">
        <f ca="1"/>
        <v>小川 純</v>
      </c>
      <c r="J9" s="109" t="s">
        <v>49</v>
      </c>
      <c r="K9" s="49" t="s">
        <v>50</v>
      </c>
      <c r="L9" s="100" t="s">
        <v>51</v>
      </c>
      <c r="M9" s="107" t="s">
        <v>52</v>
      </c>
      <c r="N9" s="100" t="s">
        <v>53</v>
      </c>
    </row>
    <row r="10" spans="1:20" ht="16">
      <c r="A10" s="101" t="str">
        <f t="shared" si="0"/>
        <v>OK</v>
      </c>
      <c r="B10" s="49">
        <v>127451</v>
      </c>
      <c r="C10" s="49" t="s">
        <v>67</v>
      </c>
      <c r="D10" s="49" t="s">
        <v>7</v>
      </c>
      <c r="E10" s="50">
        <v>7.4999999999999997E-2</v>
      </c>
      <c r="F10" s="108">
        <v>1</v>
      </c>
      <c r="G10" s="51">
        <v>43891</v>
      </c>
      <c r="H10" s="46">
        <v>500</v>
      </c>
      <c r="I10" s="49" t="str">
        <f ca="1"/>
        <v>小川 純</v>
      </c>
      <c r="J10" s="109" t="s">
        <v>49</v>
      </c>
      <c r="K10" s="49" t="s">
        <v>50</v>
      </c>
      <c r="L10" s="100" t="s">
        <v>51</v>
      </c>
      <c r="M10" s="107" t="s">
        <v>52</v>
      </c>
      <c r="N10" s="100" t="s">
        <v>53</v>
      </c>
    </row>
    <row r="11" spans="1:20" ht="16">
      <c r="A11" s="101" t="str">
        <f t="shared" si="0"/>
        <v>OK</v>
      </c>
      <c r="B11" s="49">
        <v>127452</v>
      </c>
      <c r="C11" s="49" t="s">
        <v>71</v>
      </c>
      <c r="D11" s="49" t="s">
        <v>7</v>
      </c>
      <c r="E11" s="50">
        <v>7.4999999999999997E-2</v>
      </c>
      <c r="F11" s="108">
        <v>27</v>
      </c>
      <c r="G11" s="51">
        <v>43891</v>
      </c>
      <c r="H11" s="46">
        <v>350</v>
      </c>
      <c r="I11" s="49" t="str">
        <f ca="1"/>
        <v>小川 純</v>
      </c>
      <c r="J11" s="109" t="s">
        <v>49</v>
      </c>
      <c r="K11" s="49" t="s">
        <v>50</v>
      </c>
      <c r="L11" s="100" t="s">
        <v>51</v>
      </c>
      <c r="M11" s="107" t="s">
        <v>52</v>
      </c>
      <c r="N11" s="100" t="s">
        <v>53</v>
      </c>
    </row>
    <row r="12" spans="1:20" ht="16">
      <c r="A12" s="101" t="str">
        <f t="shared" si="0"/>
        <v>OK</v>
      </c>
      <c r="B12" s="49">
        <v>127453</v>
      </c>
      <c r="C12" s="49" t="s">
        <v>75</v>
      </c>
      <c r="D12" s="49" t="s">
        <v>7</v>
      </c>
      <c r="E12" s="50">
        <v>7.4999999999999997E-2</v>
      </c>
      <c r="F12" s="108">
        <v>7</v>
      </c>
      <c r="G12" s="51">
        <v>43891</v>
      </c>
      <c r="H12" s="46">
        <v>200</v>
      </c>
      <c r="I12" s="49" t="str">
        <f ca="1"/>
        <v>小川 純</v>
      </c>
      <c r="J12" s="109" t="s">
        <v>49</v>
      </c>
      <c r="K12" s="49" t="s">
        <v>50</v>
      </c>
      <c r="L12" s="100" t="s">
        <v>51</v>
      </c>
      <c r="M12" s="107" t="s">
        <v>52</v>
      </c>
      <c r="N12" s="100" t="s">
        <v>53</v>
      </c>
    </row>
    <row r="13" spans="1:20" ht="16">
      <c r="A13" s="101" t="str">
        <f t="shared" si="0"/>
        <v>OK</v>
      </c>
      <c r="B13" s="49">
        <v>127454</v>
      </c>
      <c r="C13" s="49" t="s">
        <v>79</v>
      </c>
      <c r="D13" s="49" t="s">
        <v>7</v>
      </c>
      <c r="E13" s="50">
        <v>7.4999999999999997E-2</v>
      </c>
      <c r="F13" s="108">
        <v>9</v>
      </c>
      <c r="G13" s="51">
        <v>43891</v>
      </c>
      <c r="H13" s="46" t="s">
        <v>83</v>
      </c>
      <c r="I13" s="49" t="str">
        <f ca="1"/>
        <v>退会済</v>
      </c>
      <c r="J13" s="109" t="s">
        <v>49</v>
      </c>
      <c r="K13" s="49" t="s">
        <v>50</v>
      </c>
      <c r="L13" s="100" t="s">
        <v>51</v>
      </c>
      <c r="M13" s="107" t="s">
        <v>52</v>
      </c>
      <c r="N13" s="100" t="s">
        <v>53</v>
      </c>
    </row>
    <row r="14" spans="1:20" ht="16">
      <c r="A14" s="101" t="str">
        <f t="shared" si="0"/>
        <v>OK</v>
      </c>
      <c r="B14" s="49">
        <v>127455</v>
      </c>
      <c r="C14" s="49" t="s">
        <v>85</v>
      </c>
      <c r="D14" s="49" t="s">
        <v>7</v>
      </c>
      <c r="E14" s="50">
        <v>7.4999999999999997E-2</v>
      </c>
      <c r="F14" s="108">
        <v>5</v>
      </c>
      <c r="G14" s="51">
        <v>43891</v>
      </c>
      <c r="H14" s="46">
        <v>190</v>
      </c>
      <c r="I14" s="49" t="str">
        <f ca="1"/>
        <v>小川 純</v>
      </c>
      <c r="J14" s="109" t="s">
        <v>49</v>
      </c>
      <c r="K14" s="49" t="s">
        <v>50</v>
      </c>
      <c r="L14" s="100" t="s">
        <v>51</v>
      </c>
      <c r="M14" s="107" t="s">
        <v>52</v>
      </c>
      <c r="N14" s="100" t="s">
        <v>53</v>
      </c>
    </row>
    <row r="15" spans="1:20" ht="16">
      <c r="A15" s="101" t="str">
        <f t="shared" si="0"/>
        <v>OK</v>
      </c>
      <c r="B15" s="49">
        <v>110054</v>
      </c>
      <c r="C15" s="49" t="s">
        <v>87</v>
      </c>
      <c r="D15" s="49" t="s">
        <v>7</v>
      </c>
      <c r="E15" s="50">
        <v>0.115</v>
      </c>
      <c r="F15" s="108">
        <v>180</v>
      </c>
      <c r="G15" s="51">
        <v>43922</v>
      </c>
      <c r="H15" s="46">
        <v>3908</v>
      </c>
      <c r="I15" s="49" t="str">
        <f ca="1"/>
        <v>芳賀 亮輔</v>
      </c>
      <c r="J15" s="109" t="s">
        <v>89</v>
      </c>
      <c r="K15" s="49" t="s">
        <v>50</v>
      </c>
      <c r="L15" s="100" t="s">
        <v>51</v>
      </c>
      <c r="M15" s="107" t="s">
        <v>52</v>
      </c>
    </row>
    <row r="16" spans="1:20" ht="16">
      <c r="A16" s="101" t="str">
        <f t="shared" si="0"/>
        <v>OK</v>
      </c>
      <c r="B16" s="49">
        <v>110292</v>
      </c>
      <c r="C16" s="49" t="s">
        <v>91</v>
      </c>
      <c r="D16" s="49" t="s">
        <v>7</v>
      </c>
      <c r="E16" s="50">
        <v>0.105</v>
      </c>
      <c r="F16" s="108">
        <v>38</v>
      </c>
      <c r="G16" s="51">
        <v>43922</v>
      </c>
      <c r="H16" s="46">
        <v>1756</v>
      </c>
      <c r="I16" s="49" t="str">
        <f ca="1"/>
        <v>退会済</v>
      </c>
      <c r="J16" s="109" t="s">
        <v>89</v>
      </c>
      <c r="K16" s="49" t="s">
        <v>50</v>
      </c>
      <c r="L16" s="100" t="s">
        <v>51</v>
      </c>
      <c r="M16" s="107" t="s">
        <v>52</v>
      </c>
    </row>
    <row r="17" spans="1:13" ht="16">
      <c r="A17" s="101" t="str">
        <f t="shared" si="0"/>
        <v>未記入あり</v>
      </c>
      <c r="B17" s="49">
        <v>112587</v>
      </c>
      <c r="C17" s="49" t="s">
        <v>95</v>
      </c>
      <c r="D17" s="49" t="s">
        <v>7</v>
      </c>
      <c r="E17" s="50">
        <v>0.105</v>
      </c>
      <c r="F17" s="108">
        <v>135</v>
      </c>
      <c r="G17" s="51">
        <v>43922</v>
      </c>
      <c r="H17" s="46"/>
      <c r="I17" s="49" t="str">
        <f ca="1"/>
        <v>退会済</v>
      </c>
      <c r="J17" s="109" t="s">
        <v>89</v>
      </c>
      <c r="K17" s="49" t="s">
        <v>50</v>
      </c>
      <c r="L17" s="100" t="s">
        <v>51</v>
      </c>
      <c r="M17" s="107" t="s">
        <v>52</v>
      </c>
    </row>
    <row r="18" spans="1:13" ht="16">
      <c r="A18" s="101" t="str">
        <f t="shared" si="0"/>
        <v>OK</v>
      </c>
      <c r="B18" s="49">
        <v>114018</v>
      </c>
      <c r="C18" s="49" t="s">
        <v>97</v>
      </c>
      <c r="D18" s="49" t="s">
        <v>7</v>
      </c>
      <c r="E18" s="50">
        <v>0.105</v>
      </c>
      <c r="F18" s="108">
        <v>64</v>
      </c>
      <c r="G18" s="51">
        <v>43922</v>
      </c>
      <c r="H18" s="46">
        <v>1342</v>
      </c>
      <c r="I18" s="49" t="str">
        <f ca="1"/>
        <v>芳賀 亮輔</v>
      </c>
      <c r="J18" s="109" t="s">
        <v>89</v>
      </c>
      <c r="K18" s="49" t="s">
        <v>50</v>
      </c>
      <c r="L18" s="100" t="s">
        <v>51</v>
      </c>
      <c r="M18" s="107" t="s">
        <v>52</v>
      </c>
    </row>
    <row r="19" spans="1:13" ht="16">
      <c r="A19" s="101" t="str">
        <f t="shared" si="0"/>
        <v>OK</v>
      </c>
      <c r="B19" s="49">
        <v>117133</v>
      </c>
      <c r="C19" s="49" t="s">
        <v>102</v>
      </c>
      <c r="D19" s="49" t="s">
        <v>7</v>
      </c>
      <c r="E19" s="50">
        <v>0.105</v>
      </c>
      <c r="F19" s="108">
        <v>11</v>
      </c>
      <c r="G19" s="51">
        <v>43922</v>
      </c>
      <c r="H19" s="46">
        <v>1962</v>
      </c>
      <c r="I19" s="49" t="str">
        <f ca="1"/>
        <v>退会済</v>
      </c>
      <c r="J19" s="109" t="s">
        <v>89</v>
      </c>
      <c r="K19" s="49" t="s">
        <v>50</v>
      </c>
      <c r="L19" s="100" t="s">
        <v>51</v>
      </c>
      <c r="M19" s="107" t="s">
        <v>52</v>
      </c>
    </row>
    <row r="20" spans="1:13" ht="16">
      <c r="A20" s="101" t="str">
        <f t="shared" si="0"/>
        <v>OK</v>
      </c>
      <c r="B20" s="49">
        <v>118007</v>
      </c>
      <c r="C20" s="49" t="s">
        <v>104</v>
      </c>
      <c r="D20" s="49" t="s">
        <v>7</v>
      </c>
      <c r="E20" s="50">
        <v>0.105</v>
      </c>
      <c r="F20" s="108">
        <v>47</v>
      </c>
      <c r="G20" s="51">
        <v>43922</v>
      </c>
      <c r="H20" s="46">
        <v>2073</v>
      </c>
      <c r="I20" s="49" t="str">
        <f ca="1"/>
        <v>芳賀 亮輔</v>
      </c>
      <c r="J20" s="109" t="s">
        <v>89</v>
      </c>
      <c r="K20" s="49" t="s">
        <v>50</v>
      </c>
      <c r="L20" s="100" t="s">
        <v>51</v>
      </c>
      <c r="M20" s="107" t="s">
        <v>52</v>
      </c>
    </row>
    <row r="21" spans="1:13" ht="16">
      <c r="A21" s="101" t="str">
        <f t="shared" si="0"/>
        <v>OK</v>
      </c>
      <c r="B21" s="49">
        <v>122248</v>
      </c>
      <c r="C21" s="49" t="s">
        <v>108</v>
      </c>
      <c r="D21" s="49" t="s">
        <v>7</v>
      </c>
      <c r="E21" s="50">
        <v>0.105</v>
      </c>
      <c r="F21" s="108">
        <v>42</v>
      </c>
      <c r="G21" s="51">
        <v>43922</v>
      </c>
      <c r="H21" s="46">
        <v>2950</v>
      </c>
      <c r="I21" s="49" t="str">
        <f ca="1"/>
        <v>芳賀 亮輔</v>
      </c>
      <c r="J21" s="109" t="s">
        <v>89</v>
      </c>
      <c r="K21" s="49" t="s">
        <v>50</v>
      </c>
      <c r="L21" s="100" t="s">
        <v>51</v>
      </c>
      <c r="M21" s="107" t="s">
        <v>52</v>
      </c>
    </row>
    <row r="22" spans="1:13" ht="16">
      <c r="A22" s="101" t="str">
        <f t="shared" si="0"/>
        <v>OK</v>
      </c>
      <c r="B22" s="49">
        <v>122277</v>
      </c>
      <c r="C22" s="49" t="s">
        <v>111</v>
      </c>
      <c r="D22" s="49" t="s">
        <v>7</v>
      </c>
      <c r="E22" s="50">
        <v>0.115</v>
      </c>
      <c r="F22" s="108">
        <v>119</v>
      </c>
      <c r="G22" s="51">
        <v>43922</v>
      </c>
      <c r="H22" s="46">
        <v>4692</v>
      </c>
      <c r="I22" s="49" t="str">
        <f ca="1"/>
        <v>芳賀 亮輔</v>
      </c>
      <c r="J22" s="109" t="s">
        <v>89</v>
      </c>
      <c r="K22" s="49" t="s">
        <v>50</v>
      </c>
      <c r="L22" s="100" t="s">
        <v>51</v>
      </c>
      <c r="M22" s="107" t="s">
        <v>52</v>
      </c>
    </row>
    <row r="23" spans="1:13" ht="16">
      <c r="A23" s="101" t="str">
        <f t="shared" si="0"/>
        <v>OK</v>
      </c>
      <c r="B23" s="49">
        <v>122421</v>
      </c>
      <c r="C23" s="49" t="s">
        <v>114</v>
      </c>
      <c r="D23" s="49" t="s">
        <v>7</v>
      </c>
      <c r="E23" s="50">
        <v>0.105</v>
      </c>
      <c r="F23" s="108">
        <v>46</v>
      </c>
      <c r="G23" s="51">
        <v>43922</v>
      </c>
      <c r="H23" s="46">
        <v>1377</v>
      </c>
      <c r="I23" s="49" t="str">
        <f ca="1"/>
        <v>芳賀 亮輔</v>
      </c>
      <c r="J23" s="109" t="s">
        <v>89</v>
      </c>
      <c r="K23" s="49" t="s">
        <v>50</v>
      </c>
      <c r="L23" s="100" t="s">
        <v>51</v>
      </c>
      <c r="M23" s="107" t="s">
        <v>52</v>
      </c>
    </row>
    <row r="24" spans="1:13" ht="16">
      <c r="A24" s="101" t="str">
        <f t="shared" si="0"/>
        <v>OK</v>
      </c>
      <c r="B24" s="49">
        <v>124927</v>
      </c>
      <c r="C24" s="49" t="s">
        <v>117</v>
      </c>
      <c r="D24" s="49" t="s">
        <v>7</v>
      </c>
      <c r="E24" s="50">
        <v>0.105</v>
      </c>
      <c r="F24" s="108">
        <v>32</v>
      </c>
      <c r="G24" s="51">
        <v>43922</v>
      </c>
      <c r="H24" s="46">
        <v>1345</v>
      </c>
      <c r="I24" s="49" t="str">
        <f ca="1"/>
        <v>芳賀 亮輔</v>
      </c>
      <c r="J24" s="109" t="s">
        <v>89</v>
      </c>
      <c r="K24" s="49" t="s">
        <v>50</v>
      </c>
      <c r="L24" s="100" t="s">
        <v>51</v>
      </c>
      <c r="M24" s="107" t="s">
        <v>52</v>
      </c>
    </row>
    <row r="25" spans="1:13" ht="16">
      <c r="A25" s="101" t="str">
        <f t="shared" si="0"/>
        <v>OK</v>
      </c>
      <c r="B25" s="49">
        <v>125016</v>
      </c>
      <c r="C25" s="49" t="s">
        <v>120</v>
      </c>
      <c r="D25" s="49" t="s">
        <v>7</v>
      </c>
      <c r="E25" s="50">
        <v>0.105</v>
      </c>
      <c r="F25" s="108">
        <v>64</v>
      </c>
      <c r="G25" s="51">
        <v>43922</v>
      </c>
      <c r="H25" s="46" t="s">
        <v>50</v>
      </c>
      <c r="I25" s="49" t="str">
        <f ca="1"/>
        <v>退会済</v>
      </c>
      <c r="J25" s="109" t="s">
        <v>89</v>
      </c>
      <c r="K25" s="49" t="s">
        <v>50</v>
      </c>
      <c r="L25" s="100" t="s">
        <v>51</v>
      </c>
      <c r="M25" s="107" t="s">
        <v>52</v>
      </c>
    </row>
    <row r="26" spans="1:13" ht="16">
      <c r="A26" s="101" t="str">
        <f t="shared" si="0"/>
        <v>OK</v>
      </c>
      <c r="B26" s="49">
        <v>125686</v>
      </c>
      <c r="C26" s="49" t="s">
        <v>123</v>
      </c>
      <c r="D26" s="49" t="s">
        <v>7</v>
      </c>
      <c r="E26" s="50">
        <v>0.105</v>
      </c>
      <c r="F26" s="108">
        <v>46</v>
      </c>
      <c r="G26" s="51">
        <v>43922</v>
      </c>
      <c r="H26" s="46">
        <v>441</v>
      </c>
      <c r="I26" s="49" t="str">
        <f ca="1"/>
        <v>芳賀 亮輔</v>
      </c>
      <c r="J26" s="109" t="s">
        <v>89</v>
      </c>
      <c r="K26" s="49" t="s">
        <v>50</v>
      </c>
      <c r="L26" s="100" t="s">
        <v>51</v>
      </c>
      <c r="M26" s="107" t="s">
        <v>52</v>
      </c>
    </row>
    <row r="27" spans="1:13" ht="16">
      <c r="A27" s="101" t="str">
        <f t="shared" si="0"/>
        <v>OK</v>
      </c>
      <c r="B27" s="49">
        <v>125720</v>
      </c>
      <c r="C27" s="49" t="s">
        <v>126</v>
      </c>
      <c r="D27" s="49" t="s">
        <v>7</v>
      </c>
      <c r="E27" s="50">
        <v>0.105</v>
      </c>
      <c r="F27" s="108">
        <v>28</v>
      </c>
      <c r="G27" s="51">
        <v>43922</v>
      </c>
      <c r="H27" s="46" t="s">
        <v>50</v>
      </c>
      <c r="I27" s="49" t="str">
        <f ca="1"/>
        <v>退会済</v>
      </c>
      <c r="J27" s="109" t="s">
        <v>89</v>
      </c>
      <c r="K27" s="49" t="s">
        <v>50</v>
      </c>
      <c r="L27" s="100" t="s">
        <v>51</v>
      </c>
      <c r="M27" s="107" t="s">
        <v>52</v>
      </c>
    </row>
    <row r="28" spans="1:13" ht="16">
      <c r="A28" s="101" t="str">
        <f t="shared" si="0"/>
        <v>OK</v>
      </c>
      <c r="B28" s="49">
        <v>128464</v>
      </c>
      <c r="C28" s="49" t="s">
        <v>131</v>
      </c>
      <c r="D28" s="49" t="s">
        <v>7</v>
      </c>
      <c r="E28" s="50">
        <v>0.105</v>
      </c>
      <c r="F28" s="108">
        <v>54</v>
      </c>
      <c r="G28" s="51">
        <v>43922</v>
      </c>
      <c r="H28" s="46" t="s">
        <v>50</v>
      </c>
      <c r="I28" s="49" t="str">
        <f ca="1"/>
        <v>退会済</v>
      </c>
      <c r="J28" s="109" t="s">
        <v>89</v>
      </c>
      <c r="K28" s="49" t="s">
        <v>50</v>
      </c>
      <c r="L28" s="100" t="s">
        <v>51</v>
      </c>
      <c r="M28" s="107" t="s">
        <v>52</v>
      </c>
    </row>
    <row r="29" spans="1:13" ht="16">
      <c r="A29" s="101" t="str">
        <f t="shared" si="0"/>
        <v>OK</v>
      </c>
      <c r="B29" s="49">
        <v>129135</v>
      </c>
      <c r="C29" s="49" t="s">
        <v>133</v>
      </c>
      <c r="D29" s="49" t="s">
        <v>7</v>
      </c>
      <c r="E29" s="50">
        <v>0.105</v>
      </c>
      <c r="F29" s="108">
        <v>57</v>
      </c>
      <c r="G29" s="51">
        <v>43922</v>
      </c>
      <c r="H29" s="46">
        <v>3442</v>
      </c>
      <c r="I29" s="49" t="str">
        <f ca="1"/>
        <v>芳賀 亮輔</v>
      </c>
      <c r="J29" s="109" t="s">
        <v>89</v>
      </c>
      <c r="K29" s="49" t="s">
        <v>50</v>
      </c>
      <c r="L29" s="100" t="s">
        <v>51</v>
      </c>
      <c r="M29" s="107" t="s">
        <v>52</v>
      </c>
    </row>
    <row r="30" spans="1:13" ht="16">
      <c r="A30" s="101" t="str">
        <f t="shared" si="0"/>
        <v>OK</v>
      </c>
      <c r="B30" s="49">
        <v>129562</v>
      </c>
      <c r="C30" s="49" t="s">
        <v>135</v>
      </c>
      <c r="D30" s="49" t="s">
        <v>7</v>
      </c>
      <c r="E30" s="50">
        <v>0.105</v>
      </c>
      <c r="F30" s="108">
        <v>49</v>
      </c>
      <c r="G30" s="51">
        <v>43922</v>
      </c>
      <c r="H30" s="46">
        <v>3035</v>
      </c>
      <c r="I30" s="49" t="str">
        <f ca="1"/>
        <v>芳賀 亮輔</v>
      </c>
      <c r="J30" s="109" t="s">
        <v>89</v>
      </c>
      <c r="K30" s="49" t="s">
        <v>50</v>
      </c>
      <c r="L30" s="100" t="s">
        <v>51</v>
      </c>
      <c r="M30" s="107" t="s">
        <v>52</v>
      </c>
    </row>
    <row r="31" spans="1:13" ht="16">
      <c r="A31" s="101" t="str">
        <f t="shared" si="0"/>
        <v>OK</v>
      </c>
      <c r="B31" s="49">
        <v>129993</v>
      </c>
      <c r="C31" s="49" t="s">
        <v>138</v>
      </c>
      <c r="D31" s="49" t="s">
        <v>7</v>
      </c>
      <c r="E31" s="50">
        <v>0.105</v>
      </c>
      <c r="F31" s="108">
        <v>27</v>
      </c>
      <c r="G31" s="51">
        <v>43922</v>
      </c>
      <c r="H31" s="46">
        <v>1259</v>
      </c>
      <c r="I31" s="49" t="str">
        <f ca="1"/>
        <v>退会済</v>
      </c>
      <c r="J31" s="109" t="s">
        <v>89</v>
      </c>
      <c r="K31" s="49" t="s">
        <v>50</v>
      </c>
      <c r="L31" s="100" t="s">
        <v>51</v>
      </c>
      <c r="M31" s="107" t="s">
        <v>52</v>
      </c>
    </row>
    <row r="32" spans="1:13" ht="16">
      <c r="A32" s="101" t="str">
        <f t="shared" si="0"/>
        <v>OK</v>
      </c>
      <c r="B32" s="49">
        <v>130002</v>
      </c>
      <c r="C32" s="49" t="s">
        <v>140</v>
      </c>
      <c r="D32" s="49" t="s">
        <v>7</v>
      </c>
      <c r="E32" s="50">
        <v>0.105</v>
      </c>
      <c r="F32" s="108">
        <v>54</v>
      </c>
      <c r="G32" s="51">
        <v>43922</v>
      </c>
      <c r="H32" s="46">
        <v>2570</v>
      </c>
      <c r="I32" s="49" t="str">
        <f ca="1"/>
        <v>芳賀 亮輔</v>
      </c>
      <c r="J32" s="109" t="s">
        <v>89</v>
      </c>
      <c r="K32" s="49" t="s">
        <v>50</v>
      </c>
      <c r="L32" s="100" t="s">
        <v>51</v>
      </c>
      <c r="M32" s="107" t="s">
        <v>52</v>
      </c>
    </row>
    <row r="33" spans="1:14" ht="16">
      <c r="A33" s="101" t="str">
        <f t="shared" si="0"/>
        <v>OK</v>
      </c>
      <c r="B33" s="49">
        <v>130004</v>
      </c>
      <c r="C33" s="49" t="s">
        <v>143</v>
      </c>
      <c r="D33" s="49" t="s">
        <v>7</v>
      </c>
      <c r="E33" s="50">
        <v>0.105</v>
      </c>
      <c r="F33" s="108">
        <v>35</v>
      </c>
      <c r="G33" s="51">
        <v>43922</v>
      </c>
      <c r="H33" s="46">
        <v>734</v>
      </c>
      <c r="I33" s="49" t="str">
        <f ca="1"/>
        <v>芳賀 亮輔</v>
      </c>
      <c r="J33" s="109" t="s">
        <v>89</v>
      </c>
      <c r="K33" s="49" t="s">
        <v>50</v>
      </c>
      <c r="L33" s="100" t="s">
        <v>51</v>
      </c>
      <c r="M33" s="107" t="s">
        <v>52</v>
      </c>
    </row>
    <row r="34" spans="1:14" ht="16">
      <c r="A34" s="101" t="str">
        <f t="shared" si="0"/>
        <v>OK</v>
      </c>
      <c r="B34" s="49">
        <v>140544</v>
      </c>
      <c r="C34" s="49" t="s">
        <v>146</v>
      </c>
      <c r="D34" s="49" t="s">
        <v>7</v>
      </c>
      <c r="E34" s="50">
        <v>6.3E-2</v>
      </c>
      <c r="F34" s="108">
        <v>78</v>
      </c>
      <c r="G34" s="51">
        <v>43831</v>
      </c>
      <c r="H34" s="46">
        <v>220</v>
      </c>
      <c r="I34" s="49" t="str">
        <f ca="1"/>
        <v>小川 純</v>
      </c>
      <c r="J34" s="109" t="s">
        <v>49</v>
      </c>
      <c r="K34" s="49" t="s">
        <v>50</v>
      </c>
      <c r="L34" s="100" t="s">
        <v>51</v>
      </c>
      <c r="M34" s="107" t="s">
        <v>52</v>
      </c>
      <c r="N34" s="100" t="s">
        <v>154</v>
      </c>
    </row>
    <row r="35" spans="1:14" ht="16">
      <c r="A35" s="101" t="str">
        <f t="shared" si="0"/>
        <v>OK</v>
      </c>
      <c r="B35" s="49">
        <v>140545</v>
      </c>
      <c r="C35" s="49" t="s">
        <v>156</v>
      </c>
      <c r="D35" s="49" t="s">
        <v>7</v>
      </c>
      <c r="E35" s="50">
        <v>6.3E-2</v>
      </c>
      <c r="F35" s="108">
        <v>81</v>
      </c>
      <c r="G35" s="51">
        <v>43831</v>
      </c>
      <c r="H35" s="46">
        <v>150</v>
      </c>
      <c r="I35" s="49" t="str">
        <f ca="1"/>
        <v>小川 純</v>
      </c>
      <c r="J35" s="109" t="s">
        <v>49</v>
      </c>
      <c r="K35" s="49" t="s">
        <v>50</v>
      </c>
      <c r="L35" s="100" t="s">
        <v>51</v>
      </c>
      <c r="M35" s="107" t="s">
        <v>52</v>
      </c>
      <c r="N35" s="100" t="s">
        <v>154</v>
      </c>
    </row>
    <row r="36" spans="1:14" ht="16">
      <c r="A36" s="101" t="str">
        <f t="shared" si="0"/>
        <v>OK</v>
      </c>
      <c r="B36" s="49">
        <v>140546</v>
      </c>
      <c r="C36" s="49" t="s">
        <v>161</v>
      </c>
      <c r="D36" s="49" t="s">
        <v>7</v>
      </c>
      <c r="E36" s="50">
        <v>6.3E-2</v>
      </c>
      <c r="F36" s="108">
        <v>10</v>
      </c>
      <c r="G36" s="51">
        <v>43831</v>
      </c>
      <c r="H36" s="46">
        <v>190</v>
      </c>
      <c r="I36" s="49" t="str">
        <f ca="1"/>
        <v>小川 純</v>
      </c>
      <c r="J36" s="109" t="s">
        <v>49</v>
      </c>
      <c r="K36" s="49" t="s">
        <v>50</v>
      </c>
      <c r="L36" s="100" t="s">
        <v>51</v>
      </c>
      <c r="M36" s="107" t="s">
        <v>52</v>
      </c>
      <c r="N36" s="100" t="s">
        <v>154</v>
      </c>
    </row>
    <row r="37" spans="1:14" ht="16">
      <c r="A37" s="101" t="str">
        <f t="shared" si="0"/>
        <v>OK</v>
      </c>
      <c r="B37" s="49">
        <v>140547</v>
      </c>
      <c r="C37" s="49" t="s">
        <v>164</v>
      </c>
      <c r="D37" s="49" t="s">
        <v>7</v>
      </c>
      <c r="E37" s="50">
        <v>6.3E-2</v>
      </c>
      <c r="F37" s="108">
        <v>27</v>
      </c>
      <c r="G37" s="51">
        <v>43831</v>
      </c>
      <c r="H37" s="46">
        <v>100</v>
      </c>
      <c r="I37" s="49" t="str">
        <f ca="1"/>
        <v>小川 純</v>
      </c>
      <c r="J37" s="109" t="s">
        <v>49</v>
      </c>
      <c r="K37" s="49" t="s">
        <v>50</v>
      </c>
      <c r="L37" s="100" t="s">
        <v>51</v>
      </c>
      <c r="M37" s="107" t="s">
        <v>52</v>
      </c>
      <c r="N37" s="100" t="s">
        <v>154</v>
      </c>
    </row>
    <row r="38" spans="1:14" ht="16">
      <c r="A38" s="101" t="str">
        <f t="shared" si="0"/>
        <v>OK</v>
      </c>
      <c r="B38" s="49">
        <v>140548</v>
      </c>
      <c r="C38" s="49" t="s">
        <v>165</v>
      </c>
      <c r="D38" s="49" t="s">
        <v>7</v>
      </c>
      <c r="E38" s="50">
        <v>6.3E-2</v>
      </c>
      <c r="F38" s="108">
        <v>63</v>
      </c>
      <c r="G38" s="51">
        <v>43831</v>
      </c>
      <c r="H38" s="46">
        <v>190</v>
      </c>
      <c r="I38" s="49" t="str">
        <f ca="1"/>
        <v>小川 純</v>
      </c>
      <c r="J38" s="109" t="s">
        <v>49</v>
      </c>
      <c r="K38" s="49" t="s">
        <v>50</v>
      </c>
      <c r="L38" s="100" t="s">
        <v>51</v>
      </c>
      <c r="M38" s="107" t="s">
        <v>52</v>
      </c>
      <c r="N38" s="100" t="s">
        <v>154</v>
      </c>
    </row>
    <row r="39" spans="1:14" ht="16">
      <c r="A39" s="101" t="str">
        <f t="shared" si="0"/>
        <v>OK</v>
      </c>
      <c r="B39" s="49">
        <v>140549</v>
      </c>
      <c r="C39" s="49" t="s">
        <v>167</v>
      </c>
      <c r="D39" s="49" t="s">
        <v>7</v>
      </c>
      <c r="E39" s="50">
        <v>6.3E-2</v>
      </c>
      <c r="F39" s="108">
        <v>17</v>
      </c>
      <c r="G39" s="51">
        <v>43831</v>
      </c>
      <c r="H39" s="46">
        <v>100</v>
      </c>
      <c r="I39" s="49" t="str">
        <f ca="1"/>
        <v>小川 純</v>
      </c>
      <c r="J39" s="109" t="s">
        <v>49</v>
      </c>
      <c r="K39" s="49" t="s">
        <v>50</v>
      </c>
      <c r="L39" s="100" t="s">
        <v>51</v>
      </c>
      <c r="M39" s="107" t="s">
        <v>52</v>
      </c>
      <c r="N39" s="100" t="s">
        <v>154</v>
      </c>
    </row>
    <row r="40" spans="1:14" ht="16">
      <c r="A40" s="101" t="str">
        <f t="shared" si="0"/>
        <v>OK</v>
      </c>
      <c r="B40" s="49">
        <v>140550</v>
      </c>
      <c r="C40" s="49" t="s">
        <v>171</v>
      </c>
      <c r="D40" s="49" t="s">
        <v>7</v>
      </c>
      <c r="E40" s="50">
        <v>6.3E-2</v>
      </c>
      <c r="F40" s="108">
        <v>33</v>
      </c>
      <c r="G40" s="51">
        <v>43831</v>
      </c>
      <c r="H40" s="46">
        <v>100</v>
      </c>
      <c r="I40" s="49" t="str">
        <f ca="1"/>
        <v>小川 純</v>
      </c>
      <c r="J40" s="109" t="s">
        <v>49</v>
      </c>
      <c r="K40" s="49" t="s">
        <v>50</v>
      </c>
      <c r="L40" s="100" t="s">
        <v>51</v>
      </c>
      <c r="M40" s="107" t="s">
        <v>52</v>
      </c>
      <c r="N40" s="100" t="s">
        <v>154</v>
      </c>
    </row>
    <row r="41" spans="1:14" ht="16">
      <c r="A41" s="101" t="str">
        <f t="shared" si="0"/>
        <v>OK</v>
      </c>
      <c r="B41" s="49">
        <v>114284</v>
      </c>
      <c r="C41" s="49" t="s">
        <v>174</v>
      </c>
      <c r="D41" s="49" t="s">
        <v>7</v>
      </c>
      <c r="E41" s="50">
        <v>7.0000000000000007E-2</v>
      </c>
      <c r="F41" s="108">
        <v>81</v>
      </c>
      <c r="G41" s="51">
        <v>43831</v>
      </c>
      <c r="H41" s="46">
        <v>1932</v>
      </c>
      <c r="I41" s="49" t="str">
        <f ca="1"/>
        <v>松尾 尚樹</v>
      </c>
      <c r="J41" s="109" t="s">
        <v>175</v>
      </c>
      <c r="K41" s="49" t="s">
        <v>50</v>
      </c>
      <c r="L41" s="100" t="s">
        <v>51</v>
      </c>
      <c r="M41" s="107" t="s">
        <v>52</v>
      </c>
    </row>
    <row r="42" spans="1:14" ht="16">
      <c r="A42" s="101" t="str">
        <f t="shared" si="0"/>
        <v>OK</v>
      </c>
      <c r="B42" s="49">
        <v>115721</v>
      </c>
      <c r="C42" s="49" t="s">
        <v>177</v>
      </c>
      <c r="D42" s="49" t="s">
        <v>7</v>
      </c>
      <c r="E42" s="50">
        <v>7.0000000000000007E-2</v>
      </c>
      <c r="F42" s="108">
        <v>65</v>
      </c>
      <c r="G42" s="51">
        <v>43831</v>
      </c>
      <c r="H42" s="46">
        <v>2983</v>
      </c>
      <c r="I42" s="49" t="str">
        <f ca="1"/>
        <v>松尾 尚樹</v>
      </c>
      <c r="J42" s="109" t="s">
        <v>175</v>
      </c>
      <c r="K42" s="49" t="s">
        <v>50</v>
      </c>
      <c r="L42" s="100" t="s">
        <v>51</v>
      </c>
      <c r="M42" s="107" t="s">
        <v>52</v>
      </c>
    </row>
    <row r="43" spans="1:14" ht="16">
      <c r="A43" s="101" t="str">
        <f t="shared" si="0"/>
        <v>OK</v>
      </c>
      <c r="B43" s="49">
        <v>118070</v>
      </c>
      <c r="C43" s="49" t="s">
        <v>179</v>
      </c>
      <c r="D43" s="49" t="s">
        <v>7</v>
      </c>
      <c r="E43" s="50">
        <v>7.0000000000000007E-2</v>
      </c>
      <c r="F43" s="108">
        <v>127</v>
      </c>
      <c r="G43" s="51">
        <v>43831</v>
      </c>
      <c r="H43" s="46">
        <v>3000</v>
      </c>
      <c r="I43" s="49" t="str">
        <f ca="1"/>
        <v>松尾 尚樹</v>
      </c>
      <c r="J43" s="109" t="s">
        <v>175</v>
      </c>
      <c r="K43" s="49" t="s">
        <v>50</v>
      </c>
      <c r="L43" s="100" t="s">
        <v>51</v>
      </c>
      <c r="M43" s="107" t="s">
        <v>52</v>
      </c>
    </row>
    <row r="44" spans="1:14" ht="16">
      <c r="A44" s="101" t="str">
        <f t="shared" si="0"/>
        <v>OK</v>
      </c>
      <c r="B44" s="49">
        <v>119004</v>
      </c>
      <c r="C44" s="49" t="s">
        <v>181</v>
      </c>
      <c r="D44" s="49" t="s">
        <v>7</v>
      </c>
      <c r="E44" s="50">
        <v>7.0000000000000007E-2</v>
      </c>
      <c r="F44" s="108">
        <v>68</v>
      </c>
      <c r="G44" s="51">
        <v>43831</v>
      </c>
      <c r="H44" s="46">
        <v>2957</v>
      </c>
      <c r="I44" s="49" t="str">
        <f ca="1"/>
        <v>松尾 尚樹</v>
      </c>
      <c r="J44" s="109" t="s">
        <v>175</v>
      </c>
      <c r="K44" s="49" t="s">
        <v>50</v>
      </c>
      <c r="L44" s="100" t="s">
        <v>51</v>
      </c>
      <c r="M44" s="107" t="s">
        <v>52</v>
      </c>
    </row>
    <row r="45" spans="1:14" ht="16">
      <c r="A45" s="101" t="str">
        <f t="shared" si="0"/>
        <v>OK</v>
      </c>
      <c r="B45" s="49">
        <v>120439</v>
      </c>
      <c r="C45" s="49" t="s">
        <v>182</v>
      </c>
      <c r="D45" s="49" t="s">
        <v>7</v>
      </c>
      <c r="E45" s="50">
        <v>7.0000000000000007E-2</v>
      </c>
      <c r="F45" s="108">
        <v>91</v>
      </c>
      <c r="G45" s="51">
        <v>43831</v>
      </c>
      <c r="H45" s="46">
        <v>1920</v>
      </c>
      <c r="I45" s="49" t="str">
        <f ca="1"/>
        <v>松尾 尚樹</v>
      </c>
      <c r="J45" s="109" t="s">
        <v>175</v>
      </c>
      <c r="K45" s="49" t="s">
        <v>50</v>
      </c>
      <c r="L45" s="100" t="s">
        <v>51</v>
      </c>
      <c r="M45" s="107" t="s">
        <v>52</v>
      </c>
    </row>
    <row r="46" spans="1:14" ht="16">
      <c r="A46" s="101" t="str">
        <f t="shared" si="0"/>
        <v>未記入あり</v>
      </c>
      <c r="B46" s="49">
        <v>122485</v>
      </c>
      <c r="C46" s="49" t="s">
        <v>183</v>
      </c>
      <c r="D46" s="49" t="s">
        <v>7</v>
      </c>
      <c r="E46" s="50">
        <v>7.0000000000000007E-2</v>
      </c>
      <c r="F46" s="108">
        <v>68</v>
      </c>
      <c r="G46" s="51">
        <v>43831</v>
      </c>
      <c r="H46" s="46"/>
      <c r="I46" s="49" t="str">
        <f ca="1"/>
        <v>退会済</v>
      </c>
      <c r="J46" s="109" t="s">
        <v>175</v>
      </c>
      <c r="K46" s="49" t="s">
        <v>50</v>
      </c>
      <c r="L46" s="100" t="s">
        <v>51</v>
      </c>
      <c r="M46" s="107" t="s">
        <v>52</v>
      </c>
    </row>
    <row r="47" spans="1:14" ht="16">
      <c r="A47" s="101" t="str">
        <f t="shared" si="0"/>
        <v>OK</v>
      </c>
      <c r="B47" s="49">
        <v>3706401</v>
      </c>
      <c r="C47" s="49" t="s">
        <v>184</v>
      </c>
      <c r="D47" s="49" t="s">
        <v>6</v>
      </c>
      <c r="E47" s="50">
        <v>7.0000000000000007E-2</v>
      </c>
      <c r="F47" s="108">
        <v>0</v>
      </c>
      <c r="G47" s="51">
        <v>43853</v>
      </c>
      <c r="H47" s="46">
        <v>182.75862100000001</v>
      </c>
      <c r="I47" s="49" t="str">
        <f ca="1"/>
        <v>大木 優香</v>
      </c>
      <c r="J47" s="109" t="s">
        <v>185</v>
      </c>
      <c r="K47" s="49" t="s">
        <v>50</v>
      </c>
      <c r="L47" s="100" t="s">
        <v>51</v>
      </c>
      <c r="M47" s="107" t="s">
        <v>52</v>
      </c>
      <c r="N47" s="110" t="s">
        <v>186</v>
      </c>
    </row>
    <row r="48" spans="1:14" ht="16">
      <c r="A48" s="101" t="str">
        <f t="shared" si="0"/>
        <v>OK</v>
      </c>
      <c r="B48" s="49">
        <v>3706402</v>
      </c>
      <c r="C48" s="49" t="s">
        <v>187</v>
      </c>
      <c r="D48" s="49" t="s">
        <v>6</v>
      </c>
      <c r="E48" s="50">
        <v>7.0000000000000007E-2</v>
      </c>
      <c r="F48" s="108">
        <v>0</v>
      </c>
      <c r="G48" s="51">
        <v>43853</v>
      </c>
      <c r="H48" s="46">
        <v>182.75862100000001</v>
      </c>
      <c r="I48" s="49" t="str">
        <f ca="1"/>
        <v>大木 優香</v>
      </c>
      <c r="J48" s="109" t="s">
        <v>185</v>
      </c>
      <c r="K48" s="49" t="s">
        <v>50</v>
      </c>
      <c r="L48" s="100" t="s">
        <v>51</v>
      </c>
      <c r="M48" s="107" t="s">
        <v>52</v>
      </c>
      <c r="N48" s="110" t="s">
        <v>186</v>
      </c>
    </row>
    <row r="49" spans="1:14" ht="16">
      <c r="A49" s="101" t="str">
        <f t="shared" si="0"/>
        <v>OK</v>
      </c>
      <c r="B49" s="49">
        <v>3706405</v>
      </c>
      <c r="C49" s="49" t="s">
        <v>188</v>
      </c>
      <c r="D49" s="49" t="s">
        <v>6</v>
      </c>
      <c r="E49" s="50">
        <v>7.0000000000000007E-2</v>
      </c>
      <c r="F49" s="108">
        <v>0</v>
      </c>
      <c r="G49" s="51">
        <v>43853</v>
      </c>
      <c r="H49" s="46">
        <v>182.75862100000001</v>
      </c>
      <c r="I49" s="49" t="str">
        <f ca="1"/>
        <v>大木 優香</v>
      </c>
      <c r="J49" s="109" t="s">
        <v>185</v>
      </c>
      <c r="K49" s="49" t="s">
        <v>50</v>
      </c>
      <c r="L49" s="100" t="s">
        <v>51</v>
      </c>
      <c r="M49" s="107" t="s">
        <v>52</v>
      </c>
      <c r="N49" s="110" t="s">
        <v>186</v>
      </c>
    </row>
    <row r="50" spans="1:14" ht="16">
      <c r="A50" s="101" t="str">
        <f t="shared" si="0"/>
        <v>OK</v>
      </c>
      <c r="B50" s="49">
        <v>3706407</v>
      </c>
      <c r="C50" s="49" t="s">
        <v>189</v>
      </c>
      <c r="D50" s="49" t="s">
        <v>6</v>
      </c>
      <c r="E50" s="50">
        <v>7.0000000000000007E-2</v>
      </c>
      <c r="F50" s="108">
        <v>0</v>
      </c>
      <c r="G50" s="51">
        <v>43853</v>
      </c>
      <c r="H50" s="46">
        <v>182.75862100000001</v>
      </c>
      <c r="I50" s="49" t="str">
        <f ca="1"/>
        <v>大木 優香</v>
      </c>
      <c r="J50" s="109" t="s">
        <v>185</v>
      </c>
      <c r="K50" s="49" t="s">
        <v>50</v>
      </c>
      <c r="L50" s="100" t="s">
        <v>51</v>
      </c>
      <c r="M50" s="107" t="s">
        <v>52</v>
      </c>
      <c r="N50" s="110" t="s">
        <v>186</v>
      </c>
    </row>
    <row r="51" spans="1:14" ht="16">
      <c r="A51" s="101" t="str">
        <f t="shared" si="0"/>
        <v>OK</v>
      </c>
      <c r="B51" s="49">
        <v>3706408</v>
      </c>
      <c r="C51" s="49" t="s">
        <v>190</v>
      </c>
      <c r="D51" s="49" t="s">
        <v>6</v>
      </c>
      <c r="E51" s="50">
        <v>7.0000000000000007E-2</v>
      </c>
      <c r="F51" s="108">
        <v>0</v>
      </c>
      <c r="G51" s="51">
        <v>43853</v>
      </c>
      <c r="H51" s="46">
        <v>182.75862100000001</v>
      </c>
      <c r="I51" s="49" t="str">
        <f ca="1"/>
        <v>大木 優香</v>
      </c>
      <c r="J51" s="109" t="s">
        <v>185</v>
      </c>
      <c r="K51" s="49" t="s">
        <v>50</v>
      </c>
      <c r="L51" s="100" t="s">
        <v>51</v>
      </c>
      <c r="M51" s="107" t="s">
        <v>52</v>
      </c>
      <c r="N51" s="110" t="s">
        <v>186</v>
      </c>
    </row>
    <row r="52" spans="1:14" ht="16">
      <c r="A52" s="101" t="str">
        <f t="shared" si="0"/>
        <v>OK</v>
      </c>
      <c r="B52" s="49">
        <v>3706411</v>
      </c>
      <c r="C52" s="49" t="s">
        <v>191</v>
      </c>
      <c r="D52" s="49" t="s">
        <v>6</v>
      </c>
      <c r="E52" s="50">
        <v>7.0000000000000007E-2</v>
      </c>
      <c r="F52" s="108">
        <v>0</v>
      </c>
      <c r="G52" s="51">
        <v>43853</v>
      </c>
      <c r="H52" s="46">
        <v>182.75862100000001</v>
      </c>
      <c r="I52" s="49" t="str">
        <f ca="1"/>
        <v>大木 優香</v>
      </c>
      <c r="J52" s="109" t="s">
        <v>185</v>
      </c>
      <c r="K52" s="49" t="s">
        <v>50</v>
      </c>
      <c r="L52" s="100" t="s">
        <v>51</v>
      </c>
      <c r="M52" s="107" t="s">
        <v>52</v>
      </c>
      <c r="N52" s="110" t="s">
        <v>186</v>
      </c>
    </row>
    <row r="53" spans="1:14" ht="16">
      <c r="A53" s="101" t="str">
        <f t="shared" si="0"/>
        <v>OK</v>
      </c>
      <c r="B53" s="49">
        <v>3706414</v>
      </c>
      <c r="C53" s="49" t="s">
        <v>192</v>
      </c>
      <c r="D53" s="49" t="s">
        <v>6</v>
      </c>
      <c r="E53" s="50">
        <v>7.0000000000000007E-2</v>
      </c>
      <c r="F53" s="108">
        <v>0</v>
      </c>
      <c r="G53" s="51">
        <v>43853</v>
      </c>
      <c r="H53" s="46">
        <v>182.75862100000001</v>
      </c>
      <c r="I53" s="49" t="str">
        <f ca="1"/>
        <v>大木 優香</v>
      </c>
      <c r="J53" s="109" t="s">
        <v>185</v>
      </c>
      <c r="K53" s="49" t="s">
        <v>50</v>
      </c>
      <c r="L53" s="100" t="s">
        <v>51</v>
      </c>
      <c r="M53" s="107" t="s">
        <v>52</v>
      </c>
      <c r="N53" s="110" t="s">
        <v>186</v>
      </c>
    </row>
    <row r="54" spans="1:14" ht="16">
      <c r="A54" s="101" t="str">
        <f t="shared" si="0"/>
        <v>OK</v>
      </c>
      <c r="B54" s="49">
        <v>3706415</v>
      </c>
      <c r="C54" s="49" t="s">
        <v>193</v>
      </c>
      <c r="D54" s="49" t="s">
        <v>6</v>
      </c>
      <c r="E54" s="50">
        <v>7.0000000000000007E-2</v>
      </c>
      <c r="F54" s="108">
        <v>0</v>
      </c>
      <c r="G54" s="51">
        <v>43853</v>
      </c>
      <c r="H54" s="46">
        <v>182.75862100000001</v>
      </c>
      <c r="I54" s="49" t="str">
        <f ca="1"/>
        <v>大木 優香</v>
      </c>
      <c r="J54" s="109" t="s">
        <v>185</v>
      </c>
      <c r="K54" s="49" t="s">
        <v>50</v>
      </c>
      <c r="L54" s="100" t="s">
        <v>51</v>
      </c>
      <c r="M54" s="107" t="s">
        <v>52</v>
      </c>
      <c r="N54" s="110" t="s">
        <v>186</v>
      </c>
    </row>
    <row r="55" spans="1:14" ht="16">
      <c r="A55" s="101" t="str">
        <f t="shared" si="0"/>
        <v>OK</v>
      </c>
      <c r="B55" s="49">
        <v>3706416</v>
      </c>
      <c r="C55" s="49" t="s">
        <v>194</v>
      </c>
      <c r="D55" s="49" t="s">
        <v>6</v>
      </c>
      <c r="E55" s="50">
        <v>7.0000000000000007E-2</v>
      </c>
      <c r="F55" s="108">
        <v>0</v>
      </c>
      <c r="G55" s="51">
        <v>43853</v>
      </c>
      <c r="H55" s="46">
        <v>182.75862100000001</v>
      </c>
      <c r="I55" s="49" t="str">
        <f ca="1"/>
        <v>大木 優香</v>
      </c>
      <c r="J55" s="109" t="s">
        <v>185</v>
      </c>
      <c r="K55" s="49" t="s">
        <v>50</v>
      </c>
      <c r="L55" s="100" t="s">
        <v>51</v>
      </c>
      <c r="M55" s="107" t="s">
        <v>52</v>
      </c>
      <c r="N55" s="110" t="s">
        <v>186</v>
      </c>
    </row>
    <row r="56" spans="1:14" ht="16">
      <c r="A56" s="101" t="str">
        <f t="shared" si="0"/>
        <v>OK</v>
      </c>
      <c r="B56" s="49">
        <v>3706418</v>
      </c>
      <c r="C56" s="49" t="s">
        <v>195</v>
      </c>
      <c r="D56" s="49" t="s">
        <v>6</v>
      </c>
      <c r="E56" s="50">
        <v>7.0000000000000007E-2</v>
      </c>
      <c r="F56" s="108">
        <v>0</v>
      </c>
      <c r="G56" s="51">
        <v>43853</v>
      </c>
      <c r="H56" s="46">
        <v>182.75862100000001</v>
      </c>
      <c r="I56" s="49" t="str">
        <f ca="1"/>
        <v>大木 優香</v>
      </c>
      <c r="J56" s="109" t="s">
        <v>185</v>
      </c>
      <c r="K56" s="49" t="s">
        <v>50</v>
      </c>
      <c r="L56" s="100" t="s">
        <v>51</v>
      </c>
      <c r="M56" s="107" t="s">
        <v>52</v>
      </c>
      <c r="N56" s="110" t="s">
        <v>186</v>
      </c>
    </row>
    <row r="57" spans="1:14" ht="16">
      <c r="A57" s="101" t="str">
        <f t="shared" si="0"/>
        <v>OK</v>
      </c>
      <c r="B57" s="49">
        <v>3706420</v>
      </c>
      <c r="C57" s="49" t="s">
        <v>196</v>
      </c>
      <c r="D57" s="49" t="s">
        <v>6</v>
      </c>
      <c r="E57" s="50">
        <v>7.0000000000000007E-2</v>
      </c>
      <c r="F57" s="108">
        <v>0</v>
      </c>
      <c r="G57" s="51">
        <v>43853</v>
      </c>
      <c r="H57" s="46">
        <v>182.75862100000001</v>
      </c>
      <c r="I57" s="49" t="str">
        <f ca="1"/>
        <v>大木 優香</v>
      </c>
      <c r="J57" s="109" t="s">
        <v>185</v>
      </c>
      <c r="K57" s="49" t="s">
        <v>50</v>
      </c>
      <c r="L57" s="100" t="s">
        <v>51</v>
      </c>
      <c r="M57" s="107" t="s">
        <v>52</v>
      </c>
      <c r="N57" s="110" t="s">
        <v>186</v>
      </c>
    </row>
    <row r="58" spans="1:14" ht="16">
      <c r="A58" s="101" t="str">
        <f t="shared" si="0"/>
        <v>OK</v>
      </c>
      <c r="B58" s="49">
        <v>3706421</v>
      </c>
      <c r="C58" s="49" t="s">
        <v>197</v>
      </c>
      <c r="D58" s="49" t="s">
        <v>6</v>
      </c>
      <c r="E58" s="50">
        <v>7.0000000000000007E-2</v>
      </c>
      <c r="F58" s="108">
        <v>0</v>
      </c>
      <c r="G58" s="51">
        <v>43853</v>
      </c>
      <c r="H58" s="46">
        <v>182.75862100000001</v>
      </c>
      <c r="I58" s="49" t="str">
        <f ca="1"/>
        <v>大木 優香</v>
      </c>
      <c r="J58" s="109" t="s">
        <v>185</v>
      </c>
      <c r="K58" s="49" t="s">
        <v>50</v>
      </c>
      <c r="L58" s="100" t="s">
        <v>51</v>
      </c>
      <c r="M58" s="107" t="s">
        <v>52</v>
      </c>
      <c r="N58" s="110" t="s">
        <v>186</v>
      </c>
    </row>
    <row r="59" spans="1:14" ht="16">
      <c r="A59" s="101" t="str">
        <f t="shared" si="0"/>
        <v>OK</v>
      </c>
      <c r="B59" s="49">
        <v>3706423</v>
      </c>
      <c r="C59" s="49" t="s">
        <v>198</v>
      </c>
      <c r="D59" s="49" t="s">
        <v>6</v>
      </c>
      <c r="E59" s="50">
        <v>7.0000000000000007E-2</v>
      </c>
      <c r="F59" s="108">
        <v>0</v>
      </c>
      <c r="G59" s="51">
        <v>43853</v>
      </c>
      <c r="H59" s="46">
        <v>182.75862100000001</v>
      </c>
      <c r="I59" s="49" t="str">
        <f ca="1"/>
        <v>大木 優香</v>
      </c>
      <c r="J59" s="109" t="s">
        <v>185</v>
      </c>
      <c r="K59" s="49" t="s">
        <v>50</v>
      </c>
      <c r="L59" s="100" t="s">
        <v>51</v>
      </c>
      <c r="M59" s="107" t="s">
        <v>52</v>
      </c>
      <c r="N59" s="110" t="s">
        <v>186</v>
      </c>
    </row>
    <row r="60" spans="1:14" ht="16">
      <c r="A60" s="101" t="str">
        <f t="shared" si="0"/>
        <v>OK</v>
      </c>
      <c r="B60" s="49">
        <v>3706424</v>
      </c>
      <c r="C60" s="49" t="s">
        <v>199</v>
      </c>
      <c r="D60" s="49" t="s">
        <v>6</v>
      </c>
      <c r="E60" s="50">
        <v>7.0000000000000007E-2</v>
      </c>
      <c r="F60" s="108">
        <v>0</v>
      </c>
      <c r="G60" s="51">
        <v>43853</v>
      </c>
      <c r="H60" s="46">
        <v>182.75862100000001</v>
      </c>
      <c r="I60" s="49" t="str">
        <f ca="1"/>
        <v>大木 優香</v>
      </c>
      <c r="J60" s="109" t="s">
        <v>185</v>
      </c>
      <c r="K60" s="49" t="s">
        <v>50</v>
      </c>
      <c r="L60" s="100" t="s">
        <v>51</v>
      </c>
      <c r="M60" s="107" t="s">
        <v>52</v>
      </c>
      <c r="N60" s="110" t="s">
        <v>186</v>
      </c>
    </row>
    <row r="61" spans="1:14" ht="16">
      <c r="A61" s="101" t="str">
        <f t="shared" si="0"/>
        <v>OK</v>
      </c>
      <c r="B61" s="49">
        <v>3706425</v>
      </c>
      <c r="C61" s="49" t="s">
        <v>200</v>
      </c>
      <c r="D61" s="49" t="s">
        <v>6</v>
      </c>
      <c r="E61" s="50">
        <v>7.0000000000000007E-2</v>
      </c>
      <c r="F61" s="108">
        <v>0</v>
      </c>
      <c r="G61" s="51">
        <v>43853</v>
      </c>
      <c r="H61" s="46">
        <v>182.75862100000001</v>
      </c>
      <c r="I61" s="49" t="str">
        <f ca="1"/>
        <v>大木 優香</v>
      </c>
      <c r="J61" s="109" t="s">
        <v>185</v>
      </c>
      <c r="K61" s="49" t="s">
        <v>50</v>
      </c>
      <c r="L61" s="100" t="s">
        <v>51</v>
      </c>
      <c r="M61" s="107" t="s">
        <v>52</v>
      </c>
      <c r="N61" s="110" t="s">
        <v>186</v>
      </c>
    </row>
    <row r="62" spans="1:14" ht="16">
      <c r="A62" s="101" t="str">
        <f t="shared" si="0"/>
        <v>OK</v>
      </c>
      <c r="B62" s="49">
        <v>3706426</v>
      </c>
      <c r="C62" s="49" t="s">
        <v>201</v>
      </c>
      <c r="D62" s="49" t="s">
        <v>6</v>
      </c>
      <c r="E62" s="50">
        <v>7.0000000000000007E-2</v>
      </c>
      <c r="F62" s="108">
        <v>0</v>
      </c>
      <c r="G62" s="51">
        <v>43853</v>
      </c>
      <c r="H62" s="46">
        <v>182.75862100000001</v>
      </c>
      <c r="I62" s="49" t="str">
        <f ca="1"/>
        <v>大木 優香</v>
      </c>
      <c r="J62" s="109" t="s">
        <v>185</v>
      </c>
      <c r="K62" s="49" t="s">
        <v>50</v>
      </c>
      <c r="L62" s="100" t="s">
        <v>51</v>
      </c>
      <c r="M62" s="107" t="s">
        <v>52</v>
      </c>
      <c r="N62" s="110" t="s">
        <v>186</v>
      </c>
    </row>
    <row r="63" spans="1:14" ht="16">
      <c r="A63" s="101" t="str">
        <f t="shared" si="0"/>
        <v>OK</v>
      </c>
      <c r="B63" s="49">
        <v>3706428</v>
      </c>
      <c r="C63" s="49" t="s">
        <v>202</v>
      </c>
      <c r="D63" s="49" t="s">
        <v>6</v>
      </c>
      <c r="E63" s="50">
        <v>7.0000000000000007E-2</v>
      </c>
      <c r="F63" s="108">
        <v>0</v>
      </c>
      <c r="G63" s="51">
        <v>43853</v>
      </c>
      <c r="H63" s="46">
        <v>182.75862100000001</v>
      </c>
      <c r="I63" s="49" t="str">
        <f ca="1"/>
        <v>大木 優香</v>
      </c>
      <c r="J63" s="109" t="s">
        <v>185</v>
      </c>
      <c r="K63" s="49" t="s">
        <v>50</v>
      </c>
      <c r="L63" s="100" t="s">
        <v>51</v>
      </c>
      <c r="M63" s="107" t="s">
        <v>52</v>
      </c>
      <c r="N63" s="110" t="s">
        <v>186</v>
      </c>
    </row>
    <row r="64" spans="1:14" ht="16">
      <c r="A64" s="101" t="str">
        <f t="shared" si="0"/>
        <v>OK</v>
      </c>
      <c r="B64" s="49">
        <v>3706429</v>
      </c>
      <c r="C64" s="49" t="s">
        <v>203</v>
      </c>
      <c r="D64" s="49" t="s">
        <v>6</v>
      </c>
      <c r="E64" s="50">
        <v>7.0000000000000007E-2</v>
      </c>
      <c r="F64" s="108">
        <v>0</v>
      </c>
      <c r="G64" s="51">
        <v>43853</v>
      </c>
      <c r="H64" s="46">
        <v>182.75862100000001</v>
      </c>
      <c r="I64" s="49" t="str">
        <f ca="1"/>
        <v>大木 優香</v>
      </c>
      <c r="J64" s="109" t="s">
        <v>185</v>
      </c>
      <c r="K64" s="49" t="s">
        <v>50</v>
      </c>
      <c r="L64" s="100" t="s">
        <v>51</v>
      </c>
      <c r="M64" s="107" t="s">
        <v>52</v>
      </c>
      <c r="N64" s="110" t="s">
        <v>186</v>
      </c>
    </row>
    <row r="65" spans="1:14" ht="16">
      <c r="A65" s="101" t="str">
        <f t="shared" si="0"/>
        <v>OK</v>
      </c>
      <c r="B65" s="49">
        <v>3706431</v>
      </c>
      <c r="C65" s="49" t="s">
        <v>204</v>
      </c>
      <c r="D65" s="49" t="s">
        <v>6</v>
      </c>
      <c r="E65" s="50">
        <v>7.0000000000000007E-2</v>
      </c>
      <c r="F65" s="108">
        <v>0</v>
      </c>
      <c r="G65" s="51">
        <v>43853</v>
      </c>
      <c r="H65" s="46">
        <v>182.75862100000001</v>
      </c>
      <c r="I65" s="49" t="str">
        <f ca="1"/>
        <v>大木 優香</v>
      </c>
      <c r="J65" s="109" t="s">
        <v>185</v>
      </c>
      <c r="K65" s="49" t="s">
        <v>50</v>
      </c>
      <c r="L65" s="100" t="s">
        <v>51</v>
      </c>
      <c r="M65" s="107" t="s">
        <v>52</v>
      </c>
      <c r="N65" s="110" t="s">
        <v>186</v>
      </c>
    </row>
    <row r="66" spans="1:14" ht="16">
      <c r="A66" s="101" t="str">
        <f t="shared" si="0"/>
        <v>OK</v>
      </c>
      <c r="B66" s="49">
        <v>3706434</v>
      </c>
      <c r="C66" s="49" t="s">
        <v>205</v>
      </c>
      <c r="D66" s="49" t="s">
        <v>6</v>
      </c>
      <c r="E66" s="50">
        <v>7.0000000000000007E-2</v>
      </c>
      <c r="F66" s="108">
        <v>0</v>
      </c>
      <c r="G66" s="51">
        <v>43853</v>
      </c>
      <c r="H66" s="46">
        <v>182.75862100000001</v>
      </c>
      <c r="I66" s="49" t="str">
        <f ca="1"/>
        <v>大木 優香</v>
      </c>
      <c r="J66" s="109" t="s">
        <v>185</v>
      </c>
      <c r="K66" s="49" t="s">
        <v>50</v>
      </c>
      <c r="L66" s="100" t="s">
        <v>51</v>
      </c>
      <c r="M66" s="107" t="s">
        <v>52</v>
      </c>
      <c r="N66" s="110" t="s">
        <v>186</v>
      </c>
    </row>
    <row r="67" spans="1:14" ht="16">
      <c r="A67" s="101" t="str">
        <f t="shared" si="0"/>
        <v>OK</v>
      </c>
      <c r="B67" s="49">
        <v>3706436</v>
      </c>
      <c r="C67" s="49" t="s">
        <v>206</v>
      </c>
      <c r="D67" s="49" t="s">
        <v>6</v>
      </c>
      <c r="E67" s="50">
        <v>7.0000000000000007E-2</v>
      </c>
      <c r="F67" s="108">
        <v>0</v>
      </c>
      <c r="G67" s="51">
        <v>43853</v>
      </c>
      <c r="H67" s="46">
        <v>182.75862100000001</v>
      </c>
      <c r="I67" s="49" t="str">
        <f ca="1"/>
        <v>大木 優香</v>
      </c>
      <c r="J67" s="109" t="s">
        <v>185</v>
      </c>
      <c r="K67" s="49" t="s">
        <v>50</v>
      </c>
      <c r="L67" s="100" t="s">
        <v>51</v>
      </c>
      <c r="M67" s="107" t="s">
        <v>52</v>
      </c>
      <c r="N67" s="110" t="s">
        <v>186</v>
      </c>
    </row>
    <row r="68" spans="1:14" ht="16">
      <c r="A68" s="101" t="str">
        <f t="shared" si="0"/>
        <v>OK</v>
      </c>
      <c r="B68" s="49">
        <v>3706440</v>
      </c>
      <c r="C68" s="49" t="s">
        <v>207</v>
      </c>
      <c r="D68" s="49" t="s">
        <v>6</v>
      </c>
      <c r="E68" s="50">
        <v>7.0000000000000007E-2</v>
      </c>
      <c r="F68" s="108">
        <v>0</v>
      </c>
      <c r="G68" s="51">
        <v>43853</v>
      </c>
      <c r="H68" s="46">
        <v>182.75862100000001</v>
      </c>
      <c r="I68" s="49" t="str">
        <f ca="1"/>
        <v>大木 優香</v>
      </c>
      <c r="J68" s="109" t="s">
        <v>185</v>
      </c>
      <c r="K68" s="49" t="s">
        <v>50</v>
      </c>
      <c r="L68" s="100" t="s">
        <v>51</v>
      </c>
      <c r="M68" s="107" t="s">
        <v>52</v>
      </c>
      <c r="N68" s="110" t="s">
        <v>186</v>
      </c>
    </row>
    <row r="69" spans="1:14" ht="16">
      <c r="A69" s="101" t="str">
        <f t="shared" si="0"/>
        <v>OK</v>
      </c>
      <c r="B69" s="49">
        <v>3706442</v>
      </c>
      <c r="C69" s="49" t="s">
        <v>208</v>
      </c>
      <c r="D69" s="49" t="s">
        <v>6</v>
      </c>
      <c r="E69" s="50">
        <v>7.0000000000000007E-2</v>
      </c>
      <c r="F69" s="108">
        <v>0</v>
      </c>
      <c r="G69" s="51">
        <v>43853</v>
      </c>
      <c r="H69" s="46">
        <v>182.75862100000001</v>
      </c>
      <c r="I69" s="49" t="str">
        <f ca="1"/>
        <v>大木 優香</v>
      </c>
      <c r="J69" s="109" t="s">
        <v>185</v>
      </c>
      <c r="K69" s="49" t="s">
        <v>50</v>
      </c>
      <c r="L69" s="100" t="s">
        <v>51</v>
      </c>
      <c r="M69" s="107" t="s">
        <v>52</v>
      </c>
      <c r="N69" s="110" t="s">
        <v>186</v>
      </c>
    </row>
    <row r="70" spans="1:14" ht="16">
      <c r="A70" s="101" t="str">
        <f t="shared" si="0"/>
        <v>OK</v>
      </c>
      <c r="B70" s="49">
        <v>3706443</v>
      </c>
      <c r="C70" s="49" t="s">
        <v>209</v>
      </c>
      <c r="D70" s="49" t="s">
        <v>6</v>
      </c>
      <c r="E70" s="50">
        <v>7.0000000000000007E-2</v>
      </c>
      <c r="F70" s="108">
        <v>0</v>
      </c>
      <c r="G70" s="51">
        <v>43853</v>
      </c>
      <c r="H70" s="46">
        <v>182.75862100000001</v>
      </c>
      <c r="I70" s="49" t="str">
        <f ca="1"/>
        <v>大木 優香</v>
      </c>
      <c r="J70" s="109" t="s">
        <v>185</v>
      </c>
      <c r="K70" s="49" t="s">
        <v>50</v>
      </c>
      <c r="L70" s="100" t="s">
        <v>51</v>
      </c>
      <c r="M70" s="107" t="s">
        <v>52</v>
      </c>
      <c r="N70" s="110" t="s">
        <v>186</v>
      </c>
    </row>
    <row r="71" spans="1:14" ht="16">
      <c r="A71" s="101" t="str">
        <f t="shared" si="0"/>
        <v>OK</v>
      </c>
      <c r="B71" s="49">
        <v>3706448</v>
      </c>
      <c r="C71" s="49" t="s">
        <v>210</v>
      </c>
      <c r="D71" s="49" t="s">
        <v>6</v>
      </c>
      <c r="E71" s="50">
        <v>7.0000000000000007E-2</v>
      </c>
      <c r="F71" s="108">
        <v>0</v>
      </c>
      <c r="G71" s="51">
        <v>43853</v>
      </c>
      <c r="H71" s="46">
        <v>182.75862100000001</v>
      </c>
      <c r="I71" s="49" t="str">
        <f ca="1"/>
        <v>大木 優香</v>
      </c>
      <c r="J71" s="109" t="s">
        <v>185</v>
      </c>
      <c r="K71" s="49" t="s">
        <v>50</v>
      </c>
      <c r="L71" s="100" t="s">
        <v>51</v>
      </c>
      <c r="M71" s="107" t="s">
        <v>52</v>
      </c>
      <c r="N71" s="110" t="s">
        <v>186</v>
      </c>
    </row>
    <row r="72" spans="1:14" ht="16">
      <c r="A72" s="101" t="str">
        <f t="shared" si="0"/>
        <v>OK</v>
      </c>
      <c r="B72" s="49">
        <v>3706451</v>
      </c>
      <c r="C72" s="49" t="s">
        <v>211</v>
      </c>
      <c r="D72" s="49" t="s">
        <v>6</v>
      </c>
      <c r="E72" s="50">
        <v>7.0000000000000007E-2</v>
      </c>
      <c r="F72" s="108">
        <v>0</v>
      </c>
      <c r="G72" s="51">
        <v>43853</v>
      </c>
      <c r="H72" s="46">
        <v>182.75862100000001</v>
      </c>
      <c r="I72" s="49" t="str">
        <f ca="1"/>
        <v>大木 優香</v>
      </c>
      <c r="J72" s="109" t="s">
        <v>185</v>
      </c>
      <c r="K72" s="49" t="s">
        <v>50</v>
      </c>
      <c r="L72" s="100" t="s">
        <v>51</v>
      </c>
      <c r="M72" s="107" t="s">
        <v>52</v>
      </c>
      <c r="N72" s="110" t="s">
        <v>186</v>
      </c>
    </row>
    <row r="73" spans="1:14" ht="16">
      <c r="A73" s="101" t="str">
        <f t="shared" si="0"/>
        <v>OK</v>
      </c>
      <c r="B73" s="49">
        <v>3706454</v>
      </c>
      <c r="C73" s="49" t="s">
        <v>212</v>
      </c>
      <c r="D73" s="49" t="s">
        <v>6</v>
      </c>
      <c r="E73" s="50">
        <v>7.0000000000000007E-2</v>
      </c>
      <c r="F73" s="108">
        <v>0</v>
      </c>
      <c r="G73" s="51">
        <v>43853</v>
      </c>
      <c r="H73" s="46">
        <v>182.75862100000001</v>
      </c>
      <c r="I73" s="49" t="str">
        <f ca="1"/>
        <v>大木 優香</v>
      </c>
      <c r="J73" s="109" t="s">
        <v>185</v>
      </c>
      <c r="K73" s="49" t="s">
        <v>50</v>
      </c>
      <c r="L73" s="100" t="s">
        <v>51</v>
      </c>
      <c r="M73" s="107" t="s">
        <v>52</v>
      </c>
      <c r="N73" s="110" t="s">
        <v>186</v>
      </c>
    </row>
    <row r="74" spans="1:14" ht="16">
      <c r="A74" s="101" t="str">
        <f t="shared" si="0"/>
        <v>OK</v>
      </c>
      <c r="B74" s="49">
        <v>3706458</v>
      </c>
      <c r="C74" s="49" t="s">
        <v>213</v>
      </c>
      <c r="D74" s="49" t="s">
        <v>6</v>
      </c>
      <c r="E74" s="50">
        <v>7.0000000000000007E-2</v>
      </c>
      <c r="F74" s="108">
        <v>0</v>
      </c>
      <c r="G74" s="51">
        <v>43853</v>
      </c>
      <c r="H74" s="46">
        <v>182.75862100000001</v>
      </c>
      <c r="I74" s="49" t="str">
        <f ca="1"/>
        <v>大木 優香</v>
      </c>
      <c r="J74" s="109" t="s">
        <v>185</v>
      </c>
      <c r="K74" s="49" t="s">
        <v>50</v>
      </c>
      <c r="L74" s="100" t="s">
        <v>51</v>
      </c>
      <c r="M74" s="107" t="s">
        <v>52</v>
      </c>
      <c r="N74" s="110" t="s">
        <v>186</v>
      </c>
    </row>
    <row r="75" spans="1:14" ht="16">
      <c r="A75" s="101" t="str">
        <f t="shared" si="0"/>
        <v>OK</v>
      </c>
      <c r="B75" s="49">
        <v>3706460</v>
      </c>
      <c r="C75" s="49" t="s">
        <v>214</v>
      </c>
      <c r="D75" s="49" t="s">
        <v>6</v>
      </c>
      <c r="E75" s="50">
        <v>7.0000000000000007E-2</v>
      </c>
      <c r="F75" s="108">
        <v>0</v>
      </c>
      <c r="G75" s="51">
        <v>43853</v>
      </c>
      <c r="H75" s="46">
        <v>182.75862100000001</v>
      </c>
      <c r="I75" s="49" t="str">
        <f ca="1"/>
        <v>大木 優香</v>
      </c>
      <c r="J75" s="109" t="s">
        <v>185</v>
      </c>
      <c r="K75" s="49" t="s">
        <v>50</v>
      </c>
      <c r="L75" s="100" t="s">
        <v>51</v>
      </c>
      <c r="M75" s="107" t="s">
        <v>52</v>
      </c>
      <c r="N75" s="110" t="s">
        <v>186</v>
      </c>
    </row>
    <row r="76" spans="1:14" ht="16">
      <c r="A76" s="101" t="str">
        <f t="shared" si="0"/>
        <v>OK</v>
      </c>
      <c r="B76" s="49">
        <v>3706462</v>
      </c>
      <c r="C76" s="49" t="s">
        <v>215</v>
      </c>
      <c r="D76" s="49" t="s">
        <v>6</v>
      </c>
      <c r="E76" s="50">
        <v>7.0000000000000007E-2</v>
      </c>
      <c r="F76" s="108">
        <v>0</v>
      </c>
      <c r="G76" s="51">
        <v>43853</v>
      </c>
      <c r="H76" s="46">
        <v>182.75862100000001</v>
      </c>
      <c r="I76" s="49" t="str">
        <f ca="1"/>
        <v>大木 優香</v>
      </c>
      <c r="J76" s="109" t="s">
        <v>185</v>
      </c>
      <c r="K76" s="49" t="s">
        <v>50</v>
      </c>
      <c r="L76" s="100" t="s">
        <v>51</v>
      </c>
      <c r="M76" s="107" t="s">
        <v>52</v>
      </c>
      <c r="N76" s="110" t="s">
        <v>186</v>
      </c>
    </row>
    <row r="77" spans="1:14" ht="16">
      <c r="A77" s="101" t="str">
        <f t="shared" si="0"/>
        <v>OK</v>
      </c>
      <c r="B77" s="49">
        <v>3706466</v>
      </c>
      <c r="C77" s="49" t="s">
        <v>216</v>
      </c>
      <c r="D77" s="49" t="s">
        <v>6</v>
      </c>
      <c r="E77" s="50">
        <v>7.0000000000000007E-2</v>
      </c>
      <c r="F77" s="108">
        <v>0</v>
      </c>
      <c r="G77" s="51">
        <v>43853</v>
      </c>
      <c r="H77" s="46">
        <v>182.75862100000001</v>
      </c>
      <c r="I77" s="49" t="str">
        <f ca="1"/>
        <v>大木 優香</v>
      </c>
      <c r="J77" s="109" t="s">
        <v>185</v>
      </c>
      <c r="K77" s="49" t="s">
        <v>50</v>
      </c>
      <c r="L77" s="100" t="s">
        <v>51</v>
      </c>
      <c r="M77" s="107" t="s">
        <v>52</v>
      </c>
      <c r="N77" s="110" t="s">
        <v>186</v>
      </c>
    </row>
    <row r="78" spans="1:14" ht="16">
      <c r="A78" s="101" t="str">
        <f t="shared" si="0"/>
        <v>OK</v>
      </c>
      <c r="B78" s="49">
        <v>3706467</v>
      </c>
      <c r="C78" s="49" t="s">
        <v>217</v>
      </c>
      <c r="D78" s="49" t="s">
        <v>6</v>
      </c>
      <c r="E78" s="50">
        <v>7.0000000000000007E-2</v>
      </c>
      <c r="F78" s="108">
        <v>0</v>
      </c>
      <c r="G78" s="51">
        <v>43853</v>
      </c>
      <c r="H78" s="46">
        <v>182.75862100000001</v>
      </c>
      <c r="I78" s="49" t="str">
        <f ca="1"/>
        <v>大木 優香</v>
      </c>
      <c r="J78" s="109" t="s">
        <v>185</v>
      </c>
      <c r="K78" s="49" t="s">
        <v>50</v>
      </c>
      <c r="L78" s="100" t="s">
        <v>51</v>
      </c>
      <c r="M78" s="107" t="s">
        <v>52</v>
      </c>
      <c r="N78" s="110" t="s">
        <v>186</v>
      </c>
    </row>
    <row r="79" spans="1:14" ht="16">
      <c r="A79" s="101" t="str">
        <f t="shared" si="0"/>
        <v>OK</v>
      </c>
      <c r="B79" s="49">
        <v>3706471</v>
      </c>
      <c r="C79" s="49" t="s">
        <v>218</v>
      </c>
      <c r="D79" s="49" t="s">
        <v>6</v>
      </c>
      <c r="E79" s="50">
        <v>7.0000000000000007E-2</v>
      </c>
      <c r="F79" s="108">
        <v>0</v>
      </c>
      <c r="G79" s="51">
        <v>43853</v>
      </c>
      <c r="H79" s="46">
        <v>182.75862100000001</v>
      </c>
      <c r="I79" s="49" t="str">
        <f ca="1"/>
        <v>大木 優香</v>
      </c>
      <c r="J79" s="109" t="s">
        <v>185</v>
      </c>
      <c r="K79" s="49" t="s">
        <v>50</v>
      </c>
      <c r="L79" s="100" t="s">
        <v>51</v>
      </c>
      <c r="M79" s="107" t="s">
        <v>52</v>
      </c>
      <c r="N79" s="110" t="s">
        <v>186</v>
      </c>
    </row>
    <row r="80" spans="1:14" ht="16">
      <c r="A80" s="101" t="str">
        <f t="shared" si="0"/>
        <v>OK</v>
      </c>
      <c r="B80" s="49">
        <v>3706472</v>
      </c>
      <c r="C80" s="49" t="s">
        <v>219</v>
      </c>
      <c r="D80" s="49" t="s">
        <v>6</v>
      </c>
      <c r="E80" s="50">
        <v>7.0000000000000007E-2</v>
      </c>
      <c r="F80" s="108">
        <v>0</v>
      </c>
      <c r="G80" s="51">
        <v>43853</v>
      </c>
      <c r="H80" s="46">
        <v>182.75862100000001</v>
      </c>
      <c r="I80" s="49" t="str">
        <f ca="1"/>
        <v>大木 優香</v>
      </c>
      <c r="J80" s="109" t="s">
        <v>185</v>
      </c>
      <c r="K80" s="49" t="s">
        <v>50</v>
      </c>
      <c r="L80" s="100" t="s">
        <v>51</v>
      </c>
      <c r="M80" s="107" t="s">
        <v>52</v>
      </c>
      <c r="N80" s="110" t="s">
        <v>186</v>
      </c>
    </row>
    <row r="81" spans="1:14" ht="16">
      <c r="A81" s="101" t="str">
        <f t="shared" si="0"/>
        <v>OK</v>
      </c>
      <c r="B81" s="49">
        <v>3706473</v>
      </c>
      <c r="C81" s="49" t="s">
        <v>220</v>
      </c>
      <c r="D81" s="49" t="s">
        <v>6</v>
      </c>
      <c r="E81" s="50">
        <v>7.0000000000000007E-2</v>
      </c>
      <c r="F81" s="108">
        <v>0</v>
      </c>
      <c r="G81" s="51">
        <v>43853</v>
      </c>
      <c r="H81" s="46">
        <v>182.75862100000001</v>
      </c>
      <c r="I81" s="49" t="str">
        <f ca="1"/>
        <v>大木 優香</v>
      </c>
      <c r="J81" s="109" t="s">
        <v>185</v>
      </c>
      <c r="K81" s="49" t="s">
        <v>50</v>
      </c>
      <c r="L81" s="100" t="s">
        <v>51</v>
      </c>
      <c r="M81" s="107" t="s">
        <v>52</v>
      </c>
      <c r="N81" s="110" t="s">
        <v>186</v>
      </c>
    </row>
    <row r="82" spans="1:14" ht="16">
      <c r="A82" s="101" t="str">
        <f t="shared" si="0"/>
        <v>OK</v>
      </c>
      <c r="B82" s="49">
        <v>3706475</v>
      </c>
      <c r="C82" s="49" t="s">
        <v>221</v>
      </c>
      <c r="D82" s="49" t="s">
        <v>6</v>
      </c>
      <c r="E82" s="50">
        <v>7.0000000000000007E-2</v>
      </c>
      <c r="F82" s="108">
        <v>0</v>
      </c>
      <c r="G82" s="51">
        <v>43853</v>
      </c>
      <c r="H82" s="46">
        <v>182.75862100000001</v>
      </c>
      <c r="I82" s="49" t="str">
        <f ca="1"/>
        <v>大木 優香</v>
      </c>
      <c r="J82" s="109" t="s">
        <v>185</v>
      </c>
      <c r="K82" s="49" t="s">
        <v>50</v>
      </c>
      <c r="L82" s="100" t="s">
        <v>51</v>
      </c>
      <c r="M82" s="107" t="s">
        <v>52</v>
      </c>
      <c r="N82" s="110" t="s">
        <v>186</v>
      </c>
    </row>
    <row r="83" spans="1:14" ht="16">
      <c r="A83" s="101" t="str">
        <f t="shared" si="0"/>
        <v>OK</v>
      </c>
      <c r="B83" s="49">
        <v>3706476</v>
      </c>
      <c r="C83" s="49" t="s">
        <v>222</v>
      </c>
      <c r="D83" s="49" t="s">
        <v>6</v>
      </c>
      <c r="E83" s="50">
        <v>7.0000000000000007E-2</v>
      </c>
      <c r="F83" s="108">
        <v>0</v>
      </c>
      <c r="G83" s="51">
        <v>43853</v>
      </c>
      <c r="H83" s="46">
        <v>182.75862100000001</v>
      </c>
      <c r="I83" s="49" t="str">
        <f ca="1"/>
        <v>大木 優香</v>
      </c>
      <c r="J83" s="109" t="s">
        <v>185</v>
      </c>
      <c r="K83" s="49" t="s">
        <v>50</v>
      </c>
      <c r="L83" s="100" t="s">
        <v>51</v>
      </c>
      <c r="M83" s="107" t="s">
        <v>52</v>
      </c>
      <c r="N83" s="110" t="s">
        <v>186</v>
      </c>
    </row>
    <row r="84" spans="1:14" ht="16">
      <c r="A84" s="101" t="str">
        <f t="shared" si="0"/>
        <v>OK</v>
      </c>
      <c r="B84" s="49">
        <v>3706479</v>
      </c>
      <c r="C84" s="49" t="s">
        <v>223</v>
      </c>
      <c r="D84" s="49" t="s">
        <v>6</v>
      </c>
      <c r="E84" s="50">
        <v>7.0000000000000007E-2</v>
      </c>
      <c r="F84" s="108">
        <v>0</v>
      </c>
      <c r="G84" s="51">
        <v>43853</v>
      </c>
      <c r="H84" s="46">
        <v>182.75862100000001</v>
      </c>
      <c r="I84" s="49" t="str">
        <f ca="1"/>
        <v>大木 優香</v>
      </c>
      <c r="J84" s="109" t="s">
        <v>185</v>
      </c>
      <c r="K84" s="49" t="s">
        <v>50</v>
      </c>
      <c r="L84" s="100" t="s">
        <v>51</v>
      </c>
      <c r="M84" s="107" t="s">
        <v>52</v>
      </c>
      <c r="N84" s="110" t="s">
        <v>186</v>
      </c>
    </row>
    <row r="85" spans="1:14" ht="16">
      <c r="A85" s="101" t="str">
        <f t="shared" si="0"/>
        <v>OK</v>
      </c>
      <c r="B85" s="49">
        <v>3706482</v>
      </c>
      <c r="C85" s="49" t="s">
        <v>224</v>
      </c>
      <c r="D85" s="49" t="s">
        <v>6</v>
      </c>
      <c r="E85" s="50">
        <v>7.0000000000000007E-2</v>
      </c>
      <c r="F85" s="108">
        <v>0</v>
      </c>
      <c r="G85" s="51">
        <v>43853</v>
      </c>
      <c r="H85" s="46">
        <v>182.75862100000001</v>
      </c>
      <c r="I85" s="49" t="str">
        <f ca="1"/>
        <v>大木 優香</v>
      </c>
      <c r="J85" s="109" t="s">
        <v>185</v>
      </c>
      <c r="K85" s="49" t="s">
        <v>50</v>
      </c>
      <c r="L85" s="100" t="s">
        <v>51</v>
      </c>
      <c r="M85" s="107" t="s">
        <v>52</v>
      </c>
      <c r="N85" s="110" t="s">
        <v>186</v>
      </c>
    </row>
    <row r="86" spans="1:14" ht="16">
      <c r="A86" s="101" t="str">
        <f t="shared" si="0"/>
        <v>OK</v>
      </c>
      <c r="B86" s="49">
        <v>3706483</v>
      </c>
      <c r="C86" s="49" t="s">
        <v>225</v>
      </c>
      <c r="D86" s="49" t="s">
        <v>6</v>
      </c>
      <c r="E86" s="50">
        <v>7.0000000000000007E-2</v>
      </c>
      <c r="F86" s="108">
        <v>0</v>
      </c>
      <c r="G86" s="51">
        <v>43853</v>
      </c>
      <c r="H86" s="46">
        <v>182.75862100000001</v>
      </c>
      <c r="I86" s="49" t="str">
        <f ca="1"/>
        <v>大木 優香</v>
      </c>
      <c r="J86" s="109" t="s">
        <v>185</v>
      </c>
      <c r="K86" s="49" t="s">
        <v>50</v>
      </c>
      <c r="L86" s="100" t="s">
        <v>51</v>
      </c>
      <c r="M86" s="107" t="s">
        <v>52</v>
      </c>
      <c r="N86" s="110" t="s">
        <v>186</v>
      </c>
    </row>
    <row r="87" spans="1:14" ht="16">
      <c r="A87" s="101" t="str">
        <f t="shared" si="0"/>
        <v>OK</v>
      </c>
      <c r="B87" s="49">
        <v>3706485</v>
      </c>
      <c r="C87" s="49" t="s">
        <v>226</v>
      </c>
      <c r="D87" s="49" t="s">
        <v>6</v>
      </c>
      <c r="E87" s="50">
        <v>7.0000000000000007E-2</v>
      </c>
      <c r="F87" s="108">
        <v>0</v>
      </c>
      <c r="G87" s="51">
        <v>43853</v>
      </c>
      <c r="H87" s="46">
        <v>182.75862100000001</v>
      </c>
      <c r="I87" s="49" t="str">
        <f ca="1"/>
        <v>大木 優香</v>
      </c>
      <c r="J87" s="109" t="s">
        <v>185</v>
      </c>
      <c r="K87" s="49" t="s">
        <v>50</v>
      </c>
      <c r="L87" s="100" t="s">
        <v>51</v>
      </c>
      <c r="M87" s="107" t="s">
        <v>52</v>
      </c>
      <c r="N87" s="110" t="s">
        <v>186</v>
      </c>
    </row>
    <row r="88" spans="1:14" ht="16">
      <c r="A88" s="101" t="str">
        <f t="shared" si="0"/>
        <v>OK</v>
      </c>
      <c r="B88" s="49">
        <v>3706486</v>
      </c>
      <c r="C88" s="49" t="s">
        <v>227</v>
      </c>
      <c r="D88" s="49" t="s">
        <v>6</v>
      </c>
      <c r="E88" s="50">
        <v>7.0000000000000007E-2</v>
      </c>
      <c r="F88" s="108">
        <v>0</v>
      </c>
      <c r="G88" s="51">
        <v>43853</v>
      </c>
      <c r="H88" s="46">
        <v>182.75862100000001</v>
      </c>
      <c r="I88" s="49" t="str">
        <f ca="1"/>
        <v>大木 優香</v>
      </c>
      <c r="J88" s="109" t="s">
        <v>185</v>
      </c>
      <c r="K88" s="49" t="s">
        <v>50</v>
      </c>
      <c r="L88" s="100" t="s">
        <v>51</v>
      </c>
      <c r="M88" s="107" t="s">
        <v>52</v>
      </c>
      <c r="N88" s="110" t="s">
        <v>186</v>
      </c>
    </row>
    <row r="89" spans="1:14" ht="16">
      <c r="A89" s="101" t="str">
        <f t="shared" si="0"/>
        <v>OK</v>
      </c>
      <c r="B89" s="49">
        <v>3706487</v>
      </c>
      <c r="C89" s="49" t="s">
        <v>228</v>
      </c>
      <c r="D89" s="49" t="s">
        <v>6</v>
      </c>
      <c r="E89" s="50">
        <v>7.0000000000000007E-2</v>
      </c>
      <c r="F89" s="108">
        <v>0</v>
      </c>
      <c r="G89" s="51">
        <v>43853</v>
      </c>
      <c r="H89" s="46">
        <v>182.75862100000001</v>
      </c>
      <c r="I89" s="49" t="str">
        <f ca="1"/>
        <v>大木 優香</v>
      </c>
      <c r="J89" s="109" t="s">
        <v>185</v>
      </c>
      <c r="K89" s="49" t="s">
        <v>50</v>
      </c>
      <c r="L89" s="100" t="s">
        <v>51</v>
      </c>
      <c r="M89" s="107" t="s">
        <v>52</v>
      </c>
      <c r="N89" s="110" t="s">
        <v>186</v>
      </c>
    </row>
    <row r="90" spans="1:14" ht="16">
      <c r="A90" s="101" t="str">
        <f t="shared" si="0"/>
        <v>OK</v>
      </c>
      <c r="B90" s="49">
        <v>3706490</v>
      </c>
      <c r="C90" s="49" t="s">
        <v>229</v>
      </c>
      <c r="D90" s="49" t="s">
        <v>6</v>
      </c>
      <c r="E90" s="50">
        <v>7.0000000000000007E-2</v>
      </c>
      <c r="F90" s="108">
        <v>0</v>
      </c>
      <c r="G90" s="51">
        <v>43853</v>
      </c>
      <c r="H90" s="46">
        <v>182.75862100000001</v>
      </c>
      <c r="I90" s="49" t="str">
        <f ca="1"/>
        <v>大木 優香</v>
      </c>
      <c r="J90" s="109" t="s">
        <v>185</v>
      </c>
      <c r="K90" s="49" t="s">
        <v>50</v>
      </c>
      <c r="L90" s="100" t="s">
        <v>51</v>
      </c>
      <c r="M90" s="107" t="s">
        <v>52</v>
      </c>
      <c r="N90" s="110" t="s">
        <v>186</v>
      </c>
    </row>
    <row r="91" spans="1:14" ht="16">
      <c r="A91" s="101" t="str">
        <f t="shared" si="0"/>
        <v>OK</v>
      </c>
      <c r="B91" s="49">
        <v>3706491</v>
      </c>
      <c r="C91" s="49" t="s">
        <v>230</v>
      </c>
      <c r="D91" s="49" t="s">
        <v>6</v>
      </c>
      <c r="E91" s="50">
        <v>7.0000000000000007E-2</v>
      </c>
      <c r="F91" s="108">
        <v>0</v>
      </c>
      <c r="G91" s="51">
        <v>43853</v>
      </c>
      <c r="H91" s="46">
        <v>182.75862100000001</v>
      </c>
      <c r="I91" s="49" t="str">
        <f ca="1"/>
        <v>大木 優香</v>
      </c>
      <c r="J91" s="109" t="s">
        <v>185</v>
      </c>
      <c r="K91" s="49" t="s">
        <v>50</v>
      </c>
      <c r="L91" s="100" t="s">
        <v>51</v>
      </c>
      <c r="M91" s="107" t="s">
        <v>52</v>
      </c>
      <c r="N91" s="110" t="s">
        <v>186</v>
      </c>
    </row>
    <row r="92" spans="1:14" ht="16">
      <c r="A92" s="101" t="str">
        <f t="shared" si="0"/>
        <v>OK</v>
      </c>
      <c r="B92" s="49">
        <v>3706492</v>
      </c>
      <c r="C92" s="49" t="s">
        <v>231</v>
      </c>
      <c r="D92" s="49" t="s">
        <v>6</v>
      </c>
      <c r="E92" s="50">
        <v>7.0000000000000007E-2</v>
      </c>
      <c r="F92" s="108">
        <v>0</v>
      </c>
      <c r="G92" s="51">
        <v>43853</v>
      </c>
      <c r="H92" s="46">
        <v>182.75862100000001</v>
      </c>
      <c r="I92" s="49" t="str">
        <f ca="1"/>
        <v>大木 優香</v>
      </c>
      <c r="J92" s="109" t="s">
        <v>185</v>
      </c>
      <c r="K92" s="49" t="s">
        <v>50</v>
      </c>
      <c r="L92" s="100" t="s">
        <v>51</v>
      </c>
      <c r="M92" s="107" t="s">
        <v>52</v>
      </c>
      <c r="N92" s="110" t="s">
        <v>186</v>
      </c>
    </row>
    <row r="93" spans="1:14" ht="16">
      <c r="A93" s="101" t="str">
        <f t="shared" si="0"/>
        <v>OK</v>
      </c>
      <c r="B93" s="49">
        <v>3706494</v>
      </c>
      <c r="C93" s="49" t="s">
        <v>232</v>
      </c>
      <c r="D93" s="49" t="s">
        <v>6</v>
      </c>
      <c r="E93" s="50">
        <v>7.0000000000000007E-2</v>
      </c>
      <c r="F93" s="108">
        <v>0</v>
      </c>
      <c r="G93" s="51">
        <v>43853</v>
      </c>
      <c r="H93" s="46">
        <v>182.75862100000001</v>
      </c>
      <c r="I93" s="49" t="str">
        <f ca="1"/>
        <v>大木 優香</v>
      </c>
      <c r="J93" s="109" t="s">
        <v>185</v>
      </c>
      <c r="K93" s="49" t="s">
        <v>50</v>
      </c>
      <c r="L93" s="100" t="s">
        <v>51</v>
      </c>
      <c r="M93" s="107" t="s">
        <v>52</v>
      </c>
      <c r="N93" s="110" t="s">
        <v>186</v>
      </c>
    </row>
    <row r="94" spans="1:14" ht="16">
      <c r="A94" s="101" t="str">
        <f t="shared" si="0"/>
        <v>OK</v>
      </c>
      <c r="B94" s="49">
        <v>3706496</v>
      </c>
      <c r="C94" s="49" t="s">
        <v>233</v>
      </c>
      <c r="D94" s="49" t="s">
        <v>6</v>
      </c>
      <c r="E94" s="50">
        <v>7.0000000000000007E-2</v>
      </c>
      <c r="F94" s="108">
        <v>0</v>
      </c>
      <c r="G94" s="51">
        <v>43853</v>
      </c>
      <c r="H94" s="46">
        <v>182.75862100000001</v>
      </c>
      <c r="I94" s="49" t="str">
        <f ca="1"/>
        <v>大木 優香</v>
      </c>
      <c r="J94" s="109" t="s">
        <v>185</v>
      </c>
      <c r="K94" s="49" t="s">
        <v>50</v>
      </c>
      <c r="L94" s="100" t="s">
        <v>51</v>
      </c>
      <c r="M94" s="107" t="s">
        <v>52</v>
      </c>
      <c r="N94" s="110" t="s">
        <v>186</v>
      </c>
    </row>
    <row r="95" spans="1:14" ht="16">
      <c r="A95" s="101" t="str">
        <f t="shared" si="0"/>
        <v>OK</v>
      </c>
      <c r="B95" s="49">
        <v>3706497</v>
      </c>
      <c r="C95" s="49" t="s">
        <v>234</v>
      </c>
      <c r="D95" s="49" t="s">
        <v>6</v>
      </c>
      <c r="E95" s="50">
        <v>7.0000000000000007E-2</v>
      </c>
      <c r="F95" s="108">
        <v>0</v>
      </c>
      <c r="G95" s="51">
        <v>43853</v>
      </c>
      <c r="H95" s="46">
        <v>182.75862100000001</v>
      </c>
      <c r="I95" s="49" t="str">
        <f ca="1"/>
        <v>大木 優香</v>
      </c>
      <c r="J95" s="109" t="s">
        <v>185</v>
      </c>
      <c r="K95" s="49" t="s">
        <v>50</v>
      </c>
      <c r="L95" s="100" t="s">
        <v>51</v>
      </c>
      <c r="M95" s="107" t="s">
        <v>52</v>
      </c>
      <c r="N95" s="110" t="s">
        <v>186</v>
      </c>
    </row>
    <row r="96" spans="1:14" ht="16">
      <c r="A96" s="101" t="str">
        <f t="shared" si="0"/>
        <v>OK</v>
      </c>
      <c r="B96" s="49">
        <v>3706499</v>
      </c>
      <c r="C96" s="49" t="s">
        <v>235</v>
      </c>
      <c r="D96" s="49" t="s">
        <v>6</v>
      </c>
      <c r="E96" s="50">
        <v>7.0000000000000007E-2</v>
      </c>
      <c r="F96" s="108">
        <v>0</v>
      </c>
      <c r="G96" s="51">
        <v>43853</v>
      </c>
      <c r="H96" s="46">
        <v>182.75862100000001</v>
      </c>
      <c r="I96" s="49" t="str">
        <f ca="1"/>
        <v>大木 優香</v>
      </c>
      <c r="J96" s="109" t="s">
        <v>185</v>
      </c>
      <c r="K96" s="49" t="s">
        <v>50</v>
      </c>
      <c r="L96" s="100" t="s">
        <v>51</v>
      </c>
      <c r="M96" s="107" t="s">
        <v>52</v>
      </c>
      <c r="N96" s="110" t="s">
        <v>186</v>
      </c>
    </row>
    <row r="97" spans="1:14" ht="16">
      <c r="A97" s="101" t="str">
        <f t="shared" si="0"/>
        <v>OK</v>
      </c>
      <c r="B97" s="49">
        <v>3706500</v>
      </c>
      <c r="C97" s="49" t="s">
        <v>236</v>
      </c>
      <c r="D97" s="49" t="s">
        <v>6</v>
      </c>
      <c r="E97" s="50">
        <v>7.0000000000000007E-2</v>
      </c>
      <c r="F97" s="108">
        <v>0</v>
      </c>
      <c r="G97" s="51">
        <v>43853</v>
      </c>
      <c r="H97" s="46">
        <v>182.75862100000001</v>
      </c>
      <c r="I97" s="49" t="str">
        <f ca="1"/>
        <v>大木 優香</v>
      </c>
      <c r="J97" s="109" t="s">
        <v>185</v>
      </c>
      <c r="K97" s="49" t="s">
        <v>50</v>
      </c>
      <c r="L97" s="100" t="s">
        <v>51</v>
      </c>
      <c r="M97" s="107" t="s">
        <v>52</v>
      </c>
      <c r="N97" s="110" t="s">
        <v>186</v>
      </c>
    </row>
    <row r="98" spans="1:14" ht="16">
      <c r="A98" s="101" t="str">
        <f t="shared" si="0"/>
        <v>OK</v>
      </c>
      <c r="B98" s="49">
        <v>3706502</v>
      </c>
      <c r="C98" s="49" t="s">
        <v>237</v>
      </c>
      <c r="D98" s="49" t="s">
        <v>6</v>
      </c>
      <c r="E98" s="50">
        <v>7.0000000000000007E-2</v>
      </c>
      <c r="F98" s="108">
        <v>0</v>
      </c>
      <c r="G98" s="51">
        <v>43853</v>
      </c>
      <c r="H98" s="46">
        <v>182.75862100000001</v>
      </c>
      <c r="I98" s="49" t="str">
        <f ca="1"/>
        <v>大木 優香</v>
      </c>
      <c r="J98" s="109" t="s">
        <v>185</v>
      </c>
      <c r="K98" s="49" t="s">
        <v>50</v>
      </c>
      <c r="L98" s="100" t="s">
        <v>51</v>
      </c>
      <c r="M98" s="107" t="s">
        <v>52</v>
      </c>
      <c r="N98" s="110" t="s">
        <v>186</v>
      </c>
    </row>
    <row r="99" spans="1:14" ht="16">
      <c r="A99" s="101" t="str">
        <f t="shared" si="0"/>
        <v>OK</v>
      </c>
      <c r="B99" s="49">
        <v>3706505</v>
      </c>
      <c r="C99" s="49" t="s">
        <v>238</v>
      </c>
      <c r="D99" s="49" t="s">
        <v>6</v>
      </c>
      <c r="E99" s="50">
        <v>7.0000000000000007E-2</v>
      </c>
      <c r="F99" s="108">
        <v>0</v>
      </c>
      <c r="G99" s="51">
        <v>43853</v>
      </c>
      <c r="H99" s="46">
        <v>182.75862100000001</v>
      </c>
      <c r="I99" s="49" t="str">
        <f ca="1"/>
        <v>大木 優香</v>
      </c>
      <c r="J99" s="109" t="s">
        <v>185</v>
      </c>
      <c r="K99" s="49" t="s">
        <v>50</v>
      </c>
      <c r="L99" s="100" t="s">
        <v>51</v>
      </c>
      <c r="M99" s="107" t="s">
        <v>52</v>
      </c>
      <c r="N99" s="110" t="s">
        <v>186</v>
      </c>
    </row>
    <row r="100" spans="1:14" ht="16">
      <c r="A100" s="101" t="str">
        <f t="shared" si="0"/>
        <v>OK</v>
      </c>
      <c r="B100" s="49">
        <v>3706506</v>
      </c>
      <c r="C100" s="49" t="s">
        <v>239</v>
      </c>
      <c r="D100" s="49" t="s">
        <v>6</v>
      </c>
      <c r="E100" s="50">
        <v>7.0000000000000007E-2</v>
      </c>
      <c r="F100" s="108">
        <v>0</v>
      </c>
      <c r="G100" s="51">
        <v>43853</v>
      </c>
      <c r="H100" s="46">
        <v>182.75862100000001</v>
      </c>
      <c r="I100" s="49" t="str">
        <f ca="1"/>
        <v>大木 優香</v>
      </c>
      <c r="J100" s="109" t="s">
        <v>185</v>
      </c>
      <c r="K100" s="49" t="s">
        <v>50</v>
      </c>
      <c r="L100" s="100" t="s">
        <v>51</v>
      </c>
      <c r="M100" s="107" t="s">
        <v>52</v>
      </c>
      <c r="N100" s="110" t="s">
        <v>186</v>
      </c>
    </row>
    <row r="101" spans="1:14" ht="16">
      <c r="A101" s="101" t="str">
        <f t="shared" si="0"/>
        <v>OK</v>
      </c>
      <c r="B101" s="49">
        <v>3706508</v>
      </c>
      <c r="C101" s="49" t="s">
        <v>240</v>
      </c>
      <c r="D101" s="49" t="s">
        <v>6</v>
      </c>
      <c r="E101" s="50">
        <v>7.0000000000000007E-2</v>
      </c>
      <c r="F101" s="108">
        <v>0</v>
      </c>
      <c r="G101" s="51">
        <v>43853</v>
      </c>
      <c r="H101" s="46">
        <v>182.75862100000001</v>
      </c>
      <c r="I101" s="49" t="str">
        <f ca="1"/>
        <v>大木 優香</v>
      </c>
      <c r="J101" s="109" t="s">
        <v>185</v>
      </c>
      <c r="K101" s="49" t="s">
        <v>50</v>
      </c>
      <c r="L101" s="100" t="s">
        <v>51</v>
      </c>
      <c r="M101" s="107" t="s">
        <v>52</v>
      </c>
      <c r="N101" s="110" t="s">
        <v>186</v>
      </c>
    </row>
    <row r="102" spans="1:14" ht="16">
      <c r="A102" s="101" t="str">
        <f t="shared" si="0"/>
        <v>OK</v>
      </c>
      <c r="B102" s="49">
        <v>3706509</v>
      </c>
      <c r="C102" s="49" t="s">
        <v>241</v>
      </c>
      <c r="D102" s="49" t="s">
        <v>6</v>
      </c>
      <c r="E102" s="50">
        <v>7.0000000000000007E-2</v>
      </c>
      <c r="F102" s="108">
        <v>0</v>
      </c>
      <c r="G102" s="51">
        <v>43853</v>
      </c>
      <c r="H102" s="46">
        <v>182.75862100000001</v>
      </c>
      <c r="I102" s="49" t="str">
        <f ca="1"/>
        <v>大木 優香</v>
      </c>
      <c r="J102" s="109" t="s">
        <v>185</v>
      </c>
      <c r="K102" s="49" t="s">
        <v>50</v>
      </c>
      <c r="L102" s="100" t="s">
        <v>51</v>
      </c>
      <c r="M102" s="107" t="s">
        <v>52</v>
      </c>
      <c r="N102" s="110" t="s">
        <v>186</v>
      </c>
    </row>
    <row r="103" spans="1:14" ht="16">
      <c r="A103" s="101" t="str">
        <f t="shared" si="0"/>
        <v>OK</v>
      </c>
      <c r="B103" s="49">
        <v>3706512</v>
      </c>
      <c r="C103" s="49" t="s">
        <v>242</v>
      </c>
      <c r="D103" s="49" t="s">
        <v>6</v>
      </c>
      <c r="E103" s="50">
        <v>7.0000000000000007E-2</v>
      </c>
      <c r="F103" s="108">
        <v>0</v>
      </c>
      <c r="G103" s="51">
        <v>43853</v>
      </c>
      <c r="H103" s="46">
        <v>182.75862100000001</v>
      </c>
      <c r="I103" s="49" t="str">
        <f ca="1"/>
        <v>大木 優香</v>
      </c>
      <c r="J103" s="109" t="s">
        <v>185</v>
      </c>
      <c r="K103" s="49" t="s">
        <v>50</v>
      </c>
      <c r="L103" s="100" t="s">
        <v>51</v>
      </c>
      <c r="M103" s="107" t="s">
        <v>52</v>
      </c>
      <c r="N103" s="110" t="s">
        <v>186</v>
      </c>
    </row>
    <row r="104" spans="1:14" ht="16">
      <c r="A104" s="101" t="str">
        <f t="shared" si="0"/>
        <v>OK</v>
      </c>
      <c r="B104" s="49">
        <v>3706514</v>
      </c>
      <c r="C104" s="49" t="s">
        <v>243</v>
      </c>
      <c r="D104" s="49" t="s">
        <v>6</v>
      </c>
      <c r="E104" s="50">
        <v>7.0000000000000007E-2</v>
      </c>
      <c r="F104" s="108">
        <v>0</v>
      </c>
      <c r="G104" s="51">
        <v>43853</v>
      </c>
      <c r="H104" s="46">
        <v>182.75862100000001</v>
      </c>
      <c r="I104" s="49" t="str">
        <f ca="1"/>
        <v>大木 優香</v>
      </c>
      <c r="J104" s="109" t="s">
        <v>185</v>
      </c>
      <c r="K104" s="49" t="s">
        <v>50</v>
      </c>
      <c r="L104" s="100" t="s">
        <v>51</v>
      </c>
      <c r="M104" s="107" t="s">
        <v>52</v>
      </c>
      <c r="N104" s="110" t="s">
        <v>186</v>
      </c>
    </row>
    <row r="105" spans="1:14" ht="16">
      <c r="A105" s="101" t="str">
        <f t="shared" si="0"/>
        <v>OK</v>
      </c>
      <c r="B105" s="49">
        <v>3706515</v>
      </c>
      <c r="C105" s="49" t="s">
        <v>244</v>
      </c>
      <c r="D105" s="49" t="s">
        <v>6</v>
      </c>
      <c r="E105" s="50">
        <v>7.0000000000000007E-2</v>
      </c>
      <c r="F105" s="108">
        <v>0</v>
      </c>
      <c r="G105" s="51">
        <v>43853</v>
      </c>
      <c r="H105" s="46">
        <v>182.75862100000001</v>
      </c>
      <c r="I105" s="49" t="str">
        <f ca="1"/>
        <v>大木 優香</v>
      </c>
      <c r="J105" s="109" t="s">
        <v>185</v>
      </c>
      <c r="K105" s="49" t="s">
        <v>50</v>
      </c>
      <c r="L105" s="100" t="s">
        <v>51</v>
      </c>
      <c r="M105" s="107" t="s">
        <v>52</v>
      </c>
      <c r="N105" s="110" t="s">
        <v>186</v>
      </c>
    </row>
    <row r="106" spans="1:14" ht="16">
      <c r="A106" s="101" t="str">
        <f t="shared" si="0"/>
        <v>OK</v>
      </c>
      <c r="B106" s="49">
        <v>3706517</v>
      </c>
      <c r="C106" s="49" t="s">
        <v>245</v>
      </c>
      <c r="D106" s="49" t="s">
        <v>6</v>
      </c>
      <c r="E106" s="50">
        <v>7.0000000000000007E-2</v>
      </c>
      <c r="F106" s="108">
        <v>0</v>
      </c>
      <c r="G106" s="51">
        <v>43853</v>
      </c>
      <c r="H106" s="46">
        <v>182.75862100000001</v>
      </c>
      <c r="I106" s="49" t="str">
        <f ca="1"/>
        <v>大木 優香</v>
      </c>
      <c r="J106" s="109" t="s">
        <v>185</v>
      </c>
      <c r="K106" s="49" t="s">
        <v>50</v>
      </c>
      <c r="L106" s="100" t="s">
        <v>51</v>
      </c>
      <c r="M106" s="107" t="s">
        <v>52</v>
      </c>
      <c r="N106" s="110" t="s">
        <v>186</v>
      </c>
    </row>
    <row r="107" spans="1:14" ht="16">
      <c r="A107" s="101" t="str">
        <f t="shared" si="0"/>
        <v>OK</v>
      </c>
      <c r="B107" s="49">
        <v>3706518</v>
      </c>
      <c r="C107" s="49" t="s">
        <v>246</v>
      </c>
      <c r="D107" s="49" t="s">
        <v>6</v>
      </c>
      <c r="E107" s="50">
        <v>7.0000000000000007E-2</v>
      </c>
      <c r="F107" s="108">
        <v>0</v>
      </c>
      <c r="G107" s="51">
        <v>43853</v>
      </c>
      <c r="H107" s="46">
        <v>182.75862100000001</v>
      </c>
      <c r="I107" s="49" t="str">
        <f ca="1"/>
        <v>大木 優香</v>
      </c>
      <c r="J107" s="109" t="s">
        <v>185</v>
      </c>
      <c r="K107" s="49" t="s">
        <v>50</v>
      </c>
      <c r="L107" s="100" t="s">
        <v>51</v>
      </c>
      <c r="M107" s="107" t="s">
        <v>52</v>
      </c>
      <c r="N107" s="110" t="s">
        <v>186</v>
      </c>
    </row>
    <row r="108" spans="1:14" ht="16">
      <c r="A108" s="101" t="str">
        <f t="shared" si="0"/>
        <v>OK</v>
      </c>
      <c r="B108" s="49">
        <v>3706519</v>
      </c>
      <c r="C108" s="49" t="s">
        <v>247</v>
      </c>
      <c r="D108" s="49" t="s">
        <v>6</v>
      </c>
      <c r="E108" s="50">
        <v>7.0000000000000007E-2</v>
      </c>
      <c r="F108" s="108">
        <v>0</v>
      </c>
      <c r="G108" s="51">
        <v>43853</v>
      </c>
      <c r="H108" s="46">
        <v>182.75862100000001</v>
      </c>
      <c r="I108" s="49" t="str">
        <f ca="1"/>
        <v>大木 優香</v>
      </c>
      <c r="J108" s="109" t="s">
        <v>185</v>
      </c>
      <c r="K108" s="49" t="s">
        <v>50</v>
      </c>
      <c r="L108" s="100" t="s">
        <v>51</v>
      </c>
      <c r="M108" s="107" t="s">
        <v>52</v>
      </c>
      <c r="N108" s="110" t="s">
        <v>186</v>
      </c>
    </row>
    <row r="109" spans="1:14" ht="16">
      <c r="A109" s="101" t="str">
        <f t="shared" si="0"/>
        <v>OK</v>
      </c>
      <c r="B109" s="49">
        <v>3706520</v>
      </c>
      <c r="C109" s="49" t="s">
        <v>248</v>
      </c>
      <c r="D109" s="49" t="s">
        <v>6</v>
      </c>
      <c r="E109" s="50">
        <v>7.0000000000000007E-2</v>
      </c>
      <c r="F109" s="108">
        <v>0</v>
      </c>
      <c r="G109" s="51">
        <v>43853</v>
      </c>
      <c r="H109" s="46">
        <v>182.75862100000001</v>
      </c>
      <c r="I109" s="49" t="str">
        <f ca="1"/>
        <v>大木 優香</v>
      </c>
      <c r="J109" s="109" t="s">
        <v>185</v>
      </c>
      <c r="K109" s="49" t="s">
        <v>50</v>
      </c>
      <c r="L109" s="100" t="s">
        <v>51</v>
      </c>
      <c r="M109" s="107" t="s">
        <v>52</v>
      </c>
      <c r="N109" s="110" t="s">
        <v>186</v>
      </c>
    </row>
    <row r="110" spans="1:14" ht="16">
      <c r="A110" s="101" t="str">
        <f t="shared" si="0"/>
        <v>OK</v>
      </c>
      <c r="B110" s="49">
        <v>3706521</v>
      </c>
      <c r="C110" s="49" t="s">
        <v>249</v>
      </c>
      <c r="D110" s="49" t="s">
        <v>6</v>
      </c>
      <c r="E110" s="50">
        <v>7.0000000000000007E-2</v>
      </c>
      <c r="F110" s="108">
        <v>0</v>
      </c>
      <c r="G110" s="51">
        <v>43853</v>
      </c>
      <c r="H110" s="46">
        <v>182.75862100000001</v>
      </c>
      <c r="I110" s="49" t="str">
        <f ca="1"/>
        <v>大木 優香</v>
      </c>
      <c r="J110" s="109" t="s">
        <v>185</v>
      </c>
      <c r="K110" s="49" t="s">
        <v>50</v>
      </c>
      <c r="L110" s="100" t="s">
        <v>51</v>
      </c>
      <c r="M110" s="107" t="s">
        <v>52</v>
      </c>
      <c r="N110" s="110" t="s">
        <v>186</v>
      </c>
    </row>
    <row r="111" spans="1:14" ht="16">
      <c r="A111" s="101" t="str">
        <f t="shared" si="0"/>
        <v>OK</v>
      </c>
      <c r="B111" s="49">
        <v>3706522</v>
      </c>
      <c r="C111" s="49" t="s">
        <v>250</v>
      </c>
      <c r="D111" s="49" t="s">
        <v>6</v>
      </c>
      <c r="E111" s="50">
        <v>7.0000000000000007E-2</v>
      </c>
      <c r="F111" s="108">
        <v>0</v>
      </c>
      <c r="G111" s="51">
        <v>43853</v>
      </c>
      <c r="H111" s="46">
        <v>182.75862100000001</v>
      </c>
      <c r="I111" s="49" t="str">
        <f ca="1"/>
        <v>大木 優香</v>
      </c>
      <c r="J111" s="109" t="s">
        <v>185</v>
      </c>
      <c r="K111" s="49" t="s">
        <v>50</v>
      </c>
      <c r="L111" s="100" t="s">
        <v>51</v>
      </c>
      <c r="M111" s="107" t="s">
        <v>52</v>
      </c>
      <c r="N111" s="110" t="s">
        <v>186</v>
      </c>
    </row>
    <row r="112" spans="1:14" ht="16">
      <c r="A112" s="101" t="str">
        <f t="shared" si="0"/>
        <v>OK</v>
      </c>
      <c r="B112" s="49">
        <v>3706525</v>
      </c>
      <c r="C112" s="49" t="s">
        <v>251</v>
      </c>
      <c r="D112" s="49" t="s">
        <v>6</v>
      </c>
      <c r="E112" s="50">
        <v>7.0000000000000007E-2</v>
      </c>
      <c r="F112" s="108">
        <v>0</v>
      </c>
      <c r="G112" s="51">
        <v>43853</v>
      </c>
      <c r="H112" s="46">
        <v>182.75862100000001</v>
      </c>
      <c r="I112" s="49" t="str">
        <f ca="1"/>
        <v>大木 優香</v>
      </c>
      <c r="J112" s="109" t="s">
        <v>185</v>
      </c>
      <c r="K112" s="49" t="s">
        <v>50</v>
      </c>
      <c r="L112" s="100" t="s">
        <v>51</v>
      </c>
      <c r="M112" s="107" t="s">
        <v>52</v>
      </c>
      <c r="N112" s="110" t="s">
        <v>186</v>
      </c>
    </row>
    <row r="113" spans="1:14" ht="16">
      <c r="A113" s="101" t="str">
        <f t="shared" si="0"/>
        <v>OK</v>
      </c>
      <c r="B113" s="49">
        <v>3706528</v>
      </c>
      <c r="C113" s="49" t="s">
        <v>252</v>
      </c>
      <c r="D113" s="49" t="s">
        <v>6</v>
      </c>
      <c r="E113" s="50">
        <v>7.0000000000000007E-2</v>
      </c>
      <c r="F113" s="108">
        <v>0</v>
      </c>
      <c r="G113" s="51">
        <v>43853</v>
      </c>
      <c r="H113" s="46">
        <v>182.75862100000001</v>
      </c>
      <c r="I113" s="49" t="str">
        <f ca="1"/>
        <v>大木 優香</v>
      </c>
      <c r="J113" s="109" t="s">
        <v>185</v>
      </c>
      <c r="K113" s="49" t="s">
        <v>50</v>
      </c>
      <c r="L113" s="100" t="s">
        <v>51</v>
      </c>
      <c r="M113" s="107" t="s">
        <v>52</v>
      </c>
      <c r="N113" s="110" t="s">
        <v>186</v>
      </c>
    </row>
    <row r="114" spans="1:14" ht="16">
      <c r="A114" s="101" t="str">
        <f t="shared" si="0"/>
        <v>OK</v>
      </c>
      <c r="B114" s="49">
        <v>3706529</v>
      </c>
      <c r="C114" s="49" t="s">
        <v>253</v>
      </c>
      <c r="D114" s="49" t="s">
        <v>6</v>
      </c>
      <c r="E114" s="50">
        <v>7.0000000000000007E-2</v>
      </c>
      <c r="F114" s="108">
        <v>0</v>
      </c>
      <c r="G114" s="51">
        <v>43853</v>
      </c>
      <c r="H114" s="46">
        <v>182.75862100000001</v>
      </c>
      <c r="I114" s="49" t="str">
        <f ca="1"/>
        <v>大木 優香</v>
      </c>
      <c r="J114" s="109" t="s">
        <v>185</v>
      </c>
      <c r="K114" s="49" t="s">
        <v>50</v>
      </c>
      <c r="L114" s="100" t="s">
        <v>51</v>
      </c>
      <c r="M114" s="107" t="s">
        <v>52</v>
      </c>
      <c r="N114" s="110" t="s">
        <v>186</v>
      </c>
    </row>
    <row r="115" spans="1:14" ht="16">
      <c r="A115" s="101" t="str">
        <f t="shared" si="0"/>
        <v>OK</v>
      </c>
      <c r="B115" s="49">
        <v>3706532</v>
      </c>
      <c r="C115" s="49" t="s">
        <v>254</v>
      </c>
      <c r="D115" s="49" t="s">
        <v>6</v>
      </c>
      <c r="E115" s="50">
        <v>7.0000000000000007E-2</v>
      </c>
      <c r="F115" s="108">
        <v>0</v>
      </c>
      <c r="G115" s="51">
        <v>43853</v>
      </c>
      <c r="H115" s="46">
        <v>182.75862100000001</v>
      </c>
      <c r="I115" s="49" t="str">
        <f ca="1"/>
        <v>大木 優香</v>
      </c>
      <c r="J115" s="109" t="s">
        <v>185</v>
      </c>
      <c r="K115" s="49" t="s">
        <v>50</v>
      </c>
      <c r="L115" s="100" t="s">
        <v>51</v>
      </c>
      <c r="M115" s="107" t="s">
        <v>52</v>
      </c>
      <c r="N115" s="110" t="s">
        <v>186</v>
      </c>
    </row>
    <row r="116" spans="1:14" ht="16">
      <c r="A116" s="101" t="str">
        <f t="shared" si="0"/>
        <v>OK</v>
      </c>
      <c r="B116" s="49">
        <v>3706534</v>
      </c>
      <c r="C116" s="49" t="s">
        <v>255</v>
      </c>
      <c r="D116" s="49" t="s">
        <v>6</v>
      </c>
      <c r="E116" s="50">
        <v>7.0000000000000007E-2</v>
      </c>
      <c r="F116" s="108">
        <v>0</v>
      </c>
      <c r="G116" s="51">
        <v>43853</v>
      </c>
      <c r="H116" s="46">
        <v>182.75862100000001</v>
      </c>
      <c r="I116" s="49" t="str">
        <f ca="1"/>
        <v>大木 優香</v>
      </c>
      <c r="J116" s="109" t="s">
        <v>185</v>
      </c>
      <c r="K116" s="49" t="s">
        <v>50</v>
      </c>
      <c r="L116" s="100" t="s">
        <v>51</v>
      </c>
      <c r="M116" s="107" t="s">
        <v>52</v>
      </c>
      <c r="N116" s="110" t="s">
        <v>186</v>
      </c>
    </row>
    <row r="117" spans="1:14" ht="16">
      <c r="A117" s="101" t="str">
        <f t="shared" si="0"/>
        <v>OK</v>
      </c>
      <c r="B117" s="49">
        <v>3706535</v>
      </c>
      <c r="C117" s="49" t="s">
        <v>256</v>
      </c>
      <c r="D117" s="49" t="s">
        <v>6</v>
      </c>
      <c r="E117" s="50">
        <v>7.0000000000000007E-2</v>
      </c>
      <c r="F117" s="108">
        <v>0</v>
      </c>
      <c r="G117" s="51">
        <v>43853</v>
      </c>
      <c r="H117" s="46">
        <v>182.75862100000001</v>
      </c>
      <c r="I117" s="49" t="str">
        <f ca="1"/>
        <v>大木 優香</v>
      </c>
      <c r="J117" s="109" t="s">
        <v>185</v>
      </c>
      <c r="K117" s="49" t="s">
        <v>50</v>
      </c>
      <c r="L117" s="100" t="s">
        <v>51</v>
      </c>
      <c r="M117" s="107" t="s">
        <v>52</v>
      </c>
      <c r="N117" s="110" t="s">
        <v>186</v>
      </c>
    </row>
    <row r="118" spans="1:14" ht="16">
      <c r="A118" s="101" t="str">
        <f t="shared" si="0"/>
        <v>OK</v>
      </c>
      <c r="B118" s="49">
        <v>3706538</v>
      </c>
      <c r="C118" s="49" t="s">
        <v>257</v>
      </c>
      <c r="D118" s="49" t="s">
        <v>6</v>
      </c>
      <c r="E118" s="50">
        <v>7.0000000000000007E-2</v>
      </c>
      <c r="F118" s="108">
        <v>0</v>
      </c>
      <c r="G118" s="51">
        <v>43853</v>
      </c>
      <c r="H118" s="46">
        <v>182.75862100000001</v>
      </c>
      <c r="I118" s="49" t="str">
        <f ca="1"/>
        <v>大木 優香</v>
      </c>
      <c r="J118" s="109" t="s">
        <v>185</v>
      </c>
      <c r="K118" s="49" t="s">
        <v>50</v>
      </c>
      <c r="L118" s="100" t="s">
        <v>51</v>
      </c>
      <c r="M118" s="107" t="s">
        <v>52</v>
      </c>
      <c r="N118" s="110" t="s">
        <v>186</v>
      </c>
    </row>
    <row r="119" spans="1:14" ht="16">
      <c r="A119" s="101" t="str">
        <f t="shared" si="0"/>
        <v>OK</v>
      </c>
      <c r="B119" s="49">
        <v>3706541</v>
      </c>
      <c r="C119" s="49" t="s">
        <v>258</v>
      </c>
      <c r="D119" s="49" t="s">
        <v>6</v>
      </c>
      <c r="E119" s="50">
        <v>7.0000000000000007E-2</v>
      </c>
      <c r="F119" s="108">
        <v>0</v>
      </c>
      <c r="G119" s="51">
        <v>43853</v>
      </c>
      <c r="H119" s="46">
        <v>182.75862100000001</v>
      </c>
      <c r="I119" s="49" t="str">
        <f ca="1"/>
        <v>大木 優香</v>
      </c>
      <c r="J119" s="109" t="s">
        <v>185</v>
      </c>
      <c r="K119" s="49" t="s">
        <v>50</v>
      </c>
      <c r="L119" s="100" t="s">
        <v>51</v>
      </c>
      <c r="M119" s="107" t="s">
        <v>52</v>
      </c>
      <c r="N119" s="110" t="s">
        <v>186</v>
      </c>
    </row>
    <row r="120" spans="1:14" ht="16">
      <c r="A120" s="101" t="str">
        <f t="shared" si="0"/>
        <v>OK</v>
      </c>
      <c r="B120" s="49">
        <v>3706543</v>
      </c>
      <c r="C120" s="49" t="s">
        <v>259</v>
      </c>
      <c r="D120" s="49" t="s">
        <v>6</v>
      </c>
      <c r="E120" s="50">
        <v>7.0000000000000007E-2</v>
      </c>
      <c r="F120" s="108">
        <v>0</v>
      </c>
      <c r="G120" s="51">
        <v>43853</v>
      </c>
      <c r="H120" s="46">
        <v>182.75862100000001</v>
      </c>
      <c r="I120" s="49" t="str">
        <f ca="1"/>
        <v>大木 優香</v>
      </c>
      <c r="J120" s="109" t="s">
        <v>185</v>
      </c>
      <c r="K120" s="49" t="s">
        <v>50</v>
      </c>
      <c r="L120" s="100" t="s">
        <v>51</v>
      </c>
      <c r="M120" s="107" t="s">
        <v>52</v>
      </c>
      <c r="N120" s="110" t="s">
        <v>186</v>
      </c>
    </row>
    <row r="121" spans="1:14" ht="16">
      <c r="A121" s="101" t="str">
        <f t="shared" si="0"/>
        <v>OK</v>
      </c>
      <c r="B121" s="49">
        <v>3706544</v>
      </c>
      <c r="C121" s="49" t="s">
        <v>260</v>
      </c>
      <c r="D121" s="49" t="s">
        <v>6</v>
      </c>
      <c r="E121" s="50">
        <v>7.0000000000000007E-2</v>
      </c>
      <c r="F121" s="108">
        <v>0</v>
      </c>
      <c r="G121" s="51">
        <v>43853</v>
      </c>
      <c r="H121" s="46">
        <v>182.75862100000001</v>
      </c>
      <c r="I121" s="49" t="str">
        <f ca="1"/>
        <v>大木 優香</v>
      </c>
      <c r="J121" s="109" t="s">
        <v>185</v>
      </c>
      <c r="K121" s="49" t="s">
        <v>50</v>
      </c>
      <c r="L121" s="100" t="s">
        <v>51</v>
      </c>
      <c r="M121" s="107" t="s">
        <v>52</v>
      </c>
      <c r="N121" s="110" t="s">
        <v>186</v>
      </c>
    </row>
    <row r="122" spans="1:14" ht="16">
      <c r="A122" s="101" t="str">
        <f t="shared" si="0"/>
        <v>OK</v>
      </c>
      <c r="B122" s="49">
        <v>3706545</v>
      </c>
      <c r="C122" s="49" t="s">
        <v>261</v>
      </c>
      <c r="D122" s="49" t="s">
        <v>6</v>
      </c>
      <c r="E122" s="50">
        <v>7.0000000000000007E-2</v>
      </c>
      <c r="F122" s="108">
        <v>0</v>
      </c>
      <c r="G122" s="51">
        <v>43853</v>
      </c>
      <c r="H122" s="46">
        <v>182.75862100000001</v>
      </c>
      <c r="I122" s="49" t="str">
        <f ca="1"/>
        <v>大木 優香</v>
      </c>
      <c r="J122" s="109" t="s">
        <v>185</v>
      </c>
      <c r="K122" s="49" t="s">
        <v>50</v>
      </c>
      <c r="L122" s="100" t="s">
        <v>51</v>
      </c>
      <c r="M122" s="107" t="s">
        <v>52</v>
      </c>
      <c r="N122" s="110" t="s">
        <v>186</v>
      </c>
    </row>
    <row r="123" spans="1:14" ht="16">
      <c r="A123" s="101" t="str">
        <f t="shared" si="0"/>
        <v>OK</v>
      </c>
      <c r="B123" s="49">
        <v>3706546</v>
      </c>
      <c r="C123" s="49" t="s">
        <v>262</v>
      </c>
      <c r="D123" s="49" t="s">
        <v>6</v>
      </c>
      <c r="E123" s="50">
        <v>7.0000000000000007E-2</v>
      </c>
      <c r="F123" s="108">
        <v>0</v>
      </c>
      <c r="G123" s="51">
        <v>43853</v>
      </c>
      <c r="H123" s="46">
        <v>182.75862100000001</v>
      </c>
      <c r="I123" s="49" t="str">
        <f ca="1"/>
        <v>大木 優香</v>
      </c>
      <c r="J123" s="109" t="s">
        <v>185</v>
      </c>
      <c r="K123" s="49" t="s">
        <v>50</v>
      </c>
      <c r="L123" s="100" t="s">
        <v>51</v>
      </c>
      <c r="M123" s="107" t="s">
        <v>52</v>
      </c>
      <c r="N123" s="110" t="s">
        <v>186</v>
      </c>
    </row>
    <row r="124" spans="1:14" ht="16">
      <c r="A124" s="101" t="str">
        <f t="shared" si="0"/>
        <v>OK</v>
      </c>
      <c r="B124" s="49">
        <v>3706548</v>
      </c>
      <c r="C124" s="49" t="s">
        <v>263</v>
      </c>
      <c r="D124" s="49" t="s">
        <v>6</v>
      </c>
      <c r="E124" s="50">
        <v>7.0000000000000007E-2</v>
      </c>
      <c r="F124" s="108">
        <v>0</v>
      </c>
      <c r="G124" s="51">
        <v>43853</v>
      </c>
      <c r="H124" s="46">
        <v>182.75862100000001</v>
      </c>
      <c r="I124" s="49" t="str">
        <f ca="1"/>
        <v>大木 優香</v>
      </c>
      <c r="J124" s="109" t="s">
        <v>185</v>
      </c>
      <c r="K124" s="49" t="s">
        <v>50</v>
      </c>
      <c r="L124" s="100" t="s">
        <v>51</v>
      </c>
      <c r="M124" s="107" t="s">
        <v>52</v>
      </c>
      <c r="N124" s="110" t="s">
        <v>186</v>
      </c>
    </row>
    <row r="125" spans="1:14" ht="16">
      <c r="A125" s="101" t="str">
        <f t="shared" si="0"/>
        <v>OK</v>
      </c>
      <c r="B125" s="49">
        <v>3706551</v>
      </c>
      <c r="C125" s="49" t="s">
        <v>264</v>
      </c>
      <c r="D125" s="49" t="s">
        <v>6</v>
      </c>
      <c r="E125" s="50">
        <v>7.0000000000000007E-2</v>
      </c>
      <c r="F125" s="108">
        <v>0</v>
      </c>
      <c r="G125" s="51">
        <v>43853</v>
      </c>
      <c r="H125" s="46">
        <v>182.75862100000001</v>
      </c>
      <c r="I125" s="49" t="str">
        <f ca="1"/>
        <v>大木 優香</v>
      </c>
      <c r="J125" s="109" t="s">
        <v>185</v>
      </c>
      <c r="K125" s="49" t="s">
        <v>50</v>
      </c>
      <c r="L125" s="100" t="s">
        <v>51</v>
      </c>
      <c r="M125" s="107" t="s">
        <v>52</v>
      </c>
      <c r="N125" s="110" t="s">
        <v>186</v>
      </c>
    </row>
    <row r="126" spans="1:14" ht="16">
      <c r="A126" s="101" t="str">
        <f t="shared" si="0"/>
        <v>OK</v>
      </c>
      <c r="B126" s="49">
        <v>3706552</v>
      </c>
      <c r="C126" s="49" t="s">
        <v>265</v>
      </c>
      <c r="D126" s="49" t="s">
        <v>6</v>
      </c>
      <c r="E126" s="50">
        <v>7.0000000000000007E-2</v>
      </c>
      <c r="F126" s="108">
        <v>0</v>
      </c>
      <c r="G126" s="51">
        <v>43853</v>
      </c>
      <c r="H126" s="46">
        <v>182.75862100000001</v>
      </c>
      <c r="I126" s="49" t="str">
        <f ca="1"/>
        <v>大木 優香</v>
      </c>
      <c r="J126" s="109" t="s">
        <v>185</v>
      </c>
      <c r="K126" s="49" t="s">
        <v>50</v>
      </c>
      <c r="L126" s="100" t="s">
        <v>51</v>
      </c>
      <c r="M126" s="107" t="s">
        <v>52</v>
      </c>
      <c r="N126" s="110" t="s">
        <v>186</v>
      </c>
    </row>
    <row r="127" spans="1:14" ht="16">
      <c r="A127" s="101" t="str">
        <f t="shared" si="0"/>
        <v>OK</v>
      </c>
      <c r="B127" s="49">
        <v>3706554</v>
      </c>
      <c r="C127" s="49" t="s">
        <v>266</v>
      </c>
      <c r="D127" s="49" t="s">
        <v>6</v>
      </c>
      <c r="E127" s="50">
        <v>7.0000000000000007E-2</v>
      </c>
      <c r="F127" s="108">
        <v>0</v>
      </c>
      <c r="G127" s="51">
        <v>43853</v>
      </c>
      <c r="H127" s="46">
        <v>182.75862100000001</v>
      </c>
      <c r="I127" s="49" t="str">
        <f ca="1"/>
        <v>大木 優香</v>
      </c>
      <c r="J127" s="109" t="s">
        <v>185</v>
      </c>
      <c r="K127" s="49" t="s">
        <v>50</v>
      </c>
      <c r="L127" s="100" t="s">
        <v>51</v>
      </c>
      <c r="M127" s="107" t="s">
        <v>52</v>
      </c>
      <c r="N127" s="110" t="s">
        <v>186</v>
      </c>
    </row>
    <row r="128" spans="1:14" ht="16">
      <c r="A128" s="101" t="str">
        <f t="shared" si="0"/>
        <v>OK</v>
      </c>
      <c r="B128" s="49">
        <v>3706557</v>
      </c>
      <c r="C128" s="49" t="s">
        <v>267</v>
      </c>
      <c r="D128" s="49" t="s">
        <v>6</v>
      </c>
      <c r="E128" s="50">
        <v>7.0000000000000007E-2</v>
      </c>
      <c r="F128" s="108">
        <v>0</v>
      </c>
      <c r="G128" s="51">
        <v>43853</v>
      </c>
      <c r="H128" s="46">
        <v>182.75862100000001</v>
      </c>
      <c r="I128" s="49" t="str">
        <f ca="1"/>
        <v>大木 優香</v>
      </c>
      <c r="J128" s="109" t="s">
        <v>185</v>
      </c>
      <c r="K128" s="49" t="s">
        <v>50</v>
      </c>
      <c r="L128" s="100" t="s">
        <v>51</v>
      </c>
      <c r="M128" s="107" t="s">
        <v>52</v>
      </c>
      <c r="N128" s="110" t="s">
        <v>186</v>
      </c>
    </row>
    <row r="129" spans="1:14" ht="16">
      <c r="A129" s="101" t="str">
        <f t="shared" si="0"/>
        <v>OK</v>
      </c>
      <c r="B129" s="49">
        <v>3706558</v>
      </c>
      <c r="C129" s="49" t="s">
        <v>268</v>
      </c>
      <c r="D129" s="49" t="s">
        <v>6</v>
      </c>
      <c r="E129" s="50">
        <v>7.0000000000000007E-2</v>
      </c>
      <c r="F129" s="108">
        <v>0</v>
      </c>
      <c r="G129" s="51">
        <v>43853</v>
      </c>
      <c r="H129" s="46">
        <v>182.75862100000001</v>
      </c>
      <c r="I129" s="49" t="str">
        <f ca="1"/>
        <v>大木 優香</v>
      </c>
      <c r="J129" s="109" t="s">
        <v>185</v>
      </c>
      <c r="K129" s="49" t="s">
        <v>50</v>
      </c>
      <c r="L129" s="100" t="s">
        <v>51</v>
      </c>
      <c r="M129" s="107" t="s">
        <v>52</v>
      </c>
      <c r="N129" s="110" t="s">
        <v>186</v>
      </c>
    </row>
    <row r="130" spans="1:14" ht="16">
      <c r="A130" s="101" t="str">
        <f t="shared" si="0"/>
        <v>OK</v>
      </c>
      <c r="B130" s="49">
        <v>3706560</v>
      </c>
      <c r="C130" s="49" t="s">
        <v>269</v>
      </c>
      <c r="D130" s="49" t="s">
        <v>6</v>
      </c>
      <c r="E130" s="50">
        <v>7.0000000000000007E-2</v>
      </c>
      <c r="F130" s="108">
        <v>0</v>
      </c>
      <c r="G130" s="51">
        <v>43853</v>
      </c>
      <c r="H130" s="46">
        <v>182.75862100000001</v>
      </c>
      <c r="I130" s="49" t="str">
        <f ca="1"/>
        <v>大木 優香</v>
      </c>
      <c r="J130" s="109" t="s">
        <v>185</v>
      </c>
      <c r="K130" s="49" t="s">
        <v>50</v>
      </c>
      <c r="L130" s="100" t="s">
        <v>51</v>
      </c>
      <c r="M130" s="107" t="s">
        <v>52</v>
      </c>
      <c r="N130" s="110" t="s">
        <v>186</v>
      </c>
    </row>
    <row r="131" spans="1:14" ht="16">
      <c r="A131" s="101" t="str">
        <f t="shared" si="0"/>
        <v>OK</v>
      </c>
      <c r="B131" s="49">
        <v>3706561</v>
      </c>
      <c r="C131" s="49" t="s">
        <v>270</v>
      </c>
      <c r="D131" s="49" t="s">
        <v>6</v>
      </c>
      <c r="E131" s="50">
        <v>7.0000000000000007E-2</v>
      </c>
      <c r="F131" s="108">
        <v>0</v>
      </c>
      <c r="G131" s="51">
        <v>43853</v>
      </c>
      <c r="H131" s="46">
        <v>182.75862100000001</v>
      </c>
      <c r="I131" s="49" t="str">
        <f ca="1"/>
        <v>大木 優香</v>
      </c>
      <c r="J131" s="109" t="s">
        <v>185</v>
      </c>
      <c r="K131" s="49" t="s">
        <v>50</v>
      </c>
      <c r="L131" s="100" t="s">
        <v>51</v>
      </c>
      <c r="M131" s="107" t="s">
        <v>52</v>
      </c>
      <c r="N131" s="110" t="s">
        <v>186</v>
      </c>
    </row>
    <row r="132" spans="1:14" ht="16">
      <c r="A132" s="101" t="str">
        <f t="shared" si="0"/>
        <v>OK</v>
      </c>
      <c r="B132" s="49">
        <v>3706562</v>
      </c>
      <c r="C132" s="49" t="s">
        <v>271</v>
      </c>
      <c r="D132" s="49" t="s">
        <v>6</v>
      </c>
      <c r="E132" s="50">
        <v>7.0000000000000007E-2</v>
      </c>
      <c r="F132" s="108">
        <v>0</v>
      </c>
      <c r="G132" s="51">
        <v>43853</v>
      </c>
      <c r="H132" s="46">
        <v>182.75862100000001</v>
      </c>
      <c r="I132" s="49" t="str">
        <f ca="1"/>
        <v>大木 優香</v>
      </c>
      <c r="J132" s="109" t="s">
        <v>185</v>
      </c>
      <c r="K132" s="49" t="s">
        <v>50</v>
      </c>
      <c r="L132" s="100" t="s">
        <v>51</v>
      </c>
      <c r="M132" s="107" t="s">
        <v>52</v>
      </c>
      <c r="N132" s="110" t="s">
        <v>186</v>
      </c>
    </row>
    <row r="133" spans="1:14" ht="16">
      <c r="A133" s="101" t="str">
        <f t="shared" si="0"/>
        <v>OK</v>
      </c>
      <c r="B133" s="49">
        <v>3706564</v>
      </c>
      <c r="C133" s="49" t="s">
        <v>272</v>
      </c>
      <c r="D133" s="49" t="s">
        <v>6</v>
      </c>
      <c r="E133" s="50">
        <v>7.0000000000000007E-2</v>
      </c>
      <c r="F133" s="108">
        <v>0</v>
      </c>
      <c r="G133" s="51">
        <v>43853</v>
      </c>
      <c r="H133" s="46">
        <v>182.75862100000001</v>
      </c>
      <c r="I133" s="49" t="str">
        <f ca="1"/>
        <v>大木 優香</v>
      </c>
      <c r="J133" s="109" t="s">
        <v>185</v>
      </c>
      <c r="K133" s="49" t="s">
        <v>50</v>
      </c>
      <c r="L133" s="100" t="s">
        <v>51</v>
      </c>
      <c r="M133" s="107" t="s">
        <v>52</v>
      </c>
      <c r="N133" s="110" t="s">
        <v>186</v>
      </c>
    </row>
    <row r="134" spans="1:14" ht="16">
      <c r="A134" s="101" t="str">
        <f t="shared" si="0"/>
        <v>OK</v>
      </c>
      <c r="B134" s="49">
        <v>3706565</v>
      </c>
      <c r="C134" s="49" t="s">
        <v>273</v>
      </c>
      <c r="D134" s="49" t="s">
        <v>6</v>
      </c>
      <c r="E134" s="50">
        <v>7.0000000000000007E-2</v>
      </c>
      <c r="F134" s="108">
        <v>0</v>
      </c>
      <c r="G134" s="51">
        <v>43853</v>
      </c>
      <c r="H134" s="46">
        <v>182.75862100000001</v>
      </c>
      <c r="I134" s="49" t="str">
        <f ca="1"/>
        <v>大木 優香</v>
      </c>
      <c r="J134" s="109" t="s">
        <v>185</v>
      </c>
      <c r="K134" s="49" t="s">
        <v>50</v>
      </c>
      <c r="L134" s="100" t="s">
        <v>51</v>
      </c>
      <c r="M134" s="107" t="s">
        <v>52</v>
      </c>
      <c r="N134" s="110" t="s">
        <v>186</v>
      </c>
    </row>
    <row r="135" spans="1:14" ht="16">
      <c r="A135" s="101" t="str">
        <f t="shared" si="0"/>
        <v>OK</v>
      </c>
      <c r="B135" s="49">
        <v>3706568</v>
      </c>
      <c r="C135" s="49" t="s">
        <v>274</v>
      </c>
      <c r="D135" s="49" t="s">
        <v>6</v>
      </c>
      <c r="E135" s="50">
        <v>7.0000000000000007E-2</v>
      </c>
      <c r="F135" s="108">
        <v>0</v>
      </c>
      <c r="G135" s="51">
        <v>43853</v>
      </c>
      <c r="H135" s="46">
        <v>182.75862100000001</v>
      </c>
      <c r="I135" s="49" t="str">
        <f ca="1"/>
        <v>大木 優香</v>
      </c>
      <c r="J135" s="109" t="s">
        <v>185</v>
      </c>
      <c r="K135" s="49" t="s">
        <v>50</v>
      </c>
      <c r="L135" s="100" t="s">
        <v>51</v>
      </c>
      <c r="M135" s="107" t="s">
        <v>52</v>
      </c>
      <c r="N135" s="110" t="s">
        <v>186</v>
      </c>
    </row>
    <row r="136" spans="1:14" ht="16">
      <c r="A136" s="101" t="str">
        <f t="shared" si="0"/>
        <v>OK</v>
      </c>
      <c r="B136" s="49">
        <v>3706570</v>
      </c>
      <c r="C136" s="49" t="s">
        <v>275</v>
      </c>
      <c r="D136" s="49" t="s">
        <v>6</v>
      </c>
      <c r="E136" s="50">
        <v>7.0000000000000007E-2</v>
      </c>
      <c r="F136" s="108">
        <v>0</v>
      </c>
      <c r="G136" s="51">
        <v>43853</v>
      </c>
      <c r="H136" s="46">
        <v>182.75862100000001</v>
      </c>
      <c r="I136" s="49" t="str">
        <f ca="1"/>
        <v>大木 優香</v>
      </c>
      <c r="J136" s="109" t="s">
        <v>185</v>
      </c>
      <c r="K136" s="49" t="s">
        <v>50</v>
      </c>
      <c r="L136" s="100" t="s">
        <v>51</v>
      </c>
      <c r="M136" s="107" t="s">
        <v>52</v>
      </c>
      <c r="N136" s="110" t="s">
        <v>186</v>
      </c>
    </row>
    <row r="137" spans="1:14" ht="16">
      <c r="A137" s="101" t="str">
        <f t="shared" si="0"/>
        <v>OK</v>
      </c>
      <c r="B137" s="49">
        <v>3706571</v>
      </c>
      <c r="C137" s="49" t="s">
        <v>276</v>
      </c>
      <c r="D137" s="49" t="s">
        <v>6</v>
      </c>
      <c r="E137" s="50">
        <v>7.0000000000000007E-2</v>
      </c>
      <c r="F137" s="108">
        <v>0</v>
      </c>
      <c r="G137" s="51">
        <v>43853</v>
      </c>
      <c r="H137" s="46">
        <v>182.75862100000001</v>
      </c>
      <c r="I137" s="49" t="str">
        <f ca="1"/>
        <v>大木 優香</v>
      </c>
      <c r="J137" s="109" t="s">
        <v>185</v>
      </c>
      <c r="K137" s="49" t="s">
        <v>50</v>
      </c>
      <c r="L137" s="100" t="s">
        <v>51</v>
      </c>
      <c r="M137" s="107" t="s">
        <v>52</v>
      </c>
      <c r="N137" s="110" t="s">
        <v>186</v>
      </c>
    </row>
    <row r="138" spans="1:14" ht="16">
      <c r="A138" s="101" t="str">
        <f t="shared" si="0"/>
        <v>OK</v>
      </c>
      <c r="B138" s="49">
        <v>3706572</v>
      </c>
      <c r="C138" s="49" t="s">
        <v>277</v>
      </c>
      <c r="D138" s="49" t="s">
        <v>6</v>
      </c>
      <c r="E138" s="50">
        <v>7.0000000000000007E-2</v>
      </c>
      <c r="F138" s="108">
        <v>0</v>
      </c>
      <c r="G138" s="51">
        <v>43853</v>
      </c>
      <c r="H138" s="46">
        <v>182.75862100000001</v>
      </c>
      <c r="I138" s="49" t="str">
        <f ca="1"/>
        <v>大木 優香</v>
      </c>
      <c r="J138" s="109" t="s">
        <v>185</v>
      </c>
      <c r="K138" s="49" t="s">
        <v>50</v>
      </c>
      <c r="L138" s="100" t="s">
        <v>51</v>
      </c>
      <c r="M138" s="107" t="s">
        <v>52</v>
      </c>
      <c r="N138" s="110" t="s">
        <v>186</v>
      </c>
    </row>
    <row r="139" spans="1:14" ht="16">
      <c r="A139" s="101" t="str">
        <f t="shared" si="0"/>
        <v>OK</v>
      </c>
      <c r="B139" s="49">
        <v>3706573</v>
      </c>
      <c r="C139" s="49" t="s">
        <v>278</v>
      </c>
      <c r="D139" s="49" t="s">
        <v>6</v>
      </c>
      <c r="E139" s="50">
        <v>7.0000000000000007E-2</v>
      </c>
      <c r="F139" s="108">
        <v>0</v>
      </c>
      <c r="G139" s="51">
        <v>43853</v>
      </c>
      <c r="H139" s="46">
        <v>182.75862100000001</v>
      </c>
      <c r="I139" s="49" t="str">
        <f ca="1"/>
        <v>大木 優香</v>
      </c>
      <c r="J139" s="109" t="s">
        <v>185</v>
      </c>
      <c r="K139" s="49" t="s">
        <v>50</v>
      </c>
      <c r="L139" s="100" t="s">
        <v>51</v>
      </c>
      <c r="M139" s="107" t="s">
        <v>52</v>
      </c>
      <c r="N139" s="110" t="s">
        <v>186</v>
      </c>
    </row>
    <row r="140" spans="1:14" ht="16">
      <c r="A140" s="101" t="str">
        <f t="shared" si="0"/>
        <v>OK</v>
      </c>
      <c r="B140" s="49">
        <v>3706574</v>
      </c>
      <c r="C140" s="49" t="s">
        <v>279</v>
      </c>
      <c r="D140" s="49" t="s">
        <v>6</v>
      </c>
      <c r="E140" s="50">
        <v>7.0000000000000007E-2</v>
      </c>
      <c r="F140" s="108">
        <v>0</v>
      </c>
      <c r="G140" s="51">
        <v>43853</v>
      </c>
      <c r="H140" s="46">
        <v>182.75862100000001</v>
      </c>
      <c r="I140" s="49" t="str">
        <f ca="1"/>
        <v>大木 優香</v>
      </c>
      <c r="J140" s="109" t="s">
        <v>185</v>
      </c>
      <c r="K140" s="49" t="s">
        <v>50</v>
      </c>
      <c r="L140" s="100" t="s">
        <v>51</v>
      </c>
      <c r="M140" s="107" t="s">
        <v>52</v>
      </c>
      <c r="N140" s="110" t="s">
        <v>186</v>
      </c>
    </row>
    <row r="141" spans="1:14" ht="16">
      <c r="A141" s="101" t="str">
        <f t="shared" si="0"/>
        <v>OK</v>
      </c>
      <c r="B141" s="49">
        <v>3706575</v>
      </c>
      <c r="C141" s="49" t="s">
        <v>280</v>
      </c>
      <c r="D141" s="49" t="s">
        <v>6</v>
      </c>
      <c r="E141" s="50">
        <v>7.0000000000000007E-2</v>
      </c>
      <c r="F141" s="108">
        <v>0</v>
      </c>
      <c r="G141" s="51">
        <v>43853</v>
      </c>
      <c r="H141" s="46">
        <v>182.75862100000001</v>
      </c>
      <c r="I141" s="49" t="str">
        <f ca="1"/>
        <v>大木 優香</v>
      </c>
      <c r="J141" s="109" t="s">
        <v>185</v>
      </c>
      <c r="K141" s="49" t="s">
        <v>50</v>
      </c>
      <c r="L141" s="100" t="s">
        <v>51</v>
      </c>
      <c r="M141" s="107" t="s">
        <v>52</v>
      </c>
      <c r="N141" s="110" t="s">
        <v>186</v>
      </c>
    </row>
    <row r="142" spans="1:14" ht="16">
      <c r="A142" s="101" t="str">
        <f t="shared" si="0"/>
        <v>OK</v>
      </c>
      <c r="B142" s="49">
        <v>3706576</v>
      </c>
      <c r="C142" s="49" t="s">
        <v>281</v>
      </c>
      <c r="D142" s="49" t="s">
        <v>6</v>
      </c>
      <c r="E142" s="50">
        <v>7.0000000000000007E-2</v>
      </c>
      <c r="F142" s="108">
        <v>0</v>
      </c>
      <c r="G142" s="51">
        <v>43853</v>
      </c>
      <c r="H142" s="46">
        <v>182.75862100000001</v>
      </c>
      <c r="I142" s="49" t="str">
        <f ca="1"/>
        <v>大木 優香</v>
      </c>
      <c r="J142" s="109" t="s">
        <v>185</v>
      </c>
      <c r="K142" s="49" t="s">
        <v>50</v>
      </c>
      <c r="L142" s="100" t="s">
        <v>51</v>
      </c>
      <c r="M142" s="107" t="s">
        <v>52</v>
      </c>
      <c r="N142" s="110" t="s">
        <v>186</v>
      </c>
    </row>
    <row r="143" spans="1:14" ht="16">
      <c r="A143" s="101" t="str">
        <f t="shared" si="0"/>
        <v>OK</v>
      </c>
      <c r="B143" s="49">
        <v>3706577</v>
      </c>
      <c r="C143" s="49" t="s">
        <v>282</v>
      </c>
      <c r="D143" s="49" t="s">
        <v>6</v>
      </c>
      <c r="E143" s="50">
        <v>7.0000000000000007E-2</v>
      </c>
      <c r="F143" s="108">
        <v>0</v>
      </c>
      <c r="G143" s="51">
        <v>43853</v>
      </c>
      <c r="H143" s="46">
        <v>182.75862100000001</v>
      </c>
      <c r="I143" s="49" t="str">
        <f ca="1"/>
        <v>大木 優香</v>
      </c>
      <c r="J143" s="109" t="s">
        <v>185</v>
      </c>
      <c r="K143" s="49" t="s">
        <v>50</v>
      </c>
      <c r="L143" s="100" t="s">
        <v>51</v>
      </c>
      <c r="M143" s="107" t="s">
        <v>52</v>
      </c>
      <c r="N143" s="110" t="s">
        <v>186</v>
      </c>
    </row>
    <row r="144" spans="1:14" ht="16">
      <c r="A144" s="101" t="str">
        <f t="shared" si="0"/>
        <v>OK</v>
      </c>
      <c r="B144" s="49">
        <v>3706578</v>
      </c>
      <c r="C144" s="49" t="s">
        <v>283</v>
      </c>
      <c r="D144" s="49" t="s">
        <v>6</v>
      </c>
      <c r="E144" s="50">
        <v>7.0000000000000007E-2</v>
      </c>
      <c r="F144" s="108">
        <v>0</v>
      </c>
      <c r="G144" s="51">
        <v>43853</v>
      </c>
      <c r="H144" s="46">
        <v>182.75862100000001</v>
      </c>
      <c r="I144" s="49" t="str">
        <f ca="1"/>
        <v>大木 優香</v>
      </c>
      <c r="J144" s="109" t="s">
        <v>185</v>
      </c>
      <c r="K144" s="49" t="s">
        <v>50</v>
      </c>
      <c r="L144" s="100" t="s">
        <v>51</v>
      </c>
      <c r="M144" s="107" t="s">
        <v>52</v>
      </c>
      <c r="N144" s="110" t="s">
        <v>186</v>
      </c>
    </row>
    <row r="145" spans="1:14" ht="16">
      <c r="A145" s="101" t="str">
        <f t="shared" si="0"/>
        <v>OK</v>
      </c>
      <c r="B145" s="49">
        <v>3706581</v>
      </c>
      <c r="C145" s="49" t="s">
        <v>284</v>
      </c>
      <c r="D145" s="49" t="s">
        <v>6</v>
      </c>
      <c r="E145" s="50">
        <v>7.0000000000000007E-2</v>
      </c>
      <c r="F145" s="108">
        <v>0</v>
      </c>
      <c r="G145" s="51">
        <v>43853</v>
      </c>
      <c r="H145" s="46">
        <v>182.75862100000001</v>
      </c>
      <c r="I145" s="49" t="str">
        <f ca="1"/>
        <v>大木 優香</v>
      </c>
      <c r="J145" s="109" t="s">
        <v>185</v>
      </c>
      <c r="K145" s="49" t="s">
        <v>50</v>
      </c>
      <c r="L145" s="100" t="s">
        <v>51</v>
      </c>
      <c r="M145" s="107" t="s">
        <v>52</v>
      </c>
      <c r="N145" s="110" t="s">
        <v>186</v>
      </c>
    </row>
    <row r="146" spans="1:14" ht="16">
      <c r="A146" s="101" t="str">
        <f t="shared" si="0"/>
        <v>OK</v>
      </c>
      <c r="B146" s="49">
        <v>3706582</v>
      </c>
      <c r="C146" s="49" t="s">
        <v>285</v>
      </c>
      <c r="D146" s="49" t="s">
        <v>6</v>
      </c>
      <c r="E146" s="50">
        <v>7.0000000000000007E-2</v>
      </c>
      <c r="F146" s="108">
        <v>0</v>
      </c>
      <c r="G146" s="51">
        <v>43853</v>
      </c>
      <c r="H146" s="46">
        <v>182.75862100000001</v>
      </c>
      <c r="I146" s="49" t="str">
        <f ca="1"/>
        <v>大木 優香</v>
      </c>
      <c r="J146" s="109" t="s">
        <v>185</v>
      </c>
      <c r="K146" s="49" t="s">
        <v>50</v>
      </c>
      <c r="L146" s="100" t="s">
        <v>51</v>
      </c>
      <c r="M146" s="107" t="s">
        <v>52</v>
      </c>
      <c r="N146" s="110" t="s">
        <v>186</v>
      </c>
    </row>
    <row r="147" spans="1:14" ht="16">
      <c r="A147" s="101" t="str">
        <f t="shared" si="0"/>
        <v>OK</v>
      </c>
      <c r="B147" s="49">
        <v>3706583</v>
      </c>
      <c r="C147" s="49" t="s">
        <v>286</v>
      </c>
      <c r="D147" s="49" t="s">
        <v>6</v>
      </c>
      <c r="E147" s="50">
        <v>7.0000000000000007E-2</v>
      </c>
      <c r="F147" s="108">
        <v>0</v>
      </c>
      <c r="G147" s="51">
        <v>43853</v>
      </c>
      <c r="H147" s="46">
        <v>182.75862100000001</v>
      </c>
      <c r="I147" s="49" t="str">
        <f ca="1"/>
        <v>大木 優香</v>
      </c>
      <c r="J147" s="109" t="s">
        <v>185</v>
      </c>
      <c r="K147" s="49" t="s">
        <v>50</v>
      </c>
      <c r="L147" s="100" t="s">
        <v>51</v>
      </c>
      <c r="M147" s="107" t="s">
        <v>52</v>
      </c>
      <c r="N147" s="110" t="s">
        <v>186</v>
      </c>
    </row>
    <row r="148" spans="1:14" ht="16">
      <c r="A148" s="101" t="str">
        <f t="shared" si="0"/>
        <v>OK</v>
      </c>
      <c r="B148" s="49">
        <v>3706584</v>
      </c>
      <c r="C148" s="49" t="s">
        <v>287</v>
      </c>
      <c r="D148" s="49" t="s">
        <v>6</v>
      </c>
      <c r="E148" s="50">
        <v>7.0000000000000007E-2</v>
      </c>
      <c r="F148" s="108">
        <v>0</v>
      </c>
      <c r="G148" s="51">
        <v>43853</v>
      </c>
      <c r="H148" s="46">
        <v>182.75862100000001</v>
      </c>
      <c r="I148" s="49" t="str">
        <f ca="1"/>
        <v>大木 優香</v>
      </c>
      <c r="J148" s="109" t="s">
        <v>185</v>
      </c>
      <c r="K148" s="49" t="s">
        <v>50</v>
      </c>
      <c r="L148" s="100" t="s">
        <v>51</v>
      </c>
      <c r="M148" s="107" t="s">
        <v>52</v>
      </c>
      <c r="N148" s="110" t="s">
        <v>186</v>
      </c>
    </row>
    <row r="149" spans="1:14" ht="16">
      <c r="A149" s="101" t="str">
        <f t="shared" si="0"/>
        <v>OK</v>
      </c>
      <c r="B149" s="49">
        <v>3706585</v>
      </c>
      <c r="C149" s="49" t="s">
        <v>288</v>
      </c>
      <c r="D149" s="49" t="s">
        <v>6</v>
      </c>
      <c r="E149" s="50">
        <v>7.0000000000000007E-2</v>
      </c>
      <c r="F149" s="108">
        <v>0</v>
      </c>
      <c r="G149" s="51">
        <v>43853</v>
      </c>
      <c r="H149" s="46">
        <v>182.75862100000001</v>
      </c>
      <c r="I149" s="49" t="str">
        <f ca="1"/>
        <v>大木 優香</v>
      </c>
      <c r="J149" s="109" t="s">
        <v>185</v>
      </c>
      <c r="K149" s="49" t="s">
        <v>50</v>
      </c>
      <c r="L149" s="100" t="s">
        <v>51</v>
      </c>
      <c r="M149" s="107" t="s">
        <v>52</v>
      </c>
      <c r="N149" s="110" t="s">
        <v>186</v>
      </c>
    </row>
    <row r="150" spans="1:14" ht="16">
      <c r="A150" s="101" t="str">
        <f t="shared" si="0"/>
        <v>OK</v>
      </c>
      <c r="B150" s="49">
        <v>3706586</v>
      </c>
      <c r="C150" s="49" t="s">
        <v>289</v>
      </c>
      <c r="D150" s="49" t="s">
        <v>6</v>
      </c>
      <c r="E150" s="50">
        <v>7.0000000000000007E-2</v>
      </c>
      <c r="F150" s="108">
        <v>0</v>
      </c>
      <c r="G150" s="51">
        <v>43853</v>
      </c>
      <c r="H150" s="46">
        <v>182.75862100000001</v>
      </c>
      <c r="I150" s="49" t="str">
        <f ca="1"/>
        <v>大木 優香</v>
      </c>
      <c r="J150" s="109" t="s">
        <v>185</v>
      </c>
      <c r="K150" s="49" t="s">
        <v>50</v>
      </c>
      <c r="L150" s="100" t="s">
        <v>51</v>
      </c>
      <c r="M150" s="107" t="s">
        <v>52</v>
      </c>
      <c r="N150" s="110" t="s">
        <v>186</v>
      </c>
    </row>
    <row r="151" spans="1:14" ht="16">
      <c r="A151" s="101" t="str">
        <f t="shared" si="0"/>
        <v>OK</v>
      </c>
      <c r="B151" s="49">
        <v>3706589</v>
      </c>
      <c r="C151" s="49" t="s">
        <v>290</v>
      </c>
      <c r="D151" s="49" t="s">
        <v>6</v>
      </c>
      <c r="E151" s="50">
        <v>7.0000000000000007E-2</v>
      </c>
      <c r="F151" s="108">
        <v>0</v>
      </c>
      <c r="G151" s="51">
        <v>43853</v>
      </c>
      <c r="H151" s="46">
        <v>182.75862100000001</v>
      </c>
      <c r="I151" s="49" t="str">
        <f ca="1"/>
        <v>大木 優香</v>
      </c>
      <c r="J151" s="109" t="s">
        <v>185</v>
      </c>
      <c r="K151" s="49" t="s">
        <v>50</v>
      </c>
      <c r="L151" s="100" t="s">
        <v>51</v>
      </c>
      <c r="M151" s="107" t="s">
        <v>52</v>
      </c>
      <c r="N151" s="110" t="s">
        <v>186</v>
      </c>
    </row>
    <row r="152" spans="1:14" ht="16">
      <c r="A152" s="101" t="str">
        <f t="shared" si="0"/>
        <v>OK</v>
      </c>
      <c r="B152" s="49">
        <v>3706590</v>
      </c>
      <c r="C152" s="49" t="s">
        <v>291</v>
      </c>
      <c r="D152" s="49" t="s">
        <v>6</v>
      </c>
      <c r="E152" s="50">
        <v>7.0000000000000007E-2</v>
      </c>
      <c r="F152" s="108">
        <v>0</v>
      </c>
      <c r="G152" s="51">
        <v>43853</v>
      </c>
      <c r="H152" s="46">
        <v>182.75862100000001</v>
      </c>
      <c r="I152" s="49" t="str">
        <f ca="1"/>
        <v>大木 優香</v>
      </c>
      <c r="J152" s="109" t="s">
        <v>185</v>
      </c>
      <c r="K152" s="49" t="s">
        <v>50</v>
      </c>
      <c r="L152" s="100" t="s">
        <v>51</v>
      </c>
      <c r="M152" s="107" t="s">
        <v>52</v>
      </c>
      <c r="N152" s="110" t="s">
        <v>186</v>
      </c>
    </row>
    <row r="153" spans="1:14" ht="16">
      <c r="A153" s="101" t="str">
        <f t="shared" si="0"/>
        <v>OK</v>
      </c>
      <c r="B153" s="49">
        <v>3706591</v>
      </c>
      <c r="C153" s="49" t="s">
        <v>292</v>
      </c>
      <c r="D153" s="49" t="s">
        <v>6</v>
      </c>
      <c r="E153" s="50">
        <v>7.0000000000000007E-2</v>
      </c>
      <c r="F153" s="108">
        <v>0</v>
      </c>
      <c r="G153" s="51">
        <v>43853</v>
      </c>
      <c r="H153" s="46">
        <v>182.75862100000001</v>
      </c>
      <c r="I153" s="49" t="str">
        <f ca="1"/>
        <v>大木 優香</v>
      </c>
      <c r="J153" s="109" t="s">
        <v>185</v>
      </c>
      <c r="K153" s="49" t="s">
        <v>50</v>
      </c>
      <c r="L153" s="100" t="s">
        <v>51</v>
      </c>
      <c r="M153" s="107" t="s">
        <v>52</v>
      </c>
      <c r="N153" s="110" t="s">
        <v>186</v>
      </c>
    </row>
    <row r="154" spans="1:14" ht="16">
      <c r="A154" s="101" t="str">
        <f t="shared" si="0"/>
        <v>OK</v>
      </c>
      <c r="B154" s="49">
        <v>3706592</v>
      </c>
      <c r="C154" s="49" t="s">
        <v>293</v>
      </c>
      <c r="D154" s="49" t="s">
        <v>6</v>
      </c>
      <c r="E154" s="50">
        <v>7.0000000000000007E-2</v>
      </c>
      <c r="F154" s="108">
        <v>0</v>
      </c>
      <c r="G154" s="51">
        <v>43853</v>
      </c>
      <c r="H154" s="46">
        <v>182.75862100000001</v>
      </c>
      <c r="I154" s="49" t="str">
        <f ca="1"/>
        <v>大木 優香</v>
      </c>
      <c r="J154" s="109" t="s">
        <v>185</v>
      </c>
      <c r="K154" s="49" t="s">
        <v>50</v>
      </c>
      <c r="L154" s="100" t="s">
        <v>51</v>
      </c>
      <c r="M154" s="107" t="s">
        <v>52</v>
      </c>
      <c r="N154" s="110" t="s">
        <v>186</v>
      </c>
    </row>
    <row r="155" spans="1:14" ht="16">
      <c r="A155" s="101" t="str">
        <f t="shared" si="0"/>
        <v>OK</v>
      </c>
      <c r="B155" s="49">
        <v>3706596</v>
      </c>
      <c r="C155" s="49" t="s">
        <v>294</v>
      </c>
      <c r="D155" s="49" t="s">
        <v>6</v>
      </c>
      <c r="E155" s="50">
        <v>7.0000000000000007E-2</v>
      </c>
      <c r="F155" s="108">
        <v>0</v>
      </c>
      <c r="G155" s="51">
        <v>43853</v>
      </c>
      <c r="H155" s="46">
        <v>182.75862100000001</v>
      </c>
      <c r="I155" s="49" t="str">
        <f ca="1"/>
        <v>大木 優香</v>
      </c>
      <c r="J155" s="109" t="s">
        <v>185</v>
      </c>
      <c r="K155" s="49" t="s">
        <v>50</v>
      </c>
      <c r="L155" s="100" t="s">
        <v>51</v>
      </c>
      <c r="M155" s="107" t="s">
        <v>52</v>
      </c>
      <c r="N155" s="110" t="s">
        <v>186</v>
      </c>
    </row>
    <row r="156" spans="1:14" ht="16">
      <c r="A156" s="101" t="str">
        <f t="shared" si="0"/>
        <v>OK</v>
      </c>
      <c r="B156" s="49">
        <v>3706597</v>
      </c>
      <c r="C156" s="49" t="s">
        <v>295</v>
      </c>
      <c r="D156" s="49" t="s">
        <v>6</v>
      </c>
      <c r="E156" s="50">
        <v>7.0000000000000007E-2</v>
      </c>
      <c r="F156" s="108">
        <v>0</v>
      </c>
      <c r="G156" s="51">
        <v>43853</v>
      </c>
      <c r="H156" s="46">
        <v>182.75862100000001</v>
      </c>
      <c r="I156" s="49" t="str">
        <f ca="1"/>
        <v>大木 優香</v>
      </c>
      <c r="J156" s="109" t="s">
        <v>185</v>
      </c>
      <c r="K156" s="49" t="s">
        <v>50</v>
      </c>
      <c r="L156" s="100" t="s">
        <v>51</v>
      </c>
      <c r="M156" s="107" t="s">
        <v>52</v>
      </c>
      <c r="N156" s="110" t="s">
        <v>186</v>
      </c>
    </row>
    <row r="157" spans="1:14" ht="16">
      <c r="A157" s="101" t="str">
        <f t="shared" si="0"/>
        <v>OK</v>
      </c>
      <c r="B157" s="49">
        <v>3706604</v>
      </c>
      <c r="C157" s="49" t="s">
        <v>296</v>
      </c>
      <c r="D157" s="49" t="s">
        <v>6</v>
      </c>
      <c r="E157" s="50">
        <v>7.0000000000000007E-2</v>
      </c>
      <c r="F157" s="108">
        <v>0</v>
      </c>
      <c r="G157" s="51">
        <v>43853</v>
      </c>
      <c r="H157" s="46">
        <v>182.75862100000001</v>
      </c>
      <c r="I157" s="49" t="str">
        <f ca="1"/>
        <v>大木 優香</v>
      </c>
      <c r="J157" s="109" t="s">
        <v>185</v>
      </c>
      <c r="K157" s="49" t="s">
        <v>50</v>
      </c>
      <c r="L157" s="100" t="s">
        <v>51</v>
      </c>
      <c r="M157" s="107" t="s">
        <v>52</v>
      </c>
      <c r="N157" s="110" t="s">
        <v>186</v>
      </c>
    </row>
    <row r="158" spans="1:14" ht="16">
      <c r="A158" s="101" t="str">
        <f t="shared" si="0"/>
        <v>OK</v>
      </c>
      <c r="B158" s="49">
        <v>3706605</v>
      </c>
      <c r="C158" s="49" t="s">
        <v>297</v>
      </c>
      <c r="D158" s="49" t="s">
        <v>6</v>
      </c>
      <c r="E158" s="50">
        <v>7.0000000000000007E-2</v>
      </c>
      <c r="F158" s="108">
        <v>0</v>
      </c>
      <c r="G158" s="51">
        <v>43853</v>
      </c>
      <c r="H158" s="46">
        <v>182.75862100000001</v>
      </c>
      <c r="I158" s="49" t="str">
        <f ca="1"/>
        <v>大木 優香</v>
      </c>
      <c r="J158" s="109" t="s">
        <v>185</v>
      </c>
      <c r="K158" s="49" t="s">
        <v>50</v>
      </c>
      <c r="L158" s="100" t="s">
        <v>51</v>
      </c>
      <c r="M158" s="107" t="s">
        <v>52</v>
      </c>
      <c r="N158" s="110" t="s">
        <v>186</v>
      </c>
    </row>
    <row r="159" spans="1:14" ht="16">
      <c r="A159" s="101" t="str">
        <f t="shared" si="0"/>
        <v>OK</v>
      </c>
      <c r="B159" s="49">
        <v>3706606</v>
      </c>
      <c r="C159" s="49" t="s">
        <v>298</v>
      </c>
      <c r="D159" s="49" t="s">
        <v>6</v>
      </c>
      <c r="E159" s="50">
        <v>7.0000000000000007E-2</v>
      </c>
      <c r="F159" s="108">
        <v>0</v>
      </c>
      <c r="G159" s="51">
        <v>43853</v>
      </c>
      <c r="H159" s="46">
        <v>182.75862100000001</v>
      </c>
      <c r="I159" s="49" t="str">
        <f ca="1"/>
        <v>大木 優香</v>
      </c>
      <c r="J159" s="109" t="s">
        <v>185</v>
      </c>
      <c r="K159" s="49" t="s">
        <v>50</v>
      </c>
      <c r="L159" s="100" t="s">
        <v>51</v>
      </c>
      <c r="M159" s="107" t="s">
        <v>52</v>
      </c>
      <c r="N159" s="110" t="s">
        <v>186</v>
      </c>
    </row>
    <row r="160" spans="1:14" ht="16">
      <c r="A160" s="101" t="str">
        <f t="shared" si="0"/>
        <v>OK</v>
      </c>
      <c r="B160" s="49">
        <v>3706608</v>
      </c>
      <c r="C160" s="49" t="s">
        <v>299</v>
      </c>
      <c r="D160" s="49" t="s">
        <v>6</v>
      </c>
      <c r="E160" s="50">
        <v>7.0000000000000007E-2</v>
      </c>
      <c r="F160" s="108">
        <v>0</v>
      </c>
      <c r="G160" s="51">
        <v>43853</v>
      </c>
      <c r="H160" s="46">
        <v>182.75862100000001</v>
      </c>
      <c r="I160" s="49" t="str">
        <f ca="1"/>
        <v>大木 優香</v>
      </c>
      <c r="J160" s="109" t="s">
        <v>185</v>
      </c>
      <c r="K160" s="49" t="s">
        <v>50</v>
      </c>
      <c r="L160" s="100" t="s">
        <v>51</v>
      </c>
      <c r="M160" s="107" t="s">
        <v>52</v>
      </c>
      <c r="N160" s="110" t="s">
        <v>186</v>
      </c>
    </row>
    <row r="161" spans="1:14" ht="16">
      <c r="A161" s="101" t="str">
        <f t="shared" si="0"/>
        <v>OK</v>
      </c>
      <c r="B161" s="49">
        <v>3706610</v>
      </c>
      <c r="C161" s="49" t="s">
        <v>300</v>
      </c>
      <c r="D161" s="49" t="s">
        <v>6</v>
      </c>
      <c r="E161" s="50">
        <v>7.0000000000000007E-2</v>
      </c>
      <c r="F161" s="108">
        <v>0</v>
      </c>
      <c r="G161" s="51">
        <v>43853</v>
      </c>
      <c r="H161" s="46">
        <v>182.75862100000001</v>
      </c>
      <c r="I161" s="49" t="str">
        <f ca="1"/>
        <v>大木 優香</v>
      </c>
      <c r="J161" s="109" t="s">
        <v>185</v>
      </c>
      <c r="K161" s="49" t="s">
        <v>50</v>
      </c>
      <c r="L161" s="100" t="s">
        <v>51</v>
      </c>
      <c r="M161" s="107" t="s">
        <v>52</v>
      </c>
      <c r="N161" s="110" t="s">
        <v>186</v>
      </c>
    </row>
    <row r="162" spans="1:14" ht="16">
      <c r="A162" s="101" t="str">
        <f t="shared" si="0"/>
        <v>OK</v>
      </c>
      <c r="B162" s="49">
        <v>3706612</v>
      </c>
      <c r="C162" s="49" t="s">
        <v>301</v>
      </c>
      <c r="D162" s="49" t="s">
        <v>6</v>
      </c>
      <c r="E162" s="50">
        <v>7.0000000000000007E-2</v>
      </c>
      <c r="F162" s="108">
        <v>0</v>
      </c>
      <c r="G162" s="51">
        <v>43853</v>
      </c>
      <c r="H162" s="46">
        <v>182.75862100000001</v>
      </c>
      <c r="I162" s="49" t="str">
        <f ca="1"/>
        <v>大木 優香</v>
      </c>
      <c r="J162" s="109" t="s">
        <v>185</v>
      </c>
      <c r="K162" s="49" t="s">
        <v>50</v>
      </c>
      <c r="L162" s="100" t="s">
        <v>51</v>
      </c>
      <c r="M162" s="107" t="s">
        <v>52</v>
      </c>
      <c r="N162" s="110" t="s">
        <v>186</v>
      </c>
    </row>
    <row r="163" spans="1:14" ht="16">
      <c r="A163" s="101" t="str">
        <f t="shared" si="0"/>
        <v>OK</v>
      </c>
      <c r="B163" s="49">
        <v>3706613</v>
      </c>
      <c r="C163" s="49" t="s">
        <v>302</v>
      </c>
      <c r="D163" s="49" t="s">
        <v>6</v>
      </c>
      <c r="E163" s="50">
        <v>7.0000000000000007E-2</v>
      </c>
      <c r="F163" s="108">
        <v>0</v>
      </c>
      <c r="G163" s="51">
        <v>43853</v>
      </c>
      <c r="H163" s="46">
        <v>182.75862100000001</v>
      </c>
      <c r="I163" s="49" t="str">
        <f ca="1"/>
        <v>大木 優香</v>
      </c>
      <c r="J163" s="109" t="s">
        <v>185</v>
      </c>
      <c r="K163" s="49" t="s">
        <v>50</v>
      </c>
      <c r="L163" s="100" t="s">
        <v>51</v>
      </c>
      <c r="M163" s="107" t="s">
        <v>52</v>
      </c>
      <c r="N163" s="110" t="s">
        <v>186</v>
      </c>
    </row>
    <row r="164" spans="1:14" ht="16">
      <c r="A164" s="101" t="str">
        <f t="shared" si="0"/>
        <v>OK</v>
      </c>
      <c r="B164" s="49">
        <v>3706618</v>
      </c>
      <c r="C164" s="49" t="s">
        <v>303</v>
      </c>
      <c r="D164" s="49" t="s">
        <v>6</v>
      </c>
      <c r="E164" s="50">
        <v>7.0000000000000007E-2</v>
      </c>
      <c r="F164" s="108">
        <v>0</v>
      </c>
      <c r="G164" s="51">
        <v>43853</v>
      </c>
      <c r="H164" s="46">
        <v>182.75862100000001</v>
      </c>
      <c r="I164" s="49" t="str">
        <f ca="1"/>
        <v>大木 優香</v>
      </c>
      <c r="J164" s="109" t="s">
        <v>185</v>
      </c>
      <c r="K164" s="49" t="s">
        <v>50</v>
      </c>
      <c r="L164" s="100" t="s">
        <v>51</v>
      </c>
      <c r="M164" s="107" t="s">
        <v>52</v>
      </c>
      <c r="N164" s="110" t="s">
        <v>186</v>
      </c>
    </row>
    <row r="165" spans="1:14" ht="16">
      <c r="A165" s="101" t="str">
        <f t="shared" si="0"/>
        <v>OK</v>
      </c>
      <c r="B165" s="49">
        <v>3706620</v>
      </c>
      <c r="C165" s="49" t="s">
        <v>304</v>
      </c>
      <c r="D165" s="49" t="s">
        <v>6</v>
      </c>
      <c r="E165" s="50">
        <v>7.0000000000000007E-2</v>
      </c>
      <c r="F165" s="108">
        <v>0</v>
      </c>
      <c r="G165" s="51">
        <v>43853</v>
      </c>
      <c r="H165" s="46">
        <v>182.75862100000001</v>
      </c>
      <c r="I165" s="49" t="str">
        <f ca="1"/>
        <v>大木 優香</v>
      </c>
      <c r="J165" s="109" t="s">
        <v>185</v>
      </c>
      <c r="K165" s="49" t="s">
        <v>50</v>
      </c>
      <c r="L165" s="100" t="s">
        <v>51</v>
      </c>
      <c r="M165" s="107" t="s">
        <v>52</v>
      </c>
      <c r="N165" s="110" t="s">
        <v>186</v>
      </c>
    </row>
    <row r="166" spans="1:14" ht="16">
      <c r="A166" s="101" t="str">
        <f t="shared" si="0"/>
        <v>OK</v>
      </c>
      <c r="B166" s="49">
        <v>3706622</v>
      </c>
      <c r="C166" s="49" t="s">
        <v>305</v>
      </c>
      <c r="D166" s="49" t="s">
        <v>6</v>
      </c>
      <c r="E166" s="50">
        <v>7.0000000000000007E-2</v>
      </c>
      <c r="F166" s="108">
        <v>0</v>
      </c>
      <c r="G166" s="51">
        <v>43853</v>
      </c>
      <c r="H166" s="46">
        <v>182.75862100000001</v>
      </c>
      <c r="I166" s="49" t="str">
        <f ca="1"/>
        <v>大木 優香</v>
      </c>
      <c r="J166" s="109" t="s">
        <v>185</v>
      </c>
      <c r="K166" s="49" t="s">
        <v>50</v>
      </c>
      <c r="L166" s="100" t="s">
        <v>51</v>
      </c>
      <c r="M166" s="107" t="s">
        <v>52</v>
      </c>
      <c r="N166" s="110" t="s">
        <v>186</v>
      </c>
    </row>
    <row r="167" spans="1:14" ht="16">
      <c r="A167" s="101" t="str">
        <f t="shared" si="0"/>
        <v>OK</v>
      </c>
      <c r="B167" s="49">
        <v>3706623</v>
      </c>
      <c r="C167" s="49" t="s">
        <v>306</v>
      </c>
      <c r="D167" s="49" t="s">
        <v>6</v>
      </c>
      <c r="E167" s="50">
        <v>7.0000000000000007E-2</v>
      </c>
      <c r="F167" s="108">
        <v>0</v>
      </c>
      <c r="G167" s="51">
        <v>43853</v>
      </c>
      <c r="H167" s="46">
        <v>182.75862100000001</v>
      </c>
      <c r="I167" s="49" t="str">
        <f ca="1"/>
        <v>大木 優香</v>
      </c>
      <c r="J167" s="109" t="s">
        <v>185</v>
      </c>
      <c r="K167" s="49" t="s">
        <v>50</v>
      </c>
      <c r="L167" s="100" t="s">
        <v>51</v>
      </c>
      <c r="M167" s="107" t="s">
        <v>52</v>
      </c>
      <c r="N167" s="110" t="s">
        <v>186</v>
      </c>
    </row>
    <row r="168" spans="1:14" ht="16">
      <c r="A168" s="101" t="str">
        <f t="shared" si="0"/>
        <v>OK</v>
      </c>
      <c r="B168" s="49">
        <v>3706624</v>
      </c>
      <c r="C168" s="49" t="s">
        <v>307</v>
      </c>
      <c r="D168" s="49" t="s">
        <v>6</v>
      </c>
      <c r="E168" s="50">
        <v>7.0000000000000007E-2</v>
      </c>
      <c r="F168" s="108">
        <v>0</v>
      </c>
      <c r="G168" s="51">
        <v>43853</v>
      </c>
      <c r="H168" s="46">
        <v>182.75862100000001</v>
      </c>
      <c r="I168" s="49" t="str">
        <f ca="1"/>
        <v>大木 優香</v>
      </c>
      <c r="J168" s="109" t="s">
        <v>185</v>
      </c>
      <c r="K168" s="49" t="s">
        <v>50</v>
      </c>
      <c r="L168" s="100" t="s">
        <v>51</v>
      </c>
      <c r="M168" s="107" t="s">
        <v>52</v>
      </c>
      <c r="N168" s="110" t="s">
        <v>186</v>
      </c>
    </row>
    <row r="169" spans="1:14" ht="16">
      <c r="A169" s="101" t="str">
        <f t="shared" si="0"/>
        <v>OK</v>
      </c>
      <c r="B169" s="49">
        <v>3706625</v>
      </c>
      <c r="C169" s="49" t="s">
        <v>308</v>
      </c>
      <c r="D169" s="49" t="s">
        <v>6</v>
      </c>
      <c r="E169" s="50">
        <v>7.0000000000000007E-2</v>
      </c>
      <c r="F169" s="108">
        <v>0</v>
      </c>
      <c r="G169" s="51">
        <v>43853</v>
      </c>
      <c r="H169" s="46">
        <v>182.75862100000001</v>
      </c>
      <c r="I169" s="49" t="str">
        <f ca="1"/>
        <v>大木 優香</v>
      </c>
      <c r="J169" s="109" t="s">
        <v>185</v>
      </c>
      <c r="K169" s="49" t="s">
        <v>50</v>
      </c>
      <c r="L169" s="100" t="s">
        <v>51</v>
      </c>
      <c r="M169" s="107" t="s">
        <v>52</v>
      </c>
      <c r="N169" s="110" t="s">
        <v>186</v>
      </c>
    </row>
    <row r="170" spans="1:14" ht="16">
      <c r="A170" s="101" t="str">
        <f t="shared" si="0"/>
        <v>OK</v>
      </c>
      <c r="B170" s="49">
        <v>3706626</v>
      </c>
      <c r="C170" s="49" t="s">
        <v>309</v>
      </c>
      <c r="D170" s="49" t="s">
        <v>6</v>
      </c>
      <c r="E170" s="50">
        <v>7.0000000000000007E-2</v>
      </c>
      <c r="F170" s="108">
        <v>0</v>
      </c>
      <c r="G170" s="51">
        <v>43853</v>
      </c>
      <c r="H170" s="46">
        <v>182.75862100000001</v>
      </c>
      <c r="I170" s="49" t="str">
        <f ca="1"/>
        <v>大木 優香</v>
      </c>
      <c r="J170" s="109" t="s">
        <v>185</v>
      </c>
      <c r="K170" s="49" t="s">
        <v>50</v>
      </c>
      <c r="L170" s="100" t="s">
        <v>51</v>
      </c>
      <c r="M170" s="107" t="s">
        <v>52</v>
      </c>
      <c r="N170" s="110" t="s">
        <v>186</v>
      </c>
    </row>
    <row r="171" spans="1:14" ht="16">
      <c r="A171" s="101" t="str">
        <f t="shared" si="0"/>
        <v>OK</v>
      </c>
      <c r="B171" s="49">
        <v>3706628</v>
      </c>
      <c r="C171" s="49" t="s">
        <v>310</v>
      </c>
      <c r="D171" s="49" t="s">
        <v>6</v>
      </c>
      <c r="E171" s="50">
        <v>7.0000000000000007E-2</v>
      </c>
      <c r="F171" s="108">
        <v>0</v>
      </c>
      <c r="G171" s="51">
        <v>43853</v>
      </c>
      <c r="H171" s="46">
        <v>182.75862100000001</v>
      </c>
      <c r="I171" s="49" t="str">
        <f ca="1"/>
        <v>大木 優香</v>
      </c>
      <c r="J171" s="109" t="s">
        <v>185</v>
      </c>
      <c r="K171" s="49" t="s">
        <v>50</v>
      </c>
      <c r="L171" s="100" t="s">
        <v>51</v>
      </c>
      <c r="M171" s="107" t="s">
        <v>52</v>
      </c>
      <c r="N171" s="110" t="s">
        <v>186</v>
      </c>
    </row>
    <row r="172" spans="1:14" ht="16">
      <c r="A172" s="101" t="str">
        <f t="shared" si="0"/>
        <v>OK</v>
      </c>
      <c r="B172" s="49">
        <v>3706631</v>
      </c>
      <c r="C172" s="49" t="s">
        <v>311</v>
      </c>
      <c r="D172" s="49" t="s">
        <v>6</v>
      </c>
      <c r="E172" s="50">
        <v>7.0000000000000007E-2</v>
      </c>
      <c r="F172" s="108">
        <v>0</v>
      </c>
      <c r="G172" s="51">
        <v>43853</v>
      </c>
      <c r="H172" s="46">
        <v>182.75862100000001</v>
      </c>
      <c r="I172" s="49" t="str">
        <f ca="1"/>
        <v>大木 優香</v>
      </c>
      <c r="J172" s="109" t="s">
        <v>185</v>
      </c>
      <c r="K172" s="49" t="s">
        <v>50</v>
      </c>
      <c r="L172" s="100" t="s">
        <v>51</v>
      </c>
      <c r="M172" s="107" t="s">
        <v>52</v>
      </c>
      <c r="N172" s="110" t="s">
        <v>186</v>
      </c>
    </row>
    <row r="173" spans="1:14" ht="16">
      <c r="A173" s="101" t="str">
        <f t="shared" si="0"/>
        <v>OK</v>
      </c>
      <c r="B173" s="49">
        <v>3706633</v>
      </c>
      <c r="C173" s="49" t="s">
        <v>312</v>
      </c>
      <c r="D173" s="49" t="s">
        <v>6</v>
      </c>
      <c r="E173" s="50">
        <v>7.0000000000000007E-2</v>
      </c>
      <c r="F173" s="108">
        <v>0</v>
      </c>
      <c r="G173" s="51">
        <v>43853</v>
      </c>
      <c r="H173" s="46">
        <v>182.75862100000001</v>
      </c>
      <c r="I173" s="49" t="str">
        <f ca="1"/>
        <v>大木 優香</v>
      </c>
      <c r="J173" s="109" t="s">
        <v>185</v>
      </c>
      <c r="K173" s="49" t="s">
        <v>50</v>
      </c>
      <c r="L173" s="100" t="s">
        <v>51</v>
      </c>
      <c r="M173" s="107" t="s">
        <v>52</v>
      </c>
      <c r="N173" s="110" t="s">
        <v>186</v>
      </c>
    </row>
    <row r="174" spans="1:14" ht="16">
      <c r="A174" s="101" t="str">
        <f t="shared" si="0"/>
        <v>OK</v>
      </c>
      <c r="B174" s="49">
        <v>3706635</v>
      </c>
      <c r="C174" s="49" t="s">
        <v>313</v>
      </c>
      <c r="D174" s="49" t="s">
        <v>6</v>
      </c>
      <c r="E174" s="50">
        <v>7.0000000000000007E-2</v>
      </c>
      <c r="F174" s="108">
        <v>0</v>
      </c>
      <c r="G174" s="51">
        <v>43853</v>
      </c>
      <c r="H174" s="46">
        <v>182.75862100000001</v>
      </c>
      <c r="I174" s="49" t="str">
        <f ca="1"/>
        <v>大木 優香</v>
      </c>
      <c r="J174" s="109" t="s">
        <v>185</v>
      </c>
      <c r="K174" s="49" t="s">
        <v>50</v>
      </c>
      <c r="L174" s="100" t="s">
        <v>51</v>
      </c>
      <c r="M174" s="107" t="s">
        <v>52</v>
      </c>
      <c r="N174" s="110" t="s">
        <v>186</v>
      </c>
    </row>
    <row r="175" spans="1:14" ht="16">
      <c r="A175" s="101" t="str">
        <f t="shared" si="0"/>
        <v>OK</v>
      </c>
      <c r="B175" s="49">
        <v>3706638</v>
      </c>
      <c r="C175" s="49" t="s">
        <v>314</v>
      </c>
      <c r="D175" s="49" t="s">
        <v>6</v>
      </c>
      <c r="E175" s="50">
        <v>7.0000000000000007E-2</v>
      </c>
      <c r="F175" s="108">
        <v>0</v>
      </c>
      <c r="G175" s="51">
        <v>43853</v>
      </c>
      <c r="H175" s="46">
        <v>182.75862100000001</v>
      </c>
      <c r="I175" s="49" t="str">
        <f ca="1"/>
        <v>大木 優香</v>
      </c>
      <c r="J175" s="109" t="s">
        <v>185</v>
      </c>
      <c r="K175" s="49" t="s">
        <v>50</v>
      </c>
      <c r="L175" s="100" t="s">
        <v>51</v>
      </c>
      <c r="M175" s="107" t="s">
        <v>52</v>
      </c>
      <c r="N175" s="110" t="s">
        <v>186</v>
      </c>
    </row>
    <row r="176" spans="1:14" ht="16">
      <c r="A176" s="101" t="str">
        <f t="shared" si="0"/>
        <v>OK</v>
      </c>
      <c r="B176" s="49">
        <v>3706640</v>
      </c>
      <c r="C176" s="49" t="s">
        <v>315</v>
      </c>
      <c r="D176" s="49" t="s">
        <v>6</v>
      </c>
      <c r="E176" s="50">
        <v>7.0000000000000007E-2</v>
      </c>
      <c r="F176" s="108">
        <v>0</v>
      </c>
      <c r="G176" s="51">
        <v>43853</v>
      </c>
      <c r="H176" s="46">
        <v>182.75862100000001</v>
      </c>
      <c r="I176" s="49" t="str">
        <f ca="1"/>
        <v>大木 優香</v>
      </c>
      <c r="J176" s="109" t="s">
        <v>185</v>
      </c>
      <c r="K176" s="49" t="s">
        <v>50</v>
      </c>
      <c r="L176" s="100" t="s">
        <v>51</v>
      </c>
      <c r="M176" s="107" t="s">
        <v>52</v>
      </c>
      <c r="N176" s="110" t="s">
        <v>186</v>
      </c>
    </row>
    <row r="177" spans="1:14" ht="16">
      <c r="A177" s="101" t="str">
        <f t="shared" si="0"/>
        <v>OK</v>
      </c>
      <c r="B177" s="49">
        <v>3706645</v>
      </c>
      <c r="C177" s="49" t="s">
        <v>316</v>
      </c>
      <c r="D177" s="49" t="s">
        <v>6</v>
      </c>
      <c r="E177" s="50">
        <v>7.0000000000000007E-2</v>
      </c>
      <c r="F177" s="108">
        <v>0</v>
      </c>
      <c r="G177" s="51">
        <v>43853</v>
      </c>
      <c r="H177" s="46">
        <v>182.75862100000001</v>
      </c>
      <c r="I177" s="49" t="str">
        <f ca="1"/>
        <v>大木 優香</v>
      </c>
      <c r="J177" s="109" t="s">
        <v>185</v>
      </c>
      <c r="K177" s="49" t="s">
        <v>50</v>
      </c>
      <c r="L177" s="100" t="s">
        <v>51</v>
      </c>
      <c r="M177" s="107" t="s">
        <v>52</v>
      </c>
      <c r="N177" s="110" t="s">
        <v>186</v>
      </c>
    </row>
    <row r="178" spans="1:14" ht="16">
      <c r="A178" s="101" t="str">
        <f t="shared" si="0"/>
        <v>OK</v>
      </c>
      <c r="B178" s="49">
        <v>3706646</v>
      </c>
      <c r="C178" s="49" t="s">
        <v>317</v>
      </c>
      <c r="D178" s="49" t="s">
        <v>6</v>
      </c>
      <c r="E178" s="50">
        <v>7.0000000000000007E-2</v>
      </c>
      <c r="F178" s="108">
        <v>0</v>
      </c>
      <c r="G178" s="51">
        <v>43853</v>
      </c>
      <c r="H178" s="46">
        <v>182.75862100000001</v>
      </c>
      <c r="I178" s="49" t="str">
        <f ca="1"/>
        <v>大木 優香</v>
      </c>
      <c r="J178" s="109" t="s">
        <v>185</v>
      </c>
      <c r="K178" s="49" t="s">
        <v>50</v>
      </c>
      <c r="L178" s="100" t="s">
        <v>51</v>
      </c>
      <c r="M178" s="107" t="s">
        <v>52</v>
      </c>
      <c r="N178" s="110" t="s">
        <v>186</v>
      </c>
    </row>
    <row r="179" spans="1:14" ht="16">
      <c r="A179" s="101" t="str">
        <f t="shared" si="0"/>
        <v>OK</v>
      </c>
      <c r="B179" s="49">
        <v>3706647</v>
      </c>
      <c r="C179" s="49" t="s">
        <v>318</v>
      </c>
      <c r="D179" s="49" t="s">
        <v>6</v>
      </c>
      <c r="E179" s="50">
        <v>7.0000000000000007E-2</v>
      </c>
      <c r="F179" s="108">
        <v>0</v>
      </c>
      <c r="G179" s="51">
        <v>43853</v>
      </c>
      <c r="H179" s="46">
        <v>182.75862100000001</v>
      </c>
      <c r="I179" s="49" t="str">
        <f ca="1"/>
        <v>大木 優香</v>
      </c>
      <c r="J179" s="109" t="s">
        <v>185</v>
      </c>
      <c r="K179" s="49" t="s">
        <v>50</v>
      </c>
      <c r="L179" s="100" t="s">
        <v>51</v>
      </c>
      <c r="M179" s="107" t="s">
        <v>52</v>
      </c>
      <c r="N179" s="110" t="s">
        <v>186</v>
      </c>
    </row>
    <row r="180" spans="1:14" ht="16">
      <c r="A180" s="101" t="str">
        <f t="shared" si="0"/>
        <v>OK</v>
      </c>
      <c r="B180" s="49">
        <v>3706648</v>
      </c>
      <c r="C180" s="49" t="s">
        <v>319</v>
      </c>
      <c r="D180" s="49" t="s">
        <v>6</v>
      </c>
      <c r="E180" s="50">
        <v>7.0000000000000007E-2</v>
      </c>
      <c r="F180" s="108">
        <v>0</v>
      </c>
      <c r="G180" s="51">
        <v>43853</v>
      </c>
      <c r="H180" s="46">
        <v>182.75862100000001</v>
      </c>
      <c r="I180" s="49" t="str">
        <f ca="1"/>
        <v>大木 優香</v>
      </c>
      <c r="J180" s="109" t="s">
        <v>185</v>
      </c>
      <c r="K180" s="49" t="s">
        <v>50</v>
      </c>
      <c r="L180" s="100" t="s">
        <v>51</v>
      </c>
      <c r="M180" s="107" t="s">
        <v>52</v>
      </c>
      <c r="N180" s="110" t="s">
        <v>186</v>
      </c>
    </row>
    <row r="181" spans="1:14" ht="16">
      <c r="A181" s="101" t="str">
        <f t="shared" si="0"/>
        <v>OK</v>
      </c>
      <c r="B181" s="49">
        <v>3706651</v>
      </c>
      <c r="C181" s="49" t="s">
        <v>320</v>
      </c>
      <c r="D181" s="49" t="s">
        <v>6</v>
      </c>
      <c r="E181" s="50">
        <v>7.0000000000000007E-2</v>
      </c>
      <c r="F181" s="108">
        <v>0</v>
      </c>
      <c r="G181" s="51">
        <v>43853</v>
      </c>
      <c r="H181" s="46">
        <v>182.75862100000001</v>
      </c>
      <c r="I181" s="49" t="str">
        <f ca="1"/>
        <v>大木 優香</v>
      </c>
      <c r="J181" s="109" t="s">
        <v>185</v>
      </c>
      <c r="K181" s="49" t="s">
        <v>50</v>
      </c>
      <c r="L181" s="100" t="s">
        <v>51</v>
      </c>
      <c r="M181" s="107" t="s">
        <v>52</v>
      </c>
      <c r="N181" s="110" t="s">
        <v>186</v>
      </c>
    </row>
    <row r="182" spans="1:14" ht="16">
      <c r="A182" s="101" t="str">
        <f t="shared" si="0"/>
        <v>OK</v>
      </c>
      <c r="B182" s="49">
        <v>3706653</v>
      </c>
      <c r="C182" s="49" t="s">
        <v>321</v>
      </c>
      <c r="D182" s="49" t="s">
        <v>6</v>
      </c>
      <c r="E182" s="50">
        <v>7.0000000000000007E-2</v>
      </c>
      <c r="F182" s="108">
        <v>0</v>
      </c>
      <c r="G182" s="51">
        <v>43853</v>
      </c>
      <c r="H182" s="46">
        <v>182.75862100000001</v>
      </c>
      <c r="I182" s="49" t="str">
        <f ca="1"/>
        <v>大木 優香</v>
      </c>
      <c r="J182" s="109" t="s">
        <v>185</v>
      </c>
      <c r="K182" s="49" t="s">
        <v>50</v>
      </c>
      <c r="L182" s="100" t="s">
        <v>51</v>
      </c>
      <c r="M182" s="107" t="s">
        <v>52</v>
      </c>
      <c r="N182" s="110" t="s">
        <v>186</v>
      </c>
    </row>
    <row r="183" spans="1:14" ht="16">
      <c r="A183" s="101" t="str">
        <f t="shared" si="0"/>
        <v>OK</v>
      </c>
      <c r="B183" s="49">
        <v>3706655</v>
      </c>
      <c r="C183" s="49" t="s">
        <v>322</v>
      </c>
      <c r="D183" s="49" t="s">
        <v>6</v>
      </c>
      <c r="E183" s="50">
        <v>7.0000000000000007E-2</v>
      </c>
      <c r="F183" s="108">
        <v>0</v>
      </c>
      <c r="G183" s="51">
        <v>43853</v>
      </c>
      <c r="H183" s="46">
        <v>182.75862100000001</v>
      </c>
      <c r="I183" s="49" t="str">
        <f ca="1"/>
        <v>大木 優香</v>
      </c>
      <c r="J183" s="109" t="s">
        <v>185</v>
      </c>
      <c r="K183" s="49" t="s">
        <v>50</v>
      </c>
      <c r="L183" s="100" t="s">
        <v>51</v>
      </c>
      <c r="M183" s="107" t="s">
        <v>52</v>
      </c>
      <c r="N183" s="110" t="s">
        <v>186</v>
      </c>
    </row>
    <row r="184" spans="1:14" ht="16">
      <c r="A184" s="101" t="str">
        <f t="shared" si="0"/>
        <v>OK</v>
      </c>
      <c r="B184" s="49">
        <v>3706657</v>
      </c>
      <c r="C184" s="49" t="s">
        <v>323</v>
      </c>
      <c r="D184" s="49" t="s">
        <v>6</v>
      </c>
      <c r="E184" s="50">
        <v>7.0000000000000007E-2</v>
      </c>
      <c r="F184" s="108">
        <v>0</v>
      </c>
      <c r="G184" s="51">
        <v>43853</v>
      </c>
      <c r="H184" s="46">
        <v>182.75862100000001</v>
      </c>
      <c r="I184" s="49" t="str">
        <f ca="1"/>
        <v>大木 優香</v>
      </c>
      <c r="J184" s="109" t="s">
        <v>185</v>
      </c>
      <c r="K184" s="49" t="s">
        <v>50</v>
      </c>
      <c r="L184" s="100" t="s">
        <v>51</v>
      </c>
      <c r="M184" s="107" t="s">
        <v>52</v>
      </c>
      <c r="N184" s="110" t="s">
        <v>186</v>
      </c>
    </row>
    <row r="185" spans="1:14" ht="16">
      <c r="A185" s="101" t="str">
        <f t="shared" si="0"/>
        <v>OK</v>
      </c>
      <c r="B185" s="49">
        <v>3706658</v>
      </c>
      <c r="C185" s="49" t="s">
        <v>324</v>
      </c>
      <c r="D185" s="49" t="s">
        <v>6</v>
      </c>
      <c r="E185" s="50">
        <v>7.0000000000000007E-2</v>
      </c>
      <c r="F185" s="108">
        <v>0</v>
      </c>
      <c r="G185" s="51">
        <v>43853</v>
      </c>
      <c r="H185" s="46">
        <v>182.75862100000001</v>
      </c>
      <c r="I185" s="49" t="str">
        <f ca="1"/>
        <v>大木 優香</v>
      </c>
      <c r="J185" s="109" t="s">
        <v>185</v>
      </c>
      <c r="K185" s="49" t="s">
        <v>50</v>
      </c>
      <c r="L185" s="100" t="s">
        <v>51</v>
      </c>
      <c r="M185" s="107" t="s">
        <v>52</v>
      </c>
      <c r="N185" s="110" t="s">
        <v>186</v>
      </c>
    </row>
    <row r="186" spans="1:14" ht="16">
      <c r="A186" s="101" t="str">
        <f t="shared" si="0"/>
        <v>OK</v>
      </c>
      <c r="B186" s="49">
        <v>3706662</v>
      </c>
      <c r="C186" s="49" t="s">
        <v>325</v>
      </c>
      <c r="D186" s="49" t="s">
        <v>6</v>
      </c>
      <c r="E186" s="50">
        <v>7.0000000000000007E-2</v>
      </c>
      <c r="F186" s="108">
        <v>0</v>
      </c>
      <c r="G186" s="51">
        <v>43853</v>
      </c>
      <c r="H186" s="46">
        <v>182.75862100000001</v>
      </c>
      <c r="I186" s="49" t="str">
        <f ca="1"/>
        <v>大木 優香</v>
      </c>
      <c r="J186" s="109" t="s">
        <v>185</v>
      </c>
      <c r="K186" s="49" t="s">
        <v>50</v>
      </c>
      <c r="L186" s="100" t="s">
        <v>51</v>
      </c>
      <c r="M186" s="107" t="s">
        <v>52</v>
      </c>
      <c r="N186" s="110" t="s">
        <v>186</v>
      </c>
    </row>
    <row r="187" spans="1:14" ht="16">
      <c r="A187" s="101" t="str">
        <f t="shared" si="0"/>
        <v>OK</v>
      </c>
      <c r="B187" s="49">
        <v>3706665</v>
      </c>
      <c r="C187" s="49" t="s">
        <v>326</v>
      </c>
      <c r="D187" s="49" t="s">
        <v>6</v>
      </c>
      <c r="E187" s="50">
        <v>7.0000000000000007E-2</v>
      </c>
      <c r="F187" s="108">
        <v>0</v>
      </c>
      <c r="G187" s="51">
        <v>43853</v>
      </c>
      <c r="H187" s="46">
        <v>182.75862100000001</v>
      </c>
      <c r="I187" s="49" t="str">
        <f ca="1"/>
        <v>大木 優香</v>
      </c>
      <c r="J187" s="109" t="s">
        <v>185</v>
      </c>
      <c r="K187" s="49" t="s">
        <v>50</v>
      </c>
      <c r="L187" s="100" t="s">
        <v>51</v>
      </c>
      <c r="M187" s="107" t="s">
        <v>52</v>
      </c>
      <c r="N187" s="110" t="s">
        <v>186</v>
      </c>
    </row>
    <row r="188" spans="1:14" ht="16">
      <c r="A188" s="101" t="str">
        <f t="shared" si="0"/>
        <v>OK</v>
      </c>
      <c r="B188" s="49">
        <v>3706667</v>
      </c>
      <c r="C188" s="49" t="s">
        <v>327</v>
      </c>
      <c r="D188" s="49" t="s">
        <v>6</v>
      </c>
      <c r="E188" s="50">
        <v>7.0000000000000007E-2</v>
      </c>
      <c r="F188" s="108">
        <v>0</v>
      </c>
      <c r="G188" s="51">
        <v>43853</v>
      </c>
      <c r="H188" s="46">
        <v>182.75862100000001</v>
      </c>
      <c r="I188" s="49" t="str">
        <f ca="1"/>
        <v>大木 優香</v>
      </c>
      <c r="J188" s="109" t="s">
        <v>185</v>
      </c>
      <c r="K188" s="49" t="s">
        <v>50</v>
      </c>
      <c r="L188" s="100" t="s">
        <v>51</v>
      </c>
      <c r="M188" s="107" t="s">
        <v>52</v>
      </c>
      <c r="N188" s="110" t="s">
        <v>186</v>
      </c>
    </row>
    <row r="189" spans="1:14" ht="16">
      <c r="A189" s="101" t="str">
        <f t="shared" si="0"/>
        <v>OK</v>
      </c>
      <c r="B189" s="49">
        <v>3706670</v>
      </c>
      <c r="C189" s="49" t="s">
        <v>328</v>
      </c>
      <c r="D189" s="49" t="s">
        <v>6</v>
      </c>
      <c r="E189" s="50">
        <v>7.0000000000000007E-2</v>
      </c>
      <c r="F189" s="108">
        <v>0</v>
      </c>
      <c r="G189" s="51">
        <v>43853</v>
      </c>
      <c r="H189" s="46">
        <v>182.75862100000001</v>
      </c>
      <c r="I189" s="49" t="str">
        <f ca="1"/>
        <v>大木 優香</v>
      </c>
      <c r="J189" s="109" t="s">
        <v>185</v>
      </c>
      <c r="K189" s="49" t="s">
        <v>50</v>
      </c>
      <c r="L189" s="100" t="s">
        <v>51</v>
      </c>
      <c r="M189" s="107" t="s">
        <v>52</v>
      </c>
      <c r="N189" s="110" t="s">
        <v>186</v>
      </c>
    </row>
    <row r="190" spans="1:14" ht="16">
      <c r="A190" s="101" t="str">
        <f t="shared" si="0"/>
        <v>OK</v>
      </c>
      <c r="B190" s="49">
        <v>3706671</v>
      </c>
      <c r="C190" s="49" t="s">
        <v>329</v>
      </c>
      <c r="D190" s="49" t="s">
        <v>6</v>
      </c>
      <c r="E190" s="50">
        <v>7.0000000000000007E-2</v>
      </c>
      <c r="F190" s="108">
        <v>0</v>
      </c>
      <c r="G190" s="51">
        <v>43853</v>
      </c>
      <c r="H190" s="46">
        <v>182.75862100000001</v>
      </c>
      <c r="I190" s="49" t="str">
        <f ca="1"/>
        <v>大木 優香</v>
      </c>
      <c r="J190" s="109" t="s">
        <v>185</v>
      </c>
      <c r="K190" s="49" t="s">
        <v>50</v>
      </c>
      <c r="L190" s="100" t="s">
        <v>51</v>
      </c>
      <c r="M190" s="107" t="s">
        <v>52</v>
      </c>
      <c r="N190" s="110" t="s">
        <v>186</v>
      </c>
    </row>
    <row r="191" spans="1:14" ht="16">
      <c r="A191" s="101" t="str">
        <f t="shared" si="0"/>
        <v>OK</v>
      </c>
      <c r="B191" s="49">
        <v>3706674</v>
      </c>
      <c r="C191" s="49" t="s">
        <v>330</v>
      </c>
      <c r="D191" s="49" t="s">
        <v>6</v>
      </c>
      <c r="E191" s="50">
        <v>7.0000000000000007E-2</v>
      </c>
      <c r="F191" s="108">
        <v>0</v>
      </c>
      <c r="G191" s="51">
        <v>43853</v>
      </c>
      <c r="H191" s="46">
        <v>182.75862100000001</v>
      </c>
      <c r="I191" s="49" t="str">
        <f ca="1"/>
        <v>大木 優香</v>
      </c>
      <c r="J191" s="109" t="s">
        <v>185</v>
      </c>
      <c r="K191" s="49" t="s">
        <v>50</v>
      </c>
      <c r="L191" s="100" t="s">
        <v>51</v>
      </c>
      <c r="M191" s="107" t="s">
        <v>52</v>
      </c>
      <c r="N191" s="110" t="s">
        <v>186</v>
      </c>
    </row>
    <row r="192" spans="1:14" ht="16">
      <c r="A192" s="101" t="str">
        <f t="shared" si="0"/>
        <v>OK</v>
      </c>
      <c r="B192" s="49">
        <v>3706676</v>
      </c>
      <c r="C192" s="49" t="s">
        <v>331</v>
      </c>
      <c r="D192" s="49" t="s">
        <v>6</v>
      </c>
      <c r="E192" s="50">
        <v>7.0000000000000007E-2</v>
      </c>
      <c r="F192" s="108">
        <v>0</v>
      </c>
      <c r="G192" s="51">
        <v>43853</v>
      </c>
      <c r="H192" s="46">
        <v>182.75862100000001</v>
      </c>
      <c r="I192" s="49" t="str">
        <f ca="1"/>
        <v>大木 優香</v>
      </c>
      <c r="J192" s="109" t="s">
        <v>185</v>
      </c>
      <c r="K192" s="49" t="s">
        <v>50</v>
      </c>
      <c r="L192" s="100" t="s">
        <v>51</v>
      </c>
      <c r="M192" s="107" t="s">
        <v>52</v>
      </c>
      <c r="N192" s="110" t="s">
        <v>186</v>
      </c>
    </row>
    <row r="193" spans="1:14" ht="16">
      <c r="A193" s="101" t="str">
        <f t="shared" si="0"/>
        <v>OK</v>
      </c>
      <c r="B193" s="49">
        <v>3706677</v>
      </c>
      <c r="C193" s="49" t="s">
        <v>332</v>
      </c>
      <c r="D193" s="49" t="s">
        <v>6</v>
      </c>
      <c r="E193" s="50">
        <v>7.0000000000000007E-2</v>
      </c>
      <c r="F193" s="108">
        <v>0</v>
      </c>
      <c r="G193" s="51">
        <v>43853</v>
      </c>
      <c r="H193" s="46">
        <v>182.75862100000001</v>
      </c>
      <c r="I193" s="49" t="str">
        <f ca="1"/>
        <v>大木 優香</v>
      </c>
      <c r="J193" s="109" t="s">
        <v>185</v>
      </c>
      <c r="K193" s="49" t="s">
        <v>50</v>
      </c>
      <c r="L193" s="100" t="s">
        <v>51</v>
      </c>
      <c r="M193" s="107" t="s">
        <v>52</v>
      </c>
      <c r="N193" s="110" t="s">
        <v>186</v>
      </c>
    </row>
    <row r="194" spans="1:14" ht="16">
      <c r="A194" s="101" t="str">
        <f t="shared" si="0"/>
        <v>OK</v>
      </c>
      <c r="B194" s="49">
        <v>3706681</v>
      </c>
      <c r="C194" s="49" t="s">
        <v>333</v>
      </c>
      <c r="D194" s="49" t="s">
        <v>6</v>
      </c>
      <c r="E194" s="50">
        <v>7.0000000000000007E-2</v>
      </c>
      <c r="F194" s="108">
        <v>0</v>
      </c>
      <c r="G194" s="51">
        <v>43853</v>
      </c>
      <c r="H194" s="46">
        <v>182.75862100000001</v>
      </c>
      <c r="I194" s="49" t="str">
        <f ca="1"/>
        <v>大木 優香</v>
      </c>
      <c r="J194" s="109" t="s">
        <v>185</v>
      </c>
      <c r="K194" s="49" t="s">
        <v>50</v>
      </c>
      <c r="L194" s="100" t="s">
        <v>51</v>
      </c>
      <c r="M194" s="107" t="s">
        <v>52</v>
      </c>
      <c r="N194" s="110" t="s">
        <v>186</v>
      </c>
    </row>
    <row r="195" spans="1:14" ht="16">
      <c r="A195" s="101" t="str">
        <f t="shared" si="0"/>
        <v>OK</v>
      </c>
      <c r="B195" s="49">
        <v>3706682</v>
      </c>
      <c r="C195" s="49" t="s">
        <v>334</v>
      </c>
      <c r="D195" s="49" t="s">
        <v>6</v>
      </c>
      <c r="E195" s="50">
        <v>7.0000000000000007E-2</v>
      </c>
      <c r="F195" s="108">
        <v>0</v>
      </c>
      <c r="G195" s="51">
        <v>43853</v>
      </c>
      <c r="H195" s="46">
        <v>182.75862100000001</v>
      </c>
      <c r="I195" s="49" t="str">
        <f ca="1"/>
        <v>大木 優香</v>
      </c>
      <c r="J195" s="109" t="s">
        <v>185</v>
      </c>
      <c r="K195" s="49" t="s">
        <v>50</v>
      </c>
      <c r="L195" s="100" t="s">
        <v>51</v>
      </c>
      <c r="M195" s="107" t="s">
        <v>52</v>
      </c>
      <c r="N195" s="110" t="s">
        <v>186</v>
      </c>
    </row>
    <row r="196" spans="1:14" ht="16">
      <c r="A196" s="101" t="str">
        <f t="shared" si="0"/>
        <v>OK</v>
      </c>
      <c r="B196" s="49">
        <v>3706684</v>
      </c>
      <c r="C196" s="49" t="s">
        <v>335</v>
      </c>
      <c r="D196" s="49" t="s">
        <v>6</v>
      </c>
      <c r="E196" s="50">
        <v>7.0000000000000007E-2</v>
      </c>
      <c r="F196" s="108">
        <v>0</v>
      </c>
      <c r="G196" s="51">
        <v>43853</v>
      </c>
      <c r="H196" s="46">
        <v>182.75862100000001</v>
      </c>
      <c r="I196" s="49" t="str">
        <f ca="1"/>
        <v>大木 優香</v>
      </c>
      <c r="J196" s="109" t="s">
        <v>185</v>
      </c>
      <c r="K196" s="49" t="s">
        <v>50</v>
      </c>
      <c r="L196" s="100" t="s">
        <v>51</v>
      </c>
      <c r="M196" s="107" t="s">
        <v>52</v>
      </c>
      <c r="N196" s="110" t="s">
        <v>186</v>
      </c>
    </row>
    <row r="197" spans="1:14" ht="16">
      <c r="A197" s="101" t="str">
        <f t="shared" si="0"/>
        <v>OK</v>
      </c>
      <c r="B197" s="49">
        <v>3706685</v>
      </c>
      <c r="C197" s="49" t="s">
        <v>336</v>
      </c>
      <c r="D197" s="49" t="s">
        <v>6</v>
      </c>
      <c r="E197" s="50">
        <v>7.0000000000000007E-2</v>
      </c>
      <c r="F197" s="108">
        <v>0</v>
      </c>
      <c r="G197" s="51">
        <v>43853</v>
      </c>
      <c r="H197" s="46">
        <v>182.75862100000001</v>
      </c>
      <c r="I197" s="49" t="str">
        <f ca="1"/>
        <v>大木 優香</v>
      </c>
      <c r="J197" s="109" t="s">
        <v>185</v>
      </c>
      <c r="K197" s="49" t="s">
        <v>50</v>
      </c>
      <c r="L197" s="100" t="s">
        <v>51</v>
      </c>
      <c r="M197" s="107" t="s">
        <v>52</v>
      </c>
      <c r="N197" s="110" t="s">
        <v>186</v>
      </c>
    </row>
    <row r="198" spans="1:14" ht="16">
      <c r="A198" s="101" t="str">
        <f t="shared" si="0"/>
        <v>OK</v>
      </c>
      <c r="B198" s="49">
        <v>3706689</v>
      </c>
      <c r="C198" s="49" t="s">
        <v>337</v>
      </c>
      <c r="D198" s="49" t="s">
        <v>6</v>
      </c>
      <c r="E198" s="50">
        <v>7.0000000000000007E-2</v>
      </c>
      <c r="F198" s="108">
        <v>0</v>
      </c>
      <c r="G198" s="51">
        <v>43853</v>
      </c>
      <c r="H198" s="46">
        <v>182.75862100000001</v>
      </c>
      <c r="I198" s="49" t="str">
        <f ca="1"/>
        <v>大木 優香</v>
      </c>
      <c r="J198" s="109" t="s">
        <v>185</v>
      </c>
      <c r="K198" s="49" t="s">
        <v>50</v>
      </c>
      <c r="L198" s="100" t="s">
        <v>51</v>
      </c>
      <c r="M198" s="107" t="s">
        <v>52</v>
      </c>
      <c r="N198" s="110" t="s">
        <v>186</v>
      </c>
    </row>
    <row r="199" spans="1:14" ht="16">
      <c r="A199" s="101" t="str">
        <f t="shared" si="0"/>
        <v>OK</v>
      </c>
      <c r="B199" s="49">
        <v>3706690</v>
      </c>
      <c r="C199" s="49" t="s">
        <v>338</v>
      </c>
      <c r="D199" s="49" t="s">
        <v>6</v>
      </c>
      <c r="E199" s="50">
        <v>7.0000000000000007E-2</v>
      </c>
      <c r="F199" s="108">
        <v>0</v>
      </c>
      <c r="G199" s="51">
        <v>43853</v>
      </c>
      <c r="H199" s="46">
        <v>182.75862100000001</v>
      </c>
      <c r="I199" s="49" t="str">
        <f ca="1"/>
        <v>大木 優香</v>
      </c>
      <c r="J199" s="109" t="s">
        <v>185</v>
      </c>
      <c r="K199" s="49" t="s">
        <v>50</v>
      </c>
      <c r="L199" s="100" t="s">
        <v>51</v>
      </c>
      <c r="M199" s="107" t="s">
        <v>52</v>
      </c>
      <c r="N199" s="110" t="s">
        <v>186</v>
      </c>
    </row>
    <row r="200" spans="1:14" ht="16">
      <c r="A200" s="101" t="str">
        <f t="shared" si="0"/>
        <v>OK</v>
      </c>
      <c r="B200" s="49">
        <v>3706691</v>
      </c>
      <c r="C200" s="49" t="s">
        <v>339</v>
      </c>
      <c r="D200" s="49" t="s">
        <v>6</v>
      </c>
      <c r="E200" s="50">
        <v>7.0000000000000007E-2</v>
      </c>
      <c r="F200" s="108">
        <v>0</v>
      </c>
      <c r="G200" s="51">
        <v>43853</v>
      </c>
      <c r="H200" s="46">
        <v>182.75862100000001</v>
      </c>
      <c r="I200" s="49" t="str">
        <f ca="1"/>
        <v>大木 優香</v>
      </c>
      <c r="J200" s="109" t="s">
        <v>185</v>
      </c>
      <c r="K200" s="49" t="s">
        <v>50</v>
      </c>
      <c r="L200" s="100" t="s">
        <v>51</v>
      </c>
      <c r="M200" s="107" t="s">
        <v>52</v>
      </c>
      <c r="N200" s="110" t="s">
        <v>186</v>
      </c>
    </row>
    <row r="201" spans="1:14" ht="16">
      <c r="A201" s="101" t="str">
        <f t="shared" si="0"/>
        <v>OK</v>
      </c>
      <c r="B201" s="49">
        <v>3706692</v>
      </c>
      <c r="C201" s="49" t="s">
        <v>340</v>
      </c>
      <c r="D201" s="49" t="s">
        <v>6</v>
      </c>
      <c r="E201" s="50">
        <v>7.0000000000000007E-2</v>
      </c>
      <c r="F201" s="108">
        <v>12</v>
      </c>
      <c r="G201" s="51">
        <v>43853</v>
      </c>
      <c r="H201" s="46">
        <v>182.75862100000001</v>
      </c>
      <c r="I201" s="49" t="str">
        <f ca="1"/>
        <v>大木 優香</v>
      </c>
      <c r="J201" s="109" t="s">
        <v>185</v>
      </c>
      <c r="K201" s="49" t="s">
        <v>50</v>
      </c>
      <c r="L201" s="100" t="s">
        <v>51</v>
      </c>
      <c r="M201" s="107" t="s">
        <v>52</v>
      </c>
      <c r="N201" s="110" t="s">
        <v>186</v>
      </c>
    </row>
    <row r="202" spans="1:14" ht="16">
      <c r="A202" s="101" t="str">
        <f t="shared" si="0"/>
        <v>OK</v>
      </c>
      <c r="B202" s="49">
        <v>3706693</v>
      </c>
      <c r="C202" s="49" t="s">
        <v>341</v>
      </c>
      <c r="D202" s="49" t="s">
        <v>6</v>
      </c>
      <c r="E202" s="50">
        <v>7.0000000000000007E-2</v>
      </c>
      <c r="F202" s="108">
        <v>0</v>
      </c>
      <c r="G202" s="51">
        <v>43853</v>
      </c>
      <c r="H202" s="46">
        <v>182.75862100000001</v>
      </c>
      <c r="I202" s="49" t="str">
        <f ca="1"/>
        <v>大木 優香</v>
      </c>
      <c r="J202" s="109" t="s">
        <v>185</v>
      </c>
      <c r="K202" s="49" t="s">
        <v>50</v>
      </c>
      <c r="L202" s="100" t="s">
        <v>51</v>
      </c>
      <c r="M202" s="107" t="s">
        <v>52</v>
      </c>
      <c r="N202" s="110" t="s">
        <v>186</v>
      </c>
    </row>
    <row r="203" spans="1:14" ht="16">
      <c r="A203" s="101" t="str">
        <f t="shared" si="0"/>
        <v>OK</v>
      </c>
      <c r="B203" s="49">
        <v>3706695</v>
      </c>
      <c r="C203" s="49" t="s">
        <v>342</v>
      </c>
      <c r="D203" s="49" t="s">
        <v>6</v>
      </c>
      <c r="E203" s="50">
        <v>7.0000000000000007E-2</v>
      </c>
      <c r="F203" s="108">
        <v>5</v>
      </c>
      <c r="G203" s="51">
        <v>43853</v>
      </c>
      <c r="H203" s="46">
        <v>182.75862100000001</v>
      </c>
      <c r="I203" s="49" t="str">
        <f ca="1"/>
        <v>大木 優香</v>
      </c>
      <c r="J203" s="109" t="s">
        <v>185</v>
      </c>
      <c r="K203" s="49" t="s">
        <v>50</v>
      </c>
      <c r="L203" s="100" t="s">
        <v>51</v>
      </c>
      <c r="M203" s="107" t="s">
        <v>52</v>
      </c>
      <c r="N203" s="110" t="s">
        <v>186</v>
      </c>
    </row>
    <row r="204" spans="1:14" ht="16">
      <c r="A204" s="101" t="str">
        <f t="shared" si="0"/>
        <v>OK</v>
      </c>
      <c r="B204" s="49">
        <v>3706696</v>
      </c>
      <c r="C204" s="49" t="s">
        <v>343</v>
      </c>
      <c r="D204" s="49" t="s">
        <v>6</v>
      </c>
      <c r="E204" s="50">
        <v>7.0000000000000007E-2</v>
      </c>
      <c r="F204" s="108">
        <v>0</v>
      </c>
      <c r="G204" s="51">
        <v>43853</v>
      </c>
      <c r="H204" s="46">
        <v>182.75862100000001</v>
      </c>
      <c r="I204" s="49" t="str">
        <f ca="1"/>
        <v>大木 優香</v>
      </c>
      <c r="J204" s="109" t="s">
        <v>185</v>
      </c>
      <c r="K204" s="49" t="s">
        <v>50</v>
      </c>
      <c r="L204" s="100" t="s">
        <v>51</v>
      </c>
      <c r="M204" s="107" t="s">
        <v>52</v>
      </c>
      <c r="N204" s="110" t="s">
        <v>186</v>
      </c>
    </row>
    <row r="205" spans="1:14" ht="16">
      <c r="A205" s="101" t="str">
        <f t="shared" si="0"/>
        <v>OK</v>
      </c>
      <c r="B205" s="49">
        <v>3706698</v>
      </c>
      <c r="C205" s="49" t="s">
        <v>344</v>
      </c>
      <c r="D205" s="49" t="s">
        <v>6</v>
      </c>
      <c r="E205" s="50">
        <v>7.0000000000000007E-2</v>
      </c>
      <c r="F205" s="108">
        <v>0</v>
      </c>
      <c r="G205" s="51">
        <v>43853</v>
      </c>
      <c r="H205" s="46">
        <v>182.75862100000001</v>
      </c>
      <c r="I205" s="49" t="str">
        <f ca="1"/>
        <v>大木 優香</v>
      </c>
      <c r="J205" s="109" t="s">
        <v>185</v>
      </c>
      <c r="K205" s="49" t="s">
        <v>50</v>
      </c>
      <c r="L205" s="100" t="s">
        <v>51</v>
      </c>
      <c r="M205" s="107" t="s">
        <v>52</v>
      </c>
      <c r="N205" s="110" t="s">
        <v>186</v>
      </c>
    </row>
    <row r="206" spans="1:14" ht="16">
      <c r="A206" s="101" t="str">
        <f t="shared" si="0"/>
        <v>OK</v>
      </c>
      <c r="B206" s="49">
        <v>3706699</v>
      </c>
      <c r="C206" s="49" t="s">
        <v>345</v>
      </c>
      <c r="D206" s="49" t="s">
        <v>6</v>
      </c>
      <c r="E206" s="50">
        <v>7.0000000000000007E-2</v>
      </c>
      <c r="F206" s="108">
        <v>0</v>
      </c>
      <c r="G206" s="51">
        <v>43853</v>
      </c>
      <c r="H206" s="46">
        <v>182.75862100000001</v>
      </c>
      <c r="I206" s="49" t="str">
        <f ca="1"/>
        <v>大木 優香</v>
      </c>
      <c r="J206" s="109" t="s">
        <v>185</v>
      </c>
      <c r="K206" s="49" t="s">
        <v>50</v>
      </c>
      <c r="L206" s="100" t="s">
        <v>51</v>
      </c>
      <c r="M206" s="107" t="s">
        <v>52</v>
      </c>
      <c r="N206" s="110" t="s">
        <v>186</v>
      </c>
    </row>
    <row r="207" spans="1:14" ht="16">
      <c r="A207" s="101" t="str">
        <f t="shared" si="0"/>
        <v>OK</v>
      </c>
      <c r="B207" s="49">
        <v>3706700</v>
      </c>
      <c r="C207" s="49" t="s">
        <v>346</v>
      </c>
      <c r="D207" s="49" t="s">
        <v>6</v>
      </c>
      <c r="E207" s="50">
        <v>7.0000000000000007E-2</v>
      </c>
      <c r="F207" s="108">
        <v>9</v>
      </c>
      <c r="G207" s="51">
        <v>43853</v>
      </c>
      <c r="H207" s="46">
        <v>182.75862100000001</v>
      </c>
      <c r="I207" s="49" t="str">
        <f ca="1"/>
        <v>大木 優香</v>
      </c>
      <c r="J207" s="109" t="s">
        <v>185</v>
      </c>
      <c r="K207" s="49" t="s">
        <v>50</v>
      </c>
      <c r="L207" s="100" t="s">
        <v>51</v>
      </c>
      <c r="M207" s="107" t="s">
        <v>52</v>
      </c>
      <c r="N207" s="110" t="s">
        <v>186</v>
      </c>
    </row>
    <row r="208" spans="1:14" ht="16">
      <c r="A208" s="101" t="str">
        <f t="shared" si="0"/>
        <v>OK</v>
      </c>
      <c r="B208" s="49">
        <v>3706701</v>
      </c>
      <c r="C208" s="49" t="s">
        <v>347</v>
      </c>
      <c r="D208" s="49" t="s">
        <v>6</v>
      </c>
      <c r="E208" s="50">
        <v>7.0000000000000007E-2</v>
      </c>
      <c r="F208" s="108">
        <v>0</v>
      </c>
      <c r="G208" s="51">
        <v>43853</v>
      </c>
      <c r="H208" s="46">
        <v>182.75862100000001</v>
      </c>
      <c r="I208" s="49" t="str">
        <f ca="1"/>
        <v>大木 優香</v>
      </c>
      <c r="J208" s="109" t="s">
        <v>185</v>
      </c>
      <c r="K208" s="49" t="s">
        <v>50</v>
      </c>
      <c r="L208" s="100" t="s">
        <v>51</v>
      </c>
      <c r="M208" s="107" t="s">
        <v>52</v>
      </c>
      <c r="N208" s="110" t="s">
        <v>186</v>
      </c>
    </row>
    <row r="209" spans="1:14" ht="16">
      <c r="A209" s="101" t="str">
        <f t="shared" si="0"/>
        <v>OK</v>
      </c>
      <c r="B209" s="49">
        <v>3706702</v>
      </c>
      <c r="C209" s="49" t="s">
        <v>348</v>
      </c>
      <c r="D209" s="49" t="s">
        <v>6</v>
      </c>
      <c r="E209" s="50">
        <v>7.0000000000000007E-2</v>
      </c>
      <c r="F209" s="108">
        <v>18</v>
      </c>
      <c r="G209" s="51">
        <v>43853</v>
      </c>
      <c r="H209" s="46">
        <v>182.75862100000001</v>
      </c>
      <c r="I209" s="49" t="str">
        <f ca="1"/>
        <v>大木 優香</v>
      </c>
      <c r="J209" s="109" t="s">
        <v>185</v>
      </c>
      <c r="K209" s="49" t="s">
        <v>50</v>
      </c>
      <c r="L209" s="100" t="s">
        <v>51</v>
      </c>
      <c r="M209" s="107" t="s">
        <v>52</v>
      </c>
      <c r="N209" s="110" t="s">
        <v>186</v>
      </c>
    </row>
    <row r="210" spans="1:14" ht="16">
      <c r="A210" s="101" t="str">
        <f t="shared" si="0"/>
        <v>OK</v>
      </c>
      <c r="B210" s="49">
        <v>3706705</v>
      </c>
      <c r="C210" s="49" t="s">
        <v>349</v>
      </c>
      <c r="D210" s="49" t="s">
        <v>6</v>
      </c>
      <c r="E210" s="50">
        <v>7.0000000000000007E-2</v>
      </c>
      <c r="F210" s="108">
        <v>17</v>
      </c>
      <c r="G210" s="51">
        <v>43853</v>
      </c>
      <c r="H210" s="46">
        <v>182.75862100000001</v>
      </c>
      <c r="I210" s="49" t="str">
        <f ca="1"/>
        <v>大木 優香</v>
      </c>
      <c r="J210" s="109" t="s">
        <v>185</v>
      </c>
      <c r="K210" s="49" t="s">
        <v>50</v>
      </c>
      <c r="L210" s="100" t="s">
        <v>51</v>
      </c>
      <c r="M210" s="107" t="s">
        <v>52</v>
      </c>
      <c r="N210" s="110" t="s">
        <v>186</v>
      </c>
    </row>
    <row r="211" spans="1:14" ht="16">
      <c r="A211" s="101" t="str">
        <f t="shared" si="0"/>
        <v>OK</v>
      </c>
      <c r="B211" s="49">
        <v>3706706</v>
      </c>
      <c r="C211" s="49" t="s">
        <v>350</v>
      </c>
      <c r="D211" s="49" t="s">
        <v>6</v>
      </c>
      <c r="E211" s="50">
        <v>7.0000000000000007E-2</v>
      </c>
      <c r="F211" s="108">
        <v>0</v>
      </c>
      <c r="G211" s="51">
        <v>43853</v>
      </c>
      <c r="H211" s="46">
        <v>182.75862100000001</v>
      </c>
      <c r="I211" s="49" t="str">
        <f ca="1"/>
        <v>大木 優香</v>
      </c>
      <c r="J211" s="109" t="s">
        <v>185</v>
      </c>
      <c r="K211" s="49" t="s">
        <v>50</v>
      </c>
      <c r="L211" s="100" t="s">
        <v>51</v>
      </c>
      <c r="M211" s="107" t="s">
        <v>52</v>
      </c>
      <c r="N211" s="110" t="s">
        <v>186</v>
      </c>
    </row>
    <row r="212" spans="1:14" ht="16">
      <c r="A212" s="101" t="str">
        <f t="shared" si="0"/>
        <v>OK</v>
      </c>
      <c r="B212" s="49">
        <v>3706708</v>
      </c>
      <c r="C212" s="49" t="s">
        <v>351</v>
      </c>
      <c r="D212" s="49" t="s">
        <v>6</v>
      </c>
      <c r="E212" s="50">
        <v>7.0000000000000007E-2</v>
      </c>
      <c r="F212" s="108">
        <v>0</v>
      </c>
      <c r="G212" s="51">
        <v>43853</v>
      </c>
      <c r="H212" s="46">
        <v>182.75862100000001</v>
      </c>
      <c r="I212" s="49" t="str">
        <f ca="1"/>
        <v>大木 優香</v>
      </c>
      <c r="J212" s="109" t="s">
        <v>185</v>
      </c>
      <c r="K212" s="49" t="s">
        <v>50</v>
      </c>
      <c r="L212" s="100" t="s">
        <v>51</v>
      </c>
      <c r="M212" s="107" t="s">
        <v>52</v>
      </c>
      <c r="N212" s="110" t="s">
        <v>186</v>
      </c>
    </row>
    <row r="213" spans="1:14" ht="16">
      <c r="A213" s="101" t="str">
        <f t="shared" si="0"/>
        <v>OK</v>
      </c>
      <c r="B213" s="49">
        <v>3706710</v>
      </c>
      <c r="C213" s="49" t="s">
        <v>352</v>
      </c>
      <c r="D213" s="49" t="s">
        <v>6</v>
      </c>
      <c r="E213" s="50">
        <v>7.0000000000000007E-2</v>
      </c>
      <c r="F213" s="108">
        <v>84</v>
      </c>
      <c r="G213" s="51">
        <v>43853</v>
      </c>
      <c r="H213" s="46">
        <v>182.75862100000001</v>
      </c>
      <c r="I213" s="49" t="str">
        <f ca="1"/>
        <v>大木 優香</v>
      </c>
      <c r="J213" s="109" t="s">
        <v>185</v>
      </c>
      <c r="K213" s="49" t="s">
        <v>50</v>
      </c>
      <c r="L213" s="100" t="s">
        <v>51</v>
      </c>
      <c r="M213" s="107" t="s">
        <v>52</v>
      </c>
      <c r="N213" s="110" t="s">
        <v>186</v>
      </c>
    </row>
    <row r="214" spans="1:14" ht="16">
      <c r="A214" s="101" t="str">
        <f t="shared" si="0"/>
        <v>OK</v>
      </c>
      <c r="B214" s="49">
        <v>3706711</v>
      </c>
      <c r="C214" s="49" t="s">
        <v>352</v>
      </c>
      <c r="D214" s="49" t="s">
        <v>6</v>
      </c>
      <c r="E214" s="50">
        <v>7.0000000000000007E-2</v>
      </c>
      <c r="F214" s="108">
        <v>0</v>
      </c>
      <c r="G214" s="51">
        <v>43853</v>
      </c>
      <c r="H214" s="46">
        <v>182.75862100000001</v>
      </c>
      <c r="I214" s="49" t="str">
        <f ca="1"/>
        <v>大木 優香</v>
      </c>
      <c r="J214" s="109" t="s">
        <v>185</v>
      </c>
      <c r="K214" s="49" t="s">
        <v>50</v>
      </c>
      <c r="L214" s="100" t="s">
        <v>51</v>
      </c>
      <c r="M214" s="107" t="s">
        <v>52</v>
      </c>
      <c r="N214" s="110" t="s">
        <v>186</v>
      </c>
    </row>
    <row r="215" spans="1:14" ht="16">
      <c r="A215" s="101" t="str">
        <f t="shared" si="0"/>
        <v>OK</v>
      </c>
      <c r="B215" s="49">
        <v>3706712</v>
      </c>
      <c r="C215" s="49" t="s">
        <v>353</v>
      </c>
      <c r="D215" s="49" t="s">
        <v>6</v>
      </c>
      <c r="E215" s="50">
        <v>7.0000000000000007E-2</v>
      </c>
      <c r="F215" s="108">
        <v>0</v>
      </c>
      <c r="G215" s="51">
        <v>43853</v>
      </c>
      <c r="H215" s="46">
        <v>182.75862100000001</v>
      </c>
      <c r="I215" s="49" t="str">
        <f ca="1"/>
        <v>大木 優香</v>
      </c>
      <c r="J215" s="109" t="s">
        <v>185</v>
      </c>
      <c r="K215" s="49" t="s">
        <v>50</v>
      </c>
      <c r="L215" s="100" t="s">
        <v>51</v>
      </c>
      <c r="M215" s="107" t="s">
        <v>52</v>
      </c>
      <c r="N215" s="110" t="s">
        <v>186</v>
      </c>
    </row>
    <row r="216" spans="1:14" ht="16">
      <c r="A216" s="101" t="str">
        <f t="shared" si="0"/>
        <v>OK</v>
      </c>
      <c r="B216" s="49">
        <v>3706713</v>
      </c>
      <c r="C216" s="49" t="s">
        <v>354</v>
      </c>
      <c r="D216" s="49" t="s">
        <v>6</v>
      </c>
      <c r="E216" s="50">
        <v>7.0000000000000007E-2</v>
      </c>
      <c r="F216" s="108">
        <v>0</v>
      </c>
      <c r="G216" s="51">
        <v>43853</v>
      </c>
      <c r="H216" s="46">
        <v>182.75862100000001</v>
      </c>
      <c r="I216" s="49" t="str">
        <f ca="1"/>
        <v>大木 優香</v>
      </c>
      <c r="J216" s="109" t="s">
        <v>185</v>
      </c>
      <c r="K216" s="49" t="s">
        <v>50</v>
      </c>
      <c r="L216" s="100" t="s">
        <v>51</v>
      </c>
      <c r="M216" s="107" t="s">
        <v>52</v>
      </c>
      <c r="N216" s="110" t="s">
        <v>186</v>
      </c>
    </row>
    <row r="217" spans="1:14" ht="16">
      <c r="A217" s="101" t="str">
        <f t="shared" si="0"/>
        <v>OK</v>
      </c>
      <c r="B217" s="49">
        <v>3706714</v>
      </c>
      <c r="C217" s="49" t="s">
        <v>355</v>
      </c>
      <c r="D217" s="49" t="s">
        <v>6</v>
      </c>
      <c r="E217" s="50">
        <v>7.0000000000000007E-2</v>
      </c>
      <c r="F217" s="108">
        <v>66</v>
      </c>
      <c r="G217" s="51">
        <v>43853</v>
      </c>
      <c r="H217" s="46">
        <v>182.75862100000001</v>
      </c>
      <c r="I217" s="49" t="str">
        <f ca="1"/>
        <v>大木 優香</v>
      </c>
      <c r="J217" s="109" t="s">
        <v>185</v>
      </c>
      <c r="K217" s="49" t="s">
        <v>50</v>
      </c>
      <c r="L217" s="100" t="s">
        <v>51</v>
      </c>
      <c r="M217" s="107" t="s">
        <v>52</v>
      </c>
      <c r="N217" s="110" t="s">
        <v>186</v>
      </c>
    </row>
    <row r="218" spans="1:14" ht="16">
      <c r="A218" s="101" t="str">
        <f t="shared" si="0"/>
        <v>OK</v>
      </c>
      <c r="B218" s="49">
        <v>3706721</v>
      </c>
      <c r="C218" s="49" t="s">
        <v>341</v>
      </c>
      <c r="D218" s="49" t="s">
        <v>6</v>
      </c>
      <c r="E218" s="50">
        <v>7.0000000000000007E-2</v>
      </c>
      <c r="F218" s="108">
        <v>155</v>
      </c>
      <c r="G218" s="51">
        <v>43853</v>
      </c>
      <c r="H218" s="46">
        <v>182.75862100000001</v>
      </c>
      <c r="I218" s="49" t="str">
        <f ca="1"/>
        <v>大木 優香</v>
      </c>
      <c r="J218" s="109" t="s">
        <v>185</v>
      </c>
      <c r="K218" s="49" t="s">
        <v>50</v>
      </c>
      <c r="L218" s="100" t="s">
        <v>51</v>
      </c>
      <c r="M218" s="107" t="s">
        <v>52</v>
      </c>
      <c r="N218" s="110" t="s">
        <v>186</v>
      </c>
    </row>
    <row r="219" spans="1:14" ht="16">
      <c r="A219" s="101" t="str">
        <f t="shared" si="0"/>
        <v>OK</v>
      </c>
      <c r="B219" s="49">
        <v>3706722</v>
      </c>
      <c r="C219" s="49" t="s">
        <v>356</v>
      </c>
      <c r="D219" s="49" t="s">
        <v>6</v>
      </c>
      <c r="E219" s="50">
        <v>7.0000000000000007E-2</v>
      </c>
      <c r="F219" s="108">
        <v>0</v>
      </c>
      <c r="G219" s="51">
        <v>43853</v>
      </c>
      <c r="H219" s="46">
        <v>182.75862100000001</v>
      </c>
      <c r="I219" s="49" t="str">
        <f ca="1"/>
        <v>大木 優香</v>
      </c>
      <c r="J219" s="109" t="s">
        <v>185</v>
      </c>
      <c r="K219" s="49" t="s">
        <v>50</v>
      </c>
      <c r="L219" s="100" t="s">
        <v>51</v>
      </c>
      <c r="M219" s="107" t="s">
        <v>52</v>
      </c>
      <c r="N219" s="110" t="s">
        <v>186</v>
      </c>
    </row>
    <row r="220" spans="1:14" ht="16">
      <c r="A220" s="101" t="str">
        <f t="shared" si="0"/>
        <v>OK</v>
      </c>
      <c r="B220" s="49">
        <v>3706726</v>
      </c>
      <c r="C220" s="49" t="s">
        <v>357</v>
      </c>
      <c r="D220" s="49" t="s">
        <v>6</v>
      </c>
      <c r="E220" s="50">
        <v>7.0000000000000007E-2</v>
      </c>
      <c r="F220" s="108">
        <v>0</v>
      </c>
      <c r="G220" s="51">
        <v>43853</v>
      </c>
      <c r="H220" s="46">
        <v>182.75862100000001</v>
      </c>
      <c r="I220" s="49" t="str">
        <f ca="1"/>
        <v>大木 優香</v>
      </c>
      <c r="J220" s="109" t="s">
        <v>185</v>
      </c>
      <c r="K220" s="49" t="s">
        <v>50</v>
      </c>
      <c r="L220" s="100" t="s">
        <v>51</v>
      </c>
      <c r="M220" s="107" t="s">
        <v>52</v>
      </c>
      <c r="N220" s="110" t="s">
        <v>186</v>
      </c>
    </row>
    <row r="221" spans="1:14" ht="16">
      <c r="A221" s="101" t="str">
        <f t="shared" si="0"/>
        <v>OK</v>
      </c>
      <c r="B221" s="49">
        <v>3706729</v>
      </c>
      <c r="C221" s="49" t="s">
        <v>358</v>
      </c>
      <c r="D221" s="49" t="s">
        <v>6</v>
      </c>
      <c r="E221" s="50">
        <v>7.0000000000000007E-2</v>
      </c>
      <c r="F221" s="108">
        <v>0</v>
      </c>
      <c r="G221" s="51">
        <v>43853</v>
      </c>
      <c r="H221" s="46">
        <v>182.75862100000001</v>
      </c>
      <c r="I221" s="49" t="str">
        <f ca="1"/>
        <v>大木 優香</v>
      </c>
      <c r="J221" s="109" t="s">
        <v>185</v>
      </c>
      <c r="K221" s="49" t="s">
        <v>50</v>
      </c>
      <c r="L221" s="100" t="s">
        <v>51</v>
      </c>
      <c r="M221" s="107" t="s">
        <v>52</v>
      </c>
      <c r="N221" s="110" t="s">
        <v>186</v>
      </c>
    </row>
    <row r="222" spans="1:14" ht="16">
      <c r="A222" s="101" t="str">
        <f t="shared" si="0"/>
        <v>OK</v>
      </c>
      <c r="B222" s="49">
        <v>3706731</v>
      </c>
      <c r="C222" s="49" t="s">
        <v>359</v>
      </c>
      <c r="D222" s="49" t="s">
        <v>6</v>
      </c>
      <c r="E222" s="50">
        <v>7.0000000000000007E-2</v>
      </c>
      <c r="F222" s="108">
        <v>100</v>
      </c>
      <c r="G222" s="51">
        <v>43853</v>
      </c>
      <c r="H222" s="46">
        <v>182.75862100000001</v>
      </c>
      <c r="I222" s="49" t="str">
        <f ca="1"/>
        <v>大木 優香</v>
      </c>
      <c r="J222" s="109" t="s">
        <v>185</v>
      </c>
      <c r="K222" s="49" t="s">
        <v>50</v>
      </c>
      <c r="L222" s="100" t="s">
        <v>51</v>
      </c>
      <c r="M222" s="107" t="s">
        <v>52</v>
      </c>
      <c r="N222" s="110" t="s">
        <v>186</v>
      </c>
    </row>
    <row r="223" spans="1:14" ht="16">
      <c r="A223" s="101" t="str">
        <f t="shared" si="0"/>
        <v>OK</v>
      </c>
      <c r="B223" s="49">
        <v>3706733</v>
      </c>
      <c r="C223" s="49" t="s">
        <v>360</v>
      </c>
      <c r="D223" s="49" t="s">
        <v>6</v>
      </c>
      <c r="E223" s="50">
        <v>7.0000000000000007E-2</v>
      </c>
      <c r="F223" s="108">
        <v>0</v>
      </c>
      <c r="G223" s="51">
        <v>43853</v>
      </c>
      <c r="H223" s="46">
        <v>182.75862100000001</v>
      </c>
      <c r="I223" s="49" t="str">
        <f ca="1"/>
        <v>大木 優香</v>
      </c>
      <c r="J223" s="109" t="s">
        <v>185</v>
      </c>
      <c r="K223" s="49" t="s">
        <v>50</v>
      </c>
      <c r="L223" s="100" t="s">
        <v>51</v>
      </c>
      <c r="M223" s="107" t="s">
        <v>52</v>
      </c>
      <c r="N223" s="110" t="s">
        <v>186</v>
      </c>
    </row>
    <row r="224" spans="1:14" ht="16">
      <c r="A224" s="101" t="str">
        <f t="shared" si="0"/>
        <v>OK</v>
      </c>
      <c r="B224" s="49">
        <v>3706739</v>
      </c>
      <c r="C224" s="49" t="s">
        <v>342</v>
      </c>
      <c r="D224" s="49" t="s">
        <v>6</v>
      </c>
      <c r="E224" s="50">
        <v>7.0000000000000007E-2</v>
      </c>
      <c r="F224" s="108">
        <v>17</v>
      </c>
      <c r="G224" s="51">
        <v>43853</v>
      </c>
      <c r="H224" s="46">
        <v>182.75862100000001</v>
      </c>
      <c r="I224" s="49" t="str">
        <f ca="1"/>
        <v>大木 優香</v>
      </c>
      <c r="J224" s="109" t="s">
        <v>185</v>
      </c>
      <c r="K224" s="49" t="s">
        <v>50</v>
      </c>
      <c r="L224" s="100" t="s">
        <v>51</v>
      </c>
      <c r="M224" s="107" t="s">
        <v>52</v>
      </c>
      <c r="N224" s="110" t="s">
        <v>186</v>
      </c>
    </row>
    <row r="225" spans="1:14" ht="16">
      <c r="A225" s="101" t="str">
        <f t="shared" si="0"/>
        <v>OK</v>
      </c>
      <c r="B225" s="49">
        <v>3706740</v>
      </c>
      <c r="C225" s="49" t="s">
        <v>361</v>
      </c>
      <c r="D225" s="49" t="s">
        <v>6</v>
      </c>
      <c r="E225" s="50">
        <v>7.0000000000000007E-2</v>
      </c>
      <c r="F225" s="108">
        <v>25</v>
      </c>
      <c r="G225" s="51">
        <v>43853</v>
      </c>
      <c r="H225" s="46">
        <v>182.75862100000001</v>
      </c>
      <c r="I225" s="49" t="str">
        <f ca="1"/>
        <v>大木 優香</v>
      </c>
      <c r="J225" s="109" t="s">
        <v>185</v>
      </c>
      <c r="K225" s="49" t="s">
        <v>50</v>
      </c>
      <c r="L225" s="100" t="s">
        <v>51</v>
      </c>
      <c r="M225" s="107" t="s">
        <v>52</v>
      </c>
      <c r="N225" s="110" t="s">
        <v>186</v>
      </c>
    </row>
    <row r="226" spans="1:14" ht="16">
      <c r="A226" s="101" t="str">
        <f t="shared" si="0"/>
        <v>OK</v>
      </c>
      <c r="B226" s="49">
        <v>3706745</v>
      </c>
      <c r="C226" s="49" t="s">
        <v>362</v>
      </c>
      <c r="D226" s="49" t="s">
        <v>6</v>
      </c>
      <c r="E226" s="50">
        <v>7.0000000000000007E-2</v>
      </c>
      <c r="F226" s="108">
        <v>0</v>
      </c>
      <c r="G226" s="51">
        <v>43853</v>
      </c>
      <c r="H226" s="46">
        <v>182.75862100000001</v>
      </c>
      <c r="I226" s="49" t="str">
        <f ca="1"/>
        <v>大木 優香</v>
      </c>
      <c r="J226" s="109" t="s">
        <v>185</v>
      </c>
      <c r="K226" s="49" t="s">
        <v>50</v>
      </c>
      <c r="L226" s="100" t="s">
        <v>51</v>
      </c>
      <c r="M226" s="107" t="s">
        <v>52</v>
      </c>
      <c r="N226" s="110" t="s">
        <v>186</v>
      </c>
    </row>
    <row r="227" spans="1:14" ht="16">
      <c r="A227" s="101" t="str">
        <f t="shared" si="0"/>
        <v>OK</v>
      </c>
      <c r="B227" s="49">
        <v>3706746</v>
      </c>
      <c r="C227" s="49" t="s">
        <v>363</v>
      </c>
      <c r="D227" s="49" t="s">
        <v>6</v>
      </c>
      <c r="E227" s="50">
        <v>7.0000000000000007E-2</v>
      </c>
      <c r="F227" s="108">
        <v>19</v>
      </c>
      <c r="G227" s="51">
        <v>43853</v>
      </c>
      <c r="H227" s="46">
        <v>182.75862100000001</v>
      </c>
      <c r="I227" s="49" t="str">
        <f ca="1"/>
        <v>大木 優香</v>
      </c>
      <c r="J227" s="109" t="s">
        <v>185</v>
      </c>
      <c r="K227" s="49" t="s">
        <v>50</v>
      </c>
      <c r="L227" s="100" t="s">
        <v>51</v>
      </c>
      <c r="M227" s="107" t="s">
        <v>52</v>
      </c>
      <c r="N227" s="110" t="s">
        <v>186</v>
      </c>
    </row>
    <row r="228" spans="1:14" ht="16">
      <c r="A228" s="101" t="str">
        <f t="shared" si="0"/>
        <v>OK</v>
      </c>
      <c r="B228" s="49">
        <v>3706750</v>
      </c>
      <c r="C228" s="49" t="s">
        <v>364</v>
      </c>
      <c r="D228" s="49" t="s">
        <v>6</v>
      </c>
      <c r="E228" s="50">
        <v>7.0000000000000007E-2</v>
      </c>
      <c r="F228" s="108">
        <v>0</v>
      </c>
      <c r="G228" s="51">
        <v>43853</v>
      </c>
      <c r="H228" s="46">
        <v>182.75862100000001</v>
      </c>
      <c r="I228" s="49" t="str">
        <f ca="1"/>
        <v>大木 優香</v>
      </c>
      <c r="J228" s="109" t="s">
        <v>185</v>
      </c>
      <c r="K228" s="49" t="s">
        <v>50</v>
      </c>
      <c r="L228" s="100" t="s">
        <v>51</v>
      </c>
      <c r="M228" s="107" t="s">
        <v>52</v>
      </c>
      <c r="N228" s="110" t="s">
        <v>186</v>
      </c>
    </row>
    <row r="229" spans="1:14" ht="16">
      <c r="A229" s="101" t="str">
        <f t="shared" si="0"/>
        <v>OK</v>
      </c>
      <c r="B229" s="49">
        <v>3706756</v>
      </c>
      <c r="C229" s="49" t="s">
        <v>365</v>
      </c>
      <c r="D229" s="49" t="s">
        <v>6</v>
      </c>
      <c r="E229" s="50">
        <v>7.0000000000000007E-2</v>
      </c>
      <c r="F229" s="108">
        <v>0</v>
      </c>
      <c r="G229" s="51">
        <v>43853</v>
      </c>
      <c r="H229" s="46">
        <v>182.75862100000001</v>
      </c>
      <c r="I229" s="49" t="str">
        <f ca="1"/>
        <v>大木 優香</v>
      </c>
      <c r="J229" s="109" t="s">
        <v>185</v>
      </c>
      <c r="K229" s="49" t="s">
        <v>50</v>
      </c>
      <c r="L229" s="100" t="s">
        <v>51</v>
      </c>
      <c r="M229" s="107" t="s">
        <v>52</v>
      </c>
      <c r="N229" s="110" t="s">
        <v>186</v>
      </c>
    </row>
    <row r="230" spans="1:14" ht="16">
      <c r="A230" s="101" t="str">
        <f t="shared" si="0"/>
        <v>OK</v>
      </c>
      <c r="B230" s="49">
        <v>3706757</v>
      </c>
      <c r="C230" s="49" t="s">
        <v>366</v>
      </c>
      <c r="D230" s="49" t="s">
        <v>6</v>
      </c>
      <c r="E230" s="50">
        <v>7.0000000000000007E-2</v>
      </c>
      <c r="F230" s="108">
        <v>59</v>
      </c>
      <c r="G230" s="51">
        <v>43853</v>
      </c>
      <c r="H230" s="46">
        <v>182.75862100000001</v>
      </c>
      <c r="I230" s="49" t="str">
        <f ca="1"/>
        <v>大木 優香</v>
      </c>
      <c r="J230" s="109" t="s">
        <v>185</v>
      </c>
      <c r="K230" s="49" t="s">
        <v>50</v>
      </c>
      <c r="L230" s="100" t="s">
        <v>51</v>
      </c>
      <c r="M230" s="107" t="s">
        <v>52</v>
      </c>
      <c r="N230" s="110" t="s">
        <v>186</v>
      </c>
    </row>
    <row r="231" spans="1:14" ht="16">
      <c r="A231" s="101" t="str">
        <f t="shared" si="0"/>
        <v>OK</v>
      </c>
      <c r="B231" s="49">
        <v>3706758</v>
      </c>
      <c r="C231" s="49" t="s">
        <v>355</v>
      </c>
      <c r="D231" s="49" t="s">
        <v>6</v>
      </c>
      <c r="E231" s="50">
        <v>7.0000000000000007E-2</v>
      </c>
      <c r="F231" s="108">
        <v>9</v>
      </c>
      <c r="G231" s="51">
        <v>43853</v>
      </c>
      <c r="H231" s="46">
        <v>182.75862100000001</v>
      </c>
      <c r="I231" s="49" t="str">
        <f ca="1"/>
        <v>大木 優香</v>
      </c>
      <c r="J231" s="109" t="s">
        <v>185</v>
      </c>
      <c r="K231" s="49" t="s">
        <v>50</v>
      </c>
      <c r="L231" s="100" t="s">
        <v>51</v>
      </c>
      <c r="M231" s="107" t="s">
        <v>52</v>
      </c>
      <c r="N231" s="110" t="s">
        <v>186</v>
      </c>
    </row>
    <row r="232" spans="1:14" ht="16">
      <c r="A232" s="101" t="str">
        <f t="shared" si="0"/>
        <v>OK</v>
      </c>
      <c r="B232" s="49">
        <v>3706763</v>
      </c>
      <c r="C232" s="49" t="s">
        <v>367</v>
      </c>
      <c r="D232" s="49" t="s">
        <v>6</v>
      </c>
      <c r="E232" s="50">
        <v>7.0000000000000007E-2</v>
      </c>
      <c r="F232" s="108">
        <v>0</v>
      </c>
      <c r="G232" s="51">
        <v>43853</v>
      </c>
      <c r="H232" s="46">
        <v>182.75862100000001</v>
      </c>
      <c r="I232" s="49" t="str">
        <f ca="1"/>
        <v>大木 優香</v>
      </c>
      <c r="J232" s="109" t="s">
        <v>185</v>
      </c>
      <c r="K232" s="49" t="s">
        <v>50</v>
      </c>
      <c r="L232" s="100" t="s">
        <v>51</v>
      </c>
      <c r="M232" s="107" t="s">
        <v>52</v>
      </c>
      <c r="N232" s="110" t="s">
        <v>186</v>
      </c>
    </row>
    <row r="233" spans="1:14" ht="16">
      <c r="A233" s="101" t="str">
        <f t="shared" si="0"/>
        <v>OK</v>
      </c>
      <c r="B233" s="49">
        <v>3706765</v>
      </c>
      <c r="C233" s="49" t="s">
        <v>368</v>
      </c>
      <c r="D233" s="49" t="s">
        <v>6</v>
      </c>
      <c r="E233" s="50">
        <v>7.0000000000000007E-2</v>
      </c>
      <c r="F233" s="108">
        <v>54</v>
      </c>
      <c r="G233" s="51">
        <v>43853</v>
      </c>
      <c r="H233" s="46">
        <v>182.75862100000001</v>
      </c>
      <c r="I233" s="49" t="str">
        <f ca="1"/>
        <v>大木 優香</v>
      </c>
      <c r="J233" s="109" t="s">
        <v>185</v>
      </c>
      <c r="K233" s="49" t="s">
        <v>50</v>
      </c>
      <c r="L233" s="100" t="s">
        <v>51</v>
      </c>
      <c r="M233" s="107" t="s">
        <v>52</v>
      </c>
      <c r="N233" s="110" t="s">
        <v>186</v>
      </c>
    </row>
    <row r="234" spans="1:14" ht="16">
      <c r="A234" s="101" t="str">
        <f t="shared" si="0"/>
        <v>OK</v>
      </c>
      <c r="B234" s="49">
        <v>3706766</v>
      </c>
      <c r="C234" s="49" t="s">
        <v>369</v>
      </c>
      <c r="D234" s="49" t="s">
        <v>6</v>
      </c>
      <c r="E234" s="50">
        <v>7.0000000000000007E-2</v>
      </c>
      <c r="F234" s="108">
        <v>8</v>
      </c>
      <c r="G234" s="51">
        <v>43853</v>
      </c>
      <c r="H234" s="46">
        <v>182.75862100000001</v>
      </c>
      <c r="I234" s="49" t="str">
        <f ca="1"/>
        <v>大木 優香</v>
      </c>
      <c r="J234" s="109" t="s">
        <v>185</v>
      </c>
      <c r="K234" s="49" t="s">
        <v>50</v>
      </c>
      <c r="L234" s="100" t="s">
        <v>51</v>
      </c>
      <c r="M234" s="107" t="s">
        <v>52</v>
      </c>
      <c r="N234" s="110" t="s">
        <v>186</v>
      </c>
    </row>
    <row r="235" spans="1:14" ht="16">
      <c r="A235" s="101" t="str">
        <f t="shared" si="0"/>
        <v>OK</v>
      </c>
      <c r="B235" s="49">
        <v>3706768</v>
      </c>
      <c r="C235" s="49" t="s">
        <v>370</v>
      </c>
      <c r="D235" s="49" t="s">
        <v>6</v>
      </c>
      <c r="E235" s="50">
        <v>7.0000000000000007E-2</v>
      </c>
      <c r="F235" s="108">
        <v>3</v>
      </c>
      <c r="G235" s="51">
        <v>43853</v>
      </c>
      <c r="H235" s="46">
        <v>182.75862100000001</v>
      </c>
      <c r="I235" s="49" t="str">
        <f ca="1"/>
        <v>大木 優香</v>
      </c>
      <c r="J235" s="109" t="s">
        <v>185</v>
      </c>
      <c r="K235" s="49" t="s">
        <v>50</v>
      </c>
      <c r="L235" s="100" t="s">
        <v>51</v>
      </c>
      <c r="M235" s="107" t="s">
        <v>52</v>
      </c>
      <c r="N235" s="110" t="s">
        <v>186</v>
      </c>
    </row>
    <row r="236" spans="1:14" ht="16">
      <c r="A236" s="101" t="str">
        <f t="shared" si="0"/>
        <v>OK</v>
      </c>
      <c r="B236" s="49">
        <v>3706769</v>
      </c>
      <c r="C236" s="49" t="s">
        <v>371</v>
      </c>
      <c r="D236" s="49" t="s">
        <v>6</v>
      </c>
      <c r="E236" s="50">
        <v>7.0000000000000007E-2</v>
      </c>
      <c r="F236" s="108">
        <v>0</v>
      </c>
      <c r="G236" s="51">
        <v>43853</v>
      </c>
      <c r="H236" s="46">
        <v>182.75862100000001</v>
      </c>
      <c r="I236" s="49" t="str">
        <f ca="1"/>
        <v>大木 優香</v>
      </c>
      <c r="J236" s="109" t="s">
        <v>185</v>
      </c>
      <c r="K236" s="49" t="s">
        <v>50</v>
      </c>
      <c r="L236" s="100" t="s">
        <v>51</v>
      </c>
      <c r="M236" s="107" t="s">
        <v>52</v>
      </c>
      <c r="N236" s="110" t="s">
        <v>186</v>
      </c>
    </row>
    <row r="237" spans="1:14" ht="16">
      <c r="A237" s="101" t="str">
        <f t="shared" si="0"/>
        <v>OK</v>
      </c>
      <c r="B237" s="49">
        <v>3706770</v>
      </c>
      <c r="C237" s="49" t="s">
        <v>372</v>
      </c>
      <c r="D237" s="49" t="s">
        <v>6</v>
      </c>
      <c r="E237" s="50">
        <v>7.0000000000000007E-2</v>
      </c>
      <c r="F237" s="108">
        <v>0</v>
      </c>
      <c r="G237" s="51">
        <v>43853</v>
      </c>
      <c r="H237" s="46">
        <v>182.75862100000001</v>
      </c>
      <c r="I237" s="49" t="str">
        <f ca="1"/>
        <v>大木 優香</v>
      </c>
      <c r="J237" s="109" t="s">
        <v>185</v>
      </c>
      <c r="K237" s="49" t="s">
        <v>50</v>
      </c>
      <c r="L237" s="100" t="s">
        <v>51</v>
      </c>
      <c r="M237" s="107" t="s">
        <v>52</v>
      </c>
      <c r="N237" s="110" t="s">
        <v>186</v>
      </c>
    </row>
    <row r="238" spans="1:14" ht="16">
      <c r="A238" s="101" t="str">
        <f t="shared" si="0"/>
        <v>OK</v>
      </c>
      <c r="B238" s="49">
        <v>3706773</v>
      </c>
      <c r="C238" s="49" t="s">
        <v>373</v>
      </c>
      <c r="D238" s="49" t="s">
        <v>6</v>
      </c>
      <c r="E238" s="50">
        <v>7.0000000000000007E-2</v>
      </c>
      <c r="F238" s="108">
        <v>27</v>
      </c>
      <c r="G238" s="51">
        <v>43853</v>
      </c>
      <c r="H238" s="46">
        <v>182.75862100000001</v>
      </c>
      <c r="I238" s="49" t="str">
        <f ca="1"/>
        <v>大木 優香</v>
      </c>
      <c r="J238" s="109" t="s">
        <v>185</v>
      </c>
      <c r="K238" s="49" t="s">
        <v>50</v>
      </c>
      <c r="L238" s="100" t="s">
        <v>51</v>
      </c>
      <c r="M238" s="107" t="s">
        <v>52</v>
      </c>
      <c r="N238" s="110" t="s">
        <v>186</v>
      </c>
    </row>
    <row r="239" spans="1:14" ht="16">
      <c r="A239" s="101" t="str">
        <f t="shared" si="0"/>
        <v>OK</v>
      </c>
      <c r="B239" s="49">
        <v>3706775</v>
      </c>
      <c r="C239" s="49" t="s">
        <v>374</v>
      </c>
      <c r="D239" s="49" t="s">
        <v>6</v>
      </c>
      <c r="E239" s="50">
        <v>7.0000000000000007E-2</v>
      </c>
      <c r="F239" s="108">
        <v>0</v>
      </c>
      <c r="G239" s="51">
        <v>43853</v>
      </c>
      <c r="H239" s="46">
        <v>182.75862100000001</v>
      </c>
      <c r="I239" s="49" t="str">
        <f ca="1"/>
        <v>大木 優香</v>
      </c>
      <c r="J239" s="109" t="s">
        <v>185</v>
      </c>
      <c r="K239" s="49" t="s">
        <v>50</v>
      </c>
      <c r="L239" s="100" t="s">
        <v>51</v>
      </c>
      <c r="M239" s="107" t="s">
        <v>52</v>
      </c>
      <c r="N239" s="110" t="s">
        <v>186</v>
      </c>
    </row>
    <row r="240" spans="1:14" ht="16">
      <c r="A240" s="101" t="str">
        <f t="shared" si="0"/>
        <v>OK</v>
      </c>
      <c r="B240" s="49">
        <v>3706777</v>
      </c>
      <c r="C240" s="49" t="s">
        <v>375</v>
      </c>
      <c r="D240" s="49" t="s">
        <v>6</v>
      </c>
      <c r="E240" s="50">
        <v>7.0000000000000007E-2</v>
      </c>
      <c r="F240" s="108">
        <v>0</v>
      </c>
      <c r="G240" s="51">
        <v>43853</v>
      </c>
      <c r="H240" s="46">
        <v>182.75862100000001</v>
      </c>
      <c r="I240" s="49" t="str">
        <f ca="1"/>
        <v>大木 優香</v>
      </c>
      <c r="J240" s="109" t="s">
        <v>185</v>
      </c>
      <c r="K240" s="49" t="s">
        <v>50</v>
      </c>
      <c r="L240" s="100" t="s">
        <v>51</v>
      </c>
      <c r="M240" s="107" t="s">
        <v>52</v>
      </c>
      <c r="N240" s="110" t="s">
        <v>186</v>
      </c>
    </row>
    <row r="241" spans="1:14" ht="16">
      <c r="A241" s="101" t="str">
        <f t="shared" si="0"/>
        <v>OK</v>
      </c>
      <c r="B241" s="49">
        <v>3706780</v>
      </c>
      <c r="C241" s="49" t="s">
        <v>360</v>
      </c>
      <c r="D241" s="49" t="s">
        <v>6</v>
      </c>
      <c r="E241" s="50">
        <v>7.0000000000000007E-2</v>
      </c>
      <c r="F241" s="108">
        <v>0</v>
      </c>
      <c r="G241" s="51">
        <v>43853</v>
      </c>
      <c r="H241" s="46">
        <v>182.75862100000001</v>
      </c>
      <c r="I241" s="49" t="str">
        <f ca="1"/>
        <v>大木 優香</v>
      </c>
      <c r="J241" s="109" t="s">
        <v>185</v>
      </c>
      <c r="K241" s="49" t="s">
        <v>50</v>
      </c>
      <c r="L241" s="100" t="s">
        <v>51</v>
      </c>
      <c r="M241" s="107" t="s">
        <v>52</v>
      </c>
      <c r="N241" s="110" t="s">
        <v>186</v>
      </c>
    </row>
    <row r="242" spans="1:14" ht="16">
      <c r="A242" s="101" t="str">
        <f t="shared" si="0"/>
        <v>OK</v>
      </c>
      <c r="B242" s="49">
        <v>3706781</v>
      </c>
      <c r="C242" s="49" t="s">
        <v>361</v>
      </c>
      <c r="D242" s="49" t="s">
        <v>6</v>
      </c>
      <c r="E242" s="50">
        <v>7.0000000000000007E-2</v>
      </c>
      <c r="F242" s="108">
        <v>22</v>
      </c>
      <c r="G242" s="51">
        <v>43853</v>
      </c>
      <c r="H242" s="46">
        <v>182.75862100000001</v>
      </c>
      <c r="I242" s="49" t="str">
        <f ca="1"/>
        <v>大木 優香</v>
      </c>
      <c r="J242" s="109" t="s">
        <v>185</v>
      </c>
      <c r="K242" s="49" t="s">
        <v>50</v>
      </c>
      <c r="L242" s="100" t="s">
        <v>51</v>
      </c>
      <c r="M242" s="107" t="s">
        <v>52</v>
      </c>
      <c r="N242" s="110" t="s">
        <v>186</v>
      </c>
    </row>
    <row r="243" spans="1:14" ht="16">
      <c r="A243" s="101" t="str">
        <f t="shared" si="0"/>
        <v>OK</v>
      </c>
      <c r="B243" s="49">
        <v>3706784</v>
      </c>
      <c r="C243" s="49" t="s">
        <v>376</v>
      </c>
      <c r="D243" s="49" t="s">
        <v>6</v>
      </c>
      <c r="E243" s="50">
        <v>7.0000000000000007E-2</v>
      </c>
      <c r="F243" s="108">
        <v>31</v>
      </c>
      <c r="G243" s="51">
        <v>43853</v>
      </c>
      <c r="H243" s="46">
        <v>182.75862100000001</v>
      </c>
      <c r="I243" s="49" t="str">
        <f ca="1"/>
        <v>大木 優香</v>
      </c>
      <c r="J243" s="109" t="s">
        <v>185</v>
      </c>
      <c r="K243" s="49" t="s">
        <v>50</v>
      </c>
      <c r="L243" s="100" t="s">
        <v>51</v>
      </c>
      <c r="M243" s="107" t="s">
        <v>52</v>
      </c>
      <c r="N243" s="110" t="s">
        <v>186</v>
      </c>
    </row>
    <row r="244" spans="1:14" ht="16">
      <c r="A244" s="101" t="str">
        <f t="shared" si="0"/>
        <v>OK</v>
      </c>
      <c r="B244" s="49">
        <v>3706785</v>
      </c>
      <c r="C244" s="49" t="s">
        <v>341</v>
      </c>
      <c r="D244" s="49" t="s">
        <v>6</v>
      </c>
      <c r="E244" s="50">
        <v>7.0000000000000007E-2</v>
      </c>
      <c r="F244" s="108">
        <v>0</v>
      </c>
      <c r="G244" s="51">
        <v>43853</v>
      </c>
      <c r="H244" s="46">
        <v>182.75862100000001</v>
      </c>
      <c r="I244" s="49" t="str">
        <f ca="1"/>
        <v>大木 優香</v>
      </c>
      <c r="J244" s="109" t="s">
        <v>185</v>
      </c>
      <c r="K244" s="49" t="s">
        <v>50</v>
      </c>
      <c r="L244" s="100" t="s">
        <v>51</v>
      </c>
      <c r="M244" s="107" t="s">
        <v>52</v>
      </c>
      <c r="N244" s="110" t="s">
        <v>186</v>
      </c>
    </row>
    <row r="245" spans="1:14" ht="16">
      <c r="A245" s="101" t="str">
        <f t="shared" si="0"/>
        <v>OK</v>
      </c>
      <c r="B245" s="49">
        <v>3706787</v>
      </c>
      <c r="C245" s="49" t="s">
        <v>377</v>
      </c>
      <c r="D245" s="49" t="s">
        <v>6</v>
      </c>
      <c r="E245" s="50">
        <v>7.0000000000000007E-2</v>
      </c>
      <c r="F245" s="108">
        <v>27</v>
      </c>
      <c r="G245" s="51">
        <v>43853</v>
      </c>
      <c r="H245" s="46">
        <v>182.75862100000001</v>
      </c>
      <c r="I245" s="49" t="str">
        <f ca="1"/>
        <v>大木 優香</v>
      </c>
      <c r="J245" s="109" t="s">
        <v>185</v>
      </c>
      <c r="K245" s="49" t="s">
        <v>50</v>
      </c>
      <c r="L245" s="100" t="s">
        <v>51</v>
      </c>
      <c r="M245" s="107" t="s">
        <v>52</v>
      </c>
      <c r="N245" s="110" t="s">
        <v>186</v>
      </c>
    </row>
    <row r="246" spans="1:14" ht="16">
      <c r="A246" s="101" t="str">
        <f t="shared" si="0"/>
        <v>OK</v>
      </c>
      <c r="B246" s="49">
        <v>3706789</v>
      </c>
      <c r="C246" s="49" t="s">
        <v>378</v>
      </c>
      <c r="D246" s="49" t="s">
        <v>6</v>
      </c>
      <c r="E246" s="50">
        <v>7.0000000000000007E-2</v>
      </c>
      <c r="F246" s="108">
        <v>0</v>
      </c>
      <c r="G246" s="51">
        <v>43853</v>
      </c>
      <c r="H246" s="46">
        <v>182.75862100000001</v>
      </c>
      <c r="I246" s="49" t="str">
        <f ca="1"/>
        <v>大木 優香</v>
      </c>
      <c r="J246" s="109" t="s">
        <v>185</v>
      </c>
      <c r="K246" s="49" t="s">
        <v>50</v>
      </c>
      <c r="L246" s="100" t="s">
        <v>51</v>
      </c>
      <c r="M246" s="107" t="s">
        <v>52</v>
      </c>
      <c r="N246" s="110" t="s">
        <v>186</v>
      </c>
    </row>
    <row r="247" spans="1:14" ht="16">
      <c r="A247" s="101" t="str">
        <f t="shared" si="0"/>
        <v>OK</v>
      </c>
      <c r="B247" s="49">
        <v>3706791</v>
      </c>
      <c r="C247" s="49" t="s">
        <v>379</v>
      </c>
      <c r="D247" s="49" t="s">
        <v>6</v>
      </c>
      <c r="E247" s="50">
        <v>7.0000000000000007E-2</v>
      </c>
      <c r="F247" s="108">
        <v>0</v>
      </c>
      <c r="G247" s="51">
        <v>43853</v>
      </c>
      <c r="H247" s="46">
        <v>182.75862100000001</v>
      </c>
      <c r="I247" s="49" t="str">
        <f ca="1"/>
        <v>大木 優香</v>
      </c>
      <c r="J247" s="109" t="s">
        <v>185</v>
      </c>
      <c r="K247" s="49" t="s">
        <v>50</v>
      </c>
      <c r="L247" s="100" t="s">
        <v>51</v>
      </c>
      <c r="M247" s="107" t="s">
        <v>52</v>
      </c>
      <c r="N247" s="110" t="s">
        <v>186</v>
      </c>
    </row>
    <row r="248" spans="1:14" ht="16">
      <c r="A248" s="101" t="str">
        <f t="shared" si="0"/>
        <v>OK</v>
      </c>
      <c r="B248" s="49">
        <v>3706793</v>
      </c>
      <c r="C248" s="49" t="s">
        <v>380</v>
      </c>
      <c r="D248" s="49" t="s">
        <v>6</v>
      </c>
      <c r="E248" s="50">
        <v>7.0000000000000007E-2</v>
      </c>
      <c r="F248" s="108">
        <v>83</v>
      </c>
      <c r="G248" s="51">
        <v>43853</v>
      </c>
      <c r="H248" s="46">
        <v>182.75862100000001</v>
      </c>
      <c r="I248" s="49" t="str">
        <f ca="1"/>
        <v>大木 優香</v>
      </c>
      <c r="J248" s="109" t="s">
        <v>185</v>
      </c>
      <c r="K248" s="49" t="s">
        <v>50</v>
      </c>
      <c r="L248" s="100" t="s">
        <v>51</v>
      </c>
      <c r="M248" s="107" t="s">
        <v>52</v>
      </c>
      <c r="N248" s="110" t="s">
        <v>186</v>
      </c>
    </row>
    <row r="249" spans="1:14" ht="16">
      <c r="A249" s="101" t="str">
        <f t="shared" si="0"/>
        <v>OK</v>
      </c>
      <c r="B249" s="49">
        <v>3706804</v>
      </c>
      <c r="C249" s="49" t="s">
        <v>381</v>
      </c>
      <c r="D249" s="49" t="s">
        <v>6</v>
      </c>
      <c r="E249" s="50">
        <v>7.0000000000000007E-2</v>
      </c>
      <c r="F249" s="108">
        <v>42</v>
      </c>
      <c r="G249" s="51">
        <v>43853</v>
      </c>
      <c r="H249" s="46">
        <v>182.75862100000001</v>
      </c>
      <c r="I249" s="49" t="str">
        <f ca="1"/>
        <v>大木 優香</v>
      </c>
      <c r="J249" s="109" t="s">
        <v>185</v>
      </c>
      <c r="K249" s="49" t="s">
        <v>50</v>
      </c>
      <c r="L249" s="100" t="s">
        <v>51</v>
      </c>
      <c r="M249" s="107" t="s">
        <v>52</v>
      </c>
      <c r="N249" s="110" t="s">
        <v>186</v>
      </c>
    </row>
    <row r="250" spans="1:14" ht="16">
      <c r="A250" s="101" t="str">
        <f t="shared" si="0"/>
        <v>OK</v>
      </c>
      <c r="B250" s="49">
        <v>3706805</v>
      </c>
      <c r="C250" s="49" t="s">
        <v>382</v>
      </c>
      <c r="D250" s="49" t="s">
        <v>6</v>
      </c>
      <c r="E250" s="50">
        <v>7.0000000000000007E-2</v>
      </c>
      <c r="F250" s="108">
        <v>0</v>
      </c>
      <c r="G250" s="51">
        <v>43853</v>
      </c>
      <c r="H250" s="46">
        <v>182.75862100000001</v>
      </c>
      <c r="I250" s="49" t="str">
        <f ca="1"/>
        <v>大木 優香</v>
      </c>
      <c r="J250" s="109" t="s">
        <v>185</v>
      </c>
      <c r="K250" s="49" t="s">
        <v>50</v>
      </c>
      <c r="L250" s="100" t="s">
        <v>51</v>
      </c>
      <c r="M250" s="107" t="s">
        <v>52</v>
      </c>
      <c r="N250" s="110" t="s">
        <v>186</v>
      </c>
    </row>
    <row r="251" spans="1:14" ht="16">
      <c r="A251" s="101" t="str">
        <f t="shared" si="0"/>
        <v>OK</v>
      </c>
      <c r="B251" s="49">
        <v>3706806</v>
      </c>
      <c r="C251" s="49" t="s">
        <v>383</v>
      </c>
      <c r="D251" s="49" t="s">
        <v>6</v>
      </c>
      <c r="E251" s="50">
        <v>7.0000000000000007E-2</v>
      </c>
      <c r="F251" s="108">
        <v>20</v>
      </c>
      <c r="G251" s="51">
        <v>43853</v>
      </c>
      <c r="H251" s="46">
        <v>182.75862100000001</v>
      </c>
      <c r="I251" s="49" t="str">
        <f ca="1"/>
        <v>大木 優香</v>
      </c>
      <c r="J251" s="109" t="s">
        <v>185</v>
      </c>
      <c r="K251" s="49" t="s">
        <v>50</v>
      </c>
      <c r="L251" s="100" t="s">
        <v>51</v>
      </c>
      <c r="M251" s="107" t="s">
        <v>52</v>
      </c>
      <c r="N251" s="110" t="s">
        <v>186</v>
      </c>
    </row>
    <row r="252" spans="1:14" ht="16">
      <c r="A252" s="101" t="str">
        <f t="shared" si="0"/>
        <v>OK</v>
      </c>
      <c r="B252" s="49">
        <v>3706808</v>
      </c>
      <c r="C252" s="49" t="s">
        <v>384</v>
      </c>
      <c r="D252" s="49" t="s">
        <v>6</v>
      </c>
      <c r="E252" s="50">
        <v>7.0000000000000007E-2</v>
      </c>
      <c r="F252" s="108">
        <v>0</v>
      </c>
      <c r="G252" s="51">
        <v>43853</v>
      </c>
      <c r="H252" s="46">
        <v>182.75862100000001</v>
      </c>
      <c r="I252" s="49" t="str">
        <f ca="1"/>
        <v>大木 優香</v>
      </c>
      <c r="J252" s="109" t="s">
        <v>185</v>
      </c>
      <c r="K252" s="49" t="s">
        <v>50</v>
      </c>
      <c r="L252" s="100" t="s">
        <v>51</v>
      </c>
      <c r="M252" s="107" t="s">
        <v>52</v>
      </c>
      <c r="N252" s="110" t="s">
        <v>186</v>
      </c>
    </row>
    <row r="253" spans="1:14" ht="16">
      <c r="A253" s="101" t="str">
        <f t="shared" si="0"/>
        <v>OK</v>
      </c>
      <c r="B253" s="49">
        <v>3706809</v>
      </c>
      <c r="C253" s="49" t="s">
        <v>353</v>
      </c>
      <c r="D253" s="49" t="s">
        <v>6</v>
      </c>
      <c r="E253" s="50">
        <v>7.0000000000000007E-2</v>
      </c>
      <c r="F253" s="108">
        <v>3</v>
      </c>
      <c r="G253" s="51">
        <v>43853</v>
      </c>
      <c r="H253" s="46">
        <v>182.75862100000001</v>
      </c>
      <c r="I253" s="49" t="str">
        <f ca="1"/>
        <v>大木 優香</v>
      </c>
      <c r="J253" s="109" t="s">
        <v>185</v>
      </c>
      <c r="K253" s="49" t="s">
        <v>50</v>
      </c>
      <c r="L253" s="100" t="s">
        <v>51</v>
      </c>
      <c r="M253" s="107" t="s">
        <v>52</v>
      </c>
      <c r="N253" s="110" t="s">
        <v>186</v>
      </c>
    </row>
    <row r="254" spans="1:14" ht="16">
      <c r="A254" s="101" t="str">
        <f t="shared" si="0"/>
        <v>OK</v>
      </c>
      <c r="B254" s="49">
        <v>3706810</v>
      </c>
      <c r="C254" s="49" t="s">
        <v>354</v>
      </c>
      <c r="D254" s="49" t="s">
        <v>6</v>
      </c>
      <c r="E254" s="50">
        <v>7.0000000000000007E-2</v>
      </c>
      <c r="F254" s="108">
        <v>0</v>
      </c>
      <c r="G254" s="51">
        <v>43853</v>
      </c>
      <c r="H254" s="46">
        <v>182.75862100000001</v>
      </c>
      <c r="I254" s="49" t="str">
        <f ca="1"/>
        <v>大木 優香</v>
      </c>
      <c r="J254" s="109" t="s">
        <v>185</v>
      </c>
      <c r="K254" s="49" t="s">
        <v>50</v>
      </c>
      <c r="L254" s="100" t="s">
        <v>51</v>
      </c>
      <c r="M254" s="107" t="s">
        <v>52</v>
      </c>
      <c r="N254" s="110" t="s">
        <v>186</v>
      </c>
    </row>
    <row r="255" spans="1:14" ht="16">
      <c r="A255" s="101" t="str">
        <f t="shared" si="0"/>
        <v>OK</v>
      </c>
      <c r="B255" s="49">
        <v>3706812</v>
      </c>
      <c r="C255" s="49" t="s">
        <v>385</v>
      </c>
      <c r="D255" s="49" t="s">
        <v>6</v>
      </c>
      <c r="E255" s="50">
        <v>7.0000000000000007E-2</v>
      </c>
      <c r="F255" s="108">
        <v>23</v>
      </c>
      <c r="G255" s="51">
        <v>43853</v>
      </c>
      <c r="H255" s="46">
        <v>182.75862100000001</v>
      </c>
      <c r="I255" s="49" t="str">
        <f ca="1"/>
        <v>大木 優香</v>
      </c>
      <c r="J255" s="109" t="s">
        <v>185</v>
      </c>
      <c r="K255" s="49" t="s">
        <v>50</v>
      </c>
      <c r="L255" s="100" t="s">
        <v>51</v>
      </c>
      <c r="M255" s="107" t="s">
        <v>52</v>
      </c>
      <c r="N255" s="110" t="s">
        <v>186</v>
      </c>
    </row>
    <row r="256" spans="1:14" ht="16">
      <c r="A256" s="101" t="str">
        <f t="shared" si="0"/>
        <v>OK</v>
      </c>
      <c r="B256" s="49">
        <v>3706814</v>
      </c>
      <c r="C256" s="49" t="s">
        <v>386</v>
      </c>
      <c r="D256" s="49" t="s">
        <v>6</v>
      </c>
      <c r="E256" s="50">
        <v>7.0000000000000007E-2</v>
      </c>
      <c r="F256" s="108">
        <v>0</v>
      </c>
      <c r="G256" s="51">
        <v>43853</v>
      </c>
      <c r="H256" s="46">
        <v>182.75862100000001</v>
      </c>
      <c r="I256" s="49" t="str">
        <f ca="1"/>
        <v>大木 優香</v>
      </c>
      <c r="J256" s="109" t="s">
        <v>185</v>
      </c>
      <c r="K256" s="49" t="s">
        <v>50</v>
      </c>
      <c r="L256" s="100" t="s">
        <v>51</v>
      </c>
      <c r="M256" s="107" t="s">
        <v>52</v>
      </c>
      <c r="N256" s="110" t="s">
        <v>186</v>
      </c>
    </row>
    <row r="257" spans="1:14" ht="16">
      <c r="A257" s="101" t="str">
        <f t="shared" si="0"/>
        <v>OK</v>
      </c>
      <c r="B257" s="49">
        <v>3706818</v>
      </c>
      <c r="C257" s="49" t="s">
        <v>360</v>
      </c>
      <c r="D257" s="49" t="s">
        <v>6</v>
      </c>
      <c r="E257" s="50">
        <v>7.0000000000000007E-2</v>
      </c>
      <c r="F257" s="108">
        <v>0</v>
      </c>
      <c r="G257" s="51">
        <v>43853</v>
      </c>
      <c r="H257" s="46">
        <v>182.75862100000001</v>
      </c>
      <c r="I257" s="49" t="str">
        <f ca="1"/>
        <v>大木 優香</v>
      </c>
      <c r="J257" s="109" t="s">
        <v>185</v>
      </c>
      <c r="K257" s="49" t="s">
        <v>50</v>
      </c>
      <c r="L257" s="100" t="s">
        <v>51</v>
      </c>
      <c r="M257" s="107" t="s">
        <v>52</v>
      </c>
      <c r="N257" s="110" t="s">
        <v>186</v>
      </c>
    </row>
    <row r="258" spans="1:14" ht="16">
      <c r="A258" s="101" t="str">
        <f t="shared" si="0"/>
        <v>OK</v>
      </c>
      <c r="B258" s="49">
        <v>3706819</v>
      </c>
      <c r="C258" s="49" t="s">
        <v>387</v>
      </c>
      <c r="D258" s="49" t="s">
        <v>6</v>
      </c>
      <c r="E258" s="50">
        <v>7.0000000000000007E-2</v>
      </c>
      <c r="F258" s="108">
        <v>0</v>
      </c>
      <c r="G258" s="51">
        <v>43853</v>
      </c>
      <c r="H258" s="46">
        <v>182.75862100000001</v>
      </c>
      <c r="I258" s="49" t="str">
        <f ca="1"/>
        <v>大木 優香</v>
      </c>
      <c r="J258" s="109" t="s">
        <v>185</v>
      </c>
      <c r="K258" s="49" t="s">
        <v>50</v>
      </c>
      <c r="L258" s="100" t="s">
        <v>51</v>
      </c>
      <c r="M258" s="107" t="s">
        <v>52</v>
      </c>
      <c r="N258" s="110" t="s">
        <v>186</v>
      </c>
    </row>
    <row r="259" spans="1:14" ht="16">
      <c r="A259" s="101" t="str">
        <f t="shared" si="0"/>
        <v>OK</v>
      </c>
      <c r="B259" s="49">
        <v>3706820</v>
      </c>
      <c r="C259" s="49" t="s">
        <v>362</v>
      </c>
      <c r="D259" s="49" t="s">
        <v>6</v>
      </c>
      <c r="E259" s="50">
        <v>7.0000000000000007E-2</v>
      </c>
      <c r="F259" s="108">
        <v>0</v>
      </c>
      <c r="G259" s="51">
        <v>43853</v>
      </c>
      <c r="H259" s="46">
        <v>182.75862100000001</v>
      </c>
      <c r="I259" s="49" t="str">
        <f ca="1"/>
        <v>大木 優香</v>
      </c>
      <c r="J259" s="109" t="s">
        <v>185</v>
      </c>
      <c r="K259" s="49" t="s">
        <v>50</v>
      </c>
      <c r="L259" s="100" t="s">
        <v>51</v>
      </c>
      <c r="M259" s="107" t="s">
        <v>52</v>
      </c>
      <c r="N259" s="110" t="s">
        <v>186</v>
      </c>
    </row>
    <row r="260" spans="1:14" ht="16">
      <c r="A260" s="101" t="str">
        <f t="shared" si="0"/>
        <v>OK</v>
      </c>
      <c r="B260" s="49">
        <v>3706822</v>
      </c>
      <c r="C260" s="49" t="s">
        <v>388</v>
      </c>
      <c r="D260" s="49" t="s">
        <v>6</v>
      </c>
      <c r="E260" s="50">
        <v>7.0000000000000007E-2</v>
      </c>
      <c r="F260" s="108">
        <v>0</v>
      </c>
      <c r="G260" s="51">
        <v>43853</v>
      </c>
      <c r="H260" s="46">
        <v>182.75862100000001</v>
      </c>
      <c r="I260" s="49" t="str">
        <f ca="1"/>
        <v>大木 優香</v>
      </c>
      <c r="J260" s="109" t="s">
        <v>185</v>
      </c>
      <c r="K260" s="49" t="s">
        <v>50</v>
      </c>
      <c r="L260" s="100" t="s">
        <v>51</v>
      </c>
      <c r="M260" s="107" t="s">
        <v>52</v>
      </c>
      <c r="N260" s="110" t="s">
        <v>186</v>
      </c>
    </row>
    <row r="261" spans="1:14" ht="16">
      <c r="A261" s="101" t="str">
        <f t="shared" si="0"/>
        <v>OK</v>
      </c>
      <c r="B261" s="49">
        <v>3706824</v>
      </c>
      <c r="C261" s="49" t="s">
        <v>389</v>
      </c>
      <c r="D261" s="49" t="s">
        <v>6</v>
      </c>
      <c r="E261" s="50">
        <v>7.0000000000000007E-2</v>
      </c>
      <c r="F261" s="108">
        <v>0</v>
      </c>
      <c r="G261" s="51">
        <v>43853</v>
      </c>
      <c r="H261" s="46">
        <v>182.75862100000001</v>
      </c>
      <c r="I261" s="49" t="str">
        <f ca="1"/>
        <v>大木 優香</v>
      </c>
      <c r="J261" s="109" t="s">
        <v>185</v>
      </c>
      <c r="K261" s="49" t="s">
        <v>50</v>
      </c>
      <c r="L261" s="100" t="s">
        <v>51</v>
      </c>
      <c r="M261" s="107" t="s">
        <v>52</v>
      </c>
      <c r="N261" s="110" t="s">
        <v>186</v>
      </c>
    </row>
    <row r="262" spans="1:14" ht="16">
      <c r="A262" s="101" t="str">
        <f t="shared" si="0"/>
        <v>OK</v>
      </c>
      <c r="B262" s="49">
        <v>3706826</v>
      </c>
      <c r="C262" s="49" t="s">
        <v>361</v>
      </c>
      <c r="D262" s="49" t="s">
        <v>6</v>
      </c>
      <c r="E262" s="50">
        <v>7.0000000000000007E-2</v>
      </c>
      <c r="F262" s="108">
        <v>0</v>
      </c>
      <c r="G262" s="51">
        <v>43853</v>
      </c>
      <c r="H262" s="46">
        <v>182.75862100000001</v>
      </c>
      <c r="I262" s="49" t="str">
        <f ca="1"/>
        <v>大木 優香</v>
      </c>
      <c r="J262" s="109" t="s">
        <v>185</v>
      </c>
      <c r="K262" s="49" t="s">
        <v>50</v>
      </c>
      <c r="L262" s="100" t="s">
        <v>51</v>
      </c>
      <c r="M262" s="107" t="s">
        <v>52</v>
      </c>
      <c r="N262" s="110" t="s">
        <v>186</v>
      </c>
    </row>
    <row r="263" spans="1:14" ht="16">
      <c r="A263" s="101" t="str">
        <f t="shared" si="0"/>
        <v>OK</v>
      </c>
      <c r="B263" s="49">
        <v>3706830</v>
      </c>
      <c r="C263" s="49" t="s">
        <v>390</v>
      </c>
      <c r="D263" s="49" t="s">
        <v>6</v>
      </c>
      <c r="E263" s="50">
        <v>7.0000000000000007E-2</v>
      </c>
      <c r="F263" s="108">
        <v>0</v>
      </c>
      <c r="G263" s="51">
        <v>43853</v>
      </c>
      <c r="H263" s="46">
        <v>182.75862100000001</v>
      </c>
      <c r="I263" s="49" t="str">
        <f ca="1"/>
        <v>大木 優香</v>
      </c>
      <c r="J263" s="109" t="s">
        <v>185</v>
      </c>
      <c r="K263" s="49" t="s">
        <v>50</v>
      </c>
      <c r="L263" s="100" t="s">
        <v>51</v>
      </c>
      <c r="M263" s="107" t="s">
        <v>52</v>
      </c>
      <c r="N263" s="110" t="s">
        <v>186</v>
      </c>
    </row>
    <row r="264" spans="1:14" ht="16">
      <c r="A264" s="101" t="str">
        <f t="shared" si="0"/>
        <v>OK</v>
      </c>
      <c r="B264" s="49">
        <v>3706831</v>
      </c>
      <c r="C264" s="49" t="s">
        <v>391</v>
      </c>
      <c r="D264" s="49" t="s">
        <v>6</v>
      </c>
      <c r="E264" s="50">
        <v>7.0000000000000007E-2</v>
      </c>
      <c r="F264" s="108">
        <v>0</v>
      </c>
      <c r="G264" s="51">
        <v>43853</v>
      </c>
      <c r="H264" s="46">
        <v>182.75862100000001</v>
      </c>
      <c r="I264" s="49" t="str">
        <f ca="1"/>
        <v>大木 優香</v>
      </c>
      <c r="J264" s="109" t="s">
        <v>185</v>
      </c>
      <c r="K264" s="49" t="s">
        <v>50</v>
      </c>
      <c r="L264" s="100" t="s">
        <v>51</v>
      </c>
      <c r="M264" s="107" t="s">
        <v>52</v>
      </c>
      <c r="N264" s="110" t="s">
        <v>186</v>
      </c>
    </row>
    <row r="265" spans="1:14" ht="16">
      <c r="A265" s="101" t="str">
        <f t="shared" si="0"/>
        <v>OK</v>
      </c>
      <c r="B265" s="49">
        <v>3706832</v>
      </c>
      <c r="C265" s="49" t="s">
        <v>367</v>
      </c>
      <c r="D265" s="49" t="s">
        <v>6</v>
      </c>
      <c r="E265" s="50">
        <v>7.0000000000000007E-2</v>
      </c>
      <c r="F265" s="108">
        <v>18</v>
      </c>
      <c r="G265" s="51">
        <v>43853</v>
      </c>
      <c r="H265" s="46">
        <v>182.75862100000001</v>
      </c>
      <c r="I265" s="49" t="str">
        <f ca="1"/>
        <v>大木 優香</v>
      </c>
      <c r="J265" s="109" t="s">
        <v>185</v>
      </c>
      <c r="K265" s="49" t="s">
        <v>50</v>
      </c>
      <c r="L265" s="100" t="s">
        <v>51</v>
      </c>
      <c r="M265" s="107" t="s">
        <v>52</v>
      </c>
      <c r="N265" s="110" t="s">
        <v>186</v>
      </c>
    </row>
    <row r="266" spans="1:14" ht="16">
      <c r="A266" s="101" t="str">
        <f t="shared" si="0"/>
        <v>OK</v>
      </c>
      <c r="B266" s="49">
        <v>3706836</v>
      </c>
      <c r="C266" s="49" t="s">
        <v>392</v>
      </c>
      <c r="D266" s="49" t="s">
        <v>6</v>
      </c>
      <c r="E266" s="50">
        <v>7.0000000000000007E-2</v>
      </c>
      <c r="F266" s="108">
        <v>0</v>
      </c>
      <c r="G266" s="51">
        <v>43853</v>
      </c>
      <c r="H266" s="46">
        <v>182.75862100000001</v>
      </c>
      <c r="I266" s="49" t="str">
        <f ca="1"/>
        <v>大木 優香</v>
      </c>
      <c r="J266" s="109" t="s">
        <v>185</v>
      </c>
      <c r="K266" s="49" t="s">
        <v>50</v>
      </c>
      <c r="L266" s="100" t="s">
        <v>51</v>
      </c>
      <c r="M266" s="107" t="s">
        <v>52</v>
      </c>
      <c r="N266" s="110" t="s">
        <v>186</v>
      </c>
    </row>
    <row r="267" spans="1:14" ht="16">
      <c r="A267" s="101" t="str">
        <f t="shared" si="0"/>
        <v>OK</v>
      </c>
      <c r="B267" s="49">
        <v>3706837</v>
      </c>
      <c r="C267" s="49" t="s">
        <v>393</v>
      </c>
      <c r="D267" s="49" t="s">
        <v>6</v>
      </c>
      <c r="E267" s="50">
        <v>7.0000000000000007E-2</v>
      </c>
      <c r="F267" s="108">
        <v>52</v>
      </c>
      <c r="G267" s="51">
        <v>43853</v>
      </c>
      <c r="H267" s="46">
        <v>182.75862100000001</v>
      </c>
      <c r="I267" s="49" t="str">
        <f ca="1"/>
        <v>大木 優香</v>
      </c>
      <c r="J267" s="109" t="s">
        <v>185</v>
      </c>
      <c r="K267" s="49" t="s">
        <v>50</v>
      </c>
      <c r="L267" s="100" t="s">
        <v>51</v>
      </c>
      <c r="M267" s="107" t="s">
        <v>52</v>
      </c>
      <c r="N267" s="110" t="s">
        <v>186</v>
      </c>
    </row>
    <row r="268" spans="1:14" ht="16">
      <c r="A268" s="101" t="str">
        <f t="shared" si="0"/>
        <v>OK</v>
      </c>
      <c r="B268" s="49">
        <v>3706839</v>
      </c>
      <c r="C268" s="49" t="s">
        <v>344</v>
      </c>
      <c r="D268" s="49" t="s">
        <v>6</v>
      </c>
      <c r="E268" s="50">
        <v>7.0000000000000007E-2</v>
      </c>
      <c r="F268" s="108">
        <v>15</v>
      </c>
      <c r="G268" s="51">
        <v>43853</v>
      </c>
      <c r="H268" s="46">
        <v>182.75862100000001</v>
      </c>
      <c r="I268" s="49" t="str">
        <f ca="1"/>
        <v>大木 優香</v>
      </c>
      <c r="J268" s="109" t="s">
        <v>185</v>
      </c>
      <c r="K268" s="49" t="s">
        <v>50</v>
      </c>
      <c r="L268" s="100" t="s">
        <v>51</v>
      </c>
      <c r="M268" s="107" t="s">
        <v>52</v>
      </c>
      <c r="N268" s="110" t="s">
        <v>186</v>
      </c>
    </row>
    <row r="269" spans="1:14" ht="16">
      <c r="A269" s="101" t="str">
        <f t="shared" si="0"/>
        <v>OK</v>
      </c>
      <c r="B269" s="49">
        <v>3706845</v>
      </c>
      <c r="C269" s="49" t="s">
        <v>394</v>
      </c>
      <c r="D269" s="49" t="s">
        <v>6</v>
      </c>
      <c r="E269" s="50">
        <v>7.0000000000000007E-2</v>
      </c>
      <c r="F269" s="108">
        <v>0</v>
      </c>
      <c r="G269" s="51">
        <v>43853</v>
      </c>
      <c r="H269" s="46">
        <v>182.75862100000001</v>
      </c>
      <c r="I269" s="49" t="str">
        <f ca="1"/>
        <v>大木 優香</v>
      </c>
      <c r="J269" s="109" t="s">
        <v>185</v>
      </c>
      <c r="K269" s="49" t="s">
        <v>50</v>
      </c>
      <c r="L269" s="100" t="s">
        <v>51</v>
      </c>
      <c r="M269" s="107" t="s">
        <v>52</v>
      </c>
      <c r="N269" s="110" t="s">
        <v>186</v>
      </c>
    </row>
    <row r="270" spans="1:14" ht="16">
      <c r="A270" s="101" t="str">
        <f t="shared" si="0"/>
        <v>OK</v>
      </c>
      <c r="B270" s="49">
        <v>3706846</v>
      </c>
      <c r="C270" s="49" t="s">
        <v>395</v>
      </c>
      <c r="D270" s="49" t="s">
        <v>6</v>
      </c>
      <c r="E270" s="50">
        <v>7.0000000000000007E-2</v>
      </c>
      <c r="F270" s="108">
        <v>0</v>
      </c>
      <c r="G270" s="51">
        <v>43853</v>
      </c>
      <c r="H270" s="46">
        <v>182.75862100000001</v>
      </c>
      <c r="I270" s="49" t="str">
        <f ca="1"/>
        <v>大木 優香</v>
      </c>
      <c r="J270" s="109" t="s">
        <v>185</v>
      </c>
      <c r="K270" s="49" t="s">
        <v>50</v>
      </c>
      <c r="L270" s="100" t="s">
        <v>51</v>
      </c>
      <c r="M270" s="107" t="s">
        <v>52</v>
      </c>
      <c r="N270" s="110" t="s">
        <v>186</v>
      </c>
    </row>
    <row r="271" spans="1:14" ht="16">
      <c r="A271" s="101" t="str">
        <f t="shared" si="0"/>
        <v>OK</v>
      </c>
      <c r="B271" s="49">
        <v>3706847</v>
      </c>
      <c r="C271" s="49" t="s">
        <v>396</v>
      </c>
      <c r="D271" s="49" t="s">
        <v>6</v>
      </c>
      <c r="E271" s="50">
        <v>7.0000000000000007E-2</v>
      </c>
      <c r="F271" s="108">
        <v>0</v>
      </c>
      <c r="G271" s="51">
        <v>43853</v>
      </c>
      <c r="H271" s="46">
        <v>182.75862100000001</v>
      </c>
      <c r="I271" s="49" t="str">
        <f ca="1"/>
        <v>大木 優香</v>
      </c>
      <c r="J271" s="109" t="s">
        <v>185</v>
      </c>
      <c r="K271" s="49" t="s">
        <v>50</v>
      </c>
      <c r="L271" s="100" t="s">
        <v>51</v>
      </c>
      <c r="M271" s="107" t="s">
        <v>52</v>
      </c>
      <c r="N271" s="110" t="s">
        <v>186</v>
      </c>
    </row>
    <row r="272" spans="1:14" ht="16">
      <c r="A272" s="101" t="str">
        <f t="shared" si="0"/>
        <v>OK</v>
      </c>
      <c r="B272" s="49">
        <v>3706850</v>
      </c>
      <c r="C272" s="49" t="s">
        <v>382</v>
      </c>
      <c r="D272" s="49" t="s">
        <v>6</v>
      </c>
      <c r="E272" s="50">
        <v>7.0000000000000007E-2</v>
      </c>
      <c r="F272" s="108">
        <v>0</v>
      </c>
      <c r="G272" s="51">
        <v>43853</v>
      </c>
      <c r="H272" s="46">
        <v>182.75862100000001</v>
      </c>
      <c r="I272" s="49" t="str">
        <f ca="1"/>
        <v>大木 優香</v>
      </c>
      <c r="J272" s="109" t="s">
        <v>185</v>
      </c>
      <c r="K272" s="49" t="s">
        <v>50</v>
      </c>
      <c r="L272" s="100" t="s">
        <v>51</v>
      </c>
      <c r="M272" s="107" t="s">
        <v>52</v>
      </c>
      <c r="N272" s="110" t="s">
        <v>186</v>
      </c>
    </row>
    <row r="273" spans="1:14" ht="16">
      <c r="A273" s="101" t="str">
        <f t="shared" si="0"/>
        <v>OK</v>
      </c>
      <c r="B273" s="49">
        <v>3706851</v>
      </c>
      <c r="C273" s="49" t="s">
        <v>397</v>
      </c>
      <c r="D273" s="49" t="s">
        <v>6</v>
      </c>
      <c r="E273" s="50">
        <v>7.0000000000000007E-2</v>
      </c>
      <c r="F273" s="108">
        <v>0</v>
      </c>
      <c r="G273" s="51">
        <v>43853</v>
      </c>
      <c r="H273" s="46">
        <v>182.75862100000001</v>
      </c>
      <c r="I273" s="49" t="str">
        <f ca="1"/>
        <v>大木 優香</v>
      </c>
      <c r="J273" s="109" t="s">
        <v>185</v>
      </c>
      <c r="K273" s="49" t="s">
        <v>50</v>
      </c>
      <c r="L273" s="100" t="s">
        <v>51</v>
      </c>
      <c r="M273" s="107" t="s">
        <v>52</v>
      </c>
      <c r="N273" s="110" t="s">
        <v>186</v>
      </c>
    </row>
    <row r="274" spans="1:14" ht="16">
      <c r="A274" s="101" t="str">
        <f t="shared" si="0"/>
        <v>OK</v>
      </c>
      <c r="B274" s="49">
        <v>3706854</v>
      </c>
      <c r="C274" s="49" t="s">
        <v>398</v>
      </c>
      <c r="D274" s="49" t="s">
        <v>6</v>
      </c>
      <c r="E274" s="50">
        <v>7.0000000000000007E-2</v>
      </c>
      <c r="F274" s="108">
        <v>19</v>
      </c>
      <c r="G274" s="51">
        <v>43853</v>
      </c>
      <c r="H274" s="46">
        <v>182.75862100000001</v>
      </c>
      <c r="I274" s="49" t="str">
        <f ca="1"/>
        <v>大木 優香</v>
      </c>
      <c r="J274" s="109" t="s">
        <v>185</v>
      </c>
      <c r="K274" s="49" t="s">
        <v>50</v>
      </c>
      <c r="L274" s="100" t="s">
        <v>51</v>
      </c>
      <c r="M274" s="107" t="s">
        <v>52</v>
      </c>
      <c r="N274" s="110" t="s">
        <v>186</v>
      </c>
    </row>
    <row r="275" spans="1:14" ht="16">
      <c r="A275" s="101" t="str">
        <f t="shared" si="0"/>
        <v>OK</v>
      </c>
      <c r="B275" s="49">
        <v>3706859</v>
      </c>
      <c r="C275" s="49" t="s">
        <v>399</v>
      </c>
      <c r="D275" s="49" t="s">
        <v>6</v>
      </c>
      <c r="E275" s="50">
        <v>7.0000000000000007E-2</v>
      </c>
      <c r="F275" s="108">
        <v>0</v>
      </c>
      <c r="G275" s="51">
        <v>43853</v>
      </c>
      <c r="H275" s="46">
        <v>182.75862100000001</v>
      </c>
      <c r="I275" s="49" t="str">
        <f ca="1"/>
        <v>大木 優香</v>
      </c>
      <c r="J275" s="109" t="s">
        <v>185</v>
      </c>
      <c r="K275" s="49" t="s">
        <v>50</v>
      </c>
      <c r="L275" s="100" t="s">
        <v>51</v>
      </c>
      <c r="M275" s="107" t="s">
        <v>52</v>
      </c>
      <c r="N275" s="110" t="s">
        <v>186</v>
      </c>
    </row>
    <row r="276" spans="1:14" ht="16">
      <c r="A276" s="101" t="str">
        <f t="shared" si="0"/>
        <v>OK</v>
      </c>
      <c r="B276" s="49">
        <v>3706860</v>
      </c>
      <c r="C276" s="49" t="s">
        <v>400</v>
      </c>
      <c r="D276" s="49" t="s">
        <v>6</v>
      </c>
      <c r="E276" s="50">
        <v>7.0000000000000007E-2</v>
      </c>
      <c r="F276" s="108">
        <v>0</v>
      </c>
      <c r="G276" s="51">
        <v>43853</v>
      </c>
      <c r="H276" s="46">
        <v>182.75862100000001</v>
      </c>
      <c r="I276" s="49" t="str">
        <f ca="1"/>
        <v>大木 優香</v>
      </c>
      <c r="J276" s="109" t="s">
        <v>185</v>
      </c>
      <c r="K276" s="49" t="s">
        <v>50</v>
      </c>
      <c r="L276" s="100" t="s">
        <v>51</v>
      </c>
      <c r="M276" s="107" t="s">
        <v>52</v>
      </c>
      <c r="N276" s="110" t="s">
        <v>186</v>
      </c>
    </row>
    <row r="277" spans="1:14" ht="16">
      <c r="A277" s="101" t="str">
        <f t="shared" si="0"/>
        <v>OK</v>
      </c>
      <c r="B277" s="49">
        <v>3706863</v>
      </c>
      <c r="C277" s="49" t="s">
        <v>401</v>
      </c>
      <c r="D277" s="49" t="s">
        <v>6</v>
      </c>
      <c r="E277" s="50">
        <v>7.0000000000000007E-2</v>
      </c>
      <c r="F277" s="108">
        <v>0</v>
      </c>
      <c r="G277" s="51">
        <v>43853</v>
      </c>
      <c r="H277" s="46">
        <v>182.75862100000001</v>
      </c>
      <c r="I277" s="49" t="str">
        <f ca="1"/>
        <v>大木 優香</v>
      </c>
      <c r="J277" s="109" t="s">
        <v>185</v>
      </c>
      <c r="K277" s="49" t="s">
        <v>50</v>
      </c>
      <c r="L277" s="100" t="s">
        <v>51</v>
      </c>
      <c r="M277" s="107" t="s">
        <v>52</v>
      </c>
      <c r="N277" s="110" t="s">
        <v>186</v>
      </c>
    </row>
    <row r="278" spans="1:14" ht="16">
      <c r="A278" s="101" t="str">
        <f t="shared" si="0"/>
        <v>OK</v>
      </c>
      <c r="B278" s="49">
        <v>3706865</v>
      </c>
      <c r="C278" s="49" t="s">
        <v>402</v>
      </c>
      <c r="D278" s="49" t="s">
        <v>6</v>
      </c>
      <c r="E278" s="50">
        <v>7.0000000000000007E-2</v>
      </c>
      <c r="F278" s="108">
        <v>2</v>
      </c>
      <c r="G278" s="51">
        <v>43853</v>
      </c>
      <c r="H278" s="46">
        <v>182.75862100000001</v>
      </c>
      <c r="I278" s="49" t="str">
        <f ca="1"/>
        <v>大木 優香</v>
      </c>
      <c r="J278" s="109" t="s">
        <v>185</v>
      </c>
      <c r="K278" s="49" t="s">
        <v>50</v>
      </c>
      <c r="L278" s="100" t="s">
        <v>51</v>
      </c>
      <c r="M278" s="107" t="s">
        <v>52</v>
      </c>
      <c r="N278" s="110" t="s">
        <v>186</v>
      </c>
    </row>
    <row r="279" spans="1:14" ht="16">
      <c r="A279" s="101" t="str">
        <f t="shared" si="0"/>
        <v>OK</v>
      </c>
      <c r="B279" s="49">
        <v>3706866</v>
      </c>
      <c r="C279" s="49" t="s">
        <v>403</v>
      </c>
      <c r="D279" s="49" t="s">
        <v>6</v>
      </c>
      <c r="E279" s="50">
        <v>7.0000000000000007E-2</v>
      </c>
      <c r="F279" s="108">
        <v>0</v>
      </c>
      <c r="G279" s="51">
        <v>43853</v>
      </c>
      <c r="H279" s="46">
        <v>182.75862100000001</v>
      </c>
      <c r="I279" s="49" t="str">
        <f ca="1"/>
        <v>大木 優香</v>
      </c>
      <c r="J279" s="109" t="s">
        <v>185</v>
      </c>
      <c r="K279" s="49" t="s">
        <v>50</v>
      </c>
      <c r="L279" s="100" t="s">
        <v>51</v>
      </c>
      <c r="M279" s="107" t="s">
        <v>52</v>
      </c>
      <c r="N279" s="110" t="s">
        <v>186</v>
      </c>
    </row>
    <row r="280" spans="1:14" ht="16">
      <c r="A280" s="101" t="str">
        <f t="shared" si="0"/>
        <v>OK</v>
      </c>
      <c r="B280" s="49">
        <v>3706867</v>
      </c>
      <c r="C280" s="49" t="s">
        <v>404</v>
      </c>
      <c r="D280" s="49" t="s">
        <v>6</v>
      </c>
      <c r="E280" s="50">
        <v>7.0000000000000007E-2</v>
      </c>
      <c r="F280" s="108">
        <v>0</v>
      </c>
      <c r="G280" s="51">
        <v>43853</v>
      </c>
      <c r="H280" s="46">
        <v>182.75862100000001</v>
      </c>
      <c r="I280" s="49" t="str">
        <f ca="1"/>
        <v>大木 優香</v>
      </c>
      <c r="J280" s="109" t="s">
        <v>185</v>
      </c>
      <c r="K280" s="49" t="s">
        <v>50</v>
      </c>
      <c r="L280" s="100" t="s">
        <v>51</v>
      </c>
      <c r="M280" s="107" t="s">
        <v>52</v>
      </c>
      <c r="N280" s="110" t="s">
        <v>186</v>
      </c>
    </row>
    <row r="281" spans="1:14" ht="16">
      <c r="A281" s="101" t="str">
        <f t="shared" si="0"/>
        <v>OK</v>
      </c>
      <c r="B281" s="49">
        <v>3706869</v>
      </c>
      <c r="C281" s="49" t="s">
        <v>405</v>
      </c>
      <c r="D281" s="49" t="s">
        <v>6</v>
      </c>
      <c r="E281" s="50">
        <v>7.0000000000000007E-2</v>
      </c>
      <c r="F281" s="108">
        <v>0</v>
      </c>
      <c r="G281" s="51">
        <v>43853</v>
      </c>
      <c r="H281" s="46">
        <v>182.75862100000001</v>
      </c>
      <c r="I281" s="49" t="str">
        <f ca="1"/>
        <v>大木 優香</v>
      </c>
      <c r="J281" s="109" t="s">
        <v>185</v>
      </c>
      <c r="K281" s="49" t="s">
        <v>50</v>
      </c>
      <c r="L281" s="100" t="s">
        <v>51</v>
      </c>
      <c r="M281" s="107" t="s">
        <v>52</v>
      </c>
      <c r="N281" s="110" t="s">
        <v>186</v>
      </c>
    </row>
    <row r="282" spans="1:14" ht="16">
      <c r="A282" s="101" t="str">
        <f t="shared" si="0"/>
        <v>OK</v>
      </c>
      <c r="B282" s="49">
        <v>3706873</v>
      </c>
      <c r="C282" s="49" t="s">
        <v>406</v>
      </c>
      <c r="D282" s="49" t="s">
        <v>6</v>
      </c>
      <c r="E282" s="50">
        <v>7.0000000000000007E-2</v>
      </c>
      <c r="F282" s="108">
        <v>32</v>
      </c>
      <c r="G282" s="51">
        <v>43853</v>
      </c>
      <c r="H282" s="46">
        <v>182.75862100000001</v>
      </c>
      <c r="I282" s="49" t="str">
        <f ca="1"/>
        <v>大木 優香</v>
      </c>
      <c r="J282" s="109" t="s">
        <v>185</v>
      </c>
      <c r="K282" s="49" t="s">
        <v>50</v>
      </c>
      <c r="L282" s="100" t="s">
        <v>51</v>
      </c>
      <c r="M282" s="107" t="s">
        <v>52</v>
      </c>
      <c r="N282" s="110" t="s">
        <v>186</v>
      </c>
    </row>
    <row r="283" spans="1:14" ht="16">
      <c r="A283" s="101" t="str">
        <f t="shared" si="0"/>
        <v>OK</v>
      </c>
      <c r="B283" s="49">
        <v>3706874</v>
      </c>
      <c r="C283" s="49" t="s">
        <v>375</v>
      </c>
      <c r="D283" s="49" t="s">
        <v>6</v>
      </c>
      <c r="E283" s="50">
        <v>7.0000000000000007E-2</v>
      </c>
      <c r="F283" s="108">
        <v>0</v>
      </c>
      <c r="G283" s="51">
        <v>43853</v>
      </c>
      <c r="H283" s="46">
        <v>182.75862100000001</v>
      </c>
      <c r="I283" s="49" t="str">
        <f ca="1"/>
        <v>大木 優香</v>
      </c>
      <c r="J283" s="109" t="s">
        <v>185</v>
      </c>
      <c r="K283" s="49" t="s">
        <v>50</v>
      </c>
      <c r="L283" s="100" t="s">
        <v>51</v>
      </c>
      <c r="M283" s="107" t="s">
        <v>52</v>
      </c>
      <c r="N283" s="110" t="s">
        <v>186</v>
      </c>
    </row>
    <row r="284" spans="1:14" ht="16">
      <c r="A284" s="101" t="str">
        <f t="shared" si="0"/>
        <v>OK</v>
      </c>
      <c r="B284" s="49">
        <v>3706876</v>
      </c>
      <c r="C284" s="49" t="s">
        <v>407</v>
      </c>
      <c r="D284" s="49" t="s">
        <v>6</v>
      </c>
      <c r="E284" s="50">
        <v>7.0000000000000007E-2</v>
      </c>
      <c r="F284" s="108">
        <v>451</v>
      </c>
      <c r="G284" s="51">
        <v>43853</v>
      </c>
      <c r="H284" s="46">
        <v>182.75862100000001</v>
      </c>
      <c r="I284" s="49" t="str">
        <f ca="1"/>
        <v>大木 優香</v>
      </c>
      <c r="J284" s="109" t="s">
        <v>185</v>
      </c>
      <c r="K284" s="49" t="s">
        <v>50</v>
      </c>
      <c r="L284" s="100" t="s">
        <v>51</v>
      </c>
      <c r="M284" s="107" t="s">
        <v>52</v>
      </c>
      <c r="N284" s="110" t="s">
        <v>186</v>
      </c>
    </row>
    <row r="285" spans="1:14" ht="16">
      <c r="A285" s="101" t="str">
        <f t="shared" si="0"/>
        <v>OK</v>
      </c>
      <c r="B285" s="49">
        <v>3706879</v>
      </c>
      <c r="C285" s="49" t="s">
        <v>408</v>
      </c>
      <c r="D285" s="49" t="s">
        <v>6</v>
      </c>
      <c r="E285" s="50">
        <v>7.0000000000000007E-2</v>
      </c>
      <c r="F285" s="108">
        <v>39</v>
      </c>
      <c r="G285" s="51">
        <v>43853</v>
      </c>
      <c r="H285" s="46">
        <v>182.75862100000001</v>
      </c>
      <c r="I285" s="49" t="str">
        <f ca="1"/>
        <v>大木 優香</v>
      </c>
      <c r="J285" s="109" t="s">
        <v>185</v>
      </c>
      <c r="K285" s="49" t="s">
        <v>50</v>
      </c>
      <c r="L285" s="100" t="s">
        <v>51</v>
      </c>
      <c r="M285" s="107" t="s">
        <v>52</v>
      </c>
      <c r="N285" s="110" t="s">
        <v>186</v>
      </c>
    </row>
    <row r="286" spans="1:14" ht="16">
      <c r="A286" s="101" t="str">
        <f t="shared" si="0"/>
        <v>OK</v>
      </c>
      <c r="B286" s="49">
        <v>3706880</v>
      </c>
      <c r="C286" s="49" t="s">
        <v>409</v>
      </c>
      <c r="D286" s="49" t="s">
        <v>6</v>
      </c>
      <c r="E286" s="50">
        <v>7.0000000000000007E-2</v>
      </c>
      <c r="F286" s="108">
        <v>0</v>
      </c>
      <c r="G286" s="51">
        <v>43853</v>
      </c>
      <c r="H286" s="46">
        <v>182.75862100000001</v>
      </c>
      <c r="I286" s="49" t="str">
        <f ca="1"/>
        <v>大木 優香</v>
      </c>
      <c r="J286" s="109" t="s">
        <v>185</v>
      </c>
      <c r="K286" s="49" t="s">
        <v>50</v>
      </c>
      <c r="L286" s="100" t="s">
        <v>51</v>
      </c>
      <c r="M286" s="107" t="s">
        <v>52</v>
      </c>
      <c r="N286" s="110" t="s">
        <v>186</v>
      </c>
    </row>
    <row r="287" spans="1:14" ht="16">
      <c r="A287" s="101" t="str">
        <f t="shared" si="0"/>
        <v>OK</v>
      </c>
      <c r="B287" s="49">
        <v>3706881</v>
      </c>
      <c r="C287" s="49" t="s">
        <v>410</v>
      </c>
      <c r="D287" s="49" t="s">
        <v>6</v>
      </c>
      <c r="E287" s="50">
        <v>7.0000000000000007E-2</v>
      </c>
      <c r="F287" s="108">
        <v>24</v>
      </c>
      <c r="G287" s="51">
        <v>43853</v>
      </c>
      <c r="H287" s="46">
        <v>182.75862100000001</v>
      </c>
      <c r="I287" s="49" t="str">
        <f ca="1"/>
        <v>大木 優香</v>
      </c>
      <c r="J287" s="109" t="s">
        <v>185</v>
      </c>
      <c r="K287" s="49" t="s">
        <v>50</v>
      </c>
      <c r="L287" s="100" t="s">
        <v>51</v>
      </c>
      <c r="M287" s="107" t="s">
        <v>52</v>
      </c>
      <c r="N287" s="110" t="s">
        <v>186</v>
      </c>
    </row>
    <row r="288" spans="1:14" ht="16">
      <c r="A288" s="101" t="str">
        <f t="shared" si="0"/>
        <v>OK</v>
      </c>
      <c r="B288" s="49">
        <v>3706883</v>
      </c>
      <c r="C288" s="49" t="s">
        <v>411</v>
      </c>
      <c r="D288" s="49" t="s">
        <v>6</v>
      </c>
      <c r="E288" s="50">
        <v>7.0000000000000007E-2</v>
      </c>
      <c r="F288" s="108">
        <v>0</v>
      </c>
      <c r="G288" s="51">
        <v>43853</v>
      </c>
      <c r="H288" s="46">
        <v>182.75862100000001</v>
      </c>
      <c r="I288" s="49" t="str">
        <f ca="1"/>
        <v>大木 優香</v>
      </c>
      <c r="J288" s="109" t="s">
        <v>185</v>
      </c>
      <c r="K288" s="49" t="s">
        <v>50</v>
      </c>
      <c r="L288" s="100" t="s">
        <v>51</v>
      </c>
      <c r="M288" s="107" t="s">
        <v>52</v>
      </c>
      <c r="N288" s="110" t="s">
        <v>186</v>
      </c>
    </row>
    <row r="289" spans="1:14" ht="16">
      <c r="A289" s="101" t="str">
        <f t="shared" si="0"/>
        <v>OK</v>
      </c>
      <c r="B289" s="49">
        <v>3706886</v>
      </c>
      <c r="C289" s="49" t="s">
        <v>412</v>
      </c>
      <c r="D289" s="49" t="s">
        <v>6</v>
      </c>
      <c r="E289" s="50">
        <v>7.0000000000000007E-2</v>
      </c>
      <c r="F289" s="108">
        <v>0</v>
      </c>
      <c r="G289" s="51">
        <v>43853</v>
      </c>
      <c r="H289" s="46">
        <v>182.75862100000001</v>
      </c>
      <c r="I289" s="49" t="str">
        <f ca="1"/>
        <v>大木 優香</v>
      </c>
      <c r="J289" s="109" t="s">
        <v>185</v>
      </c>
      <c r="K289" s="49" t="s">
        <v>50</v>
      </c>
      <c r="L289" s="100" t="s">
        <v>51</v>
      </c>
      <c r="M289" s="107" t="s">
        <v>52</v>
      </c>
      <c r="N289" s="110" t="s">
        <v>186</v>
      </c>
    </row>
    <row r="290" spans="1:14" ht="16">
      <c r="A290" s="101" t="str">
        <f t="shared" si="0"/>
        <v>OK</v>
      </c>
      <c r="B290" s="49">
        <v>3706888</v>
      </c>
      <c r="C290" s="49" t="s">
        <v>360</v>
      </c>
      <c r="D290" s="49" t="s">
        <v>6</v>
      </c>
      <c r="E290" s="50">
        <v>7.0000000000000007E-2</v>
      </c>
      <c r="F290" s="108">
        <v>0</v>
      </c>
      <c r="G290" s="51">
        <v>43853</v>
      </c>
      <c r="H290" s="46">
        <v>182.75862100000001</v>
      </c>
      <c r="I290" s="49" t="str">
        <f ca="1"/>
        <v>大木 優香</v>
      </c>
      <c r="J290" s="109" t="s">
        <v>185</v>
      </c>
      <c r="K290" s="49" t="s">
        <v>50</v>
      </c>
      <c r="L290" s="100" t="s">
        <v>51</v>
      </c>
      <c r="M290" s="107" t="s">
        <v>52</v>
      </c>
      <c r="N290" s="110" t="s">
        <v>186</v>
      </c>
    </row>
    <row r="291" spans="1:14" ht="16">
      <c r="A291" s="101" t="str">
        <f t="shared" si="0"/>
        <v>OK</v>
      </c>
      <c r="B291" s="49">
        <v>3706889</v>
      </c>
      <c r="C291" s="49" t="s">
        <v>413</v>
      </c>
      <c r="D291" s="49" t="s">
        <v>6</v>
      </c>
      <c r="E291" s="50">
        <v>7.0000000000000007E-2</v>
      </c>
      <c r="F291" s="108">
        <v>0</v>
      </c>
      <c r="G291" s="51">
        <v>43853</v>
      </c>
      <c r="H291" s="46">
        <v>182.75862100000001</v>
      </c>
      <c r="I291" s="49" t="str">
        <f ca="1"/>
        <v>大木 優香</v>
      </c>
      <c r="J291" s="109" t="s">
        <v>185</v>
      </c>
      <c r="K291" s="49" t="s">
        <v>50</v>
      </c>
      <c r="L291" s="100" t="s">
        <v>51</v>
      </c>
      <c r="M291" s="107" t="s">
        <v>52</v>
      </c>
      <c r="N291" s="110" t="s">
        <v>186</v>
      </c>
    </row>
    <row r="292" spans="1:14" ht="16">
      <c r="A292" s="101" t="str">
        <f t="shared" si="0"/>
        <v>OK</v>
      </c>
      <c r="B292" s="49">
        <v>3706890</v>
      </c>
      <c r="C292" s="49" t="s">
        <v>365</v>
      </c>
      <c r="D292" s="49" t="s">
        <v>6</v>
      </c>
      <c r="E292" s="50">
        <v>7.0000000000000007E-2</v>
      </c>
      <c r="F292" s="108">
        <v>61</v>
      </c>
      <c r="G292" s="51">
        <v>43853</v>
      </c>
      <c r="H292" s="46">
        <v>182.75862100000001</v>
      </c>
      <c r="I292" s="49" t="str">
        <f ca="1"/>
        <v>大木 優香</v>
      </c>
      <c r="J292" s="109" t="s">
        <v>185</v>
      </c>
      <c r="K292" s="49" t="s">
        <v>50</v>
      </c>
      <c r="L292" s="100" t="s">
        <v>51</v>
      </c>
      <c r="M292" s="107" t="s">
        <v>52</v>
      </c>
      <c r="N292" s="110" t="s">
        <v>186</v>
      </c>
    </row>
    <row r="293" spans="1:14" ht="16">
      <c r="A293" s="101" t="str">
        <f t="shared" si="0"/>
        <v>OK</v>
      </c>
      <c r="B293" s="49">
        <v>3706891</v>
      </c>
      <c r="C293" s="49" t="s">
        <v>354</v>
      </c>
      <c r="D293" s="49" t="s">
        <v>6</v>
      </c>
      <c r="E293" s="50">
        <v>7.0000000000000007E-2</v>
      </c>
      <c r="F293" s="108">
        <v>0</v>
      </c>
      <c r="G293" s="51">
        <v>43853</v>
      </c>
      <c r="H293" s="46">
        <v>182.75862100000001</v>
      </c>
      <c r="I293" s="49" t="str">
        <f ca="1"/>
        <v>大木 優香</v>
      </c>
      <c r="J293" s="109" t="s">
        <v>185</v>
      </c>
      <c r="K293" s="49" t="s">
        <v>50</v>
      </c>
      <c r="L293" s="100" t="s">
        <v>51</v>
      </c>
      <c r="M293" s="107" t="s">
        <v>52</v>
      </c>
      <c r="N293" s="110" t="s">
        <v>186</v>
      </c>
    </row>
    <row r="294" spans="1:14" ht="16">
      <c r="A294" s="101" t="str">
        <f t="shared" si="0"/>
        <v>OK</v>
      </c>
      <c r="B294" s="49">
        <v>3706892</v>
      </c>
      <c r="C294" s="49" t="s">
        <v>406</v>
      </c>
      <c r="D294" s="49" t="s">
        <v>6</v>
      </c>
      <c r="E294" s="50">
        <v>7.0000000000000007E-2</v>
      </c>
      <c r="F294" s="108">
        <v>19</v>
      </c>
      <c r="G294" s="51">
        <v>43853</v>
      </c>
      <c r="H294" s="46">
        <v>182.75862100000001</v>
      </c>
      <c r="I294" s="49" t="str">
        <f ca="1"/>
        <v>大木 優香</v>
      </c>
      <c r="J294" s="109" t="s">
        <v>185</v>
      </c>
      <c r="K294" s="49" t="s">
        <v>50</v>
      </c>
      <c r="L294" s="100" t="s">
        <v>51</v>
      </c>
      <c r="M294" s="107" t="s">
        <v>52</v>
      </c>
      <c r="N294" s="110" t="s">
        <v>186</v>
      </c>
    </row>
    <row r="295" spans="1:14" ht="16">
      <c r="A295" s="101" t="str">
        <f t="shared" si="0"/>
        <v>OK</v>
      </c>
      <c r="B295" s="49">
        <v>3706894</v>
      </c>
      <c r="C295" s="49" t="s">
        <v>413</v>
      </c>
      <c r="D295" s="49" t="s">
        <v>6</v>
      </c>
      <c r="E295" s="50">
        <v>7.0000000000000007E-2</v>
      </c>
      <c r="F295" s="108">
        <v>2</v>
      </c>
      <c r="G295" s="51">
        <v>43853</v>
      </c>
      <c r="H295" s="46">
        <v>182.75862100000001</v>
      </c>
      <c r="I295" s="49" t="str">
        <f ca="1"/>
        <v>大木 優香</v>
      </c>
      <c r="J295" s="109" t="s">
        <v>185</v>
      </c>
      <c r="K295" s="49" t="s">
        <v>50</v>
      </c>
      <c r="L295" s="100" t="s">
        <v>51</v>
      </c>
      <c r="M295" s="107" t="s">
        <v>52</v>
      </c>
      <c r="N295" s="110" t="s">
        <v>186</v>
      </c>
    </row>
    <row r="296" spans="1:14" ht="16">
      <c r="A296" s="101" t="str">
        <f t="shared" si="0"/>
        <v>OK</v>
      </c>
      <c r="B296" s="49">
        <v>3706899</v>
      </c>
      <c r="C296" s="49" t="s">
        <v>414</v>
      </c>
      <c r="D296" s="49" t="s">
        <v>6</v>
      </c>
      <c r="E296" s="50">
        <v>7.0000000000000007E-2</v>
      </c>
      <c r="F296" s="108">
        <v>0</v>
      </c>
      <c r="G296" s="51">
        <v>43853</v>
      </c>
      <c r="H296" s="46">
        <v>182.75862100000001</v>
      </c>
      <c r="I296" s="49" t="str">
        <f ca="1"/>
        <v>大木 優香</v>
      </c>
      <c r="J296" s="109" t="s">
        <v>185</v>
      </c>
      <c r="K296" s="49" t="s">
        <v>50</v>
      </c>
      <c r="L296" s="100" t="s">
        <v>51</v>
      </c>
      <c r="M296" s="107" t="s">
        <v>52</v>
      </c>
      <c r="N296" s="110" t="s">
        <v>186</v>
      </c>
    </row>
    <row r="297" spans="1:14" ht="16">
      <c r="A297" s="101" t="str">
        <f t="shared" si="0"/>
        <v>OK</v>
      </c>
      <c r="B297" s="49">
        <v>3706900</v>
      </c>
      <c r="C297" s="49" t="s">
        <v>415</v>
      </c>
      <c r="D297" s="49" t="s">
        <v>6</v>
      </c>
      <c r="E297" s="50">
        <v>7.0000000000000007E-2</v>
      </c>
      <c r="F297" s="108">
        <v>0</v>
      </c>
      <c r="G297" s="51">
        <v>43853</v>
      </c>
      <c r="H297" s="46">
        <v>182.75862100000001</v>
      </c>
      <c r="I297" s="49" t="str">
        <f ca="1"/>
        <v>大木 優香</v>
      </c>
      <c r="J297" s="109" t="s">
        <v>185</v>
      </c>
      <c r="K297" s="49" t="s">
        <v>50</v>
      </c>
      <c r="L297" s="100" t="s">
        <v>51</v>
      </c>
      <c r="M297" s="107" t="s">
        <v>52</v>
      </c>
      <c r="N297" s="110" t="s">
        <v>186</v>
      </c>
    </row>
    <row r="298" spans="1:14" ht="16">
      <c r="A298" s="101" t="str">
        <f t="shared" si="0"/>
        <v>OK</v>
      </c>
      <c r="B298" s="49">
        <v>3706901</v>
      </c>
      <c r="C298" s="49" t="s">
        <v>416</v>
      </c>
      <c r="D298" s="49" t="s">
        <v>6</v>
      </c>
      <c r="E298" s="50">
        <v>7.0000000000000007E-2</v>
      </c>
      <c r="F298" s="108">
        <v>0</v>
      </c>
      <c r="G298" s="51">
        <v>43853</v>
      </c>
      <c r="H298" s="46">
        <v>182.75862100000001</v>
      </c>
      <c r="I298" s="49" t="str">
        <f ca="1"/>
        <v>大木 優香</v>
      </c>
      <c r="J298" s="109" t="s">
        <v>185</v>
      </c>
      <c r="K298" s="49" t="s">
        <v>50</v>
      </c>
      <c r="L298" s="100" t="s">
        <v>51</v>
      </c>
      <c r="M298" s="107" t="s">
        <v>52</v>
      </c>
      <c r="N298" s="110" t="s">
        <v>186</v>
      </c>
    </row>
    <row r="299" spans="1:14" ht="16">
      <c r="A299" s="101" t="str">
        <f t="shared" si="0"/>
        <v>OK</v>
      </c>
      <c r="B299" s="49">
        <v>3706902</v>
      </c>
      <c r="C299" s="49" t="s">
        <v>417</v>
      </c>
      <c r="D299" s="49" t="s">
        <v>6</v>
      </c>
      <c r="E299" s="50">
        <v>7.0000000000000007E-2</v>
      </c>
      <c r="F299" s="108">
        <v>0</v>
      </c>
      <c r="G299" s="51">
        <v>43853</v>
      </c>
      <c r="H299" s="46">
        <v>182.75862100000001</v>
      </c>
      <c r="I299" s="49" t="str">
        <f ca="1"/>
        <v>大木 優香</v>
      </c>
      <c r="J299" s="109" t="s">
        <v>185</v>
      </c>
      <c r="K299" s="49" t="s">
        <v>50</v>
      </c>
      <c r="L299" s="100" t="s">
        <v>51</v>
      </c>
      <c r="M299" s="107" t="s">
        <v>52</v>
      </c>
      <c r="N299" s="110" t="s">
        <v>186</v>
      </c>
    </row>
    <row r="300" spans="1:14" ht="16">
      <c r="A300" s="101" t="str">
        <f t="shared" si="0"/>
        <v>OK</v>
      </c>
      <c r="B300" s="49">
        <v>3706904</v>
      </c>
      <c r="C300" s="49" t="s">
        <v>398</v>
      </c>
      <c r="D300" s="49" t="s">
        <v>6</v>
      </c>
      <c r="E300" s="50">
        <v>7.0000000000000007E-2</v>
      </c>
      <c r="F300" s="108">
        <v>4</v>
      </c>
      <c r="G300" s="51">
        <v>43853</v>
      </c>
      <c r="H300" s="46">
        <v>182.75862100000001</v>
      </c>
      <c r="I300" s="49" t="str">
        <f ca="1"/>
        <v>大木 優香</v>
      </c>
      <c r="J300" s="109" t="s">
        <v>185</v>
      </c>
      <c r="K300" s="49" t="s">
        <v>50</v>
      </c>
      <c r="L300" s="100" t="s">
        <v>51</v>
      </c>
      <c r="M300" s="107" t="s">
        <v>52</v>
      </c>
      <c r="N300" s="110" t="s">
        <v>186</v>
      </c>
    </row>
    <row r="301" spans="1:14" ht="16">
      <c r="A301" s="101" t="str">
        <f t="shared" si="0"/>
        <v>OK</v>
      </c>
      <c r="B301" s="49">
        <v>3706912</v>
      </c>
      <c r="C301" s="49" t="s">
        <v>418</v>
      </c>
      <c r="D301" s="49" t="s">
        <v>6</v>
      </c>
      <c r="E301" s="50">
        <v>7.0000000000000007E-2</v>
      </c>
      <c r="F301" s="108">
        <v>0</v>
      </c>
      <c r="G301" s="51">
        <v>43853</v>
      </c>
      <c r="H301" s="46">
        <v>182.75862100000001</v>
      </c>
      <c r="I301" s="49" t="str">
        <f ca="1"/>
        <v>大木 優香</v>
      </c>
      <c r="J301" s="109" t="s">
        <v>185</v>
      </c>
      <c r="K301" s="49" t="s">
        <v>50</v>
      </c>
      <c r="L301" s="100" t="s">
        <v>51</v>
      </c>
      <c r="M301" s="107" t="s">
        <v>52</v>
      </c>
      <c r="N301" s="110" t="s">
        <v>186</v>
      </c>
    </row>
    <row r="302" spans="1:14" ht="16">
      <c r="A302" s="101" t="str">
        <f t="shared" si="0"/>
        <v>OK</v>
      </c>
      <c r="B302" s="49">
        <v>3706913</v>
      </c>
      <c r="C302" s="49" t="s">
        <v>419</v>
      </c>
      <c r="D302" s="49" t="s">
        <v>6</v>
      </c>
      <c r="E302" s="50">
        <v>7.0000000000000007E-2</v>
      </c>
      <c r="F302" s="108">
        <v>0</v>
      </c>
      <c r="G302" s="51">
        <v>43853</v>
      </c>
      <c r="H302" s="46">
        <v>182.75862100000001</v>
      </c>
      <c r="I302" s="49" t="str">
        <f ca="1"/>
        <v>大木 優香</v>
      </c>
      <c r="J302" s="109" t="s">
        <v>185</v>
      </c>
      <c r="K302" s="49" t="s">
        <v>50</v>
      </c>
      <c r="L302" s="100" t="s">
        <v>51</v>
      </c>
      <c r="M302" s="107" t="s">
        <v>52</v>
      </c>
      <c r="N302" s="110" t="s">
        <v>186</v>
      </c>
    </row>
    <row r="303" spans="1:14" ht="16">
      <c r="A303" s="101" t="str">
        <f t="shared" si="0"/>
        <v>OK</v>
      </c>
      <c r="B303" s="49">
        <v>3706916</v>
      </c>
      <c r="C303" s="49" t="s">
        <v>420</v>
      </c>
      <c r="D303" s="49" t="s">
        <v>6</v>
      </c>
      <c r="E303" s="50">
        <v>7.0000000000000007E-2</v>
      </c>
      <c r="F303" s="108">
        <v>17</v>
      </c>
      <c r="G303" s="51">
        <v>43853</v>
      </c>
      <c r="H303" s="46">
        <v>182.75862100000001</v>
      </c>
      <c r="I303" s="49" t="str">
        <f ca="1"/>
        <v>大木 優香</v>
      </c>
      <c r="J303" s="109" t="s">
        <v>185</v>
      </c>
      <c r="K303" s="49" t="s">
        <v>50</v>
      </c>
      <c r="L303" s="100" t="s">
        <v>51</v>
      </c>
      <c r="M303" s="107" t="s">
        <v>52</v>
      </c>
      <c r="N303" s="110" t="s">
        <v>186</v>
      </c>
    </row>
    <row r="304" spans="1:14" ht="16">
      <c r="A304" s="101" t="str">
        <f t="shared" si="0"/>
        <v>OK</v>
      </c>
      <c r="B304" s="49">
        <v>3706917</v>
      </c>
      <c r="C304" s="49" t="s">
        <v>410</v>
      </c>
      <c r="D304" s="49" t="s">
        <v>6</v>
      </c>
      <c r="E304" s="50">
        <v>7.0000000000000007E-2</v>
      </c>
      <c r="F304" s="108">
        <v>24</v>
      </c>
      <c r="G304" s="51">
        <v>43853</v>
      </c>
      <c r="H304" s="46">
        <v>182.75862100000001</v>
      </c>
      <c r="I304" s="49" t="str">
        <f ca="1"/>
        <v>大木 優香</v>
      </c>
      <c r="J304" s="109" t="s">
        <v>185</v>
      </c>
      <c r="K304" s="49" t="s">
        <v>50</v>
      </c>
      <c r="L304" s="100" t="s">
        <v>51</v>
      </c>
      <c r="M304" s="107" t="s">
        <v>52</v>
      </c>
      <c r="N304" s="110" t="s">
        <v>186</v>
      </c>
    </row>
    <row r="305" spans="1:14" ht="16">
      <c r="A305" s="101" t="str">
        <f t="shared" si="0"/>
        <v>OK</v>
      </c>
      <c r="B305" s="49">
        <v>3706918</v>
      </c>
      <c r="C305" s="49" t="s">
        <v>421</v>
      </c>
      <c r="D305" s="49" t="s">
        <v>6</v>
      </c>
      <c r="E305" s="50">
        <v>7.0000000000000007E-2</v>
      </c>
      <c r="F305" s="108">
        <v>0</v>
      </c>
      <c r="G305" s="51">
        <v>43853</v>
      </c>
      <c r="H305" s="46">
        <v>182.75862100000001</v>
      </c>
      <c r="I305" s="49" t="str">
        <f ca="1"/>
        <v>大木 優香</v>
      </c>
      <c r="J305" s="109" t="s">
        <v>185</v>
      </c>
      <c r="K305" s="49" t="s">
        <v>50</v>
      </c>
      <c r="L305" s="100" t="s">
        <v>51</v>
      </c>
      <c r="M305" s="107" t="s">
        <v>52</v>
      </c>
      <c r="N305" s="110" t="s">
        <v>186</v>
      </c>
    </row>
    <row r="306" spans="1:14" ht="16">
      <c r="A306" s="101" t="str">
        <f t="shared" si="0"/>
        <v>OK</v>
      </c>
      <c r="B306" s="49">
        <v>3706919</v>
      </c>
      <c r="C306" s="49" t="s">
        <v>422</v>
      </c>
      <c r="D306" s="49" t="s">
        <v>6</v>
      </c>
      <c r="E306" s="50">
        <v>7.0000000000000007E-2</v>
      </c>
      <c r="F306" s="108">
        <v>0</v>
      </c>
      <c r="G306" s="51">
        <v>43853</v>
      </c>
      <c r="H306" s="46">
        <v>182.75862100000001</v>
      </c>
      <c r="I306" s="49" t="str">
        <f ca="1"/>
        <v>大木 優香</v>
      </c>
      <c r="J306" s="109" t="s">
        <v>185</v>
      </c>
      <c r="K306" s="49" t="s">
        <v>50</v>
      </c>
      <c r="L306" s="100" t="s">
        <v>51</v>
      </c>
      <c r="M306" s="107" t="s">
        <v>52</v>
      </c>
      <c r="N306" s="110" t="s">
        <v>186</v>
      </c>
    </row>
    <row r="307" spans="1:14" ht="16">
      <c r="A307" s="101" t="str">
        <f t="shared" si="0"/>
        <v>OK</v>
      </c>
      <c r="B307" s="49">
        <v>3706920</v>
      </c>
      <c r="C307" s="49" t="s">
        <v>423</v>
      </c>
      <c r="D307" s="49" t="s">
        <v>6</v>
      </c>
      <c r="E307" s="50">
        <v>7.0000000000000007E-2</v>
      </c>
      <c r="F307" s="108">
        <v>0</v>
      </c>
      <c r="G307" s="51">
        <v>43853</v>
      </c>
      <c r="H307" s="46">
        <v>182.75862100000001</v>
      </c>
      <c r="I307" s="49" t="str">
        <f ca="1"/>
        <v>大木 優香</v>
      </c>
      <c r="J307" s="109" t="s">
        <v>185</v>
      </c>
      <c r="K307" s="49" t="s">
        <v>50</v>
      </c>
      <c r="L307" s="100" t="s">
        <v>51</v>
      </c>
      <c r="M307" s="107" t="s">
        <v>52</v>
      </c>
      <c r="N307" s="110" t="s">
        <v>186</v>
      </c>
    </row>
    <row r="308" spans="1:14" ht="16">
      <c r="A308" s="101" t="str">
        <f t="shared" si="0"/>
        <v>OK</v>
      </c>
      <c r="B308" s="49">
        <v>3706921</v>
      </c>
      <c r="C308" s="49" t="s">
        <v>424</v>
      </c>
      <c r="D308" s="49" t="s">
        <v>6</v>
      </c>
      <c r="E308" s="50">
        <v>7.0000000000000007E-2</v>
      </c>
      <c r="F308" s="108">
        <v>0</v>
      </c>
      <c r="G308" s="51">
        <v>43853</v>
      </c>
      <c r="H308" s="46">
        <v>0</v>
      </c>
      <c r="I308" s="49" t="str">
        <f ca="1"/>
        <v>退会済</v>
      </c>
      <c r="J308" s="109" t="s">
        <v>185</v>
      </c>
      <c r="K308" s="49" t="s">
        <v>50</v>
      </c>
      <c r="L308" s="100" t="s">
        <v>51</v>
      </c>
      <c r="M308" s="107" t="s">
        <v>52</v>
      </c>
      <c r="N308" s="110" t="s">
        <v>186</v>
      </c>
    </row>
    <row r="309" spans="1:14" ht="16">
      <c r="A309" s="101" t="str">
        <f t="shared" si="0"/>
        <v>OK</v>
      </c>
      <c r="B309" s="49">
        <v>3706922</v>
      </c>
      <c r="C309" s="49" t="s">
        <v>425</v>
      </c>
      <c r="D309" s="49" t="s">
        <v>6</v>
      </c>
      <c r="E309" s="50">
        <v>7.0000000000000007E-2</v>
      </c>
      <c r="F309" s="108">
        <v>0</v>
      </c>
      <c r="G309" s="51">
        <v>43853</v>
      </c>
      <c r="H309" s="46">
        <v>182.75862100000001</v>
      </c>
      <c r="I309" s="49" t="str">
        <f ca="1"/>
        <v>大木 優香</v>
      </c>
      <c r="J309" s="109" t="s">
        <v>185</v>
      </c>
      <c r="K309" s="49" t="s">
        <v>50</v>
      </c>
      <c r="L309" s="100" t="s">
        <v>51</v>
      </c>
      <c r="M309" s="107" t="s">
        <v>52</v>
      </c>
      <c r="N309" s="110" t="s">
        <v>186</v>
      </c>
    </row>
    <row r="310" spans="1:14" ht="16">
      <c r="A310" s="101" t="str">
        <f t="shared" si="0"/>
        <v>OK</v>
      </c>
      <c r="B310" s="49">
        <v>3706923</v>
      </c>
      <c r="C310" s="49" t="s">
        <v>426</v>
      </c>
      <c r="D310" s="49" t="s">
        <v>6</v>
      </c>
      <c r="E310" s="50">
        <v>7.0000000000000007E-2</v>
      </c>
      <c r="F310" s="108">
        <v>0</v>
      </c>
      <c r="G310" s="51">
        <v>43853</v>
      </c>
      <c r="H310" s="46">
        <v>182.75862100000001</v>
      </c>
      <c r="I310" s="49" t="str">
        <f ca="1"/>
        <v>大木 優香</v>
      </c>
      <c r="J310" s="109" t="s">
        <v>185</v>
      </c>
      <c r="K310" s="49" t="s">
        <v>50</v>
      </c>
      <c r="L310" s="100" t="s">
        <v>51</v>
      </c>
      <c r="M310" s="107" t="s">
        <v>52</v>
      </c>
      <c r="N310" s="110" t="s">
        <v>186</v>
      </c>
    </row>
    <row r="311" spans="1:14" ht="16">
      <c r="A311" s="101" t="str">
        <f t="shared" si="0"/>
        <v>OK</v>
      </c>
      <c r="B311" s="49">
        <v>3706924</v>
      </c>
      <c r="C311" s="49" t="s">
        <v>427</v>
      </c>
      <c r="D311" s="49" t="s">
        <v>6</v>
      </c>
      <c r="E311" s="50">
        <v>7.0000000000000007E-2</v>
      </c>
      <c r="F311" s="108">
        <v>0</v>
      </c>
      <c r="G311" s="51">
        <v>43853</v>
      </c>
      <c r="H311" s="46">
        <v>0</v>
      </c>
      <c r="I311" s="49" t="str">
        <f ca="1"/>
        <v>退会済</v>
      </c>
      <c r="J311" s="109" t="s">
        <v>185</v>
      </c>
      <c r="K311" s="49" t="s">
        <v>50</v>
      </c>
      <c r="L311" s="100" t="s">
        <v>51</v>
      </c>
      <c r="M311" s="107" t="s">
        <v>52</v>
      </c>
      <c r="N311" s="110" t="s">
        <v>186</v>
      </c>
    </row>
    <row r="312" spans="1:14" ht="16">
      <c r="A312" s="101" t="str">
        <f t="shared" si="0"/>
        <v>OK</v>
      </c>
      <c r="B312" s="49">
        <v>3706926</v>
      </c>
      <c r="C312" s="49" t="s">
        <v>428</v>
      </c>
      <c r="D312" s="49" t="s">
        <v>6</v>
      </c>
      <c r="E312" s="50">
        <v>7.0000000000000007E-2</v>
      </c>
      <c r="F312" s="108">
        <v>0</v>
      </c>
      <c r="G312" s="51">
        <v>43853</v>
      </c>
      <c r="H312" s="46">
        <v>182.75862100000001</v>
      </c>
      <c r="I312" s="49" t="str">
        <f ca="1"/>
        <v>大木 優香</v>
      </c>
      <c r="J312" s="109" t="s">
        <v>185</v>
      </c>
      <c r="K312" s="49" t="s">
        <v>50</v>
      </c>
      <c r="L312" s="100" t="s">
        <v>51</v>
      </c>
      <c r="M312" s="107" t="s">
        <v>52</v>
      </c>
      <c r="N312" s="110" t="s">
        <v>186</v>
      </c>
    </row>
    <row r="313" spans="1:14" ht="16">
      <c r="A313" s="101" t="str">
        <f t="shared" si="0"/>
        <v>OK</v>
      </c>
      <c r="B313" s="49">
        <v>3706927</v>
      </c>
      <c r="C313" s="49" t="s">
        <v>429</v>
      </c>
      <c r="D313" s="49" t="s">
        <v>6</v>
      </c>
      <c r="E313" s="50">
        <v>7.0000000000000007E-2</v>
      </c>
      <c r="F313" s="108">
        <v>0</v>
      </c>
      <c r="G313" s="51">
        <v>43853</v>
      </c>
      <c r="H313" s="46">
        <v>182.75862100000001</v>
      </c>
      <c r="I313" s="49" t="str">
        <f ca="1"/>
        <v>大木 優香</v>
      </c>
      <c r="J313" s="109" t="s">
        <v>185</v>
      </c>
      <c r="K313" s="49" t="s">
        <v>50</v>
      </c>
      <c r="L313" s="100" t="s">
        <v>51</v>
      </c>
      <c r="M313" s="107" t="s">
        <v>52</v>
      </c>
      <c r="N313" s="110" t="s">
        <v>186</v>
      </c>
    </row>
    <row r="314" spans="1:14" ht="16">
      <c r="A314" s="101" t="str">
        <f t="shared" si="0"/>
        <v>OK</v>
      </c>
      <c r="B314" s="49">
        <v>3706928</v>
      </c>
      <c r="C314" s="49" t="s">
        <v>430</v>
      </c>
      <c r="D314" s="49" t="s">
        <v>6</v>
      </c>
      <c r="E314" s="50">
        <v>7.0000000000000007E-2</v>
      </c>
      <c r="F314" s="108">
        <v>0</v>
      </c>
      <c r="G314" s="51">
        <v>43853</v>
      </c>
      <c r="H314" s="46">
        <v>182.75862100000001</v>
      </c>
      <c r="I314" s="49" t="str">
        <f ca="1"/>
        <v>大木 優香</v>
      </c>
      <c r="J314" s="109" t="s">
        <v>185</v>
      </c>
      <c r="K314" s="49" t="s">
        <v>50</v>
      </c>
      <c r="L314" s="100" t="s">
        <v>51</v>
      </c>
      <c r="M314" s="107" t="s">
        <v>52</v>
      </c>
      <c r="N314" s="110" t="s">
        <v>186</v>
      </c>
    </row>
    <row r="315" spans="1:14" ht="16">
      <c r="A315" s="101" t="str">
        <f t="shared" si="0"/>
        <v>OK</v>
      </c>
      <c r="B315" s="49">
        <v>3706929</v>
      </c>
      <c r="C315" s="49" t="s">
        <v>431</v>
      </c>
      <c r="D315" s="49" t="s">
        <v>6</v>
      </c>
      <c r="E315" s="50">
        <v>7.0000000000000007E-2</v>
      </c>
      <c r="F315" s="108">
        <v>0</v>
      </c>
      <c r="G315" s="51">
        <v>43853</v>
      </c>
      <c r="H315" s="46">
        <v>182.75862100000001</v>
      </c>
      <c r="I315" s="49" t="str">
        <f ca="1"/>
        <v>大木 優香</v>
      </c>
      <c r="J315" s="109" t="s">
        <v>185</v>
      </c>
      <c r="K315" s="49" t="s">
        <v>50</v>
      </c>
      <c r="L315" s="100" t="s">
        <v>51</v>
      </c>
      <c r="M315" s="107" t="s">
        <v>52</v>
      </c>
      <c r="N315" s="110" t="s">
        <v>186</v>
      </c>
    </row>
    <row r="316" spans="1:14" ht="16">
      <c r="A316" s="101" t="str">
        <f t="shared" si="0"/>
        <v>OK</v>
      </c>
      <c r="B316" s="49">
        <v>3706930</v>
      </c>
      <c r="C316" s="49" t="s">
        <v>432</v>
      </c>
      <c r="D316" s="49" t="s">
        <v>6</v>
      </c>
      <c r="E316" s="50">
        <v>7.0000000000000007E-2</v>
      </c>
      <c r="F316" s="108">
        <v>32</v>
      </c>
      <c r="G316" s="51">
        <v>43853</v>
      </c>
      <c r="H316" s="46">
        <v>182.75862100000001</v>
      </c>
      <c r="I316" s="49" t="str">
        <f ca="1"/>
        <v>大木 優香</v>
      </c>
      <c r="J316" s="109" t="s">
        <v>185</v>
      </c>
      <c r="K316" s="49" t="s">
        <v>50</v>
      </c>
      <c r="L316" s="100" t="s">
        <v>51</v>
      </c>
      <c r="M316" s="107" t="s">
        <v>52</v>
      </c>
      <c r="N316" s="110" t="s">
        <v>186</v>
      </c>
    </row>
    <row r="317" spans="1:14" ht="16">
      <c r="A317" s="101" t="str">
        <f t="shared" si="0"/>
        <v>OK</v>
      </c>
      <c r="B317" s="49">
        <v>3706931</v>
      </c>
      <c r="C317" s="49" t="s">
        <v>432</v>
      </c>
      <c r="D317" s="49" t="s">
        <v>6</v>
      </c>
      <c r="E317" s="50">
        <v>7.0000000000000007E-2</v>
      </c>
      <c r="F317" s="108">
        <v>35</v>
      </c>
      <c r="G317" s="51">
        <v>43853</v>
      </c>
      <c r="H317" s="46">
        <v>182.75862100000001</v>
      </c>
      <c r="I317" s="49" t="str">
        <f ca="1"/>
        <v>大木 優香</v>
      </c>
      <c r="J317" s="109" t="s">
        <v>185</v>
      </c>
      <c r="K317" s="49" t="s">
        <v>50</v>
      </c>
      <c r="L317" s="100" t="s">
        <v>51</v>
      </c>
      <c r="M317" s="107" t="s">
        <v>52</v>
      </c>
      <c r="N317" s="110" t="s">
        <v>186</v>
      </c>
    </row>
    <row r="318" spans="1:14" ht="16">
      <c r="A318" s="101" t="str">
        <f t="shared" si="0"/>
        <v>OK</v>
      </c>
      <c r="B318" s="49">
        <v>3706932</v>
      </c>
      <c r="C318" s="49" t="s">
        <v>433</v>
      </c>
      <c r="D318" s="49" t="s">
        <v>6</v>
      </c>
      <c r="E318" s="50">
        <v>7.0000000000000007E-2</v>
      </c>
      <c r="F318" s="108">
        <v>0</v>
      </c>
      <c r="G318" s="51">
        <v>43853</v>
      </c>
      <c r="H318" s="46">
        <v>182.75862100000001</v>
      </c>
      <c r="I318" s="49" t="str">
        <f ca="1"/>
        <v>大木 優香</v>
      </c>
      <c r="J318" s="109" t="s">
        <v>185</v>
      </c>
      <c r="K318" s="49" t="s">
        <v>50</v>
      </c>
      <c r="L318" s="100" t="s">
        <v>51</v>
      </c>
      <c r="M318" s="107" t="s">
        <v>52</v>
      </c>
      <c r="N318" s="110" t="s">
        <v>186</v>
      </c>
    </row>
    <row r="319" spans="1:14" ht="16">
      <c r="A319" s="101" t="str">
        <f t="shared" si="0"/>
        <v>OK</v>
      </c>
      <c r="B319" s="49">
        <v>3706933</v>
      </c>
      <c r="C319" s="49" t="s">
        <v>434</v>
      </c>
      <c r="D319" s="49" t="s">
        <v>6</v>
      </c>
      <c r="E319" s="50">
        <v>7.0000000000000007E-2</v>
      </c>
      <c r="F319" s="108">
        <v>0</v>
      </c>
      <c r="G319" s="51">
        <v>43853</v>
      </c>
      <c r="H319" s="46">
        <v>182.75862100000001</v>
      </c>
      <c r="I319" s="49" t="str">
        <f ca="1"/>
        <v>大木 優香</v>
      </c>
      <c r="J319" s="109" t="s">
        <v>185</v>
      </c>
      <c r="K319" s="49" t="s">
        <v>50</v>
      </c>
      <c r="L319" s="100" t="s">
        <v>51</v>
      </c>
      <c r="M319" s="107" t="s">
        <v>52</v>
      </c>
      <c r="N319" s="110" t="s">
        <v>186</v>
      </c>
    </row>
    <row r="320" spans="1:14" ht="16">
      <c r="A320" s="101" t="str">
        <f t="shared" si="0"/>
        <v>OK</v>
      </c>
      <c r="B320" s="49">
        <v>3706934</v>
      </c>
      <c r="C320" s="49" t="s">
        <v>435</v>
      </c>
      <c r="D320" s="49" t="s">
        <v>6</v>
      </c>
      <c r="E320" s="50">
        <v>7.0000000000000007E-2</v>
      </c>
      <c r="F320" s="108">
        <v>0</v>
      </c>
      <c r="G320" s="51">
        <v>43853</v>
      </c>
      <c r="H320" s="46">
        <v>182.75862100000001</v>
      </c>
      <c r="I320" s="49" t="str">
        <f ca="1"/>
        <v>大木 優香</v>
      </c>
      <c r="J320" s="109" t="s">
        <v>185</v>
      </c>
      <c r="K320" s="49" t="s">
        <v>50</v>
      </c>
      <c r="L320" s="100" t="s">
        <v>51</v>
      </c>
      <c r="M320" s="107" t="s">
        <v>52</v>
      </c>
      <c r="N320" s="110" t="s">
        <v>186</v>
      </c>
    </row>
    <row r="321" spans="1:14" ht="16">
      <c r="A321" s="101" t="str">
        <f t="shared" si="0"/>
        <v>OK</v>
      </c>
      <c r="B321" s="49">
        <v>3706935</v>
      </c>
      <c r="C321" s="49" t="s">
        <v>436</v>
      </c>
      <c r="D321" s="49" t="s">
        <v>6</v>
      </c>
      <c r="E321" s="50">
        <v>7.0000000000000007E-2</v>
      </c>
      <c r="F321" s="108">
        <v>0</v>
      </c>
      <c r="G321" s="51">
        <v>43853</v>
      </c>
      <c r="H321" s="46">
        <v>182.75862100000001</v>
      </c>
      <c r="I321" s="49" t="str">
        <f ca="1"/>
        <v>大木 優香</v>
      </c>
      <c r="J321" s="109" t="s">
        <v>185</v>
      </c>
      <c r="K321" s="49" t="s">
        <v>50</v>
      </c>
      <c r="L321" s="100" t="s">
        <v>51</v>
      </c>
      <c r="M321" s="107" t="s">
        <v>52</v>
      </c>
      <c r="N321" s="110" t="s">
        <v>186</v>
      </c>
    </row>
    <row r="322" spans="1:14" ht="16">
      <c r="A322" s="101" t="str">
        <f t="shared" si="0"/>
        <v>OK</v>
      </c>
      <c r="B322" s="49">
        <v>3706937</v>
      </c>
      <c r="C322" s="49" t="s">
        <v>437</v>
      </c>
      <c r="D322" s="49" t="s">
        <v>6</v>
      </c>
      <c r="E322" s="50">
        <v>7.0000000000000007E-2</v>
      </c>
      <c r="F322" s="108">
        <v>0</v>
      </c>
      <c r="G322" s="51">
        <v>43853</v>
      </c>
      <c r="H322" s="46">
        <v>182.75862100000001</v>
      </c>
      <c r="I322" s="49" t="str">
        <f ca="1"/>
        <v>大木 優香</v>
      </c>
      <c r="J322" s="109" t="s">
        <v>185</v>
      </c>
      <c r="K322" s="49" t="s">
        <v>50</v>
      </c>
      <c r="L322" s="100" t="s">
        <v>51</v>
      </c>
      <c r="M322" s="107" t="s">
        <v>52</v>
      </c>
      <c r="N322" s="110" t="s">
        <v>186</v>
      </c>
    </row>
    <row r="323" spans="1:14" ht="16">
      <c r="A323" s="101" t="str">
        <f t="shared" si="0"/>
        <v>OK</v>
      </c>
      <c r="B323" s="49">
        <v>3706938</v>
      </c>
      <c r="C323" s="49" t="s">
        <v>438</v>
      </c>
      <c r="D323" s="49" t="s">
        <v>6</v>
      </c>
      <c r="E323" s="50">
        <v>7.0000000000000007E-2</v>
      </c>
      <c r="F323" s="108">
        <v>0</v>
      </c>
      <c r="G323" s="51">
        <v>43853</v>
      </c>
      <c r="H323" s="46">
        <v>182.75862100000001</v>
      </c>
      <c r="I323" s="49" t="str">
        <f ca="1"/>
        <v>大木 優香</v>
      </c>
      <c r="J323" s="109" t="s">
        <v>185</v>
      </c>
      <c r="K323" s="49" t="s">
        <v>50</v>
      </c>
      <c r="L323" s="100" t="s">
        <v>51</v>
      </c>
      <c r="M323" s="107" t="s">
        <v>52</v>
      </c>
      <c r="N323" s="110" t="s">
        <v>186</v>
      </c>
    </row>
    <row r="324" spans="1:14" ht="16">
      <c r="A324" s="101" t="str">
        <f t="shared" si="0"/>
        <v>OK</v>
      </c>
      <c r="B324" s="49">
        <v>3706940</v>
      </c>
      <c r="C324" s="49" t="s">
        <v>439</v>
      </c>
      <c r="D324" s="49" t="s">
        <v>6</v>
      </c>
      <c r="E324" s="50">
        <v>7.0000000000000007E-2</v>
      </c>
      <c r="F324" s="108">
        <v>165</v>
      </c>
      <c r="G324" s="51">
        <v>43853</v>
      </c>
      <c r="H324" s="46">
        <v>182.75862100000001</v>
      </c>
      <c r="I324" s="49" t="str">
        <f ca="1"/>
        <v>大木 優香</v>
      </c>
      <c r="J324" s="109" t="s">
        <v>185</v>
      </c>
      <c r="K324" s="49" t="s">
        <v>50</v>
      </c>
      <c r="L324" s="100" t="s">
        <v>51</v>
      </c>
      <c r="M324" s="107" t="s">
        <v>52</v>
      </c>
      <c r="N324" s="110" t="s">
        <v>186</v>
      </c>
    </row>
    <row r="325" spans="1:14" ht="16">
      <c r="A325" s="101" t="str">
        <f t="shared" si="0"/>
        <v>OK</v>
      </c>
      <c r="B325" s="49">
        <v>3706941</v>
      </c>
      <c r="C325" s="49" t="s">
        <v>440</v>
      </c>
      <c r="D325" s="49" t="s">
        <v>6</v>
      </c>
      <c r="E325" s="50">
        <v>7.0000000000000007E-2</v>
      </c>
      <c r="F325" s="108">
        <v>0</v>
      </c>
      <c r="G325" s="51">
        <v>43853</v>
      </c>
      <c r="H325" s="46">
        <v>182.75862100000001</v>
      </c>
      <c r="I325" s="49" t="str">
        <f ca="1"/>
        <v>大木 優香</v>
      </c>
      <c r="J325" s="109" t="s">
        <v>185</v>
      </c>
      <c r="K325" s="49" t="s">
        <v>50</v>
      </c>
      <c r="L325" s="100" t="s">
        <v>51</v>
      </c>
      <c r="M325" s="107" t="s">
        <v>52</v>
      </c>
      <c r="N325" s="110" t="s">
        <v>186</v>
      </c>
    </row>
    <row r="326" spans="1:14" ht="16">
      <c r="A326" s="101" t="str">
        <f t="shared" si="0"/>
        <v>OK</v>
      </c>
      <c r="B326" s="49">
        <v>3706942</v>
      </c>
      <c r="C326" s="49" t="s">
        <v>441</v>
      </c>
      <c r="D326" s="49" t="s">
        <v>6</v>
      </c>
      <c r="E326" s="50">
        <v>7.0000000000000007E-2</v>
      </c>
      <c r="F326" s="108">
        <v>0</v>
      </c>
      <c r="G326" s="51">
        <v>43853</v>
      </c>
      <c r="H326" s="46">
        <v>182.75862100000001</v>
      </c>
      <c r="I326" s="49" t="str">
        <f ca="1"/>
        <v>大木 優香</v>
      </c>
      <c r="J326" s="109" t="s">
        <v>185</v>
      </c>
      <c r="K326" s="49" t="s">
        <v>50</v>
      </c>
      <c r="L326" s="100" t="s">
        <v>51</v>
      </c>
      <c r="M326" s="107" t="s">
        <v>52</v>
      </c>
      <c r="N326" s="110" t="s">
        <v>186</v>
      </c>
    </row>
    <row r="327" spans="1:14" ht="16">
      <c r="A327" s="101" t="str">
        <f t="shared" si="0"/>
        <v>OK</v>
      </c>
      <c r="B327" s="49">
        <v>3706943</v>
      </c>
      <c r="C327" s="49" t="s">
        <v>442</v>
      </c>
      <c r="D327" s="49" t="s">
        <v>6</v>
      </c>
      <c r="E327" s="50">
        <v>7.0000000000000007E-2</v>
      </c>
      <c r="F327" s="108">
        <v>0</v>
      </c>
      <c r="G327" s="51">
        <v>43853</v>
      </c>
      <c r="H327" s="46">
        <v>182.75862100000001</v>
      </c>
      <c r="I327" s="49" t="str">
        <f ca="1"/>
        <v>大木 優香</v>
      </c>
      <c r="J327" s="109" t="s">
        <v>185</v>
      </c>
      <c r="K327" s="49" t="s">
        <v>50</v>
      </c>
      <c r="L327" s="100" t="s">
        <v>51</v>
      </c>
      <c r="M327" s="107" t="s">
        <v>52</v>
      </c>
      <c r="N327" s="110" t="s">
        <v>186</v>
      </c>
    </row>
    <row r="328" spans="1:14" ht="16">
      <c r="A328" s="101" t="str">
        <f t="shared" si="0"/>
        <v>OK</v>
      </c>
      <c r="B328" s="49">
        <v>3706945</v>
      </c>
      <c r="C328" s="49" t="s">
        <v>443</v>
      </c>
      <c r="D328" s="49" t="s">
        <v>6</v>
      </c>
      <c r="E328" s="50">
        <v>7.0000000000000007E-2</v>
      </c>
      <c r="F328" s="108">
        <v>0</v>
      </c>
      <c r="G328" s="51">
        <v>43853</v>
      </c>
      <c r="H328" s="46">
        <v>182.75862100000001</v>
      </c>
      <c r="I328" s="49" t="str">
        <f ca="1"/>
        <v>大木 優香</v>
      </c>
      <c r="J328" s="109" t="s">
        <v>185</v>
      </c>
      <c r="K328" s="49" t="s">
        <v>50</v>
      </c>
      <c r="L328" s="100" t="s">
        <v>51</v>
      </c>
      <c r="M328" s="107" t="s">
        <v>52</v>
      </c>
      <c r="N328" s="110" t="s">
        <v>186</v>
      </c>
    </row>
    <row r="329" spans="1:14" ht="16">
      <c r="A329" s="101" t="str">
        <f t="shared" si="0"/>
        <v>OK</v>
      </c>
      <c r="B329" s="49">
        <v>3706947</v>
      </c>
      <c r="C329" s="49" t="s">
        <v>444</v>
      </c>
      <c r="D329" s="49" t="s">
        <v>6</v>
      </c>
      <c r="E329" s="50">
        <v>7.0000000000000007E-2</v>
      </c>
      <c r="F329" s="108">
        <v>0</v>
      </c>
      <c r="G329" s="51">
        <v>43853</v>
      </c>
      <c r="H329" s="46">
        <v>182.75862100000001</v>
      </c>
      <c r="I329" s="49" t="str">
        <f ca="1"/>
        <v>大木 優香</v>
      </c>
      <c r="J329" s="109" t="s">
        <v>185</v>
      </c>
      <c r="K329" s="49" t="s">
        <v>50</v>
      </c>
      <c r="L329" s="100" t="s">
        <v>51</v>
      </c>
      <c r="M329" s="107" t="s">
        <v>52</v>
      </c>
      <c r="N329" s="110" t="s">
        <v>186</v>
      </c>
    </row>
    <row r="330" spans="1:14" ht="16">
      <c r="A330" s="101" t="str">
        <f t="shared" si="0"/>
        <v>OK</v>
      </c>
      <c r="B330" s="49">
        <v>3706948</v>
      </c>
      <c r="C330" s="49" t="s">
        <v>445</v>
      </c>
      <c r="D330" s="49" t="s">
        <v>6</v>
      </c>
      <c r="E330" s="50">
        <v>7.0000000000000007E-2</v>
      </c>
      <c r="F330" s="108">
        <v>0</v>
      </c>
      <c r="G330" s="51">
        <v>43853</v>
      </c>
      <c r="H330" s="46">
        <v>182.75862100000001</v>
      </c>
      <c r="I330" s="49" t="str">
        <f ca="1"/>
        <v>大木 優香</v>
      </c>
      <c r="J330" s="109" t="s">
        <v>185</v>
      </c>
      <c r="K330" s="49" t="s">
        <v>50</v>
      </c>
      <c r="L330" s="100" t="s">
        <v>51</v>
      </c>
      <c r="M330" s="107" t="s">
        <v>52</v>
      </c>
      <c r="N330" s="110" t="s">
        <v>186</v>
      </c>
    </row>
    <row r="331" spans="1:14" ht="16">
      <c r="A331" s="101" t="str">
        <f t="shared" si="0"/>
        <v>OK</v>
      </c>
      <c r="B331" s="49">
        <v>3706949</v>
      </c>
      <c r="C331" s="49" t="s">
        <v>446</v>
      </c>
      <c r="D331" s="49" t="s">
        <v>6</v>
      </c>
      <c r="E331" s="50">
        <v>7.0000000000000007E-2</v>
      </c>
      <c r="F331" s="108">
        <v>0</v>
      </c>
      <c r="G331" s="51">
        <v>43853</v>
      </c>
      <c r="H331" s="46">
        <v>182.75862100000001</v>
      </c>
      <c r="I331" s="49" t="str">
        <f ca="1"/>
        <v>大木 優香</v>
      </c>
      <c r="J331" s="109" t="s">
        <v>185</v>
      </c>
      <c r="K331" s="49" t="s">
        <v>50</v>
      </c>
      <c r="L331" s="100" t="s">
        <v>51</v>
      </c>
      <c r="M331" s="107" t="s">
        <v>52</v>
      </c>
      <c r="N331" s="110" t="s">
        <v>186</v>
      </c>
    </row>
    <row r="332" spans="1:14" ht="16">
      <c r="A332" s="101" t="str">
        <f t="shared" si="0"/>
        <v>OK</v>
      </c>
      <c r="B332" s="49">
        <v>3706950</v>
      </c>
      <c r="C332" s="49" t="s">
        <v>447</v>
      </c>
      <c r="D332" s="49" t="s">
        <v>6</v>
      </c>
      <c r="E332" s="50">
        <v>7.0000000000000007E-2</v>
      </c>
      <c r="F332" s="108">
        <v>11</v>
      </c>
      <c r="G332" s="51">
        <v>43853</v>
      </c>
      <c r="H332" s="46">
        <v>182.75862100000001</v>
      </c>
      <c r="I332" s="49" t="str">
        <f ca="1"/>
        <v>大木 優香</v>
      </c>
      <c r="J332" s="109" t="s">
        <v>185</v>
      </c>
      <c r="K332" s="49" t="s">
        <v>50</v>
      </c>
      <c r="L332" s="100" t="s">
        <v>51</v>
      </c>
      <c r="M332" s="107" t="s">
        <v>52</v>
      </c>
      <c r="N332" s="110" t="s">
        <v>186</v>
      </c>
    </row>
    <row r="333" spans="1:14" ht="16">
      <c r="A333" s="101" t="str">
        <f t="shared" si="0"/>
        <v>OK</v>
      </c>
      <c r="B333" s="49">
        <v>3706951</v>
      </c>
      <c r="C333" s="49" t="s">
        <v>448</v>
      </c>
      <c r="D333" s="49" t="s">
        <v>6</v>
      </c>
      <c r="E333" s="50">
        <v>7.0000000000000007E-2</v>
      </c>
      <c r="F333" s="108">
        <v>0</v>
      </c>
      <c r="G333" s="51">
        <v>43853</v>
      </c>
      <c r="H333" s="46">
        <v>182.75862100000001</v>
      </c>
      <c r="I333" s="49" t="str">
        <f ca="1"/>
        <v>大木 優香</v>
      </c>
      <c r="J333" s="109" t="s">
        <v>185</v>
      </c>
      <c r="K333" s="49" t="s">
        <v>50</v>
      </c>
      <c r="L333" s="100" t="s">
        <v>51</v>
      </c>
      <c r="M333" s="107" t="s">
        <v>52</v>
      </c>
      <c r="N333" s="110" t="s">
        <v>186</v>
      </c>
    </row>
    <row r="334" spans="1:14" ht="16">
      <c r="A334" s="101" t="str">
        <f t="shared" si="0"/>
        <v>OK</v>
      </c>
      <c r="B334" s="49">
        <v>3706952</v>
      </c>
      <c r="C334" s="49" t="s">
        <v>449</v>
      </c>
      <c r="D334" s="49" t="s">
        <v>6</v>
      </c>
      <c r="E334" s="50">
        <v>7.0000000000000007E-2</v>
      </c>
      <c r="F334" s="108">
        <v>0</v>
      </c>
      <c r="G334" s="51">
        <v>43853</v>
      </c>
      <c r="H334" s="46">
        <v>182.75862100000001</v>
      </c>
      <c r="I334" s="49" t="str">
        <f ca="1"/>
        <v>大木 優香</v>
      </c>
      <c r="J334" s="109" t="s">
        <v>185</v>
      </c>
      <c r="K334" s="49" t="s">
        <v>50</v>
      </c>
      <c r="L334" s="100" t="s">
        <v>51</v>
      </c>
      <c r="M334" s="107" t="s">
        <v>52</v>
      </c>
      <c r="N334" s="110" t="s">
        <v>186</v>
      </c>
    </row>
    <row r="335" spans="1:14" ht="16">
      <c r="A335" s="101" t="str">
        <f t="shared" si="0"/>
        <v>OK</v>
      </c>
      <c r="B335" s="49">
        <v>3706953</v>
      </c>
      <c r="C335" s="49" t="s">
        <v>450</v>
      </c>
      <c r="D335" s="49" t="s">
        <v>6</v>
      </c>
      <c r="E335" s="50">
        <v>7.0000000000000007E-2</v>
      </c>
      <c r="F335" s="108">
        <v>0</v>
      </c>
      <c r="G335" s="51">
        <v>43853</v>
      </c>
      <c r="H335" s="46">
        <v>182.75862100000001</v>
      </c>
      <c r="I335" s="49" t="str">
        <f ca="1"/>
        <v>大木 優香</v>
      </c>
      <c r="J335" s="109" t="s">
        <v>185</v>
      </c>
      <c r="K335" s="49" t="s">
        <v>50</v>
      </c>
      <c r="L335" s="100" t="s">
        <v>51</v>
      </c>
      <c r="M335" s="107" t="s">
        <v>52</v>
      </c>
      <c r="N335" s="110" t="s">
        <v>186</v>
      </c>
    </row>
    <row r="336" spans="1:14" ht="16">
      <c r="A336" s="101" t="str">
        <f t="shared" si="0"/>
        <v>OK</v>
      </c>
      <c r="B336" s="49">
        <v>3706954</v>
      </c>
      <c r="C336" s="49" t="s">
        <v>451</v>
      </c>
      <c r="D336" s="49" t="s">
        <v>6</v>
      </c>
      <c r="E336" s="50">
        <v>7.0000000000000007E-2</v>
      </c>
      <c r="F336" s="108">
        <v>0</v>
      </c>
      <c r="G336" s="51">
        <v>43853</v>
      </c>
      <c r="H336" s="46">
        <v>182.75862100000001</v>
      </c>
      <c r="I336" s="49" t="str">
        <f ca="1"/>
        <v>大木 優香</v>
      </c>
      <c r="J336" s="109" t="s">
        <v>185</v>
      </c>
      <c r="K336" s="49" t="s">
        <v>50</v>
      </c>
      <c r="L336" s="100" t="s">
        <v>51</v>
      </c>
      <c r="M336" s="107" t="s">
        <v>52</v>
      </c>
      <c r="N336" s="110" t="s">
        <v>186</v>
      </c>
    </row>
    <row r="337" spans="1:14" ht="16">
      <c r="A337" s="101" t="str">
        <f t="shared" si="0"/>
        <v>OK</v>
      </c>
      <c r="B337" s="49">
        <v>108542</v>
      </c>
      <c r="C337" s="49" t="s">
        <v>452</v>
      </c>
      <c r="D337" s="49" t="s">
        <v>6</v>
      </c>
      <c r="E337" s="50">
        <v>4.5999999999999999E-2</v>
      </c>
      <c r="F337" s="108">
        <v>19</v>
      </c>
      <c r="G337" s="51">
        <v>43862</v>
      </c>
      <c r="H337" s="46">
        <v>519</v>
      </c>
      <c r="I337" s="49" t="str">
        <f ca="1"/>
        <v>稲場 勇介</v>
      </c>
      <c r="J337" s="109" t="s">
        <v>453</v>
      </c>
      <c r="K337" s="49" t="s">
        <v>50</v>
      </c>
      <c r="L337" s="100" t="s">
        <v>51</v>
      </c>
      <c r="M337" s="107" t="s">
        <v>52</v>
      </c>
    </row>
    <row r="338" spans="1:14" ht="16">
      <c r="A338" s="101" t="str">
        <f t="shared" si="0"/>
        <v>OK</v>
      </c>
      <c r="B338" s="49">
        <v>108543</v>
      </c>
      <c r="C338" s="49" t="s">
        <v>454</v>
      </c>
      <c r="D338" s="49" t="s">
        <v>6</v>
      </c>
      <c r="E338" s="50">
        <v>4.5999999999999999E-2</v>
      </c>
      <c r="F338" s="108">
        <v>24</v>
      </c>
      <c r="G338" s="51">
        <v>43862</v>
      </c>
      <c r="H338" s="46">
        <v>588</v>
      </c>
      <c r="I338" s="49" t="str">
        <f ca="1"/>
        <v>稲場 勇介</v>
      </c>
      <c r="J338" s="109" t="s">
        <v>453</v>
      </c>
      <c r="K338" s="49" t="s">
        <v>50</v>
      </c>
      <c r="L338" s="100" t="s">
        <v>51</v>
      </c>
      <c r="M338" s="107" t="s">
        <v>52</v>
      </c>
    </row>
    <row r="339" spans="1:14" ht="16">
      <c r="A339" s="101" t="str">
        <f t="shared" si="0"/>
        <v>OK</v>
      </c>
      <c r="B339" s="49">
        <v>110583</v>
      </c>
      <c r="C339" s="49" t="s">
        <v>455</v>
      </c>
      <c r="D339" s="49" t="s">
        <v>6</v>
      </c>
      <c r="E339" s="50">
        <v>4.5999999999999999E-2</v>
      </c>
      <c r="F339" s="108">
        <v>19</v>
      </c>
      <c r="G339" s="51">
        <v>43862</v>
      </c>
      <c r="H339" s="46">
        <v>569</v>
      </c>
      <c r="I339" s="49" t="str">
        <f ca="1"/>
        <v>稲場 勇介</v>
      </c>
      <c r="J339" s="109" t="s">
        <v>453</v>
      </c>
      <c r="K339" s="49" t="s">
        <v>50</v>
      </c>
      <c r="L339" s="100" t="s">
        <v>51</v>
      </c>
      <c r="M339" s="107" t="s">
        <v>52</v>
      </c>
    </row>
    <row r="340" spans="1:14" ht="16">
      <c r="A340" s="101" t="str">
        <f t="shared" si="0"/>
        <v>OK</v>
      </c>
      <c r="B340" s="49">
        <v>115063</v>
      </c>
      <c r="C340" s="49" t="s">
        <v>456</v>
      </c>
      <c r="D340" s="49" t="s">
        <v>6</v>
      </c>
      <c r="E340" s="50">
        <v>4.5999999999999999E-2</v>
      </c>
      <c r="F340" s="108">
        <v>21</v>
      </c>
      <c r="G340" s="51">
        <v>43862</v>
      </c>
      <c r="H340" s="46">
        <v>369</v>
      </c>
      <c r="I340" s="49" t="str">
        <f ca="1"/>
        <v>稲場 勇介</v>
      </c>
      <c r="J340" s="109" t="s">
        <v>453</v>
      </c>
      <c r="K340" s="49" t="s">
        <v>50</v>
      </c>
      <c r="L340" s="100" t="s">
        <v>51</v>
      </c>
      <c r="M340" s="107" t="s">
        <v>52</v>
      </c>
    </row>
    <row r="341" spans="1:14" ht="16">
      <c r="A341" s="101" t="str">
        <f t="shared" si="0"/>
        <v>OK</v>
      </c>
      <c r="B341" s="49">
        <v>121966</v>
      </c>
      <c r="C341" s="49" t="s">
        <v>457</v>
      </c>
      <c r="D341" s="49" t="s">
        <v>6</v>
      </c>
      <c r="E341" s="50">
        <v>4.5999999999999999E-2</v>
      </c>
      <c r="F341" s="108">
        <v>33</v>
      </c>
      <c r="G341" s="51">
        <v>43862</v>
      </c>
      <c r="H341" s="46">
        <v>555</v>
      </c>
      <c r="I341" s="49" t="str">
        <f ca="1"/>
        <v>稲場 勇介</v>
      </c>
      <c r="J341" s="109" t="s">
        <v>453</v>
      </c>
      <c r="K341" s="49" t="s">
        <v>50</v>
      </c>
      <c r="L341" s="100" t="s">
        <v>51</v>
      </c>
      <c r="M341" s="107" t="s">
        <v>52</v>
      </c>
    </row>
    <row r="342" spans="1:14" ht="16">
      <c r="A342" s="101" t="str">
        <f t="shared" si="0"/>
        <v>OK</v>
      </c>
      <c r="B342" s="49">
        <v>126709</v>
      </c>
      <c r="C342" s="49" t="s">
        <v>458</v>
      </c>
      <c r="D342" s="49" t="s">
        <v>6</v>
      </c>
      <c r="E342" s="50">
        <v>4.5999999999999999E-2</v>
      </c>
      <c r="F342" s="108">
        <v>23</v>
      </c>
      <c r="G342" s="51">
        <v>43862</v>
      </c>
      <c r="H342" s="46">
        <v>327</v>
      </c>
      <c r="I342" s="49" t="str">
        <f ca="1"/>
        <v>稲場 勇介</v>
      </c>
      <c r="J342" s="109" t="s">
        <v>453</v>
      </c>
      <c r="K342" s="49" t="s">
        <v>50</v>
      </c>
      <c r="L342" s="100" t="s">
        <v>51</v>
      </c>
      <c r="M342" s="107" t="s">
        <v>52</v>
      </c>
    </row>
    <row r="343" spans="1:14" ht="16">
      <c r="A343" s="101" t="str">
        <f t="shared" si="0"/>
        <v>OK</v>
      </c>
      <c r="B343" s="49">
        <v>126710</v>
      </c>
      <c r="C343" s="49" t="s">
        <v>459</v>
      </c>
      <c r="D343" s="49" t="s">
        <v>6</v>
      </c>
      <c r="E343" s="50">
        <v>4.5999999999999999E-2</v>
      </c>
      <c r="F343" s="108">
        <v>31</v>
      </c>
      <c r="G343" s="51">
        <v>43862</v>
      </c>
      <c r="H343" s="46">
        <v>506</v>
      </c>
      <c r="I343" s="49" t="str">
        <f ca="1"/>
        <v>稲場 勇介</v>
      </c>
      <c r="J343" s="109" t="s">
        <v>453</v>
      </c>
      <c r="K343" s="49" t="s">
        <v>50</v>
      </c>
      <c r="L343" s="100" t="s">
        <v>51</v>
      </c>
      <c r="M343" s="107" t="s">
        <v>52</v>
      </c>
    </row>
    <row r="344" spans="1:14" ht="16">
      <c r="A344" s="101" t="str">
        <f t="shared" si="0"/>
        <v>OK</v>
      </c>
      <c r="B344" s="49">
        <v>139886</v>
      </c>
      <c r="C344" s="49" t="s">
        <v>460</v>
      </c>
      <c r="D344" s="49" t="s">
        <v>6</v>
      </c>
      <c r="E344" s="50">
        <v>4.5999999999999999E-2</v>
      </c>
      <c r="F344" s="108">
        <v>17</v>
      </c>
      <c r="G344" s="51">
        <v>43862</v>
      </c>
      <c r="H344" s="46">
        <v>553</v>
      </c>
      <c r="I344" s="49" t="str">
        <f ca="1"/>
        <v>稲場 勇介</v>
      </c>
      <c r="J344" s="109" t="s">
        <v>453</v>
      </c>
      <c r="K344" s="49" t="s">
        <v>50</v>
      </c>
      <c r="L344" s="100" t="s">
        <v>51</v>
      </c>
      <c r="M344" s="107" t="s">
        <v>52</v>
      </c>
    </row>
    <row r="345" spans="1:14" ht="16">
      <c r="A345" s="101" t="str">
        <f t="shared" si="0"/>
        <v>OK</v>
      </c>
      <c r="B345" s="49">
        <v>123363</v>
      </c>
      <c r="C345" s="49" t="s">
        <v>461</v>
      </c>
      <c r="D345" s="49" t="s">
        <v>7</v>
      </c>
      <c r="E345" s="50">
        <v>8.5000000000000006E-2</v>
      </c>
      <c r="F345" s="108">
        <v>39</v>
      </c>
      <c r="G345" s="51">
        <v>43862</v>
      </c>
      <c r="H345" s="46">
        <v>0</v>
      </c>
      <c r="I345" s="49" t="str">
        <f ca="1"/>
        <v>村上 浩一朗</v>
      </c>
      <c r="J345" s="109" t="s">
        <v>78</v>
      </c>
      <c r="K345" s="49" t="s">
        <v>50</v>
      </c>
      <c r="L345" s="100" t="s">
        <v>51</v>
      </c>
      <c r="M345" s="107" t="s">
        <v>52</v>
      </c>
    </row>
    <row r="346" spans="1:14" ht="16">
      <c r="A346" s="101" t="str">
        <f t="shared" si="0"/>
        <v>OK</v>
      </c>
      <c r="B346" s="49">
        <v>126150</v>
      </c>
      <c r="C346" s="49" t="s">
        <v>462</v>
      </c>
      <c r="D346" s="49" t="s">
        <v>7</v>
      </c>
      <c r="E346" s="50">
        <v>8.5000000000000006E-2</v>
      </c>
      <c r="F346" s="108">
        <v>97</v>
      </c>
      <c r="G346" s="51">
        <v>43862</v>
      </c>
      <c r="H346" s="46">
        <v>0</v>
      </c>
      <c r="I346" s="49" t="str">
        <f ca="1"/>
        <v>村上 浩一朗</v>
      </c>
      <c r="J346" s="109" t="s">
        <v>78</v>
      </c>
      <c r="K346" s="49" t="s">
        <v>50</v>
      </c>
      <c r="L346" s="100" t="s">
        <v>51</v>
      </c>
      <c r="M346" s="107" t="s">
        <v>52</v>
      </c>
    </row>
    <row r="347" spans="1:14" ht="16">
      <c r="A347" s="101" t="str">
        <f t="shared" si="0"/>
        <v>OK</v>
      </c>
      <c r="B347" s="49">
        <v>130160</v>
      </c>
      <c r="C347" s="49" t="s">
        <v>463</v>
      </c>
      <c r="D347" s="49" t="s">
        <v>7</v>
      </c>
      <c r="E347" s="50">
        <v>8.5000000000000006E-2</v>
      </c>
      <c r="F347" s="108">
        <v>152</v>
      </c>
      <c r="G347" s="51">
        <v>43862</v>
      </c>
      <c r="H347" s="46">
        <v>0</v>
      </c>
      <c r="I347" s="49" t="str">
        <f ca="1"/>
        <v>村上 浩一朗</v>
      </c>
      <c r="J347" s="109" t="s">
        <v>78</v>
      </c>
      <c r="K347" s="49" t="s">
        <v>50</v>
      </c>
      <c r="L347" s="100" t="s">
        <v>51</v>
      </c>
      <c r="M347" s="107" t="s">
        <v>52</v>
      </c>
    </row>
    <row r="348" spans="1:14" ht="16">
      <c r="A348" s="101" t="str">
        <f t="shared" si="0"/>
        <v>OK</v>
      </c>
      <c r="B348" s="49">
        <v>132505</v>
      </c>
      <c r="C348" s="49" t="s">
        <v>464</v>
      </c>
      <c r="D348" s="49" t="s">
        <v>7</v>
      </c>
      <c r="E348" s="50">
        <v>8.5000000000000006E-2</v>
      </c>
      <c r="F348" s="108">
        <v>126</v>
      </c>
      <c r="G348" s="51">
        <v>43862</v>
      </c>
      <c r="H348" s="46">
        <v>0</v>
      </c>
      <c r="I348" s="49" t="str">
        <f ca="1"/>
        <v>村上 浩一朗</v>
      </c>
      <c r="J348" s="109" t="s">
        <v>78</v>
      </c>
      <c r="K348" s="49" t="s">
        <v>50</v>
      </c>
      <c r="L348" s="100" t="s">
        <v>51</v>
      </c>
      <c r="M348" s="107" t="s">
        <v>52</v>
      </c>
    </row>
    <row r="349" spans="1:14" ht="16">
      <c r="A349" s="101" t="str">
        <f t="shared" si="0"/>
        <v>OK</v>
      </c>
      <c r="B349" s="49">
        <v>133341</v>
      </c>
      <c r="C349" s="49" t="s">
        <v>465</v>
      </c>
      <c r="D349" s="49" t="s">
        <v>7</v>
      </c>
      <c r="E349" s="50">
        <v>8.5000000000000006E-2</v>
      </c>
      <c r="F349" s="108">
        <v>108</v>
      </c>
      <c r="G349" s="51">
        <v>43862</v>
      </c>
      <c r="H349" s="46">
        <v>0</v>
      </c>
      <c r="I349" s="49" t="str">
        <f ca="1"/>
        <v>村上 浩一朗</v>
      </c>
      <c r="J349" s="109" t="s">
        <v>78</v>
      </c>
      <c r="K349" s="49" t="s">
        <v>50</v>
      </c>
      <c r="L349" s="100" t="s">
        <v>51</v>
      </c>
      <c r="M349" s="107" t="s">
        <v>52</v>
      </c>
    </row>
    <row r="350" spans="1:14" ht="16">
      <c r="A350" s="101" t="str">
        <f t="shared" si="0"/>
        <v>OK</v>
      </c>
      <c r="B350" s="49">
        <v>136844</v>
      </c>
      <c r="C350" s="49" t="s">
        <v>466</v>
      </c>
      <c r="D350" s="49" t="s">
        <v>7</v>
      </c>
      <c r="E350" s="50">
        <v>8.5000000000000006E-2</v>
      </c>
      <c r="F350" s="108">
        <v>96</v>
      </c>
      <c r="G350" s="51">
        <v>43862</v>
      </c>
      <c r="H350" s="46">
        <v>0</v>
      </c>
      <c r="I350" s="49" t="str">
        <f ca="1"/>
        <v>村上 浩一朗</v>
      </c>
      <c r="J350" s="109" t="s">
        <v>78</v>
      </c>
      <c r="K350" s="49" t="s">
        <v>50</v>
      </c>
      <c r="L350" s="100" t="s">
        <v>51</v>
      </c>
      <c r="M350" s="107" t="s">
        <v>52</v>
      </c>
    </row>
    <row r="351" spans="1:14" ht="16">
      <c r="A351" s="101" t="str">
        <f t="shared" si="0"/>
        <v>OK</v>
      </c>
      <c r="B351" s="49">
        <v>110588</v>
      </c>
      <c r="C351" s="49" t="s">
        <v>467</v>
      </c>
      <c r="D351" s="49" t="s">
        <v>7</v>
      </c>
      <c r="E351" s="50">
        <v>9.5000000000000001E-2</v>
      </c>
      <c r="F351" s="108">
        <v>0</v>
      </c>
      <c r="G351" s="51">
        <v>43862</v>
      </c>
      <c r="H351" s="46">
        <v>8000</v>
      </c>
      <c r="I351" s="49" t="str">
        <f ca="1"/>
        <v>栗原 大武</v>
      </c>
      <c r="J351" s="109" t="s">
        <v>159</v>
      </c>
      <c r="K351" s="49" t="s">
        <v>50</v>
      </c>
      <c r="L351" s="100" t="s">
        <v>51</v>
      </c>
      <c r="M351" s="107" t="s">
        <v>52</v>
      </c>
      <c r="N351" s="100" t="s">
        <v>469</v>
      </c>
    </row>
    <row r="352" spans="1:14" ht="16">
      <c r="A352" s="101" t="str">
        <f t="shared" si="0"/>
        <v>OK</v>
      </c>
      <c r="B352" s="49">
        <v>110589</v>
      </c>
      <c r="C352" s="49" t="s">
        <v>470</v>
      </c>
      <c r="D352" s="49" t="s">
        <v>7</v>
      </c>
      <c r="E352" s="50">
        <v>9.5000000000000001E-2</v>
      </c>
      <c r="F352" s="108">
        <v>0</v>
      </c>
      <c r="G352" s="51">
        <v>43862</v>
      </c>
      <c r="H352" s="46">
        <v>8000</v>
      </c>
      <c r="I352" s="49" t="str">
        <f ca="1"/>
        <v>栗原 大武</v>
      </c>
      <c r="J352" s="109" t="s">
        <v>159</v>
      </c>
      <c r="K352" s="49" t="s">
        <v>50</v>
      </c>
      <c r="L352" s="100" t="s">
        <v>51</v>
      </c>
      <c r="M352" s="107" t="s">
        <v>52</v>
      </c>
      <c r="N352" s="100" t="s">
        <v>469</v>
      </c>
    </row>
    <row r="353" spans="1:14" ht="16">
      <c r="A353" s="101" t="str">
        <f t="shared" si="0"/>
        <v>OK</v>
      </c>
      <c r="B353" s="49">
        <v>110590</v>
      </c>
      <c r="C353" s="49" t="s">
        <v>471</v>
      </c>
      <c r="D353" s="49" t="s">
        <v>7</v>
      </c>
      <c r="E353" s="50">
        <v>9.5000000000000001E-2</v>
      </c>
      <c r="F353" s="108">
        <v>1519</v>
      </c>
      <c r="G353" s="51">
        <v>43862</v>
      </c>
      <c r="H353" s="46">
        <v>8000</v>
      </c>
      <c r="I353" s="49" t="str">
        <f ca="1"/>
        <v>栗原 大武</v>
      </c>
      <c r="J353" s="109" t="s">
        <v>159</v>
      </c>
      <c r="K353" s="49" t="s">
        <v>50</v>
      </c>
      <c r="L353" s="100" t="s">
        <v>51</v>
      </c>
      <c r="M353" s="107" t="s">
        <v>52</v>
      </c>
      <c r="N353" s="100" t="s">
        <v>469</v>
      </c>
    </row>
    <row r="354" spans="1:14" ht="16">
      <c r="A354" s="101" t="str">
        <f t="shared" si="0"/>
        <v>OK</v>
      </c>
      <c r="B354" s="49">
        <v>110591</v>
      </c>
      <c r="C354" s="49" t="s">
        <v>472</v>
      </c>
      <c r="D354" s="49" t="s">
        <v>7</v>
      </c>
      <c r="E354" s="50">
        <v>9.5000000000000001E-2</v>
      </c>
      <c r="F354" s="108">
        <v>1738</v>
      </c>
      <c r="G354" s="51">
        <v>43862</v>
      </c>
      <c r="H354" s="46">
        <v>8000</v>
      </c>
      <c r="I354" s="49" t="str">
        <f ca="1"/>
        <v>栗原 大武</v>
      </c>
      <c r="J354" s="109" t="s">
        <v>159</v>
      </c>
      <c r="K354" s="49" t="s">
        <v>50</v>
      </c>
      <c r="L354" s="100" t="s">
        <v>51</v>
      </c>
      <c r="M354" s="107" t="s">
        <v>52</v>
      </c>
      <c r="N354" s="100" t="s">
        <v>469</v>
      </c>
    </row>
    <row r="355" spans="1:14" ht="16">
      <c r="A355" s="101" t="str">
        <f t="shared" si="0"/>
        <v>OK</v>
      </c>
      <c r="B355" s="49">
        <v>110592</v>
      </c>
      <c r="C355" s="49" t="s">
        <v>473</v>
      </c>
      <c r="D355" s="49" t="s">
        <v>7</v>
      </c>
      <c r="E355" s="50">
        <v>9.5000000000000001E-2</v>
      </c>
      <c r="F355" s="108">
        <v>971</v>
      </c>
      <c r="G355" s="51">
        <v>43862</v>
      </c>
      <c r="H355" s="46">
        <v>5000</v>
      </c>
      <c r="I355" s="49" t="str">
        <f ca="1"/>
        <v>栗原 大武</v>
      </c>
      <c r="J355" s="109" t="s">
        <v>159</v>
      </c>
      <c r="K355" s="49" t="s">
        <v>50</v>
      </c>
      <c r="L355" s="100" t="s">
        <v>51</v>
      </c>
      <c r="M355" s="107" t="s">
        <v>52</v>
      </c>
      <c r="N355" s="100" t="s">
        <v>469</v>
      </c>
    </row>
    <row r="356" spans="1:14" ht="16">
      <c r="A356" s="101" t="str">
        <f t="shared" si="0"/>
        <v>OK</v>
      </c>
      <c r="B356" s="49">
        <v>110593</v>
      </c>
      <c r="C356" s="49" t="s">
        <v>474</v>
      </c>
      <c r="D356" s="49" t="s">
        <v>7</v>
      </c>
      <c r="E356" s="50">
        <v>9.5000000000000001E-2</v>
      </c>
      <c r="F356" s="108">
        <v>252</v>
      </c>
      <c r="G356" s="51">
        <v>43862</v>
      </c>
      <c r="H356" s="46">
        <v>3000</v>
      </c>
      <c r="I356" s="49" t="str">
        <f ca="1"/>
        <v>栗原 大武</v>
      </c>
      <c r="J356" s="109" t="s">
        <v>159</v>
      </c>
      <c r="K356" s="49" t="s">
        <v>50</v>
      </c>
      <c r="L356" s="100" t="s">
        <v>51</v>
      </c>
      <c r="M356" s="107" t="s">
        <v>52</v>
      </c>
      <c r="N356" s="100" t="s">
        <v>469</v>
      </c>
    </row>
    <row r="357" spans="1:14" ht="16">
      <c r="A357" s="101" t="str">
        <f t="shared" si="0"/>
        <v>OK</v>
      </c>
      <c r="B357" s="49">
        <v>110594</v>
      </c>
      <c r="C357" s="49" t="s">
        <v>475</v>
      </c>
      <c r="D357" s="49" t="s">
        <v>7</v>
      </c>
      <c r="E357" s="50">
        <v>9.5000000000000001E-2</v>
      </c>
      <c r="F357" s="108">
        <v>0</v>
      </c>
      <c r="G357" s="51">
        <v>43862</v>
      </c>
      <c r="H357" s="46">
        <v>6000</v>
      </c>
      <c r="I357" s="49" t="str">
        <f ca="1"/>
        <v>栗原 大武</v>
      </c>
      <c r="J357" s="109" t="s">
        <v>159</v>
      </c>
      <c r="K357" s="49" t="s">
        <v>50</v>
      </c>
      <c r="L357" s="100" t="s">
        <v>51</v>
      </c>
      <c r="M357" s="107" t="s">
        <v>52</v>
      </c>
      <c r="N357" s="100" t="s">
        <v>469</v>
      </c>
    </row>
    <row r="358" spans="1:14" ht="16">
      <c r="A358" s="101" t="str">
        <f t="shared" si="0"/>
        <v>OK</v>
      </c>
      <c r="B358" s="49">
        <v>110595</v>
      </c>
      <c r="C358" s="49" t="s">
        <v>476</v>
      </c>
      <c r="D358" s="49" t="s">
        <v>7</v>
      </c>
      <c r="E358" s="50">
        <v>9.5000000000000001E-2</v>
      </c>
      <c r="F358" s="108">
        <v>1522</v>
      </c>
      <c r="G358" s="51">
        <v>43862</v>
      </c>
      <c r="H358" s="46">
        <v>8000</v>
      </c>
      <c r="I358" s="49" t="str">
        <f ca="1"/>
        <v>栗原 大武</v>
      </c>
      <c r="J358" s="109" t="s">
        <v>159</v>
      </c>
      <c r="K358" s="49" t="s">
        <v>50</v>
      </c>
      <c r="L358" s="100" t="s">
        <v>51</v>
      </c>
      <c r="M358" s="107" t="s">
        <v>52</v>
      </c>
      <c r="N358" s="100" t="s">
        <v>469</v>
      </c>
    </row>
    <row r="359" spans="1:14" ht="16">
      <c r="A359" s="101" t="str">
        <f t="shared" si="0"/>
        <v>OK</v>
      </c>
      <c r="B359" s="49">
        <v>110596</v>
      </c>
      <c r="C359" s="49" t="s">
        <v>477</v>
      </c>
      <c r="D359" s="49" t="s">
        <v>7</v>
      </c>
      <c r="E359" s="50">
        <v>9.5000000000000001E-2</v>
      </c>
      <c r="F359" s="108">
        <v>1428</v>
      </c>
      <c r="G359" s="51">
        <v>43862</v>
      </c>
      <c r="H359" s="46">
        <v>6000</v>
      </c>
      <c r="I359" s="49" t="str">
        <f ca="1"/>
        <v>栗原 大武</v>
      </c>
      <c r="J359" s="109" t="s">
        <v>159</v>
      </c>
      <c r="K359" s="49" t="s">
        <v>50</v>
      </c>
      <c r="L359" s="100" t="s">
        <v>51</v>
      </c>
      <c r="M359" s="107" t="s">
        <v>52</v>
      </c>
      <c r="N359" s="100" t="s">
        <v>469</v>
      </c>
    </row>
    <row r="360" spans="1:14" ht="16">
      <c r="A360" s="101" t="str">
        <f t="shared" si="0"/>
        <v>OK</v>
      </c>
      <c r="B360" s="49">
        <v>110598</v>
      </c>
      <c r="C360" s="49" t="s">
        <v>478</v>
      </c>
      <c r="D360" s="49" t="s">
        <v>7</v>
      </c>
      <c r="E360" s="50">
        <v>9.5000000000000001E-2</v>
      </c>
      <c r="F360" s="108">
        <v>976</v>
      </c>
      <c r="G360" s="51">
        <v>43862</v>
      </c>
      <c r="H360" s="46">
        <v>3000</v>
      </c>
      <c r="I360" s="49" t="str">
        <f ca="1"/>
        <v>栗原 大武</v>
      </c>
      <c r="J360" s="109" t="s">
        <v>159</v>
      </c>
      <c r="K360" s="49" t="s">
        <v>50</v>
      </c>
      <c r="L360" s="100" t="s">
        <v>51</v>
      </c>
      <c r="M360" s="107" t="s">
        <v>52</v>
      </c>
      <c r="N360" s="100" t="s">
        <v>469</v>
      </c>
    </row>
    <row r="361" spans="1:14" ht="16">
      <c r="A361" s="101" t="str">
        <f t="shared" si="0"/>
        <v>OK</v>
      </c>
      <c r="B361" s="49">
        <v>111203</v>
      </c>
      <c r="C361" s="49" t="s">
        <v>479</v>
      </c>
      <c r="D361" s="49" t="s">
        <v>7</v>
      </c>
      <c r="E361" s="50">
        <v>9.5000000000000001E-2</v>
      </c>
      <c r="F361" s="108">
        <v>1420</v>
      </c>
      <c r="G361" s="51">
        <v>43862</v>
      </c>
      <c r="H361" s="46">
        <v>5000</v>
      </c>
      <c r="I361" s="49" t="str">
        <f ca="1"/>
        <v>栗原 大武</v>
      </c>
      <c r="J361" s="109" t="s">
        <v>159</v>
      </c>
      <c r="K361" s="49" t="s">
        <v>50</v>
      </c>
      <c r="L361" s="100" t="s">
        <v>51</v>
      </c>
      <c r="M361" s="107" t="s">
        <v>52</v>
      </c>
      <c r="N361" s="100" t="s">
        <v>469</v>
      </c>
    </row>
    <row r="362" spans="1:14" ht="16">
      <c r="A362" s="101" t="str">
        <f t="shared" si="0"/>
        <v>OK</v>
      </c>
      <c r="B362" s="49">
        <v>111204</v>
      </c>
      <c r="C362" s="49" t="s">
        <v>480</v>
      </c>
      <c r="D362" s="49" t="s">
        <v>7</v>
      </c>
      <c r="E362" s="50">
        <v>9.5000000000000001E-2</v>
      </c>
      <c r="F362" s="108">
        <v>65</v>
      </c>
      <c r="G362" s="51">
        <v>43862</v>
      </c>
      <c r="H362" s="46">
        <v>800</v>
      </c>
      <c r="I362" s="49" t="str">
        <f ca="1"/>
        <v>栗原 大武</v>
      </c>
      <c r="J362" s="109" t="s">
        <v>159</v>
      </c>
      <c r="K362" s="49" t="s">
        <v>50</v>
      </c>
      <c r="L362" s="100" t="s">
        <v>51</v>
      </c>
      <c r="M362" s="107" t="s">
        <v>52</v>
      </c>
      <c r="N362" s="100" t="s">
        <v>469</v>
      </c>
    </row>
    <row r="363" spans="1:14" ht="16">
      <c r="A363" s="101" t="str">
        <f t="shared" si="0"/>
        <v>OK</v>
      </c>
      <c r="B363" s="49">
        <v>111205</v>
      </c>
      <c r="C363" s="49" t="s">
        <v>481</v>
      </c>
      <c r="D363" s="49" t="s">
        <v>7</v>
      </c>
      <c r="E363" s="50">
        <v>9.5000000000000001E-2</v>
      </c>
      <c r="F363" s="108">
        <v>1093</v>
      </c>
      <c r="G363" s="51">
        <v>43862</v>
      </c>
      <c r="H363" s="46">
        <v>5000</v>
      </c>
      <c r="I363" s="49" t="str">
        <f ca="1"/>
        <v>栗原 大武</v>
      </c>
      <c r="J363" s="109" t="s">
        <v>159</v>
      </c>
      <c r="K363" s="49" t="s">
        <v>50</v>
      </c>
      <c r="L363" s="100" t="s">
        <v>51</v>
      </c>
      <c r="M363" s="107" t="s">
        <v>52</v>
      </c>
      <c r="N363" s="100" t="s">
        <v>469</v>
      </c>
    </row>
    <row r="364" spans="1:14" ht="16">
      <c r="A364" s="101" t="str">
        <f t="shared" si="0"/>
        <v>OK</v>
      </c>
      <c r="B364" s="49">
        <v>111604</v>
      </c>
      <c r="C364" s="49" t="s">
        <v>482</v>
      </c>
      <c r="D364" s="49" t="s">
        <v>7</v>
      </c>
      <c r="E364" s="50">
        <v>9.5000000000000001E-2</v>
      </c>
      <c r="F364" s="108">
        <v>225</v>
      </c>
      <c r="G364" s="51">
        <v>43862</v>
      </c>
      <c r="H364" s="46">
        <v>1500</v>
      </c>
      <c r="I364" s="49" t="str">
        <f ca="1"/>
        <v>栗原 大武</v>
      </c>
      <c r="J364" s="109" t="s">
        <v>159</v>
      </c>
      <c r="K364" s="49" t="s">
        <v>50</v>
      </c>
      <c r="L364" s="100" t="s">
        <v>51</v>
      </c>
      <c r="M364" s="107" t="s">
        <v>52</v>
      </c>
      <c r="N364" s="100" t="s">
        <v>469</v>
      </c>
    </row>
    <row r="365" spans="1:14" ht="16">
      <c r="A365" s="101" t="str">
        <f t="shared" si="0"/>
        <v>OK</v>
      </c>
      <c r="B365" s="49">
        <v>111605</v>
      </c>
      <c r="C365" s="49" t="s">
        <v>483</v>
      </c>
      <c r="D365" s="49" t="s">
        <v>7</v>
      </c>
      <c r="E365" s="50">
        <v>9.5000000000000001E-2</v>
      </c>
      <c r="F365" s="108">
        <v>160</v>
      </c>
      <c r="G365" s="51">
        <v>43862</v>
      </c>
      <c r="H365" s="46">
        <v>1500</v>
      </c>
      <c r="I365" s="49" t="str">
        <f ca="1"/>
        <v>栗原 大武</v>
      </c>
      <c r="J365" s="109" t="s">
        <v>159</v>
      </c>
      <c r="K365" s="49" t="s">
        <v>50</v>
      </c>
      <c r="L365" s="100" t="s">
        <v>51</v>
      </c>
      <c r="M365" s="107" t="s">
        <v>52</v>
      </c>
      <c r="N365" s="100" t="s">
        <v>469</v>
      </c>
    </row>
    <row r="366" spans="1:14" ht="16">
      <c r="A366" s="101" t="str">
        <f t="shared" si="0"/>
        <v>OK</v>
      </c>
      <c r="B366" s="49">
        <v>117101</v>
      </c>
      <c r="C366" s="49" t="s">
        <v>484</v>
      </c>
      <c r="D366" s="49" t="s">
        <v>7</v>
      </c>
      <c r="E366" s="50">
        <v>9.5000000000000001E-2</v>
      </c>
      <c r="F366" s="108">
        <v>726</v>
      </c>
      <c r="G366" s="51">
        <v>43862</v>
      </c>
      <c r="H366" s="46">
        <v>2000</v>
      </c>
      <c r="I366" s="49" t="str">
        <f ca="1"/>
        <v>栗原 大武</v>
      </c>
      <c r="J366" s="109" t="s">
        <v>159</v>
      </c>
      <c r="K366" s="49" t="s">
        <v>50</v>
      </c>
      <c r="L366" s="100" t="s">
        <v>51</v>
      </c>
      <c r="M366" s="107" t="s">
        <v>52</v>
      </c>
      <c r="N366" s="100" t="s">
        <v>469</v>
      </c>
    </row>
    <row r="367" spans="1:14" ht="16">
      <c r="A367" s="101" t="str">
        <f t="shared" si="0"/>
        <v>OK</v>
      </c>
      <c r="B367" s="49">
        <v>117102</v>
      </c>
      <c r="C367" s="49" t="s">
        <v>485</v>
      </c>
      <c r="D367" s="49" t="s">
        <v>7</v>
      </c>
      <c r="E367" s="50">
        <v>9.5000000000000001E-2</v>
      </c>
      <c r="F367" s="108">
        <v>1476</v>
      </c>
      <c r="G367" s="51">
        <v>43862</v>
      </c>
      <c r="H367" s="46">
        <v>7000</v>
      </c>
      <c r="I367" s="49" t="str">
        <f ca="1"/>
        <v>栗原 大武</v>
      </c>
      <c r="J367" s="109" t="s">
        <v>159</v>
      </c>
      <c r="K367" s="49" t="s">
        <v>50</v>
      </c>
      <c r="L367" s="100" t="s">
        <v>51</v>
      </c>
      <c r="M367" s="107" t="s">
        <v>52</v>
      </c>
      <c r="N367" s="100" t="s">
        <v>469</v>
      </c>
    </row>
    <row r="368" spans="1:14" ht="16">
      <c r="A368" s="101" t="str">
        <f t="shared" si="0"/>
        <v>OK</v>
      </c>
      <c r="B368" s="49">
        <v>117103</v>
      </c>
      <c r="C368" s="49" t="s">
        <v>486</v>
      </c>
      <c r="D368" s="49" t="s">
        <v>7</v>
      </c>
      <c r="E368" s="50">
        <v>9.5000000000000001E-2</v>
      </c>
      <c r="F368" s="108">
        <v>1430</v>
      </c>
      <c r="G368" s="51">
        <v>43862</v>
      </c>
      <c r="H368" s="46">
        <v>5000</v>
      </c>
      <c r="I368" s="49" t="str">
        <f ca="1"/>
        <v>栗原 大武</v>
      </c>
      <c r="J368" s="109" t="s">
        <v>159</v>
      </c>
      <c r="K368" s="49" t="s">
        <v>50</v>
      </c>
      <c r="L368" s="100" t="s">
        <v>51</v>
      </c>
      <c r="M368" s="107" t="s">
        <v>52</v>
      </c>
      <c r="N368" s="100" t="s">
        <v>469</v>
      </c>
    </row>
    <row r="369" spans="1:14" ht="16">
      <c r="A369" s="101" t="str">
        <f t="shared" si="0"/>
        <v>OK</v>
      </c>
      <c r="B369" s="49">
        <v>117104</v>
      </c>
      <c r="C369" s="49" t="s">
        <v>487</v>
      </c>
      <c r="D369" s="49" t="s">
        <v>7</v>
      </c>
      <c r="E369" s="50">
        <v>9.5000000000000001E-2</v>
      </c>
      <c r="F369" s="108">
        <v>664</v>
      </c>
      <c r="G369" s="51">
        <v>43862</v>
      </c>
      <c r="H369" s="46">
        <v>3000</v>
      </c>
      <c r="I369" s="49" t="str">
        <f ca="1"/>
        <v>栗原 大武</v>
      </c>
      <c r="J369" s="109" t="s">
        <v>159</v>
      </c>
      <c r="K369" s="49" t="s">
        <v>50</v>
      </c>
      <c r="L369" s="100" t="s">
        <v>51</v>
      </c>
      <c r="M369" s="107" t="s">
        <v>52</v>
      </c>
      <c r="N369" s="100" t="s">
        <v>469</v>
      </c>
    </row>
    <row r="370" spans="1:14" ht="16">
      <c r="A370" s="101" t="str">
        <f t="shared" si="0"/>
        <v>OK</v>
      </c>
      <c r="B370" s="49">
        <v>117105</v>
      </c>
      <c r="C370" s="49" t="s">
        <v>488</v>
      </c>
      <c r="D370" s="49" t="s">
        <v>7</v>
      </c>
      <c r="E370" s="50">
        <v>9.5000000000000001E-2</v>
      </c>
      <c r="F370" s="108">
        <v>1287</v>
      </c>
      <c r="G370" s="51">
        <v>43862</v>
      </c>
      <c r="H370" s="46">
        <v>5000</v>
      </c>
      <c r="I370" s="49" t="str">
        <f ca="1"/>
        <v>栗原 大武</v>
      </c>
      <c r="J370" s="109" t="s">
        <v>159</v>
      </c>
      <c r="K370" s="49" t="s">
        <v>50</v>
      </c>
      <c r="L370" s="100" t="s">
        <v>51</v>
      </c>
      <c r="M370" s="107" t="s">
        <v>52</v>
      </c>
      <c r="N370" s="100" t="s">
        <v>469</v>
      </c>
    </row>
    <row r="371" spans="1:14" ht="16">
      <c r="A371" s="101" t="str">
        <f t="shared" si="0"/>
        <v>OK</v>
      </c>
      <c r="B371" s="49">
        <v>117106</v>
      </c>
      <c r="C371" s="49" t="s">
        <v>489</v>
      </c>
      <c r="D371" s="49" t="s">
        <v>7</v>
      </c>
      <c r="E371" s="50">
        <v>9.5000000000000001E-2</v>
      </c>
      <c r="F371" s="108">
        <v>888</v>
      </c>
      <c r="G371" s="51">
        <v>43862</v>
      </c>
      <c r="H371" s="46">
        <v>5000</v>
      </c>
      <c r="I371" s="49" t="str">
        <f ca="1"/>
        <v>栗原 大武</v>
      </c>
      <c r="J371" s="109" t="s">
        <v>159</v>
      </c>
      <c r="K371" s="49" t="s">
        <v>50</v>
      </c>
      <c r="L371" s="100" t="s">
        <v>51</v>
      </c>
      <c r="M371" s="107" t="s">
        <v>52</v>
      </c>
      <c r="N371" s="100" t="s">
        <v>469</v>
      </c>
    </row>
    <row r="372" spans="1:14" ht="16">
      <c r="A372" s="101" t="str">
        <f t="shared" si="0"/>
        <v>OK</v>
      </c>
      <c r="B372" s="49">
        <v>117107</v>
      </c>
      <c r="C372" s="49" t="s">
        <v>490</v>
      </c>
      <c r="D372" s="49" t="s">
        <v>7</v>
      </c>
      <c r="E372" s="50">
        <v>9.5000000000000001E-2</v>
      </c>
      <c r="F372" s="108">
        <v>1525</v>
      </c>
      <c r="G372" s="51">
        <v>43862</v>
      </c>
      <c r="H372" s="46">
        <v>8000</v>
      </c>
      <c r="I372" s="49" t="str">
        <f ca="1"/>
        <v>栗原 大武</v>
      </c>
      <c r="J372" s="109" t="s">
        <v>159</v>
      </c>
      <c r="K372" s="49" t="s">
        <v>50</v>
      </c>
      <c r="L372" s="100" t="s">
        <v>51</v>
      </c>
      <c r="M372" s="107" t="s">
        <v>52</v>
      </c>
      <c r="N372" s="100" t="s">
        <v>469</v>
      </c>
    </row>
    <row r="373" spans="1:14" ht="16">
      <c r="A373" s="101" t="str">
        <f t="shared" si="0"/>
        <v>OK</v>
      </c>
      <c r="B373" s="49">
        <v>117108</v>
      </c>
      <c r="C373" s="49" t="s">
        <v>491</v>
      </c>
      <c r="D373" s="49" t="s">
        <v>7</v>
      </c>
      <c r="E373" s="50">
        <v>9.5000000000000001E-2</v>
      </c>
      <c r="F373" s="108">
        <v>1431</v>
      </c>
      <c r="G373" s="51">
        <v>43862</v>
      </c>
      <c r="H373" s="46">
        <v>5000</v>
      </c>
      <c r="I373" s="49" t="str">
        <f ca="1"/>
        <v>栗原 大武</v>
      </c>
      <c r="J373" s="109" t="s">
        <v>159</v>
      </c>
      <c r="K373" s="49" t="s">
        <v>50</v>
      </c>
      <c r="L373" s="100" t="s">
        <v>51</v>
      </c>
      <c r="M373" s="107" t="s">
        <v>52</v>
      </c>
      <c r="N373" s="100" t="s">
        <v>469</v>
      </c>
    </row>
    <row r="374" spans="1:14" ht="16">
      <c r="A374" s="101" t="str">
        <f t="shared" si="0"/>
        <v>OK</v>
      </c>
      <c r="B374" s="49">
        <v>117109</v>
      </c>
      <c r="C374" s="49" t="s">
        <v>492</v>
      </c>
      <c r="D374" s="49" t="s">
        <v>7</v>
      </c>
      <c r="E374" s="50">
        <v>9.5000000000000001E-2</v>
      </c>
      <c r="F374" s="108">
        <v>1475</v>
      </c>
      <c r="G374" s="51">
        <v>43862</v>
      </c>
      <c r="H374" s="46">
        <v>8000</v>
      </c>
      <c r="I374" s="49" t="str">
        <f ca="1"/>
        <v>栗原 大武</v>
      </c>
      <c r="J374" s="109" t="s">
        <v>159</v>
      </c>
      <c r="K374" s="49" t="s">
        <v>50</v>
      </c>
      <c r="L374" s="100" t="s">
        <v>51</v>
      </c>
      <c r="M374" s="107" t="s">
        <v>52</v>
      </c>
      <c r="N374" s="100" t="s">
        <v>469</v>
      </c>
    </row>
    <row r="375" spans="1:14" ht="16">
      <c r="A375" s="101" t="str">
        <f t="shared" si="0"/>
        <v>OK</v>
      </c>
      <c r="B375" s="49">
        <v>117110</v>
      </c>
      <c r="C375" s="49" t="s">
        <v>493</v>
      </c>
      <c r="D375" s="49" t="s">
        <v>7</v>
      </c>
      <c r="E375" s="50">
        <v>9.5000000000000001E-2</v>
      </c>
      <c r="F375" s="108">
        <v>1373</v>
      </c>
      <c r="G375" s="51">
        <v>43862</v>
      </c>
      <c r="H375" s="46">
        <v>4000</v>
      </c>
      <c r="I375" s="49" t="str">
        <f ca="1"/>
        <v>栗原 大武</v>
      </c>
      <c r="J375" s="109" t="s">
        <v>159</v>
      </c>
      <c r="K375" s="49" t="s">
        <v>50</v>
      </c>
      <c r="L375" s="100" t="s">
        <v>51</v>
      </c>
      <c r="M375" s="107" t="s">
        <v>52</v>
      </c>
      <c r="N375" s="100" t="s">
        <v>469</v>
      </c>
    </row>
    <row r="376" spans="1:14" ht="16">
      <c r="A376" s="101" t="str">
        <f t="shared" si="0"/>
        <v>OK</v>
      </c>
      <c r="B376" s="49">
        <v>117111</v>
      </c>
      <c r="C376" s="49" t="s">
        <v>494</v>
      </c>
      <c r="D376" s="49" t="s">
        <v>7</v>
      </c>
      <c r="E376" s="50">
        <v>9.5000000000000001E-2</v>
      </c>
      <c r="F376" s="108">
        <v>1457</v>
      </c>
      <c r="G376" s="51">
        <v>43862</v>
      </c>
      <c r="H376" s="46">
        <v>6000</v>
      </c>
      <c r="I376" s="49" t="str">
        <f ca="1"/>
        <v>栗原 大武</v>
      </c>
      <c r="J376" s="109" t="s">
        <v>159</v>
      </c>
      <c r="K376" s="49" t="s">
        <v>50</v>
      </c>
      <c r="L376" s="100" t="s">
        <v>51</v>
      </c>
      <c r="M376" s="107" t="s">
        <v>52</v>
      </c>
      <c r="N376" s="100" t="s">
        <v>469</v>
      </c>
    </row>
    <row r="377" spans="1:14" ht="16">
      <c r="A377" s="101" t="str">
        <f t="shared" si="0"/>
        <v>OK</v>
      </c>
      <c r="B377" s="49">
        <v>117112</v>
      </c>
      <c r="C377" s="49" t="s">
        <v>495</v>
      </c>
      <c r="D377" s="49" t="s">
        <v>7</v>
      </c>
      <c r="E377" s="50">
        <v>9.5000000000000001E-2</v>
      </c>
      <c r="F377" s="108">
        <v>0</v>
      </c>
      <c r="G377" s="51">
        <v>43862</v>
      </c>
      <c r="H377" s="46">
        <v>7000</v>
      </c>
      <c r="I377" s="49" t="str">
        <f ca="1"/>
        <v>栗原 大武</v>
      </c>
      <c r="J377" s="109" t="s">
        <v>159</v>
      </c>
      <c r="K377" s="49" t="s">
        <v>50</v>
      </c>
      <c r="L377" s="100" t="s">
        <v>51</v>
      </c>
      <c r="M377" s="107" t="s">
        <v>52</v>
      </c>
      <c r="N377" s="100" t="s">
        <v>469</v>
      </c>
    </row>
    <row r="378" spans="1:14" ht="16">
      <c r="A378" s="101" t="str">
        <f t="shared" si="0"/>
        <v>OK</v>
      </c>
      <c r="B378" s="49">
        <v>117113</v>
      </c>
      <c r="C378" s="49" t="s">
        <v>496</v>
      </c>
      <c r="D378" s="49" t="s">
        <v>7</v>
      </c>
      <c r="E378" s="50">
        <v>9.5000000000000001E-2</v>
      </c>
      <c r="F378" s="108">
        <v>1625</v>
      </c>
      <c r="G378" s="51">
        <v>43862</v>
      </c>
      <c r="H378" s="46">
        <v>7000</v>
      </c>
      <c r="I378" s="49" t="str">
        <f ca="1"/>
        <v>栗原 大武</v>
      </c>
      <c r="J378" s="109" t="s">
        <v>159</v>
      </c>
      <c r="K378" s="49" t="s">
        <v>50</v>
      </c>
      <c r="L378" s="100" t="s">
        <v>51</v>
      </c>
      <c r="M378" s="107" t="s">
        <v>52</v>
      </c>
      <c r="N378" s="100" t="s">
        <v>469</v>
      </c>
    </row>
    <row r="379" spans="1:14" ht="16">
      <c r="A379" s="101" t="str">
        <f t="shared" si="0"/>
        <v>OK</v>
      </c>
      <c r="B379" s="49">
        <v>117114</v>
      </c>
      <c r="C379" s="49" t="s">
        <v>497</v>
      </c>
      <c r="D379" s="49" t="s">
        <v>7</v>
      </c>
      <c r="E379" s="50">
        <v>9.5000000000000001E-2</v>
      </c>
      <c r="F379" s="108">
        <v>1522</v>
      </c>
      <c r="G379" s="51">
        <v>43862</v>
      </c>
      <c r="H379" s="46">
        <v>7000</v>
      </c>
      <c r="I379" s="49" t="str">
        <f ca="1"/>
        <v>栗原 大武</v>
      </c>
      <c r="J379" s="109" t="s">
        <v>159</v>
      </c>
      <c r="K379" s="49" t="s">
        <v>50</v>
      </c>
      <c r="L379" s="100" t="s">
        <v>51</v>
      </c>
      <c r="M379" s="107" t="s">
        <v>52</v>
      </c>
      <c r="N379" s="100" t="s">
        <v>469</v>
      </c>
    </row>
    <row r="380" spans="1:14" ht="16">
      <c r="A380" s="101" t="str">
        <f t="shared" si="0"/>
        <v>OK</v>
      </c>
      <c r="B380" s="49">
        <v>117275</v>
      </c>
      <c r="C380" s="49" t="s">
        <v>498</v>
      </c>
      <c r="D380" s="49" t="s">
        <v>7</v>
      </c>
      <c r="E380" s="50">
        <v>9.5000000000000001E-2</v>
      </c>
      <c r="F380" s="108">
        <v>69</v>
      </c>
      <c r="G380" s="51">
        <v>43862</v>
      </c>
      <c r="H380" s="46">
        <v>800</v>
      </c>
      <c r="I380" s="49" t="str">
        <f ca="1"/>
        <v>栗原 大武</v>
      </c>
      <c r="J380" s="109" t="s">
        <v>159</v>
      </c>
      <c r="K380" s="49" t="s">
        <v>50</v>
      </c>
      <c r="L380" s="100" t="s">
        <v>51</v>
      </c>
      <c r="M380" s="107" t="s">
        <v>52</v>
      </c>
      <c r="N380" s="100" t="s">
        <v>469</v>
      </c>
    </row>
    <row r="381" spans="1:14" ht="16">
      <c r="A381" s="101" t="str">
        <f t="shared" si="0"/>
        <v>OK</v>
      </c>
      <c r="B381" s="49">
        <v>117620</v>
      </c>
      <c r="C381" s="49" t="s">
        <v>499</v>
      </c>
      <c r="D381" s="49" t="s">
        <v>7</v>
      </c>
      <c r="E381" s="50">
        <v>9.5000000000000001E-2</v>
      </c>
      <c r="F381" s="108">
        <v>1513</v>
      </c>
      <c r="G381" s="51">
        <v>43862</v>
      </c>
      <c r="H381" s="46">
        <v>8000</v>
      </c>
      <c r="I381" s="49" t="str">
        <f ca="1"/>
        <v>栗原 大武</v>
      </c>
      <c r="J381" s="109" t="s">
        <v>159</v>
      </c>
      <c r="K381" s="49" t="s">
        <v>50</v>
      </c>
      <c r="L381" s="100" t="s">
        <v>51</v>
      </c>
      <c r="M381" s="107" t="s">
        <v>52</v>
      </c>
      <c r="N381" s="100" t="s">
        <v>469</v>
      </c>
    </row>
    <row r="382" spans="1:14" ht="16">
      <c r="A382" s="101" t="str">
        <f t="shared" si="0"/>
        <v>OK</v>
      </c>
      <c r="B382" s="49">
        <v>118323</v>
      </c>
      <c r="C382" s="49" t="s">
        <v>500</v>
      </c>
      <c r="D382" s="49" t="s">
        <v>7</v>
      </c>
      <c r="E382" s="50">
        <v>9.5000000000000001E-2</v>
      </c>
      <c r="F382" s="108">
        <v>159</v>
      </c>
      <c r="G382" s="51">
        <v>43862</v>
      </c>
      <c r="H382" s="46">
        <v>2500</v>
      </c>
      <c r="I382" s="49" t="str">
        <f ca="1"/>
        <v>栗原 大武</v>
      </c>
      <c r="J382" s="109" t="s">
        <v>159</v>
      </c>
      <c r="K382" s="49" t="s">
        <v>50</v>
      </c>
      <c r="L382" s="100" t="s">
        <v>51</v>
      </c>
      <c r="M382" s="107" t="s">
        <v>52</v>
      </c>
      <c r="N382" s="100" t="s">
        <v>469</v>
      </c>
    </row>
    <row r="383" spans="1:14" ht="16">
      <c r="A383" s="101" t="str">
        <f t="shared" si="0"/>
        <v>OK</v>
      </c>
      <c r="B383" s="49">
        <v>132010</v>
      </c>
      <c r="C383" s="49" t="s">
        <v>501</v>
      </c>
      <c r="D383" s="49" t="s">
        <v>7</v>
      </c>
      <c r="E383" s="50">
        <v>9.5000000000000001E-2</v>
      </c>
      <c r="F383" s="108">
        <v>112</v>
      </c>
      <c r="G383" s="51">
        <v>43862</v>
      </c>
      <c r="H383" s="46">
        <v>800</v>
      </c>
      <c r="I383" s="49" t="str">
        <f ca="1"/>
        <v>栗原 大武</v>
      </c>
      <c r="J383" s="109" t="s">
        <v>159</v>
      </c>
      <c r="K383" s="49" t="s">
        <v>50</v>
      </c>
      <c r="L383" s="100" t="s">
        <v>51</v>
      </c>
      <c r="M383" s="107" t="s">
        <v>52</v>
      </c>
      <c r="N383" s="100" t="s">
        <v>469</v>
      </c>
    </row>
    <row r="384" spans="1:14" ht="16">
      <c r="A384" s="101" t="str">
        <f t="shared" si="0"/>
        <v>OK</v>
      </c>
      <c r="B384" s="49">
        <v>132666</v>
      </c>
      <c r="C384" s="49" t="s">
        <v>502</v>
      </c>
      <c r="D384" s="49" t="s">
        <v>7</v>
      </c>
      <c r="E384" s="50">
        <v>9.5000000000000001E-2</v>
      </c>
      <c r="F384" s="108">
        <v>1288</v>
      </c>
      <c r="G384" s="51">
        <v>43862</v>
      </c>
      <c r="H384" s="46">
        <v>4000</v>
      </c>
      <c r="I384" s="49" t="str">
        <f ca="1"/>
        <v>栗原 大武</v>
      </c>
      <c r="J384" s="109" t="s">
        <v>159</v>
      </c>
      <c r="K384" s="49" t="s">
        <v>50</v>
      </c>
      <c r="L384" s="100" t="s">
        <v>51</v>
      </c>
      <c r="M384" s="107" t="s">
        <v>52</v>
      </c>
      <c r="N384" s="100" t="s">
        <v>469</v>
      </c>
    </row>
    <row r="385" spans="1:14" ht="16">
      <c r="A385" s="101" t="str">
        <f t="shared" si="0"/>
        <v>OK</v>
      </c>
      <c r="B385" s="49">
        <v>133451</v>
      </c>
      <c r="C385" s="49" t="s">
        <v>503</v>
      </c>
      <c r="D385" s="49" t="s">
        <v>7</v>
      </c>
      <c r="E385" s="50">
        <v>9.5000000000000001E-2</v>
      </c>
      <c r="F385" s="108">
        <v>0</v>
      </c>
      <c r="G385" s="51">
        <v>43862</v>
      </c>
      <c r="H385" s="46">
        <v>800</v>
      </c>
      <c r="I385" s="49" t="str">
        <f ca="1"/>
        <v>栗原 大武</v>
      </c>
      <c r="J385" s="109" t="s">
        <v>159</v>
      </c>
      <c r="K385" s="49" t="s">
        <v>50</v>
      </c>
      <c r="L385" s="100" t="s">
        <v>51</v>
      </c>
      <c r="M385" s="107" t="s">
        <v>52</v>
      </c>
      <c r="N385" s="100" t="s">
        <v>469</v>
      </c>
    </row>
    <row r="386" spans="1:14" ht="16">
      <c r="A386" s="101" t="str">
        <f t="shared" si="0"/>
        <v>OK</v>
      </c>
      <c r="B386" s="49">
        <v>134576</v>
      </c>
      <c r="C386" s="49" t="s">
        <v>504</v>
      </c>
      <c r="D386" s="49" t="s">
        <v>7</v>
      </c>
      <c r="E386" s="50">
        <v>9.5000000000000001E-2</v>
      </c>
      <c r="F386" s="108">
        <v>64</v>
      </c>
      <c r="G386" s="51">
        <v>43862</v>
      </c>
      <c r="H386" s="46">
        <v>1000</v>
      </c>
      <c r="I386" s="49" t="str">
        <f ca="1"/>
        <v>栗原 大武</v>
      </c>
      <c r="J386" s="109" t="s">
        <v>159</v>
      </c>
      <c r="K386" s="49" t="s">
        <v>50</v>
      </c>
      <c r="L386" s="100" t="s">
        <v>51</v>
      </c>
      <c r="M386" s="107" t="s">
        <v>52</v>
      </c>
      <c r="N386" s="100" t="s">
        <v>469</v>
      </c>
    </row>
    <row r="387" spans="1:14" ht="16">
      <c r="A387" s="101" t="str">
        <f t="shared" si="0"/>
        <v>OK</v>
      </c>
      <c r="B387" s="49">
        <v>134577</v>
      </c>
      <c r="C387" s="49" t="s">
        <v>505</v>
      </c>
      <c r="D387" s="49" t="s">
        <v>7</v>
      </c>
      <c r="E387" s="50">
        <v>9.5000000000000001E-2</v>
      </c>
      <c r="F387" s="108">
        <v>1528</v>
      </c>
      <c r="G387" s="51">
        <v>43862</v>
      </c>
      <c r="H387" s="46">
        <v>8000</v>
      </c>
      <c r="I387" s="49" t="str">
        <f ca="1"/>
        <v>栗原 大武</v>
      </c>
      <c r="J387" s="109" t="s">
        <v>159</v>
      </c>
      <c r="K387" s="49" t="s">
        <v>50</v>
      </c>
      <c r="L387" s="100" t="s">
        <v>51</v>
      </c>
      <c r="M387" s="107" t="s">
        <v>52</v>
      </c>
      <c r="N387" s="100" t="s">
        <v>469</v>
      </c>
    </row>
    <row r="388" spans="1:14" ht="16">
      <c r="A388" s="101" t="str">
        <f t="shared" si="0"/>
        <v>OK</v>
      </c>
      <c r="B388" s="49">
        <v>138023</v>
      </c>
      <c r="C388" s="49" t="s">
        <v>506</v>
      </c>
      <c r="D388" s="49" t="s">
        <v>7</v>
      </c>
      <c r="E388" s="50">
        <v>9.5000000000000001E-2</v>
      </c>
      <c r="F388" s="108">
        <v>63</v>
      </c>
      <c r="G388" s="51">
        <v>43862</v>
      </c>
      <c r="H388" s="46">
        <v>800</v>
      </c>
      <c r="I388" s="49" t="str">
        <f ca="1"/>
        <v>栗原 大武</v>
      </c>
      <c r="J388" s="109" t="s">
        <v>159</v>
      </c>
      <c r="K388" s="49" t="s">
        <v>50</v>
      </c>
      <c r="L388" s="100" t="s">
        <v>51</v>
      </c>
      <c r="M388" s="107" t="s">
        <v>52</v>
      </c>
      <c r="N388" s="100" t="s">
        <v>469</v>
      </c>
    </row>
    <row r="389" spans="1:14" ht="16">
      <c r="A389" s="101" t="str">
        <f t="shared" si="0"/>
        <v>OK</v>
      </c>
      <c r="B389" s="49">
        <v>138024</v>
      </c>
      <c r="C389" s="49" t="s">
        <v>507</v>
      </c>
      <c r="D389" s="49" t="s">
        <v>7</v>
      </c>
      <c r="E389" s="50">
        <v>9.5000000000000001E-2</v>
      </c>
      <c r="F389" s="108">
        <v>22</v>
      </c>
      <c r="G389" s="51">
        <v>43862</v>
      </c>
      <c r="H389" s="46">
        <v>500</v>
      </c>
      <c r="I389" s="49" t="str">
        <f ca="1"/>
        <v>栗原 大武</v>
      </c>
      <c r="J389" s="109" t="s">
        <v>159</v>
      </c>
      <c r="K389" s="49" t="s">
        <v>50</v>
      </c>
      <c r="L389" s="100" t="s">
        <v>51</v>
      </c>
      <c r="M389" s="107" t="s">
        <v>52</v>
      </c>
      <c r="N389" s="100" t="s">
        <v>469</v>
      </c>
    </row>
    <row r="390" spans="1:14" ht="16">
      <c r="A390" s="101" t="str">
        <f t="shared" si="0"/>
        <v>OK</v>
      </c>
      <c r="B390" s="49">
        <v>138255</v>
      </c>
      <c r="C390" s="49" t="s">
        <v>508</v>
      </c>
      <c r="D390" s="49" t="s">
        <v>7</v>
      </c>
      <c r="E390" s="50">
        <v>9.5000000000000001E-2</v>
      </c>
      <c r="F390" s="108">
        <v>144</v>
      </c>
      <c r="G390" s="51">
        <v>43862</v>
      </c>
      <c r="H390" s="46">
        <v>1500</v>
      </c>
      <c r="I390" s="49" t="str">
        <f ca="1"/>
        <v>栗原 大武</v>
      </c>
      <c r="J390" s="109" t="s">
        <v>159</v>
      </c>
      <c r="K390" s="49" t="s">
        <v>50</v>
      </c>
      <c r="L390" s="100" t="s">
        <v>51</v>
      </c>
      <c r="M390" s="107" t="s">
        <v>52</v>
      </c>
      <c r="N390" s="100" t="s">
        <v>469</v>
      </c>
    </row>
    <row r="391" spans="1:14" ht="16">
      <c r="A391" s="101" t="str">
        <f t="shared" si="0"/>
        <v>OK</v>
      </c>
      <c r="B391" s="49">
        <v>139952</v>
      </c>
      <c r="C391" s="49" t="s">
        <v>509</v>
      </c>
      <c r="D391" s="49" t="s">
        <v>7</v>
      </c>
      <c r="E391" s="50">
        <v>9.5000000000000001E-2</v>
      </c>
      <c r="F391" s="108">
        <v>969</v>
      </c>
      <c r="G391" s="51">
        <v>43862</v>
      </c>
      <c r="H391" s="46">
        <v>4000</v>
      </c>
      <c r="I391" s="49" t="str">
        <f ca="1"/>
        <v>栗原 大武</v>
      </c>
      <c r="J391" s="109" t="s">
        <v>159</v>
      </c>
      <c r="K391" s="49" t="s">
        <v>50</v>
      </c>
      <c r="L391" s="100" t="s">
        <v>51</v>
      </c>
      <c r="M391" s="107" t="s">
        <v>52</v>
      </c>
      <c r="N391" s="100" t="s">
        <v>469</v>
      </c>
    </row>
    <row r="392" spans="1:14" ht="16">
      <c r="A392" s="101" t="str">
        <f t="shared" si="0"/>
        <v>OK</v>
      </c>
      <c r="B392" s="49">
        <v>140402</v>
      </c>
      <c r="C392" s="49" t="s">
        <v>510</v>
      </c>
      <c r="D392" s="49" t="s">
        <v>7</v>
      </c>
      <c r="E392" s="50">
        <v>9.5000000000000001E-2</v>
      </c>
      <c r="F392" s="108">
        <v>142</v>
      </c>
      <c r="G392" s="51">
        <v>43862</v>
      </c>
      <c r="H392" s="46">
        <v>1500</v>
      </c>
      <c r="I392" s="49" t="str">
        <f ca="1"/>
        <v>栗原 大武</v>
      </c>
      <c r="J392" s="109" t="s">
        <v>159</v>
      </c>
      <c r="K392" s="49" t="s">
        <v>50</v>
      </c>
      <c r="L392" s="100" t="s">
        <v>51</v>
      </c>
      <c r="M392" s="107" t="s">
        <v>52</v>
      </c>
      <c r="N392" s="100" t="s">
        <v>469</v>
      </c>
    </row>
    <row r="393" spans="1:14" ht="16">
      <c r="A393" s="101" t="str">
        <f t="shared" si="0"/>
        <v>OK</v>
      </c>
      <c r="B393" s="49">
        <v>141379</v>
      </c>
      <c r="C393" s="49" t="s">
        <v>511</v>
      </c>
      <c r="D393" s="49" t="s">
        <v>5</v>
      </c>
      <c r="E393" s="50">
        <v>6.2E-2</v>
      </c>
      <c r="F393" s="108">
        <v>252</v>
      </c>
      <c r="G393" s="51">
        <v>43862</v>
      </c>
      <c r="H393" s="46">
        <v>500</v>
      </c>
      <c r="I393" s="49" t="str">
        <f ca="1"/>
        <v>稲場 勇介</v>
      </c>
      <c r="J393" s="109" t="s">
        <v>175</v>
      </c>
      <c r="K393" s="49" t="s">
        <v>50</v>
      </c>
      <c r="L393" s="100" t="s">
        <v>51</v>
      </c>
      <c r="M393" s="107" t="s">
        <v>52</v>
      </c>
    </row>
    <row r="394" spans="1:14" ht="16">
      <c r="A394" s="101" t="str">
        <f t="shared" si="0"/>
        <v>OK</v>
      </c>
      <c r="B394" s="49">
        <v>141371</v>
      </c>
      <c r="C394" s="49" t="s">
        <v>512</v>
      </c>
      <c r="D394" s="49" t="s">
        <v>5</v>
      </c>
      <c r="E394" s="50">
        <v>6.2E-2</v>
      </c>
      <c r="F394" s="108">
        <v>121</v>
      </c>
      <c r="G394" s="51">
        <v>43862</v>
      </c>
      <c r="H394" s="46">
        <v>20</v>
      </c>
      <c r="I394" s="49" t="str">
        <f ca="1"/>
        <v>稲場 勇介</v>
      </c>
      <c r="J394" s="109" t="s">
        <v>175</v>
      </c>
      <c r="K394" s="49" t="s">
        <v>50</v>
      </c>
      <c r="L394" s="100" t="s">
        <v>51</v>
      </c>
      <c r="M394" s="107" t="s">
        <v>52</v>
      </c>
    </row>
    <row r="395" spans="1:14" ht="16">
      <c r="A395" s="101" t="str">
        <f t="shared" si="0"/>
        <v>OK</v>
      </c>
      <c r="B395" s="49">
        <v>141377</v>
      </c>
      <c r="C395" s="49" t="s">
        <v>513</v>
      </c>
      <c r="D395" s="49" t="s">
        <v>5</v>
      </c>
      <c r="E395" s="50">
        <v>6.2E-2</v>
      </c>
      <c r="F395" s="108">
        <v>0</v>
      </c>
      <c r="G395" s="51">
        <v>43862</v>
      </c>
      <c r="H395" s="46">
        <v>90</v>
      </c>
      <c r="I395" s="49" t="str">
        <f ca="1"/>
        <v>稲場 勇介</v>
      </c>
      <c r="J395" s="109" t="s">
        <v>175</v>
      </c>
      <c r="K395" s="49" t="s">
        <v>50</v>
      </c>
      <c r="L395" s="100" t="s">
        <v>51</v>
      </c>
      <c r="M395" s="107" t="s">
        <v>52</v>
      </c>
    </row>
    <row r="396" spans="1:14" ht="16">
      <c r="A396" s="101" t="str">
        <f t="shared" si="0"/>
        <v>OK</v>
      </c>
      <c r="B396" s="49">
        <v>141378</v>
      </c>
      <c r="C396" s="49" t="s">
        <v>514</v>
      </c>
      <c r="D396" s="49" t="s">
        <v>5</v>
      </c>
      <c r="E396" s="50">
        <v>6.2E-2</v>
      </c>
      <c r="F396" s="108">
        <v>49</v>
      </c>
      <c r="G396" s="51">
        <v>43862</v>
      </c>
      <c r="H396" s="46">
        <v>500</v>
      </c>
      <c r="I396" s="49" t="str">
        <f ca="1"/>
        <v>稲場 勇介</v>
      </c>
      <c r="J396" s="109" t="s">
        <v>175</v>
      </c>
      <c r="K396" s="49" t="s">
        <v>50</v>
      </c>
      <c r="L396" s="100" t="s">
        <v>51</v>
      </c>
      <c r="M396" s="107" t="s">
        <v>52</v>
      </c>
    </row>
    <row r="397" spans="1:14" ht="16">
      <c r="A397" s="101" t="str">
        <f t="shared" si="0"/>
        <v>OK</v>
      </c>
      <c r="B397" s="49">
        <v>125638</v>
      </c>
      <c r="C397" s="49" t="s">
        <v>515</v>
      </c>
      <c r="D397" s="49" t="s">
        <v>7</v>
      </c>
      <c r="E397" s="50">
        <v>3.5000000000000003E-2</v>
      </c>
      <c r="F397" s="108">
        <v>400</v>
      </c>
      <c r="G397" s="51">
        <v>43862</v>
      </c>
      <c r="H397" s="46">
        <v>350</v>
      </c>
      <c r="I397" s="49" t="str">
        <f ca="1"/>
        <v>成嶋 夏未</v>
      </c>
      <c r="J397" s="109" t="s">
        <v>517</v>
      </c>
      <c r="K397" s="49" t="s">
        <v>50</v>
      </c>
      <c r="L397" s="100" t="s">
        <v>51</v>
      </c>
      <c r="M397" s="107" t="s">
        <v>52</v>
      </c>
    </row>
    <row r="398" spans="1:14" ht="16">
      <c r="A398" s="101" t="str">
        <f t="shared" si="0"/>
        <v>OK</v>
      </c>
      <c r="B398" s="49">
        <v>129019</v>
      </c>
      <c r="C398" s="49" t="s">
        <v>518</v>
      </c>
      <c r="D398" s="49" t="s">
        <v>7</v>
      </c>
      <c r="E398" s="50">
        <v>3.5000000000000003E-2</v>
      </c>
      <c r="F398" s="108">
        <v>400</v>
      </c>
      <c r="G398" s="51">
        <v>43862</v>
      </c>
      <c r="H398" s="46">
        <v>350</v>
      </c>
      <c r="I398" s="49" t="str">
        <f ca="1"/>
        <v>成嶋 夏未</v>
      </c>
      <c r="J398" s="109" t="s">
        <v>517</v>
      </c>
      <c r="K398" s="49" t="s">
        <v>50</v>
      </c>
      <c r="L398" s="100" t="s">
        <v>51</v>
      </c>
      <c r="M398" s="107" t="s">
        <v>52</v>
      </c>
    </row>
    <row r="399" spans="1:14" ht="16">
      <c r="A399" s="101" t="str">
        <f t="shared" si="0"/>
        <v>OK</v>
      </c>
      <c r="B399" s="49">
        <v>135121</v>
      </c>
      <c r="C399" s="49" t="s">
        <v>519</v>
      </c>
      <c r="D399" s="49" t="s">
        <v>7</v>
      </c>
      <c r="E399" s="50">
        <v>3.5000000000000003E-2</v>
      </c>
      <c r="F399" s="108">
        <v>400</v>
      </c>
      <c r="G399" s="51">
        <v>43862</v>
      </c>
      <c r="H399" s="46">
        <v>350</v>
      </c>
      <c r="I399" s="49" t="str">
        <f ca="1"/>
        <v>成嶋 夏未</v>
      </c>
      <c r="J399" s="109" t="s">
        <v>517</v>
      </c>
      <c r="K399" s="49" t="s">
        <v>50</v>
      </c>
      <c r="L399" s="100" t="s">
        <v>51</v>
      </c>
      <c r="M399" s="107" t="s">
        <v>52</v>
      </c>
    </row>
    <row r="400" spans="1:14" ht="16">
      <c r="A400" s="101" t="str">
        <f t="shared" si="0"/>
        <v>OK</v>
      </c>
      <c r="B400" s="49">
        <v>137045</v>
      </c>
      <c r="C400" s="49" t="s">
        <v>520</v>
      </c>
      <c r="D400" s="49" t="s">
        <v>7</v>
      </c>
      <c r="E400" s="50">
        <v>3.5000000000000003E-2</v>
      </c>
      <c r="F400" s="108">
        <v>400</v>
      </c>
      <c r="G400" s="51">
        <v>43862</v>
      </c>
      <c r="H400" s="46">
        <v>350</v>
      </c>
      <c r="I400" s="49" t="str">
        <f ca="1"/>
        <v>成嶋 夏未</v>
      </c>
      <c r="J400" s="109" t="s">
        <v>517</v>
      </c>
      <c r="K400" s="49" t="s">
        <v>50</v>
      </c>
      <c r="L400" s="100" t="s">
        <v>51</v>
      </c>
      <c r="M400" s="107" t="s">
        <v>52</v>
      </c>
    </row>
    <row r="401" spans="1:13" ht="16">
      <c r="A401" s="101" t="str">
        <f t="shared" si="0"/>
        <v>OK</v>
      </c>
      <c r="B401" s="49">
        <v>138199</v>
      </c>
      <c r="C401" s="49" t="s">
        <v>521</v>
      </c>
      <c r="D401" s="49" t="s">
        <v>7</v>
      </c>
      <c r="E401" s="50">
        <v>3.5000000000000003E-2</v>
      </c>
      <c r="F401" s="108">
        <v>400</v>
      </c>
      <c r="G401" s="51">
        <v>43862</v>
      </c>
      <c r="H401" s="46">
        <v>350</v>
      </c>
      <c r="I401" s="49" t="str">
        <f ca="1"/>
        <v>成嶋 夏未</v>
      </c>
      <c r="J401" s="109" t="s">
        <v>517</v>
      </c>
      <c r="K401" s="49" t="s">
        <v>50</v>
      </c>
      <c r="L401" s="100" t="s">
        <v>51</v>
      </c>
      <c r="M401" s="107" t="s">
        <v>52</v>
      </c>
    </row>
    <row r="402" spans="1:13" ht="16">
      <c r="A402" s="101" t="str">
        <f t="shared" si="0"/>
        <v>OK</v>
      </c>
      <c r="B402" s="49">
        <v>138946</v>
      </c>
      <c r="C402" s="49" t="s">
        <v>522</v>
      </c>
      <c r="D402" s="49" t="s">
        <v>7</v>
      </c>
      <c r="E402" s="50">
        <v>3.5000000000000003E-2</v>
      </c>
      <c r="F402" s="108">
        <v>400</v>
      </c>
      <c r="G402" s="51">
        <v>43862</v>
      </c>
      <c r="H402" s="46">
        <v>350</v>
      </c>
      <c r="I402" s="49" t="str">
        <f ca="1"/>
        <v>退会済</v>
      </c>
      <c r="J402" s="109" t="s">
        <v>517</v>
      </c>
      <c r="K402" s="49" t="s">
        <v>50</v>
      </c>
      <c r="L402" s="100" t="s">
        <v>51</v>
      </c>
      <c r="M402" s="107" t="s">
        <v>52</v>
      </c>
    </row>
    <row r="403" spans="1:13" ht="16">
      <c r="A403" s="101" t="str">
        <f t="shared" si="0"/>
        <v>OK</v>
      </c>
      <c r="B403" s="49">
        <v>139645</v>
      </c>
      <c r="C403" s="49" t="s">
        <v>523</v>
      </c>
      <c r="D403" s="49" t="s">
        <v>7</v>
      </c>
      <c r="E403" s="50">
        <v>3.5000000000000003E-2</v>
      </c>
      <c r="F403" s="108">
        <v>400</v>
      </c>
      <c r="G403" s="51">
        <v>43862</v>
      </c>
      <c r="H403" s="46">
        <v>350</v>
      </c>
      <c r="I403" s="49" t="str">
        <f ca="1"/>
        <v>成嶋 夏未</v>
      </c>
      <c r="J403" s="109" t="s">
        <v>517</v>
      </c>
      <c r="K403" s="49" t="s">
        <v>50</v>
      </c>
      <c r="L403" s="100" t="s">
        <v>51</v>
      </c>
      <c r="M403" s="107" t="s">
        <v>52</v>
      </c>
    </row>
    <row r="404" spans="1:13" ht="16">
      <c r="A404" s="101" t="str">
        <f t="shared" si="0"/>
        <v>OK</v>
      </c>
      <c r="B404" s="49">
        <v>140232</v>
      </c>
      <c r="C404" s="49" t="s">
        <v>524</v>
      </c>
      <c r="D404" s="49" t="s">
        <v>7</v>
      </c>
      <c r="E404" s="50">
        <v>3.5000000000000003E-2</v>
      </c>
      <c r="F404" s="108">
        <v>400</v>
      </c>
      <c r="G404" s="51">
        <v>43862</v>
      </c>
      <c r="H404" s="46">
        <v>350</v>
      </c>
      <c r="I404" s="49" t="str">
        <f ca="1"/>
        <v>成嶋 夏未</v>
      </c>
      <c r="J404" s="109" t="s">
        <v>517</v>
      </c>
      <c r="K404" s="49" t="s">
        <v>50</v>
      </c>
      <c r="L404" s="100" t="s">
        <v>51</v>
      </c>
      <c r="M404" s="107" t="s">
        <v>52</v>
      </c>
    </row>
    <row r="405" spans="1:13" ht="16">
      <c r="A405" s="101" t="str">
        <f t="shared" si="0"/>
        <v>OK</v>
      </c>
      <c r="B405" s="49">
        <v>140535</v>
      </c>
      <c r="C405" s="49" t="s">
        <v>525</v>
      </c>
      <c r="D405" s="49" t="s">
        <v>7</v>
      </c>
      <c r="E405" s="50">
        <v>3.5000000000000003E-2</v>
      </c>
      <c r="F405" s="108">
        <v>400</v>
      </c>
      <c r="G405" s="51">
        <v>43862</v>
      </c>
      <c r="H405" s="46">
        <v>350</v>
      </c>
      <c r="I405" s="49" t="str">
        <f ca="1"/>
        <v>成嶋 夏未</v>
      </c>
      <c r="J405" s="109" t="s">
        <v>517</v>
      </c>
      <c r="K405" s="49" t="s">
        <v>50</v>
      </c>
      <c r="L405" s="100" t="s">
        <v>51</v>
      </c>
      <c r="M405" s="107" t="s">
        <v>52</v>
      </c>
    </row>
    <row r="406" spans="1:13" ht="16">
      <c r="A406" s="101" t="str">
        <f t="shared" si="0"/>
        <v>OK</v>
      </c>
      <c r="B406" s="49">
        <v>119210</v>
      </c>
      <c r="C406" s="49" t="s">
        <v>526</v>
      </c>
      <c r="D406" s="49" t="s">
        <v>7</v>
      </c>
      <c r="E406" s="50">
        <v>2.7E-2</v>
      </c>
      <c r="F406" s="108">
        <v>134</v>
      </c>
      <c r="G406" s="51">
        <v>43862</v>
      </c>
      <c r="H406" s="46">
        <v>400</v>
      </c>
      <c r="I406" s="49" t="str">
        <f ca="1"/>
        <v>稲場 勇介</v>
      </c>
      <c r="J406" s="109" t="s">
        <v>453</v>
      </c>
      <c r="K406" s="49" t="s">
        <v>50</v>
      </c>
      <c r="L406" s="100" t="s">
        <v>51</v>
      </c>
      <c r="M406" s="107" t="s">
        <v>52</v>
      </c>
    </row>
    <row r="407" spans="1:13" ht="16">
      <c r="A407" s="101" t="str">
        <f t="shared" si="0"/>
        <v>OK</v>
      </c>
      <c r="B407" s="49">
        <v>119212</v>
      </c>
      <c r="C407" s="49" t="s">
        <v>527</v>
      </c>
      <c r="D407" s="49" t="s">
        <v>7</v>
      </c>
      <c r="E407" s="50">
        <v>2.7E-2</v>
      </c>
      <c r="F407" s="108">
        <v>111</v>
      </c>
      <c r="G407" s="51">
        <v>43862</v>
      </c>
      <c r="H407" s="46">
        <v>400</v>
      </c>
      <c r="I407" s="49" t="str">
        <f ca="1"/>
        <v>稲場 勇介</v>
      </c>
      <c r="J407" s="109" t="s">
        <v>453</v>
      </c>
      <c r="K407" s="49" t="s">
        <v>50</v>
      </c>
      <c r="L407" s="100" t="s">
        <v>51</v>
      </c>
      <c r="M407" s="107" t="s">
        <v>52</v>
      </c>
    </row>
    <row r="408" spans="1:13" ht="16">
      <c r="A408" s="101" t="str">
        <f t="shared" si="0"/>
        <v>OK</v>
      </c>
      <c r="B408" s="49">
        <v>119216</v>
      </c>
      <c r="C408" s="49" t="s">
        <v>528</v>
      </c>
      <c r="D408" s="49" t="s">
        <v>7</v>
      </c>
      <c r="E408" s="50">
        <v>2.7E-2</v>
      </c>
      <c r="F408" s="108">
        <v>146</v>
      </c>
      <c r="G408" s="51">
        <v>43862</v>
      </c>
      <c r="H408" s="46">
        <v>400</v>
      </c>
      <c r="I408" s="49" t="str">
        <f ca="1"/>
        <v>退会済</v>
      </c>
      <c r="J408" s="109" t="s">
        <v>453</v>
      </c>
      <c r="K408" s="49" t="s">
        <v>50</v>
      </c>
      <c r="L408" s="100" t="s">
        <v>51</v>
      </c>
      <c r="M408" s="107" t="s">
        <v>52</v>
      </c>
    </row>
    <row r="409" spans="1:13" ht="16">
      <c r="A409" s="101" t="str">
        <f t="shared" si="0"/>
        <v>OK</v>
      </c>
      <c r="B409" s="49">
        <v>119218</v>
      </c>
      <c r="C409" s="49" t="s">
        <v>529</v>
      </c>
      <c r="D409" s="49" t="s">
        <v>7</v>
      </c>
      <c r="E409" s="50">
        <v>2.7E-2</v>
      </c>
      <c r="F409" s="108">
        <v>99</v>
      </c>
      <c r="G409" s="51">
        <v>43862</v>
      </c>
      <c r="H409" s="46">
        <v>400</v>
      </c>
      <c r="I409" s="49" t="str">
        <f ca="1"/>
        <v>稲場 勇介</v>
      </c>
      <c r="J409" s="109" t="s">
        <v>453</v>
      </c>
      <c r="K409" s="49" t="s">
        <v>50</v>
      </c>
      <c r="L409" s="100" t="s">
        <v>51</v>
      </c>
      <c r="M409" s="107" t="s">
        <v>52</v>
      </c>
    </row>
    <row r="410" spans="1:13" ht="16">
      <c r="A410" s="101" t="str">
        <f t="shared" si="0"/>
        <v>OK</v>
      </c>
      <c r="B410" s="49">
        <v>141019</v>
      </c>
      <c r="C410" s="49" t="s">
        <v>530</v>
      </c>
      <c r="D410" s="49" t="s">
        <v>7</v>
      </c>
      <c r="E410" s="50">
        <v>2.7E-2</v>
      </c>
      <c r="F410" s="108">
        <v>0</v>
      </c>
      <c r="G410" s="51">
        <v>43862</v>
      </c>
      <c r="H410" s="46">
        <v>400</v>
      </c>
      <c r="I410" s="49" t="str">
        <f ca="1"/>
        <v>稲場 勇介</v>
      </c>
      <c r="J410" s="109" t="s">
        <v>453</v>
      </c>
      <c r="K410" s="49" t="s">
        <v>50</v>
      </c>
      <c r="L410" s="100" t="s">
        <v>51</v>
      </c>
      <c r="M410" s="107" t="s">
        <v>52</v>
      </c>
    </row>
    <row r="411" spans="1:13" ht="16">
      <c r="A411" s="101" t="str">
        <f t="shared" si="0"/>
        <v>OK</v>
      </c>
      <c r="B411" s="49">
        <v>123647</v>
      </c>
      <c r="C411" s="49" t="s">
        <v>531</v>
      </c>
      <c r="D411" s="49" t="s">
        <v>7</v>
      </c>
      <c r="E411" s="50">
        <v>3.4000000000000002E-2</v>
      </c>
      <c r="F411" s="108">
        <v>21</v>
      </c>
      <c r="G411" s="51">
        <v>43862</v>
      </c>
      <c r="H411" s="46">
        <v>200</v>
      </c>
      <c r="I411" s="49" t="str">
        <f ca="1"/>
        <v>松尾 尚樹</v>
      </c>
      <c r="J411" s="109" t="s">
        <v>532</v>
      </c>
      <c r="K411" s="49" t="s">
        <v>50</v>
      </c>
      <c r="L411" s="100" t="s">
        <v>51</v>
      </c>
      <c r="M411" s="107" t="s">
        <v>52</v>
      </c>
    </row>
    <row r="412" spans="1:13" ht="16">
      <c r="A412" s="101" t="str">
        <f t="shared" si="0"/>
        <v>OK</v>
      </c>
      <c r="B412" s="49">
        <v>123648</v>
      </c>
      <c r="C412" s="49" t="s">
        <v>533</v>
      </c>
      <c r="D412" s="49" t="s">
        <v>7</v>
      </c>
      <c r="E412" s="50">
        <v>3.4000000000000002E-2</v>
      </c>
      <c r="F412" s="108">
        <v>24</v>
      </c>
      <c r="G412" s="51">
        <v>43862</v>
      </c>
      <c r="H412" s="46">
        <v>334</v>
      </c>
      <c r="I412" s="49" t="str">
        <f ca="1"/>
        <v>松尾 尚樹</v>
      </c>
      <c r="J412" s="109" t="s">
        <v>532</v>
      </c>
      <c r="K412" s="49" t="s">
        <v>50</v>
      </c>
      <c r="L412" s="100" t="s">
        <v>51</v>
      </c>
      <c r="M412" s="107" t="s">
        <v>52</v>
      </c>
    </row>
    <row r="413" spans="1:13" ht="16">
      <c r="A413" s="101" t="str">
        <f t="shared" si="0"/>
        <v>OK</v>
      </c>
      <c r="B413" s="49">
        <v>123651</v>
      </c>
      <c r="C413" s="49" t="s">
        <v>534</v>
      </c>
      <c r="D413" s="49" t="s">
        <v>7</v>
      </c>
      <c r="E413" s="50">
        <v>3.4000000000000002E-2</v>
      </c>
      <c r="F413" s="108">
        <v>33</v>
      </c>
      <c r="G413" s="51">
        <v>43862</v>
      </c>
      <c r="H413" s="46">
        <v>50</v>
      </c>
      <c r="I413" s="49" t="str">
        <f ca="1"/>
        <v>松尾 尚樹</v>
      </c>
      <c r="J413" s="109" t="s">
        <v>532</v>
      </c>
      <c r="K413" s="49" t="s">
        <v>50</v>
      </c>
      <c r="L413" s="100" t="s">
        <v>51</v>
      </c>
      <c r="M413" s="107" t="s">
        <v>52</v>
      </c>
    </row>
    <row r="414" spans="1:13" ht="16">
      <c r="A414" s="101" t="str">
        <f t="shared" si="0"/>
        <v>OK</v>
      </c>
      <c r="B414" s="49">
        <v>123653</v>
      </c>
      <c r="C414" s="49" t="s">
        <v>535</v>
      </c>
      <c r="D414" s="49" t="s">
        <v>7</v>
      </c>
      <c r="E414" s="50">
        <v>3.4000000000000002E-2</v>
      </c>
      <c r="F414" s="108">
        <v>18</v>
      </c>
      <c r="G414" s="51">
        <v>43862</v>
      </c>
      <c r="H414" s="46">
        <v>46</v>
      </c>
      <c r="I414" s="49" t="str">
        <f ca="1"/>
        <v>松尾 尚樹</v>
      </c>
      <c r="J414" s="109" t="s">
        <v>532</v>
      </c>
      <c r="K414" s="49" t="s">
        <v>50</v>
      </c>
      <c r="L414" s="100" t="s">
        <v>51</v>
      </c>
      <c r="M414" s="107" t="s">
        <v>52</v>
      </c>
    </row>
    <row r="415" spans="1:13" ht="16">
      <c r="A415" s="101" t="str">
        <f t="shared" si="0"/>
        <v>OK</v>
      </c>
      <c r="B415" s="49">
        <v>123654</v>
      </c>
      <c r="C415" s="49" t="s">
        <v>536</v>
      </c>
      <c r="D415" s="49" t="s">
        <v>7</v>
      </c>
      <c r="E415" s="50">
        <v>3.4000000000000002E-2</v>
      </c>
      <c r="F415" s="108">
        <v>32</v>
      </c>
      <c r="G415" s="51">
        <v>43862</v>
      </c>
      <c r="H415" s="46">
        <v>69</v>
      </c>
      <c r="I415" s="49" t="str">
        <f ca="1"/>
        <v>松尾 尚樹</v>
      </c>
      <c r="J415" s="109" t="s">
        <v>532</v>
      </c>
      <c r="K415" s="49" t="s">
        <v>50</v>
      </c>
      <c r="L415" s="100" t="s">
        <v>51</v>
      </c>
      <c r="M415" s="107" t="s">
        <v>52</v>
      </c>
    </row>
    <row r="416" spans="1:13" ht="16">
      <c r="A416" s="101" t="str">
        <f t="shared" si="0"/>
        <v>OK</v>
      </c>
      <c r="B416" s="49">
        <v>123656</v>
      </c>
      <c r="C416" s="49" t="s">
        <v>537</v>
      </c>
      <c r="D416" s="49" t="s">
        <v>7</v>
      </c>
      <c r="E416" s="50">
        <v>3.4000000000000002E-2</v>
      </c>
      <c r="F416" s="108">
        <v>9</v>
      </c>
      <c r="G416" s="51">
        <v>43862</v>
      </c>
      <c r="H416" s="46">
        <v>49</v>
      </c>
      <c r="I416" s="49" t="str">
        <f ca="1"/>
        <v>松尾 尚樹</v>
      </c>
      <c r="J416" s="109" t="s">
        <v>532</v>
      </c>
      <c r="K416" s="49" t="s">
        <v>50</v>
      </c>
      <c r="L416" s="100" t="s">
        <v>51</v>
      </c>
      <c r="M416" s="107" t="s">
        <v>52</v>
      </c>
    </row>
    <row r="417" spans="1:14" ht="16">
      <c r="A417" s="101" t="str">
        <f t="shared" si="0"/>
        <v>OK</v>
      </c>
      <c r="B417" s="49">
        <v>123657</v>
      </c>
      <c r="C417" s="49" t="s">
        <v>538</v>
      </c>
      <c r="D417" s="49" t="s">
        <v>7</v>
      </c>
      <c r="E417" s="50">
        <v>3.4000000000000002E-2</v>
      </c>
      <c r="F417" s="108">
        <v>16</v>
      </c>
      <c r="G417" s="51">
        <v>43862</v>
      </c>
      <c r="H417" s="46">
        <v>100</v>
      </c>
      <c r="I417" s="49" t="str">
        <f ca="1"/>
        <v>松尾 尚樹</v>
      </c>
      <c r="J417" s="109" t="s">
        <v>532</v>
      </c>
      <c r="K417" s="49" t="s">
        <v>50</v>
      </c>
      <c r="L417" s="100" t="s">
        <v>51</v>
      </c>
      <c r="M417" s="107" t="s">
        <v>52</v>
      </c>
    </row>
    <row r="418" spans="1:14" ht="16">
      <c r="A418" s="101" t="str">
        <f t="shared" si="0"/>
        <v>OK</v>
      </c>
      <c r="B418" s="49">
        <v>123658</v>
      </c>
      <c r="C418" s="49" t="s">
        <v>539</v>
      </c>
      <c r="D418" s="49" t="s">
        <v>7</v>
      </c>
      <c r="E418" s="50">
        <v>3.4000000000000002E-2</v>
      </c>
      <c r="F418" s="108">
        <v>8</v>
      </c>
      <c r="G418" s="51">
        <v>43862</v>
      </c>
      <c r="H418" s="46">
        <v>49</v>
      </c>
      <c r="I418" s="49" t="str">
        <f ca="1"/>
        <v>松尾 尚樹</v>
      </c>
      <c r="J418" s="109" t="s">
        <v>532</v>
      </c>
      <c r="K418" s="49" t="s">
        <v>50</v>
      </c>
      <c r="L418" s="100" t="s">
        <v>51</v>
      </c>
      <c r="M418" s="107" t="s">
        <v>52</v>
      </c>
    </row>
    <row r="419" spans="1:14" ht="16">
      <c r="A419" s="101" t="str">
        <f t="shared" si="0"/>
        <v>OK</v>
      </c>
      <c r="B419" s="49">
        <v>123660</v>
      </c>
      <c r="C419" s="49" t="s">
        <v>540</v>
      </c>
      <c r="D419" s="49" t="s">
        <v>7</v>
      </c>
      <c r="E419" s="50">
        <v>3.4000000000000002E-2</v>
      </c>
      <c r="F419" s="108">
        <v>2</v>
      </c>
      <c r="G419" s="51">
        <v>43862</v>
      </c>
      <c r="H419" s="46">
        <v>49</v>
      </c>
      <c r="I419" s="49" t="str">
        <f ca="1"/>
        <v>松尾 尚樹</v>
      </c>
      <c r="J419" s="109" t="s">
        <v>532</v>
      </c>
      <c r="K419" s="49" t="s">
        <v>50</v>
      </c>
      <c r="L419" s="100" t="s">
        <v>51</v>
      </c>
      <c r="M419" s="107" t="s">
        <v>52</v>
      </c>
    </row>
    <row r="420" spans="1:14" ht="16">
      <c r="A420" s="101" t="str">
        <f t="shared" si="0"/>
        <v>OK</v>
      </c>
      <c r="B420" s="49">
        <v>123662</v>
      </c>
      <c r="C420" s="49" t="s">
        <v>541</v>
      </c>
      <c r="D420" s="49" t="s">
        <v>7</v>
      </c>
      <c r="E420" s="50">
        <v>3.4000000000000002E-2</v>
      </c>
      <c r="F420" s="108">
        <v>13</v>
      </c>
      <c r="G420" s="51">
        <v>43862</v>
      </c>
      <c r="H420" s="46">
        <v>151</v>
      </c>
      <c r="I420" s="49" t="str">
        <f ca="1"/>
        <v>松尾 尚樹</v>
      </c>
      <c r="J420" s="109" t="s">
        <v>532</v>
      </c>
      <c r="K420" s="49" t="s">
        <v>50</v>
      </c>
      <c r="L420" s="100" t="s">
        <v>51</v>
      </c>
      <c r="M420" s="107" t="s">
        <v>52</v>
      </c>
    </row>
    <row r="421" spans="1:14" ht="16">
      <c r="A421" s="101" t="str">
        <f t="shared" si="0"/>
        <v>OK</v>
      </c>
      <c r="B421" s="49">
        <v>138252</v>
      </c>
      <c r="C421" s="49" t="s">
        <v>542</v>
      </c>
      <c r="D421" s="49" t="s">
        <v>7</v>
      </c>
      <c r="E421" s="50">
        <v>3.4000000000000002E-2</v>
      </c>
      <c r="F421" s="108">
        <v>14</v>
      </c>
      <c r="G421" s="51">
        <v>43862</v>
      </c>
      <c r="H421" s="46">
        <v>50</v>
      </c>
      <c r="I421" s="49" t="str">
        <f ca="1"/>
        <v>松尾 尚樹</v>
      </c>
      <c r="J421" s="109" t="s">
        <v>532</v>
      </c>
      <c r="K421" s="49" t="s">
        <v>50</v>
      </c>
      <c r="L421" s="100" t="s">
        <v>51</v>
      </c>
      <c r="M421" s="107" t="s">
        <v>52</v>
      </c>
    </row>
    <row r="422" spans="1:14" ht="16">
      <c r="A422" s="101" t="str">
        <f t="shared" si="0"/>
        <v>OK</v>
      </c>
      <c r="B422" s="49">
        <v>102348</v>
      </c>
      <c r="C422" s="49" t="s">
        <v>543</v>
      </c>
      <c r="D422" s="49" t="s">
        <v>6</v>
      </c>
      <c r="E422" s="50">
        <v>3.4000000000000002E-2</v>
      </c>
      <c r="F422" s="108">
        <v>43</v>
      </c>
      <c r="G422" s="51">
        <v>43878</v>
      </c>
      <c r="H422" s="46">
        <v>400</v>
      </c>
      <c r="I422" s="49" t="str">
        <f ca="1"/>
        <v>稲場 勇介</v>
      </c>
      <c r="J422" s="109" t="s">
        <v>453</v>
      </c>
      <c r="K422" s="49" t="s">
        <v>50</v>
      </c>
      <c r="L422" s="100" t="s">
        <v>51</v>
      </c>
      <c r="M422" s="107" t="s">
        <v>52</v>
      </c>
    </row>
    <row r="423" spans="1:14" ht="16">
      <c r="A423" s="101" t="str">
        <f t="shared" si="0"/>
        <v>OK</v>
      </c>
      <c r="B423" s="49">
        <v>103440</v>
      </c>
      <c r="C423" s="49" t="s">
        <v>544</v>
      </c>
      <c r="D423" s="49" t="s">
        <v>6</v>
      </c>
      <c r="E423" s="50">
        <v>3.4000000000000002E-2</v>
      </c>
      <c r="F423" s="108">
        <v>35</v>
      </c>
      <c r="G423" s="51">
        <v>43878</v>
      </c>
      <c r="H423" s="46">
        <v>300</v>
      </c>
      <c r="I423" s="49" t="str">
        <f ca="1"/>
        <v>稲場 勇介</v>
      </c>
      <c r="J423" s="109" t="s">
        <v>453</v>
      </c>
      <c r="K423" s="49" t="s">
        <v>50</v>
      </c>
      <c r="L423" s="100" t="s">
        <v>51</v>
      </c>
      <c r="M423" s="107" t="s">
        <v>52</v>
      </c>
    </row>
    <row r="424" spans="1:14" ht="16">
      <c r="A424" s="101" t="str">
        <f t="shared" si="0"/>
        <v>OK</v>
      </c>
      <c r="B424" s="49">
        <v>105441</v>
      </c>
      <c r="C424" s="49" t="s">
        <v>545</v>
      </c>
      <c r="D424" s="49" t="s">
        <v>6</v>
      </c>
      <c r="E424" s="50">
        <v>3.4000000000000002E-2</v>
      </c>
      <c r="F424" s="108">
        <v>22</v>
      </c>
      <c r="G424" s="51">
        <v>43878</v>
      </c>
      <c r="H424" s="46">
        <v>400</v>
      </c>
      <c r="I424" s="49" t="str">
        <f ca="1"/>
        <v>稲場 勇介</v>
      </c>
      <c r="J424" s="109" t="s">
        <v>453</v>
      </c>
      <c r="K424" s="49" t="s">
        <v>50</v>
      </c>
      <c r="L424" s="100" t="s">
        <v>51</v>
      </c>
      <c r="M424" s="107" t="s">
        <v>52</v>
      </c>
    </row>
    <row r="425" spans="1:14" ht="16">
      <c r="A425" s="101" t="str">
        <f t="shared" si="0"/>
        <v>OK</v>
      </c>
      <c r="B425" s="49">
        <v>107193</v>
      </c>
      <c r="C425" s="49" t="s">
        <v>546</v>
      </c>
      <c r="D425" s="49" t="s">
        <v>6</v>
      </c>
      <c r="E425" s="50">
        <v>3.4000000000000002E-2</v>
      </c>
      <c r="F425" s="108">
        <v>31</v>
      </c>
      <c r="G425" s="51">
        <v>43878</v>
      </c>
      <c r="H425" s="46">
        <v>350</v>
      </c>
      <c r="I425" s="49" t="str">
        <f ca="1"/>
        <v>稲場 勇介</v>
      </c>
      <c r="J425" s="109" t="s">
        <v>453</v>
      </c>
      <c r="K425" s="49" t="s">
        <v>50</v>
      </c>
      <c r="L425" s="100" t="s">
        <v>51</v>
      </c>
      <c r="M425" s="107" t="s">
        <v>52</v>
      </c>
    </row>
    <row r="426" spans="1:14" ht="16">
      <c r="A426" s="101" t="str">
        <f t="shared" si="0"/>
        <v>OK</v>
      </c>
      <c r="B426" s="49">
        <v>107196</v>
      </c>
      <c r="C426" s="49" t="s">
        <v>547</v>
      </c>
      <c r="D426" s="49" t="s">
        <v>6</v>
      </c>
      <c r="E426" s="50">
        <v>3.4000000000000002E-2</v>
      </c>
      <c r="F426" s="108">
        <v>47</v>
      </c>
      <c r="G426" s="51">
        <v>43878</v>
      </c>
      <c r="H426" s="46">
        <v>450</v>
      </c>
      <c r="I426" s="49" t="str">
        <f ca="1"/>
        <v>稲場 勇介</v>
      </c>
      <c r="J426" s="109" t="s">
        <v>453</v>
      </c>
      <c r="K426" s="49" t="s">
        <v>50</v>
      </c>
      <c r="L426" s="100" t="s">
        <v>51</v>
      </c>
      <c r="M426" s="107" t="s">
        <v>52</v>
      </c>
    </row>
    <row r="427" spans="1:14" ht="16">
      <c r="A427" s="101" t="str">
        <f t="shared" si="0"/>
        <v>OK</v>
      </c>
      <c r="B427" s="49">
        <v>107346</v>
      </c>
      <c r="C427" s="49" t="s">
        <v>548</v>
      </c>
      <c r="D427" s="49" t="s">
        <v>6</v>
      </c>
      <c r="E427" s="50">
        <v>3.4000000000000002E-2</v>
      </c>
      <c r="F427" s="108">
        <v>71</v>
      </c>
      <c r="G427" s="51">
        <v>43878</v>
      </c>
      <c r="H427" s="46">
        <v>638</v>
      </c>
      <c r="I427" s="49" t="str">
        <f ca="1"/>
        <v>稲場 勇介</v>
      </c>
      <c r="J427" s="109" t="s">
        <v>453</v>
      </c>
      <c r="K427" s="49" t="s">
        <v>50</v>
      </c>
      <c r="L427" s="100" t="s">
        <v>51</v>
      </c>
      <c r="M427" s="107" t="s">
        <v>52</v>
      </c>
    </row>
    <row r="428" spans="1:14" ht="16">
      <c r="A428" s="101" t="str">
        <f t="shared" si="0"/>
        <v>OK</v>
      </c>
      <c r="B428" s="49">
        <v>114282</v>
      </c>
      <c r="C428" s="49" t="s">
        <v>549</v>
      </c>
      <c r="D428" s="49" t="s">
        <v>6</v>
      </c>
      <c r="E428" s="50">
        <v>3.4000000000000002E-2</v>
      </c>
      <c r="F428" s="108">
        <v>26</v>
      </c>
      <c r="G428" s="51">
        <v>43878</v>
      </c>
      <c r="H428" s="46">
        <v>575</v>
      </c>
      <c r="I428" s="49" t="str">
        <f ca="1"/>
        <v>稲場 勇介</v>
      </c>
      <c r="J428" s="109" t="s">
        <v>453</v>
      </c>
      <c r="K428" s="49" t="s">
        <v>50</v>
      </c>
      <c r="L428" s="100" t="s">
        <v>51</v>
      </c>
      <c r="M428" s="107" t="s">
        <v>52</v>
      </c>
    </row>
    <row r="429" spans="1:14" ht="16">
      <c r="A429" s="101" t="str">
        <f t="shared" si="0"/>
        <v>OK</v>
      </c>
      <c r="B429" s="49">
        <v>124394</v>
      </c>
      <c r="C429" s="49" t="s">
        <v>550</v>
      </c>
      <c r="D429" s="49" t="s">
        <v>6</v>
      </c>
      <c r="E429" s="50">
        <v>3.4000000000000002E-2</v>
      </c>
      <c r="F429" s="108">
        <v>54</v>
      </c>
      <c r="G429" s="51">
        <v>43878</v>
      </c>
      <c r="H429" s="46">
        <v>381</v>
      </c>
      <c r="I429" s="49" t="str">
        <f ca="1"/>
        <v>稲場 勇介</v>
      </c>
      <c r="J429" s="109" t="s">
        <v>453</v>
      </c>
      <c r="K429" s="49" t="s">
        <v>50</v>
      </c>
      <c r="L429" s="100" t="s">
        <v>51</v>
      </c>
      <c r="M429" s="107" t="s">
        <v>52</v>
      </c>
    </row>
    <row r="430" spans="1:14" ht="16">
      <c r="A430" s="101" t="str">
        <f t="shared" si="0"/>
        <v>未記入あり</v>
      </c>
      <c r="B430" s="49">
        <v>125075</v>
      </c>
      <c r="C430" s="49" t="s">
        <v>551</v>
      </c>
      <c r="D430" s="49" t="s">
        <v>6</v>
      </c>
      <c r="E430" s="50">
        <v>6.4000000000000001E-2</v>
      </c>
      <c r="F430" s="108">
        <v>13</v>
      </c>
      <c r="G430" s="51">
        <v>43881</v>
      </c>
      <c r="H430" s="46"/>
      <c r="I430" s="49" t="str">
        <f ca="1"/>
        <v>退会済</v>
      </c>
      <c r="J430" s="109" t="s">
        <v>468</v>
      </c>
      <c r="K430" s="49" t="s">
        <v>50</v>
      </c>
      <c r="L430" s="100" t="s">
        <v>51</v>
      </c>
      <c r="M430" s="107" t="s">
        <v>52</v>
      </c>
      <c r="N430" s="111" t="s">
        <v>552</v>
      </c>
    </row>
    <row r="431" spans="1:14" ht="16">
      <c r="A431" s="101" t="str">
        <f t="shared" si="0"/>
        <v>未記入あり</v>
      </c>
      <c r="B431" s="49">
        <v>125078</v>
      </c>
      <c r="C431" s="49" t="s">
        <v>553</v>
      </c>
      <c r="D431" s="49" t="s">
        <v>6</v>
      </c>
      <c r="E431" s="50">
        <v>6.4000000000000001E-2</v>
      </c>
      <c r="F431" s="108">
        <v>6</v>
      </c>
      <c r="G431" s="51">
        <v>43881</v>
      </c>
      <c r="H431" s="46"/>
      <c r="I431" s="49" t="str">
        <f ca="1"/>
        <v>退会済</v>
      </c>
      <c r="J431" s="109" t="s">
        <v>468</v>
      </c>
      <c r="K431" s="49" t="s">
        <v>50</v>
      </c>
      <c r="L431" s="100" t="s">
        <v>51</v>
      </c>
      <c r="M431" s="107" t="s">
        <v>52</v>
      </c>
      <c r="N431" s="111" t="s">
        <v>552</v>
      </c>
    </row>
    <row r="432" spans="1:14" ht="16">
      <c r="A432" s="101" t="str">
        <f t="shared" si="0"/>
        <v>未記入あり</v>
      </c>
      <c r="B432" s="49">
        <v>125081</v>
      </c>
      <c r="C432" s="49" t="s">
        <v>554</v>
      </c>
      <c r="D432" s="49" t="s">
        <v>6</v>
      </c>
      <c r="E432" s="50">
        <v>6.4000000000000001E-2</v>
      </c>
      <c r="F432" s="108">
        <v>7</v>
      </c>
      <c r="G432" s="51">
        <v>43881</v>
      </c>
      <c r="H432" s="46"/>
      <c r="I432" s="49" t="str">
        <f ca="1"/>
        <v>退会済</v>
      </c>
      <c r="J432" s="109" t="s">
        <v>468</v>
      </c>
      <c r="K432" s="49" t="s">
        <v>50</v>
      </c>
      <c r="L432" s="100" t="s">
        <v>51</v>
      </c>
      <c r="M432" s="107" t="s">
        <v>52</v>
      </c>
      <c r="N432" s="111" t="s">
        <v>552</v>
      </c>
    </row>
    <row r="433" spans="1:14" ht="16">
      <c r="A433" s="101" t="str">
        <f t="shared" si="0"/>
        <v>未記入あり</v>
      </c>
      <c r="B433" s="49">
        <v>125082</v>
      </c>
      <c r="C433" s="49" t="s">
        <v>555</v>
      </c>
      <c r="D433" s="49" t="s">
        <v>6</v>
      </c>
      <c r="E433" s="50">
        <v>6.4000000000000001E-2</v>
      </c>
      <c r="F433" s="108">
        <v>3</v>
      </c>
      <c r="G433" s="51">
        <v>43881</v>
      </c>
      <c r="H433" s="46"/>
      <c r="I433" s="49" t="str">
        <f ca="1"/>
        <v>退会済</v>
      </c>
      <c r="J433" s="109" t="s">
        <v>468</v>
      </c>
      <c r="K433" s="49" t="s">
        <v>50</v>
      </c>
      <c r="L433" s="100" t="s">
        <v>51</v>
      </c>
      <c r="M433" s="107" t="s">
        <v>52</v>
      </c>
      <c r="N433" s="111" t="s">
        <v>552</v>
      </c>
    </row>
    <row r="434" spans="1:14" ht="16">
      <c r="A434" s="101" t="str">
        <f t="shared" si="0"/>
        <v>未記入あり</v>
      </c>
      <c r="B434" s="49">
        <v>125084</v>
      </c>
      <c r="C434" s="49" t="s">
        <v>556</v>
      </c>
      <c r="D434" s="49" t="s">
        <v>6</v>
      </c>
      <c r="E434" s="50">
        <v>6.4000000000000001E-2</v>
      </c>
      <c r="F434" s="108">
        <v>2</v>
      </c>
      <c r="G434" s="51">
        <v>43881</v>
      </c>
      <c r="H434" s="46"/>
      <c r="I434" s="49" t="str">
        <f ca="1"/>
        <v>退会済</v>
      </c>
      <c r="J434" s="109" t="s">
        <v>468</v>
      </c>
      <c r="K434" s="49" t="s">
        <v>50</v>
      </c>
      <c r="L434" s="100" t="s">
        <v>51</v>
      </c>
      <c r="M434" s="107" t="s">
        <v>52</v>
      </c>
      <c r="N434" s="111" t="s">
        <v>552</v>
      </c>
    </row>
    <row r="435" spans="1:14" ht="16">
      <c r="A435" s="101" t="str">
        <f t="shared" si="0"/>
        <v>未記入あり</v>
      </c>
      <c r="B435" s="49">
        <v>125088</v>
      </c>
      <c r="C435" s="49" t="s">
        <v>557</v>
      </c>
      <c r="D435" s="49" t="s">
        <v>6</v>
      </c>
      <c r="E435" s="50">
        <v>6.4000000000000001E-2</v>
      </c>
      <c r="F435" s="108">
        <v>4</v>
      </c>
      <c r="G435" s="51">
        <v>43881</v>
      </c>
      <c r="H435" s="46"/>
      <c r="I435" s="49" t="str">
        <f ca="1"/>
        <v>退会済</v>
      </c>
      <c r="J435" s="109" t="s">
        <v>468</v>
      </c>
      <c r="K435" s="49" t="s">
        <v>50</v>
      </c>
      <c r="L435" s="100" t="s">
        <v>51</v>
      </c>
      <c r="M435" s="107" t="s">
        <v>52</v>
      </c>
      <c r="N435" s="111" t="s">
        <v>552</v>
      </c>
    </row>
    <row r="436" spans="1:14" ht="16">
      <c r="A436" s="101" t="str">
        <f t="shared" si="0"/>
        <v>未記入あり</v>
      </c>
      <c r="B436" s="49">
        <v>125090</v>
      </c>
      <c r="C436" s="49" t="s">
        <v>558</v>
      </c>
      <c r="D436" s="49" t="s">
        <v>6</v>
      </c>
      <c r="E436" s="50">
        <v>6.4000000000000001E-2</v>
      </c>
      <c r="F436" s="108">
        <v>4</v>
      </c>
      <c r="G436" s="51">
        <v>43881</v>
      </c>
      <c r="H436" s="46"/>
      <c r="I436" s="49" t="str">
        <f ca="1"/>
        <v>退会済</v>
      </c>
      <c r="J436" s="109" t="s">
        <v>468</v>
      </c>
      <c r="K436" s="49" t="s">
        <v>50</v>
      </c>
      <c r="L436" s="100" t="s">
        <v>51</v>
      </c>
      <c r="M436" s="107" t="s">
        <v>52</v>
      </c>
      <c r="N436" s="111" t="s">
        <v>552</v>
      </c>
    </row>
    <row r="437" spans="1:14" ht="16">
      <c r="A437" s="101" t="str">
        <f t="shared" si="0"/>
        <v>未記入あり</v>
      </c>
      <c r="B437" s="49">
        <v>125094</v>
      </c>
      <c r="C437" s="49" t="s">
        <v>559</v>
      </c>
      <c r="D437" s="49" t="s">
        <v>6</v>
      </c>
      <c r="E437" s="50">
        <v>6.4000000000000001E-2</v>
      </c>
      <c r="F437" s="108">
        <v>5</v>
      </c>
      <c r="G437" s="51">
        <v>43881</v>
      </c>
      <c r="H437" s="46"/>
      <c r="I437" s="49" t="str">
        <f ca="1"/>
        <v>退会済</v>
      </c>
      <c r="J437" s="109" t="s">
        <v>468</v>
      </c>
      <c r="K437" s="49" t="s">
        <v>50</v>
      </c>
      <c r="L437" s="100" t="s">
        <v>51</v>
      </c>
      <c r="M437" s="107" t="s">
        <v>52</v>
      </c>
      <c r="N437" s="111" t="s">
        <v>552</v>
      </c>
    </row>
    <row r="438" spans="1:14" ht="16">
      <c r="A438" s="101" t="str">
        <f t="shared" si="0"/>
        <v>未記入あり</v>
      </c>
      <c r="B438" s="49">
        <v>125098</v>
      </c>
      <c r="C438" s="49" t="s">
        <v>560</v>
      </c>
      <c r="D438" s="49" t="s">
        <v>6</v>
      </c>
      <c r="E438" s="50">
        <v>6.4000000000000001E-2</v>
      </c>
      <c r="F438" s="108">
        <v>15</v>
      </c>
      <c r="G438" s="51">
        <v>43881</v>
      </c>
      <c r="H438" s="46"/>
      <c r="I438" s="49" t="str">
        <f ca="1"/>
        <v>退会済</v>
      </c>
      <c r="J438" s="109" t="s">
        <v>468</v>
      </c>
      <c r="K438" s="49" t="s">
        <v>50</v>
      </c>
      <c r="L438" s="100" t="s">
        <v>51</v>
      </c>
      <c r="M438" s="107" t="s">
        <v>52</v>
      </c>
      <c r="N438" s="111" t="s">
        <v>552</v>
      </c>
    </row>
    <row r="439" spans="1:14" ht="16">
      <c r="A439" s="101" t="str">
        <f t="shared" si="0"/>
        <v>未記入あり</v>
      </c>
      <c r="B439" s="49">
        <v>125100</v>
      </c>
      <c r="C439" s="49" t="s">
        <v>561</v>
      </c>
      <c r="D439" s="49" t="s">
        <v>6</v>
      </c>
      <c r="E439" s="50">
        <v>6.4000000000000001E-2</v>
      </c>
      <c r="F439" s="108">
        <v>3</v>
      </c>
      <c r="G439" s="51">
        <v>43881</v>
      </c>
      <c r="H439" s="46"/>
      <c r="I439" s="49" t="str">
        <f ca="1"/>
        <v>退会済</v>
      </c>
      <c r="J439" s="109" t="s">
        <v>468</v>
      </c>
      <c r="K439" s="49" t="s">
        <v>50</v>
      </c>
      <c r="L439" s="100" t="s">
        <v>51</v>
      </c>
      <c r="M439" s="107" t="s">
        <v>52</v>
      </c>
      <c r="N439" s="111" t="s">
        <v>552</v>
      </c>
    </row>
    <row r="440" spans="1:14" ht="16">
      <c r="A440" s="101" t="str">
        <f t="shared" si="0"/>
        <v>未記入あり</v>
      </c>
      <c r="B440" s="49">
        <v>125101</v>
      </c>
      <c r="C440" s="49" t="s">
        <v>562</v>
      </c>
      <c r="D440" s="49" t="s">
        <v>6</v>
      </c>
      <c r="E440" s="50">
        <v>6.4000000000000001E-2</v>
      </c>
      <c r="F440" s="108">
        <v>10</v>
      </c>
      <c r="G440" s="51">
        <v>43881</v>
      </c>
      <c r="H440" s="46"/>
      <c r="I440" s="49" t="str">
        <f ca="1"/>
        <v>退会済</v>
      </c>
      <c r="J440" s="109" t="s">
        <v>468</v>
      </c>
      <c r="K440" s="49" t="s">
        <v>50</v>
      </c>
      <c r="L440" s="100" t="s">
        <v>51</v>
      </c>
      <c r="M440" s="107" t="s">
        <v>52</v>
      </c>
      <c r="N440" s="111" t="s">
        <v>552</v>
      </c>
    </row>
    <row r="441" spans="1:14" ht="16">
      <c r="A441" s="101" t="str">
        <f t="shared" si="0"/>
        <v>未記入あり</v>
      </c>
      <c r="B441" s="49">
        <v>125103</v>
      </c>
      <c r="C441" s="49" t="s">
        <v>563</v>
      </c>
      <c r="D441" s="49" t="s">
        <v>6</v>
      </c>
      <c r="E441" s="50">
        <v>6.4000000000000001E-2</v>
      </c>
      <c r="F441" s="108">
        <v>7</v>
      </c>
      <c r="G441" s="51">
        <v>43881</v>
      </c>
      <c r="H441" s="46"/>
      <c r="I441" s="49" t="str">
        <f ca="1"/>
        <v>退会済</v>
      </c>
      <c r="J441" s="109" t="s">
        <v>468</v>
      </c>
      <c r="K441" s="49" t="s">
        <v>50</v>
      </c>
      <c r="L441" s="100" t="s">
        <v>51</v>
      </c>
      <c r="M441" s="107" t="s">
        <v>52</v>
      </c>
      <c r="N441" s="111" t="s">
        <v>552</v>
      </c>
    </row>
    <row r="442" spans="1:14" ht="16">
      <c r="A442" s="101" t="str">
        <f t="shared" si="0"/>
        <v>未記入あり</v>
      </c>
      <c r="B442" s="49">
        <v>125105</v>
      </c>
      <c r="C442" s="49" t="s">
        <v>564</v>
      </c>
      <c r="D442" s="49" t="s">
        <v>6</v>
      </c>
      <c r="E442" s="50">
        <v>6.4000000000000001E-2</v>
      </c>
      <c r="F442" s="108">
        <v>4</v>
      </c>
      <c r="G442" s="51">
        <v>43881</v>
      </c>
      <c r="H442" s="46"/>
      <c r="I442" s="49" t="str">
        <f ca="1"/>
        <v>退会済</v>
      </c>
      <c r="J442" s="109" t="s">
        <v>468</v>
      </c>
      <c r="K442" s="49" t="s">
        <v>50</v>
      </c>
      <c r="L442" s="100" t="s">
        <v>51</v>
      </c>
      <c r="M442" s="107" t="s">
        <v>52</v>
      </c>
      <c r="N442" s="111" t="s">
        <v>552</v>
      </c>
    </row>
    <row r="443" spans="1:14" ht="16">
      <c r="A443" s="101" t="str">
        <f t="shared" si="0"/>
        <v>未記入あり</v>
      </c>
      <c r="B443" s="49">
        <v>125106</v>
      </c>
      <c r="C443" s="49" t="s">
        <v>565</v>
      </c>
      <c r="D443" s="49" t="s">
        <v>6</v>
      </c>
      <c r="E443" s="50">
        <v>6.4000000000000001E-2</v>
      </c>
      <c r="F443" s="108">
        <v>0</v>
      </c>
      <c r="G443" s="51">
        <v>43881</v>
      </c>
      <c r="H443" s="46"/>
      <c r="I443" s="49" t="str">
        <f ca="1"/>
        <v>退会済</v>
      </c>
      <c r="J443" s="109" t="s">
        <v>468</v>
      </c>
      <c r="K443" s="49" t="s">
        <v>50</v>
      </c>
      <c r="L443" s="100" t="s">
        <v>51</v>
      </c>
      <c r="M443" s="107" t="s">
        <v>52</v>
      </c>
      <c r="N443" s="111" t="s">
        <v>552</v>
      </c>
    </row>
    <row r="444" spans="1:14" ht="16">
      <c r="A444" s="101" t="str">
        <f t="shared" si="0"/>
        <v>未記入あり</v>
      </c>
      <c r="B444" s="49">
        <v>125108</v>
      </c>
      <c r="C444" s="49" t="s">
        <v>566</v>
      </c>
      <c r="D444" s="49" t="s">
        <v>6</v>
      </c>
      <c r="E444" s="50">
        <v>6.4000000000000001E-2</v>
      </c>
      <c r="F444" s="108">
        <v>12</v>
      </c>
      <c r="G444" s="51">
        <v>43881</v>
      </c>
      <c r="H444" s="46"/>
      <c r="I444" s="49" t="str">
        <f ca="1"/>
        <v>退会済</v>
      </c>
      <c r="J444" s="109" t="s">
        <v>468</v>
      </c>
      <c r="K444" s="49" t="s">
        <v>50</v>
      </c>
      <c r="L444" s="100" t="s">
        <v>51</v>
      </c>
      <c r="M444" s="107" t="s">
        <v>52</v>
      </c>
      <c r="N444" s="111" t="s">
        <v>552</v>
      </c>
    </row>
    <row r="445" spans="1:14" ht="16">
      <c r="A445" s="101" t="str">
        <f t="shared" si="0"/>
        <v>OK</v>
      </c>
      <c r="B445" s="49">
        <v>107095</v>
      </c>
      <c r="C445" s="49" t="s">
        <v>567</v>
      </c>
      <c r="D445" s="49" t="s">
        <v>7</v>
      </c>
      <c r="E445" s="50">
        <v>2.4E-2</v>
      </c>
      <c r="F445" s="108">
        <v>350</v>
      </c>
      <c r="G445" s="51">
        <v>43891</v>
      </c>
      <c r="H445" s="108">
        <v>350</v>
      </c>
      <c r="I445" s="49" t="str">
        <f ca="1"/>
        <v>成嶋 夏未</v>
      </c>
      <c r="J445" s="109" t="s">
        <v>517</v>
      </c>
      <c r="K445" s="49" t="s">
        <v>50</v>
      </c>
      <c r="L445" s="100" t="s">
        <v>51</v>
      </c>
      <c r="M445" s="107" t="s">
        <v>52</v>
      </c>
    </row>
    <row r="446" spans="1:14" ht="16">
      <c r="A446" s="101" t="str">
        <f t="shared" si="0"/>
        <v>OK</v>
      </c>
      <c r="B446" s="49">
        <v>115710</v>
      </c>
      <c r="C446" s="49" t="s">
        <v>568</v>
      </c>
      <c r="D446" s="49" t="s">
        <v>7</v>
      </c>
      <c r="E446" s="50">
        <v>2.4E-2</v>
      </c>
      <c r="F446" s="108">
        <v>400</v>
      </c>
      <c r="G446" s="51">
        <v>43891</v>
      </c>
      <c r="H446" s="108">
        <v>400</v>
      </c>
      <c r="I446" s="49" t="str">
        <f ca="1"/>
        <v>成嶋 夏未</v>
      </c>
      <c r="J446" s="109" t="s">
        <v>517</v>
      </c>
      <c r="K446" s="49" t="s">
        <v>50</v>
      </c>
      <c r="L446" s="100" t="s">
        <v>51</v>
      </c>
      <c r="M446" s="107" t="s">
        <v>52</v>
      </c>
    </row>
    <row r="447" spans="1:14" ht="16">
      <c r="A447" s="101" t="str">
        <f t="shared" si="0"/>
        <v>OK</v>
      </c>
      <c r="B447" s="49">
        <v>125880</v>
      </c>
      <c r="C447" s="49" t="s">
        <v>569</v>
      </c>
      <c r="D447" s="49" t="s">
        <v>7</v>
      </c>
      <c r="E447" s="50">
        <v>2.4E-2</v>
      </c>
      <c r="F447" s="108">
        <v>350</v>
      </c>
      <c r="G447" s="51">
        <v>43891</v>
      </c>
      <c r="H447" s="108">
        <v>350</v>
      </c>
      <c r="I447" s="49" t="str">
        <f ca="1"/>
        <v>成嶋 夏未</v>
      </c>
      <c r="J447" s="109" t="s">
        <v>517</v>
      </c>
      <c r="K447" s="49" t="s">
        <v>50</v>
      </c>
      <c r="L447" s="100" t="s">
        <v>51</v>
      </c>
      <c r="M447" s="107" t="s">
        <v>52</v>
      </c>
    </row>
    <row r="448" spans="1:14" ht="16">
      <c r="A448" s="101" t="str">
        <f t="shared" si="0"/>
        <v>OK</v>
      </c>
      <c r="B448" s="49">
        <v>133299</v>
      </c>
      <c r="C448" s="49" t="s">
        <v>570</v>
      </c>
      <c r="D448" s="49" t="s">
        <v>7</v>
      </c>
      <c r="E448" s="50">
        <v>2.4E-2</v>
      </c>
      <c r="F448" s="108">
        <v>350</v>
      </c>
      <c r="G448" s="51">
        <v>43891</v>
      </c>
      <c r="H448" s="108">
        <v>350</v>
      </c>
      <c r="I448" s="49" t="str">
        <f ca="1"/>
        <v>成嶋 夏未</v>
      </c>
      <c r="J448" s="109" t="s">
        <v>517</v>
      </c>
      <c r="K448" s="49" t="s">
        <v>50</v>
      </c>
      <c r="L448" s="100" t="s">
        <v>51</v>
      </c>
      <c r="M448" s="107" t="s">
        <v>52</v>
      </c>
    </row>
    <row r="449" spans="1:13" ht="16">
      <c r="A449" s="101" t="str">
        <f t="shared" si="0"/>
        <v>OK</v>
      </c>
      <c r="B449" s="49">
        <v>133778</v>
      </c>
      <c r="C449" s="49" t="s">
        <v>571</v>
      </c>
      <c r="D449" s="49" t="s">
        <v>7</v>
      </c>
      <c r="E449" s="50">
        <v>2.4E-2</v>
      </c>
      <c r="F449" s="108">
        <v>350</v>
      </c>
      <c r="G449" s="51">
        <v>43891</v>
      </c>
      <c r="H449" s="108">
        <v>350</v>
      </c>
      <c r="I449" s="49" t="str">
        <f ca="1"/>
        <v>成嶋 夏未</v>
      </c>
      <c r="J449" s="109" t="s">
        <v>517</v>
      </c>
      <c r="K449" s="49" t="s">
        <v>50</v>
      </c>
      <c r="L449" s="100" t="s">
        <v>51</v>
      </c>
      <c r="M449" s="107" t="s">
        <v>52</v>
      </c>
    </row>
    <row r="450" spans="1:13" ht="16">
      <c r="A450" s="101" t="str">
        <f t="shared" si="0"/>
        <v>OK</v>
      </c>
      <c r="B450" s="49">
        <v>139453</v>
      </c>
      <c r="C450" s="49" t="s">
        <v>572</v>
      </c>
      <c r="D450" s="49" t="s">
        <v>7</v>
      </c>
      <c r="E450" s="50">
        <v>2.4E-2</v>
      </c>
      <c r="F450" s="108">
        <v>350</v>
      </c>
      <c r="G450" s="51">
        <v>43891</v>
      </c>
      <c r="H450" s="108">
        <v>350</v>
      </c>
      <c r="I450" s="49" t="str">
        <f ca="1"/>
        <v>成嶋 夏未</v>
      </c>
      <c r="J450" s="109" t="s">
        <v>517</v>
      </c>
      <c r="K450" s="49" t="s">
        <v>50</v>
      </c>
      <c r="L450" s="100" t="s">
        <v>51</v>
      </c>
      <c r="M450" s="107" t="s">
        <v>52</v>
      </c>
    </row>
    <row r="451" spans="1:13" ht="16">
      <c r="A451" s="101" t="str">
        <f t="shared" si="0"/>
        <v>OK</v>
      </c>
      <c r="B451" s="49">
        <v>109364</v>
      </c>
      <c r="C451" s="49" t="s">
        <v>573</v>
      </c>
      <c r="D451" s="49" t="s">
        <v>7</v>
      </c>
      <c r="E451" s="50">
        <v>8.5000000000000006E-2</v>
      </c>
      <c r="F451" s="108">
        <v>8</v>
      </c>
      <c r="G451" s="51">
        <v>43891</v>
      </c>
      <c r="H451" s="46">
        <v>350</v>
      </c>
      <c r="I451" s="49" t="str">
        <f ca="1"/>
        <v>小川 純</v>
      </c>
      <c r="J451" s="109" t="s">
        <v>57</v>
      </c>
      <c r="K451" s="49" t="s">
        <v>50</v>
      </c>
      <c r="L451" s="100" t="s">
        <v>51</v>
      </c>
      <c r="M451" s="107" t="s">
        <v>52</v>
      </c>
    </row>
    <row r="452" spans="1:13" ht="16">
      <c r="A452" s="101" t="str">
        <f t="shared" si="0"/>
        <v>OK</v>
      </c>
      <c r="B452" s="49">
        <v>109365</v>
      </c>
      <c r="C452" s="49" t="s">
        <v>574</v>
      </c>
      <c r="D452" s="49" t="s">
        <v>7</v>
      </c>
      <c r="E452" s="50">
        <v>8.5000000000000006E-2</v>
      </c>
      <c r="F452" s="108">
        <v>31</v>
      </c>
      <c r="G452" s="51">
        <v>43891</v>
      </c>
      <c r="H452" s="46">
        <v>550</v>
      </c>
      <c r="I452" s="49" t="str">
        <f ca="1"/>
        <v>小川 純</v>
      </c>
      <c r="J452" s="109" t="s">
        <v>57</v>
      </c>
      <c r="K452" s="49" t="s">
        <v>50</v>
      </c>
      <c r="L452" s="100" t="s">
        <v>51</v>
      </c>
      <c r="M452" s="107" t="s">
        <v>52</v>
      </c>
    </row>
    <row r="453" spans="1:13" ht="16">
      <c r="A453" s="101" t="str">
        <f t="shared" si="0"/>
        <v>OK</v>
      </c>
      <c r="B453" s="49">
        <v>109366</v>
      </c>
      <c r="C453" s="49" t="s">
        <v>575</v>
      </c>
      <c r="D453" s="49" t="s">
        <v>7</v>
      </c>
      <c r="E453" s="50">
        <v>8.5000000000000006E-2</v>
      </c>
      <c r="F453" s="108">
        <v>9</v>
      </c>
      <c r="G453" s="51">
        <v>43891</v>
      </c>
      <c r="H453" s="46">
        <v>550</v>
      </c>
      <c r="I453" s="49" t="str">
        <f ca="1"/>
        <v>小川 純</v>
      </c>
      <c r="J453" s="109" t="s">
        <v>57</v>
      </c>
      <c r="K453" s="49" t="s">
        <v>50</v>
      </c>
      <c r="L453" s="100" t="s">
        <v>51</v>
      </c>
      <c r="M453" s="107" t="s">
        <v>52</v>
      </c>
    </row>
    <row r="454" spans="1:13" ht="16">
      <c r="A454" s="101" t="str">
        <f t="shared" si="0"/>
        <v>OK</v>
      </c>
      <c r="B454" s="49">
        <v>109367</v>
      </c>
      <c r="C454" s="49" t="s">
        <v>576</v>
      </c>
      <c r="D454" s="49" t="s">
        <v>7</v>
      </c>
      <c r="E454" s="50">
        <v>8.5000000000000006E-2</v>
      </c>
      <c r="F454" s="108">
        <v>4</v>
      </c>
      <c r="G454" s="51">
        <v>43891</v>
      </c>
      <c r="H454" s="46">
        <v>300</v>
      </c>
      <c r="I454" s="49" t="str">
        <f ca="1"/>
        <v>小川 純</v>
      </c>
      <c r="J454" s="109" t="s">
        <v>57</v>
      </c>
      <c r="K454" s="49" t="s">
        <v>50</v>
      </c>
      <c r="L454" s="100" t="s">
        <v>51</v>
      </c>
      <c r="M454" s="107" t="s">
        <v>52</v>
      </c>
    </row>
    <row r="455" spans="1:13" ht="16">
      <c r="A455" s="101" t="str">
        <f t="shared" si="0"/>
        <v>OK</v>
      </c>
      <c r="B455" s="49">
        <v>110180</v>
      </c>
      <c r="C455" s="49" t="s">
        <v>577</v>
      </c>
      <c r="D455" s="49" t="s">
        <v>7</v>
      </c>
      <c r="E455" s="50">
        <v>8.5000000000000006E-2</v>
      </c>
      <c r="F455" s="108">
        <v>32</v>
      </c>
      <c r="G455" s="51">
        <v>43891</v>
      </c>
      <c r="H455" s="46">
        <v>450</v>
      </c>
      <c r="I455" s="49" t="str">
        <f ca="1"/>
        <v>小川 純</v>
      </c>
      <c r="J455" s="109" t="s">
        <v>57</v>
      </c>
      <c r="K455" s="49" t="s">
        <v>50</v>
      </c>
      <c r="L455" s="100" t="s">
        <v>51</v>
      </c>
      <c r="M455" s="107" t="s">
        <v>52</v>
      </c>
    </row>
    <row r="456" spans="1:13" ht="16">
      <c r="A456" s="101" t="str">
        <f t="shared" si="0"/>
        <v>OK</v>
      </c>
      <c r="B456" s="49">
        <v>115865</v>
      </c>
      <c r="C456" s="49" t="s">
        <v>578</v>
      </c>
      <c r="D456" s="49" t="s">
        <v>7</v>
      </c>
      <c r="E456" s="50">
        <v>8.5000000000000006E-2</v>
      </c>
      <c r="F456" s="108">
        <v>55</v>
      </c>
      <c r="G456" s="51">
        <v>43891</v>
      </c>
      <c r="H456" s="46">
        <v>650</v>
      </c>
      <c r="I456" s="49" t="str">
        <f ca="1"/>
        <v>小川 純</v>
      </c>
      <c r="J456" s="109" t="s">
        <v>57</v>
      </c>
      <c r="K456" s="49" t="s">
        <v>50</v>
      </c>
      <c r="L456" s="100" t="s">
        <v>51</v>
      </c>
      <c r="M456" s="107" t="s">
        <v>52</v>
      </c>
    </row>
    <row r="457" spans="1:13" ht="16">
      <c r="A457" s="101" t="str">
        <f t="shared" si="0"/>
        <v>OK</v>
      </c>
      <c r="B457" s="49">
        <v>117055</v>
      </c>
      <c r="C457" s="49" t="s">
        <v>579</v>
      </c>
      <c r="D457" s="49" t="s">
        <v>7</v>
      </c>
      <c r="E457" s="50">
        <v>8.5000000000000006E-2</v>
      </c>
      <c r="F457" s="108">
        <v>23</v>
      </c>
      <c r="G457" s="51">
        <v>43891</v>
      </c>
      <c r="H457" s="46">
        <v>600</v>
      </c>
      <c r="I457" s="49" t="str">
        <f ca="1"/>
        <v>小川 純</v>
      </c>
      <c r="J457" s="109" t="s">
        <v>57</v>
      </c>
      <c r="K457" s="49" t="s">
        <v>50</v>
      </c>
      <c r="L457" s="100" t="s">
        <v>51</v>
      </c>
      <c r="M457" s="107" t="s">
        <v>52</v>
      </c>
    </row>
    <row r="458" spans="1:13" ht="16">
      <c r="A458" s="101" t="str">
        <f t="shared" si="0"/>
        <v>OK</v>
      </c>
      <c r="B458" s="49">
        <v>118028</v>
      </c>
      <c r="C458" s="49" t="s">
        <v>580</v>
      </c>
      <c r="D458" s="49" t="s">
        <v>7</v>
      </c>
      <c r="E458" s="50">
        <v>8.5000000000000006E-2</v>
      </c>
      <c r="F458" s="108">
        <v>7</v>
      </c>
      <c r="G458" s="51">
        <v>43891</v>
      </c>
      <c r="H458" s="46">
        <v>400</v>
      </c>
      <c r="I458" s="49" t="str">
        <f ca="1"/>
        <v>小川 純</v>
      </c>
      <c r="J458" s="109" t="s">
        <v>57</v>
      </c>
      <c r="K458" s="49" t="s">
        <v>50</v>
      </c>
      <c r="L458" s="100" t="s">
        <v>51</v>
      </c>
      <c r="M458" s="107" t="s">
        <v>52</v>
      </c>
    </row>
    <row r="459" spans="1:13" ht="16">
      <c r="A459" s="101" t="str">
        <f t="shared" si="0"/>
        <v>OK</v>
      </c>
      <c r="B459" s="49">
        <v>118229</v>
      </c>
      <c r="C459" s="49" t="s">
        <v>581</v>
      </c>
      <c r="D459" s="49" t="s">
        <v>7</v>
      </c>
      <c r="E459" s="50">
        <v>8.5000000000000006E-2</v>
      </c>
      <c r="F459" s="108">
        <v>20</v>
      </c>
      <c r="G459" s="51">
        <v>43891</v>
      </c>
      <c r="H459" s="46">
        <v>450</v>
      </c>
      <c r="I459" s="49" t="str">
        <f ca="1"/>
        <v>小川 純</v>
      </c>
      <c r="J459" s="109" t="s">
        <v>57</v>
      </c>
      <c r="K459" s="49" t="s">
        <v>50</v>
      </c>
      <c r="L459" s="100" t="s">
        <v>51</v>
      </c>
      <c r="M459" s="107" t="s">
        <v>52</v>
      </c>
    </row>
    <row r="460" spans="1:13" ht="16">
      <c r="A460" s="101" t="str">
        <f t="shared" si="0"/>
        <v>OK</v>
      </c>
      <c r="B460" s="49">
        <v>120662</v>
      </c>
      <c r="C460" s="49" t="s">
        <v>582</v>
      </c>
      <c r="D460" s="49" t="s">
        <v>7</v>
      </c>
      <c r="E460" s="50">
        <v>8.5000000000000006E-2</v>
      </c>
      <c r="F460" s="108">
        <v>7</v>
      </c>
      <c r="G460" s="51">
        <v>43891</v>
      </c>
      <c r="H460" s="46">
        <v>600</v>
      </c>
      <c r="I460" s="49" t="str">
        <f ca="1"/>
        <v>小川 純</v>
      </c>
      <c r="J460" s="109" t="s">
        <v>57</v>
      </c>
      <c r="K460" s="49" t="s">
        <v>50</v>
      </c>
      <c r="L460" s="100" t="s">
        <v>51</v>
      </c>
      <c r="M460" s="107" t="s">
        <v>52</v>
      </c>
    </row>
    <row r="461" spans="1:13" ht="16">
      <c r="A461" s="101" t="str">
        <f t="shared" si="0"/>
        <v>OK</v>
      </c>
      <c r="B461" s="49">
        <v>125435</v>
      </c>
      <c r="C461" s="49" t="s">
        <v>583</v>
      </c>
      <c r="D461" s="49" t="s">
        <v>7</v>
      </c>
      <c r="E461" s="50">
        <v>8.5000000000000006E-2</v>
      </c>
      <c r="F461" s="108">
        <v>147</v>
      </c>
      <c r="G461" s="51">
        <v>43891</v>
      </c>
      <c r="H461" s="46">
        <v>800</v>
      </c>
      <c r="I461" s="49" t="str">
        <f ca="1"/>
        <v>小川 純</v>
      </c>
      <c r="J461" s="109" t="s">
        <v>57</v>
      </c>
      <c r="K461" s="49" t="s">
        <v>50</v>
      </c>
      <c r="L461" s="100" t="s">
        <v>51</v>
      </c>
      <c r="M461" s="107" t="s">
        <v>52</v>
      </c>
    </row>
    <row r="462" spans="1:13" ht="16">
      <c r="A462" s="101" t="str">
        <f t="shared" si="0"/>
        <v>OK</v>
      </c>
      <c r="B462" s="49">
        <v>128451</v>
      </c>
      <c r="C462" s="49" t="s">
        <v>584</v>
      </c>
      <c r="D462" s="49" t="s">
        <v>7</v>
      </c>
      <c r="E462" s="50">
        <v>8.5000000000000006E-2</v>
      </c>
      <c r="F462" s="108">
        <v>7</v>
      </c>
      <c r="G462" s="51">
        <v>43891</v>
      </c>
      <c r="H462" s="46">
        <v>600</v>
      </c>
      <c r="I462" s="49" t="str">
        <f ca="1"/>
        <v>小川 純</v>
      </c>
      <c r="J462" s="109" t="s">
        <v>57</v>
      </c>
      <c r="K462" s="49" t="s">
        <v>50</v>
      </c>
      <c r="L462" s="100" t="s">
        <v>51</v>
      </c>
      <c r="M462" s="107" t="s">
        <v>52</v>
      </c>
    </row>
    <row r="463" spans="1:13" ht="16">
      <c r="A463" s="101" t="str">
        <f t="shared" si="0"/>
        <v>OK</v>
      </c>
      <c r="B463" s="49">
        <v>131598</v>
      </c>
      <c r="C463" s="49" t="s">
        <v>585</v>
      </c>
      <c r="D463" s="49" t="s">
        <v>7</v>
      </c>
      <c r="E463" s="50">
        <v>8.5000000000000006E-2</v>
      </c>
      <c r="F463" s="108">
        <v>57</v>
      </c>
      <c r="G463" s="51">
        <v>43891</v>
      </c>
      <c r="H463" s="46">
        <v>650</v>
      </c>
      <c r="I463" s="49" t="str">
        <f ca="1"/>
        <v>小川 純</v>
      </c>
      <c r="J463" s="109" t="s">
        <v>57</v>
      </c>
      <c r="K463" s="49" t="s">
        <v>50</v>
      </c>
      <c r="L463" s="100" t="s">
        <v>51</v>
      </c>
      <c r="M463" s="107" t="s">
        <v>52</v>
      </c>
    </row>
    <row r="464" spans="1:13" ht="16">
      <c r="A464" s="101" t="str">
        <f t="shared" si="0"/>
        <v>OK</v>
      </c>
      <c r="B464" s="49">
        <v>132908</v>
      </c>
      <c r="C464" s="49" t="s">
        <v>586</v>
      </c>
      <c r="D464" s="49" t="s">
        <v>7</v>
      </c>
      <c r="E464" s="50">
        <v>8.5000000000000006E-2</v>
      </c>
      <c r="F464" s="108">
        <v>17</v>
      </c>
      <c r="G464" s="51">
        <v>43891</v>
      </c>
      <c r="H464" s="46">
        <v>700</v>
      </c>
      <c r="I464" s="49" t="str">
        <f ca="1"/>
        <v>小川 純</v>
      </c>
      <c r="J464" s="109" t="s">
        <v>57</v>
      </c>
      <c r="K464" s="49" t="s">
        <v>50</v>
      </c>
      <c r="L464" s="100" t="s">
        <v>51</v>
      </c>
      <c r="M464" s="107" t="s">
        <v>52</v>
      </c>
    </row>
    <row r="465" spans="1:13" ht="16">
      <c r="A465" s="101" t="str">
        <f t="shared" si="0"/>
        <v>OK</v>
      </c>
      <c r="B465" s="49">
        <v>133087</v>
      </c>
      <c r="C465" s="49" t="s">
        <v>587</v>
      </c>
      <c r="D465" s="49" t="s">
        <v>7</v>
      </c>
      <c r="E465" s="50">
        <v>8.5000000000000006E-2</v>
      </c>
      <c r="F465" s="108">
        <v>40</v>
      </c>
      <c r="G465" s="51">
        <v>43891</v>
      </c>
      <c r="H465" s="46">
        <v>350</v>
      </c>
      <c r="I465" s="49" t="str">
        <f ca="1"/>
        <v>小川 純</v>
      </c>
      <c r="J465" s="109" t="s">
        <v>57</v>
      </c>
      <c r="K465" s="49" t="s">
        <v>50</v>
      </c>
      <c r="L465" s="100" t="s">
        <v>51</v>
      </c>
      <c r="M465" s="107" t="s">
        <v>52</v>
      </c>
    </row>
    <row r="466" spans="1:13" ht="16">
      <c r="A466" s="101" t="str">
        <f t="shared" si="0"/>
        <v>OK</v>
      </c>
      <c r="B466" s="49">
        <v>134922</v>
      </c>
      <c r="C466" s="49" t="s">
        <v>588</v>
      </c>
      <c r="D466" s="49" t="s">
        <v>7</v>
      </c>
      <c r="E466" s="50">
        <v>8.5000000000000006E-2</v>
      </c>
      <c r="F466" s="108">
        <v>61</v>
      </c>
      <c r="G466" s="51">
        <v>43891</v>
      </c>
      <c r="H466" s="46">
        <v>700</v>
      </c>
      <c r="I466" s="49" t="str">
        <f ca="1"/>
        <v>小川 純</v>
      </c>
      <c r="J466" s="109" t="s">
        <v>57</v>
      </c>
      <c r="K466" s="49" t="s">
        <v>50</v>
      </c>
      <c r="L466" s="100" t="s">
        <v>51</v>
      </c>
      <c r="M466" s="107" t="s">
        <v>52</v>
      </c>
    </row>
    <row r="467" spans="1:13" ht="16">
      <c r="A467" s="101" t="str">
        <f t="shared" si="0"/>
        <v>OK</v>
      </c>
      <c r="B467" s="49">
        <v>135896</v>
      </c>
      <c r="C467" s="49" t="s">
        <v>589</v>
      </c>
      <c r="D467" s="49" t="s">
        <v>7</v>
      </c>
      <c r="E467" s="50">
        <v>8.5000000000000006E-2</v>
      </c>
      <c r="F467" s="108">
        <v>17</v>
      </c>
      <c r="G467" s="51">
        <v>43891</v>
      </c>
      <c r="H467" s="46">
        <v>450</v>
      </c>
      <c r="I467" s="49" t="str">
        <f ca="1"/>
        <v>小川 純</v>
      </c>
      <c r="J467" s="109" t="s">
        <v>57</v>
      </c>
      <c r="K467" s="49" t="s">
        <v>50</v>
      </c>
      <c r="L467" s="100" t="s">
        <v>51</v>
      </c>
      <c r="M467" s="107" t="s">
        <v>52</v>
      </c>
    </row>
    <row r="468" spans="1:13" ht="16">
      <c r="A468" s="101" t="str">
        <f t="shared" si="0"/>
        <v>OK</v>
      </c>
      <c r="B468" s="49">
        <v>138323</v>
      </c>
      <c r="C468" s="49" t="s">
        <v>590</v>
      </c>
      <c r="D468" s="49" t="s">
        <v>7</v>
      </c>
      <c r="E468" s="50">
        <v>8.5000000000000006E-2</v>
      </c>
      <c r="F468" s="108">
        <v>0</v>
      </c>
      <c r="G468" s="51">
        <v>43891</v>
      </c>
      <c r="H468" s="46">
        <v>700</v>
      </c>
      <c r="I468" s="49" t="str">
        <f ca="1"/>
        <v>小川 純</v>
      </c>
      <c r="J468" s="109" t="s">
        <v>57</v>
      </c>
      <c r="K468" s="49" t="s">
        <v>50</v>
      </c>
      <c r="L468" s="100" t="s">
        <v>51</v>
      </c>
      <c r="M468" s="107" t="s">
        <v>52</v>
      </c>
    </row>
    <row r="469" spans="1:13" ht="16">
      <c r="A469" s="101" t="str">
        <f t="shared" si="0"/>
        <v>OK</v>
      </c>
      <c r="B469" s="49">
        <v>138686</v>
      </c>
      <c r="C469" s="49" t="s">
        <v>591</v>
      </c>
      <c r="D469" s="49" t="s">
        <v>7</v>
      </c>
      <c r="E469" s="50">
        <v>8.5000000000000006E-2</v>
      </c>
      <c r="F469" s="108">
        <v>70</v>
      </c>
      <c r="G469" s="51">
        <v>43891</v>
      </c>
      <c r="H469" s="46">
        <v>450</v>
      </c>
      <c r="I469" s="49" t="str">
        <f ca="1"/>
        <v>小川 純</v>
      </c>
      <c r="J469" s="109" t="s">
        <v>57</v>
      </c>
      <c r="K469" s="49" t="s">
        <v>50</v>
      </c>
      <c r="L469" s="100" t="s">
        <v>51</v>
      </c>
      <c r="M469" s="107" t="s">
        <v>52</v>
      </c>
    </row>
    <row r="470" spans="1:13" ht="16">
      <c r="A470" s="101" t="str">
        <f t="shared" si="0"/>
        <v>OK</v>
      </c>
      <c r="B470" s="49">
        <v>140998</v>
      </c>
      <c r="C470" s="49" t="s">
        <v>592</v>
      </c>
      <c r="D470" s="49" t="s">
        <v>7</v>
      </c>
      <c r="E470" s="50">
        <v>8.5000000000000006E-2</v>
      </c>
      <c r="F470" s="108">
        <v>0</v>
      </c>
      <c r="G470" s="51">
        <v>43891</v>
      </c>
      <c r="H470" s="46">
        <v>350</v>
      </c>
      <c r="I470" s="49" t="str">
        <f ca="1"/>
        <v>小川 純</v>
      </c>
      <c r="J470" s="109" t="s">
        <v>57</v>
      </c>
      <c r="K470" s="49" t="s">
        <v>50</v>
      </c>
      <c r="L470" s="100" t="s">
        <v>51</v>
      </c>
      <c r="M470" s="107" t="s">
        <v>52</v>
      </c>
    </row>
    <row r="471" spans="1:13" ht="16">
      <c r="A471" s="101" t="str">
        <f t="shared" si="0"/>
        <v>OK</v>
      </c>
      <c r="B471" s="49">
        <v>140989</v>
      </c>
      <c r="C471" s="49" t="s">
        <v>593</v>
      </c>
      <c r="D471" s="49" t="s">
        <v>7</v>
      </c>
      <c r="E471" s="50">
        <v>8.5000000000000006E-2</v>
      </c>
      <c r="F471" s="108">
        <v>12</v>
      </c>
      <c r="G471" s="51">
        <v>43891</v>
      </c>
      <c r="H471" s="46">
        <v>350</v>
      </c>
      <c r="I471" s="49" t="str">
        <f ca="1"/>
        <v>小川 純</v>
      </c>
      <c r="J471" s="109" t="s">
        <v>57</v>
      </c>
      <c r="K471" s="49" t="s">
        <v>50</v>
      </c>
      <c r="L471" s="100" t="s">
        <v>51</v>
      </c>
      <c r="M471" s="107" t="s">
        <v>52</v>
      </c>
    </row>
    <row r="472" spans="1:13" ht="16">
      <c r="A472" s="101" t="str">
        <f t="shared" si="0"/>
        <v>OK</v>
      </c>
      <c r="B472" s="49">
        <v>102885</v>
      </c>
      <c r="C472" s="49" t="s">
        <v>594</v>
      </c>
      <c r="D472" s="49" t="s">
        <v>6</v>
      </c>
      <c r="E472" s="50">
        <v>5.7000000000000002E-2</v>
      </c>
      <c r="F472" s="108">
        <v>179</v>
      </c>
      <c r="G472" s="51">
        <v>43891</v>
      </c>
      <c r="H472" s="46">
        <v>700</v>
      </c>
      <c r="I472" s="49" t="str">
        <f ca="1"/>
        <v>稲場 勇介</v>
      </c>
      <c r="J472" s="109" t="s">
        <v>453</v>
      </c>
      <c r="K472" s="49" t="s">
        <v>50</v>
      </c>
      <c r="L472" s="100" t="s">
        <v>51</v>
      </c>
      <c r="M472" s="107" t="s">
        <v>52</v>
      </c>
    </row>
    <row r="473" spans="1:13" ht="16">
      <c r="A473" s="101" t="str">
        <f t="shared" si="0"/>
        <v>OK</v>
      </c>
      <c r="B473" s="49">
        <v>102886</v>
      </c>
      <c r="C473" s="49" t="s">
        <v>595</v>
      </c>
      <c r="D473" s="49" t="s">
        <v>6</v>
      </c>
      <c r="E473" s="50">
        <v>5.7000000000000002E-2</v>
      </c>
      <c r="F473" s="108">
        <v>155</v>
      </c>
      <c r="G473" s="51">
        <v>43891</v>
      </c>
      <c r="H473" s="46">
        <v>986</v>
      </c>
      <c r="I473" s="49" t="str">
        <f ca="1"/>
        <v>稲場 勇介</v>
      </c>
      <c r="J473" s="109" t="s">
        <v>453</v>
      </c>
      <c r="K473" s="49" t="s">
        <v>50</v>
      </c>
      <c r="L473" s="100" t="s">
        <v>51</v>
      </c>
      <c r="M473" s="107" t="s">
        <v>52</v>
      </c>
    </row>
    <row r="474" spans="1:13" ht="16">
      <c r="A474" s="101" t="str">
        <f t="shared" si="0"/>
        <v>OK</v>
      </c>
      <c r="B474" s="49">
        <v>102887</v>
      </c>
      <c r="C474" s="49" t="s">
        <v>596</v>
      </c>
      <c r="D474" s="49" t="s">
        <v>6</v>
      </c>
      <c r="E474" s="50">
        <v>5.7000000000000002E-2</v>
      </c>
      <c r="F474" s="108">
        <v>0</v>
      </c>
      <c r="G474" s="51">
        <v>43891</v>
      </c>
      <c r="H474" s="46">
        <v>552</v>
      </c>
      <c r="I474" s="49" t="str">
        <f ca="1"/>
        <v>稲場 勇介</v>
      </c>
      <c r="J474" s="109" t="s">
        <v>453</v>
      </c>
      <c r="K474" s="49" t="s">
        <v>50</v>
      </c>
      <c r="L474" s="100" t="s">
        <v>51</v>
      </c>
      <c r="M474" s="107" t="s">
        <v>52</v>
      </c>
    </row>
    <row r="475" spans="1:13" ht="16">
      <c r="A475" s="101" t="str">
        <f t="shared" si="0"/>
        <v>OK</v>
      </c>
      <c r="B475" s="49">
        <v>103207</v>
      </c>
      <c r="C475" s="49" t="s">
        <v>597</v>
      </c>
      <c r="D475" s="49" t="s">
        <v>6</v>
      </c>
      <c r="E475" s="50">
        <v>5.7000000000000002E-2</v>
      </c>
      <c r="F475" s="108">
        <v>0</v>
      </c>
      <c r="G475" s="51">
        <v>43891</v>
      </c>
      <c r="H475" s="46">
        <v>436</v>
      </c>
      <c r="I475" s="49" t="str">
        <f ca="1"/>
        <v>稲場 勇介</v>
      </c>
      <c r="J475" s="109" t="s">
        <v>453</v>
      </c>
      <c r="K475" s="49" t="s">
        <v>50</v>
      </c>
      <c r="L475" s="100" t="s">
        <v>51</v>
      </c>
      <c r="M475" s="107" t="s">
        <v>52</v>
      </c>
    </row>
    <row r="476" spans="1:13" ht="16">
      <c r="A476" s="101" t="str">
        <f t="shared" si="0"/>
        <v>OK</v>
      </c>
      <c r="B476" s="49">
        <v>104289</v>
      </c>
      <c r="C476" s="49" t="s">
        <v>598</v>
      </c>
      <c r="D476" s="49" t="s">
        <v>6</v>
      </c>
      <c r="E476" s="50">
        <v>5.7000000000000002E-2</v>
      </c>
      <c r="F476" s="108">
        <v>95</v>
      </c>
      <c r="G476" s="51">
        <v>43891</v>
      </c>
      <c r="H476" s="46">
        <v>900</v>
      </c>
      <c r="I476" s="49" t="str">
        <f ca="1"/>
        <v>稲場 勇介</v>
      </c>
      <c r="J476" s="109" t="s">
        <v>453</v>
      </c>
      <c r="K476" s="49" t="s">
        <v>50</v>
      </c>
      <c r="L476" s="100" t="s">
        <v>51</v>
      </c>
      <c r="M476" s="107" t="s">
        <v>52</v>
      </c>
    </row>
    <row r="477" spans="1:13" ht="16">
      <c r="A477" s="101" t="str">
        <f t="shared" si="0"/>
        <v>OK</v>
      </c>
      <c r="B477" s="49">
        <v>105764</v>
      </c>
      <c r="C477" s="49" t="s">
        <v>599</v>
      </c>
      <c r="D477" s="49" t="s">
        <v>6</v>
      </c>
      <c r="E477" s="50">
        <v>5.7000000000000002E-2</v>
      </c>
      <c r="F477" s="108">
        <v>166</v>
      </c>
      <c r="G477" s="51">
        <v>43891</v>
      </c>
      <c r="H477" s="46">
        <v>661</v>
      </c>
      <c r="I477" s="49" t="str">
        <f ca="1"/>
        <v>稲場 勇介</v>
      </c>
      <c r="J477" s="109" t="s">
        <v>453</v>
      </c>
      <c r="K477" s="49" t="s">
        <v>50</v>
      </c>
      <c r="L477" s="100" t="s">
        <v>51</v>
      </c>
      <c r="M477" s="107" t="s">
        <v>52</v>
      </c>
    </row>
    <row r="478" spans="1:13" ht="16">
      <c r="A478" s="101" t="str">
        <f t="shared" si="0"/>
        <v>OK</v>
      </c>
      <c r="B478" s="49">
        <v>106423</v>
      </c>
      <c r="C478" s="49" t="s">
        <v>600</v>
      </c>
      <c r="D478" s="49" t="s">
        <v>6</v>
      </c>
      <c r="E478" s="50">
        <v>5.7000000000000002E-2</v>
      </c>
      <c r="F478" s="108">
        <v>155</v>
      </c>
      <c r="G478" s="51">
        <v>43891</v>
      </c>
      <c r="H478" s="46">
        <v>945</v>
      </c>
      <c r="I478" s="49" t="str">
        <f ca="1"/>
        <v>稲場 勇介</v>
      </c>
      <c r="J478" s="109" t="s">
        <v>453</v>
      </c>
      <c r="K478" s="49" t="s">
        <v>50</v>
      </c>
      <c r="L478" s="100" t="s">
        <v>51</v>
      </c>
      <c r="M478" s="107" t="s">
        <v>52</v>
      </c>
    </row>
    <row r="479" spans="1:13" ht="16">
      <c r="A479" s="101" t="str">
        <f t="shared" si="0"/>
        <v>OK</v>
      </c>
      <c r="B479" s="49">
        <v>109665</v>
      </c>
      <c r="C479" s="49" t="s">
        <v>601</v>
      </c>
      <c r="D479" s="49" t="s">
        <v>6</v>
      </c>
      <c r="E479" s="50">
        <v>5.7000000000000002E-2</v>
      </c>
      <c r="F479" s="108">
        <v>0</v>
      </c>
      <c r="G479" s="51">
        <v>43891</v>
      </c>
      <c r="H479" s="46">
        <v>531</v>
      </c>
      <c r="I479" s="49" t="str">
        <f ca="1"/>
        <v>稲場 勇介</v>
      </c>
      <c r="J479" s="109" t="s">
        <v>453</v>
      </c>
      <c r="K479" s="49" t="s">
        <v>50</v>
      </c>
      <c r="L479" s="100" t="s">
        <v>51</v>
      </c>
      <c r="M479" s="107" t="s">
        <v>52</v>
      </c>
    </row>
    <row r="480" spans="1:13" ht="16">
      <c r="A480" s="101" t="str">
        <f t="shared" si="0"/>
        <v>OK</v>
      </c>
      <c r="B480" s="49">
        <v>113168</v>
      </c>
      <c r="C480" s="49" t="s">
        <v>602</v>
      </c>
      <c r="D480" s="49" t="s">
        <v>6</v>
      </c>
      <c r="E480" s="50">
        <v>5.7000000000000002E-2</v>
      </c>
      <c r="F480" s="108">
        <v>0</v>
      </c>
      <c r="G480" s="51">
        <v>43891</v>
      </c>
      <c r="H480" s="46">
        <v>593</v>
      </c>
      <c r="I480" s="49" t="str">
        <f ca="1"/>
        <v>稲場 勇介</v>
      </c>
      <c r="J480" s="109" t="s">
        <v>453</v>
      </c>
      <c r="K480" s="49" t="s">
        <v>50</v>
      </c>
      <c r="L480" s="100" t="s">
        <v>51</v>
      </c>
      <c r="M480" s="107" t="s">
        <v>52</v>
      </c>
    </row>
    <row r="481" spans="1:13" ht="16">
      <c r="A481" s="101" t="str">
        <f t="shared" si="0"/>
        <v>OK</v>
      </c>
      <c r="B481" s="49">
        <v>115076</v>
      </c>
      <c r="C481" s="49" t="s">
        <v>603</v>
      </c>
      <c r="D481" s="49" t="s">
        <v>6</v>
      </c>
      <c r="E481" s="50">
        <v>5.7000000000000002E-2</v>
      </c>
      <c r="F481" s="108">
        <v>0</v>
      </c>
      <c r="G481" s="51">
        <v>43891</v>
      </c>
      <c r="H481" s="46">
        <v>621</v>
      </c>
      <c r="I481" s="49" t="str">
        <f ca="1"/>
        <v>稲場 勇介</v>
      </c>
      <c r="J481" s="109" t="s">
        <v>453</v>
      </c>
      <c r="K481" s="49" t="s">
        <v>50</v>
      </c>
      <c r="L481" s="100" t="s">
        <v>51</v>
      </c>
      <c r="M481" s="107" t="s">
        <v>52</v>
      </c>
    </row>
    <row r="482" spans="1:13" ht="16">
      <c r="A482" s="101" t="str">
        <f t="shared" si="0"/>
        <v>OK</v>
      </c>
      <c r="B482" s="49">
        <v>117078</v>
      </c>
      <c r="C482" s="49" t="s">
        <v>604</v>
      </c>
      <c r="D482" s="49" t="s">
        <v>6</v>
      </c>
      <c r="E482" s="50">
        <v>5.7000000000000002E-2</v>
      </c>
      <c r="F482" s="108">
        <v>158</v>
      </c>
      <c r="G482" s="51">
        <v>43891</v>
      </c>
      <c r="H482" s="46">
        <v>695</v>
      </c>
      <c r="I482" s="49" t="str">
        <f ca="1"/>
        <v>稲場 勇介</v>
      </c>
      <c r="J482" s="109" t="s">
        <v>453</v>
      </c>
      <c r="K482" s="49" t="s">
        <v>50</v>
      </c>
      <c r="L482" s="100" t="s">
        <v>51</v>
      </c>
      <c r="M482" s="107" t="s">
        <v>52</v>
      </c>
    </row>
    <row r="483" spans="1:13" ht="16">
      <c r="A483" s="101" t="str">
        <f t="shared" si="0"/>
        <v>OK</v>
      </c>
      <c r="B483" s="49">
        <v>117545</v>
      </c>
      <c r="C483" s="49" t="s">
        <v>605</v>
      </c>
      <c r="D483" s="49" t="s">
        <v>6</v>
      </c>
      <c r="E483" s="50">
        <v>5.7000000000000002E-2</v>
      </c>
      <c r="F483" s="108">
        <v>0</v>
      </c>
      <c r="G483" s="51">
        <v>43891</v>
      </c>
      <c r="H483" s="46">
        <v>566</v>
      </c>
      <c r="I483" s="49" t="str">
        <f ca="1"/>
        <v>稲場 勇介</v>
      </c>
      <c r="J483" s="109" t="s">
        <v>453</v>
      </c>
      <c r="K483" s="49" t="s">
        <v>50</v>
      </c>
      <c r="L483" s="100" t="s">
        <v>51</v>
      </c>
      <c r="M483" s="107" t="s">
        <v>52</v>
      </c>
    </row>
    <row r="484" spans="1:13" ht="16">
      <c r="A484" s="101" t="str">
        <f t="shared" si="0"/>
        <v>OK</v>
      </c>
      <c r="B484" s="49">
        <v>118398</v>
      </c>
      <c r="C484" s="49" t="s">
        <v>606</v>
      </c>
      <c r="D484" s="49" t="s">
        <v>6</v>
      </c>
      <c r="E484" s="50">
        <v>5.7000000000000002E-2</v>
      </c>
      <c r="F484" s="108">
        <v>0</v>
      </c>
      <c r="G484" s="51">
        <v>43891</v>
      </c>
      <c r="H484" s="46">
        <v>800</v>
      </c>
      <c r="I484" s="49" t="str">
        <f ca="1"/>
        <v>稲場 勇介</v>
      </c>
      <c r="J484" s="109" t="s">
        <v>453</v>
      </c>
      <c r="K484" s="49" t="s">
        <v>50</v>
      </c>
      <c r="L484" s="100" t="s">
        <v>51</v>
      </c>
      <c r="M484" s="107" t="s">
        <v>52</v>
      </c>
    </row>
    <row r="485" spans="1:13" ht="16">
      <c r="A485" s="101" t="str">
        <f t="shared" si="0"/>
        <v>OK</v>
      </c>
      <c r="B485" s="49">
        <v>124205</v>
      </c>
      <c r="C485" s="49" t="s">
        <v>607</v>
      </c>
      <c r="D485" s="49" t="s">
        <v>6</v>
      </c>
      <c r="E485" s="50">
        <v>5.7000000000000002E-2</v>
      </c>
      <c r="F485" s="108">
        <v>84</v>
      </c>
      <c r="G485" s="51">
        <v>43891</v>
      </c>
      <c r="H485" s="46">
        <v>831</v>
      </c>
      <c r="I485" s="49" t="str">
        <f ca="1"/>
        <v>稲場 勇介</v>
      </c>
      <c r="J485" s="109" t="s">
        <v>453</v>
      </c>
      <c r="K485" s="49" t="s">
        <v>50</v>
      </c>
      <c r="L485" s="100" t="s">
        <v>51</v>
      </c>
      <c r="M485" s="107" t="s">
        <v>52</v>
      </c>
    </row>
    <row r="486" spans="1:13" ht="16">
      <c r="A486" s="101" t="str">
        <f t="shared" si="0"/>
        <v>OK</v>
      </c>
      <c r="B486" s="49">
        <v>124206</v>
      </c>
      <c r="C486" s="49" t="s">
        <v>608</v>
      </c>
      <c r="D486" s="49" t="s">
        <v>6</v>
      </c>
      <c r="E486" s="50">
        <v>5.7000000000000002E-2</v>
      </c>
      <c r="F486" s="108">
        <v>0</v>
      </c>
      <c r="G486" s="51">
        <v>43891</v>
      </c>
      <c r="H486" s="46">
        <v>700</v>
      </c>
      <c r="I486" s="49" t="str">
        <f ca="1"/>
        <v>稲場 勇介</v>
      </c>
      <c r="J486" s="109" t="s">
        <v>453</v>
      </c>
      <c r="K486" s="49" t="s">
        <v>50</v>
      </c>
      <c r="L486" s="100" t="s">
        <v>51</v>
      </c>
      <c r="M486" s="107" t="s">
        <v>52</v>
      </c>
    </row>
    <row r="487" spans="1:13" ht="16">
      <c r="A487" s="101" t="str">
        <f t="shared" si="0"/>
        <v>OK</v>
      </c>
      <c r="B487" s="49">
        <v>125608</v>
      </c>
      <c r="C487" s="49" t="s">
        <v>609</v>
      </c>
      <c r="D487" s="49" t="s">
        <v>6</v>
      </c>
      <c r="E487" s="50">
        <v>5.7000000000000002E-2</v>
      </c>
      <c r="F487" s="108">
        <v>0</v>
      </c>
      <c r="G487" s="51">
        <v>43891</v>
      </c>
      <c r="H487" s="46">
        <v>800</v>
      </c>
      <c r="I487" s="49" t="str">
        <f ca="1"/>
        <v>稲場 勇介</v>
      </c>
      <c r="J487" s="109" t="s">
        <v>453</v>
      </c>
      <c r="K487" s="49" t="s">
        <v>50</v>
      </c>
      <c r="L487" s="100" t="s">
        <v>51</v>
      </c>
      <c r="M487" s="107" t="s">
        <v>52</v>
      </c>
    </row>
    <row r="488" spans="1:13" ht="16">
      <c r="A488" s="101" t="str">
        <f t="shared" si="0"/>
        <v>OK</v>
      </c>
      <c r="B488" s="49">
        <v>125853</v>
      </c>
      <c r="C488" s="49" t="s">
        <v>610</v>
      </c>
      <c r="D488" s="49" t="s">
        <v>6</v>
      </c>
      <c r="E488" s="50">
        <v>5.7000000000000002E-2</v>
      </c>
      <c r="F488" s="108">
        <v>113</v>
      </c>
      <c r="G488" s="51">
        <v>43891</v>
      </c>
      <c r="H488" s="46">
        <v>998</v>
      </c>
      <c r="I488" s="49" t="str">
        <f ca="1"/>
        <v>稲場 勇介</v>
      </c>
      <c r="J488" s="109" t="s">
        <v>453</v>
      </c>
      <c r="K488" s="49" t="s">
        <v>50</v>
      </c>
      <c r="L488" s="100" t="s">
        <v>51</v>
      </c>
      <c r="M488" s="107" t="s">
        <v>52</v>
      </c>
    </row>
    <row r="489" spans="1:13" ht="16">
      <c r="A489" s="101" t="str">
        <f t="shared" si="0"/>
        <v>OK</v>
      </c>
      <c r="B489" s="49">
        <v>131113</v>
      </c>
      <c r="C489" s="49" t="s">
        <v>611</v>
      </c>
      <c r="D489" s="49" t="s">
        <v>6</v>
      </c>
      <c r="E489" s="50">
        <v>5.7000000000000002E-2</v>
      </c>
      <c r="F489" s="108">
        <v>70</v>
      </c>
      <c r="G489" s="51">
        <v>43891</v>
      </c>
      <c r="H489" s="46">
        <v>687</v>
      </c>
      <c r="I489" s="49" t="str">
        <f ca="1"/>
        <v>稲場 勇介</v>
      </c>
      <c r="J489" s="109" t="s">
        <v>453</v>
      </c>
      <c r="K489" s="49" t="s">
        <v>50</v>
      </c>
      <c r="L489" s="100" t="s">
        <v>51</v>
      </c>
      <c r="M489" s="107" t="s">
        <v>52</v>
      </c>
    </row>
    <row r="490" spans="1:13" ht="16">
      <c r="A490" s="101" t="str">
        <f t="shared" si="0"/>
        <v>OK</v>
      </c>
      <c r="B490" s="49">
        <v>135324</v>
      </c>
      <c r="C490" s="49" t="s">
        <v>612</v>
      </c>
      <c r="D490" s="49" t="s">
        <v>6</v>
      </c>
      <c r="E490" s="50">
        <v>5.7000000000000002E-2</v>
      </c>
      <c r="F490" s="108">
        <v>0</v>
      </c>
      <c r="G490" s="51">
        <v>43891</v>
      </c>
      <c r="H490" s="46">
        <v>589</v>
      </c>
      <c r="I490" s="49" t="str">
        <f ca="1"/>
        <v>稲場 勇介</v>
      </c>
      <c r="J490" s="109" t="s">
        <v>453</v>
      </c>
      <c r="K490" s="49" t="s">
        <v>50</v>
      </c>
      <c r="L490" s="100" t="s">
        <v>51</v>
      </c>
      <c r="M490" s="107" t="s">
        <v>52</v>
      </c>
    </row>
    <row r="491" spans="1:13" ht="16">
      <c r="A491" s="101" t="str">
        <f t="shared" si="0"/>
        <v>OK</v>
      </c>
      <c r="B491" s="49">
        <v>136506</v>
      </c>
      <c r="C491" s="49" t="s">
        <v>613</v>
      </c>
      <c r="D491" s="49" t="s">
        <v>6</v>
      </c>
      <c r="E491" s="50">
        <v>5.7000000000000002E-2</v>
      </c>
      <c r="F491" s="108">
        <v>83</v>
      </c>
      <c r="G491" s="51">
        <v>43891</v>
      </c>
      <c r="H491" s="46">
        <v>650</v>
      </c>
      <c r="I491" s="49" t="str">
        <f ca="1"/>
        <v>稲場 勇介</v>
      </c>
      <c r="J491" s="109" t="s">
        <v>453</v>
      </c>
      <c r="K491" s="49" t="s">
        <v>50</v>
      </c>
      <c r="L491" s="100" t="s">
        <v>51</v>
      </c>
      <c r="M491" s="107" t="s">
        <v>52</v>
      </c>
    </row>
    <row r="492" spans="1:13" ht="16">
      <c r="A492" s="101" t="str">
        <f t="shared" si="0"/>
        <v>OK</v>
      </c>
      <c r="B492" s="49">
        <v>137805</v>
      </c>
      <c r="C492" s="49" t="s">
        <v>614</v>
      </c>
      <c r="D492" s="49" t="s">
        <v>6</v>
      </c>
      <c r="E492" s="50">
        <v>5.7000000000000002E-2</v>
      </c>
      <c r="F492" s="108">
        <v>61</v>
      </c>
      <c r="G492" s="51">
        <v>43891</v>
      </c>
      <c r="H492" s="46">
        <v>680</v>
      </c>
      <c r="I492" s="49" t="str">
        <f ca="1"/>
        <v>稲場 勇介</v>
      </c>
      <c r="J492" s="109" t="s">
        <v>453</v>
      </c>
      <c r="K492" s="49" t="s">
        <v>50</v>
      </c>
      <c r="L492" s="100" t="s">
        <v>51</v>
      </c>
      <c r="M492" s="107" t="s">
        <v>52</v>
      </c>
    </row>
    <row r="493" spans="1:13" ht="16">
      <c r="A493" s="101" t="str">
        <f t="shared" si="0"/>
        <v>OK</v>
      </c>
      <c r="B493" s="49">
        <v>140083</v>
      </c>
      <c r="C493" s="49" t="s">
        <v>615</v>
      </c>
      <c r="D493" s="49" t="s">
        <v>6</v>
      </c>
      <c r="E493" s="50">
        <v>5.7000000000000002E-2</v>
      </c>
      <c r="F493" s="108">
        <v>0</v>
      </c>
      <c r="G493" s="51">
        <v>43891</v>
      </c>
      <c r="H493" s="46">
        <v>597</v>
      </c>
      <c r="I493" s="49" t="str">
        <f ca="1"/>
        <v>稲場 勇介</v>
      </c>
      <c r="J493" s="109" t="s">
        <v>453</v>
      </c>
      <c r="K493" s="49" t="s">
        <v>50</v>
      </c>
      <c r="L493" s="100" t="s">
        <v>51</v>
      </c>
      <c r="M493" s="107" t="s">
        <v>52</v>
      </c>
    </row>
    <row r="494" spans="1:13" ht="16">
      <c r="A494" s="101" t="str">
        <f t="shared" si="0"/>
        <v>OK</v>
      </c>
      <c r="B494" s="49">
        <v>141097</v>
      </c>
      <c r="C494" s="49" t="s">
        <v>616</v>
      </c>
      <c r="D494" s="49" t="s">
        <v>6</v>
      </c>
      <c r="E494" s="50">
        <v>5.7000000000000002E-2</v>
      </c>
      <c r="F494" s="108">
        <v>10</v>
      </c>
      <c r="G494" s="51">
        <v>43891</v>
      </c>
      <c r="H494" s="46">
        <v>685</v>
      </c>
      <c r="I494" s="49" t="str">
        <f ca="1"/>
        <v>稲場 勇介</v>
      </c>
      <c r="J494" s="109" t="s">
        <v>453</v>
      </c>
      <c r="K494" s="49" t="s">
        <v>50</v>
      </c>
      <c r="L494" s="100" t="s">
        <v>51</v>
      </c>
      <c r="M494" s="107" t="s">
        <v>52</v>
      </c>
    </row>
    <row r="495" spans="1:13" ht="16">
      <c r="A495" s="101" t="str">
        <f t="shared" si="0"/>
        <v>OK</v>
      </c>
      <c r="B495" s="49">
        <v>114352</v>
      </c>
      <c r="C495" s="49" t="s">
        <v>617</v>
      </c>
      <c r="D495" s="49" t="s">
        <v>1</v>
      </c>
      <c r="E495" s="50">
        <v>7.0000000000000007E-2</v>
      </c>
      <c r="F495" s="108">
        <v>9</v>
      </c>
      <c r="G495" s="51">
        <v>43891</v>
      </c>
      <c r="H495" s="46">
        <v>220</v>
      </c>
      <c r="I495" s="49" t="str">
        <f ca="1"/>
        <v>長谷川 陸朗</v>
      </c>
      <c r="J495" s="109" t="s">
        <v>46</v>
      </c>
      <c r="K495" s="49" t="s">
        <v>50</v>
      </c>
      <c r="L495" s="100" t="s">
        <v>51</v>
      </c>
      <c r="M495" s="107" t="s">
        <v>52</v>
      </c>
    </row>
    <row r="496" spans="1:13" ht="16">
      <c r="A496" s="101" t="str">
        <f t="shared" si="0"/>
        <v>OK</v>
      </c>
      <c r="B496" s="49">
        <v>121209</v>
      </c>
      <c r="C496" s="49" t="s">
        <v>619</v>
      </c>
      <c r="D496" s="49" t="s">
        <v>1</v>
      </c>
      <c r="E496" s="50">
        <v>7.0000000000000007E-2</v>
      </c>
      <c r="F496" s="108">
        <v>51</v>
      </c>
      <c r="G496" s="51">
        <v>43891</v>
      </c>
      <c r="H496" s="46">
        <v>220</v>
      </c>
      <c r="I496" s="49" t="str">
        <f ca="1"/>
        <v>長谷川 陸朗</v>
      </c>
      <c r="J496" s="109" t="s">
        <v>46</v>
      </c>
      <c r="K496" s="49" t="s">
        <v>50</v>
      </c>
      <c r="L496" s="100" t="s">
        <v>51</v>
      </c>
      <c r="M496" s="107" t="s">
        <v>52</v>
      </c>
    </row>
    <row r="497" spans="1:13" ht="16">
      <c r="A497" s="101" t="str">
        <f t="shared" si="0"/>
        <v>OK</v>
      </c>
      <c r="B497" s="49">
        <v>121210</v>
      </c>
      <c r="C497" s="49" t="s">
        <v>620</v>
      </c>
      <c r="D497" s="49" t="s">
        <v>1</v>
      </c>
      <c r="E497" s="50">
        <v>7.0000000000000007E-2</v>
      </c>
      <c r="F497" s="108">
        <v>126</v>
      </c>
      <c r="G497" s="51">
        <v>43891</v>
      </c>
      <c r="H497" s="46">
        <v>220</v>
      </c>
      <c r="I497" s="49" t="str">
        <f ca="1"/>
        <v>長谷川 陸朗</v>
      </c>
      <c r="J497" s="109" t="s">
        <v>46</v>
      </c>
      <c r="K497" s="49" t="s">
        <v>50</v>
      </c>
      <c r="L497" s="100" t="s">
        <v>51</v>
      </c>
      <c r="M497" s="107" t="s">
        <v>52</v>
      </c>
    </row>
    <row r="498" spans="1:13" ht="16">
      <c r="A498" s="101" t="str">
        <f t="shared" si="0"/>
        <v>OK</v>
      </c>
      <c r="B498" s="49">
        <v>121211</v>
      </c>
      <c r="C498" s="49" t="s">
        <v>621</v>
      </c>
      <c r="D498" s="49" t="s">
        <v>1</v>
      </c>
      <c r="E498" s="50">
        <v>7.0000000000000007E-2</v>
      </c>
      <c r="F498" s="108">
        <v>7</v>
      </c>
      <c r="G498" s="51">
        <v>43891</v>
      </c>
      <c r="H498" s="46">
        <v>220</v>
      </c>
      <c r="I498" s="49" t="str">
        <f ca="1"/>
        <v>長谷川 陸朗</v>
      </c>
      <c r="J498" s="109" t="s">
        <v>46</v>
      </c>
      <c r="K498" s="49" t="s">
        <v>50</v>
      </c>
      <c r="L498" s="100" t="s">
        <v>51</v>
      </c>
      <c r="M498" s="107" t="s">
        <v>52</v>
      </c>
    </row>
    <row r="499" spans="1:13" ht="16">
      <c r="A499" s="101" t="str">
        <f t="shared" si="0"/>
        <v>OK</v>
      </c>
      <c r="B499" s="49">
        <v>121212</v>
      </c>
      <c r="C499" s="49" t="s">
        <v>622</v>
      </c>
      <c r="D499" s="49" t="s">
        <v>1</v>
      </c>
      <c r="E499" s="50">
        <v>7.0000000000000007E-2</v>
      </c>
      <c r="F499" s="108">
        <v>7</v>
      </c>
      <c r="G499" s="51">
        <v>43891</v>
      </c>
      <c r="H499" s="46">
        <v>220</v>
      </c>
      <c r="I499" s="49" t="str">
        <f ca="1"/>
        <v>長谷川 陸朗</v>
      </c>
      <c r="J499" s="109" t="s">
        <v>46</v>
      </c>
      <c r="K499" s="49" t="s">
        <v>50</v>
      </c>
      <c r="L499" s="100" t="s">
        <v>51</v>
      </c>
      <c r="M499" s="107" t="s">
        <v>52</v>
      </c>
    </row>
    <row r="500" spans="1:13" ht="16">
      <c r="A500" s="101" t="str">
        <f t="shared" si="0"/>
        <v>OK</v>
      </c>
      <c r="B500" s="49">
        <v>121213</v>
      </c>
      <c r="C500" s="49" t="s">
        <v>623</v>
      </c>
      <c r="D500" s="49" t="s">
        <v>1</v>
      </c>
      <c r="E500" s="50">
        <v>7.0000000000000007E-2</v>
      </c>
      <c r="F500" s="108">
        <v>1</v>
      </c>
      <c r="G500" s="51">
        <v>43891</v>
      </c>
      <c r="H500" s="46">
        <v>220</v>
      </c>
      <c r="I500" s="49" t="str">
        <f ca="1"/>
        <v>長谷川 陸朗</v>
      </c>
      <c r="J500" s="109" t="s">
        <v>46</v>
      </c>
      <c r="K500" s="49" t="s">
        <v>50</v>
      </c>
      <c r="L500" s="100" t="s">
        <v>51</v>
      </c>
      <c r="M500" s="107" t="s">
        <v>52</v>
      </c>
    </row>
    <row r="501" spans="1:13" ht="16">
      <c r="A501" s="101" t="str">
        <f t="shared" si="0"/>
        <v>OK</v>
      </c>
      <c r="B501" s="49">
        <v>121214</v>
      </c>
      <c r="C501" s="49" t="s">
        <v>624</v>
      </c>
      <c r="D501" s="49" t="s">
        <v>1</v>
      </c>
      <c r="E501" s="50">
        <v>7.0000000000000007E-2</v>
      </c>
      <c r="F501" s="108">
        <v>12</v>
      </c>
      <c r="G501" s="51">
        <v>43891</v>
      </c>
      <c r="H501" s="46">
        <v>220</v>
      </c>
      <c r="I501" s="49" t="str">
        <f ca="1"/>
        <v>長谷川 陸朗</v>
      </c>
      <c r="J501" s="109" t="s">
        <v>46</v>
      </c>
      <c r="K501" s="49" t="s">
        <v>50</v>
      </c>
      <c r="L501" s="100" t="s">
        <v>51</v>
      </c>
      <c r="M501" s="107" t="s">
        <v>52</v>
      </c>
    </row>
    <row r="502" spans="1:13" ht="16">
      <c r="A502" s="101" t="str">
        <f t="shared" si="0"/>
        <v>OK</v>
      </c>
      <c r="B502" s="49">
        <v>112838</v>
      </c>
      <c r="C502" s="49" t="s">
        <v>625</v>
      </c>
      <c r="D502" s="49" t="s">
        <v>5</v>
      </c>
      <c r="E502" s="50">
        <v>8.7999999999999995E-2</v>
      </c>
      <c r="F502" s="108">
        <v>0</v>
      </c>
      <c r="G502" s="51">
        <v>43891</v>
      </c>
      <c r="H502" s="46">
        <v>346</v>
      </c>
      <c r="I502" s="49" t="str">
        <f ca="1"/>
        <v>奥野 貴大</v>
      </c>
      <c r="J502" s="109" t="s">
        <v>78</v>
      </c>
      <c r="K502" s="49" t="s">
        <v>50</v>
      </c>
      <c r="L502" s="100" t="s">
        <v>51</v>
      </c>
      <c r="M502" s="107" t="s">
        <v>52</v>
      </c>
    </row>
    <row r="503" spans="1:13" ht="16">
      <c r="A503" s="101" t="str">
        <f t="shared" si="0"/>
        <v>OK</v>
      </c>
      <c r="B503" s="49">
        <v>118810</v>
      </c>
      <c r="C503" s="49" t="s">
        <v>626</v>
      </c>
      <c r="D503" s="49" t="s">
        <v>5</v>
      </c>
      <c r="E503" s="50">
        <v>8.7999999999999995E-2</v>
      </c>
      <c r="F503" s="108">
        <v>0</v>
      </c>
      <c r="G503" s="51">
        <v>43891</v>
      </c>
      <c r="H503" s="46">
        <v>79</v>
      </c>
      <c r="I503" s="49" t="str">
        <f ca="1"/>
        <v>奥野 貴大</v>
      </c>
      <c r="J503" s="109" t="s">
        <v>78</v>
      </c>
      <c r="K503" s="49" t="s">
        <v>50</v>
      </c>
      <c r="L503" s="100" t="s">
        <v>51</v>
      </c>
      <c r="M503" s="107" t="s">
        <v>52</v>
      </c>
    </row>
    <row r="504" spans="1:13" ht="16">
      <c r="A504" s="101" t="str">
        <f t="shared" si="0"/>
        <v>OK</v>
      </c>
      <c r="B504" s="49">
        <v>118827</v>
      </c>
      <c r="C504" s="49" t="s">
        <v>627</v>
      </c>
      <c r="D504" s="49" t="s">
        <v>5</v>
      </c>
      <c r="E504" s="50">
        <v>8.7999999999999995E-2</v>
      </c>
      <c r="F504" s="108">
        <v>9</v>
      </c>
      <c r="G504" s="51">
        <v>43891</v>
      </c>
      <c r="H504" s="46">
        <v>496</v>
      </c>
      <c r="I504" s="49" t="str">
        <f ca="1"/>
        <v>奥野 貴大</v>
      </c>
      <c r="J504" s="109" t="s">
        <v>78</v>
      </c>
      <c r="K504" s="49" t="s">
        <v>50</v>
      </c>
      <c r="L504" s="100" t="s">
        <v>51</v>
      </c>
      <c r="M504" s="107" t="s">
        <v>52</v>
      </c>
    </row>
    <row r="505" spans="1:13" ht="16">
      <c r="A505" s="101" t="str">
        <f t="shared" si="0"/>
        <v>OK</v>
      </c>
      <c r="B505" s="49">
        <v>118828</v>
      </c>
      <c r="C505" s="49" t="s">
        <v>628</v>
      </c>
      <c r="D505" s="49" t="s">
        <v>5</v>
      </c>
      <c r="E505" s="50">
        <v>8.7999999999999995E-2</v>
      </c>
      <c r="F505" s="108">
        <v>49</v>
      </c>
      <c r="G505" s="51">
        <v>43891</v>
      </c>
      <c r="H505" s="46">
        <v>1300</v>
      </c>
      <c r="I505" s="49" t="str">
        <f ca="1"/>
        <v>奥野 貴大</v>
      </c>
      <c r="J505" s="109" t="s">
        <v>78</v>
      </c>
      <c r="K505" s="49" t="s">
        <v>50</v>
      </c>
      <c r="L505" s="100" t="s">
        <v>51</v>
      </c>
      <c r="M505" s="107" t="s">
        <v>52</v>
      </c>
    </row>
    <row r="506" spans="1:13" ht="16">
      <c r="A506" s="101" t="str">
        <f t="shared" si="0"/>
        <v>OK</v>
      </c>
      <c r="B506" s="49">
        <v>122877</v>
      </c>
      <c r="C506" s="49" t="s">
        <v>629</v>
      </c>
      <c r="D506" s="49" t="s">
        <v>5</v>
      </c>
      <c r="E506" s="50">
        <v>8.7999999999999995E-2</v>
      </c>
      <c r="F506" s="108">
        <v>0</v>
      </c>
      <c r="G506" s="51">
        <v>43891</v>
      </c>
      <c r="H506" s="46">
        <v>54</v>
      </c>
      <c r="I506" s="49" t="str">
        <f ca="1"/>
        <v>奥野 貴大</v>
      </c>
      <c r="J506" s="109" t="s">
        <v>78</v>
      </c>
      <c r="K506" s="49" t="s">
        <v>50</v>
      </c>
      <c r="L506" s="100" t="s">
        <v>51</v>
      </c>
      <c r="M506" s="107" t="s">
        <v>52</v>
      </c>
    </row>
    <row r="507" spans="1:13" ht="16">
      <c r="A507" s="101" t="str">
        <f t="shared" si="0"/>
        <v>OK</v>
      </c>
      <c r="B507" s="49">
        <v>117122</v>
      </c>
      <c r="C507" s="49" t="s">
        <v>630</v>
      </c>
      <c r="D507" s="49" t="s">
        <v>5</v>
      </c>
      <c r="E507" s="50">
        <v>8.5000000000000006E-2</v>
      </c>
      <c r="F507" s="108">
        <v>76</v>
      </c>
      <c r="G507" s="51">
        <v>43891</v>
      </c>
      <c r="H507" s="47">
        <v>767</v>
      </c>
      <c r="I507" s="49" t="str">
        <f ca="1"/>
        <v>桐山 勝気</v>
      </c>
      <c r="J507" s="109" t="s">
        <v>631</v>
      </c>
      <c r="K507" s="49" t="s">
        <v>50</v>
      </c>
      <c r="L507" s="100" t="s">
        <v>51</v>
      </c>
      <c r="M507" s="107" t="s">
        <v>52</v>
      </c>
    </row>
    <row r="508" spans="1:13" ht="16">
      <c r="A508" s="101" t="str">
        <f t="shared" si="0"/>
        <v>OK</v>
      </c>
      <c r="B508" s="49">
        <v>119388</v>
      </c>
      <c r="C508" s="49" t="s">
        <v>632</v>
      </c>
      <c r="D508" s="49" t="s">
        <v>5</v>
      </c>
      <c r="E508" s="50">
        <v>8.5000000000000006E-2</v>
      </c>
      <c r="F508" s="108">
        <v>50</v>
      </c>
      <c r="G508" s="51">
        <v>43891</v>
      </c>
      <c r="H508" s="47">
        <v>880</v>
      </c>
      <c r="I508" s="49" t="str">
        <f ca="1"/>
        <v>桐山 勝気</v>
      </c>
      <c r="J508" s="109" t="s">
        <v>631</v>
      </c>
      <c r="K508" s="49" t="s">
        <v>50</v>
      </c>
      <c r="L508" s="100" t="s">
        <v>51</v>
      </c>
      <c r="M508" s="107" t="s">
        <v>52</v>
      </c>
    </row>
    <row r="509" spans="1:13" ht="16">
      <c r="A509" s="101" t="str">
        <f t="shared" si="0"/>
        <v>OK</v>
      </c>
      <c r="B509" s="49">
        <v>120193</v>
      </c>
      <c r="C509" s="49" t="s">
        <v>633</v>
      </c>
      <c r="D509" s="49" t="s">
        <v>5</v>
      </c>
      <c r="E509" s="50">
        <v>8.5000000000000006E-2</v>
      </c>
      <c r="F509" s="108">
        <v>32</v>
      </c>
      <c r="G509" s="51">
        <v>43891</v>
      </c>
      <c r="H509" s="47">
        <v>776</v>
      </c>
      <c r="I509" s="49" t="str">
        <f ca="1"/>
        <v>桐山 勝気</v>
      </c>
      <c r="J509" s="109" t="s">
        <v>631</v>
      </c>
      <c r="K509" s="49" t="s">
        <v>50</v>
      </c>
      <c r="L509" s="100" t="s">
        <v>51</v>
      </c>
      <c r="M509" s="107" t="s">
        <v>52</v>
      </c>
    </row>
    <row r="510" spans="1:13" ht="16">
      <c r="A510" s="101" t="str">
        <f t="shared" si="0"/>
        <v>OK</v>
      </c>
      <c r="B510" s="49">
        <v>120194</v>
      </c>
      <c r="C510" s="49" t="s">
        <v>634</v>
      </c>
      <c r="D510" s="49" t="s">
        <v>5</v>
      </c>
      <c r="E510" s="50">
        <v>8.5000000000000006E-2</v>
      </c>
      <c r="F510" s="108">
        <v>35</v>
      </c>
      <c r="G510" s="51">
        <v>43891</v>
      </c>
      <c r="H510" s="47">
        <v>542</v>
      </c>
      <c r="I510" s="49" t="str">
        <f ca="1"/>
        <v>桐山 勝気</v>
      </c>
      <c r="J510" s="109" t="s">
        <v>631</v>
      </c>
      <c r="K510" s="49" t="s">
        <v>50</v>
      </c>
      <c r="L510" s="100" t="s">
        <v>51</v>
      </c>
      <c r="M510" s="107" t="s">
        <v>52</v>
      </c>
    </row>
    <row r="511" spans="1:13" ht="16">
      <c r="A511" s="101" t="str">
        <f t="shared" si="0"/>
        <v>OK</v>
      </c>
      <c r="B511" s="49">
        <v>120195</v>
      </c>
      <c r="C511" s="49" t="s">
        <v>635</v>
      </c>
      <c r="D511" s="49" t="s">
        <v>5</v>
      </c>
      <c r="E511" s="50">
        <v>8.5000000000000006E-2</v>
      </c>
      <c r="F511" s="108">
        <v>45</v>
      </c>
      <c r="G511" s="51">
        <v>43891</v>
      </c>
      <c r="H511" s="47">
        <v>1061</v>
      </c>
      <c r="I511" s="49" t="str">
        <f ca="1"/>
        <v>桐山 勝気</v>
      </c>
      <c r="J511" s="109" t="s">
        <v>631</v>
      </c>
      <c r="K511" s="49" t="s">
        <v>50</v>
      </c>
      <c r="L511" s="100" t="s">
        <v>51</v>
      </c>
      <c r="M511" s="107" t="s">
        <v>52</v>
      </c>
    </row>
    <row r="512" spans="1:13" ht="16">
      <c r="A512" s="101" t="str">
        <f t="shared" si="0"/>
        <v>OK</v>
      </c>
      <c r="B512" s="49">
        <v>120196</v>
      </c>
      <c r="C512" s="49" t="s">
        <v>636</v>
      </c>
      <c r="D512" s="49" t="s">
        <v>5</v>
      </c>
      <c r="E512" s="50">
        <v>8.5000000000000006E-2</v>
      </c>
      <c r="F512" s="108">
        <v>57</v>
      </c>
      <c r="G512" s="51">
        <v>43891</v>
      </c>
      <c r="H512" s="47">
        <v>661</v>
      </c>
      <c r="I512" s="49" t="str">
        <f ca="1"/>
        <v>桐山 勝気</v>
      </c>
      <c r="J512" s="109" t="s">
        <v>631</v>
      </c>
      <c r="K512" s="49" t="s">
        <v>50</v>
      </c>
      <c r="L512" s="100" t="s">
        <v>51</v>
      </c>
      <c r="M512" s="107" t="s">
        <v>52</v>
      </c>
    </row>
    <row r="513" spans="1:13" ht="16">
      <c r="A513" s="101" t="str">
        <f t="shared" si="0"/>
        <v>OK</v>
      </c>
      <c r="B513" s="49">
        <v>126986</v>
      </c>
      <c r="C513" s="49" t="s">
        <v>637</v>
      </c>
      <c r="D513" s="49" t="s">
        <v>5</v>
      </c>
      <c r="E513" s="50">
        <v>8.5000000000000006E-2</v>
      </c>
      <c r="F513" s="108">
        <v>23</v>
      </c>
      <c r="G513" s="51">
        <v>43891</v>
      </c>
      <c r="H513" s="47">
        <v>765</v>
      </c>
      <c r="I513" s="49" t="str">
        <f ca="1"/>
        <v>桐山 勝気</v>
      </c>
      <c r="J513" s="109" t="s">
        <v>631</v>
      </c>
      <c r="K513" s="49" t="s">
        <v>50</v>
      </c>
      <c r="L513" s="100" t="s">
        <v>51</v>
      </c>
      <c r="M513" s="107" t="s">
        <v>52</v>
      </c>
    </row>
    <row r="514" spans="1:13" ht="16">
      <c r="A514" s="101" t="str">
        <f t="shared" si="0"/>
        <v>OK</v>
      </c>
      <c r="B514" s="49">
        <v>134935</v>
      </c>
      <c r="C514" s="49" t="s">
        <v>638</v>
      </c>
      <c r="D514" s="49" t="s">
        <v>5</v>
      </c>
      <c r="E514" s="50">
        <v>8.5000000000000006E-2</v>
      </c>
      <c r="F514" s="108">
        <v>55</v>
      </c>
      <c r="G514" s="51">
        <v>43891</v>
      </c>
      <c r="H514" s="47">
        <v>856</v>
      </c>
      <c r="I514" s="49" t="str">
        <f ca="1"/>
        <v>桐山 勝気</v>
      </c>
      <c r="J514" s="109" t="s">
        <v>631</v>
      </c>
      <c r="K514" s="49" t="s">
        <v>50</v>
      </c>
      <c r="L514" s="100" t="s">
        <v>51</v>
      </c>
      <c r="M514" s="107" t="s">
        <v>52</v>
      </c>
    </row>
    <row r="515" spans="1:13" ht="16">
      <c r="A515" s="101" t="str">
        <f t="shared" si="0"/>
        <v>OK</v>
      </c>
      <c r="B515" s="49">
        <v>137227</v>
      </c>
      <c r="C515" s="49" t="s">
        <v>639</v>
      </c>
      <c r="D515" s="49" t="s">
        <v>5</v>
      </c>
      <c r="E515" s="50">
        <v>8.5000000000000006E-2</v>
      </c>
      <c r="F515" s="108">
        <v>22</v>
      </c>
      <c r="G515" s="51">
        <v>43891</v>
      </c>
      <c r="H515" s="47">
        <v>696</v>
      </c>
      <c r="I515" s="49" t="str">
        <f ca="1"/>
        <v>桐山 勝気</v>
      </c>
      <c r="J515" s="109" t="s">
        <v>631</v>
      </c>
      <c r="K515" s="49" t="s">
        <v>50</v>
      </c>
      <c r="L515" s="100" t="s">
        <v>51</v>
      </c>
      <c r="M515" s="107" t="s">
        <v>52</v>
      </c>
    </row>
    <row r="516" spans="1:13" ht="16">
      <c r="A516" s="101" t="str">
        <f t="shared" si="0"/>
        <v>OK</v>
      </c>
      <c r="B516" s="49">
        <v>139149</v>
      </c>
      <c r="C516" s="49" t="s">
        <v>640</v>
      </c>
      <c r="D516" s="49" t="s">
        <v>5</v>
      </c>
      <c r="E516" s="50">
        <v>8.5000000000000006E-2</v>
      </c>
      <c r="F516" s="108">
        <v>47</v>
      </c>
      <c r="G516" s="51">
        <v>43891</v>
      </c>
      <c r="H516" s="47">
        <v>710</v>
      </c>
      <c r="I516" s="49" t="str">
        <f ca="1"/>
        <v>桐山 勝気</v>
      </c>
      <c r="J516" s="109" t="s">
        <v>631</v>
      </c>
      <c r="K516" s="49" t="s">
        <v>50</v>
      </c>
      <c r="L516" s="100" t="s">
        <v>51</v>
      </c>
      <c r="M516" s="107" t="s">
        <v>52</v>
      </c>
    </row>
    <row r="517" spans="1:13" ht="16">
      <c r="A517" s="101" t="str">
        <f t="shared" si="0"/>
        <v>OK</v>
      </c>
      <c r="B517" s="49">
        <v>3200096</v>
      </c>
      <c r="C517" s="49" t="s">
        <v>641</v>
      </c>
      <c r="D517" s="49" t="s">
        <v>5</v>
      </c>
      <c r="E517" s="50">
        <v>8.5000000000000006E-2</v>
      </c>
      <c r="F517" s="108">
        <v>77</v>
      </c>
      <c r="G517" s="51">
        <v>43891</v>
      </c>
      <c r="H517" s="47">
        <v>699</v>
      </c>
      <c r="I517" s="49" t="str">
        <f ca="1"/>
        <v>桐山 勝気</v>
      </c>
      <c r="J517" s="109" t="s">
        <v>631</v>
      </c>
      <c r="K517" s="49" t="s">
        <v>50</v>
      </c>
      <c r="L517" s="100" t="s">
        <v>51</v>
      </c>
      <c r="M517" s="107" t="s">
        <v>52</v>
      </c>
    </row>
    <row r="518" spans="1:13" ht="16">
      <c r="A518" s="101" t="str">
        <f t="shared" si="0"/>
        <v>OK</v>
      </c>
      <c r="B518" s="49">
        <v>3200097</v>
      </c>
      <c r="C518" s="49" t="s">
        <v>642</v>
      </c>
      <c r="D518" s="49" t="s">
        <v>5</v>
      </c>
      <c r="E518" s="50">
        <v>8.5000000000000006E-2</v>
      </c>
      <c r="F518" s="108">
        <v>44</v>
      </c>
      <c r="G518" s="51">
        <v>43891</v>
      </c>
      <c r="H518" s="47">
        <v>945</v>
      </c>
      <c r="I518" s="49" t="str">
        <f ca="1"/>
        <v>桐山 勝気</v>
      </c>
      <c r="J518" s="109" t="s">
        <v>631</v>
      </c>
      <c r="K518" s="49" t="s">
        <v>50</v>
      </c>
      <c r="L518" s="100" t="s">
        <v>51</v>
      </c>
      <c r="M518" s="107" t="s">
        <v>52</v>
      </c>
    </row>
    <row r="519" spans="1:13" ht="16">
      <c r="A519" s="101" t="str">
        <f t="shared" si="0"/>
        <v>OK</v>
      </c>
      <c r="B519" s="49">
        <v>3200102</v>
      </c>
      <c r="C519" s="49" t="s">
        <v>643</v>
      </c>
      <c r="D519" s="49" t="s">
        <v>5</v>
      </c>
      <c r="E519" s="50">
        <v>8.5000000000000006E-2</v>
      </c>
      <c r="F519" s="108">
        <v>34</v>
      </c>
      <c r="G519" s="51">
        <v>43891</v>
      </c>
      <c r="H519" s="47">
        <v>718</v>
      </c>
      <c r="I519" s="49" t="str">
        <f ca="1"/>
        <v>桐山 勝気</v>
      </c>
      <c r="J519" s="109" t="s">
        <v>631</v>
      </c>
      <c r="K519" s="49" t="s">
        <v>50</v>
      </c>
      <c r="L519" s="100" t="s">
        <v>51</v>
      </c>
      <c r="M519" s="107" t="s">
        <v>52</v>
      </c>
    </row>
    <row r="520" spans="1:13" ht="16">
      <c r="A520" s="101" t="str">
        <f t="shared" si="0"/>
        <v>OK</v>
      </c>
      <c r="B520" s="49">
        <v>3200103</v>
      </c>
      <c r="C520" s="49" t="s">
        <v>644</v>
      </c>
      <c r="D520" s="49" t="s">
        <v>5</v>
      </c>
      <c r="E520" s="50">
        <v>8.5000000000000006E-2</v>
      </c>
      <c r="F520" s="108">
        <v>28</v>
      </c>
      <c r="G520" s="51">
        <v>43891</v>
      </c>
      <c r="H520" s="47">
        <v>601</v>
      </c>
      <c r="I520" s="49" t="str">
        <f ca="1"/>
        <v>桐山 勝気</v>
      </c>
      <c r="J520" s="109" t="s">
        <v>631</v>
      </c>
      <c r="K520" s="49" t="s">
        <v>50</v>
      </c>
      <c r="L520" s="100" t="s">
        <v>51</v>
      </c>
      <c r="M520" s="107" t="s">
        <v>52</v>
      </c>
    </row>
    <row r="521" spans="1:13" ht="16">
      <c r="A521" s="101" t="str">
        <f t="shared" si="0"/>
        <v>OK</v>
      </c>
      <c r="B521" s="49">
        <v>3200105</v>
      </c>
      <c r="C521" s="49" t="s">
        <v>645</v>
      </c>
      <c r="D521" s="49" t="s">
        <v>5</v>
      </c>
      <c r="E521" s="50">
        <v>8.5000000000000006E-2</v>
      </c>
      <c r="F521" s="108">
        <v>38</v>
      </c>
      <c r="G521" s="51">
        <v>43891</v>
      </c>
      <c r="H521" s="47">
        <v>698</v>
      </c>
      <c r="I521" s="49" t="str">
        <f ca="1"/>
        <v>桐山 勝気</v>
      </c>
      <c r="J521" s="109" t="s">
        <v>631</v>
      </c>
      <c r="K521" s="49" t="s">
        <v>50</v>
      </c>
      <c r="L521" s="100" t="s">
        <v>51</v>
      </c>
      <c r="M521" s="107" t="s">
        <v>52</v>
      </c>
    </row>
    <row r="522" spans="1:13" ht="16">
      <c r="A522" s="101" t="str">
        <f t="shared" si="0"/>
        <v>OK</v>
      </c>
      <c r="B522" s="49">
        <v>103443</v>
      </c>
      <c r="C522" s="49" t="s">
        <v>646</v>
      </c>
      <c r="D522" s="49" t="s">
        <v>7</v>
      </c>
      <c r="E522" s="50">
        <v>7.1999999999999995E-2</v>
      </c>
      <c r="F522" s="108">
        <v>120</v>
      </c>
      <c r="G522" s="51">
        <v>43891</v>
      </c>
      <c r="H522" s="46">
        <v>1500</v>
      </c>
      <c r="I522" s="49" t="str">
        <f ca="1"/>
        <v>辻村 将大</v>
      </c>
      <c r="J522" s="109" t="s">
        <v>647</v>
      </c>
      <c r="K522" s="49" t="s">
        <v>50</v>
      </c>
      <c r="L522" s="100" t="s">
        <v>51</v>
      </c>
      <c r="M522" s="107" t="s">
        <v>52</v>
      </c>
    </row>
    <row r="523" spans="1:13" ht="16">
      <c r="A523" s="101" t="str">
        <f t="shared" si="0"/>
        <v>OK</v>
      </c>
      <c r="B523" s="49">
        <v>103444</v>
      </c>
      <c r="C523" s="49" t="s">
        <v>648</v>
      </c>
      <c r="D523" s="49" t="s">
        <v>7</v>
      </c>
      <c r="E523" s="50">
        <v>7.1999999999999995E-2</v>
      </c>
      <c r="F523" s="108">
        <v>265</v>
      </c>
      <c r="G523" s="51">
        <v>43891</v>
      </c>
      <c r="H523" s="46">
        <v>1500</v>
      </c>
      <c r="I523" s="49" t="str">
        <f ca="1"/>
        <v>辻村 将大</v>
      </c>
      <c r="J523" s="109" t="s">
        <v>647</v>
      </c>
      <c r="K523" s="49" t="s">
        <v>50</v>
      </c>
      <c r="L523" s="100" t="s">
        <v>51</v>
      </c>
      <c r="M523" s="107" t="s">
        <v>52</v>
      </c>
    </row>
    <row r="524" spans="1:13" ht="16">
      <c r="A524" s="101" t="str">
        <f t="shared" si="0"/>
        <v>OK</v>
      </c>
      <c r="B524" s="49">
        <v>103445</v>
      </c>
      <c r="C524" s="49" t="s">
        <v>649</v>
      </c>
      <c r="D524" s="49" t="s">
        <v>7</v>
      </c>
      <c r="E524" s="50">
        <v>7.1999999999999995E-2</v>
      </c>
      <c r="F524" s="108">
        <v>0</v>
      </c>
      <c r="G524" s="51">
        <v>43891</v>
      </c>
      <c r="H524" s="46">
        <v>1500</v>
      </c>
      <c r="I524" s="49" t="str">
        <f ca="1"/>
        <v>辻村 将大</v>
      </c>
      <c r="J524" s="109" t="s">
        <v>647</v>
      </c>
      <c r="K524" s="49" t="s">
        <v>50</v>
      </c>
      <c r="L524" s="100" t="s">
        <v>51</v>
      </c>
      <c r="M524" s="107" t="s">
        <v>52</v>
      </c>
    </row>
    <row r="525" spans="1:13" ht="16">
      <c r="A525" s="101" t="str">
        <f t="shared" si="0"/>
        <v>OK</v>
      </c>
      <c r="B525" s="49">
        <v>103447</v>
      </c>
      <c r="C525" s="49" t="s">
        <v>650</v>
      </c>
      <c r="D525" s="49" t="s">
        <v>7</v>
      </c>
      <c r="E525" s="50">
        <v>7.1999999999999995E-2</v>
      </c>
      <c r="F525" s="108">
        <v>0</v>
      </c>
      <c r="G525" s="51">
        <v>43891</v>
      </c>
      <c r="H525" s="46">
        <v>1500</v>
      </c>
      <c r="I525" s="49" t="str">
        <f ca="1"/>
        <v>辻村 将大</v>
      </c>
      <c r="J525" s="109" t="s">
        <v>647</v>
      </c>
      <c r="K525" s="49" t="s">
        <v>50</v>
      </c>
      <c r="L525" s="100" t="s">
        <v>51</v>
      </c>
      <c r="M525" s="107" t="s">
        <v>52</v>
      </c>
    </row>
    <row r="526" spans="1:13" ht="16">
      <c r="A526" s="101" t="str">
        <f t="shared" si="0"/>
        <v>OK</v>
      </c>
      <c r="B526" s="49">
        <v>103448</v>
      </c>
      <c r="C526" s="49" t="s">
        <v>651</v>
      </c>
      <c r="D526" s="49" t="s">
        <v>7</v>
      </c>
      <c r="E526" s="50">
        <v>7.1999999999999995E-2</v>
      </c>
      <c r="F526" s="108">
        <v>205</v>
      </c>
      <c r="G526" s="51">
        <v>43891</v>
      </c>
      <c r="H526" s="46">
        <v>1500</v>
      </c>
      <c r="I526" s="49" t="str">
        <f ca="1"/>
        <v>辻村 将大</v>
      </c>
      <c r="J526" s="109" t="s">
        <v>647</v>
      </c>
      <c r="K526" s="49" t="s">
        <v>50</v>
      </c>
      <c r="L526" s="100" t="s">
        <v>51</v>
      </c>
      <c r="M526" s="107" t="s">
        <v>52</v>
      </c>
    </row>
    <row r="527" spans="1:13" ht="16">
      <c r="A527" s="101" t="str">
        <f t="shared" si="0"/>
        <v>OK</v>
      </c>
      <c r="B527" s="49">
        <v>103449</v>
      </c>
      <c r="C527" s="49" t="s">
        <v>652</v>
      </c>
      <c r="D527" s="49" t="s">
        <v>7</v>
      </c>
      <c r="E527" s="50">
        <v>7.1999999999999995E-2</v>
      </c>
      <c r="F527" s="108">
        <v>204</v>
      </c>
      <c r="G527" s="51">
        <v>43891</v>
      </c>
      <c r="H527" s="46">
        <v>1500</v>
      </c>
      <c r="I527" s="49" t="str">
        <f ca="1"/>
        <v>辻村 将大</v>
      </c>
      <c r="J527" s="109" t="s">
        <v>647</v>
      </c>
      <c r="K527" s="49" t="s">
        <v>50</v>
      </c>
      <c r="L527" s="100" t="s">
        <v>51</v>
      </c>
      <c r="M527" s="107" t="s">
        <v>52</v>
      </c>
    </row>
    <row r="528" spans="1:13" ht="16">
      <c r="A528" s="101" t="str">
        <f t="shared" si="0"/>
        <v>OK</v>
      </c>
      <c r="B528" s="49">
        <v>103451</v>
      </c>
      <c r="C528" s="49" t="s">
        <v>653</v>
      </c>
      <c r="D528" s="49" t="s">
        <v>7</v>
      </c>
      <c r="E528" s="50">
        <v>7.1999999999999995E-2</v>
      </c>
      <c r="F528" s="108">
        <v>217</v>
      </c>
      <c r="G528" s="51">
        <v>43891</v>
      </c>
      <c r="H528" s="46">
        <v>1500</v>
      </c>
      <c r="I528" s="49" t="str">
        <f ca="1"/>
        <v>辻村 将大</v>
      </c>
      <c r="J528" s="109" t="s">
        <v>647</v>
      </c>
      <c r="K528" s="49" t="s">
        <v>50</v>
      </c>
      <c r="L528" s="100" t="s">
        <v>51</v>
      </c>
      <c r="M528" s="107" t="s">
        <v>52</v>
      </c>
    </row>
    <row r="529" spans="1:13" ht="16">
      <c r="A529" s="101" t="str">
        <f t="shared" si="0"/>
        <v>OK</v>
      </c>
      <c r="B529" s="49">
        <v>103452</v>
      </c>
      <c r="C529" s="49" t="s">
        <v>654</v>
      </c>
      <c r="D529" s="49" t="s">
        <v>7</v>
      </c>
      <c r="E529" s="50">
        <v>7.1999999999999995E-2</v>
      </c>
      <c r="F529" s="108">
        <v>142</v>
      </c>
      <c r="G529" s="51">
        <v>43891</v>
      </c>
      <c r="H529" s="46">
        <v>1500</v>
      </c>
      <c r="I529" s="49" t="str">
        <f ca="1"/>
        <v>辻村 将大</v>
      </c>
      <c r="J529" s="109" t="s">
        <v>647</v>
      </c>
      <c r="K529" s="49" t="s">
        <v>50</v>
      </c>
      <c r="L529" s="100" t="s">
        <v>51</v>
      </c>
      <c r="M529" s="107" t="s">
        <v>52</v>
      </c>
    </row>
    <row r="530" spans="1:13" ht="16">
      <c r="A530" s="101" t="str">
        <f t="shared" si="0"/>
        <v>OK</v>
      </c>
      <c r="B530" s="49">
        <v>103453</v>
      </c>
      <c r="C530" s="49" t="s">
        <v>655</v>
      </c>
      <c r="D530" s="49" t="s">
        <v>7</v>
      </c>
      <c r="E530" s="50">
        <v>7.1999999999999995E-2</v>
      </c>
      <c r="F530" s="108">
        <v>177</v>
      </c>
      <c r="G530" s="51">
        <v>43891</v>
      </c>
      <c r="H530" s="46">
        <v>1500</v>
      </c>
      <c r="I530" s="49" t="str">
        <f ca="1"/>
        <v>辻村 将大</v>
      </c>
      <c r="J530" s="109" t="s">
        <v>647</v>
      </c>
      <c r="K530" s="49" t="s">
        <v>50</v>
      </c>
      <c r="L530" s="100" t="s">
        <v>51</v>
      </c>
      <c r="M530" s="107" t="s">
        <v>52</v>
      </c>
    </row>
    <row r="531" spans="1:13" ht="16">
      <c r="A531" s="101" t="str">
        <f t="shared" si="0"/>
        <v>OK</v>
      </c>
      <c r="B531" s="49">
        <v>103454</v>
      </c>
      <c r="C531" s="49" t="s">
        <v>656</v>
      </c>
      <c r="D531" s="49" t="s">
        <v>7</v>
      </c>
      <c r="E531" s="50">
        <v>7.1999999999999995E-2</v>
      </c>
      <c r="F531" s="108">
        <v>200</v>
      </c>
      <c r="G531" s="51">
        <v>43891</v>
      </c>
      <c r="H531" s="46">
        <v>1500</v>
      </c>
      <c r="I531" s="49" t="str">
        <f ca="1"/>
        <v>辻村 将大</v>
      </c>
      <c r="J531" s="109" t="s">
        <v>647</v>
      </c>
      <c r="K531" s="49" t="s">
        <v>50</v>
      </c>
      <c r="L531" s="100" t="s">
        <v>51</v>
      </c>
      <c r="M531" s="107" t="s">
        <v>52</v>
      </c>
    </row>
    <row r="532" spans="1:13" ht="16">
      <c r="A532" s="101" t="str">
        <f t="shared" si="0"/>
        <v>OK</v>
      </c>
      <c r="B532" s="49">
        <v>103972</v>
      </c>
      <c r="C532" s="49" t="s">
        <v>657</v>
      </c>
      <c r="D532" s="49" t="s">
        <v>7</v>
      </c>
      <c r="E532" s="50">
        <v>7.1999999999999995E-2</v>
      </c>
      <c r="F532" s="108">
        <v>216</v>
      </c>
      <c r="G532" s="51">
        <v>43891</v>
      </c>
      <c r="H532" s="46">
        <v>1500</v>
      </c>
      <c r="I532" s="49" t="str">
        <f ca="1"/>
        <v>辻村 将大</v>
      </c>
      <c r="J532" s="109" t="s">
        <v>647</v>
      </c>
      <c r="K532" s="49" t="s">
        <v>50</v>
      </c>
      <c r="L532" s="100" t="s">
        <v>51</v>
      </c>
      <c r="M532" s="107" t="s">
        <v>52</v>
      </c>
    </row>
    <row r="533" spans="1:13" ht="16">
      <c r="A533" s="101" t="str">
        <f t="shared" si="0"/>
        <v>OK</v>
      </c>
      <c r="B533" s="49">
        <v>104589</v>
      </c>
      <c r="C533" s="49" t="s">
        <v>658</v>
      </c>
      <c r="D533" s="49" t="s">
        <v>7</v>
      </c>
      <c r="E533" s="50">
        <v>7.1999999999999995E-2</v>
      </c>
      <c r="F533" s="108">
        <v>203</v>
      </c>
      <c r="G533" s="51">
        <v>43891</v>
      </c>
      <c r="H533" s="46">
        <v>1500</v>
      </c>
      <c r="I533" s="49" t="str">
        <f ca="1"/>
        <v>辻村 将大</v>
      </c>
      <c r="J533" s="109" t="s">
        <v>647</v>
      </c>
      <c r="K533" s="49" t="s">
        <v>50</v>
      </c>
      <c r="L533" s="100" t="s">
        <v>51</v>
      </c>
      <c r="M533" s="107" t="s">
        <v>52</v>
      </c>
    </row>
    <row r="534" spans="1:13" ht="16">
      <c r="A534" s="101" t="str">
        <f t="shared" si="0"/>
        <v>OK</v>
      </c>
      <c r="B534" s="49">
        <v>105627</v>
      </c>
      <c r="C534" s="49" t="s">
        <v>659</v>
      </c>
      <c r="D534" s="49" t="s">
        <v>7</v>
      </c>
      <c r="E534" s="50">
        <v>7.1999999999999995E-2</v>
      </c>
      <c r="F534" s="108">
        <v>220</v>
      </c>
      <c r="G534" s="51">
        <v>43891</v>
      </c>
      <c r="H534" s="46">
        <v>1500</v>
      </c>
      <c r="I534" s="49" t="str">
        <f ca="1"/>
        <v>辻村 将大</v>
      </c>
      <c r="J534" s="109" t="s">
        <v>647</v>
      </c>
      <c r="K534" s="49" t="s">
        <v>50</v>
      </c>
      <c r="L534" s="100" t="s">
        <v>51</v>
      </c>
      <c r="M534" s="107" t="s">
        <v>52</v>
      </c>
    </row>
    <row r="535" spans="1:13" ht="16">
      <c r="A535" s="101" t="str">
        <f t="shared" si="0"/>
        <v>OK</v>
      </c>
      <c r="B535" s="49">
        <v>107091</v>
      </c>
      <c r="C535" s="49" t="s">
        <v>660</v>
      </c>
      <c r="D535" s="49" t="s">
        <v>7</v>
      </c>
      <c r="E535" s="50">
        <v>7.1999999999999995E-2</v>
      </c>
      <c r="F535" s="108">
        <v>91</v>
      </c>
      <c r="G535" s="51">
        <v>43891</v>
      </c>
      <c r="H535" s="46">
        <v>1500</v>
      </c>
      <c r="I535" s="49" t="str">
        <f ca="1"/>
        <v>辻村 将大</v>
      </c>
      <c r="J535" s="109" t="s">
        <v>647</v>
      </c>
      <c r="K535" s="49" t="s">
        <v>50</v>
      </c>
      <c r="L535" s="100" t="s">
        <v>51</v>
      </c>
      <c r="M535" s="107" t="s">
        <v>52</v>
      </c>
    </row>
    <row r="536" spans="1:13" ht="16">
      <c r="A536" s="101" t="str">
        <f t="shared" si="0"/>
        <v>OK</v>
      </c>
      <c r="B536" s="49">
        <v>108070</v>
      </c>
      <c r="C536" s="49" t="s">
        <v>661</v>
      </c>
      <c r="D536" s="49" t="s">
        <v>7</v>
      </c>
      <c r="E536" s="50">
        <v>7.1999999999999995E-2</v>
      </c>
      <c r="F536" s="108">
        <v>77</v>
      </c>
      <c r="G536" s="51">
        <v>43891</v>
      </c>
      <c r="H536" s="46">
        <v>1500</v>
      </c>
      <c r="I536" s="49" t="str">
        <f ca="1"/>
        <v>辻村 将大</v>
      </c>
      <c r="J536" s="109" t="s">
        <v>647</v>
      </c>
      <c r="K536" s="49" t="s">
        <v>50</v>
      </c>
      <c r="L536" s="100" t="s">
        <v>51</v>
      </c>
      <c r="M536" s="107" t="s">
        <v>52</v>
      </c>
    </row>
    <row r="537" spans="1:13" ht="16">
      <c r="A537" s="101" t="str">
        <f t="shared" si="0"/>
        <v>OK</v>
      </c>
      <c r="B537" s="49">
        <v>108831</v>
      </c>
      <c r="C537" s="49" t="s">
        <v>662</v>
      </c>
      <c r="D537" s="49" t="s">
        <v>7</v>
      </c>
      <c r="E537" s="50">
        <v>7.1999999999999995E-2</v>
      </c>
      <c r="F537" s="108">
        <v>186</v>
      </c>
      <c r="G537" s="51">
        <v>43891</v>
      </c>
      <c r="H537" s="46">
        <v>1500</v>
      </c>
      <c r="I537" s="49" t="str">
        <f ca="1"/>
        <v>辻村 将大</v>
      </c>
      <c r="J537" s="109" t="s">
        <v>647</v>
      </c>
      <c r="K537" s="49" t="s">
        <v>50</v>
      </c>
      <c r="L537" s="100" t="s">
        <v>51</v>
      </c>
      <c r="M537" s="107" t="s">
        <v>52</v>
      </c>
    </row>
    <row r="538" spans="1:13" ht="16">
      <c r="A538" s="101" t="str">
        <f t="shared" si="0"/>
        <v>OK</v>
      </c>
      <c r="B538" s="49">
        <v>109069</v>
      </c>
      <c r="C538" s="49" t="s">
        <v>663</v>
      </c>
      <c r="D538" s="49" t="s">
        <v>7</v>
      </c>
      <c r="E538" s="50">
        <v>7.1999999999999995E-2</v>
      </c>
      <c r="F538" s="108">
        <v>149</v>
      </c>
      <c r="G538" s="51">
        <v>43891</v>
      </c>
      <c r="H538" s="46">
        <v>1500</v>
      </c>
      <c r="I538" s="49" t="str">
        <f ca="1"/>
        <v>辻村 将大</v>
      </c>
      <c r="J538" s="109" t="s">
        <v>647</v>
      </c>
      <c r="K538" s="49" t="s">
        <v>50</v>
      </c>
      <c r="L538" s="100" t="s">
        <v>51</v>
      </c>
      <c r="M538" s="107" t="s">
        <v>52</v>
      </c>
    </row>
    <row r="539" spans="1:13" ht="16">
      <c r="A539" s="101" t="str">
        <f t="shared" si="0"/>
        <v>OK</v>
      </c>
      <c r="B539" s="49">
        <v>109460</v>
      </c>
      <c r="C539" s="49" t="s">
        <v>664</v>
      </c>
      <c r="D539" s="49" t="s">
        <v>7</v>
      </c>
      <c r="E539" s="50">
        <v>7.1999999999999995E-2</v>
      </c>
      <c r="F539" s="108">
        <v>65</v>
      </c>
      <c r="G539" s="51">
        <v>43891</v>
      </c>
      <c r="H539" s="46">
        <v>1500</v>
      </c>
      <c r="I539" s="49" t="str">
        <f ca="1"/>
        <v>辻村 将大</v>
      </c>
      <c r="J539" s="109" t="s">
        <v>647</v>
      </c>
      <c r="K539" s="49" t="s">
        <v>50</v>
      </c>
      <c r="L539" s="100" t="s">
        <v>51</v>
      </c>
      <c r="M539" s="107" t="s">
        <v>52</v>
      </c>
    </row>
    <row r="540" spans="1:13" ht="16">
      <c r="A540" s="101" t="str">
        <f t="shared" si="0"/>
        <v>OK</v>
      </c>
      <c r="B540" s="49">
        <v>110171</v>
      </c>
      <c r="C540" s="49" t="s">
        <v>665</v>
      </c>
      <c r="D540" s="49" t="s">
        <v>7</v>
      </c>
      <c r="E540" s="50">
        <v>7.1999999999999995E-2</v>
      </c>
      <c r="F540" s="108">
        <v>209</v>
      </c>
      <c r="G540" s="51">
        <v>43891</v>
      </c>
      <c r="H540" s="46">
        <v>1500</v>
      </c>
      <c r="I540" s="49" t="str">
        <f ca="1"/>
        <v>辻村 将大</v>
      </c>
      <c r="J540" s="109" t="s">
        <v>647</v>
      </c>
      <c r="K540" s="49" t="s">
        <v>50</v>
      </c>
      <c r="L540" s="100" t="s">
        <v>51</v>
      </c>
      <c r="M540" s="107" t="s">
        <v>52</v>
      </c>
    </row>
    <row r="541" spans="1:13" ht="16">
      <c r="A541" s="101" t="str">
        <f t="shared" si="0"/>
        <v>OK</v>
      </c>
      <c r="B541" s="49">
        <v>112534</v>
      </c>
      <c r="C541" s="49" t="s">
        <v>666</v>
      </c>
      <c r="D541" s="49" t="s">
        <v>7</v>
      </c>
      <c r="E541" s="50">
        <v>7.1999999999999995E-2</v>
      </c>
      <c r="F541" s="108">
        <v>222</v>
      </c>
      <c r="G541" s="51">
        <v>43891</v>
      </c>
      <c r="H541" s="46">
        <v>1500</v>
      </c>
      <c r="I541" s="49" t="str">
        <f ca="1"/>
        <v>辻村 将大</v>
      </c>
      <c r="J541" s="109" t="s">
        <v>647</v>
      </c>
      <c r="K541" s="49" t="s">
        <v>50</v>
      </c>
      <c r="L541" s="100" t="s">
        <v>51</v>
      </c>
      <c r="M541" s="107" t="s">
        <v>52</v>
      </c>
    </row>
    <row r="542" spans="1:13" ht="16">
      <c r="A542" s="101" t="str">
        <f t="shared" si="0"/>
        <v>OK</v>
      </c>
      <c r="B542" s="49">
        <v>114169</v>
      </c>
      <c r="C542" s="49" t="s">
        <v>667</v>
      </c>
      <c r="D542" s="49" t="s">
        <v>7</v>
      </c>
      <c r="E542" s="50">
        <v>7.1999999999999995E-2</v>
      </c>
      <c r="F542" s="108">
        <v>158</v>
      </c>
      <c r="G542" s="51">
        <v>43891</v>
      </c>
      <c r="H542" s="46">
        <v>1500</v>
      </c>
      <c r="I542" s="49" t="str">
        <f ca="1"/>
        <v>辻村 将大</v>
      </c>
      <c r="J542" s="109" t="s">
        <v>647</v>
      </c>
      <c r="K542" s="49" t="s">
        <v>50</v>
      </c>
      <c r="L542" s="100" t="s">
        <v>51</v>
      </c>
      <c r="M542" s="107" t="s">
        <v>52</v>
      </c>
    </row>
    <row r="543" spans="1:13" ht="16">
      <c r="A543" s="101" t="str">
        <f t="shared" si="0"/>
        <v>OK</v>
      </c>
      <c r="B543" s="49">
        <v>117737</v>
      </c>
      <c r="C543" s="49" t="s">
        <v>668</v>
      </c>
      <c r="D543" s="49" t="s">
        <v>7</v>
      </c>
      <c r="E543" s="50">
        <v>7.1999999999999995E-2</v>
      </c>
      <c r="F543" s="108">
        <v>41</v>
      </c>
      <c r="G543" s="51">
        <v>43891</v>
      </c>
      <c r="H543" s="46">
        <v>1500</v>
      </c>
      <c r="I543" s="49" t="str">
        <f ca="1"/>
        <v>辻村 将大</v>
      </c>
      <c r="J543" s="109" t="s">
        <v>647</v>
      </c>
      <c r="K543" s="49" t="s">
        <v>50</v>
      </c>
      <c r="L543" s="100" t="s">
        <v>51</v>
      </c>
      <c r="M543" s="107" t="s">
        <v>52</v>
      </c>
    </row>
    <row r="544" spans="1:13" ht="16">
      <c r="A544" s="101" t="str">
        <f t="shared" si="0"/>
        <v>OK</v>
      </c>
      <c r="B544" s="49">
        <v>131412</v>
      </c>
      <c r="C544" s="49" t="s">
        <v>669</v>
      </c>
      <c r="D544" s="49" t="s">
        <v>7</v>
      </c>
      <c r="E544" s="50">
        <v>7.1999999999999995E-2</v>
      </c>
      <c r="F544" s="108">
        <v>0</v>
      </c>
      <c r="G544" s="51">
        <v>43891</v>
      </c>
      <c r="H544" s="46">
        <v>1500</v>
      </c>
      <c r="I544" s="49" t="str">
        <f ca="1"/>
        <v>辻村 将大</v>
      </c>
      <c r="J544" s="109" t="s">
        <v>647</v>
      </c>
      <c r="K544" s="49" t="s">
        <v>50</v>
      </c>
      <c r="L544" s="100" t="s">
        <v>51</v>
      </c>
      <c r="M544" s="107" t="s">
        <v>52</v>
      </c>
    </row>
    <row r="545" spans="1:14" ht="16">
      <c r="A545" s="101" t="str">
        <f t="shared" si="0"/>
        <v>OK</v>
      </c>
      <c r="B545" s="49">
        <v>137162</v>
      </c>
      <c r="C545" s="49" t="s">
        <v>670</v>
      </c>
      <c r="D545" s="49" t="s">
        <v>7</v>
      </c>
      <c r="E545" s="50">
        <v>7.1999999999999995E-2</v>
      </c>
      <c r="F545" s="108">
        <v>214</v>
      </c>
      <c r="G545" s="51">
        <v>43891</v>
      </c>
      <c r="H545" s="46">
        <v>1500</v>
      </c>
      <c r="I545" s="49" t="str">
        <f ca="1"/>
        <v>辻村 将大</v>
      </c>
      <c r="J545" s="109" t="s">
        <v>647</v>
      </c>
      <c r="K545" s="49" t="s">
        <v>50</v>
      </c>
      <c r="L545" s="100" t="s">
        <v>51</v>
      </c>
      <c r="M545" s="107" t="s">
        <v>52</v>
      </c>
    </row>
    <row r="546" spans="1:14" ht="16">
      <c r="A546" s="101" t="str">
        <f t="shared" si="0"/>
        <v>OK</v>
      </c>
      <c r="B546" s="49">
        <v>137515</v>
      </c>
      <c r="C546" s="49" t="s">
        <v>671</v>
      </c>
      <c r="D546" s="49" t="s">
        <v>7</v>
      </c>
      <c r="E546" s="50">
        <v>7.1999999999999995E-2</v>
      </c>
      <c r="F546" s="108">
        <v>0</v>
      </c>
      <c r="G546" s="51">
        <v>43891</v>
      </c>
      <c r="H546" s="46" t="s">
        <v>672</v>
      </c>
      <c r="I546" s="49" t="str">
        <f ca="1"/>
        <v>辻村 将大</v>
      </c>
      <c r="J546" s="109" t="s">
        <v>647</v>
      </c>
      <c r="K546" s="49" t="s">
        <v>50</v>
      </c>
      <c r="L546" s="100" t="s">
        <v>51</v>
      </c>
      <c r="M546" s="107" t="s">
        <v>52</v>
      </c>
    </row>
    <row r="547" spans="1:14" ht="16">
      <c r="A547" s="101" t="str">
        <f t="shared" si="0"/>
        <v>OK</v>
      </c>
      <c r="B547" s="49">
        <v>138355</v>
      </c>
      <c r="C547" s="49" t="s">
        <v>673</v>
      </c>
      <c r="D547" s="49" t="s">
        <v>7</v>
      </c>
      <c r="E547" s="50">
        <v>7.1999999999999995E-2</v>
      </c>
      <c r="F547" s="108">
        <v>0</v>
      </c>
      <c r="G547" s="51">
        <v>43891</v>
      </c>
      <c r="H547" s="46" t="s">
        <v>672</v>
      </c>
      <c r="I547" s="49" t="str">
        <f ca="1"/>
        <v>辻村 将大</v>
      </c>
      <c r="J547" s="109" t="s">
        <v>647</v>
      </c>
      <c r="K547" s="49" t="s">
        <v>50</v>
      </c>
      <c r="L547" s="100" t="s">
        <v>51</v>
      </c>
      <c r="M547" s="107" t="s">
        <v>52</v>
      </c>
    </row>
    <row r="548" spans="1:14" ht="16">
      <c r="A548" s="101" t="str">
        <f t="shared" si="0"/>
        <v>OK</v>
      </c>
      <c r="B548" s="49">
        <v>140620</v>
      </c>
      <c r="C548" s="49" t="s">
        <v>674</v>
      </c>
      <c r="D548" s="49" t="s">
        <v>7</v>
      </c>
      <c r="E548" s="50">
        <v>7.1999999999999995E-2</v>
      </c>
      <c r="F548" s="108">
        <v>0</v>
      </c>
      <c r="G548" s="51">
        <v>43891</v>
      </c>
      <c r="H548" s="46" t="s">
        <v>672</v>
      </c>
      <c r="I548" s="49" t="str">
        <f ca="1"/>
        <v>辻村 将大</v>
      </c>
      <c r="J548" s="109" t="s">
        <v>647</v>
      </c>
      <c r="K548" s="49" t="s">
        <v>50</v>
      </c>
      <c r="L548" s="100" t="s">
        <v>51</v>
      </c>
      <c r="M548" s="107" t="s">
        <v>52</v>
      </c>
    </row>
    <row r="549" spans="1:14" ht="16">
      <c r="A549" s="101" t="str">
        <f t="shared" si="0"/>
        <v>OK</v>
      </c>
      <c r="B549" s="49">
        <v>100353</v>
      </c>
      <c r="C549" s="49" t="s">
        <v>675</v>
      </c>
      <c r="D549" s="49" t="s">
        <v>5</v>
      </c>
      <c r="E549" s="50">
        <v>6.7000000000000004E-2</v>
      </c>
      <c r="F549" s="108">
        <v>138</v>
      </c>
      <c r="G549" s="51">
        <v>43891</v>
      </c>
      <c r="H549" s="46">
        <v>2101</v>
      </c>
      <c r="I549" s="49" t="str">
        <f ca="1"/>
        <v>桐山 勝気</v>
      </c>
      <c r="J549" s="109" t="s">
        <v>78</v>
      </c>
      <c r="K549" s="49" t="s">
        <v>50</v>
      </c>
      <c r="L549" s="100" t="s">
        <v>51</v>
      </c>
      <c r="M549" s="107" t="s">
        <v>52</v>
      </c>
      <c r="N549" s="100" t="s">
        <v>676</v>
      </c>
    </row>
    <row r="550" spans="1:14" ht="16">
      <c r="A550" s="101" t="str">
        <f t="shared" si="0"/>
        <v>OK</v>
      </c>
      <c r="B550" s="49">
        <v>100361</v>
      </c>
      <c r="C550" s="49" t="s">
        <v>677</v>
      </c>
      <c r="D550" s="49" t="s">
        <v>5</v>
      </c>
      <c r="E550" s="50">
        <v>6.7000000000000004E-2</v>
      </c>
      <c r="F550" s="108">
        <v>27</v>
      </c>
      <c r="G550" s="51">
        <v>43891</v>
      </c>
      <c r="H550" s="46">
        <v>1182</v>
      </c>
      <c r="I550" s="49" t="str">
        <f ca="1"/>
        <v>奥野 貴大</v>
      </c>
      <c r="J550" s="109" t="s">
        <v>78</v>
      </c>
      <c r="K550" s="49" t="s">
        <v>50</v>
      </c>
      <c r="L550" s="100" t="s">
        <v>51</v>
      </c>
      <c r="M550" s="107" t="s">
        <v>52</v>
      </c>
    </row>
    <row r="551" spans="1:14" ht="16">
      <c r="A551" s="101" t="str">
        <f t="shared" si="0"/>
        <v>OK</v>
      </c>
      <c r="B551" s="49">
        <v>100372</v>
      </c>
      <c r="C551" s="49" t="s">
        <v>678</v>
      </c>
      <c r="D551" s="49" t="s">
        <v>5</v>
      </c>
      <c r="E551" s="50">
        <v>6.7000000000000004E-2</v>
      </c>
      <c r="F551" s="108">
        <v>197</v>
      </c>
      <c r="G551" s="51">
        <v>43891</v>
      </c>
      <c r="H551" s="46">
        <v>2003</v>
      </c>
      <c r="I551" s="49" t="str">
        <f ca="1"/>
        <v>桐山 勝気</v>
      </c>
      <c r="J551" s="109" t="s">
        <v>78</v>
      </c>
      <c r="K551" s="49" t="s">
        <v>50</v>
      </c>
      <c r="L551" s="100" t="s">
        <v>51</v>
      </c>
      <c r="M551" s="107" t="s">
        <v>52</v>
      </c>
    </row>
    <row r="552" spans="1:14" ht="16">
      <c r="A552" s="101" t="str">
        <f t="shared" si="0"/>
        <v>OK</v>
      </c>
      <c r="B552" s="49">
        <v>101931</v>
      </c>
      <c r="C552" s="49" t="s">
        <v>679</v>
      </c>
      <c r="D552" s="49" t="s">
        <v>5</v>
      </c>
      <c r="E552" s="50">
        <v>6.7000000000000004E-2</v>
      </c>
      <c r="F552" s="108">
        <v>19</v>
      </c>
      <c r="G552" s="51">
        <v>43891</v>
      </c>
      <c r="H552" s="46">
        <v>1778</v>
      </c>
      <c r="I552" s="49" t="str">
        <f ca="1"/>
        <v>奥野 貴大</v>
      </c>
      <c r="J552" s="109" t="s">
        <v>78</v>
      </c>
      <c r="K552" s="49" t="s">
        <v>50</v>
      </c>
      <c r="L552" s="100" t="s">
        <v>51</v>
      </c>
      <c r="M552" s="107" t="s">
        <v>52</v>
      </c>
    </row>
    <row r="553" spans="1:14" ht="16">
      <c r="A553" s="101" t="str">
        <f t="shared" si="0"/>
        <v>OK</v>
      </c>
      <c r="B553" s="49">
        <v>102225</v>
      </c>
      <c r="C553" s="49" t="s">
        <v>680</v>
      </c>
      <c r="D553" s="49" t="s">
        <v>5</v>
      </c>
      <c r="E553" s="50">
        <v>6.7000000000000004E-2</v>
      </c>
      <c r="F553" s="108">
        <v>73</v>
      </c>
      <c r="G553" s="51">
        <v>43891</v>
      </c>
      <c r="H553" s="46">
        <v>2227</v>
      </c>
      <c r="I553" s="49" t="str">
        <f ca="1"/>
        <v>奥野 貴大</v>
      </c>
      <c r="J553" s="109" t="s">
        <v>78</v>
      </c>
      <c r="K553" s="49" t="s">
        <v>50</v>
      </c>
      <c r="L553" s="100" t="s">
        <v>51</v>
      </c>
      <c r="M553" s="107" t="s">
        <v>52</v>
      </c>
    </row>
    <row r="554" spans="1:14" ht="16">
      <c r="A554" s="101" t="str">
        <f t="shared" si="0"/>
        <v>OK</v>
      </c>
      <c r="B554" s="49">
        <v>102314</v>
      </c>
      <c r="C554" s="49" t="s">
        <v>681</v>
      </c>
      <c r="D554" s="49" t="s">
        <v>5</v>
      </c>
      <c r="E554" s="50">
        <v>6.7000000000000004E-2</v>
      </c>
      <c r="F554" s="108">
        <v>58</v>
      </c>
      <c r="G554" s="51">
        <v>43891</v>
      </c>
      <c r="H554" s="46">
        <v>826</v>
      </c>
      <c r="I554" s="49" t="str">
        <f ca="1"/>
        <v>桐山 勝気</v>
      </c>
      <c r="J554" s="109" t="s">
        <v>78</v>
      </c>
      <c r="K554" s="49" t="s">
        <v>50</v>
      </c>
      <c r="L554" s="100" t="s">
        <v>51</v>
      </c>
      <c r="M554" s="107" t="s">
        <v>52</v>
      </c>
    </row>
    <row r="555" spans="1:14" ht="16">
      <c r="A555" s="101" t="str">
        <f t="shared" si="0"/>
        <v>OK</v>
      </c>
      <c r="B555" s="49">
        <v>102315</v>
      </c>
      <c r="C555" s="49" t="s">
        <v>682</v>
      </c>
      <c r="D555" s="49" t="s">
        <v>5</v>
      </c>
      <c r="E555" s="50">
        <v>6.7000000000000004E-2</v>
      </c>
      <c r="F555" s="108">
        <v>116</v>
      </c>
      <c r="G555" s="51">
        <v>43891</v>
      </c>
      <c r="H555" s="46">
        <v>1514</v>
      </c>
      <c r="I555" s="49" t="str">
        <f ca="1"/>
        <v>桐山 勝気</v>
      </c>
      <c r="J555" s="109" t="s">
        <v>78</v>
      </c>
      <c r="K555" s="49" t="s">
        <v>50</v>
      </c>
      <c r="L555" s="100" t="s">
        <v>51</v>
      </c>
      <c r="M555" s="107" t="s">
        <v>52</v>
      </c>
    </row>
    <row r="556" spans="1:14" ht="16">
      <c r="A556" s="101" t="str">
        <f t="shared" si="0"/>
        <v>OK</v>
      </c>
      <c r="B556" s="49">
        <v>102316</v>
      </c>
      <c r="C556" s="49" t="s">
        <v>683</v>
      </c>
      <c r="D556" s="49" t="s">
        <v>5</v>
      </c>
      <c r="E556" s="50">
        <v>6.7000000000000004E-2</v>
      </c>
      <c r="F556" s="108">
        <v>10</v>
      </c>
      <c r="G556" s="51">
        <v>43891</v>
      </c>
      <c r="H556" s="46">
        <v>1242</v>
      </c>
      <c r="I556" s="49" t="str">
        <f ca="1"/>
        <v>桐山 勝気</v>
      </c>
      <c r="J556" s="109" t="s">
        <v>78</v>
      </c>
      <c r="K556" s="49" t="s">
        <v>50</v>
      </c>
      <c r="L556" s="100" t="s">
        <v>51</v>
      </c>
      <c r="M556" s="107" t="s">
        <v>52</v>
      </c>
    </row>
    <row r="557" spans="1:14" ht="16">
      <c r="A557" s="101" t="str">
        <f t="shared" si="0"/>
        <v>OK</v>
      </c>
      <c r="B557" s="49">
        <v>102365</v>
      </c>
      <c r="C557" s="49" t="s">
        <v>684</v>
      </c>
      <c r="D557" s="49" t="s">
        <v>5</v>
      </c>
      <c r="E557" s="50">
        <v>6.7000000000000004E-2</v>
      </c>
      <c r="F557" s="108">
        <v>86</v>
      </c>
      <c r="G557" s="51">
        <v>43891</v>
      </c>
      <c r="H557" s="46">
        <v>1419</v>
      </c>
      <c r="I557" s="49" t="str">
        <f ca="1"/>
        <v>奥野 貴大</v>
      </c>
      <c r="J557" s="109" t="s">
        <v>78</v>
      </c>
      <c r="K557" s="49" t="s">
        <v>50</v>
      </c>
      <c r="L557" s="100" t="s">
        <v>51</v>
      </c>
      <c r="M557" s="107" t="s">
        <v>52</v>
      </c>
    </row>
    <row r="558" spans="1:14" ht="16">
      <c r="A558" s="101" t="str">
        <f t="shared" si="0"/>
        <v>OK</v>
      </c>
      <c r="B558" s="49">
        <v>102409</v>
      </c>
      <c r="C558" s="49" t="s">
        <v>685</v>
      </c>
      <c r="D558" s="49" t="s">
        <v>5</v>
      </c>
      <c r="E558" s="50">
        <v>6.7000000000000004E-2</v>
      </c>
      <c r="F558" s="108">
        <v>36</v>
      </c>
      <c r="G558" s="51">
        <v>43891</v>
      </c>
      <c r="H558" s="46">
        <v>1232</v>
      </c>
      <c r="I558" s="49" t="str">
        <f ca="1"/>
        <v>桐山 勝気</v>
      </c>
      <c r="J558" s="109" t="s">
        <v>78</v>
      </c>
      <c r="K558" s="49" t="s">
        <v>50</v>
      </c>
      <c r="L558" s="100" t="s">
        <v>51</v>
      </c>
      <c r="M558" s="107" t="s">
        <v>52</v>
      </c>
    </row>
    <row r="559" spans="1:14" ht="16">
      <c r="A559" s="101" t="str">
        <f t="shared" si="0"/>
        <v>OK</v>
      </c>
      <c r="B559" s="49">
        <v>102551</v>
      </c>
      <c r="C559" s="49" t="s">
        <v>686</v>
      </c>
      <c r="D559" s="49" t="s">
        <v>5</v>
      </c>
      <c r="E559" s="50">
        <v>6.7000000000000004E-2</v>
      </c>
      <c r="F559" s="108">
        <v>59</v>
      </c>
      <c r="G559" s="51">
        <v>43891</v>
      </c>
      <c r="H559" s="46">
        <v>3015</v>
      </c>
      <c r="I559" s="49" t="str">
        <f ca="1"/>
        <v>奥野 貴大</v>
      </c>
      <c r="J559" s="109" t="s">
        <v>78</v>
      </c>
      <c r="K559" s="49" t="s">
        <v>50</v>
      </c>
      <c r="L559" s="100" t="s">
        <v>51</v>
      </c>
      <c r="M559" s="107" t="s">
        <v>52</v>
      </c>
    </row>
    <row r="560" spans="1:14" ht="16">
      <c r="A560" s="101" t="str">
        <f t="shared" si="0"/>
        <v>OK</v>
      </c>
      <c r="B560" s="49">
        <v>102578</v>
      </c>
      <c r="C560" s="49" t="s">
        <v>687</v>
      </c>
      <c r="D560" s="49" t="s">
        <v>5</v>
      </c>
      <c r="E560" s="50">
        <v>6.7000000000000004E-2</v>
      </c>
      <c r="F560" s="108">
        <v>17</v>
      </c>
      <c r="G560" s="51">
        <v>43891</v>
      </c>
      <c r="H560" s="46">
        <v>703</v>
      </c>
      <c r="I560" s="49" t="str">
        <f ca="1"/>
        <v>奥野 貴大</v>
      </c>
      <c r="J560" s="109" t="s">
        <v>78</v>
      </c>
      <c r="K560" s="49" t="s">
        <v>50</v>
      </c>
      <c r="L560" s="100" t="s">
        <v>51</v>
      </c>
      <c r="M560" s="107" t="s">
        <v>52</v>
      </c>
    </row>
    <row r="561" spans="1:13" ht="16">
      <c r="A561" s="101" t="str">
        <f t="shared" si="0"/>
        <v>OK</v>
      </c>
      <c r="B561" s="49">
        <v>102945</v>
      </c>
      <c r="C561" s="49" t="s">
        <v>688</v>
      </c>
      <c r="D561" s="49" t="s">
        <v>5</v>
      </c>
      <c r="E561" s="50">
        <v>6.7000000000000004E-2</v>
      </c>
      <c r="F561" s="108">
        <v>36</v>
      </c>
      <c r="G561" s="51">
        <v>43891</v>
      </c>
      <c r="H561" s="46">
        <v>1105</v>
      </c>
      <c r="I561" s="49" t="str">
        <f ca="1"/>
        <v>桐山 勝気</v>
      </c>
      <c r="J561" s="109" t="s">
        <v>78</v>
      </c>
      <c r="K561" s="49" t="s">
        <v>50</v>
      </c>
      <c r="L561" s="100" t="s">
        <v>51</v>
      </c>
      <c r="M561" s="107" t="s">
        <v>52</v>
      </c>
    </row>
    <row r="562" spans="1:13" ht="16">
      <c r="A562" s="101" t="str">
        <f t="shared" si="0"/>
        <v>OK</v>
      </c>
      <c r="B562" s="49">
        <v>103509</v>
      </c>
      <c r="C562" s="49" t="s">
        <v>689</v>
      </c>
      <c r="D562" s="49" t="s">
        <v>5</v>
      </c>
      <c r="E562" s="50">
        <v>6.7000000000000004E-2</v>
      </c>
      <c r="F562" s="108">
        <v>88</v>
      </c>
      <c r="G562" s="51">
        <v>43891</v>
      </c>
      <c r="H562" s="46">
        <v>2442</v>
      </c>
      <c r="I562" s="49" t="str">
        <f ca="1"/>
        <v>奥野 貴大</v>
      </c>
      <c r="J562" s="109" t="s">
        <v>78</v>
      </c>
      <c r="K562" s="49" t="s">
        <v>50</v>
      </c>
      <c r="L562" s="100" t="s">
        <v>51</v>
      </c>
      <c r="M562" s="107" t="s">
        <v>52</v>
      </c>
    </row>
    <row r="563" spans="1:13" ht="16">
      <c r="A563" s="101" t="str">
        <f t="shared" si="0"/>
        <v>OK</v>
      </c>
      <c r="B563" s="49">
        <v>103918</v>
      </c>
      <c r="C563" s="49" t="s">
        <v>690</v>
      </c>
      <c r="D563" s="49" t="s">
        <v>5</v>
      </c>
      <c r="E563" s="50">
        <v>6.7000000000000004E-2</v>
      </c>
      <c r="F563" s="108">
        <v>131</v>
      </c>
      <c r="G563" s="51">
        <v>43891</v>
      </c>
      <c r="H563" s="46">
        <v>1081</v>
      </c>
      <c r="I563" s="49" t="str">
        <f ca="1"/>
        <v>桐山 勝気</v>
      </c>
      <c r="J563" s="109" t="s">
        <v>78</v>
      </c>
      <c r="K563" s="49" t="s">
        <v>50</v>
      </c>
      <c r="L563" s="100" t="s">
        <v>51</v>
      </c>
      <c r="M563" s="107" t="s">
        <v>52</v>
      </c>
    </row>
    <row r="564" spans="1:13" ht="16">
      <c r="A564" s="101" t="str">
        <f t="shared" si="0"/>
        <v>OK</v>
      </c>
      <c r="B564" s="49">
        <v>103919</v>
      </c>
      <c r="C564" s="49" t="s">
        <v>691</v>
      </c>
      <c r="D564" s="49" t="s">
        <v>5</v>
      </c>
      <c r="E564" s="50">
        <v>6.7000000000000004E-2</v>
      </c>
      <c r="F564" s="108">
        <v>76</v>
      </c>
      <c r="G564" s="51">
        <v>43891</v>
      </c>
      <c r="H564" s="46">
        <v>439</v>
      </c>
      <c r="I564" s="49" t="str">
        <f ca="1"/>
        <v>奥野 貴大</v>
      </c>
      <c r="J564" s="109" t="s">
        <v>78</v>
      </c>
      <c r="K564" s="49" t="s">
        <v>50</v>
      </c>
      <c r="L564" s="100" t="s">
        <v>51</v>
      </c>
      <c r="M564" s="107" t="s">
        <v>52</v>
      </c>
    </row>
    <row r="565" spans="1:13" ht="16">
      <c r="A565" s="101" t="str">
        <f t="shared" si="0"/>
        <v>OK</v>
      </c>
      <c r="B565" s="49">
        <v>103920</v>
      </c>
      <c r="C565" s="49" t="s">
        <v>692</v>
      </c>
      <c r="D565" s="49" t="s">
        <v>5</v>
      </c>
      <c r="E565" s="50">
        <v>6.7000000000000004E-2</v>
      </c>
      <c r="F565" s="108">
        <v>134</v>
      </c>
      <c r="G565" s="51">
        <v>43891</v>
      </c>
      <c r="H565" s="46">
        <v>2216</v>
      </c>
      <c r="I565" s="49" t="str">
        <f ca="1"/>
        <v>奥野 貴大</v>
      </c>
      <c r="J565" s="109" t="s">
        <v>78</v>
      </c>
      <c r="K565" s="49" t="s">
        <v>50</v>
      </c>
      <c r="L565" s="100" t="s">
        <v>51</v>
      </c>
      <c r="M565" s="107" t="s">
        <v>52</v>
      </c>
    </row>
    <row r="566" spans="1:13" ht="16">
      <c r="A566" s="101" t="str">
        <f t="shared" si="0"/>
        <v>OK</v>
      </c>
      <c r="B566" s="49">
        <v>103922</v>
      </c>
      <c r="C566" s="49" t="s">
        <v>693</v>
      </c>
      <c r="D566" s="49" t="s">
        <v>5</v>
      </c>
      <c r="E566" s="50">
        <v>6.7000000000000004E-2</v>
      </c>
      <c r="F566" s="108">
        <v>104</v>
      </c>
      <c r="G566" s="51">
        <v>43891</v>
      </c>
      <c r="H566" s="46">
        <v>1170</v>
      </c>
      <c r="I566" s="49" t="str">
        <f ca="1"/>
        <v>桐山 勝気</v>
      </c>
      <c r="J566" s="109" t="s">
        <v>78</v>
      </c>
      <c r="K566" s="49" t="s">
        <v>50</v>
      </c>
      <c r="L566" s="100" t="s">
        <v>51</v>
      </c>
      <c r="M566" s="107" t="s">
        <v>52</v>
      </c>
    </row>
    <row r="567" spans="1:13" ht="16">
      <c r="A567" s="101" t="str">
        <f t="shared" si="0"/>
        <v>OK</v>
      </c>
      <c r="B567" s="49">
        <v>103923</v>
      </c>
      <c r="C567" s="49" t="s">
        <v>694</v>
      </c>
      <c r="D567" s="49" t="s">
        <v>5</v>
      </c>
      <c r="E567" s="50">
        <v>6.7000000000000004E-2</v>
      </c>
      <c r="F567" s="108">
        <v>36</v>
      </c>
      <c r="G567" s="51">
        <v>43891</v>
      </c>
      <c r="H567" s="46">
        <v>457</v>
      </c>
      <c r="I567" s="49" t="str">
        <f ca="1"/>
        <v>奥野 貴大</v>
      </c>
      <c r="J567" s="109" t="s">
        <v>78</v>
      </c>
      <c r="K567" s="49" t="s">
        <v>50</v>
      </c>
      <c r="L567" s="100" t="s">
        <v>51</v>
      </c>
      <c r="M567" s="107" t="s">
        <v>52</v>
      </c>
    </row>
    <row r="568" spans="1:13" ht="16">
      <c r="A568" s="101" t="str">
        <f t="shared" si="0"/>
        <v>OK</v>
      </c>
      <c r="B568" s="49">
        <v>103924</v>
      </c>
      <c r="C568" s="49" t="s">
        <v>695</v>
      </c>
      <c r="D568" s="49" t="s">
        <v>5</v>
      </c>
      <c r="E568" s="50">
        <v>6.7000000000000004E-2</v>
      </c>
      <c r="F568" s="108">
        <v>46</v>
      </c>
      <c r="G568" s="51">
        <v>43891</v>
      </c>
      <c r="H568" s="46">
        <v>1873</v>
      </c>
      <c r="I568" s="49" t="str">
        <f ca="1"/>
        <v>桐山 勝気</v>
      </c>
      <c r="J568" s="109" t="s">
        <v>78</v>
      </c>
      <c r="K568" s="49" t="s">
        <v>50</v>
      </c>
      <c r="L568" s="100" t="s">
        <v>51</v>
      </c>
      <c r="M568" s="107" t="s">
        <v>52</v>
      </c>
    </row>
    <row r="569" spans="1:13" ht="16">
      <c r="A569" s="101" t="str">
        <f t="shared" si="0"/>
        <v>OK</v>
      </c>
      <c r="B569" s="49">
        <v>103925</v>
      </c>
      <c r="C569" s="49" t="s">
        <v>696</v>
      </c>
      <c r="D569" s="49" t="s">
        <v>5</v>
      </c>
      <c r="E569" s="50">
        <v>6.7000000000000004E-2</v>
      </c>
      <c r="F569" s="108">
        <v>29</v>
      </c>
      <c r="G569" s="51">
        <v>43891</v>
      </c>
      <c r="H569" s="46">
        <v>718</v>
      </c>
      <c r="I569" s="49" t="str">
        <f ca="1"/>
        <v>桐山 勝気</v>
      </c>
      <c r="J569" s="109" t="s">
        <v>78</v>
      </c>
      <c r="K569" s="49" t="s">
        <v>50</v>
      </c>
      <c r="L569" s="100" t="s">
        <v>51</v>
      </c>
      <c r="M569" s="107" t="s">
        <v>52</v>
      </c>
    </row>
    <row r="570" spans="1:13" ht="16">
      <c r="A570" s="101" t="str">
        <f t="shared" si="0"/>
        <v>OK</v>
      </c>
      <c r="B570" s="49">
        <v>103926</v>
      </c>
      <c r="C570" s="49" t="s">
        <v>697</v>
      </c>
      <c r="D570" s="49" t="s">
        <v>5</v>
      </c>
      <c r="E570" s="50">
        <v>6.7000000000000004E-2</v>
      </c>
      <c r="F570" s="108">
        <v>13</v>
      </c>
      <c r="G570" s="51">
        <v>43891</v>
      </c>
      <c r="H570" s="46">
        <v>771</v>
      </c>
      <c r="I570" s="49" t="str">
        <f ca="1"/>
        <v>奥野 貴大</v>
      </c>
      <c r="J570" s="109" t="s">
        <v>78</v>
      </c>
      <c r="K570" s="49" t="s">
        <v>50</v>
      </c>
      <c r="L570" s="100" t="s">
        <v>51</v>
      </c>
      <c r="M570" s="107" t="s">
        <v>52</v>
      </c>
    </row>
    <row r="571" spans="1:13" ht="16">
      <c r="A571" s="101" t="str">
        <f t="shared" si="0"/>
        <v>OK</v>
      </c>
      <c r="B571" s="49">
        <v>103927</v>
      </c>
      <c r="C571" s="49" t="s">
        <v>698</v>
      </c>
      <c r="D571" s="49" t="s">
        <v>5</v>
      </c>
      <c r="E571" s="50">
        <v>6.7000000000000004E-2</v>
      </c>
      <c r="F571" s="108">
        <v>108</v>
      </c>
      <c r="G571" s="51">
        <v>43891</v>
      </c>
      <c r="H571" s="46">
        <v>1867</v>
      </c>
      <c r="I571" s="49" t="str">
        <f ca="1"/>
        <v>桐山 勝気</v>
      </c>
      <c r="J571" s="109" t="s">
        <v>78</v>
      </c>
      <c r="K571" s="49" t="s">
        <v>50</v>
      </c>
      <c r="L571" s="100" t="s">
        <v>51</v>
      </c>
      <c r="M571" s="107" t="s">
        <v>52</v>
      </c>
    </row>
    <row r="572" spans="1:13" ht="16">
      <c r="A572" s="101" t="str">
        <f t="shared" si="0"/>
        <v>OK</v>
      </c>
      <c r="B572" s="49">
        <v>103928</v>
      </c>
      <c r="C572" s="49" t="s">
        <v>699</v>
      </c>
      <c r="D572" s="49" t="s">
        <v>5</v>
      </c>
      <c r="E572" s="50">
        <v>6.7000000000000004E-2</v>
      </c>
      <c r="F572" s="108">
        <v>11</v>
      </c>
      <c r="G572" s="51">
        <v>43891</v>
      </c>
      <c r="H572" s="46">
        <v>1276</v>
      </c>
      <c r="I572" s="49" t="str">
        <f ca="1"/>
        <v>奥野 貴大</v>
      </c>
      <c r="J572" s="109" t="s">
        <v>78</v>
      </c>
      <c r="K572" s="49" t="s">
        <v>50</v>
      </c>
      <c r="L572" s="100" t="s">
        <v>51</v>
      </c>
      <c r="M572" s="107" t="s">
        <v>52</v>
      </c>
    </row>
    <row r="573" spans="1:13" ht="16">
      <c r="A573" s="101" t="str">
        <f t="shared" si="0"/>
        <v>OK</v>
      </c>
      <c r="B573" s="49">
        <v>103929</v>
      </c>
      <c r="C573" s="49" t="s">
        <v>700</v>
      </c>
      <c r="D573" s="49" t="s">
        <v>5</v>
      </c>
      <c r="E573" s="50">
        <v>6.7000000000000004E-2</v>
      </c>
      <c r="F573" s="108">
        <v>62</v>
      </c>
      <c r="G573" s="51">
        <v>43891</v>
      </c>
      <c r="H573" s="46">
        <v>1108</v>
      </c>
      <c r="I573" s="49" t="str">
        <f ca="1"/>
        <v>桐山 勝気</v>
      </c>
      <c r="J573" s="109" t="s">
        <v>78</v>
      </c>
      <c r="K573" s="49" t="s">
        <v>50</v>
      </c>
      <c r="L573" s="100" t="s">
        <v>51</v>
      </c>
      <c r="M573" s="107" t="s">
        <v>52</v>
      </c>
    </row>
    <row r="574" spans="1:13" ht="16">
      <c r="A574" s="101" t="str">
        <f t="shared" si="0"/>
        <v>OK</v>
      </c>
      <c r="B574" s="49">
        <v>103930</v>
      </c>
      <c r="C574" s="49" t="s">
        <v>701</v>
      </c>
      <c r="D574" s="49" t="s">
        <v>5</v>
      </c>
      <c r="E574" s="50">
        <v>6.7000000000000004E-2</v>
      </c>
      <c r="F574" s="108">
        <v>59</v>
      </c>
      <c r="G574" s="51">
        <v>43891</v>
      </c>
      <c r="H574" s="46">
        <v>1572</v>
      </c>
      <c r="I574" s="49" t="str">
        <f ca="1"/>
        <v>桐山 勝気</v>
      </c>
      <c r="J574" s="109" t="s">
        <v>78</v>
      </c>
      <c r="K574" s="49" t="s">
        <v>50</v>
      </c>
      <c r="L574" s="100" t="s">
        <v>51</v>
      </c>
      <c r="M574" s="107" t="s">
        <v>52</v>
      </c>
    </row>
    <row r="575" spans="1:13" ht="16">
      <c r="A575" s="101" t="str">
        <f t="shared" si="0"/>
        <v>OK</v>
      </c>
      <c r="B575" s="49">
        <v>103931</v>
      </c>
      <c r="C575" s="49" t="s">
        <v>702</v>
      </c>
      <c r="D575" s="49" t="s">
        <v>5</v>
      </c>
      <c r="E575" s="50">
        <v>6.7000000000000004E-2</v>
      </c>
      <c r="F575" s="108">
        <v>94</v>
      </c>
      <c r="G575" s="51">
        <v>43891</v>
      </c>
      <c r="H575" s="46">
        <v>1793</v>
      </c>
      <c r="I575" s="49" t="str">
        <f ca="1"/>
        <v>桐山 勝気</v>
      </c>
      <c r="J575" s="109" t="s">
        <v>78</v>
      </c>
      <c r="K575" s="49" t="s">
        <v>50</v>
      </c>
      <c r="L575" s="100" t="s">
        <v>51</v>
      </c>
      <c r="M575" s="107" t="s">
        <v>52</v>
      </c>
    </row>
    <row r="576" spans="1:13" ht="16">
      <c r="A576" s="101" t="str">
        <f t="shared" si="0"/>
        <v>OK</v>
      </c>
      <c r="B576" s="49">
        <v>103932</v>
      </c>
      <c r="C576" s="49" t="s">
        <v>703</v>
      </c>
      <c r="D576" s="49" t="s">
        <v>5</v>
      </c>
      <c r="E576" s="50">
        <v>6.7000000000000004E-2</v>
      </c>
      <c r="F576" s="108">
        <v>44</v>
      </c>
      <c r="G576" s="51">
        <v>43891</v>
      </c>
      <c r="H576" s="46">
        <v>733</v>
      </c>
      <c r="I576" s="49" t="str">
        <f ca="1"/>
        <v>桐山 勝気</v>
      </c>
      <c r="J576" s="109" t="s">
        <v>78</v>
      </c>
      <c r="K576" s="49" t="s">
        <v>50</v>
      </c>
      <c r="L576" s="100" t="s">
        <v>51</v>
      </c>
      <c r="M576" s="107" t="s">
        <v>52</v>
      </c>
    </row>
    <row r="577" spans="1:13" ht="16">
      <c r="A577" s="101" t="str">
        <f t="shared" si="0"/>
        <v>OK</v>
      </c>
      <c r="B577" s="49">
        <v>103934</v>
      </c>
      <c r="C577" s="49" t="s">
        <v>704</v>
      </c>
      <c r="D577" s="49" t="s">
        <v>5</v>
      </c>
      <c r="E577" s="50">
        <v>6.7000000000000004E-2</v>
      </c>
      <c r="F577" s="108">
        <v>27</v>
      </c>
      <c r="G577" s="51">
        <v>43891</v>
      </c>
      <c r="H577" s="46">
        <v>664</v>
      </c>
      <c r="I577" s="49" t="str">
        <f ca="1"/>
        <v>桐山 勝気</v>
      </c>
      <c r="J577" s="109" t="s">
        <v>78</v>
      </c>
      <c r="K577" s="49" t="s">
        <v>50</v>
      </c>
      <c r="L577" s="100" t="s">
        <v>51</v>
      </c>
      <c r="M577" s="107" t="s">
        <v>52</v>
      </c>
    </row>
    <row r="578" spans="1:13" ht="16">
      <c r="A578" s="101" t="str">
        <f t="shared" si="0"/>
        <v>OK</v>
      </c>
      <c r="B578" s="49">
        <v>103935</v>
      </c>
      <c r="C578" s="49" t="s">
        <v>705</v>
      </c>
      <c r="D578" s="49" t="s">
        <v>5</v>
      </c>
      <c r="E578" s="50">
        <v>6.7000000000000004E-2</v>
      </c>
      <c r="F578" s="108">
        <v>85</v>
      </c>
      <c r="G578" s="51">
        <v>43891</v>
      </c>
      <c r="H578" s="46">
        <v>2765</v>
      </c>
      <c r="I578" s="49" t="str">
        <f ca="1"/>
        <v>奥野 貴大</v>
      </c>
      <c r="J578" s="109" t="s">
        <v>78</v>
      </c>
      <c r="K578" s="49" t="s">
        <v>50</v>
      </c>
      <c r="L578" s="100" t="s">
        <v>51</v>
      </c>
      <c r="M578" s="107" t="s">
        <v>52</v>
      </c>
    </row>
    <row r="579" spans="1:13" ht="16">
      <c r="A579" s="101" t="str">
        <f t="shared" si="0"/>
        <v>OK</v>
      </c>
      <c r="B579" s="49">
        <v>103936</v>
      </c>
      <c r="C579" s="49" t="s">
        <v>706</v>
      </c>
      <c r="D579" s="49" t="s">
        <v>5</v>
      </c>
      <c r="E579" s="50">
        <v>6.7000000000000004E-2</v>
      </c>
      <c r="F579" s="108">
        <v>36</v>
      </c>
      <c r="G579" s="51">
        <v>43891</v>
      </c>
      <c r="H579" s="46">
        <v>872</v>
      </c>
      <c r="I579" s="49" t="str">
        <f ca="1"/>
        <v>桐山 勝気</v>
      </c>
      <c r="J579" s="109" t="s">
        <v>78</v>
      </c>
      <c r="K579" s="49" t="s">
        <v>50</v>
      </c>
      <c r="L579" s="100" t="s">
        <v>51</v>
      </c>
      <c r="M579" s="107" t="s">
        <v>52</v>
      </c>
    </row>
    <row r="580" spans="1:13" ht="16">
      <c r="A580" s="101" t="str">
        <f t="shared" si="0"/>
        <v>OK</v>
      </c>
      <c r="B580" s="49">
        <v>103937</v>
      </c>
      <c r="C580" s="49" t="s">
        <v>707</v>
      </c>
      <c r="D580" s="49" t="s">
        <v>5</v>
      </c>
      <c r="E580" s="50">
        <v>6.7000000000000004E-2</v>
      </c>
      <c r="F580" s="108">
        <v>47</v>
      </c>
      <c r="G580" s="51">
        <v>43891</v>
      </c>
      <c r="H580" s="46">
        <v>377</v>
      </c>
      <c r="I580" s="49" t="str">
        <f ca="1"/>
        <v>奥野 貴大</v>
      </c>
      <c r="J580" s="109" t="s">
        <v>78</v>
      </c>
      <c r="K580" s="49" t="s">
        <v>50</v>
      </c>
      <c r="L580" s="100" t="s">
        <v>51</v>
      </c>
      <c r="M580" s="107" t="s">
        <v>52</v>
      </c>
    </row>
    <row r="581" spans="1:13" ht="16">
      <c r="A581" s="101" t="str">
        <f t="shared" si="0"/>
        <v>OK</v>
      </c>
      <c r="B581" s="49">
        <v>103939</v>
      </c>
      <c r="C581" s="49" t="s">
        <v>708</v>
      </c>
      <c r="D581" s="49" t="s">
        <v>5</v>
      </c>
      <c r="E581" s="50">
        <v>6.7000000000000004E-2</v>
      </c>
      <c r="F581" s="108">
        <v>22</v>
      </c>
      <c r="G581" s="51">
        <v>43891</v>
      </c>
      <c r="H581" s="46">
        <v>1261</v>
      </c>
      <c r="I581" s="49" t="str">
        <f ca="1"/>
        <v>桐山 勝気</v>
      </c>
      <c r="J581" s="109" t="s">
        <v>78</v>
      </c>
      <c r="K581" s="49" t="s">
        <v>50</v>
      </c>
      <c r="L581" s="100" t="s">
        <v>51</v>
      </c>
      <c r="M581" s="107" t="s">
        <v>52</v>
      </c>
    </row>
    <row r="582" spans="1:13" ht="16">
      <c r="A582" s="101" t="str">
        <f t="shared" si="0"/>
        <v>OK</v>
      </c>
      <c r="B582" s="49">
        <v>103941</v>
      </c>
      <c r="C582" s="49" t="s">
        <v>709</v>
      </c>
      <c r="D582" s="49" t="s">
        <v>5</v>
      </c>
      <c r="E582" s="50">
        <v>6.7000000000000004E-2</v>
      </c>
      <c r="F582" s="108">
        <v>34</v>
      </c>
      <c r="G582" s="51">
        <v>43891</v>
      </c>
      <c r="H582" s="46">
        <v>1490</v>
      </c>
      <c r="I582" s="49" t="str">
        <f ca="1"/>
        <v>桐山 勝気</v>
      </c>
      <c r="J582" s="109" t="s">
        <v>78</v>
      </c>
      <c r="K582" s="49" t="s">
        <v>50</v>
      </c>
      <c r="L582" s="100" t="s">
        <v>51</v>
      </c>
      <c r="M582" s="107" t="s">
        <v>52</v>
      </c>
    </row>
    <row r="583" spans="1:13" ht="16">
      <c r="A583" s="101" t="str">
        <f t="shared" si="0"/>
        <v>OK</v>
      </c>
      <c r="B583" s="49">
        <v>104175</v>
      </c>
      <c r="C583" s="49" t="s">
        <v>710</v>
      </c>
      <c r="D583" s="49" t="s">
        <v>5</v>
      </c>
      <c r="E583" s="50">
        <v>6.7000000000000004E-2</v>
      </c>
      <c r="F583" s="108">
        <v>131</v>
      </c>
      <c r="G583" s="51">
        <v>43891</v>
      </c>
      <c r="H583" s="46">
        <v>1151</v>
      </c>
      <c r="I583" s="49" t="str">
        <f ca="1"/>
        <v>桐山 勝気</v>
      </c>
      <c r="J583" s="109" t="s">
        <v>78</v>
      </c>
      <c r="K583" s="49" t="s">
        <v>50</v>
      </c>
      <c r="L583" s="100" t="s">
        <v>51</v>
      </c>
      <c r="M583" s="107" t="s">
        <v>52</v>
      </c>
    </row>
    <row r="584" spans="1:13" ht="16">
      <c r="A584" s="101" t="str">
        <f t="shared" si="0"/>
        <v>OK</v>
      </c>
      <c r="B584" s="49">
        <v>104202</v>
      </c>
      <c r="C584" s="49" t="s">
        <v>711</v>
      </c>
      <c r="D584" s="49" t="s">
        <v>5</v>
      </c>
      <c r="E584" s="50">
        <v>6.7000000000000004E-2</v>
      </c>
      <c r="F584" s="108">
        <v>244</v>
      </c>
      <c r="G584" s="51">
        <v>43891</v>
      </c>
      <c r="H584" s="46">
        <v>2533</v>
      </c>
      <c r="I584" s="49" t="str">
        <f ca="1"/>
        <v>桐山 勝気</v>
      </c>
      <c r="J584" s="109" t="s">
        <v>78</v>
      </c>
      <c r="K584" s="49" t="s">
        <v>50</v>
      </c>
      <c r="L584" s="100" t="s">
        <v>51</v>
      </c>
      <c r="M584" s="107" t="s">
        <v>52</v>
      </c>
    </row>
    <row r="585" spans="1:13" ht="16">
      <c r="A585" s="101" t="str">
        <f t="shared" si="0"/>
        <v>OK</v>
      </c>
      <c r="B585" s="49">
        <v>104211</v>
      </c>
      <c r="C585" s="49" t="s">
        <v>712</v>
      </c>
      <c r="D585" s="49" t="s">
        <v>5</v>
      </c>
      <c r="E585" s="50">
        <v>6.7000000000000004E-2</v>
      </c>
      <c r="F585" s="108">
        <v>80</v>
      </c>
      <c r="G585" s="51">
        <v>43891</v>
      </c>
      <c r="H585" s="46">
        <v>1494</v>
      </c>
      <c r="I585" s="49" t="str">
        <f ca="1"/>
        <v>桐山 勝気</v>
      </c>
      <c r="J585" s="109" t="s">
        <v>78</v>
      </c>
      <c r="K585" s="49" t="s">
        <v>50</v>
      </c>
      <c r="L585" s="100" t="s">
        <v>51</v>
      </c>
      <c r="M585" s="107" t="s">
        <v>52</v>
      </c>
    </row>
    <row r="586" spans="1:13" ht="16">
      <c r="A586" s="101" t="str">
        <f t="shared" si="0"/>
        <v>OK</v>
      </c>
      <c r="B586" s="49">
        <v>104306</v>
      </c>
      <c r="C586" s="49" t="s">
        <v>713</v>
      </c>
      <c r="D586" s="49" t="s">
        <v>5</v>
      </c>
      <c r="E586" s="50">
        <v>6.7000000000000004E-2</v>
      </c>
      <c r="F586" s="108">
        <v>19</v>
      </c>
      <c r="G586" s="51">
        <v>43891</v>
      </c>
      <c r="H586" s="46">
        <v>1249</v>
      </c>
      <c r="I586" s="49" t="str">
        <f ca="1"/>
        <v>桐山 勝気</v>
      </c>
      <c r="J586" s="109" t="s">
        <v>78</v>
      </c>
      <c r="K586" s="49" t="s">
        <v>50</v>
      </c>
      <c r="L586" s="100" t="s">
        <v>51</v>
      </c>
      <c r="M586" s="107" t="s">
        <v>52</v>
      </c>
    </row>
    <row r="587" spans="1:13" ht="16">
      <c r="A587" s="101" t="str">
        <f t="shared" si="0"/>
        <v>OK</v>
      </c>
      <c r="B587" s="49">
        <v>104307</v>
      </c>
      <c r="C587" s="49" t="s">
        <v>714</v>
      </c>
      <c r="D587" s="49" t="s">
        <v>5</v>
      </c>
      <c r="E587" s="50">
        <v>6.7000000000000004E-2</v>
      </c>
      <c r="F587" s="108">
        <v>36</v>
      </c>
      <c r="G587" s="51">
        <v>43891</v>
      </c>
      <c r="H587" s="46">
        <v>773</v>
      </c>
      <c r="I587" s="49" t="str">
        <f ca="1"/>
        <v>桐山 勝気</v>
      </c>
      <c r="J587" s="109" t="s">
        <v>78</v>
      </c>
      <c r="K587" s="49" t="s">
        <v>50</v>
      </c>
      <c r="L587" s="100" t="s">
        <v>51</v>
      </c>
      <c r="M587" s="107" t="s">
        <v>52</v>
      </c>
    </row>
    <row r="588" spans="1:13" ht="16">
      <c r="A588" s="101" t="str">
        <f t="shared" si="0"/>
        <v>OK</v>
      </c>
      <c r="B588" s="49">
        <v>104603</v>
      </c>
      <c r="C588" s="49" t="s">
        <v>715</v>
      </c>
      <c r="D588" s="49" t="s">
        <v>5</v>
      </c>
      <c r="E588" s="50">
        <v>6.7000000000000004E-2</v>
      </c>
      <c r="F588" s="108">
        <v>0</v>
      </c>
      <c r="G588" s="51">
        <v>43891</v>
      </c>
      <c r="H588" s="46">
        <v>378</v>
      </c>
      <c r="I588" s="49" t="str">
        <f ca="1"/>
        <v>奥野 貴大</v>
      </c>
      <c r="J588" s="109" t="s">
        <v>78</v>
      </c>
      <c r="K588" s="49" t="s">
        <v>50</v>
      </c>
      <c r="L588" s="100" t="s">
        <v>51</v>
      </c>
      <c r="M588" s="107" t="s">
        <v>52</v>
      </c>
    </row>
    <row r="589" spans="1:13" ht="16">
      <c r="A589" s="101" t="str">
        <f t="shared" si="0"/>
        <v>OK</v>
      </c>
      <c r="B589" s="49">
        <v>105382</v>
      </c>
      <c r="C589" s="49" t="s">
        <v>716</v>
      </c>
      <c r="D589" s="49" t="s">
        <v>5</v>
      </c>
      <c r="E589" s="50">
        <v>6.7000000000000004E-2</v>
      </c>
      <c r="F589" s="108">
        <v>36</v>
      </c>
      <c r="G589" s="51">
        <v>43891</v>
      </c>
      <c r="H589" s="46">
        <v>974</v>
      </c>
      <c r="I589" s="49" t="str">
        <f ca="1"/>
        <v>奥野 貴大</v>
      </c>
      <c r="J589" s="109" t="s">
        <v>78</v>
      </c>
      <c r="K589" s="49" t="s">
        <v>50</v>
      </c>
      <c r="L589" s="100" t="s">
        <v>51</v>
      </c>
      <c r="M589" s="107" t="s">
        <v>52</v>
      </c>
    </row>
    <row r="590" spans="1:13" ht="16">
      <c r="A590" s="101" t="str">
        <f t="shared" si="0"/>
        <v>OK</v>
      </c>
      <c r="B590" s="49">
        <v>105757</v>
      </c>
      <c r="C590" s="49" t="s">
        <v>717</v>
      </c>
      <c r="D590" s="49" t="s">
        <v>5</v>
      </c>
      <c r="E590" s="50">
        <v>6.7000000000000004E-2</v>
      </c>
      <c r="F590" s="108">
        <v>41</v>
      </c>
      <c r="G590" s="51">
        <v>43891</v>
      </c>
      <c r="H590" s="46">
        <v>1180</v>
      </c>
      <c r="I590" s="49" t="str">
        <f ca="1"/>
        <v>奥野 貴大</v>
      </c>
      <c r="J590" s="109" t="s">
        <v>78</v>
      </c>
      <c r="K590" s="49" t="s">
        <v>50</v>
      </c>
      <c r="L590" s="100" t="s">
        <v>51</v>
      </c>
      <c r="M590" s="107" t="s">
        <v>52</v>
      </c>
    </row>
    <row r="591" spans="1:13" ht="16">
      <c r="A591" s="101" t="str">
        <f t="shared" si="0"/>
        <v>OK</v>
      </c>
      <c r="B591" s="49">
        <v>105858</v>
      </c>
      <c r="C591" s="49" t="s">
        <v>718</v>
      </c>
      <c r="D591" s="49" t="s">
        <v>5</v>
      </c>
      <c r="E591" s="50">
        <v>6.7000000000000004E-2</v>
      </c>
      <c r="F591" s="108">
        <v>24</v>
      </c>
      <c r="G591" s="51">
        <v>43891</v>
      </c>
      <c r="H591" s="46">
        <v>1426</v>
      </c>
      <c r="I591" s="49" t="str">
        <f ca="1"/>
        <v>奥野 貴大</v>
      </c>
      <c r="J591" s="109" t="s">
        <v>78</v>
      </c>
      <c r="K591" s="49" t="s">
        <v>50</v>
      </c>
      <c r="L591" s="100" t="s">
        <v>51</v>
      </c>
      <c r="M591" s="107" t="s">
        <v>52</v>
      </c>
    </row>
    <row r="592" spans="1:13" ht="16">
      <c r="A592" s="101" t="str">
        <f t="shared" si="0"/>
        <v>OK</v>
      </c>
      <c r="B592" s="49">
        <v>106011</v>
      </c>
      <c r="C592" s="49" t="s">
        <v>719</v>
      </c>
      <c r="D592" s="49" t="s">
        <v>5</v>
      </c>
      <c r="E592" s="50">
        <v>6.7000000000000004E-2</v>
      </c>
      <c r="F592" s="108">
        <v>97</v>
      </c>
      <c r="G592" s="51">
        <v>43891</v>
      </c>
      <c r="H592" s="46">
        <v>2050</v>
      </c>
      <c r="I592" s="49" t="str">
        <f ca="1"/>
        <v>奥野 貴大</v>
      </c>
      <c r="J592" s="109" t="s">
        <v>78</v>
      </c>
      <c r="K592" s="49" t="s">
        <v>50</v>
      </c>
      <c r="L592" s="100" t="s">
        <v>51</v>
      </c>
      <c r="M592" s="107" t="s">
        <v>52</v>
      </c>
    </row>
    <row r="593" spans="1:13" ht="16">
      <c r="A593" s="101" t="str">
        <f t="shared" si="0"/>
        <v>OK</v>
      </c>
      <c r="B593" s="49">
        <v>107582</v>
      </c>
      <c r="C593" s="49" t="s">
        <v>720</v>
      </c>
      <c r="D593" s="49" t="s">
        <v>5</v>
      </c>
      <c r="E593" s="50">
        <v>6.7000000000000004E-2</v>
      </c>
      <c r="F593" s="108">
        <v>92</v>
      </c>
      <c r="G593" s="51">
        <v>43891</v>
      </c>
      <c r="H593" s="46">
        <v>2684</v>
      </c>
      <c r="I593" s="49" t="str">
        <f ca="1"/>
        <v>桐山 勝気</v>
      </c>
      <c r="J593" s="109" t="s">
        <v>78</v>
      </c>
      <c r="K593" s="49" t="s">
        <v>50</v>
      </c>
      <c r="L593" s="100" t="s">
        <v>51</v>
      </c>
      <c r="M593" s="107" t="s">
        <v>52</v>
      </c>
    </row>
    <row r="594" spans="1:13" ht="16">
      <c r="A594" s="101" t="str">
        <f t="shared" si="0"/>
        <v>OK</v>
      </c>
      <c r="B594" s="49">
        <v>107929</v>
      </c>
      <c r="C594" s="49" t="s">
        <v>721</v>
      </c>
      <c r="D594" s="49" t="s">
        <v>5</v>
      </c>
      <c r="E594" s="50">
        <v>6.7000000000000004E-2</v>
      </c>
      <c r="F594" s="108">
        <v>130</v>
      </c>
      <c r="G594" s="51">
        <v>43891</v>
      </c>
      <c r="H594" s="46">
        <v>1035</v>
      </c>
      <c r="I594" s="49" t="str">
        <f ca="1"/>
        <v>桐山 勝気</v>
      </c>
      <c r="J594" s="109" t="s">
        <v>78</v>
      </c>
      <c r="K594" s="49" t="s">
        <v>50</v>
      </c>
      <c r="L594" s="100" t="s">
        <v>51</v>
      </c>
      <c r="M594" s="107" t="s">
        <v>52</v>
      </c>
    </row>
    <row r="595" spans="1:13" ht="16">
      <c r="A595" s="101" t="str">
        <f t="shared" si="0"/>
        <v>OK</v>
      </c>
      <c r="B595" s="49">
        <v>107953</v>
      </c>
      <c r="C595" s="49" t="s">
        <v>722</v>
      </c>
      <c r="D595" s="49" t="s">
        <v>5</v>
      </c>
      <c r="E595" s="50">
        <v>6.7000000000000004E-2</v>
      </c>
      <c r="F595" s="108">
        <v>0</v>
      </c>
      <c r="G595" s="51">
        <v>43891</v>
      </c>
      <c r="H595" s="46">
        <v>1170</v>
      </c>
      <c r="I595" s="49" t="str">
        <f ca="1"/>
        <v>奥野 貴大</v>
      </c>
      <c r="J595" s="109" t="s">
        <v>78</v>
      </c>
      <c r="K595" s="49" t="s">
        <v>50</v>
      </c>
      <c r="L595" s="100" t="s">
        <v>51</v>
      </c>
      <c r="M595" s="107" t="s">
        <v>52</v>
      </c>
    </row>
    <row r="596" spans="1:13" ht="16">
      <c r="A596" s="101" t="str">
        <f t="shared" si="0"/>
        <v>OK</v>
      </c>
      <c r="B596" s="49">
        <v>108897</v>
      </c>
      <c r="C596" s="49" t="s">
        <v>723</v>
      </c>
      <c r="D596" s="49" t="s">
        <v>5</v>
      </c>
      <c r="E596" s="50">
        <v>6.7000000000000004E-2</v>
      </c>
      <c r="F596" s="108">
        <v>152</v>
      </c>
      <c r="G596" s="51">
        <v>43891</v>
      </c>
      <c r="H596" s="46">
        <v>1400</v>
      </c>
      <c r="I596" s="49" t="str">
        <f ca="1"/>
        <v>奥野 貴大</v>
      </c>
      <c r="J596" s="109" t="s">
        <v>78</v>
      </c>
      <c r="K596" s="49" t="s">
        <v>50</v>
      </c>
      <c r="L596" s="100" t="s">
        <v>51</v>
      </c>
      <c r="M596" s="107" t="s">
        <v>52</v>
      </c>
    </row>
    <row r="597" spans="1:13" ht="16">
      <c r="A597" s="101" t="str">
        <f t="shared" si="0"/>
        <v>OK</v>
      </c>
      <c r="B597" s="49">
        <v>109288</v>
      </c>
      <c r="C597" s="49" t="s">
        <v>724</v>
      </c>
      <c r="D597" s="49" t="s">
        <v>5</v>
      </c>
      <c r="E597" s="50">
        <v>6.7000000000000004E-2</v>
      </c>
      <c r="F597" s="108">
        <v>81</v>
      </c>
      <c r="G597" s="51">
        <v>43891</v>
      </c>
      <c r="H597" s="46">
        <v>2067</v>
      </c>
      <c r="I597" s="49" t="str">
        <f ca="1"/>
        <v>奥野 貴大</v>
      </c>
      <c r="J597" s="109" t="s">
        <v>78</v>
      </c>
      <c r="K597" s="49" t="s">
        <v>50</v>
      </c>
      <c r="L597" s="100" t="s">
        <v>51</v>
      </c>
      <c r="M597" s="107" t="s">
        <v>52</v>
      </c>
    </row>
    <row r="598" spans="1:13" ht="16">
      <c r="A598" s="101" t="str">
        <f t="shared" si="0"/>
        <v>OK</v>
      </c>
      <c r="B598" s="49">
        <v>109451</v>
      </c>
      <c r="C598" s="49" t="s">
        <v>725</v>
      </c>
      <c r="D598" s="49" t="s">
        <v>5</v>
      </c>
      <c r="E598" s="50">
        <v>6.7000000000000004E-2</v>
      </c>
      <c r="F598" s="108">
        <v>89</v>
      </c>
      <c r="G598" s="51">
        <v>43891</v>
      </c>
      <c r="H598" s="46">
        <v>932</v>
      </c>
      <c r="I598" s="49" t="str">
        <f ca="1"/>
        <v>奥野 貴大</v>
      </c>
      <c r="J598" s="109" t="s">
        <v>78</v>
      </c>
      <c r="K598" s="49" t="s">
        <v>50</v>
      </c>
      <c r="L598" s="100" t="s">
        <v>51</v>
      </c>
      <c r="M598" s="107" t="s">
        <v>52</v>
      </c>
    </row>
    <row r="599" spans="1:13" ht="16">
      <c r="A599" s="101" t="str">
        <f t="shared" si="0"/>
        <v>OK</v>
      </c>
      <c r="B599" s="49">
        <v>109463</v>
      </c>
      <c r="C599" s="49" t="s">
        <v>726</v>
      </c>
      <c r="D599" s="49" t="s">
        <v>5</v>
      </c>
      <c r="E599" s="50">
        <v>6.7000000000000004E-2</v>
      </c>
      <c r="F599" s="108">
        <v>48</v>
      </c>
      <c r="G599" s="51">
        <v>43891</v>
      </c>
      <c r="H599" s="46">
        <v>875</v>
      </c>
      <c r="I599" s="49" t="str">
        <f ca="1"/>
        <v>桐山 勝気</v>
      </c>
      <c r="J599" s="109" t="s">
        <v>78</v>
      </c>
      <c r="K599" s="49" t="s">
        <v>50</v>
      </c>
      <c r="L599" s="100" t="s">
        <v>51</v>
      </c>
      <c r="M599" s="107" t="s">
        <v>52</v>
      </c>
    </row>
    <row r="600" spans="1:13" ht="16">
      <c r="A600" s="101" t="str">
        <f t="shared" si="0"/>
        <v>OK</v>
      </c>
      <c r="B600" s="49">
        <v>109507</v>
      </c>
      <c r="C600" s="49" t="s">
        <v>727</v>
      </c>
      <c r="D600" s="49" t="s">
        <v>5</v>
      </c>
      <c r="E600" s="50">
        <v>6.7000000000000004E-2</v>
      </c>
      <c r="F600" s="108">
        <v>86</v>
      </c>
      <c r="G600" s="51">
        <v>43891</v>
      </c>
      <c r="H600" s="46">
        <v>1695</v>
      </c>
      <c r="I600" s="49" t="str">
        <f ca="1"/>
        <v>奥野 貴大</v>
      </c>
      <c r="J600" s="109" t="s">
        <v>78</v>
      </c>
      <c r="K600" s="49" t="s">
        <v>50</v>
      </c>
      <c r="L600" s="100" t="s">
        <v>51</v>
      </c>
      <c r="M600" s="107" t="s">
        <v>52</v>
      </c>
    </row>
    <row r="601" spans="1:13" ht="16">
      <c r="A601" s="101" t="str">
        <f t="shared" si="0"/>
        <v>OK</v>
      </c>
      <c r="B601" s="49">
        <v>109970</v>
      </c>
      <c r="C601" s="49" t="s">
        <v>728</v>
      </c>
      <c r="D601" s="49" t="s">
        <v>5</v>
      </c>
      <c r="E601" s="50">
        <v>6.7000000000000004E-2</v>
      </c>
      <c r="F601" s="108">
        <v>46</v>
      </c>
      <c r="G601" s="51">
        <v>43891</v>
      </c>
      <c r="H601" s="46">
        <v>1431</v>
      </c>
      <c r="I601" s="49" t="str">
        <f ca="1"/>
        <v>奥野 貴大</v>
      </c>
      <c r="J601" s="109" t="s">
        <v>78</v>
      </c>
      <c r="K601" s="49" t="s">
        <v>50</v>
      </c>
      <c r="L601" s="100" t="s">
        <v>51</v>
      </c>
      <c r="M601" s="107" t="s">
        <v>52</v>
      </c>
    </row>
    <row r="602" spans="1:13" ht="16">
      <c r="A602" s="101" t="str">
        <f t="shared" si="0"/>
        <v>OK</v>
      </c>
      <c r="B602" s="49">
        <v>109992</v>
      </c>
      <c r="C602" s="49" t="s">
        <v>729</v>
      </c>
      <c r="D602" s="49" t="s">
        <v>5</v>
      </c>
      <c r="E602" s="50">
        <v>6.7000000000000004E-2</v>
      </c>
      <c r="F602" s="108">
        <v>144</v>
      </c>
      <c r="G602" s="51">
        <v>43891</v>
      </c>
      <c r="H602" s="46">
        <v>1091</v>
      </c>
      <c r="I602" s="49" t="str">
        <f ca="1"/>
        <v>奥野 貴大</v>
      </c>
      <c r="J602" s="109" t="s">
        <v>78</v>
      </c>
      <c r="K602" s="49" t="s">
        <v>50</v>
      </c>
      <c r="L602" s="100" t="s">
        <v>51</v>
      </c>
      <c r="M602" s="107" t="s">
        <v>52</v>
      </c>
    </row>
    <row r="603" spans="1:13" ht="16">
      <c r="A603" s="101" t="str">
        <f t="shared" si="0"/>
        <v>OK</v>
      </c>
      <c r="B603" s="49">
        <v>111186</v>
      </c>
      <c r="C603" s="49" t="s">
        <v>730</v>
      </c>
      <c r="D603" s="49" t="s">
        <v>5</v>
      </c>
      <c r="E603" s="50">
        <v>6.7000000000000004E-2</v>
      </c>
      <c r="F603" s="108">
        <v>72</v>
      </c>
      <c r="G603" s="51">
        <v>43891</v>
      </c>
      <c r="H603" s="46">
        <v>1078</v>
      </c>
      <c r="I603" s="49" t="str">
        <f ca="1"/>
        <v>奥野 貴大</v>
      </c>
      <c r="J603" s="109" t="s">
        <v>78</v>
      </c>
      <c r="K603" s="49" t="s">
        <v>50</v>
      </c>
      <c r="L603" s="100" t="s">
        <v>51</v>
      </c>
      <c r="M603" s="107" t="s">
        <v>52</v>
      </c>
    </row>
    <row r="604" spans="1:13" ht="16">
      <c r="A604" s="101" t="str">
        <f t="shared" si="0"/>
        <v>OK</v>
      </c>
      <c r="B604" s="49">
        <v>112461</v>
      </c>
      <c r="C604" s="49" t="s">
        <v>731</v>
      </c>
      <c r="D604" s="49" t="s">
        <v>5</v>
      </c>
      <c r="E604" s="50">
        <v>6.7000000000000004E-2</v>
      </c>
      <c r="F604" s="108">
        <v>0</v>
      </c>
      <c r="G604" s="51">
        <v>43891</v>
      </c>
      <c r="H604" s="46">
        <v>300</v>
      </c>
      <c r="I604" s="49" t="str">
        <f ca="1"/>
        <v>奥野 貴大</v>
      </c>
      <c r="J604" s="109" t="s">
        <v>78</v>
      </c>
      <c r="K604" s="49" t="s">
        <v>50</v>
      </c>
      <c r="L604" s="100" t="s">
        <v>51</v>
      </c>
      <c r="M604" s="107" t="s">
        <v>52</v>
      </c>
    </row>
    <row r="605" spans="1:13" ht="16">
      <c r="A605" s="101" t="str">
        <f t="shared" si="0"/>
        <v>OK</v>
      </c>
      <c r="B605" s="49">
        <v>112941</v>
      </c>
      <c r="C605" s="49" t="s">
        <v>732</v>
      </c>
      <c r="D605" s="49" t="s">
        <v>5</v>
      </c>
      <c r="E605" s="50">
        <v>6.7000000000000004E-2</v>
      </c>
      <c r="F605" s="108">
        <v>7</v>
      </c>
      <c r="G605" s="51">
        <v>43891</v>
      </c>
      <c r="H605" s="46">
        <v>752</v>
      </c>
      <c r="I605" s="49" t="str">
        <f ca="1"/>
        <v>奥野 貴大</v>
      </c>
      <c r="J605" s="109" t="s">
        <v>78</v>
      </c>
      <c r="K605" s="49" t="s">
        <v>50</v>
      </c>
      <c r="L605" s="100" t="s">
        <v>51</v>
      </c>
      <c r="M605" s="107" t="s">
        <v>52</v>
      </c>
    </row>
    <row r="606" spans="1:13" ht="16">
      <c r="A606" s="101" t="str">
        <f t="shared" si="0"/>
        <v>OK</v>
      </c>
      <c r="B606" s="49">
        <v>114973</v>
      </c>
      <c r="C606" s="49" t="s">
        <v>733</v>
      </c>
      <c r="D606" s="49" t="s">
        <v>5</v>
      </c>
      <c r="E606" s="50">
        <v>6.7000000000000004E-2</v>
      </c>
      <c r="F606" s="108">
        <v>100</v>
      </c>
      <c r="G606" s="51">
        <v>43891</v>
      </c>
      <c r="H606" s="46">
        <v>2531</v>
      </c>
      <c r="I606" s="49" t="str">
        <f ca="1"/>
        <v>奥野 貴大</v>
      </c>
      <c r="J606" s="109" t="s">
        <v>78</v>
      </c>
      <c r="K606" s="49" t="s">
        <v>50</v>
      </c>
      <c r="L606" s="100" t="s">
        <v>51</v>
      </c>
      <c r="M606" s="107" t="s">
        <v>52</v>
      </c>
    </row>
    <row r="607" spans="1:13" ht="16">
      <c r="A607" s="101" t="str">
        <f t="shared" si="0"/>
        <v>OK</v>
      </c>
      <c r="B607" s="49">
        <v>115091</v>
      </c>
      <c r="C607" s="49" t="s">
        <v>734</v>
      </c>
      <c r="D607" s="49" t="s">
        <v>5</v>
      </c>
      <c r="E607" s="50">
        <v>6.7000000000000004E-2</v>
      </c>
      <c r="F607" s="108">
        <v>67</v>
      </c>
      <c r="G607" s="51">
        <v>43891</v>
      </c>
      <c r="H607" s="46">
        <v>1114</v>
      </c>
      <c r="I607" s="49" t="str">
        <f ca="1"/>
        <v>桐山 勝気</v>
      </c>
      <c r="J607" s="109" t="s">
        <v>78</v>
      </c>
      <c r="K607" s="49" t="s">
        <v>50</v>
      </c>
      <c r="L607" s="100" t="s">
        <v>51</v>
      </c>
      <c r="M607" s="107" t="s">
        <v>52</v>
      </c>
    </row>
    <row r="608" spans="1:13" ht="16">
      <c r="A608" s="101" t="str">
        <f t="shared" si="0"/>
        <v>OK</v>
      </c>
      <c r="B608" s="49">
        <v>115199</v>
      </c>
      <c r="C608" s="49" t="s">
        <v>735</v>
      </c>
      <c r="D608" s="49" t="s">
        <v>5</v>
      </c>
      <c r="E608" s="50">
        <v>6.7000000000000004E-2</v>
      </c>
      <c r="F608" s="108">
        <v>75</v>
      </c>
      <c r="G608" s="51">
        <v>43891</v>
      </c>
      <c r="H608" s="46">
        <v>938</v>
      </c>
      <c r="I608" s="49" t="str">
        <f ca="1"/>
        <v>桐山 勝気</v>
      </c>
      <c r="J608" s="109" t="s">
        <v>78</v>
      </c>
      <c r="K608" s="49" t="s">
        <v>50</v>
      </c>
      <c r="L608" s="100" t="s">
        <v>51</v>
      </c>
      <c r="M608" s="107" t="s">
        <v>52</v>
      </c>
    </row>
    <row r="609" spans="1:13" ht="16">
      <c r="A609" s="101" t="str">
        <f t="shared" si="0"/>
        <v>OK</v>
      </c>
      <c r="B609" s="49">
        <v>116251</v>
      </c>
      <c r="C609" s="49" t="s">
        <v>736</v>
      </c>
      <c r="D609" s="49" t="s">
        <v>5</v>
      </c>
      <c r="E609" s="50">
        <v>6.7000000000000004E-2</v>
      </c>
      <c r="F609" s="108">
        <v>18</v>
      </c>
      <c r="G609" s="51">
        <v>43891</v>
      </c>
      <c r="H609" s="46">
        <v>686</v>
      </c>
      <c r="I609" s="49" t="str">
        <f ca="1"/>
        <v>奥野 貴大</v>
      </c>
      <c r="J609" s="109" t="s">
        <v>78</v>
      </c>
      <c r="K609" s="49" t="s">
        <v>50</v>
      </c>
      <c r="L609" s="100" t="s">
        <v>51</v>
      </c>
      <c r="M609" s="107" t="s">
        <v>52</v>
      </c>
    </row>
    <row r="610" spans="1:13" ht="16">
      <c r="A610" s="101" t="str">
        <f t="shared" si="0"/>
        <v>OK</v>
      </c>
      <c r="B610" s="49">
        <v>116873</v>
      </c>
      <c r="C610" s="49" t="s">
        <v>737</v>
      </c>
      <c r="D610" s="49" t="s">
        <v>5</v>
      </c>
      <c r="E610" s="50">
        <v>6.7000000000000004E-2</v>
      </c>
      <c r="F610" s="108">
        <v>89</v>
      </c>
      <c r="G610" s="51">
        <v>43891</v>
      </c>
      <c r="H610" s="46">
        <v>801</v>
      </c>
      <c r="I610" s="49" t="str">
        <f ca="1"/>
        <v>桐山 勝気</v>
      </c>
      <c r="J610" s="109" t="s">
        <v>78</v>
      </c>
      <c r="K610" s="49" t="s">
        <v>50</v>
      </c>
      <c r="L610" s="100" t="s">
        <v>51</v>
      </c>
      <c r="M610" s="107" t="s">
        <v>52</v>
      </c>
    </row>
    <row r="611" spans="1:13" ht="16">
      <c r="A611" s="101" t="str">
        <f t="shared" si="0"/>
        <v>OK</v>
      </c>
      <c r="B611" s="49">
        <v>117393</v>
      </c>
      <c r="C611" s="49" t="s">
        <v>738</v>
      </c>
      <c r="D611" s="49" t="s">
        <v>5</v>
      </c>
      <c r="E611" s="50">
        <v>6.7000000000000004E-2</v>
      </c>
      <c r="F611" s="108">
        <v>102</v>
      </c>
      <c r="G611" s="51">
        <v>43891</v>
      </c>
      <c r="H611" s="46">
        <v>2604</v>
      </c>
      <c r="I611" s="49" t="str">
        <f ca="1"/>
        <v>奥野 貴大</v>
      </c>
      <c r="J611" s="109" t="s">
        <v>78</v>
      </c>
      <c r="K611" s="49" t="s">
        <v>50</v>
      </c>
      <c r="L611" s="100" t="s">
        <v>51</v>
      </c>
      <c r="M611" s="107" t="s">
        <v>52</v>
      </c>
    </row>
    <row r="612" spans="1:13" ht="16">
      <c r="A612" s="101" t="str">
        <f t="shared" si="0"/>
        <v>OK</v>
      </c>
      <c r="B612" s="49">
        <v>117969</v>
      </c>
      <c r="C612" s="49" t="s">
        <v>739</v>
      </c>
      <c r="D612" s="49" t="s">
        <v>5</v>
      </c>
      <c r="E612" s="50">
        <v>6.7000000000000004E-2</v>
      </c>
      <c r="F612" s="108">
        <v>42</v>
      </c>
      <c r="G612" s="51">
        <v>43891</v>
      </c>
      <c r="H612" s="46">
        <v>411</v>
      </c>
      <c r="I612" s="49" t="str">
        <f ca="1"/>
        <v>奥野 貴大</v>
      </c>
      <c r="J612" s="109" t="s">
        <v>78</v>
      </c>
      <c r="K612" s="49" t="s">
        <v>50</v>
      </c>
      <c r="L612" s="100" t="s">
        <v>51</v>
      </c>
      <c r="M612" s="107" t="s">
        <v>52</v>
      </c>
    </row>
    <row r="613" spans="1:13" ht="16">
      <c r="A613" s="101" t="str">
        <f t="shared" si="0"/>
        <v>OK</v>
      </c>
      <c r="B613" s="49">
        <v>118140</v>
      </c>
      <c r="C613" s="49" t="s">
        <v>740</v>
      </c>
      <c r="D613" s="49" t="s">
        <v>5</v>
      </c>
      <c r="E613" s="50">
        <v>6.7000000000000004E-2</v>
      </c>
      <c r="F613" s="108">
        <v>47</v>
      </c>
      <c r="G613" s="51">
        <v>43891</v>
      </c>
      <c r="H613" s="46">
        <v>1080</v>
      </c>
      <c r="I613" s="49" t="str">
        <f ca="1"/>
        <v>奥野 貴大</v>
      </c>
      <c r="J613" s="109" t="s">
        <v>78</v>
      </c>
      <c r="K613" s="49" t="s">
        <v>50</v>
      </c>
      <c r="L613" s="100" t="s">
        <v>51</v>
      </c>
      <c r="M613" s="107" t="s">
        <v>52</v>
      </c>
    </row>
    <row r="614" spans="1:13" ht="16">
      <c r="A614" s="101" t="str">
        <f t="shared" si="0"/>
        <v>OK</v>
      </c>
      <c r="B614" s="49">
        <v>118299</v>
      </c>
      <c r="C614" s="49" t="s">
        <v>741</v>
      </c>
      <c r="D614" s="49" t="s">
        <v>5</v>
      </c>
      <c r="E614" s="50">
        <v>6.7000000000000004E-2</v>
      </c>
      <c r="F614" s="108">
        <v>67</v>
      </c>
      <c r="G614" s="51">
        <v>43891</v>
      </c>
      <c r="H614" s="46">
        <v>855</v>
      </c>
      <c r="I614" s="49" t="str">
        <f ca="1"/>
        <v>桐山 勝気</v>
      </c>
      <c r="J614" s="109" t="s">
        <v>78</v>
      </c>
      <c r="K614" s="49" t="s">
        <v>50</v>
      </c>
      <c r="L614" s="100" t="s">
        <v>51</v>
      </c>
      <c r="M614" s="107" t="s">
        <v>52</v>
      </c>
    </row>
    <row r="615" spans="1:13" ht="16">
      <c r="A615" s="101" t="str">
        <f t="shared" si="0"/>
        <v>OK</v>
      </c>
      <c r="B615" s="49">
        <v>119628</v>
      </c>
      <c r="C615" s="49" t="s">
        <v>742</v>
      </c>
      <c r="D615" s="49" t="s">
        <v>5</v>
      </c>
      <c r="E615" s="50">
        <v>6.7000000000000004E-2</v>
      </c>
      <c r="F615" s="108">
        <v>56</v>
      </c>
      <c r="G615" s="51">
        <v>43891</v>
      </c>
      <c r="H615" s="46">
        <v>1774</v>
      </c>
      <c r="I615" s="49" t="str">
        <f ca="1"/>
        <v>奥野 貴大</v>
      </c>
      <c r="J615" s="109" t="s">
        <v>78</v>
      </c>
      <c r="K615" s="49" t="s">
        <v>50</v>
      </c>
      <c r="L615" s="100" t="s">
        <v>51</v>
      </c>
      <c r="M615" s="107" t="s">
        <v>52</v>
      </c>
    </row>
    <row r="616" spans="1:13" ht="16">
      <c r="A616" s="101" t="str">
        <f t="shared" si="0"/>
        <v>OK</v>
      </c>
      <c r="B616" s="49">
        <v>119668</v>
      </c>
      <c r="C616" s="49" t="s">
        <v>743</v>
      </c>
      <c r="D616" s="49" t="s">
        <v>5</v>
      </c>
      <c r="E616" s="50">
        <v>6.7000000000000004E-2</v>
      </c>
      <c r="F616" s="108">
        <v>69</v>
      </c>
      <c r="G616" s="51">
        <v>43891</v>
      </c>
      <c r="H616" s="46">
        <v>523</v>
      </c>
      <c r="I616" s="49" t="str">
        <f ca="1"/>
        <v>奥野 貴大</v>
      </c>
      <c r="J616" s="109" t="s">
        <v>78</v>
      </c>
      <c r="K616" s="49" t="s">
        <v>50</v>
      </c>
      <c r="L616" s="100" t="s">
        <v>51</v>
      </c>
      <c r="M616" s="107" t="s">
        <v>52</v>
      </c>
    </row>
    <row r="617" spans="1:13" ht="16">
      <c r="A617" s="101" t="str">
        <f t="shared" si="0"/>
        <v>OK</v>
      </c>
      <c r="B617" s="49">
        <v>120645</v>
      </c>
      <c r="C617" s="49" t="s">
        <v>744</v>
      </c>
      <c r="D617" s="49" t="s">
        <v>5</v>
      </c>
      <c r="E617" s="50">
        <v>6.7000000000000004E-2</v>
      </c>
      <c r="F617" s="108">
        <v>52</v>
      </c>
      <c r="G617" s="51">
        <v>43891</v>
      </c>
      <c r="H617" s="46">
        <v>2348</v>
      </c>
      <c r="I617" s="49" t="str">
        <f ca="1"/>
        <v>奥野 貴大</v>
      </c>
      <c r="J617" s="109" t="s">
        <v>78</v>
      </c>
      <c r="K617" s="49" t="s">
        <v>50</v>
      </c>
      <c r="L617" s="100" t="s">
        <v>51</v>
      </c>
      <c r="M617" s="107" t="s">
        <v>52</v>
      </c>
    </row>
    <row r="618" spans="1:13" ht="16">
      <c r="A618" s="101" t="str">
        <f t="shared" si="0"/>
        <v>OK</v>
      </c>
      <c r="B618" s="49">
        <v>122612</v>
      </c>
      <c r="C618" s="49" t="s">
        <v>745</v>
      </c>
      <c r="D618" s="49" t="s">
        <v>5</v>
      </c>
      <c r="E618" s="50">
        <v>6.7000000000000004E-2</v>
      </c>
      <c r="F618" s="108">
        <v>5</v>
      </c>
      <c r="G618" s="51">
        <v>43891</v>
      </c>
      <c r="H618" s="46">
        <v>482</v>
      </c>
      <c r="I618" s="49" t="str">
        <f ca="1"/>
        <v>奥野 貴大</v>
      </c>
      <c r="J618" s="109" t="s">
        <v>78</v>
      </c>
      <c r="K618" s="49" t="s">
        <v>50</v>
      </c>
      <c r="L618" s="100" t="s">
        <v>51</v>
      </c>
      <c r="M618" s="107" t="s">
        <v>52</v>
      </c>
    </row>
    <row r="619" spans="1:13" ht="16">
      <c r="A619" s="101" t="str">
        <f t="shared" si="0"/>
        <v>OK</v>
      </c>
      <c r="B619" s="49">
        <v>122772</v>
      </c>
      <c r="C619" s="49" t="s">
        <v>746</v>
      </c>
      <c r="D619" s="49" t="s">
        <v>5</v>
      </c>
      <c r="E619" s="50">
        <v>6.7000000000000004E-2</v>
      </c>
      <c r="F619" s="108">
        <v>6</v>
      </c>
      <c r="G619" s="51">
        <v>43891</v>
      </c>
      <c r="H619" s="46">
        <v>735</v>
      </c>
      <c r="I619" s="49" t="str">
        <f ca="1"/>
        <v>奥野 貴大</v>
      </c>
      <c r="J619" s="109" t="s">
        <v>78</v>
      </c>
      <c r="K619" s="49" t="s">
        <v>50</v>
      </c>
      <c r="L619" s="100" t="s">
        <v>51</v>
      </c>
      <c r="M619" s="107" t="s">
        <v>52</v>
      </c>
    </row>
    <row r="620" spans="1:13" ht="16">
      <c r="A620" s="101" t="str">
        <f t="shared" si="0"/>
        <v>OK</v>
      </c>
      <c r="B620" s="49">
        <v>122933</v>
      </c>
      <c r="C620" s="49" t="s">
        <v>747</v>
      </c>
      <c r="D620" s="49" t="s">
        <v>5</v>
      </c>
      <c r="E620" s="50">
        <v>6.7000000000000004E-2</v>
      </c>
      <c r="F620" s="108">
        <v>0</v>
      </c>
      <c r="G620" s="51">
        <v>43891</v>
      </c>
      <c r="H620" s="46">
        <v>0</v>
      </c>
      <c r="I620" s="49" t="str">
        <f ca="1"/>
        <v>退会済</v>
      </c>
      <c r="J620" s="109" t="s">
        <v>78</v>
      </c>
      <c r="K620" s="49" t="s">
        <v>50</v>
      </c>
      <c r="L620" s="100" t="s">
        <v>51</v>
      </c>
      <c r="M620" s="107" t="s">
        <v>52</v>
      </c>
    </row>
    <row r="621" spans="1:13" ht="16">
      <c r="A621" s="101" t="str">
        <f t="shared" si="0"/>
        <v>OK</v>
      </c>
      <c r="B621" s="49">
        <v>123416</v>
      </c>
      <c r="C621" s="49" t="s">
        <v>748</v>
      </c>
      <c r="D621" s="49" t="s">
        <v>5</v>
      </c>
      <c r="E621" s="50">
        <v>6.7000000000000004E-2</v>
      </c>
      <c r="F621" s="108">
        <v>0</v>
      </c>
      <c r="G621" s="51">
        <v>43891</v>
      </c>
      <c r="H621" s="46">
        <v>371</v>
      </c>
      <c r="I621" s="49" t="str">
        <f ca="1"/>
        <v>奥野 貴大</v>
      </c>
      <c r="J621" s="109" t="s">
        <v>78</v>
      </c>
      <c r="K621" s="49" t="s">
        <v>50</v>
      </c>
      <c r="L621" s="100" t="s">
        <v>51</v>
      </c>
      <c r="M621" s="107" t="s">
        <v>52</v>
      </c>
    </row>
    <row r="622" spans="1:13" ht="16">
      <c r="A622" s="101" t="str">
        <f t="shared" si="0"/>
        <v>OK</v>
      </c>
      <c r="B622" s="49">
        <v>124400</v>
      </c>
      <c r="C622" s="49" t="s">
        <v>749</v>
      </c>
      <c r="D622" s="49" t="s">
        <v>5</v>
      </c>
      <c r="E622" s="50">
        <v>6.7000000000000004E-2</v>
      </c>
      <c r="F622" s="108">
        <v>34</v>
      </c>
      <c r="G622" s="51">
        <v>43891</v>
      </c>
      <c r="H622" s="46">
        <v>887</v>
      </c>
      <c r="I622" s="49" t="str">
        <f ca="1"/>
        <v>奥野 貴大</v>
      </c>
      <c r="J622" s="109" t="s">
        <v>78</v>
      </c>
      <c r="K622" s="49" t="s">
        <v>50</v>
      </c>
      <c r="L622" s="100" t="s">
        <v>51</v>
      </c>
      <c r="M622" s="107" t="s">
        <v>52</v>
      </c>
    </row>
    <row r="623" spans="1:13" ht="16">
      <c r="A623" s="101" t="str">
        <f t="shared" si="0"/>
        <v>OK</v>
      </c>
      <c r="B623" s="49">
        <v>124917</v>
      </c>
      <c r="C623" s="49" t="s">
        <v>750</v>
      </c>
      <c r="D623" s="49" t="s">
        <v>5</v>
      </c>
      <c r="E623" s="50">
        <v>6.7000000000000004E-2</v>
      </c>
      <c r="F623" s="108">
        <v>12</v>
      </c>
      <c r="G623" s="51">
        <v>43891</v>
      </c>
      <c r="H623" s="46">
        <v>531</v>
      </c>
      <c r="I623" s="49" t="str">
        <f ca="1"/>
        <v>奥野 貴大</v>
      </c>
      <c r="J623" s="109" t="s">
        <v>78</v>
      </c>
      <c r="K623" s="49" t="s">
        <v>50</v>
      </c>
      <c r="L623" s="100" t="s">
        <v>51</v>
      </c>
      <c r="M623" s="107" t="s">
        <v>52</v>
      </c>
    </row>
    <row r="624" spans="1:13" ht="16">
      <c r="A624" s="101" t="str">
        <f t="shared" si="0"/>
        <v>OK</v>
      </c>
      <c r="B624" s="49">
        <v>124986</v>
      </c>
      <c r="C624" s="49" t="s">
        <v>751</v>
      </c>
      <c r="D624" s="49" t="s">
        <v>5</v>
      </c>
      <c r="E624" s="50">
        <v>6.7000000000000004E-2</v>
      </c>
      <c r="F624" s="108">
        <v>11</v>
      </c>
      <c r="G624" s="51">
        <v>43891</v>
      </c>
      <c r="H624" s="46">
        <v>537</v>
      </c>
      <c r="I624" s="49" t="str">
        <f ca="1"/>
        <v>奥野 貴大</v>
      </c>
      <c r="J624" s="109" t="s">
        <v>78</v>
      </c>
      <c r="K624" s="49" t="s">
        <v>50</v>
      </c>
      <c r="L624" s="100" t="s">
        <v>51</v>
      </c>
      <c r="M624" s="107" t="s">
        <v>52</v>
      </c>
    </row>
    <row r="625" spans="1:13" ht="16">
      <c r="A625" s="101" t="str">
        <f t="shared" si="0"/>
        <v>OK</v>
      </c>
      <c r="B625" s="49">
        <v>125411</v>
      </c>
      <c r="C625" s="49" t="s">
        <v>752</v>
      </c>
      <c r="D625" s="49" t="s">
        <v>5</v>
      </c>
      <c r="E625" s="50">
        <v>6.7000000000000004E-2</v>
      </c>
      <c r="F625" s="108">
        <v>103</v>
      </c>
      <c r="G625" s="51">
        <v>43891</v>
      </c>
      <c r="H625" s="46">
        <v>2694</v>
      </c>
      <c r="I625" s="49" t="str">
        <f ca="1"/>
        <v>奥野 貴大</v>
      </c>
      <c r="J625" s="109" t="s">
        <v>78</v>
      </c>
      <c r="K625" s="49" t="s">
        <v>50</v>
      </c>
      <c r="L625" s="100" t="s">
        <v>51</v>
      </c>
      <c r="M625" s="107" t="s">
        <v>52</v>
      </c>
    </row>
    <row r="626" spans="1:13" ht="16">
      <c r="A626" s="101" t="str">
        <f t="shared" si="0"/>
        <v>OK</v>
      </c>
      <c r="B626" s="49">
        <v>125521</v>
      </c>
      <c r="C626" s="49" t="s">
        <v>753</v>
      </c>
      <c r="D626" s="49" t="s">
        <v>5</v>
      </c>
      <c r="E626" s="50">
        <v>6.7000000000000004E-2</v>
      </c>
      <c r="F626" s="108">
        <v>51</v>
      </c>
      <c r="G626" s="51">
        <v>43891</v>
      </c>
      <c r="H626" s="46">
        <v>807</v>
      </c>
      <c r="I626" s="49" t="str">
        <f ca="1"/>
        <v>奥野 貴大</v>
      </c>
      <c r="J626" s="109" t="s">
        <v>78</v>
      </c>
      <c r="K626" s="49" t="s">
        <v>50</v>
      </c>
      <c r="L626" s="100" t="s">
        <v>51</v>
      </c>
      <c r="M626" s="107" t="s">
        <v>52</v>
      </c>
    </row>
    <row r="627" spans="1:13" ht="16">
      <c r="A627" s="101" t="str">
        <f t="shared" si="0"/>
        <v>OK</v>
      </c>
      <c r="B627" s="49">
        <v>125677</v>
      </c>
      <c r="C627" s="49" t="s">
        <v>754</v>
      </c>
      <c r="D627" s="49" t="s">
        <v>5</v>
      </c>
      <c r="E627" s="50">
        <v>6.7000000000000004E-2</v>
      </c>
      <c r="F627" s="108">
        <v>25</v>
      </c>
      <c r="G627" s="51">
        <v>43891</v>
      </c>
      <c r="H627" s="46">
        <v>367</v>
      </c>
      <c r="I627" s="49" t="str">
        <f ca="1"/>
        <v>奥野 貴大</v>
      </c>
      <c r="J627" s="109" t="s">
        <v>78</v>
      </c>
      <c r="K627" s="49" t="s">
        <v>50</v>
      </c>
      <c r="L627" s="100" t="s">
        <v>51</v>
      </c>
      <c r="M627" s="107" t="s">
        <v>52</v>
      </c>
    </row>
    <row r="628" spans="1:13" ht="16">
      <c r="A628" s="101" t="str">
        <f t="shared" si="0"/>
        <v>OK</v>
      </c>
      <c r="B628" s="49">
        <v>132610</v>
      </c>
      <c r="C628" s="49" t="s">
        <v>755</v>
      </c>
      <c r="D628" s="49" t="s">
        <v>5</v>
      </c>
      <c r="E628" s="50">
        <v>6.7000000000000004E-2</v>
      </c>
      <c r="F628" s="108">
        <v>20</v>
      </c>
      <c r="G628" s="51">
        <v>43891</v>
      </c>
      <c r="H628" s="46">
        <v>521</v>
      </c>
      <c r="I628" s="49" t="str">
        <f ca="1"/>
        <v>奥野 貴大</v>
      </c>
      <c r="J628" s="109" t="s">
        <v>78</v>
      </c>
      <c r="K628" s="49" t="s">
        <v>50</v>
      </c>
      <c r="L628" s="100" t="s">
        <v>51</v>
      </c>
      <c r="M628" s="107" t="s">
        <v>52</v>
      </c>
    </row>
    <row r="629" spans="1:13" ht="16">
      <c r="A629" s="101" t="str">
        <f t="shared" si="0"/>
        <v>OK</v>
      </c>
      <c r="B629" s="49">
        <v>132621</v>
      </c>
      <c r="C629" s="49" t="s">
        <v>756</v>
      </c>
      <c r="D629" s="49" t="s">
        <v>5</v>
      </c>
      <c r="E629" s="50">
        <v>6.7000000000000004E-2</v>
      </c>
      <c r="F629" s="108">
        <v>1</v>
      </c>
      <c r="G629" s="51">
        <v>43891</v>
      </c>
      <c r="H629" s="46">
        <v>646</v>
      </c>
      <c r="I629" s="49" t="str">
        <f ca="1"/>
        <v>奥野 貴大</v>
      </c>
      <c r="J629" s="109" t="s">
        <v>78</v>
      </c>
      <c r="K629" s="49" t="s">
        <v>50</v>
      </c>
      <c r="L629" s="100" t="s">
        <v>51</v>
      </c>
      <c r="M629" s="107" t="s">
        <v>52</v>
      </c>
    </row>
    <row r="630" spans="1:13" ht="16">
      <c r="A630" s="101" t="str">
        <f t="shared" si="0"/>
        <v>OK</v>
      </c>
      <c r="B630" s="49">
        <v>137886</v>
      </c>
      <c r="C630" s="49" t="s">
        <v>757</v>
      </c>
      <c r="D630" s="49" t="s">
        <v>5</v>
      </c>
      <c r="E630" s="50">
        <v>6.7000000000000004E-2</v>
      </c>
      <c r="F630" s="108">
        <v>12</v>
      </c>
      <c r="G630" s="51">
        <v>43891</v>
      </c>
      <c r="H630" s="46">
        <v>1151</v>
      </c>
      <c r="I630" s="49" t="str">
        <f ca="1"/>
        <v>桐山 勝気</v>
      </c>
      <c r="J630" s="109" t="s">
        <v>78</v>
      </c>
      <c r="K630" s="49" t="s">
        <v>50</v>
      </c>
      <c r="L630" s="100" t="s">
        <v>51</v>
      </c>
      <c r="M630" s="107" t="s">
        <v>52</v>
      </c>
    </row>
    <row r="631" spans="1:13" ht="16">
      <c r="A631" s="101" t="str">
        <f t="shared" si="0"/>
        <v>OK</v>
      </c>
      <c r="B631" s="49">
        <v>138022</v>
      </c>
      <c r="C631" s="49" t="s">
        <v>758</v>
      </c>
      <c r="D631" s="49" t="s">
        <v>5</v>
      </c>
      <c r="E631" s="50">
        <v>6.7000000000000004E-2</v>
      </c>
      <c r="F631" s="108">
        <v>56</v>
      </c>
      <c r="G631" s="51">
        <v>43891</v>
      </c>
      <c r="H631" s="46">
        <v>1649</v>
      </c>
      <c r="I631" s="49" t="str">
        <f ca="1"/>
        <v>奥野 貴大</v>
      </c>
      <c r="J631" s="109" t="s">
        <v>78</v>
      </c>
      <c r="K631" s="49" t="s">
        <v>50</v>
      </c>
      <c r="L631" s="100" t="s">
        <v>51</v>
      </c>
      <c r="M631" s="107" t="s">
        <v>52</v>
      </c>
    </row>
    <row r="632" spans="1:13" ht="16">
      <c r="A632" s="101" t="str">
        <f t="shared" si="0"/>
        <v>OK</v>
      </c>
      <c r="B632" s="49">
        <v>140556</v>
      </c>
      <c r="C632" s="49" t="s">
        <v>759</v>
      </c>
      <c r="D632" s="49" t="s">
        <v>5</v>
      </c>
      <c r="E632" s="50">
        <v>6.7000000000000004E-2</v>
      </c>
      <c r="F632" s="108">
        <v>29</v>
      </c>
      <c r="G632" s="51">
        <v>43891</v>
      </c>
      <c r="H632" s="46">
        <v>640</v>
      </c>
      <c r="I632" s="49" t="str">
        <f ca="1"/>
        <v>桐山 勝気</v>
      </c>
      <c r="J632" s="109" t="s">
        <v>78</v>
      </c>
      <c r="K632" s="49" t="s">
        <v>50</v>
      </c>
      <c r="L632" s="100" t="s">
        <v>51</v>
      </c>
      <c r="M632" s="107" t="s">
        <v>52</v>
      </c>
    </row>
    <row r="633" spans="1:13" ht="16">
      <c r="A633" s="101" t="str">
        <f t="shared" si="0"/>
        <v>OK</v>
      </c>
      <c r="B633" s="49">
        <v>140909</v>
      </c>
      <c r="C633" s="49" t="s">
        <v>760</v>
      </c>
      <c r="D633" s="49" t="s">
        <v>5</v>
      </c>
      <c r="E633" s="50">
        <v>6.7000000000000004E-2</v>
      </c>
      <c r="F633" s="108">
        <v>28</v>
      </c>
      <c r="G633" s="51">
        <v>43891</v>
      </c>
      <c r="H633" s="46">
        <v>868</v>
      </c>
      <c r="I633" s="49" t="str">
        <f ca="1"/>
        <v>奥野 貴大</v>
      </c>
      <c r="J633" s="109" t="s">
        <v>78</v>
      </c>
      <c r="K633" s="49" t="s">
        <v>50</v>
      </c>
      <c r="L633" s="100" t="s">
        <v>51</v>
      </c>
      <c r="M633" s="107" t="s">
        <v>52</v>
      </c>
    </row>
    <row r="634" spans="1:13" ht="16">
      <c r="A634" s="101" t="str">
        <f t="shared" si="0"/>
        <v>OK</v>
      </c>
      <c r="B634" s="49">
        <v>140984</v>
      </c>
      <c r="C634" s="49" t="s">
        <v>761</v>
      </c>
      <c r="D634" s="49" t="s">
        <v>5</v>
      </c>
      <c r="E634" s="50">
        <v>6.7000000000000004E-2</v>
      </c>
      <c r="F634" s="108">
        <v>36</v>
      </c>
      <c r="G634" s="51">
        <v>43891</v>
      </c>
      <c r="H634" s="46">
        <v>903</v>
      </c>
      <c r="I634" s="49" t="str">
        <f ca="1"/>
        <v>桐山 勝気</v>
      </c>
      <c r="J634" s="109" t="s">
        <v>78</v>
      </c>
      <c r="K634" s="49" t="s">
        <v>50</v>
      </c>
      <c r="L634" s="100" t="s">
        <v>51</v>
      </c>
      <c r="M634" s="107" t="s">
        <v>52</v>
      </c>
    </row>
    <row r="635" spans="1:13" ht="16">
      <c r="A635" s="101" t="str">
        <f t="shared" si="0"/>
        <v>OK</v>
      </c>
      <c r="B635" s="49">
        <v>141129</v>
      </c>
      <c r="C635" s="49" t="s">
        <v>762</v>
      </c>
      <c r="D635" s="49" t="s">
        <v>5</v>
      </c>
      <c r="E635" s="50">
        <v>6.7000000000000004E-2</v>
      </c>
      <c r="F635" s="108">
        <v>0</v>
      </c>
      <c r="G635" s="51">
        <v>43891</v>
      </c>
      <c r="H635" s="46">
        <v>1890</v>
      </c>
      <c r="I635" s="49" t="str">
        <f ca="1"/>
        <v>奥野 貴大</v>
      </c>
      <c r="J635" s="109" t="s">
        <v>78</v>
      </c>
      <c r="K635" s="49" t="s">
        <v>50</v>
      </c>
      <c r="L635" s="100" t="s">
        <v>51</v>
      </c>
      <c r="M635" s="107" t="s">
        <v>52</v>
      </c>
    </row>
    <row r="636" spans="1:13" ht="16">
      <c r="A636" s="101" t="str">
        <f t="shared" si="0"/>
        <v>OK</v>
      </c>
      <c r="B636" s="49">
        <v>107664</v>
      </c>
      <c r="C636" s="49" t="s">
        <v>763</v>
      </c>
      <c r="D636" s="49" t="s">
        <v>5</v>
      </c>
      <c r="E636" s="50">
        <v>6.7000000000000004E-2</v>
      </c>
      <c r="F636" s="108">
        <v>52</v>
      </c>
      <c r="G636" s="51">
        <v>43891</v>
      </c>
      <c r="H636" s="46">
        <v>954</v>
      </c>
      <c r="I636" s="49" t="str">
        <f ca="1"/>
        <v>桐山 勝気</v>
      </c>
      <c r="J636" s="109" t="s">
        <v>78</v>
      </c>
      <c r="K636" s="49" t="s">
        <v>50</v>
      </c>
      <c r="L636" s="100" t="s">
        <v>51</v>
      </c>
      <c r="M636" s="107" t="s">
        <v>52</v>
      </c>
    </row>
    <row r="637" spans="1:13" ht="16">
      <c r="A637" s="101" t="str">
        <f t="shared" si="0"/>
        <v>OK</v>
      </c>
      <c r="B637" s="49">
        <v>110981</v>
      </c>
      <c r="C637" s="49" t="s">
        <v>764</v>
      </c>
      <c r="D637" s="49" t="s">
        <v>5</v>
      </c>
      <c r="E637" s="50">
        <v>6.7000000000000004E-2</v>
      </c>
      <c r="F637" s="108">
        <v>85</v>
      </c>
      <c r="G637" s="51">
        <v>43891</v>
      </c>
      <c r="H637" s="46">
        <v>2891</v>
      </c>
      <c r="I637" s="49" t="str">
        <f ca="1"/>
        <v>桐山 勝気</v>
      </c>
      <c r="J637" s="109" t="s">
        <v>78</v>
      </c>
      <c r="K637" s="49" t="s">
        <v>50</v>
      </c>
      <c r="L637" s="100" t="s">
        <v>51</v>
      </c>
      <c r="M637" s="107" t="s">
        <v>52</v>
      </c>
    </row>
    <row r="638" spans="1:13" ht="16">
      <c r="A638" s="101" t="str">
        <f t="shared" si="0"/>
        <v>OK</v>
      </c>
      <c r="B638" s="49">
        <v>121648</v>
      </c>
      <c r="C638" s="49" t="s">
        <v>765</v>
      </c>
      <c r="D638" s="49" t="s">
        <v>5</v>
      </c>
      <c r="E638" s="50">
        <v>6.7000000000000004E-2</v>
      </c>
      <c r="F638" s="108">
        <v>100</v>
      </c>
      <c r="G638" s="51">
        <v>43891</v>
      </c>
      <c r="H638" s="46">
        <v>1963</v>
      </c>
      <c r="I638" s="49" t="str">
        <f ca="1"/>
        <v>桐山 勝気</v>
      </c>
      <c r="J638" s="109" t="s">
        <v>78</v>
      </c>
      <c r="K638" s="49" t="s">
        <v>50</v>
      </c>
      <c r="L638" s="100" t="s">
        <v>51</v>
      </c>
      <c r="M638" s="107" t="s">
        <v>52</v>
      </c>
    </row>
    <row r="639" spans="1:13" ht="16">
      <c r="A639" s="101" t="str">
        <f t="shared" si="0"/>
        <v>OK</v>
      </c>
      <c r="B639" s="49">
        <v>124817</v>
      </c>
      <c r="C639" s="49" t="s">
        <v>766</v>
      </c>
      <c r="D639" s="49" t="s">
        <v>5</v>
      </c>
      <c r="E639" s="50">
        <v>6.7000000000000004E-2</v>
      </c>
      <c r="F639" s="108">
        <v>209</v>
      </c>
      <c r="G639" s="51">
        <v>43891</v>
      </c>
      <c r="H639" s="46">
        <v>3256</v>
      </c>
      <c r="I639" s="49" t="str">
        <f ca="1"/>
        <v>桐山 勝気</v>
      </c>
      <c r="J639" s="109" t="s">
        <v>78</v>
      </c>
      <c r="K639" s="49" t="s">
        <v>50</v>
      </c>
      <c r="L639" s="100" t="s">
        <v>51</v>
      </c>
      <c r="M639" s="107" t="s">
        <v>52</v>
      </c>
    </row>
    <row r="640" spans="1:13" ht="16">
      <c r="A640" s="101" t="str">
        <f t="shared" si="0"/>
        <v>OK</v>
      </c>
      <c r="B640" s="49">
        <v>137142</v>
      </c>
      <c r="C640" s="49" t="s">
        <v>767</v>
      </c>
      <c r="D640" s="49" t="s">
        <v>5</v>
      </c>
      <c r="E640" s="50">
        <v>6.7000000000000004E-2</v>
      </c>
      <c r="F640" s="108">
        <v>69</v>
      </c>
      <c r="G640" s="51">
        <v>43891</v>
      </c>
      <c r="H640" s="46">
        <v>1980</v>
      </c>
      <c r="I640" s="49" t="str">
        <f ca="1"/>
        <v>桐山 勝気</v>
      </c>
      <c r="J640" s="109" t="s">
        <v>78</v>
      </c>
      <c r="K640" s="49" t="s">
        <v>50</v>
      </c>
      <c r="L640" s="100" t="s">
        <v>51</v>
      </c>
      <c r="M640" s="107" t="s">
        <v>52</v>
      </c>
    </row>
    <row r="641" spans="1:13" ht="16">
      <c r="A641" s="101" t="str">
        <f t="shared" si="0"/>
        <v>OK</v>
      </c>
      <c r="B641" s="49">
        <v>126724</v>
      </c>
      <c r="C641" s="49" t="s">
        <v>768</v>
      </c>
      <c r="D641" s="49" t="s">
        <v>7</v>
      </c>
      <c r="E641" s="50">
        <v>6.5000000000000002E-2</v>
      </c>
      <c r="F641" s="108">
        <v>171</v>
      </c>
      <c r="G641" s="51">
        <v>43891</v>
      </c>
      <c r="H641" s="46">
        <v>420</v>
      </c>
      <c r="I641" s="49" t="str">
        <f ca="1"/>
        <v>小川 純</v>
      </c>
      <c r="J641" s="109" t="s">
        <v>49</v>
      </c>
      <c r="K641" s="49" t="s">
        <v>50</v>
      </c>
      <c r="L641" s="100" t="s">
        <v>51</v>
      </c>
      <c r="M641" s="107" t="s">
        <v>52</v>
      </c>
    </row>
    <row r="642" spans="1:13" ht="16">
      <c r="A642" s="101" t="str">
        <f t="shared" si="0"/>
        <v>OK</v>
      </c>
      <c r="B642" s="49">
        <v>130175</v>
      </c>
      <c r="C642" s="49" t="s">
        <v>769</v>
      </c>
      <c r="D642" s="49" t="s">
        <v>7</v>
      </c>
      <c r="E642" s="50">
        <v>6.5000000000000002E-2</v>
      </c>
      <c r="F642" s="108">
        <v>3</v>
      </c>
      <c r="G642" s="51">
        <v>43891</v>
      </c>
      <c r="H642" s="46">
        <v>50</v>
      </c>
      <c r="I642" s="49" t="str">
        <f ca="1"/>
        <v>小川 純</v>
      </c>
      <c r="J642" s="109" t="s">
        <v>49</v>
      </c>
      <c r="K642" s="49" t="s">
        <v>50</v>
      </c>
      <c r="L642" s="100" t="s">
        <v>51</v>
      </c>
      <c r="M642" s="107" t="s">
        <v>52</v>
      </c>
    </row>
    <row r="643" spans="1:13" ht="16">
      <c r="A643" s="101" t="str">
        <f t="shared" si="0"/>
        <v>OK</v>
      </c>
      <c r="B643" s="49">
        <v>140606</v>
      </c>
      <c r="C643" s="49" t="s">
        <v>770</v>
      </c>
      <c r="D643" s="49" t="s">
        <v>7</v>
      </c>
      <c r="E643" s="50">
        <v>6.5000000000000002E-2</v>
      </c>
      <c r="F643" s="108">
        <v>75</v>
      </c>
      <c r="G643" s="51">
        <v>43891</v>
      </c>
      <c r="H643" s="46">
        <v>420</v>
      </c>
      <c r="I643" s="49" t="str">
        <f ca="1"/>
        <v>小川 純</v>
      </c>
      <c r="J643" s="109" t="s">
        <v>49</v>
      </c>
      <c r="K643" s="49" t="s">
        <v>50</v>
      </c>
      <c r="L643" s="100" t="s">
        <v>51</v>
      </c>
      <c r="M643" s="107" t="s">
        <v>52</v>
      </c>
    </row>
    <row r="644" spans="1:13" ht="16">
      <c r="A644" s="101" t="str">
        <f t="shared" si="0"/>
        <v>OK</v>
      </c>
      <c r="B644" s="49">
        <v>140607</v>
      </c>
      <c r="C644" s="49" t="s">
        <v>771</v>
      </c>
      <c r="D644" s="49" t="s">
        <v>7</v>
      </c>
      <c r="E644" s="50">
        <v>6.5000000000000002E-2</v>
      </c>
      <c r="F644" s="108">
        <v>67</v>
      </c>
      <c r="G644" s="51">
        <v>43891</v>
      </c>
      <c r="H644" s="46">
        <v>350</v>
      </c>
      <c r="I644" s="49" t="str">
        <f ca="1"/>
        <v>小川 純</v>
      </c>
      <c r="J644" s="109" t="s">
        <v>49</v>
      </c>
      <c r="K644" s="49" t="s">
        <v>50</v>
      </c>
      <c r="L644" s="100" t="s">
        <v>51</v>
      </c>
      <c r="M644" s="107" t="s">
        <v>52</v>
      </c>
    </row>
    <row r="645" spans="1:13" ht="16">
      <c r="A645" s="101" t="str">
        <f t="shared" si="0"/>
        <v>OK</v>
      </c>
      <c r="B645" s="49">
        <v>140608</v>
      </c>
      <c r="C645" s="49" t="s">
        <v>772</v>
      </c>
      <c r="D645" s="49" t="s">
        <v>7</v>
      </c>
      <c r="E645" s="50">
        <v>6.5000000000000002E-2</v>
      </c>
      <c r="F645" s="108">
        <v>106</v>
      </c>
      <c r="G645" s="51">
        <v>43891</v>
      </c>
      <c r="H645" s="46">
        <v>400</v>
      </c>
      <c r="I645" s="49" t="str">
        <f ca="1"/>
        <v>小川 純</v>
      </c>
      <c r="J645" s="109" t="s">
        <v>49</v>
      </c>
      <c r="K645" s="49" t="s">
        <v>50</v>
      </c>
      <c r="L645" s="100" t="s">
        <v>51</v>
      </c>
      <c r="M645" s="107" t="s">
        <v>52</v>
      </c>
    </row>
    <row r="646" spans="1:13" ht="16">
      <c r="A646" s="101" t="str">
        <f t="shared" si="0"/>
        <v>OK</v>
      </c>
      <c r="B646" s="49">
        <v>140609</v>
      </c>
      <c r="C646" s="49" t="s">
        <v>773</v>
      </c>
      <c r="D646" s="49" t="s">
        <v>7</v>
      </c>
      <c r="E646" s="50">
        <v>6.5000000000000002E-2</v>
      </c>
      <c r="F646" s="108">
        <v>26</v>
      </c>
      <c r="G646" s="51">
        <v>43891</v>
      </c>
      <c r="H646" s="46">
        <v>200</v>
      </c>
      <c r="I646" s="49" t="str">
        <f ca="1"/>
        <v>小川 純</v>
      </c>
      <c r="J646" s="109" t="s">
        <v>49</v>
      </c>
      <c r="K646" s="49" t="s">
        <v>50</v>
      </c>
      <c r="L646" s="100" t="s">
        <v>51</v>
      </c>
      <c r="M646" s="107" t="s">
        <v>52</v>
      </c>
    </row>
    <row r="647" spans="1:13" ht="16">
      <c r="A647" s="101" t="str">
        <f t="shared" si="0"/>
        <v>OK</v>
      </c>
      <c r="B647" s="49">
        <v>140610</v>
      </c>
      <c r="C647" s="49" t="s">
        <v>774</v>
      </c>
      <c r="D647" s="49" t="s">
        <v>7</v>
      </c>
      <c r="E647" s="50">
        <v>6.5000000000000002E-2</v>
      </c>
      <c r="F647" s="108">
        <v>41</v>
      </c>
      <c r="G647" s="51">
        <v>43891</v>
      </c>
      <c r="H647" s="46">
        <v>250</v>
      </c>
      <c r="I647" s="49" t="str">
        <f ca="1"/>
        <v>小川 純</v>
      </c>
      <c r="J647" s="109" t="s">
        <v>49</v>
      </c>
      <c r="K647" s="49" t="s">
        <v>50</v>
      </c>
      <c r="L647" s="100" t="s">
        <v>51</v>
      </c>
      <c r="M647" s="107" t="s">
        <v>52</v>
      </c>
    </row>
    <row r="648" spans="1:13" ht="16">
      <c r="A648" s="101" t="str">
        <f t="shared" si="0"/>
        <v>OK</v>
      </c>
      <c r="B648" s="49">
        <v>129916</v>
      </c>
      <c r="C648" s="49" t="s">
        <v>775</v>
      </c>
      <c r="D648" s="49" t="s">
        <v>5</v>
      </c>
      <c r="E648" s="50">
        <v>6.7000000000000004E-2</v>
      </c>
      <c r="F648" s="108">
        <v>176</v>
      </c>
      <c r="G648" s="51">
        <v>43891</v>
      </c>
      <c r="H648" s="46">
        <v>2499</v>
      </c>
      <c r="I648" s="49" t="str">
        <f ca="1"/>
        <v>桐山 勝気</v>
      </c>
      <c r="J648" s="109" t="s">
        <v>78</v>
      </c>
      <c r="K648" s="49" t="s">
        <v>50</v>
      </c>
      <c r="L648" s="100" t="s">
        <v>51</v>
      </c>
      <c r="M648" s="107" t="s">
        <v>52</v>
      </c>
    </row>
    <row r="649" spans="1:13" ht="16">
      <c r="A649" s="101" t="str">
        <f t="shared" si="0"/>
        <v>OK</v>
      </c>
      <c r="B649" s="49">
        <v>141166</v>
      </c>
      <c r="C649" s="49" t="s">
        <v>776</v>
      </c>
      <c r="D649" s="49" t="s">
        <v>5</v>
      </c>
      <c r="E649" s="50">
        <v>6.7000000000000004E-2</v>
      </c>
      <c r="F649" s="108">
        <v>0</v>
      </c>
      <c r="G649" s="51">
        <v>43891</v>
      </c>
      <c r="H649" s="46">
        <v>434</v>
      </c>
      <c r="I649" s="49" t="str">
        <f ca="1"/>
        <v>奥野 貴大</v>
      </c>
      <c r="J649" s="109" t="s">
        <v>78</v>
      </c>
      <c r="K649" s="49" t="s">
        <v>50</v>
      </c>
      <c r="L649" s="100" t="s">
        <v>51</v>
      </c>
      <c r="M649" s="107" t="s">
        <v>52</v>
      </c>
    </row>
    <row r="650" spans="1:13" ht="16">
      <c r="A650" s="101" t="str">
        <f t="shared" si="0"/>
        <v>OK</v>
      </c>
      <c r="B650" s="49">
        <v>141470</v>
      </c>
      <c r="C650" s="49" t="s">
        <v>777</v>
      </c>
      <c r="D650" s="49" t="s">
        <v>5</v>
      </c>
      <c r="E650" s="50">
        <v>6.7000000000000004E-2</v>
      </c>
      <c r="F650" s="108">
        <v>29</v>
      </c>
      <c r="G650" s="51">
        <v>43891</v>
      </c>
      <c r="H650" s="46">
        <v>908</v>
      </c>
      <c r="I650" s="49" t="str">
        <f ca="1"/>
        <v>桐山 勝気</v>
      </c>
      <c r="J650" s="109" t="s">
        <v>78</v>
      </c>
      <c r="K650" s="49" t="s">
        <v>50</v>
      </c>
      <c r="L650" s="100" t="s">
        <v>51</v>
      </c>
      <c r="M650" s="107" t="s">
        <v>52</v>
      </c>
    </row>
    <row r="651" spans="1:13" ht="16">
      <c r="A651" s="101" t="str">
        <f t="shared" si="0"/>
        <v>OK</v>
      </c>
      <c r="B651" s="49">
        <v>100364</v>
      </c>
      <c r="C651" s="49" t="s">
        <v>778</v>
      </c>
      <c r="D651" s="49" t="s">
        <v>5</v>
      </c>
      <c r="E651" s="50">
        <v>6.7000000000000004E-2</v>
      </c>
      <c r="F651" s="108">
        <v>50</v>
      </c>
      <c r="G651" s="51">
        <v>43891</v>
      </c>
      <c r="H651" s="46">
        <v>1115</v>
      </c>
      <c r="I651" s="49" t="str">
        <f ca="1"/>
        <v>桐山 勝気</v>
      </c>
      <c r="J651" s="109" t="s">
        <v>78</v>
      </c>
      <c r="K651" s="49" t="s">
        <v>50</v>
      </c>
      <c r="L651" s="100" t="s">
        <v>51</v>
      </c>
      <c r="M651" s="107" t="s">
        <v>52</v>
      </c>
    </row>
    <row r="652" spans="1:13" ht="16">
      <c r="A652" s="101" t="str">
        <f t="shared" si="0"/>
        <v>OK</v>
      </c>
      <c r="B652" s="49">
        <v>104066</v>
      </c>
      <c r="C652" s="49" t="s">
        <v>779</v>
      </c>
      <c r="D652" s="49" t="s">
        <v>5</v>
      </c>
      <c r="E652" s="50">
        <v>6.7000000000000004E-2</v>
      </c>
      <c r="F652" s="108">
        <v>0</v>
      </c>
      <c r="G652" s="51">
        <v>43891</v>
      </c>
      <c r="H652" s="46">
        <v>4033</v>
      </c>
      <c r="I652" s="49" t="str">
        <f ca="1"/>
        <v>奥野 貴大</v>
      </c>
      <c r="J652" s="109" t="s">
        <v>78</v>
      </c>
      <c r="K652" s="49" t="s">
        <v>50</v>
      </c>
      <c r="L652" s="100" t="s">
        <v>51</v>
      </c>
      <c r="M652" s="107" t="s">
        <v>52</v>
      </c>
    </row>
    <row r="653" spans="1:13" ht="16">
      <c r="A653" s="101" t="str">
        <f t="shared" si="0"/>
        <v>OK</v>
      </c>
      <c r="B653" s="49">
        <v>120992</v>
      </c>
      <c r="C653" s="49" t="s">
        <v>780</v>
      </c>
      <c r="D653" s="49" t="s">
        <v>5</v>
      </c>
      <c r="E653" s="50">
        <v>6.7000000000000004E-2</v>
      </c>
      <c r="F653" s="108">
        <v>0</v>
      </c>
      <c r="G653" s="51">
        <v>43891</v>
      </c>
      <c r="H653" s="46">
        <v>3494</v>
      </c>
      <c r="I653" s="49" t="str">
        <f ca="1"/>
        <v>奥野 貴大</v>
      </c>
      <c r="J653" s="109" t="s">
        <v>78</v>
      </c>
      <c r="K653" s="49" t="s">
        <v>50</v>
      </c>
      <c r="L653" s="100" t="s">
        <v>51</v>
      </c>
      <c r="M653" s="107" t="s">
        <v>52</v>
      </c>
    </row>
    <row r="654" spans="1:13" ht="16">
      <c r="A654" s="101" t="str">
        <f t="shared" si="0"/>
        <v>OK</v>
      </c>
      <c r="B654" s="49">
        <v>141679</v>
      </c>
      <c r="C654" s="49" t="s">
        <v>781</v>
      </c>
      <c r="D654" s="49" t="s">
        <v>5</v>
      </c>
      <c r="E654" s="50">
        <v>6.7000000000000004E-2</v>
      </c>
      <c r="F654" s="108">
        <v>0</v>
      </c>
      <c r="G654" s="51">
        <v>43891</v>
      </c>
      <c r="H654" s="46">
        <v>299</v>
      </c>
      <c r="I654" s="49" t="str">
        <f ca="1"/>
        <v>桐山 勝気</v>
      </c>
      <c r="J654" s="109" t="s">
        <v>78</v>
      </c>
      <c r="K654" s="49" t="s">
        <v>50</v>
      </c>
      <c r="L654" s="100" t="s">
        <v>51</v>
      </c>
      <c r="M654" s="107" t="s">
        <v>52</v>
      </c>
    </row>
    <row r="655" spans="1:13" ht="16">
      <c r="A655" s="101" t="str">
        <f t="shared" si="0"/>
        <v>OK</v>
      </c>
      <c r="B655" s="49">
        <v>100209</v>
      </c>
      <c r="C655" s="49" t="s">
        <v>782</v>
      </c>
      <c r="D655" s="49" t="s">
        <v>7</v>
      </c>
      <c r="E655" s="50">
        <v>0.06</v>
      </c>
      <c r="F655" s="108">
        <v>4</v>
      </c>
      <c r="G655" s="51">
        <v>43922</v>
      </c>
      <c r="H655" s="46">
        <v>68</v>
      </c>
      <c r="I655" s="49" t="str">
        <f ca="1"/>
        <v>稲場 勇介</v>
      </c>
      <c r="J655" s="109" t="s">
        <v>453</v>
      </c>
      <c r="K655" s="49" t="s">
        <v>50</v>
      </c>
      <c r="L655" s="100" t="s">
        <v>51</v>
      </c>
      <c r="M655" s="107" t="s">
        <v>52</v>
      </c>
    </row>
    <row r="656" spans="1:13" ht="16">
      <c r="A656" s="101" t="str">
        <f t="shared" si="0"/>
        <v>OK</v>
      </c>
      <c r="B656" s="49">
        <v>100211</v>
      </c>
      <c r="C656" s="49" t="s">
        <v>783</v>
      </c>
      <c r="D656" s="49" t="s">
        <v>7</v>
      </c>
      <c r="E656" s="50">
        <v>0.06</v>
      </c>
      <c r="F656" s="108">
        <v>5</v>
      </c>
      <c r="G656" s="51">
        <v>43922</v>
      </c>
      <c r="H656" s="46">
        <v>89</v>
      </c>
      <c r="I656" s="49" t="str">
        <f ca="1"/>
        <v>稲場 勇介</v>
      </c>
      <c r="J656" s="109" t="s">
        <v>453</v>
      </c>
      <c r="K656" s="49" t="s">
        <v>50</v>
      </c>
      <c r="L656" s="100" t="s">
        <v>51</v>
      </c>
      <c r="M656" s="107" t="s">
        <v>52</v>
      </c>
    </row>
    <row r="657" spans="1:14" ht="16">
      <c r="A657" s="101" t="str">
        <f t="shared" si="0"/>
        <v>OK</v>
      </c>
      <c r="B657" s="49">
        <v>100212</v>
      </c>
      <c r="C657" s="49" t="s">
        <v>784</v>
      </c>
      <c r="D657" s="49" t="s">
        <v>7</v>
      </c>
      <c r="E657" s="50">
        <v>0.06</v>
      </c>
      <c r="F657" s="108">
        <v>22</v>
      </c>
      <c r="G657" s="51">
        <v>43922</v>
      </c>
      <c r="H657" s="46">
        <v>62</v>
      </c>
      <c r="I657" s="49" t="str">
        <f ca="1"/>
        <v>稲場 勇介</v>
      </c>
      <c r="J657" s="109" t="s">
        <v>453</v>
      </c>
      <c r="K657" s="49" t="s">
        <v>50</v>
      </c>
      <c r="L657" s="100" t="s">
        <v>51</v>
      </c>
      <c r="M657" s="107" t="s">
        <v>52</v>
      </c>
    </row>
    <row r="658" spans="1:14" ht="16">
      <c r="A658" s="101" t="str">
        <f t="shared" si="0"/>
        <v>OK</v>
      </c>
      <c r="B658" s="49">
        <v>105308</v>
      </c>
      <c r="C658" s="49" t="s">
        <v>785</v>
      </c>
      <c r="D658" s="49" t="s">
        <v>7</v>
      </c>
      <c r="E658" s="50">
        <v>0.06</v>
      </c>
      <c r="F658" s="108">
        <v>2</v>
      </c>
      <c r="G658" s="51">
        <v>43922</v>
      </c>
      <c r="H658" s="46">
        <v>44</v>
      </c>
      <c r="I658" s="49" t="str">
        <f ca="1"/>
        <v>稲場 勇介</v>
      </c>
      <c r="J658" s="109" t="s">
        <v>453</v>
      </c>
      <c r="K658" s="49" t="s">
        <v>50</v>
      </c>
      <c r="L658" s="100" t="s">
        <v>51</v>
      </c>
      <c r="M658" s="107" t="s">
        <v>52</v>
      </c>
    </row>
    <row r="659" spans="1:14" ht="16">
      <c r="A659" s="101" t="str">
        <f t="shared" si="0"/>
        <v>OK</v>
      </c>
      <c r="B659" s="49">
        <v>115571</v>
      </c>
      <c r="C659" s="49" t="s">
        <v>786</v>
      </c>
      <c r="D659" s="49" t="s">
        <v>7</v>
      </c>
      <c r="E659" s="50">
        <v>0.06</v>
      </c>
      <c r="F659" s="108">
        <v>3</v>
      </c>
      <c r="G659" s="51">
        <v>43922</v>
      </c>
      <c r="H659" s="46">
        <v>52</v>
      </c>
      <c r="I659" s="49" t="str">
        <f ca="1"/>
        <v>稲場 勇介</v>
      </c>
      <c r="J659" s="109" t="s">
        <v>453</v>
      </c>
      <c r="K659" s="49" t="s">
        <v>50</v>
      </c>
      <c r="L659" s="100" t="s">
        <v>51</v>
      </c>
      <c r="M659" s="107" t="s">
        <v>52</v>
      </c>
    </row>
    <row r="660" spans="1:14" ht="16">
      <c r="A660" s="101" t="str">
        <f t="shared" si="0"/>
        <v>OK</v>
      </c>
      <c r="B660" s="49">
        <v>127020</v>
      </c>
      <c r="C660" s="49" t="s">
        <v>787</v>
      </c>
      <c r="D660" s="49" t="s">
        <v>7</v>
      </c>
      <c r="E660" s="50">
        <v>0.06</v>
      </c>
      <c r="F660" s="108">
        <v>6</v>
      </c>
      <c r="G660" s="51">
        <v>43922</v>
      </c>
      <c r="H660" s="46">
        <v>85</v>
      </c>
      <c r="I660" s="49" t="str">
        <f ca="1"/>
        <v>稲場 勇介</v>
      </c>
      <c r="J660" s="109" t="s">
        <v>453</v>
      </c>
      <c r="K660" s="49" t="s">
        <v>50</v>
      </c>
      <c r="L660" s="100" t="s">
        <v>51</v>
      </c>
      <c r="M660" s="107" t="s">
        <v>52</v>
      </c>
    </row>
    <row r="661" spans="1:14" ht="16">
      <c r="A661" s="101" t="str">
        <f t="shared" si="0"/>
        <v>OK</v>
      </c>
      <c r="B661" s="49">
        <v>3705008</v>
      </c>
      <c r="C661" s="49" t="s">
        <v>788</v>
      </c>
      <c r="D661" s="49" t="s">
        <v>7</v>
      </c>
      <c r="E661" s="50">
        <v>1.4999999999999999E-2</v>
      </c>
      <c r="F661" s="108">
        <v>3</v>
      </c>
      <c r="G661" s="51">
        <v>43922</v>
      </c>
      <c r="H661" s="46">
        <v>0</v>
      </c>
      <c r="I661" s="49" t="str">
        <f ca="1"/>
        <v>大木 優香</v>
      </c>
      <c r="J661" s="109" t="s">
        <v>453</v>
      </c>
      <c r="K661" s="49" t="s">
        <v>50</v>
      </c>
      <c r="L661" s="100" t="s">
        <v>51</v>
      </c>
      <c r="M661" s="107" t="s">
        <v>52</v>
      </c>
      <c r="N661" s="100" t="s">
        <v>789</v>
      </c>
    </row>
    <row r="662" spans="1:14" ht="16">
      <c r="A662" s="101" t="str">
        <f t="shared" si="0"/>
        <v>OK</v>
      </c>
      <c r="B662" s="49">
        <v>3705015</v>
      </c>
      <c r="C662" s="49" t="s">
        <v>790</v>
      </c>
      <c r="D662" s="49" t="s">
        <v>7</v>
      </c>
      <c r="E662" s="50">
        <v>1.4999999999999999E-2</v>
      </c>
      <c r="F662" s="108">
        <v>0</v>
      </c>
      <c r="G662" s="51">
        <v>43922</v>
      </c>
      <c r="H662" s="46">
        <v>0</v>
      </c>
      <c r="I662" s="49" t="str">
        <f ca="1"/>
        <v>大木 優香</v>
      </c>
      <c r="J662" s="109" t="s">
        <v>453</v>
      </c>
      <c r="K662" s="49" t="s">
        <v>50</v>
      </c>
      <c r="L662" s="100" t="s">
        <v>51</v>
      </c>
      <c r="M662" s="107" t="s">
        <v>52</v>
      </c>
      <c r="N662" s="100" t="s">
        <v>789</v>
      </c>
    </row>
    <row r="663" spans="1:14" ht="16">
      <c r="A663" s="101" t="str">
        <f t="shared" si="0"/>
        <v>OK</v>
      </c>
      <c r="B663" s="49">
        <v>3705016</v>
      </c>
      <c r="C663" s="49" t="s">
        <v>791</v>
      </c>
      <c r="D663" s="49" t="s">
        <v>7</v>
      </c>
      <c r="E663" s="50">
        <v>1.4999999999999999E-2</v>
      </c>
      <c r="F663" s="108">
        <v>56</v>
      </c>
      <c r="G663" s="51">
        <v>43922</v>
      </c>
      <c r="H663" s="46">
        <v>0</v>
      </c>
      <c r="I663" s="49" t="str">
        <f ca="1"/>
        <v>大木 優香</v>
      </c>
      <c r="J663" s="109" t="s">
        <v>453</v>
      </c>
      <c r="K663" s="49" t="s">
        <v>50</v>
      </c>
      <c r="L663" s="100" t="s">
        <v>51</v>
      </c>
      <c r="M663" s="107" t="s">
        <v>52</v>
      </c>
      <c r="N663" s="100" t="s">
        <v>789</v>
      </c>
    </row>
    <row r="664" spans="1:14" ht="16">
      <c r="A664" s="101" t="str">
        <f t="shared" si="0"/>
        <v>OK</v>
      </c>
      <c r="B664" s="49">
        <v>3705027</v>
      </c>
      <c r="C664" s="49" t="s">
        <v>792</v>
      </c>
      <c r="D664" s="49" t="s">
        <v>7</v>
      </c>
      <c r="E664" s="50">
        <v>1.4999999999999999E-2</v>
      </c>
      <c r="F664" s="108">
        <v>10</v>
      </c>
      <c r="G664" s="51">
        <v>43922</v>
      </c>
      <c r="H664" s="46">
        <v>0</v>
      </c>
      <c r="I664" s="49" t="str">
        <f ca="1"/>
        <v>大木 優香</v>
      </c>
      <c r="J664" s="109" t="s">
        <v>453</v>
      </c>
      <c r="K664" s="49" t="s">
        <v>50</v>
      </c>
      <c r="L664" s="100" t="s">
        <v>51</v>
      </c>
      <c r="M664" s="107" t="s">
        <v>52</v>
      </c>
      <c r="N664" s="100" t="s">
        <v>789</v>
      </c>
    </row>
    <row r="665" spans="1:14" ht="16">
      <c r="A665" s="101" t="str">
        <f t="shared" si="0"/>
        <v>OK</v>
      </c>
      <c r="B665" s="49">
        <v>3705028</v>
      </c>
      <c r="C665" s="49" t="s">
        <v>793</v>
      </c>
      <c r="D665" s="49" t="s">
        <v>7</v>
      </c>
      <c r="E665" s="50">
        <v>1.4999999999999999E-2</v>
      </c>
      <c r="F665" s="108">
        <v>7</v>
      </c>
      <c r="G665" s="51">
        <v>43922</v>
      </c>
      <c r="H665" s="46">
        <v>0</v>
      </c>
      <c r="I665" s="49" t="str">
        <f ca="1"/>
        <v>大木 優香</v>
      </c>
      <c r="J665" s="109" t="s">
        <v>453</v>
      </c>
      <c r="K665" s="49" t="s">
        <v>50</v>
      </c>
      <c r="L665" s="100" t="s">
        <v>51</v>
      </c>
      <c r="M665" s="107" t="s">
        <v>52</v>
      </c>
      <c r="N665" s="100" t="s">
        <v>789</v>
      </c>
    </row>
    <row r="666" spans="1:14" ht="16">
      <c r="A666" s="101" t="str">
        <f t="shared" si="0"/>
        <v>OK</v>
      </c>
      <c r="B666" s="49">
        <v>3705032</v>
      </c>
      <c r="C666" s="49" t="s">
        <v>794</v>
      </c>
      <c r="D666" s="49" t="s">
        <v>7</v>
      </c>
      <c r="E666" s="50">
        <v>1.4999999999999999E-2</v>
      </c>
      <c r="F666" s="108">
        <v>20</v>
      </c>
      <c r="G666" s="51">
        <v>43922</v>
      </c>
      <c r="H666" s="46">
        <v>0</v>
      </c>
      <c r="I666" s="49" t="str">
        <f ca="1"/>
        <v>大木 優香</v>
      </c>
      <c r="J666" s="109" t="s">
        <v>453</v>
      </c>
      <c r="K666" s="49" t="s">
        <v>50</v>
      </c>
      <c r="L666" s="100" t="s">
        <v>51</v>
      </c>
      <c r="M666" s="107" t="s">
        <v>52</v>
      </c>
      <c r="N666" s="100" t="s">
        <v>789</v>
      </c>
    </row>
    <row r="667" spans="1:14" ht="16">
      <c r="A667" s="101" t="str">
        <f t="shared" si="0"/>
        <v>OK</v>
      </c>
      <c r="B667" s="49">
        <v>3705035</v>
      </c>
      <c r="C667" s="49" t="s">
        <v>795</v>
      </c>
      <c r="D667" s="49" t="s">
        <v>7</v>
      </c>
      <c r="E667" s="50">
        <v>1.4999999999999999E-2</v>
      </c>
      <c r="F667" s="108">
        <v>2</v>
      </c>
      <c r="G667" s="51">
        <v>43922</v>
      </c>
      <c r="H667" s="46">
        <v>0</v>
      </c>
      <c r="I667" s="49" t="str">
        <f ca="1"/>
        <v>大木 優香</v>
      </c>
      <c r="J667" s="109" t="s">
        <v>453</v>
      </c>
      <c r="K667" s="49" t="s">
        <v>50</v>
      </c>
      <c r="L667" s="100" t="s">
        <v>51</v>
      </c>
      <c r="M667" s="107" t="s">
        <v>52</v>
      </c>
      <c r="N667" s="100" t="s">
        <v>789</v>
      </c>
    </row>
    <row r="668" spans="1:14" ht="16">
      <c r="A668" s="101" t="str">
        <f t="shared" si="0"/>
        <v>OK</v>
      </c>
      <c r="B668" s="49">
        <v>3705043</v>
      </c>
      <c r="C668" s="49" t="s">
        <v>796</v>
      </c>
      <c r="D668" s="49" t="s">
        <v>7</v>
      </c>
      <c r="E668" s="50">
        <v>1.4999999999999999E-2</v>
      </c>
      <c r="F668" s="108">
        <v>36</v>
      </c>
      <c r="G668" s="51">
        <v>43922</v>
      </c>
      <c r="H668" s="46">
        <v>0</v>
      </c>
      <c r="I668" s="49" t="str">
        <f ca="1"/>
        <v>大木 優香</v>
      </c>
      <c r="J668" s="109" t="s">
        <v>453</v>
      </c>
      <c r="K668" s="49" t="s">
        <v>50</v>
      </c>
      <c r="L668" s="100" t="s">
        <v>51</v>
      </c>
      <c r="M668" s="107" t="s">
        <v>52</v>
      </c>
      <c r="N668" s="100" t="s">
        <v>789</v>
      </c>
    </row>
    <row r="669" spans="1:14" ht="16">
      <c r="A669" s="101" t="str">
        <f t="shared" si="0"/>
        <v>OK</v>
      </c>
      <c r="B669" s="49">
        <v>3705063</v>
      </c>
      <c r="C669" s="49" t="s">
        <v>797</v>
      </c>
      <c r="D669" s="49" t="s">
        <v>7</v>
      </c>
      <c r="E669" s="50">
        <v>1.4999999999999999E-2</v>
      </c>
      <c r="F669" s="108">
        <v>4</v>
      </c>
      <c r="G669" s="51">
        <v>43922</v>
      </c>
      <c r="H669" s="46">
        <v>0</v>
      </c>
      <c r="I669" s="49" t="str">
        <f ca="1"/>
        <v>大木 優香</v>
      </c>
      <c r="J669" s="109" t="s">
        <v>453</v>
      </c>
      <c r="K669" s="49" t="s">
        <v>50</v>
      </c>
      <c r="L669" s="100" t="s">
        <v>51</v>
      </c>
      <c r="M669" s="107" t="s">
        <v>52</v>
      </c>
      <c r="N669" s="100" t="s">
        <v>789</v>
      </c>
    </row>
    <row r="670" spans="1:14" ht="16">
      <c r="A670" s="101" t="str">
        <f t="shared" si="0"/>
        <v>OK</v>
      </c>
      <c r="B670" s="49">
        <v>3705073</v>
      </c>
      <c r="C670" s="49" t="s">
        <v>798</v>
      </c>
      <c r="D670" s="49" t="s">
        <v>7</v>
      </c>
      <c r="E670" s="50">
        <v>1.4999999999999999E-2</v>
      </c>
      <c r="F670" s="108">
        <v>7</v>
      </c>
      <c r="G670" s="51">
        <v>43922</v>
      </c>
      <c r="H670" s="46">
        <v>0</v>
      </c>
      <c r="I670" s="49" t="str">
        <f ca="1"/>
        <v>大木 優香</v>
      </c>
      <c r="J670" s="109" t="s">
        <v>453</v>
      </c>
      <c r="K670" s="49" t="s">
        <v>50</v>
      </c>
      <c r="L670" s="100" t="s">
        <v>51</v>
      </c>
      <c r="M670" s="107" t="s">
        <v>52</v>
      </c>
      <c r="N670" s="100" t="s">
        <v>789</v>
      </c>
    </row>
    <row r="671" spans="1:14" ht="16">
      <c r="A671" s="101" t="str">
        <f t="shared" si="0"/>
        <v>OK</v>
      </c>
      <c r="B671" s="49">
        <v>3705098</v>
      </c>
      <c r="C671" s="49" t="s">
        <v>799</v>
      </c>
      <c r="D671" s="49" t="s">
        <v>7</v>
      </c>
      <c r="E671" s="50">
        <v>1.4999999999999999E-2</v>
      </c>
      <c r="F671" s="108">
        <v>0</v>
      </c>
      <c r="G671" s="51">
        <v>43922</v>
      </c>
      <c r="H671" s="46">
        <v>0</v>
      </c>
      <c r="I671" s="49" t="str">
        <f ca="1"/>
        <v>大木 優香</v>
      </c>
      <c r="J671" s="109" t="s">
        <v>453</v>
      </c>
      <c r="K671" s="49" t="s">
        <v>50</v>
      </c>
      <c r="L671" s="100" t="s">
        <v>51</v>
      </c>
      <c r="M671" s="107" t="s">
        <v>52</v>
      </c>
      <c r="N671" s="100" t="s">
        <v>789</v>
      </c>
    </row>
    <row r="672" spans="1:14" ht="16">
      <c r="A672" s="101" t="str">
        <f t="shared" si="0"/>
        <v>OK</v>
      </c>
      <c r="B672" s="49">
        <v>3705100</v>
      </c>
      <c r="C672" s="49" t="s">
        <v>800</v>
      </c>
      <c r="D672" s="49" t="s">
        <v>7</v>
      </c>
      <c r="E672" s="50">
        <v>1.4999999999999999E-2</v>
      </c>
      <c r="F672" s="108">
        <v>25</v>
      </c>
      <c r="G672" s="51">
        <v>43922</v>
      </c>
      <c r="H672" s="46">
        <v>0</v>
      </c>
      <c r="I672" s="49" t="str">
        <f ca="1"/>
        <v>大木 優香</v>
      </c>
      <c r="J672" s="109" t="s">
        <v>453</v>
      </c>
      <c r="K672" s="49" t="s">
        <v>50</v>
      </c>
      <c r="L672" s="100" t="s">
        <v>51</v>
      </c>
      <c r="M672" s="107" t="s">
        <v>52</v>
      </c>
      <c r="N672" s="100" t="s">
        <v>789</v>
      </c>
    </row>
    <row r="673" spans="1:14" ht="16">
      <c r="A673" s="101" t="str">
        <f t="shared" si="0"/>
        <v>OK</v>
      </c>
      <c r="B673" s="49">
        <v>3705102</v>
      </c>
      <c r="C673" s="49" t="s">
        <v>801</v>
      </c>
      <c r="D673" s="49" t="s">
        <v>7</v>
      </c>
      <c r="E673" s="50">
        <v>1.4999999999999999E-2</v>
      </c>
      <c r="F673" s="108">
        <v>68</v>
      </c>
      <c r="G673" s="51">
        <v>43922</v>
      </c>
      <c r="H673" s="46">
        <v>0</v>
      </c>
      <c r="I673" s="49" t="str">
        <f ca="1"/>
        <v>大木 優香</v>
      </c>
      <c r="J673" s="109" t="s">
        <v>453</v>
      </c>
      <c r="K673" s="49" t="s">
        <v>50</v>
      </c>
      <c r="L673" s="100" t="s">
        <v>51</v>
      </c>
      <c r="M673" s="107" t="s">
        <v>52</v>
      </c>
      <c r="N673" s="100" t="s">
        <v>789</v>
      </c>
    </row>
    <row r="674" spans="1:14" ht="16">
      <c r="A674" s="101" t="str">
        <f t="shared" si="0"/>
        <v>OK</v>
      </c>
      <c r="B674" s="49">
        <v>3705107</v>
      </c>
      <c r="C674" s="49" t="s">
        <v>802</v>
      </c>
      <c r="D674" s="49" t="s">
        <v>7</v>
      </c>
      <c r="E674" s="50">
        <v>1.4999999999999999E-2</v>
      </c>
      <c r="F674" s="108">
        <v>45</v>
      </c>
      <c r="G674" s="51">
        <v>43922</v>
      </c>
      <c r="H674" s="46">
        <v>0</v>
      </c>
      <c r="I674" s="49" t="str">
        <f ca="1"/>
        <v>大木 優香</v>
      </c>
      <c r="J674" s="109" t="s">
        <v>453</v>
      </c>
      <c r="K674" s="49" t="s">
        <v>50</v>
      </c>
      <c r="L674" s="100" t="s">
        <v>51</v>
      </c>
      <c r="M674" s="107" t="s">
        <v>52</v>
      </c>
      <c r="N674" s="100" t="s">
        <v>789</v>
      </c>
    </row>
    <row r="675" spans="1:14" ht="16">
      <c r="A675" s="101" t="str">
        <f t="shared" si="0"/>
        <v>OK</v>
      </c>
      <c r="B675" s="49">
        <v>3705117</v>
      </c>
      <c r="C675" s="49" t="s">
        <v>803</v>
      </c>
      <c r="D675" s="49" t="s">
        <v>7</v>
      </c>
      <c r="E675" s="50">
        <v>1.4999999999999999E-2</v>
      </c>
      <c r="F675" s="108">
        <v>11</v>
      </c>
      <c r="G675" s="51">
        <v>43922</v>
      </c>
      <c r="H675" s="46">
        <v>0</v>
      </c>
      <c r="I675" s="49" t="str">
        <f ca="1"/>
        <v>大木 優香</v>
      </c>
      <c r="J675" s="109" t="s">
        <v>453</v>
      </c>
      <c r="K675" s="49" t="s">
        <v>50</v>
      </c>
      <c r="L675" s="100" t="s">
        <v>51</v>
      </c>
      <c r="M675" s="107" t="s">
        <v>52</v>
      </c>
      <c r="N675" s="100" t="s">
        <v>789</v>
      </c>
    </row>
    <row r="676" spans="1:14" ht="16">
      <c r="A676" s="101" t="str">
        <f t="shared" si="0"/>
        <v>OK</v>
      </c>
      <c r="B676" s="49">
        <v>3705119</v>
      </c>
      <c r="C676" s="49" t="s">
        <v>804</v>
      </c>
      <c r="D676" s="49" t="s">
        <v>7</v>
      </c>
      <c r="E676" s="50">
        <v>1.4999999999999999E-2</v>
      </c>
      <c r="F676" s="108">
        <v>18</v>
      </c>
      <c r="G676" s="51">
        <v>43922</v>
      </c>
      <c r="H676" s="46">
        <v>0</v>
      </c>
      <c r="I676" s="49" t="str">
        <f ca="1"/>
        <v>大木 優香</v>
      </c>
      <c r="J676" s="109" t="s">
        <v>453</v>
      </c>
      <c r="K676" s="49" t="s">
        <v>50</v>
      </c>
      <c r="L676" s="100" t="s">
        <v>51</v>
      </c>
      <c r="M676" s="107" t="s">
        <v>52</v>
      </c>
      <c r="N676" s="100" t="s">
        <v>789</v>
      </c>
    </row>
    <row r="677" spans="1:14" ht="16">
      <c r="A677" s="101" t="str">
        <f t="shared" si="0"/>
        <v>OK</v>
      </c>
      <c r="B677" s="49">
        <v>3705125</v>
      </c>
      <c r="C677" s="49" t="s">
        <v>805</v>
      </c>
      <c r="D677" s="49" t="s">
        <v>7</v>
      </c>
      <c r="E677" s="50">
        <v>1.4999999999999999E-2</v>
      </c>
      <c r="F677" s="108">
        <v>16</v>
      </c>
      <c r="G677" s="51">
        <v>43922</v>
      </c>
      <c r="H677" s="46">
        <v>0</v>
      </c>
      <c r="I677" s="49" t="str">
        <f ca="1"/>
        <v>大木 優香</v>
      </c>
      <c r="J677" s="109" t="s">
        <v>453</v>
      </c>
      <c r="K677" s="49" t="s">
        <v>50</v>
      </c>
      <c r="L677" s="100" t="s">
        <v>51</v>
      </c>
      <c r="M677" s="107" t="s">
        <v>52</v>
      </c>
      <c r="N677" s="100" t="s">
        <v>789</v>
      </c>
    </row>
    <row r="678" spans="1:14" ht="16">
      <c r="A678" s="101" t="str">
        <f t="shared" si="0"/>
        <v>OK</v>
      </c>
      <c r="B678" s="49">
        <v>3705126</v>
      </c>
      <c r="C678" s="49" t="s">
        <v>806</v>
      </c>
      <c r="D678" s="49" t="s">
        <v>7</v>
      </c>
      <c r="E678" s="50">
        <v>1.4999999999999999E-2</v>
      </c>
      <c r="F678" s="108">
        <v>35</v>
      </c>
      <c r="G678" s="51">
        <v>43922</v>
      </c>
      <c r="H678" s="46">
        <v>0</v>
      </c>
      <c r="I678" s="49" t="str">
        <f ca="1"/>
        <v>大木 優香</v>
      </c>
      <c r="J678" s="109" t="s">
        <v>453</v>
      </c>
      <c r="K678" s="49" t="s">
        <v>50</v>
      </c>
      <c r="L678" s="100" t="s">
        <v>51</v>
      </c>
      <c r="M678" s="107" t="s">
        <v>52</v>
      </c>
      <c r="N678" s="100" t="s">
        <v>789</v>
      </c>
    </row>
    <row r="679" spans="1:14" ht="16">
      <c r="A679" s="101" t="str">
        <f t="shared" si="0"/>
        <v>OK</v>
      </c>
      <c r="B679" s="49">
        <v>3705132</v>
      </c>
      <c r="C679" s="49" t="s">
        <v>807</v>
      </c>
      <c r="D679" s="49" t="s">
        <v>7</v>
      </c>
      <c r="E679" s="50">
        <v>1.4999999999999999E-2</v>
      </c>
      <c r="F679" s="108">
        <v>6</v>
      </c>
      <c r="G679" s="51">
        <v>43922</v>
      </c>
      <c r="H679" s="46">
        <v>0</v>
      </c>
      <c r="I679" s="49" t="str">
        <f ca="1"/>
        <v>大木 優香</v>
      </c>
      <c r="J679" s="109" t="s">
        <v>453</v>
      </c>
      <c r="K679" s="49" t="s">
        <v>50</v>
      </c>
      <c r="L679" s="100" t="s">
        <v>51</v>
      </c>
      <c r="M679" s="107" t="s">
        <v>52</v>
      </c>
      <c r="N679" s="100" t="s">
        <v>789</v>
      </c>
    </row>
    <row r="680" spans="1:14" ht="16">
      <c r="A680" s="101" t="str">
        <f t="shared" si="0"/>
        <v>OK</v>
      </c>
      <c r="B680" s="49">
        <v>3705134</v>
      </c>
      <c r="C680" s="49" t="s">
        <v>808</v>
      </c>
      <c r="D680" s="49" t="s">
        <v>7</v>
      </c>
      <c r="E680" s="50">
        <v>1.4999999999999999E-2</v>
      </c>
      <c r="F680" s="108">
        <v>10</v>
      </c>
      <c r="G680" s="51">
        <v>43922</v>
      </c>
      <c r="H680" s="46">
        <v>0</v>
      </c>
      <c r="I680" s="49" t="str">
        <f ca="1"/>
        <v>大木 優香</v>
      </c>
      <c r="J680" s="109" t="s">
        <v>453</v>
      </c>
      <c r="K680" s="49" t="s">
        <v>50</v>
      </c>
      <c r="L680" s="100" t="s">
        <v>51</v>
      </c>
      <c r="M680" s="107" t="s">
        <v>52</v>
      </c>
      <c r="N680" s="100" t="s">
        <v>789</v>
      </c>
    </row>
    <row r="681" spans="1:14" ht="16">
      <c r="A681" s="101" t="str">
        <f t="shared" si="0"/>
        <v>OK</v>
      </c>
      <c r="B681" s="49">
        <v>3705146</v>
      </c>
      <c r="C681" s="49" t="s">
        <v>809</v>
      </c>
      <c r="D681" s="49" t="s">
        <v>7</v>
      </c>
      <c r="E681" s="50">
        <v>1.4999999999999999E-2</v>
      </c>
      <c r="F681" s="108">
        <v>26</v>
      </c>
      <c r="G681" s="51">
        <v>43922</v>
      </c>
      <c r="H681" s="46">
        <v>0</v>
      </c>
      <c r="I681" s="49" t="str">
        <f ca="1"/>
        <v>大木 優香</v>
      </c>
      <c r="J681" s="109" t="s">
        <v>453</v>
      </c>
      <c r="K681" s="49" t="s">
        <v>50</v>
      </c>
      <c r="L681" s="100" t="s">
        <v>51</v>
      </c>
      <c r="M681" s="107" t="s">
        <v>52</v>
      </c>
      <c r="N681" s="100" t="s">
        <v>789</v>
      </c>
    </row>
    <row r="682" spans="1:14" ht="16">
      <c r="A682" s="101" t="str">
        <f t="shared" si="0"/>
        <v>OK</v>
      </c>
      <c r="B682" s="49">
        <v>3705148</v>
      </c>
      <c r="C682" s="49" t="s">
        <v>810</v>
      </c>
      <c r="D682" s="49" t="s">
        <v>7</v>
      </c>
      <c r="E682" s="50">
        <v>1.4999999999999999E-2</v>
      </c>
      <c r="F682" s="108">
        <v>4</v>
      </c>
      <c r="G682" s="51">
        <v>43922</v>
      </c>
      <c r="H682" s="46">
        <v>0</v>
      </c>
      <c r="I682" s="49" t="str">
        <f ca="1"/>
        <v>大木 優香</v>
      </c>
      <c r="J682" s="109" t="s">
        <v>453</v>
      </c>
      <c r="K682" s="49" t="s">
        <v>50</v>
      </c>
      <c r="L682" s="100" t="s">
        <v>51</v>
      </c>
      <c r="M682" s="107" t="s">
        <v>52</v>
      </c>
      <c r="N682" s="100" t="s">
        <v>789</v>
      </c>
    </row>
    <row r="683" spans="1:14" ht="16">
      <c r="A683" s="101" t="str">
        <f t="shared" si="0"/>
        <v>OK</v>
      </c>
      <c r="B683" s="49">
        <v>3705149</v>
      </c>
      <c r="C683" s="49" t="s">
        <v>811</v>
      </c>
      <c r="D683" s="49" t="s">
        <v>7</v>
      </c>
      <c r="E683" s="50">
        <v>1.4999999999999999E-2</v>
      </c>
      <c r="F683" s="108">
        <v>4</v>
      </c>
      <c r="G683" s="51">
        <v>43922</v>
      </c>
      <c r="H683" s="46">
        <v>0</v>
      </c>
      <c r="I683" s="49" t="str">
        <f ca="1"/>
        <v>大木 優香</v>
      </c>
      <c r="J683" s="109" t="s">
        <v>453</v>
      </c>
      <c r="K683" s="49" t="s">
        <v>50</v>
      </c>
      <c r="L683" s="100" t="s">
        <v>51</v>
      </c>
      <c r="M683" s="107" t="s">
        <v>52</v>
      </c>
      <c r="N683" s="100" t="s">
        <v>789</v>
      </c>
    </row>
    <row r="684" spans="1:14" ht="16">
      <c r="A684" s="101" t="str">
        <f t="shared" si="0"/>
        <v>OK</v>
      </c>
      <c r="B684" s="49">
        <v>3705151</v>
      </c>
      <c r="C684" s="49" t="s">
        <v>812</v>
      </c>
      <c r="D684" s="49" t="s">
        <v>7</v>
      </c>
      <c r="E684" s="50">
        <v>1.4999999999999999E-2</v>
      </c>
      <c r="F684" s="108">
        <v>2</v>
      </c>
      <c r="G684" s="51">
        <v>43922</v>
      </c>
      <c r="H684" s="46">
        <v>0</v>
      </c>
      <c r="I684" s="49" t="str">
        <f ca="1"/>
        <v>大木 優香</v>
      </c>
      <c r="J684" s="109" t="s">
        <v>453</v>
      </c>
      <c r="K684" s="49" t="s">
        <v>50</v>
      </c>
      <c r="L684" s="100" t="s">
        <v>51</v>
      </c>
      <c r="M684" s="107" t="s">
        <v>52</v>
      </c>
      <c r="N684" s="100" t="s">
        <v>789</v>
      </c>
    </row>
    <row r="685" spans="1:14" ht="16">
      <c r="A685" s="101" t="str">
        <f t="shared" si="0"/>
        <v>OK</v>
      </c>
      <c r="B685" s="49">
        <v>3705152</v>
      </c>
      <c r="C685" s="49" t="s">
        <v>813</v>
      </c>
      <c r="D685" s="49" t="s">
        <v>7</v>
      </c>
      <c r="E685" s="50">
        <v>1.4999999999999999E-2</v>
      </c>
      <c r="F685" s="108">
        <v>1</v>
      </c>
      <c r="G685" s="51">
        <v>43922</v>
      </c>
      <c r="H685" s="46">
        <v>0</v>
      </c>
      <c r="I685" s="49" t="str">
        <f ca="1"/>
        <v>大木 優香</v>
      </c>
      <c r="J685" s="109" t="s">
        <v>453</v>
      </c>
      <c r="K685" s="49" t="s">
        <v>50</v>
      </c>
      <c r="L685" s="100" t="s">
        <v>51</v>
      </c>
      <c r="M685" s="107" t="s">
        <v>52</v>
      </c>
      <c r="N685" s="100" t="s">
        <v>789</v>
      </c>
    </row>
    <row r="686" spans="1:14" ht="16">
      <c r="A686" s="101" t="str">
        <f t="shared" si="0"/>
        <v>OK</v>
      </c>
      <c r="B686" s="49">
        <v>3705156</v>
      </c>
      <c r="C686" s="49" t="s">
        <v>814</v>
      </c>
      <c r="D686" s="49" t="s">
        <v>7</v>
      </c>
      <c r="E686" s="50">
        <v>1.4999999999999999E-2</v>
      </c>
      <c r="F686" s="108">
        <v>15</v>
      </c>
      <c r="G686" s="51">
        <v>43922</v>
      </c>
      <c r="H686" s="46">
        <v>0</v>
      </c>
      <c r="I686" s="49" t="str">
        <f ca="1"/>
        <v>大木 優香</v>
      </c>
      <c r="J686" s="109" t="s">
        <v>453</v>
      </c>
      <c r="K686" s="49" t="s">
        <v>50</v>
      </c>
      <c r="L686" s="100" t="s">
        <v>51</v>
      </c>
      <c r="M686" s="107" t="s">
        <v>52</v>
      </c>
      <c r="N686" s="100" t="s">
        <v>789</v>
      </c>
    </row>
    <row r="687" spans="1:14" ht="16">
      <c r="A687" s="101" t="str">
        <f t="shared" si="0"/>
        <v>OK</v>
      </c>
      <c r="B687" s="49">
        <v>3705157</v>
      </c>
      <c r="C687" s="49" t="s">
        <v>815</v>
      </c>
      <c r="D687" s="49" t="s">
        <v>7</v>
      </c>
      <c r="E687" s="50">
        <v>1.4999999999999999E-2</v>
      </c>
      <c r="F687" s="108">
        <v>10</v>
      </c>
      <c r="G687" s="51">
        <v>43922</v>
      </c>
      <c r="H687" s="46">
        <v>0</v>
      </c>
      <c r="I687" s="49" t="str">
        <f ca="1"/>
        <v>大木 優香</v>
      </c>
      <c r="J687" s="109" t="s">
        <v>453</v>
      </c>
      <c r="K687" s="49" t="s">
        <v>50</v>
      </c>
      <c r="L687" s="100" t="s">
        <v>51</v>
      </c>
      <c r="M687" s="107" t="s">
        <v>52</v>
      </c>
      <c r="N687" s="100" t="s">
        <v>789</v>
      </c>
    </row>
    <row r="688" spans="1:14" ht="16">
      <c r="A688" s="101" t="str">
        <f t="shared" si="0"/>
        <v>OK</v>
      </c>
      <c r="B688" s="49">
        <v>3705162</v>
      </c>
      <c r="C688" s="49" t="s">
        <v>816</v>
      </c>
      <c r="D688" s="49" t="s">
        <v>7</v>
      </c>
      <c r="E688" s="50">
        <v>1.4999999999999999E-2</v>
      </c>
      <c r="F688" s="108">
        <v>0</v>
      </c>
      <c r="G688" s="51">
        <v>43922</v>
      </c>
      <c r="H688" s="46">
        <v>0</v>
      </c>
      <c r="I688" s="49" t="str">
        <f ca="1"/>
        <v>大木 優香</v>
      </c>
      <c r="J688" s="109" t="s">
        <v>453</v>
      </c>
      <c r="K688" s="49" t="s">
        <v>50</v>
      </c>
      <c r="L688" s="100" t="s">
        <v>51</v>
      </c>
      <c r="M688" s="107" t="s">
        <v>52</v>
      </c>
      <c r="N688" s="100" t="s">
        <v>789</v>
      </c>
    </row>
    <row r="689" spans="1:14" ht="16">
      <c r="A689" s="101" t="str">
        <f t="shared" si="0"/>
        <v>OK</v>
      </c>
      <c r="B689" s="49">
        <v>3705165</v>
      </c>
      <c r="C689" s="49" t="s">
        <v>817</v>
      </c>
      <c r="D689" s="49" t="s">
        <v>7</v>
      </c>
      <c r="E689" s="50">
        <v>1.4999999999999999E-2</v>
      </c>
      <c r="F689" s="108">
        <v>39</v>
      </c>
      <c r="G689" s="51">
        <v>43922</v>
      </c>
      <c r="H689" s="46">
        <v>0</v>
      </c>
      <c r="I689" s="49" t="str">
        <f ca="1"/>
        <v>大木 優香</v>
      </c>
      <c r="J689" s="109" t="s">
        <v>453</v>
      </c>
      <c r="K689" s="49" t="s">
        <v>50</v>
      </c>
      <c r="L689" s="100" t="s">
        <v>51</v>
      </c>
      <c r="M689" s="107" t="s">
        <v>52</v>
      </c>
      <c r="N689" s="100" t="s">
        <v>789</v>
      </c>
    </row>
    <row r="690" spans="1:14" ht="16">
      <c r="A690" s="101" t="str">
        <f t="shared" si="0"/>
        <v>OK</v>
      </c>
      <c r="B690" s="49">
        <v>3705167</v>
      </c>
      <c r="C690" s="49" t="s">
        <v>818</v>
      </c>
      <c r="D690" s="49" t="s">
        <v>7</v>
      </c>
      <c r="E690" s="50">
        <v>1.4999999999999999E-2</v>
      </c>
      <c r="F690" s="108">
        <v>14</v>
      </c>
      <c r="G690" s="51">
        <v>43922</v>
      </c>
      <c r="H690" s="46">
        <v>0</v>
      </c>
      <c r="I690" s="49" t="str">
        <f ca="1"/>
        <v>大木 優香</v>
      </c>
      <c r="J690" s="109" t="s">
        <v>453</v>
      </c>
      <c r="K690" s="49" t="s">
        <v>50</v>
      </c>
      <c r="L690" s="100" t="s">
        <v>51</v>
      </c>
      <c r="M690" s="107" t="s">
        <v>52</v>
      </c>
      <c r="N690" s="100" t="s">
        <v>789</v>
      </c>
    </row>
    <row r="691" spans="1:14" ht="16">
      <c r="A691" s="101" t="str">
        <f t="shared" si="0"/>
        <v>OK</v>
      </c>
      <c r="B691" s="49">
        <v>3705168</v>
      </c>
      <c r="C691" s="49" t="s">
        <v>819</v>
      </c>
      <c r="D691" s="49" t="s">
        <v>7</v>
      </c>
      <c r="E691" s="50">
        <v>1.4999999999999999E-2</v>
      </c>
      <c r="F691" s="108">
        <v>1</v>
      </c>
      <c r="G691" s="51">
        <v>43922</v>
      </c>
      <c r="H691" s="46">
        <v>0</v>
      </c>
      <c r="I691" s="49" t="str">
        <f ca="1"/>
        <v>大木 優香</v>
      </c>
      <c r="J691" s="109" t="s">
        <v>453</v>
      </c>
      <c r="K691" s="49" t="s">
        <v>50</v>
      </c>
      <c r="L691" s="100" t="s">
        <v>51</v>
      </c>
      <c r="M691" s="107" t="s">
        <v>52</v>
      </c>
      <c r="N691" s="100" t="s">
        <v>789</v>
      </c>
    </row>
    <row r="692" spans="1:14" ht="16">
      <c r="A692" s="101" t="str">
        <f t="shared" si="0"/>
        <v>OK</v>
      </c>
      <c r="B692" s="49">
        <v>3705169</v>
      </c>
      <c r="C692" s="49" t="s">
        <v>820</v>
      </c>
      <c r="D692" s="49" t="s">
        <v>7</v>
      </c>
      <c r="E692" s="50">
        <v>1.4999999999999999E-2</v>
      </c>
      <c r="F692" s="108">
        <v>14</v>
      </c>
      <c r="G692" s="51">
        <v>43922</v>
      </c>
      <c r="H692" s="46">
        <v>0</v>
      </c>
      <c r="I692" s="49" t="str">
        <f ca="1"/>
        <v>大木 優香</v>
      </c>
      <c r="J692" s="109" t="s">
        <v>453</v>
      </c>
      <c r="K692" s="49" t="s">
        <v>50</v>
      </c>
      <c r="L692" s="100" t="s">
        <v>51</v>
      </c>
      <c r="M692" s="107" t="s">
        <v>52</v>
      </c>
      <c r="N692" s="100" t="s">
        <v>789</v>
      </c>
    </row>
    <row r="693" spans="1:14" ht="16">
      <c r="A693" s="101" t="str">
        <f t="shared" si="0"/>
        <v>OK</v>
      </c>
      <c r="B693" s="49">
        <v>3705171</v>
      </c>
      <c r="C693" s="49" t="s">
        <v>821</v>
      </c>
      <c r="D693" s="49" t="s">
        <v>7</v>
      </c>
      <c r="E693" s="50">
        <v>1.4999999999999999E-2</v>
      </c>
      <c r="F693" s="108">
        <v>36</v>
      </c>
      <c r="G693" s="51">
        <v>43922</v>
      </c>
      <c r="H693" s="46">
        <v>0</v>
      </c>
      <c r="I693" s="49" t="str">
        <f ca="1"/>
        <v>大木 優香</v>
      </c>
      <c r="J693" s="109" t="s">
        <v>453</v>
      </c>
      <c r="K693" s="49" t="s">
        <v>50</v>
      </c>
      <c r="L693" s="100" t="s">
        <v>51</v>
      </c>
      <c r="M693" s="107" t="s">
        <v>52</v>
      </c>
      <c r="N693" s="100" t="s">
        <v>789</v>
      </c>
    </row>
    <row r="694" spans="1:14" ht="16">
      <c r="A694" s="101" t="str">
        <f t="shared" si="0"/>
        <v>OK</v>
      </c>
      <c r="B694" s="49">
        <v>3705172</v>
      </c>
      <c r="C694" s="49" t="s">
        <v>822</v>
      </c>
      <c r="D694" s="49" t="s">
        <v>7</v>
      </c>
      <c r="E694" s="50">
        <v>1.4999999999999999E-2</v>
      </c>
      <c r="F694" s="108">
        <v>9</v>
      </c>
      <c r="G694" s="51">
        <v>43922</v>
      </c>
      <c r="H694" s="46">
        <v>0</v>
      </c>
      <c r="I694" s="49" t="str">
        <f ca="1"/>
        <v>大木 優香</v>
      </c>
      <c r="J694" s="109" t="s">
        <v>453</v>
      </c>
      <c r="K694" s="49" t="s">
        <v>50</v>
      </c>
      <c r="L694" s="100" t="s">
        <v>51</v>
      </c>
      <c r="M694" s="107" t="s">
        <v>52</v>
      </c>
      <c r="N694" s="100" t="s">
        <v>789</v>
      </c>
    </row>
    <row r="695" spans="1:14" ht="16">
      <c r="A695" s="101" t="str">
        <f t="shared" si="0"/>
        <v>OK</v>
      </c>
      <c r="B695" s="49">
        <v>3705176</v>
      </c>
      <c r="C695" s="49" t="s">
        <v>823</v>
      </c>
      <c r="D695" s="49" t="s">
        <v>7</v>
      </c>
      <c r="E695" s="50">
        <v>1.4999999999999999E-2</v>
      </c>
      <c r="F695" s="108">
        <v>23</v>
      </c>
      <c r="G695" s="51">
        <v>43922</v>
      </c>
      <c r="H695" s="46">
        <v>0</v>
      </c>
      <c r="I695" s="49" t="str">
        <f ca="1"/>
        <v>大木 優香</v>
      </c>
      <c r="J695" s="109" t="s">
        <v>453</v>
      </c>
      <c r="K695" s="49" t="s">
        <v>50</v>
      </c>
      <c r="L695" s="100" t="s">
        <v>51</v>
      </c>
      <c r="M695" s="107" t="s">
        <v>52</v>
      </c>
      <c r="N695" s="100" t="s">
        <v>789</v>
      </c>
    </row>
    <row r="696" spans="1:14" ht="16">
      <c r="A696" s="101" t="str">
        <f t="shared" si="0"/>
        <v>OK</v>
      </c>
      <c r="B696" s="49">
        <v>3705178</v>
      </c>
      <c r="C696" s="49" t="s">
        <v>824</v>
      </c>
      <c r="D696" s="49" t="s">
        <v>7</v>
      </c>
      <c r="E696" s="50">
        <v>1.4999999999999999E-2</v>
      </c>
      <c r="F696" s="108">
        <v>8</v>
      </c>
      <c r="G696" s="51">
        <v>43922</v>
      </c>
      <c r="H696" s="46">
        <v>0</v>
      </c>
      <c r="I696" s="49" t="str">
        <f ca="1"/>
        <v>大木 優香</v>
      </c>
      <c r="J696" s="109" t="s">
        <v>453</v>
      </c>
      <c r="K696" s="49" t="s">
        <v>50</v>
      </c>
      <c r="L696" s="100" t="s">
        <v>51</v>
      </c>
      <c r="M696" s="107" t="s">
        <v>52</v>
      </c>
      <c r="N696" s="100" t="s">
        <v>789</v>
      </c>
    </row>
    <row r="697" spans="1:14" ht="16">
      <c r="A697" s="101" t="str">
        <f t="shared" si="0"/>
        <v>OK</v>
      </c>
      <c r="B697" s="49">
        <v>3705180</v>
      </c>
      <c r="C697" s="49" t="s">
        <v>825</v>
      </c>
      <c r="D697" s="49" t="s">
        <v>7</v>
      </c>
      <c r="E697" s="50">
        <v>1.4999999999999999E-2</v>
      </c>
      <c r="F697" s="108">
        <v>2</v>
      </c>
      <c r="G697" s="51">
        <v>43922</v>
      </c>
      <c r="H697" s="46">
        <v>0</v>
      </c>
      <c r="I697" s="49" t="str">
        <f ca="1"/>
        <v>大木 優香</v>
      </c>
      <c r="J697" s="109" t="s">
        <v>453</v>
      </c>
      <c r="K697" s="49" t="s">
        <v>50</v>
      </c>
      <c r="L697" s="100" t="s">
        <v>51</v>
      </c>
      <c r="M697" s="107" t="s">
        <v>52</v>
      </c>
      <c r="N697" s="100" t="s">
        <v>789</v>
      </c>
    </row>
    <row r="698" spans="1:14" ht="16">
      <c r="A698" s="101" t="str">
        <f t="shared" si="0"/>
        <v>OK</v>
      </c>
      <c r="B698" s="49">
        <v>3705186</v>
      </c>
      <c r="C698" s="49" t="s">
        <v>826</v>
      </c>
      <c r="D698" s="49" t="s">
        <v>7</v>
      </c>
      <c r="E698" s="50">
        <v>1.4999999999999999E-2</v>
      </c>
      <c r="F698" s="108">
        <v>10</v>
      </c>
      <c r="G698" s="51">
        <v>43922</v>
      </c>
      <c r="H698" s="46">
        <v>0</v>
      </c>
      <c r="I698" s="49" t="str">
        <f ca="1"/>
        <v>大木 優香</v>
      </c>
      <c r="J698" s="109" t="s">
        <v>453</v>
      </c>
      <c r="K698" s="49" t="s">
        <v>50</v>
      </c>
      <c r="L698" s="100" t="s">
        <v>51</v>
      </c>
      <c r="M698" s="107" t="s">
        <v>52</v>
      </c>
      <c r="N698" s="100" t="s">
        <v>789</v>
      </c>
    </row>
    <row r="699" spans="1:14" ht="16">
      <c r="A699" s="101" t="str">
        <f t="shared" si="0"/>
        <v>OK</v>
      </c>
      <c r="B699" s="49">
        <v>3705188</v>
      </c>
      <c r="C699" s="49" t="s">
        <v>827</v>
      </c>
      <c r="D699" s="49" t="s">
        <v>7</v>
      </c>
      <c r="E699" s="50">
        <v>1.4999999999999999E-2</v>
      </c>
      <c r="F699" s="108">
        <v>7</v>
      </c>
      <c r="G699" s="51">
        <v>43922</v>
      </c>
      <c r="H699" s="46">
        <v>0</v>
      </c>
      <c r="I699" s="49" t="str">
        <f ca="1"/>
        <v>大木 優香</v>
      </c>
      <c r="J699" s="109" t="s">
        <v>453</v>
      </c>
      <c r="K699" s="49" t="s">
        <v>50</v>
      </c>
      <c r="L699" s="100" t="s">
        <v>51</v>
      </c>
      <c r="M699" s="107" t="s">
        <v>52</v>
      </c>
      <c r="N699" s="100" t="s">
        <v>789</v>
      </c>
    </row>
    <row r="700" spans="1:14" ht="16">
      <c r="A700" s="101" t="str">
        <f t="shared" si="0"/>
        <v>OK</v>
      </c>
      <c r="B700" s="49">
        <v>3705189</v>
      </c>
      <c r="C700" s="49" t="s">
        <v>828</v>
      </c>
      <c r="D700" s="49" t="s">
        <v>7</v>
      </c>
      <c r="E700" s="50">
        <v>1.4999999999999999E-2</v>
      </c>
      <c r="F700" s="108">
        <v>7</v>
      </c>
      <c r="G700" s="51">
        <v>43922</v>
      </c>
      <c r="H700" s="46">
        <v>0</v>
      </c>
      <c r="I700" s="49" t="str">
        <f ca="1"/>
        <v>大木 優香</v>
      </c>
      <c r="J700" s="109" t="s">
        <v>453</v>
      </c>
      <c r="K700" s="49" t="s">
        <v>50</v>
      </c>
      <c r="L700" s="100" t="s">
        <v>51</v>
      </c>
      <c r="M700" s="107" t="s">
        <v>52</v>
      </c>
      <c r="N700" s="100" t="s">
        <v>789</v>
      </c>
    </row>
    <row r="701" spans="1:14" ht="16">
      <c r="A701" s="101" t="str">
        <f t="shared" si="0"/>
        <v>OK</v>
      </c>
      <c r="B701" s="49">
        <v>3705190</v>
      </c>
      <c r="C701" s="49" t="s">
        <v>829</v>
      </c>
      <c r="D701" s="49" t="s">
        <v>7</v>
      </c>
      <c r="E701" s="50">
        <v>1.4999999999999999E-2</v>
      </c>
      <c r="F701" s="108">
        <v>6</v>
      </c>
      <c r="G701" s="51">
        <v>43922</v>
      </c>
      <c r="H701" s="46">
        <v>0</v>
      </c>
      <c r="I701" s="49" t="str">
        <f ca="1"/>
        <v>大木 優香</v>
      </c>
      <c r="J701" s="109" t="s">
        <v>453</v>
      </c>
      <c r="K701" s="49" t="s">
        <v>50</v>
      </c>
      <c r="L701" s="100" t="s">
        <v>51</v>
      </c>
      <c r="M701" s="107" t="s">
        <v>52</v>
      </c>
      <c r="N701" s="100" t="s">
        <v>789</v>
      </c>
    </row>
    <row r="702" spans="1:14" ht="16">
      <c r="A702" s="101" t="str">
        <f t="shared" si="0"/>
        <v>OK</v>
      </c>
      <c r="B702" s="49">
        <v>3705191</v>
      </c>
      <c r="C702" s="49" t="s">
        <v>830</v>
      </c>
      <c r="D702" s="49" t="s">
        <v>7</v>
      </c>
      <c r="E702" s="50">
        <v>1.4999999999999999E-2</v>
      </c>
      <c r="F702" s="108">
        <v>6</v>
      </c>
      <c r="G702" s="51">
        <v>43922</v>
      </c>
      <c r="H702" s="46">
        <v>0</v>
      </c>
      <c r="I702" s="49" t="str">
        <f ca="1"/>
        <v>大木 優香</v>
      </c>
      <c r="J702" s="109" t="s">
        <v>453</v>
      </c>
      <c r="K702" s="49" t="s">
        <v>50</v>
      </c>
      <c r="L702" s="100" t="s">
        <v>51</v>
      </c>
      <c r="M702" s="107" t="s">
        <v>52</v>
      </c>
      <c r="N702" s="100" t="s">
        <v>789</v>
      </c>
    </row>
    <row r="703" spans="1:14" ht="16">
      <c r="A703" s="101" t="str">
        <f t="shared" si="0"/>
        <v>OK</v>
      </c>
      <c r="B703" s="49">
        <v>3705192</v>
      </c>
      <c r="C703" s="49" t="s">
        <v>831</v>
      </c>
      <c r="D703" s="49" t="s">
        <v>7</v>
      </c>
      <c r="E703" s="50">
        <v>1.4999999999999999E-2</v>
      </c>
      <c r="F703" s="108">
        <v>0</v>
      </c>
      <c r="G703" s="51">
        <v>43922</v>
      </c>
      <c r="H703" s="46">
        <v>0</v>
      </c>
      <c r="I703" s="49" t="str">
        <f ca="1"/>
        <v>大木 優香</v>
      </c>
      <c r="J703" s="109" t="s">
        <v>453</v>
      </c>
      <c r="K703" s="49" t="s">
        <v>50</v>
      </c>
      <c r="L703" s="100" t="s">
        <v>51</v>
      </c>
      <c r="M703" s="107" t="s">
        <v>52</v>
      </c>
      <c r="N703" s="100" t="s">
        <v>789</v>
      </c>
    </row>
    <row r="704" spans="1:14" ht="16">
      <c r="A704" s="101" t="str">
        <f t="shared" si="0"/>
        <v>OK</v>
      </c>
      <c r="B704" s="49">
        <v>3705193</v>
      </c>
      <c r="C704" s="49" t="s">
        <v>832</v>
      </c>
      <c r="D704" s="49" t="s">
        <v>7</v>
      </c>
      <c r="E704" s="50">
        <v>1.4999999999999999E-2</v>
      </c>
      <c r="F704" s="108">
        <v>7</v>
      </c>
      <c r="G704" s="51">
        <v>43922</v>
      </c>
      <c r="H704" s="46">
        <v>0</v>
      </c>
      <c r="I704" s="49" t="str">
        <f ca="1"/>
        <v>大木 優香</v>
      </c>
      <c r="J704" s="109" t="s">
        <v>453</v>
      </c>
      <c r="K704" s="49" t="s">
        <v>50</v>
      </c>
      <c r="L704" s="100" t="s">
        <v>51</v>
      </c>
      <c r="M704" s="107" t="s">
        <v>52</v>
      </c>
      <c r="N704" s="100" t="s">
        <v>789</v>
      </c>
    </row>
    <row r="705" spans="1:14" ht="16">
      <c r="A705" s="101" t="str">
        <f t="shared" si="0"/>
        <v>OK</v>
      </c>
      <c r="B705" s="49">
        <v>3705197</v>
      </c>
      <c r="C705" s="49" t="s">
        <v>833</v>
      </c>
      <c r="D705" s="49" t="s">
        <v>7</v>
      </c>
      <c r="E705" s="50">
        <v>1.4999999999999999E-2</v>
      </c>
      <c r="F705" s="108">
        <v>39</v>
      </c>
      <c r="G705" s="51">
        <v>43922</v>
      </c>
      <c r="H705" s="46">
        <v>0</v>
      </c>
      <c r="I705" s="49" t="str">
        <f ca="1"/>
        <v>大木 優香</v>
      </c>
      <c r="J705" s="109" t="s">
        <v>453</v>
      </c>
      <c r="K705" s="49" t="s">
        <v>50</v>
      </c>
      <c r="L705" s="100" t="s">
        <v>51</v>
      </c>
      <c r="M705" s="107" t="s">
        <v>52</v>
      </c>
      <c r="N705" s="100" t="s">
        <v>789</v>
      </c>
    </row>
    <row r="706" spans="1:14" ht="16">
      <c r="A706" s="101" t="str">
        <f t="shared" si="0"/>
        <v>OK</v>
      </c>
      <c r="B706" s="49">
        <v>3705199</v>
      </c>
      <c r="C706" s="49" t="s">
        <v>834</v>
      </c>
      <c r="D706" s="49" t="s">
        <v>7</v>
      </c>
      <c r="E706" s="50">
        <v>1.4999999999999999E-2</v>
      </c>
      <c r="F706" s="108">
        <v>13</v>
      </c>
      <c r="G706" s="51">
        <v>43922</v>
      </c>
      <c r="H706" s="46">
        <v>0</v>
      </c>
      <c r="I706" s="49" t="str">
        <f ca="1"/>
        <v>大木 優香</v>
      </c>
      <c r="J706" s="109" t="s">
        <v>453</v>
      </c>
      <c r="K706" s="49" t="s">
        <v>50</v>
      </c>
      <c r="L706" s="100" t="s">
        <v>51</v>
      </c>
      <c r="M706" s="107" t="s">
        <v>52</v>
      </c>
      <c r="N706" s="100" t="s">
        <v>789</v>
      </c>
    </row>
    <row r="707" spans="1:14" ht="16">
      <c r="A707" s="101" t="str">
        <f t="shared" si="0"/>
        <v>OK</v>
      </c>
      <c r="B707" s="49">
        <v>3705202</v>
      </c>
      <c r="C707" s="49" t="s">
        <v>835</v>
      </c>
      <c r="D707" s="49" t="s">
        <v>7</v>
      </c>
      <c r="E707" s="50">
        <v>1.4999999999999999E-2</v>
      </c>
      <c r="F707" s="108">
        <v>8</v>
      </c>
      <c r="G707" s="51">
        <v>43922</v>
      </c>
      <c r="H707" s="46">
        <v>0</v>
      </c>
      <c r="I707" s="49" t="str">
        <f ca="1"/>
        <v>大木 優香</v>
      </c>
      <c r="J707" s="109" t="s">
        <v>453</v>
      </c>
      <c r="K707" s="49" t="s">
        <v>50</v>
      </c>
      <c r="L707" s="100" t="s">
        <v>51</v>
      </c>
      <c r="M707" s="107" t="s">
        <v>52</v>
      </c>
      <c r="N707" s="100" t="s">
        <v>789</v>
      </c>
    </row>
    <row r="708" spans="1:14" ht="16">
      <c r="A708" s="101" t="str">
        <f t="shared" si="0"/>
        <v>OK</v>
      </c>
      <c r="B708" s="49">
        <v>3705204</v>
      </c>
      <c r="C708" s="49" t="s">
        <v>836</v>
      </c>
      <c r="D708" s="49" t="s">
        <v>7</v>
      </c>
      <c r="E708" s="50">
        <v>1.4999999999999999E-2</v>
      </c>
      <c r="F708" s="108">
        <v>2</v>
      </c>
      <c r="G708" s="51">
        <v>43922</v>
      </c>
      <c r="H708" s="46">
        <v>0</v>
      </c>
      <c r="I708" s="49" t="str">
        <f ca="1"/>
        <v>大木 優香</v>
      </c>
      <c r="J708" s="109" t="s">
        <v>453</v>
      </c>
      <c r="K708" s="49" t="s">
        <v>50</v>
      </c>
      <c r="L708" s="100" t="s">
        <v>51</v>
      </c>
      <c r="M708" s="107" t="s">
        <v>52</v>
      </c>
      <c r="N708" s="100" t="s">
        <v>789</v>
      </c>
    </row>
    <row r="709" spans="1:14" ht="16">
      <c r="A709" s="101" t="str">
        <f t="shared" si="0"/>
        <v>OK</v>
      </c>
      <c r="B709" s="49">
        <v>3705205</v>
      </c>
      <c r="C709" s="49" t="s">
        <v>837</v>
      </c>
      <c r="D709" s="49" t="s">
        <v>7</v>
      </c>
      <c r="E709" s="50">
        <v>1.4999999999999999E-2</v>
      </c>
      <c r="F709" s="108">
        <v>6</v>
      </c>
      <c r="G709" s="51">
        <v>43922</v>
      </c>
      <c r="H709" s="46">
        <v>0</v>
      </c>
      <c r="I709" s="49" t="str">
        <f ca="1"/>
        <v>大木 優香</v>
      </c>
      <c r="J709" s="109" t="s">
        <v>453</v>
      </c>
      <c r="K709" s="49" t="s">
        <v>50</v>
      </c>
      <c r="L709" s="100" t="s">
        <v>51</v>
      </c>
      <c r="M709" s="107" t="s">
        <v>52</v>
      </c>
      <c r="N709" s="100" t="s">
        <v>789</v>
      </c>
    </row>
    <row r="710" spans="1:14" ht="16">
      <c r="A710" s="101" t="str">
        <f t="shared" si="0"/>
        <v>OK</v>
      </c>
      <c r="B710" s="49">
        <v>3705206</v>
      </c>
      <c r="C710" s="49" t="s">
        <v>838</v>
      </c>
      <c r="D710" s="49" t="s">
        <v>7</v>
      </c>
      <c r="E710" s="50">
        <v>1.4999999999999999E-2</v>
      </c>
      <c r="F710" s="108">
        <v>18</v>
      </c>
      <c r="G710" s="51">
        <v>43922</v>
      </c>
      <c r="H710" s="46">
        <v>0</v>
      </c>
      <c r="I710" s="49" t="str">
        <f ca="1"/>
        <v>大木 優香</v>
      </c>
      <c r="J710" s="109" t="s">
        <v>453</v>
      </c>
      <c r="K710" s="49" t="s">
        <v>50</v>
      </c>
      <c r="L710" s="100" t="s">
        <v>51</v>
      </c>
      <c r="M710" s="107" t="s">
        <v>52</v>
      </c>
      <c r="N710" s="100" t="s">
        <v>789</v>
      </c>
    </row>
    <row r="711" spans="1:14" ht="16">
      <c r="A711" s="101" t="str">
        <f t="shared" si="0"/>
        <v>OK</v>
      </c>
      <c r="B711" s="49">
        <v>3705207</v>
      </c>
      <c r="C711" s="49" t="s">
        <v>839</v>
      </c>
      <c r="D711" s="49" t="s">
        <v>7</v>
      </c>
      <c r="E711" s="50">
        <v>1.4999999999999999E-2</v>
      </c>
      <c r="F711" s="108">
        <v>11</v>
      </c>
      <c r="G711" s="51">
        <v>43922</v>
      </c>
      <c r="H711" s="46">
        <v>0</v>
      </c>
      <c r="I711" s="49" t="str">
        <f ca="1"/>
        <v>大木 優香</v>
      </c>
      <c r="J711" s="109" t="s">
        <v>453</v>
      </c>
      <c r="K711" s="49" t="s">
        <v>50</v>
      </c>
      <c r="L711" s="100" t="s">
        <v>51</v>
      </c>
      <c r="M711" s="107" t="s">
        <v>52</v>
      </c>
      <c r="N711" s="100" t="s">
        <v>789</v>
      </c>
    </row>
    <row r="712" spans="1:14" ht="16">
      <c r="A712" s="101" t="str">
        <f t="shared" si="0"/>
        <v>OK</v>
      </c>
      <c r="B712" s="49">
        <v>3705213</v>
      </c>
      <c r="C712" s="49" t="s">
        <v>840</v>
      </c>
      <c r="D712" s="49" t="s">
        <v>7</v>
      </c>
      <c r="E712" s="50">
        <v>1.4999999999999999E-2</v>
      </c>
      <c r="F712" s="108">
        <v>23</v>
      </c>
      <c r="G712" s="51">
        <v>43922</v>
      </c>
      <c r="H712" s="46">
        <v>0</v>
      </c>
      <c r="I712" s="49" t="str">
        <f ca="1"/>
        <v>大木 優香</v>
      </c>
      <c r="J712" s="109" t="s">
        <v>453</v>
      </c>
      <c r="K712" s="49" t="s">
        <v>50</v>
      </c>
      <c r="L712" s="100" t="s">
        <v>51</v>
      </c>
      <c r="M712" s="107" t="s">
        <v>52</v>
      </c>
      <c r="N712" s="100" t="s">
        <v>789</v>
      </c>
    </row>
    <row r="713" spans="1:14" ht="16">
      <c r="A713" s="101" t="str">
        <f t="shared" si="0"/>
        <v>OK</v>
      </c>
      <c r="B713" s="49">
        <v>3705214</v>
      </c>
      <c r="C713" s="49" t="s">
        <v>841</v>
      </c>
      <c r="D713" s="49" t="s">
        <v>7</v>
      </c>
      <c r="E713" s="50">
        <v>1.4999999999999999E-2</v>
      </c>
      <c r="F713" s="108">
        <v>31</v>
      </c>
      <c r="G713" s="51">
        <v>43922</v>
      </c>
      <c r="H713" s="46">
        <v>0</v>
      </c>
      <c r="I713" s="49" t="str">
        <f ca="1"/>
        <v>大木 優香</v>
      </c>
      <c r="J713" s="109" t="s">
        <v>453</v>
      </c>
      <c r="K713" s="49" t="s">
        <v>50</v>
      </c>
      <c r="L713" s="100" t="s">
        <v>51</v>
      </c>
      <c r="M713" s="107" t="s">
        <v>52</v>
      </c>
      <c r="N713" s="100" t="s">
        <v>789</v>
      </c>
    </row>
    <row r="714" spans="1:14" ht="16">
      <c r="A714" s="101" t="str">
        <f t="shared" si="0"/>
        <v>OK</v>
      </c>
      <c r="B714" s="49">
        <v>3705215</v>
      </c>
      <c r="C714" s="49" t="s">
        <v>842</v>
      </c>
      <c r="D714" s="49" t="s">
        <v>7</v>
      </c>
      <c r="E714" s="50">
        <v>1.4999999999999999E-2</v>
      </c>
      <c r="F714" s="108">
        <v>4</v>
      </c>
      <c r="G714" s="51">
        <v>43922</v>
      </c>
      <c r="H714" s="46">
        <v>0</v>
      </c>
      <c r="I714" s="49" t="str">
        <f ca="1"/>
        <v>大木 優香</v>
      </c>
      <c r="J714" s="109" t="s">
        <v>453</v>
      </c>
      <c r="K714" s="49" t="s">
        <v>50</v>
      </c>
      <c r="L714" s="100" t="s">
        <v>51</v>
      </c>
      <c r="M714" s="107" t="s">
        <v>52</v>
      </c>
      <c r="N714" s="100" t="s">
        <v>789</v>
      </c>
    </row>
    <row r="715" spans="1:14" ht="16">
      <c r="A715" s="101" t="str">
        <f t="shared" si="0"/>
        <v>OK</v>
      </c>
      <c r="B715" s="49">
        <v>3705217</v>
      </c>
      <c r="C715" s="49" t="s">
        <v>843</v>
      </c>
      <c r="D715" s="49" t="s">
        <v>7</v>
      </c>
      <c r="E715" s="50">
        <v>1.4999999999999999E-2</v>
      </c>
      <c r="F715" s="108">
        <v>32</v>
      </c>
      <c r="G715" s="51">
        <v>43922</v>
      </c>
      <c r="H715" s="46">
        <v>0</v>
      </c>
      <c r="I715" s="49" t="str">
        <f ca="1"/>
        <v>大木 優香</v>
      </c>
      <c r="J715" s="109" t="s">
        <v>453</v>
      </c>
      <c r="K715" s="49" t="s">
        <v>50</v>
      </c>
      <c r="L715" s="100" t="s">
        <v>51</v>
      </c>
      <c r="M715" s="107" t="s">
        <v>52</v>
      </c>
      <c r="N715" s="100" t="s">
        <v>789</v>
      </c>
    </row>
    <row r="716" spans="1:14" ht="16">
      <c r="A716" s="101" t="str">
        <f t="shared" si="0"/>
        <v>OK</v>
      </c>
      <c r="B716" s="49">
        <v>3705218</v>
      </c>
      <c r="C716" s="49" t="s">
        <v>844</v>
      </c>
      <c r="D716" s="49" t="s">
        <v>7</v>
      </c>
      <c r="E716" s="50">
        <v>1.4999999999999999E-2</v>
      </c>
      <c r="F716" s="108">
        <v>33</v>
      </c>
      <c r="G716" s="51">
        <v>43922</v>
      </c>
      <c r="H716" s="46">
        <v>0</v>
      </c>
      <c r="I716" s="49" t="str">
        <f ca="1"/>
        <v>大木 優香</v>
      </c>
      <c r="J716" s="109" t="s">
        <v>453</v>
      </c>
      <c r="K716" s="49" t="s">
        <v>50</v>
      </c>
      <c r="L716" s="100" t="s">
        <v>51</v>
      </c>
      <c r="M716" s="107" t="s">
        <v>52</v>
      </c>
      <c r="N716" s="100" t="s">
        <v>789</v>
      </c>
    </row>
    <row r="717" spans="1:14" ht="16">
      <c r="A717" s="101" t="str">
        <f t="shared" si="0"/>
        <v>OK</v>
      </c>
      <c r="B717" s="49">
        <v>3705219</v>
      </c>
      <c r="C717" s="49" t="s">
        <v>845</v>
      </c>
      <c r="D717" s="49" t="s">
        <v>7</v>
      </c>
      <c r="E717" s="50">
        <v>1.4999999999999999E-2</v>
      </c>
      <c r="F717" s="108">
        <v>0</v>
      </c>
      <c r="G717" s="51">
        <v>43922</v>
      </c>
      <c r="H717" s="46">
        <v>0</v>
      </c>
      <c r="I717" s="49" t="str">
        <f ca="1"/>
        <v>大木 優香</v>
      </c>
      <c r="J717" s="109" t="s">
        <v>453</v>
      </c>
      <c r="K717" s="49" t="s">
        <v>50</v>
      </c>
      <c r="L717" s="100" t="s">
        <v>51</v>
      </c>
      <c r="M717" s="107" t="s">
        <v>52</v>
      </c>
      <c r="N717" s="100" t="s">
        <v>789</v>
      </c>
    </row>
    <row r="718" spans="1:14" ht="16">
      <c r="A718" s="101" t="str">
        <f t="shared" si="0"/>
        <v>OK</v>
      </c>
      <c r="B718" s="49">
        <v>3705221</v>
      </c>
      <c r="C718" s="49" t="s">
        <v>846</v>
      </c>
      <c r="D718" s="49" t="s">
        <v>7</v>
      </c>
      <c r="E718" s="50">
        <v>1.4999999999999999E-2</v>
      </c>
      <c r="F718" s="108">
        <v>4</v>
      </c>
      <c r="G718" s="51">
        <v>43922</v>
      </c>
      <c r="H718" s="46">
        <v>0</v>
      </c>
      <c r="I718" s="49" t="str">
        <f ca="1"/>
        <v>大木 優香</v>
      </c>
      <c r="J718" s="109" t="s">
        <v>453</v>
      </c>
      <c r="K718" s="49" t="s">
        <v>50</v>
      </c>
      <c r="L718" s="100" t="s">
        <v>51</v>
      </c>
      <c r="M718" s="107" t="s">
        <v>52</v>
      </c>
      <c r="N718" s="100" t="s">
        <v>789</v>
      </c>
    </row>
    <row r="719" spans="1:14" ht="16">
      <c r="A719" s="101" t="str">
        <f t="shared" si="0"/>
        <v>OK</v>
      </c>
      <c r="B719" s="49">
        <v>3705222</v>
      </c>
      <c r="C719" s="49" t="s">
        <v>847</v>
      </c>
      <c r="D719" s="49" t="s">
        <v>7</v>
      </c>
      <c r="E719" s="50">
        <v>1.4999999999999999E-2</v>
      </c>
      <c r="F719" s="108">
        <v>42</v>
      </c>
      <c r="G719" s="51">
        <v>43922</v>
      </c>
      <c r="H719" s="46">
        <v>0</v>
      </c>
      <c r="I719" s="49" t="str">
        <f ca="1"/>
        <v>大木 優香</v>
      </c>
      <c r="J719" s="109" t="s">
        <v>453</v>
      </c>
      <c r="K719" s="49" t="s">
        <v>50</v>
      </c>
      <c r="L719" s="100" t="s">
        <v>51</v>
      </c>
      <c r="M719" s="107" t="s">
        <v>52</v>
      </c>
      <c r="N719" s="100" t="s">
        <v>789</v>
      </c>
    </row>
    <row r="720" spans="1:14" ht="16">
      <c r="A720" s="101" t="str">
        <f t="shared" si="0"/>
        <v>OK</v>
      </c>
      <c r="B720" s="49">
        <v>3705223</v>
      </c>
      <c r="C720" s="49" t="s">
        <v>848</v>
      </c>
      <c r="D720" s="49" t="s">
        <v>7</v>
      </c>
      <c r="E720" s="50">
        <v>1.4999999999999999E-2</v>
      </c>
      <c r="F720" s="108">
        <v>2</v>
      </c>
      <c r="G720" s="51">
        <v>43922</v>
      </c>
      <c r="H720" s="46">
        <v>0</v>
      </c>
      <c r="I720" s="49" t="str">
        <f ca="1"/>
        <v>大木 優香</v>
      </c>
      <c r="J720" s="109" t="s">
        <v>453</v>
      </c>
      <c r="K720" s="49" t="s">
        <v>50</v>
      </c>
      <c r="L720" s="100" t="s">
        <v>51</v>
      </c>
      <c r="M720" s="107" t="s">
        <v>52</v>
      </c>
      <c r="N720" s="100" t="s">
        <v>789</v>
      </c>
    </row>
    <row r="721" spans="1:14" ht="16">
      <c r="A721" s="101" t="str">
        <f t="shared" si="0"/>
        <v>OK</v>
      </c>
      <c r="B721" s="49">
        <v>3705224</v>
      </c>
      <c r="C721" s="49" t="s">
        <v>849</v>
      </c>
      <c r="D721" s="49" t="s">
        <v>7</v>
      </c>
      <c r="E721" s="50">
        <v>1.4999999999999999E-2</v>
      </c>
      <c r="F721" s="108">
        <v>1</v>
      </c>
      <c r="G721" s="51">
        <v>43922</v>
      </c>
      <c r="H721" s="46">
        <v>0</v>
      </c>
      <c r="I721" s="49" t="str">
        <f ca="1"/>
        <v>大木 優香</v>
      </c>
      <c r="J721" s="109" t="s">
        <v>453</v>
      </c>
      <c r="K721" s="49" t="s">
        <v>50</v>
      </c>
      <c r="L721" s="100" t="s">
        <v>51</v>
      </c>
      <c r="M721" s="107" t="s">
        <v>52</v>
      </c>
      <c r="N721" s="100" t="s">
        <v>789</v>
      </c>
    </row>
    <row r="722" spans="1:14" ht="16">
      <c r="A722" s="101" t="str">
        <f t="shared" si="0"/>
        <v>OK</v>
      </c>
      <c r="B722" s="49">
        <v>3705225</v>
      </c>
      <c r="C722" s="49" t="s">
        <v>850</v>
      </c>
      <c r="D722" s="49" t="s">
        <v>7</v>
      </c>
      <c r="E722" s="50">
        <v>1.4999999999999999E-2</v>
      </c>
      <c r="F722" s="108">
        <v>29</v>
      </c>
      <c r="G722" s="51">
        <v>43922</v>
      </c>
      <c r="H722" s="46">
        <v>0</v>
      </c>
      <c r="I722" s="49" t="str">
        <f ca="1"/>
        <v>大木 優香</v>
      </c>
      <c r="J722" s="109" t="s">
        <v>453</v>
      </c>
      <c r="K722" s="49" t="s">
        <v>50</v>
      </c>
      <c r="L722" s="100" t="s">
        <v>51</v>
      </c>
      <c r="M722" s="107" t="s">
        <v>52</v>
      </c>
      <c r="N722" s="100" t="s">
        <v>789</v>
      </c>
    </row>
    <row r="723" spans="1:14" ht="16">
      <c r="A723" s="101" t="str">
        <f t="shared" si="0"/>
        <v>OK</v>
      </c>
      <c r="B723" s="49">
        <v>3705226</v>
      </c>
      <c r="C723" s="49" t="s">
        <v>851</v>
      </c>
      <c r="D723" s="49" t="s">
        <v>7</v>
      </c>
      <c r="E723" s="50">
        <v>1.4999999999999999E-2</v>
      </c>
      <c r="F723" s="108">
        <v>3</v>
      </c>
      <c r="G723" s="51">
        <v>43922</v>
      </c>
      <c r="H723" s="46">
        <v>0</v>
      </c>
      <c r="I723" s="49" t="str">
        <f ca="1"/>
        <v>大木 優香</v>
      </c>
      <c r="J723" s="109" t="s">
        <v>453</v>
      </c>
      <c r="K723" s="49" t="s">
        <v>50</v>
      </c>
      <c r="L723" s="100" t="s">
        <v>51</v>
      </c>
      <c r="M723" s="107" t="s">
        <v>52</v>
      </c>
      <c r="N723" s="100" t="s">
        <v>789</v>
      </c>
    </row>
    <row r="724" spans="1:14" ht="16">
      <c r="A724" s="101" t="str">
        <f t="shared" si="0"/>
        <v>OK</v>
      </c>
      <c r="B724" s="49">
        <v>3705227</v>
      </c>
      <c r="C724" s="49" t="s">
        <v>852</v>
      </c>
      <c r="D724" s="49" t="s">
        <v>7</v>
      </c>
      <c r="E724" s="50">
        <v>1.4999999999999999E-2</v>
      </c>
      <c r="F724" s="108">
        <v>19</v>
      </c>
      <c r="G724" s="51">
        <v>43922</v>
      </c>
      <c r="H724" s="46">
        <v>0</v>
      </c>
      <c r="I724" s="49" t="str">
        <f ca="1"/>
        <v>大木 優香</v>
      </c>
      <c r="J724" s="109" t="s">
        <v>453</v>
      </c>
      <c r="K724" s="49" t="s">
        <v>50</v>
      </c>
      <c r="L724" s="100" t="s">
        <v>51</v>
      </c>
      <c r="M724" s="107" t="s">
        <v>52</v>
      </c>
      <c r="N724" s="100" t="s">
        <v>789</v>
      </c>
    </row>
    <row r="725" spans="1:14" ht="16">
      <c r="A725" s="101" t="str">
        <f t="shared" si="0"/>
        <v>OK</v>
      </c>
      <c r="B725" s="49">
        <v>3705228</v>
      </c>
      <c r="C725" s="49" t="s">
        <v>853</v>
      </c>
      <c r="D725" s="49" t="s">
        <v>7</v>
      </c>
      <c r="E725" s="50">
        <v>1.4999999999999999E-2</v>
      </c>
      <c r="F725" s="108">
        <v>2</v>
      </c>
      <c r="G725" s="51">
        <v>43922</v>
      </c>
      <c r="H725" s="46">
        <v>0</v>
      </c>
      <c r="I725" s="49" t="str">
        <f ca="1"/>
        <v>大木 優香</v>
      </c>
      <c r="J725" s="109" t="s">
        <v>453</v>
      </c>
      <c r="K725" s="49" t="s">
        <v>50</v>
      </c>
      <c r="L725" s="100" t="s">
        <v>51</v>
      </c>
      <c r="M725" s="107" t="s">
        <v>52</v>
      </c>
      <c r="N725" s="100" t="s">
        <v>789</v>
      </c>
    </row>
    <row r="726" spans="1:14" ht="16">
      <c r="A726" s="101" t="str">
        <f t="shared" si="0"/>
        <v>OK</v>
      </c>
      <c r="B726" s="49">
        <v>3705229</v>
      </c>
      <c r="C726" s="49" t="s">
        <v>854</v>
      </c>
      <c r="D726" s="49" t="s">
        <v>7</v>
      </c>
      <c r="E726" s="50">
        <v>1.4999999999999999E-2</v>
      </c>
      <c r="F726" s="108">
        <v>1</v>
      </c>
      <c r="G726" s="51">
        <v>43922</v>
      </c>
      <c r="H726" s="46">
        <v>0</v>
      </c>
      <c r="I726" s="49" t="str">
        <f ca="1"/>
        <v>大木 優香</v>
      </c>
      <c r="J726" s="109" t="s">
        <v>453</v>
      </c>
      <c r="K726" s="49" t="s">
        <v>50</v>
      </c>
      <c r="L726" s="100" t="s">
        <v>51</v>
      </c>
      <c r="M726" s="107" t="s">
        <v>52</v>
      </c>
      <c r="N726" s="100" t="s">
        <v>789</v>
      </c>
    </row>
    <row r="727" spans="1:14" ht="16">
      <c r="A727" s="101" t="str">
        <f t="shared" si="0"/>
        <v>OK</v>
      </c>
      <c r="B727" s="49">
        <v>3705230</v>
      </c>
      <c r="C727" s="49" t="s">
        <v>855</v>
      </c>
      <c r="D727" s="49" t="s">
        <v>7</v>
      </c>
      <c r="E727" s="50">
        <v>1.4999999999999999E-2</v>
      </c>
      <c r="F727" s="108">
        <v>10</v>
      </c>
      <c r="G727" s="51">
        <v>43922</v>
      </c>
      <c r="H727" s="46">
        <v>0</v>
      </c>
      <c r="I727" s="49" t="str">
        <f ca="1"/>
        <v>大木 優香</v>
      </c>
      <c r="J727" s="109" t="s">
        <v>453</v>
      </c>
      <c r="K727" s="49" t="s">
        <v>50</v>
      </c>
      <c r="L727" s="100" t="s">
        <v>51</v>
      </c>
      <c r="M727" s="107" t="s">
        <v>52</v>
      </c>
      <c r="N727" s="100" t="s">
        <v>789</v>
      </c>
    </row>
    <row r="728" spans="1:14" ht="16">
      <c r="A728" s="101" t="str">
        <f t="shared" si="0"/>
        <v>OK</v>
      </c>
      <c r="B728" s="49">
        <v>3705231</v>
      </c>
      <c r="C728" s="49" t="s">
        <v>856</v>
      </c>
      <c r="D728" s="49" t="s">
        <v>7</v>
      </c>
      <c r="E728" s="50">
        <v>1.4999999999999999E-2</v>
      </c>
      <c r="F728" s="108">
        <v>17</v>
      </c>
      <c r="G728" s="51">
        <v>43922</v>
      </c>
      <c r="H728" s="46">
        <v>0</v>
      </c>
      <c r="I728" s="49" t="str">
        <f ca="1"/>
        <v>大木 優香</v>
      </c>
      <c r="J728" s="109" t="s">
        <v>453</v>
      </c>
      <c r="K728" s="49" t="s">
        <v>50</v>
      </c>
      <c r="L728" s="100" t="s">
        <v>51</v>
      </c>
      <c r="M728" s="107" t="s">
        <v>52</v>
      </c>
      <c r="N728" s="100" t="s">
        <v>789</v>
      </c>
    </row>
    <row r="729" spans="1:14" ht="16">
      <c r="A729" s="101" t="str">
        <f t="shared" si="0"/>
        <v>OK</v>
      </c>
      <c r="B729" s="49">
        <v>3705232</v>
      </c>
      <c r="C729" s="49" t="s">
        <v>857</v>
      </c>
      <c r="D729" s="49" t="s">
        <v>7</v>
      </c>
      <c r="E729" s="50">
        <v>1.4999999999999999E-2</v>
      </c>
      <c r="F729" s="108">
        <v>6</v>
      </c>
      <c r="G729" s="51">
        <v>43922</v>
      </c>
      <c r="H729" s="46">
        <v>0</v>
      </c>
      <c r="I729" s="49" t="str">
        <f ca="1"/>
        <v>大木 優香</v>
      </c>
      <c r="J729" s="109" t="s">
        <v>453</v>
      </c>
      <c r="K729" s="49" t="s">
        <v>50</v>
      </c>
      <c r="L729" s="100" t="s">
        <v>51</v>
      </c>
      <c r="M729" s="107" t="s">
        <v>52</v>
      </c>
      <c r="N729" s="100" t="s">
        <v>789</v>
      </c>
    </row>
    <row r="730" spans="1:14" ht="16">
      <c r="A730" s="101" t="str">
        <f t="shared" si="0"/>
        <v>OK</v>
      </c>
      <c r="B730" s="49">
        <v>3705233</v>
      </c>
      <c r="C730" s="49" t="s">
        <v>858</v>
      </c>
      <c r="D730" s="49" t="s">
        <v>7</v>
      </c>
      <c r="E730" s="50">
        <v>1.4999999999999999E-2</v>
      </c>
      <c r="F730" s="108">
        <v>20</v>
      </c>
      <c r="G730" s="51">
        <v>43922</v>
      </c>
      <c r="H730" s="46">
        <v>0</v>
      </c>
      <c r="I730" s="49" t="str">
        <f ca="1"/>
        <v>大木 優香</v>
      </c>
      <c r="J730" s="109" t="s">
        <v>453</v>
      </c>
      <c r="K730" s="49" t="s">
        <v>50</v>
      </c>
      <c r="L730" s="100" t="s">
        <v>51</v>
      </c>
      <c r="M730" s="107" t="s">
        <v>52</v>
      </c>
      <c r="N730" s="100" t="s">
        <v>789</v>
      </c>
    </row>
    <row r="731" spans="1:14" ht="16">
      <c r="A731" s="101" t="str">
        <f t="shared" si="0"/>
        <v>OK</v>
      </c>
      <c r="B731" s="49">
        <v>3705234</v>
      </c>
      <c r="C731" s="49" t="s">
        <v>859</v>
      </c>
      <c r="D731" s="49" t="s">
        <v>7</v>
      </c>
      <c r="E731" s="50">
        <v>1.4999999999999999E-2</v>
      </c>
      <c r="F731" s="108">
        <v>14</v>
      </c>
      <c r="G731" s="51">
        <v>43922</v>
      </c>
      <c r="H731" s="46">
        <v>0</v>
      </c>
      <c r="I731" s="49" t="str">
        <f ca="1"/>
        <v>大木 優香</v>
      </c>
      <c r="J731" s="109" t="s">
        <v>453</v>
      </c>
      <c r="K731" s="49" t="s">
        <v>50</v>
      </c>
      <c r="L731" s="100" t="s">
        <v>51</v>
      </c>
      <c r="M731" s="107" t="s">
        <v>52</v>
      </c>
      <c r="N731" s="100" t="s">
        <v>789</v>
      </c>
    </row>
    <row r="732" spans="1:14" ht="16">
      <c r="A732" s="101" t="str">
        <f t="shared" si="0"/>
        <v>OK</v>
      </c>
      <c r="B732" s="49">
        <v>3705237</v>
      </c>
      <c r="C732" s="49" t="s">
        <v>860</v>
      </c>
      <c r="D732" s="49" t="s">
        <v>7</v>
      </c>
      <c r="E732" s="50">
        <v>1.4999999999999999E-2</v>
      </c>
      <c r="F732" s="108">
        <v>16</v>
      </c>
      <c r="G732" s="51">
        <v>43922</v>
      </c>
      <c r="H732" s="46">
        <v>0</v>
      </c>
      <c r="I732" s="49" t="str">
        <f ca="1"/>
        <v>大木 優香</v>
      </c>
      <c r="J732" s="109" t="s">
        <v>453</v>
      </c>
      <c r="K732" s="49" t="s">
        <v>50</v>
      </c>
      <c r="L732" s="100" t="s">
        <v>51</v>
      </c>
      <c r="M732" s="107" t="s">
        <v>52</v>
      </c>
      <c r="N732" s="100" t="s">
        <v>789</v>
      </c>
    </row>
    <row r="733" spans="1:14" ht="16">
      <c r="A733" s="101" t="str">
        <f t="shared" si="0"/>
        <v>OK</v>
      </c>
      <c r="B733" s="49">
        <v>3705238</v>
      </c>
      <c r="C733" s="49" t="s">
        <v>861</v>
      </c>
      <c r="D733" s="49" t="s">
        <v>7</v>
      </c>
      <c r="E733" s="50">
        <v>1.4999999999999999E-2</v>
      </c>
      <c r="F733" s="108">
        <v>0</v>
      </c>
      <c r="G733" s="51">
        <v>43922</v>
      </c>
      <c r="H733" s="46">
        <v>0</v>
      </c>
      <c r="I733" s="49" t="str">
        <f ca="1"/>
        <v>大木 優香</v>
      </c>
      <c r="J733" s="109" t="s">
        <v>453</v>
      </c>
      <c r="K733" s="49" t="s">
        <v>50</v>
      </c>
      <c r="L733" s="100" t="s">
        <v>51</v>
      </c>
      <c r="M733" s="107" t="s">
        <v>52</v>
      </c>
      <c r="N733" s="100" t="s">
        <v>789</v>
      </c>
    </row>
    <row r="734" spans="1:14" ht="16">
      <c r="A734" s="101" t="str">
        <f t="shared" si="0"/>
        <v>OK</v>
      </c>
      <c r="B734" s="49">
        <v>3705239</v>
      </c>
      <c r="C734" s="49" t="s">
        <v>862</v>
      </c>
      <c r="D734" s="49" t="s">
        <v>7</v>
      </c>
      <c r="E734" s="50">
        <v>1.4999999999999999E-2</v>
      </c>
      <c r="F734" s="108">
        <v>0</v>
      </c>
      <c r="G734" s="51">
        <v>43922</v>
      </c>
      <c r="H734" s="46">
        <v>0</v>
      </c>
      <c r="I734" s="49" t="str">
        <f ca="1"/>
        <v>大木 優香</v>
      </c>
      <c r="J734" s="109" t="s">
        <v>453</v>
      </c>
      <c r="K734" s="49" t="s">
        <v>50</v>
      </c>
      <c r="L734" s="100" t="s">
        <v>51</v>
      </c>
      <c r="M734" s="107" t="s">
        <v>52</v>
      </c>
      <c r="N734" s="100" t="s">
        <v>789</v>
      </c>
    </row>
    <row r="735" spans="1:14" ht="16">
      <c r="A735" s="101" t="str">
        <f t="shared" si="0"/>
        <v>OK</v>
      </c>
      <c r="B735" s="49">
        <v>3705240</v>
      </c>
      <c r="C735" s="49" t="s">
        <v>863</v>
      </c>
      <c r="D735" s="49" t="s">
        <v>7</v>
      </c>
      <c r="E735" s="50">
        <v>1.4999999999999999E-2</v>
      </c>
      <c r="F735" s="108">
        <v>17</v>
      </c>
      <c r="G735" s="51">
        <v>43922</v>
      </c>
      <c r="H735" s="46">
        <v>0</v>
      </c>
      <c r="I735" s="49" t="str">
        <f ca="1"/>
        <v>大木 優香</v>
      </c>
      <c r="J735" s="109" t="s">
        <v>453</v>
      </c>
      <c r="K735" s="49" t="s">
        <v>50</v>
      </c>
      <c r="L735" s="100" t="s">
        <v>51</v>
      </c>
      <c r="M735" s="107" t="s">
        <v>52</v>
      </c>
      <c r="N735" s="100" t="s">
        <v>789</v>
      </c>
    </row>
    <row r="736" spans="1:14" ht="16">
      <c r="A736" s="101" t="str">
        <f t="shared" si="0"/>
        <v>OK</v>
      </c>
      <c r="B736" s="49">
        <v>3705241</v>
      </c>
      <c r="C736" s="49" t="s">
        <v>864</v>
      </c>
      <c r="D736" s="49" t="s">
        <v>7</v>
      </c>
      <c r="E736" s="50">
        <v>1.4999999999999999E-2</v>
      </c>
      <c r="F736" s="108">
        <v>7</v>
      </c>
      <c r="G736" s="51">
        <v>43922</v>
      </c>
      <c r="H736" s="46">
        <v>0</v>
      </c>
      <c r="I736" s="49" t="str">
        <f ca="1"/>
        <v>大木 優香</v>
      </c>
      <c r="J736" s="109" t="s">
        <v>453</v>
      </c>
      <c r="K736" s="49" t="s">
        <v>50</v>
      </c>
      <c r="L736" s="100" t="s">
        <v>51</v>
      </c>
      <c r="M736" s="107" t="s">
        <v>52</v>
      </c>
      <c r="N736" s="100" t="s">
        <v>789</v>
      </c>
    </row>
    <row r="737" spans="1:14" ht="16">
      <c r="A737" s="101" t="str">
        <f t="shared" si="0"/>
        <v>OK</v>
      </c>
      <c r="B737" s="49">
        <v>3705242</v>
      </c>
      <c r="C737" s="49" t="s">
        <v>865</v>
      </c>
      <c r="D737" s="49" t="s">
        <v>7</v>
      </c>
      <c r="E737" s="50">
        <v>1.4999999999999999E-2</v>
      </c>
      <c r="F737" s="108">
        <v>0</v>
      </c>
      <c r="G737" s="51">
        <v>43922</v>
      </c>
      <c r="H737" s="46">
        <v>0</v>
      </c>
      <c r="I737" s="49" t="str">
        <f ca="1"/>
        <v>大木 優香</v>
      </c>
      <c r="J737" s="109" t="s">
        <v>453</v>
      </c>
      <c r="K737" s="49" t="s">
        <v>50</v>
      </c>
      <c r="L737" s="100" t="s">
        <v>51</v>
      </c>
      <c r="M737" s="107" t="s">
        <v>52</v>
      </c>
      <c r="N737" s="100" t="s">
        <v>789</v>
      </c>
    </row>
    <row r="738" spans="1:14" ht="16">
      <c r="A738" s="101" t="str">
        <f t="shared" si="0"/>
        <v>OK</v>
      </c>
      <c r="B738" s="49">
        <v>3705243</v>
      </c>
      <c r="C738" s="49" t="s">
        <v>866</v>
      </c>
      <c r="D738" s="49" t="s">
        <v>7</v>
      </c>
      <c r="E738" s="50">
        <v>1.4999999999999999E-2</v>
      </c>
      <c r="F738" s="108">
        <v>0</v>
      </c>
      <c r="G738" s="51">
        <v>43922</v>
      </c>
      <c r="H738" s="46">
        <v>0</v>
      </c>
      <c r="I738" s="49" t="str">
        <f ca="1"/>
        <v>大木 優香</v>
      </c>
      <c r="J738" s="109" t="s">
        <v>453</v>
      </c>
      <c r="K738" s="49" t="s">
        <v>50</v>
      </c>
      <c r="L738" s="100" t="s">
        <v>51</v>
      </c>
      <c r="M738" s="107" t="s">
        <v>52</v>
      </c>
      <c r="N738" s="100" t="s">
        <v>789</v>
      </c>
    </row>
    <row r="739" spans="1:14" ht="16">
      <c r="A739" s="101" t="str">
        <f t="shared" si="0"/>
        <v>OK</v>
      </c>
      <c r="B739" s="49">
        <v>3705244</v>
      </c>
      <c r="C739" s="49" t="s">
        <v>867</v>
      </c>
      <c r="D739" s="49" t="s">
        <v>7</v>
      </c>
      <c r="E739" s="50">
        <v>1.4999999999999999E-2</v>
      </c>
      <c r="F739" s="108">
        <v>4</v>
      </c>
      <c r="G739" s="51">
        <v>43922</v>
      </c>
      <c r="H739" s="46">
        <v>0</v>
      </c>
      <c r="I739" s="49" t="str">
        <f ca="1"/>
        <v>大木 優香</v>
      </c>
      <c r="J739" s="109" t="s">
        <v>453</v>
      </c>
      <c r="K739" s="49" t="s">
        <v>50</v>
      </c>
      <c r="L739" s="100" t="s">
        <v>51</v>
      </c>
      <c r="M739" s="107" t="s">
        <v>52</v>
      </c>
      <c r="N739" s="100" t="s">
        <v>789</v>
      </c>
    </row>
    <row r="740" spans="1:14" ht="16">
      <c r="A740" s="101" t="str">
        <f t="shared" si="0"/>
        <v>OK</v>
      </c>
      <c r="B740" s="49">
        <v>3705245</v>
      </c>
      <c r="C740" s="49" t="s">
        <v>868</v>
      </c>
      <c r="D740" s="49" t="s">
        <v>7</v>
      </c>
      <c r="E740" s="50">
        <v>1.4999999999999999E-2</v>
      </c>
      <c r="F740" s="108">
        <v>3</v>
      </c>
      <c r="G740" s="51">
        <v>43922</v>
      </c>
      <c r="H740" s="46">
        <v>0</v>
      </c>
      <c r="I740" s="49" t="str">
        <f ca="1"/>
        <v>大木 優香</v>
      </c>
      <c r="J740" s="109" t="s">
        <v>453</v>
      </c>
      <c r="K740" s="49" t="s">
        <v>50</v>
      </c>
      <c r="L740" s="100" t="s">
        <v>51</v>
      </c>
      <c r="M740" s="107" t="s">
        <v>52</v>
      </c>
      <c r="N740" s="100" t="s">
        <v>789</v>
      </c>
    </row>
    <row r="741" spans="1:14" ht="16">
      <c r="A741" s="101" t="str">
        <f t="shared" si="0"/>
        <v>OK</v>
      </c>
      <c r="B741" s="49">
        <v>3705246</v>
      </c>
      <c r="C741" s="49" t="s">
        <v>869</v>
      </c>
      <c r="D741" s="49" t="s">
        <v>7</v>
      </c>
      <c r="E741" s="50">
        <v>1.4999999999999999E-2</v>
      </c>
      <c r="F741" s="108">
        <v>1</v>
      </c>
      <c r="G741" s="51">
        <v>43922</v>
      </c>
      <c r="H741" s="46">
        <v>0</v>
      </c>
      <c r="I741" s="49" t="str">
        <f ca="1"/>
        <v>大木 優香</v>
      </c>
      <c r="J741" s="109" t="s">
        <v>453</v>
      </c>
      <c r="K741" s="49" t="s">
        <v>50</v>
      </c>
      <c r="L741" s="100" t="s">
        <v>51</v>
      </c>
      <c r="M741" s="107" t="s">
        <v>52</v>
      </c>
      <c r="N741" s="100" t="s">
        <v>789</v>
      </c>
    </row>
    <row r="742" spans="1:14" ht="16">
      <c r="A742" s="101" t="str">
        <f t="shared" si="0"/>
        <v>OK</v>
      </c>
      <c r="B742" s="49">
        <v>3705249</v>
      </c>
      <c r="C742" s="49" t="s">
        <v>870</v>
      </c>
      <c r="D742" s="49" t="s">
        <v>7</v>
      </c>
      <c r="E742" s="50">
        <v>1.4999999999999999E-2</v>
      </c>
      <c r="F742" s="108">
        <v>11</v>
      </c>
      <c r="G742" s="51">
        <v>43922</v>
      </c>
      <c r="H742" s="46">
        <v>0</v>
      </c>
      <c r="I742" s="49" t="str">
        <f ca="1"/>
        <v>大木 優香</v>
      </c>
      <c r="J742" s="109" t="s">
        <v>453</v>
      </c>
      <c r="K742" s="49" t="s">
        <v>50</v>
      </c>
      <c r="L742" s="100" t="s">
        <v>51</v>
      </c>
      <c r="M742" s="107" t="s">
        <v>52</v>
      </c>
      <c r="N742" s="100" t="s">
        <v>789</v>
      </c>
    </row>
    <row r="743" spans="1:14" ht="16">
      <c r="A743" s="101" t="str">
        <f t="shared" si="0"/>
        <v>OK</v>
      </c>
      <c r="B743" s="49">
        <v>3705251</v>
      </c>
      <c r="C743" s="49" t="s">
        <v>871</v>
      </c>
      <c r="D743" s="49" t="s">
        <v>7</v>
      </c>
      <c r="E743" s="50">
        <v>1.4999999999999999E-2</v>
      </c>
      <c r="F743" s="108">
        <v>5</v>
      </c>
      <c r="G743" s="51">
        <v>43922</v>
      </c>
      <c r="H743" s="46">
        <v>0</v>
      </c>
      <c r="I743" s="49" t="str">
        <f ca="1"/>
        <v>大木 優香</v>
      </c>
      <c r="J743" s="109" t="s">
        <v>453</v>
      </c>
      <c r="K743" s="49" t="s">
        <v>50</v>
      </c>
      <c r="L743" s="100" t="s">
        <v>51</v>
      </c>
      <c r="M743" s="107" t="s">
        <v>52</v>
      </c>
      <c r="N743" s="100" t="s">
        <v>789</v>
      </c>
    </row>
    <row r="744" spans="1:14" ht="16">
      <c r="A744" s="101" t="str">
        <f t="shared" si="0"/>
        <v>OK</v>
      </c>
      <c r="B744" s="49">
        <v>3705252</v>
      </c>
      <c r="C744" s="49" t="s">
        <v>872</v>
      </c>
      <c r="D744" s="49" t="s">
        <v>7</v>
      </c>
      <c r="E744" s="50">
        <v>1.4999999999999999E-2</v>
      </c>
      <c r="F744" s="108">
        <v>18</v>
      </c>
      <c r="G744" s="51">
        <v>43922</v>
      </c>
      <c r="H744" s="46">
        <v>0</v>
      </c>
      <c r="I744" s="49" t="str">
        <f ca="1"/>
        <v>大木 優香</v>
      </c>
      <c r="J744" s="109" t="s">
        <v>453</v>
      </c>
      <c r="K744" s="49" t="s">
        <v>50</v>
      </c>
      <c r="L744" s="100" t="s">
        <v>51</v>
      </c>
      <c r="M744" s="107" t="s">
        <v>52</v>
      </c>
      <c r="N744" s="100" t="s">
        <v>789</v>
      </c>
    </row>
    <row r="745" spans="1:14" ht="16">
      <c r="A745" s="101" t="str">
        <f t="shared" si="0"/>
        <v>OK</v>
      </c>
      <c r="B745" s="49">
        <v>3705253</v>
      </c>
      <c r="C745" s="49" t="s">
        <v>873</v>
      </c>
      <c r="D745" s="49" t="s">
        <v>7</v>
      </c>
      <c r="E745" s="50">
        <v>1.4999999999999999E-2</v>
      </c>
      <c r="F745" s="108">
        <v>3</v>
      </c>
      <c r="G745" s="51">
        <v>43922</v>
      </c>
      <c r="H745" s="46">
        <v>0</v>
      </c>
      <c r="I745" s="49" t="str">
        <f ca="1"/>
        <v>大木 優香</v>
      </c>
      <c r="J745" s="109" t="s">
        <v>453</v>
      </c>
      <c r="K745" s="49" t="s">
        <v>50</v>
      </c>
      <c r="L745" s="100" t="s">
        <v>51</v>
      </c>
      <c r="M745" s="107" t="s">
        <v>52</v>
      </c>
      <c r="N745" s="100" t="s">
        <v>789</v>
      </c>
    </row>
    <row r="746" spans="1:14" ht="16">
      <c r="A746" s="101" t="str">
        <f t="shared" si="0"/>
        <v>OK</v>
      </c>
      <c r="B746" s="49">
        <v>3705255</v>
      </c>
      <c r="C746" s="49" t="s">
        <v>874</v>
      </c>
      <c r="D746" s="49" t="s">
        <v>7</v>
      </c>
      <c r="E746" s="50">
        <v>1.4999999999999999E-2</v>
      </c>
      <c r="F746" s="108">
        <v>0</v>
      </c>
      <c r="G746" s="51">
        <v>43922</v>
      </c>
      <c r="H746" s="46">
        <v>0</v>
      </c>
      <c r="I746" s="49" t="str">
        <f ca="1"/>
        <v>大木 優香</v>
      </c>
      <c r="J746" s="109" t="s">
        <v>453</v>
      </c>
      <c r="K746" s="49" t="s">
        <v>50</v>
      </c>
      <c r="L746" s="100" t="s">
        <v>51</v>
      </c>
      <c r="M746" s="107" t="s">
        <v>52</v>
      </c>
      <c r="N746" s="100" t="s">
        <v>789</v>
      </c>
    </row>
    <row r="747" spans="1:14" ht="16">
      <c r="A747" s="101" t="str">
        <f t="shared" si="0"/>
        <v>OK</v>
      </c>
      <c r="B747" s="49">
        <v>3705256</v>
      </c>
      <c r="C747" s="49" t="s">
        <v>875</v>
      </c>
      <c r="D747" s="49" t="s">
        <v>7</v>
      </c>
      <c r="E747" s="50">
        <v>1.4999999999999999E-2</v>
      </c>
      <c r="F747" s="108">
        <v>0</v>
      </c>
      <c r="G747" s="51">
        <v>43922</v>
      </c>
      <c r="H747" s="46">
        <v>0</v>
      </c>
      <c r="I747" s="49" t="str">
        <f ca="1"/>
        <v>大木 優香</v>
      </c>
      <c r="J747" s="109" t="s">
        <v>453</v>
      </c>
      <c r="K747" s="49" t="s">
        <v>50</v>
      </c>
      <c r="L747" s="100" t="s">
        <v>51</v>
      </c>
      <c r="M747" s="107" t="s">
        <v>52</v>
      </c>
      <c r="N747" s="100" t="s">
        <v>789</v>
      </c>
    </row>
    <row r="748" spans="1:14" ht="16">
      <c r="A748" s="101" t="str">
        <f t="shared" si="0"/>
        <v>OK</v>
      </c>
      <c r="B748" s="49">
        <v>3705260</v>
      </c>
      <c r="C748" s="49" t="s">
        <v>876</v>
      </c>
      <c r="D748" s="49" t="s">
        <v>7</v>
      </c>
      <c r="E748" s="50">
        <v>1.4999999999999999E-2</v>
      </c>
      <c r="F748" s="108">
        <v>9</v>
      </c>
      <c r="G748" s="51">
        <v>43922</v>
      </c>
      <c r="H748" s="46">
        <v>0</v>
      </c>
      <c r="I748" s="49" t="str">
        <f ca="1"/>
        <v>大木 優香</v>
      </c>
      <c r="J748" s="109" t="s">
        <v>453</v>
      </c>
      <c r="K748" s="49" t="s">
        <v>50</v>
      </c>
      <c r="L748" s="100" t="s">
        <v>51</v>
      </c>
      <c r="M748" s="107" t="s">
        <v>52</v>
      </c>
      <c r="N748" s="100" t="s">
        <v>789</v>
      </c>
    </row>
    <row r="749" spans="1:14" ht="16">
      <c r="A749" s="101" t="str">
        <f t="shared" si="0"/>
        <v>OK</v>
      </c>
      <c r="B749" s="49">
        <v>3705262</v>
      </c>
      <c r="C749" s="49" t="s">
        <v>877</v>
      </c>
      <c r="D749" s="49" t="s">
        <v>7</v>
      </c>
      <c r="E749" s="50">
        <v>1.4999999999999999E-2</v>
      </c>
      <c r="F749" s="108">
        <v>13</v>
      </c>
      <c r="G749" s="51">
        <v>43922</v>
      </c>
      <c r="H749" s="46">
        <v>0</v>
      </c>
      <c r="I749" s="49" t="str">
        <f ca="1"/>
        <v>大木 優香</v>
      </c>
      <c r="J749" s="109" t="s">
        <v>453</v>
      </c>
      <c r="K749" s="49" t="s">
        <v>50</v>
      </c>
      <c r="L749" s="100" t="s">
        <v>51</v>
      </c>
      <c r="M749" s="107" t="s">
        <v>52</v>
      </c>
      <c r="N749" s="100" t="s">
        <v>789</v>
      </c>
    </row>
    <row r="750" spans="1:14" ht="16">
      <c r="A750" s="101" t="str">
        <f t="shared" si="0"/>
        <v>OK</v>
      </c>
      <c r="B750" s="49">
        <v>3705263</v>
      </c>
      <c r="C750" s="49" t="s">
        <v>878</v>
      </c>
      <c r="D750" s="49" t="s">
        <v>7</v>
      </c>
      <c r="E750" s="50">
        <v>1.4999999999999999E-2</v>
      </c>
      <c r="F750" s="108">
        <v>0</v>
      </c>
      <c r="G750" s="51">
        <v>43922</v>
      </c>
      <c r="H750" s="46">
        <v>0</v>
      </c>
      <c r="I750" s="49" t="str">
        <f ca="1"/>
        <v>大木 優香</v>
      </c>
      <c r="J750" s="109" t="s">
        <v>453</v>
      </c>
      <c r="K750" s="49" t="s">
        <v>50</v>
      </c>
      <c r="L750" s="100" t="s">
        <v>51</v>
      </c>
      <c r="M750" s="107" t="s">
        <v>52</v>
      </c>
      <c r="N750" s="100" t="s">
        <v>789</v>
      </c>
    </row>
    <row r="751" spans="1:14" ht="16">
      <c r="A751" s="101" t="str">
        <f t="shared" si="0"/>
        <v>OK</v>
      </c>
      <c r="B751" s="49">
        <v>3705264</v>
      </c>
      <c r="C751" s="49" t="s">
        <v>879</v>
      </c>
      <c r="D751" s="49" t="s">
        <v>7</v>
      </c>
      <c r="E751" s="50">
        <v>1.4999999999999999E-2</v>
      </c>
      <c r="F751" s="108">
        <v>0</v>
      </c>
      <c r="G751" s="51">
        <v>43922</v>
      </c>
      <c r="H751" s="46">
        <v>0</v>
      </c>
      <c r="I751" s="49" t="str">
        <f ca="1"/>
        <v>大木 優香</v>
      </c>
      <c r="J751" s="109" t="s">
        <v>453</v>
      </c>
      <c r="K751" s="49" t="s">
        <v>50</v>
      </c>
      <c r="L751" s="100" t="s">
        <v>51</v>
      </c>
      <c r="M751" s="107" t="s">
        <v>52</v>
      </c>
      <c r="N751" s="100" t="s">
        <v>789</v>
      </c>
    </row>
    <row r="752" spans="1:14" ht="16">
      <c r="A752" s="101" t="str">
        <f t="shared" si="0"/>
        <v>OK</v>
      </c>
      <c r="B752" s="49">
        <v>3705266</v>
      </c>
      <c r="C752" s="49" t="s">
        <v>880</v>
      </c>
      <c r="D752" s="49" t="s">
        <v>7</v>
      </c>
      <c r="E752" s="50">
        <v>1.4999999999999999E-2</v>
      </c>
      <c r="F752" s="108">
        <v>33</v>
      </c>
      <c r="G752" s="51">
        <v>43922</v>
      </c>
      <c r="H752" s="46">
        <v>0</v>
      </c>
      <c r="I752" s="49" t="str">
        <f ca="1"/>
        <v>大木 優香</v>
      </c>
      <c r="J752" s="109" t="s">
        <v>453</v>
      </c>
      <c r="K752" s="49" t="s">
        <v>50</v>
      </c>
      <c r="L752" s="100" t="s">
        <v>51</v>
      </c>
      <c r="M752" s="107" t="s">
        <v>52</v>
      </c>
      <c r="N752" s="100" t="s">
        <v>789</v>
      </c>
    </row>
    <row r="753" spans="1:14" ht="16">
      <c r="A753" s="101" t="str">
        <f t="shared" si="0"/>
        <v>OK</v>
      </c>
      <c r="B753" s="49">
        <v>3705267</v>
      </c>
      <c r="C753" s="49" t="s">
        <v>881</v>
      </c>
      <c r="D753" s="49" t="s">
        <v>7</v>
      </c>
      <c r="E753" s="50">
        <v>1.4999999999999999E-2</v>
      </c>
      <c r="F753" s="108">
        <v>41</v>
      </c>
      <c r="G753" s="51">
        <v>43922</v>
      </c>
      <c r="H753" s="46">
        <v>0</v>
      </c>
      <c r="I753" s="49" t="str">
        <f ca="1"/>
        <v>大木 優香</v>
      </c>
      <c r="J753" s="109" t="s">
        <v>453</v>
      </c>
      <c r="K753" s="49" t="s">
        <v>50</v>
      </c>
      <c r="L753" s="100" t="s">
        <v>51</v>
      </c>
      <c r="M753" s="107" t="s">
        <v>52</v>
      </c>
      <c r="N753" s="100" t="s">
        <v>789</v>
      </c>
    </row>
    <row r="754" spans="1:14" ht="16">
      <c r="A754" s="101" t="str">
        <f t="shared" si="0"/>
        <v>OK</v>
      </c>
      <c r="B754" s="49">
        <v>3705270</v>
      </c>
      <c r="C754" s="49" t="s">
        <v>882</v>
      </c>
      <c r="D754" s="49" t="s">
        <v>7</v>
      </c>
      <c r="E754" s="50">
        <v>1.4999999999999999E-2</v>
      </c>
      <c r="F754" s="108">
        <v>6</v>
      </c>
      <c r="G754" s="51">
        <v>43922</v>
      </c>
      <c r="H754" s="46">
        <v>0</v>
      </c>
      <c r="I754" s="49" t="str">
        <f ca="1"/>
        <v>大木 優香</v>
      </c>
      <c r="J754" s="109" t="s">
        <v>453</v>
      </c>
      <c r="K754" s="49" t="s">
        <v>50</v>
      </c>
      <c r="L754" s="100" t="s">
        <v>51</v>
      </c>
      <c r="M754" s="107" t="s">
        <v>52</v>
      </c>
      <c r="N754" s="100" t="s">
        <v>789</v>
      </c>
    </row>
    <row r="755" spans="1:14" ht="16">
      <c r="A755" s="101" t="str">
        <f t="shared" si="0"/>
        <v>OK</v>
      </c>
      <c r="B755" s="49">
        <v>3705271</v>
      </c>
      <c r="C755" s="49" t="s">
        <v>883</v>
      </c>
      <c r="D755" s="49" t="s">
        <v>7</v>
      </c>
      <c r="E755" s="50">
        <v>1.4999999999999999E-2</v>
      </c>
      <c r="F755" s="108">
        <v>22</v>
      </c>
      <c r="G755" s="51">
        <v>43922</v>
      </c>
      <c r="H755" s="46">
        <v>0</v>
      </c>
      <c r="I755" s="49" t="str">
        <f ca="1"/>
        <v>大木 優香</v>
      </c>
      <c r="J755" s="109" t="s">
        <v>453</v>
      </c>
      <c r="K755" s="49" t="s">
        <v>50</v>
      </c>
      <c r="L755" s="100" t="s">
        <v>51</v>
      </c>
      <c r="M755" s="107" t="s">
        <v>52</v>
      </c>
      <c r="N755" s="100" t="s">
        <v>789</v>
      </c>
    </row>
    <row r="756" spans="1:14" ht="16">
      <c r="A756" s="101" t="str">
        <f t="shared" si="0"/>
        <v>OK</v>
      </c>
      <c r="B756" s="49">
        <v>3705272</v>
      </c>
      <c r="C756" s="49" t="s">
        <v>884</v>
      </c>
      <c r="D756" s="49" t="s">
        <v>7</v>
      </c>
      <c r="E756" s="50">
        <v>1.4999999999999999E-2</v>
      </c>
      <c r="F756" s="108">
        <v>52</v>
      </c>
      <c r="G756" s="51">
        <v>43922</v>
      </c>
      <c r="H756" s="46">
        <v>0</v>
      </c>
      <c r="I756" s="49" t="str">
        <f ca="1"/>
        <v>大木 優香</v>
      </c>
      <c r="J756" s="109" t="s">
        <v>453</v>
      </c>
      <c r="K756" s="49" t="s">
        <v>50</v>
      </c>
      <c r="L756" s="100" t="s">
        <v>51</v>
      </c>
      <c r="M756" s="107" t="s">
        <v>52</v>
      </c>
      <c r="N756" s="100" t="s">
        <v>789</v>
      </c>
    </row>
    <row r="757" spans="1:14" ht="16">
      <c r="A757" s="101" t="str">
        <f t="shared" si="0"/>
        <v>OK</v>
      </c>
      <c r="B757" s="49">
        <v>3705274</v>
      </c>
      <c r="C757" s="49" t="s">
        <v>885</v>
      </c>
      <c r="D757" s="49" t="s">
        <v>7</v>
      </c>
      <c r="E757" s="50">
        <v>1.4999999999999999E-2</v>
      </c>
      <c r="F757" s="108">
        <v>6</v>
      </c>
      <c r="G757" s="51">
        <v>43922</v>
      </c>
      <c r="H757" s="46">
        <v>0</v>
      </c>
      <c r="I757" s="49" t="str">
        <f ca="1"/>
        <v>大木 優香</v>
      </c>
      <c r="J757" s="109" t="s">
        <v>453</v>
      </c>
      <c r="K757" s="49" t="s">
        <v>50</v>
      </c>
      <c r="L757" s="100" t="s">
        <v>51</v>
      </c>
      <c r="M757" s="107" t="s">
        <v>52</v>
      </c>
      <c r="N757" s="100" t="s">
        <v>789</v>
      </c>
    </row>
    <row r="758" spans="1:14" ht="16">
      <c r="A758" s="101" t="str">
        <f t="shared" si="0"/>
        <v>OK</v>
      </c>
      <c r="B758" s="49">
        <v>3705275</v>
      </c>
      <c r="C758" s="49" t="s">
        <v>886</v>
      </c>
      <c r="D758" s="49" t="s">
        <v>7</v>
      </c>
      <c r="E758" s="50">
        <v>1.4999999999999999E-2</v>
      </c>
      <c r="F758" s="108">
        <v>0</v>
      </c>
      <c r="G758" s="51">
        <v>43922</v>
      </c>
      <c r="H758" s="46">
        <v>0</v>
      </c>
      <c r="I758" s="49" t="str">
        <f ca="1"/>
        <v>大木 優香</v>
      </c>
      <c r="J758" s="109" t="s">
        <v>453</v>
      </c>
      <c r="K758" s="49" t="s">
        <v>50</v>
      </c>
      <c r="L758" s="100" t="s">
        <v>51</v>
      </c>
      <c r="M758" s="107" t="s">
        <v>52</v>
      </c>
      <c r="N758" s="100" t="s">
        <v>789</v>
      </c>
    </row>
    <row r="759" spans="1:14" ht="16">
      <c r="A759" s="101" t="str">
        <f t="shared" si="0"/>
        <v>OK</v>
      </c>
      <c r="B759" s="49">
        <v>3705276</v>
      </c>
      <c r="C759" s="49" t="s">
        <v>887</v>
      </c>
      <c r="D759" s="49" t="s">
        <v>7</v>
      </c>
      <c r="E759" s="50">
        <v>1.4999999999999999E-2</v>
      </c>
      <c r="F759" s="108">
        <v>0</v>
      </c>
      <c r="G759" s="51">
        <v>43922</v>
      </c>
      <c r="H759" s="46">
        <v>0</v>
      </c>
      <c r="I759" s="49" t="str">
        <f ca="1"/>
        <v>大木 優香</v>
      </c>
      <c r="J759" s="109" t="s">
        <v>453</v>
      </c>
      <c r="K759" s="49" t="s">
        <v>50</v>
      </c>
      <c r="L759" s="100" t="s">
        <v>51</v>
      </c>
      <c r="M759" s="107" t="s">
        <v>52</v>
      </c>
      <c r="N759" s="100" t="s">
        <v>789</v>
      </c>
    </row>
    <row r="760" spans="1:14" ht="16">
      <c r="A760" s="101" t="str">
        <f t="shared" si="0"/>
        <v>OK</v>
      </c>
      <c r="B760" s="49">
        <v>3705277</v>
      </c>
      <c r="C760" s="49" t="s">
        <v>888</v>
      </c>
      <c r="D760" s="49" t="s">
        <v>7</v>
      </c>
      <c r="E760" s="50">
        <v>1.4999999999999999E-2</v>
      </c>
      <c r="F760" s="108">
        <v>0</v>
      </c>
      <c r="G760" s="51">
        <v>43922</v>
      </c>
      <c r="H760" s="46">
        <v>0</v>
      </c>
      <c r="I760" s="49" t="str">
        <f ca="1"/>
        <v>大木 優香</v>
      </c>
      <c r="J760" s="109" t="s">
        <v>453</v>
      </c>
      <c r="K760" s="49" t="s">
        <v>50</v>
      </c>
      <c r="L760" s="100" t="s">
        <v>51</v>
      </c>
      <c r="M760" s="107" t="s">
        <v>52</v>
      </c>
      <c r="N760" s="100" t="s">
        <v>789</v>
      </c>
    </row>
    <row r="761" spans="1:14" ht="16">
      <c r="A761" s="101" t="str">
        <f t="shared" si="0"/>
        <v>OK</v>
      </c>
      <c r="B761" s="49">
        <v>3705278</v>
      </c>
      <c r="C761" s="49" t="s">
        <v>889</v>
      </c>
      <c r="D761" s="49" t="s">
        <v>7</v>
      </c>
      <c r="E761" s="50">
        <v>1.4999999999999999E-2</v>
      </c>
      <c r="F761" s="108">
        <v>0</v>
      </c>
      <c r="G761" s="51">
        <v>43922</v>
      </c>
      <c r="H761" s="46">
        <v>0</v>
      </c>
      <c r="I761" s="49" t="str">
        <f ca="1"/>
        <v>大木 優香</v>
      </c>
      <c r="J761" s="109" t="s">
        <v>453</v>
      </c>
      <c r="K761" s="49" t="s">
        <v>50</v>
      </c>
      <c r="L761" s="100" t="s">
        <v>51</v>
      </c>
      <c r="M761" s="107" t="s">
        <v>52</v>
      </c>
      <c r="N761" s="100" t="s">
        <v>789</v>
      </c>
    </row>
    <row r="762" spans="1:14" ht="16">
      <c r="A762" s="101" t="str">
        <f t="shared" si="0"/>
        <v>OK</v>
      </c>
      <c r="B762" s="49">
        <v>3705279</v>
      </c>
      <c r="C762" s="49" t="s">
        <v>890</v>
      </c>
      <c r="D762" s="49" t="s">
        <v>7</v>
      </c>
      <c r="E762" s="50">
        <v>1.4999999999999999E-2</v>
      </c>
      <c r="F762" s="108">
        <v>0</v>
      </c>
      <c r="G762" s="51">
        <v>43922</v>
      </c>
      <c r="H762" s="46">
        <v>0</v>
      </c>
      <c r="I762" s="49" t="str">
        <f ca="1"/>
        <v>大木 優香</v>
      </c>
      <c r="J762" s="109" t="s">
        <v>453</v>
      </c>
      <c r="K762" s="49" t="s">
        <v>50</v>
      </c>
      <c r="L762" s="100" t="s">
        <v>51</v>
      </c>
      <c r="M762" s="107" t="s">
        <v>52</v>
      </c>
      <c r="N762" s="100" t="s">
        <v>789</v>
      </c>
    </row>
    <row r="763" spans="1:14" ht="16">
      <c r="A763" s="101" t="str">
        <f t="shared" si="0"/>
        <v>OK</v>
      </c>
      <c r="B763" s="49">
        <v>3705280</v>
      </c>
      <c r="C763" s="49" t="s">
        <v>891</v>
      </c>
      <c r="D763" s="49" t="s">
        <v>7</v>
      </c>
      <c r="E763" s="50">
        <v>1.4999999999999999E-2</v>
      </c>
      <c r="F763" s="108">
        <v>2</v>
      </c>
      <c r="G763" s="51">
        <v>43922</v>
      </c>
      <c r="H763" s="46">
        <v>0</v>
      </c>
      <c r="I763" s="49" t="str">
        <f ca="1"/>
        <v>大木 優香</v>
      </c>
      <c r="J763" s="109" t="s">
        <v>453</v>
      </c>
      <c r="K763" s="49" t="s">
        <v>50</v>
      </c>
      <c r="L763" s="100" t="s">
        <v>51</v>
      </c>
      <c r="M763" s="107" t="s">
        <v>52</v>
      </c>
      <c r="N763" s="100" t="s">
        <v>789</v>
      </c>
    </row>
    <row r="764" spans="1:14" ht="16">
      <c r="A764" s="101" t="str">
        <f t="shared" si="0"/>
        <v>OK</v>
      </c>
      <c r="B764" s="49">
        <v>106821</v>
      </c>
      <c r="C764" s="49" t="s">
        <v>892</v>
      </c>
      <c r="D764" s="49" t="s">
        <v>7</v>
      </c>
      <c r="E764" s="50">
        <v>1.4E-2</v>
      </c>
      <c r="F764" s="108">
        <v>450</v>
      </c>
      <c r="G764" s="51">
        <v>43922</v>
      </c>
      <c r="H764" s="108">
        <v>450</v>
      </c>
      <c r="I764" s="49" t="str">
        <f ca="1"/>
        <v>稲場 勇介</v>
      </c>
      <c r="J764" s="109" t="s">
        <v>517</v>
      </c>
      <c r="K764" s="49" t="s">
        <v>50</v>
      </c>
      <c r="L764" s="100" t="s">
        <v>51</v>
      </c>
      <c r="M764" s="107" t="s">
        <v>52</v>
      </c>
    </row>
    <row r="765" spans="1:14" ht="16">
      <c r="A765" s="101" t="str">
        <f t="shared" si="0"/>
        <v>OK</v>
      </c>
      <c r="B765" s="49">
        <v>116216</v>
      </c>
      <c r="C765" s="49" t="s">
        <v>893</v>
      </c>
      <c r="D765" s="49" t="s">
        <v>7</v>
      </c>
      <c r="E765" s="50">
        <v>1.4E-2</v>
      </c>
      <c r="F765" s="108">
        <v>450</v>
      </c>
      <c r="G765" s="51">
        <v>43922</v>
      </c>
      <c r="H765" s="108">
        <v>450</v>
      </c>
      <c r="I765" s="49" t="str">
        <f ca="1"/>
        <v>稲場 勇介</v>
      </c>
      <c r="J765" s="109" t="s">
        <v>517</v>
      </c>
      <c r="K765" s="49" t="s">
        <v>50</v>
      </c>
      <c r="L765" s="100" t="s">
        <v>51</v>
      </c>
      <c r="M765" s="107" t="s">
        <v>52</v>
      </c>
    </row>
    <row r="766" spans="1:14" ht="16">
      <c r="A766" s="101" t="str">
        <f t="shared" si="0"/>
        <v>OK</v>
      </c>
      <c r="B766" s="49">
        <v>120671</v>
      </c>
      <c r="C766" s="49" t="s">
        <v>894</v>
      </c>
      <c r="D766" s="49" t="s">
        <v>7</v>
      </c>
      <c r="E766" s="50">
        <v>1.4E-2</v>
      </c>
      <c r="F766" s="108">
        <v>450</v>
      </c>
      <c r="G766" s="51">
        <v>43922</v>
      </c>
      <c r="H766" s="108">
        <v>450</v>
      </c>
      <c r="I766" s="49" t="str">
        <f ca="1"/>
        <v>稲場 勇介</v>
      </c>
      <c r="J766" s="109" t="s">
        <v>517</v>
      </c>
      <c r="K766" s="49" t="s">
        <v>50</v>
      </c>
      <c r="L766" s="100" t="s">
        <v>51</v>
      </c>
      <c r="M766" s="107" t="s">
        <v>52</v>
      </c>
    </row>
    <row r="767" spans="1:14" ht="16">
      <c r="A767" s="101" t="str">
        <f t="shared" si="0"/>
        <v>OK</v>
      </c>
      <c r="B767" s="49">
        <v>126810</v>
      </c>
      <c r="C767" s="49" t="s">
        <v>895</v>
      </c>
      <c r="D767" s="49" t="s">
        <v>7</v>
      </c>
      <c r="E767" s="50">
        <v>1.4E-2</v>
      </c>
      <c r="F767" s="108">
        <v>450</v>
      </c>
      <c r="G767" s="51">
        <v>43922</v>
      </c>
      <c r="H767" s="108">
        <v>450</v>
      </c>
      <c r="I767" s="49" t="str">
        <f ca="1"/>
        <v>稲場 勇介</v>
      </c>
      <c r="J767" s="109" t="s">
        <v>517</v>
      </c>
      <c r="K767" s="49" t="s">
        <v>50</v>
      </c>
      <c r="L767" s="100" t="s">
        <v>51</v>
      </c>
      <c r="M767" s="107" t="s">
        <v>52</v>
      </c>
    </row>
    <row r="768" spans="1:14" ht="16">
      <c r="A768" s="101" t="str">
        <f t="shared" si="0"/>
        <v>OK</v>
      </c>
      <c r="B768" s="49">
        <v>131176</v>
      </c>
      <c r="C768" s="49" t="s">
        <v>896</v>
      </c>
      <c r="D768" s="49" t="s">
        <v>7</v>
      </c>
      <c r="E768" s="50">
        <v>1.4E-2</v>
      </c>
      <c r="F768" s="108">
        <v>450</v>
      </c>
      <c r="G768" s="51">
        <v>43922</v>
      </c>
      <c r="H768" s="108">
        <v>450</v>
      </c>
      <c r="I768" s="49" t="str">
        <f ca="1"/>
        <v>稲場 勇介</v>
      </c>
      <c r="J768" s="109" t="s">
        <v>517</v>
      </c>
      <c r="K768" s="49" t="s">
        <v>50</v>
      </c>
      <c r="L768" s="100" t="s">
        <v>51</v>
      </c>
      <c r="M768" s="107" t="s">
        <v>52</v>
      </c>
    </row>
    <row r="769" spans="1:13" ht="16">
      <c r="A769" s="101" t="str">
        <f t="shared" si="0"/>
        <v>OK</v>
      </c>
      <c r="B769" s="49">
        <v>137531</v>
      </c>
      <c r="C769" s="49" t="s">
        <v>897</v>
      </c>
      <c r="D769" s="49" t="s">
        <v>7</v>
      </c>
      <c r="E769" s="50">
        <v>1.4E-2</v>
      </c>
      <c r="F769" s="108">
        <v>450</v>
      </c>
      <c r="G769" s="51">
        <v>43922</v>
      </c>
      <c r="H769" s="108">
        <v>450</v>
      </c>
      <c r="I769" s="49" t="str">
        <f ca="1"/>
        <v>稲場 勇介</v>
      </c>
      <c r="J769" s="109" t="s">
        <v>517</v>
      </c>
      <c r="K769" s="49" t="s">
        <v>50</v>
      </c>
      <c r="L769" s="100" t="s">
        <v>51</v>
      </c>
      <c r="M769" s="107" t="s">
        <v>52</v>
      </c>
    </row>
    <row r="770" spans="1:13" ht="16">
      <c r="A770" s="101" t="str">
        <f t="shared" si="0"/>
        <v>OK</v>
      </c>
      <c r="B770" s="49">
        <v>140446</v>
      </c>
      <c r="C770" s="49" t="s">
        <v>898</v>
      </c>
      <c r="D770" s="49" t="s">
        <v>7</v>
      </c>
      <c r="E770" s="50">
        <v>1.4E-2</v>
      </c>
      <c r="F770" s="108">
        <v>450</v>
      </c>
      <c r="G770" s="51">
        <v>43922</v>
      </c>
      <c r="H770" s="108">
        <v>450</v>
      </c>
      <c r="I770" s="49" t="str">
        <f ca="1"/>
        <v>稲場 勇介</v>
      </c>
      <c r="J770" s="109" t="s">
        <v>517</v>
      </c>
      <c r="K770" s="49" t="s">
        <v>50</v>
      </c>
      <c r="L770" s="100" t="s">
        <v>51</v>
      </c>
      <c r="M770" s="107" t="s">
        <v>52</v>
      </c>
    </row>
    <row r="771" spans="1:13" ht="16">
      <c r="A771" s="101" t="str">
        <f t="shared" si="0"/>
        <v>OK</v>
      </c>
      <c r="B771" s="49">
        <v>116144</v>
      </c>
      <c r="C771" s="49" t="s">
        <v>899</v>
      </c>
      <c r="D771" s="49" t="s">
        <v>7</v>
      </c>
      <c r="E771" s="50">
        <v>3.4000000000000002E-2</v>
      </c>
      <c r="F771" s="108">
        <v>130</v>
      </c>
      <c r="G771" s="51">
        <v>43922</v>
      </c>
      <c r="H771" s="108">
        <v>130</v>
      </c>
      <c r="I771" s="49" t="str">
        <f ca="1"/>
        <v>稲場 勇介</v>
      </c>
      <c r="J771" s="109" t="s">
        <v>517</v>
      </c>
      <c r="K771" s="49" t="s">
        <v>50</v>
      </c>
      <c r="L771" s="100" t="s">
        <v>51</v>
      </c>
      <c r="M771" s="107" t="s">
        <v>52</v>
      </c>
    </row>
    <row r="772" spans="1:13" ht="16">
      <c r="A772" s="101" t="str">
        <f t="shared" si="0"/>
        <v>OK</v>
      </c>
      <c r="B772" s="49">
        <v>116145</v>
      </c>
      <c r="C772" s="49" t="s">
        <v>900</v>
      </c>
      <c r="D772" s="49" t="s">
        <v>7</v>
      </c>
      <c r="E772" s="50">
        <v>3.4000000000000002E-2</v>
      </c>
      <c r="F772" s="108">
        <v>130</v>
      </c>
      <c r="G772" s="51">
        <v>43922</v>
      </c>
      <c r="H772" s="108">
        <v>130</v>
      </c>
      <c r="I772" s="49" t="str">
        <f ca="1"/>
        <v>稲場 勇介</v>
      </c>
      <c r="J772" s="109" t="s">
        <v>517</v>
      </c>
      <c r="K772" s="49" t="s">
        <v>50</v>
      </c>
      <c r="L772" s="100" t="s">
        <v>51</v>
      </c>
      <c r="M772" s="107" t="s">
        <v>52</v>
      </c>
    </row>
    <row r="773" spans="1:13" ht="16">
      <c r="A773" s="101" t="str">
        <f t="shared" si="0"/>
        <v>OK</v>
      </c>
      <c r="B773" s="49">
        <v>116146</v>
      </c>
      <c r="C773" s="49" t="s">
        <v>901</v>
      </c>
      <c r="D773" s="49" t="s">
        <v>7</v>
      </c>
      <c r="E773" s="50">
        <v>3.4000000000000002E-2</v>
      </c>
      <c r="F773" s="108">
        <v>130</v>
      </c>
      <c r="G773" s="51">
        <v>43922</v>
      </c>
      <c r="H773" s="108">
        <v>130</v>
      </c>
      <c r="I773" s="49" t="str">
        <f ca="1"/>
        <v>稲場 勇介</v>
      </c>
      <c r="J773" s="109" t="s">
        <v>517</v>
      </c>
      <c r="K773" s="49" t="s">
        <v>50</v>
      </c>
      <c r="L773" s="100" t="s">
        <v>51</v>
      </c>
      <c r="M773" s="107" t="s">
        <v>52</v>
      </c>
    </row>
    <row r="774" spans="1:13" ht="16">
      <c r="A774" s="101" t="str">
        <f t="shared" si="0"/>
        <v>OK</v>
      </c>
      <c r="B774" s="49">
        <v>116147</v>
      </c>
      <c r="C774" s="49" t="s">
        <v>902</v>
      </c>
      <c r="D774" s="49" t="s">
        <v>7</v>
      </c>
      <c r="E774" s="50">
        <v>3.4000000000000002E-2</v>
      </c>
      <c r="F774" s="108">
        <v>130</v>
      </c>
      <c r="G774" s="51">
        <v>43922</v>
      </c>
      <c r="H774" s="108">
        <v>130</v>
      </c>
      <c r="I774" s="49" t="str">
        <f ca="1"/>
        <v>稲場 勇介</v>
      </c>
      <c r="J774" s="109" t="s">
        <v>517</v>
      </c>
      <c r="K774" s="49" t="s">
        <v>50</v>
      </c>
      <c r="L774" s="100" t="s">
        <v>51</v>
      </c>
      <c r="M774" s="107" t="s">
        <v>52</v>
      </c>
    </row>
    <row r="775" spans="1:13" ht="16">
      <c r="A775" s="101" t="str">
        <f t="shared" si="0"/>
        <v>OK</v>
      </c>
      <c r="B775" s="49">
        <v>101808</v>
      </c>
      <c r="C775" s="49" t="s">
        <v>903</v>
      </c>
      <c r="D775" s="49" t="s">
        <v>5</v>
      </c>
      <c r="E775" s="50">
        <v>8.8999999999999996E-2</v>
      </c>
      <c r="F775" s="108">
        <v>94</v>
      </c>
      <c r="G775" s="51">
        <v>43922</v>
      </c>
      <c r="H775" s="46">
        <v>10</v>
      </c>
      <c r="I775" s="49" t="str">
        <f ca="1"/>
        <v>老田 純輝</v>
      </c>
      <c r="J775" s="109" t="s">
        <v>904</v>
      </c>
      <c r="K775" s="49" t="s">
        <v>50</v>
      </c>
      <c r="L775" s="100" t="s">
        <v>51</v>
      </c>
      <c r="M775" s="107" t="s">
        <v>52</v>
      </c>
    </row>
    <row r="776" spans="1:13" ht="16">
      <c r="A776" s="101" t="str">
        <f t="shared" si="0"/>
        <v>OK</v>
      </c>
      <c r="B776" s="49">
        <v>109285</v>
      </c>
      <c r="C776" s="49" t="s">
        <v>905</v>
      </c>
      <c r="D776" s="49" t="s">
        <v>5</v>
      </c>
      <c r="E776" s="50">
        <v>8.8999999999999996E-2</v>
      </c>
      <c r="F776" s="108">
        <v>0</v>
      </c>
      <c r="G776" s="51">
        <v>43922</v>
      </c>
      <c r="H776" s="46">
        <v>10</v>
      </c>
      <c r="I776" s="49" t="str">
        <f ca="1"/>
        <v>老田 純輝</v>
      </c>
      <c r="J776" s="109" t="s">
        <v>904</v>
      </c>
      <c r="K776" s="49" t="s">
        <v>50</v>
      </c>
      <c r="L776" s="100" t="s">
        <v>51</v>
      </c>
      <c r="M776" s="107" t="s">
        <v>52</v>
      </c>
    </row>
    <row r="777" spans="1:13" ht="16">
      <c r="A777" s="101" t="str">
        <f t="shared" si="0"/>
        <v>OK</v>
      </c>
      <c r="B777" s="49">
        <v>110652</v>
      </c>
      <c r="C777" s="49" t="s">
        <v>906</v>
      </c>
      <c r="D777" s="49" t="s">
        <v>5</v>
      </c>
      <c r="E777" s="50">
        <v>8.8999999999999996E-2</v>
      </c>
      <c r="F777" s="108">
        <v>13</v>
      </c>
      <c r="G777" s="51">
        <v>43922</v>
      </c>
      <c r="H777" s="46">
        <v>10</v>
      </c>
      <c r="I777" s="49" t="str">
        <f ca="1"/>
        <v>老田 純輝</v>
      </c>
      <c r="J777" s="109" t="s">
        <v>904</v>
      </c>
      <c r="K777" s="49" t="s">
        <v>50</v>
      </c>
      <c r="L777" s="100" t="s">
        <v>51</v>
      </c>
      <c r="M777" s="107" t="s">
        <v>52</v>
      </c>
    </row>
    <row r="778" spans="1:13" ht="16">
      <c r="A778" s="101" t="str">
        <f t="shared" si="0"/>
        <v>OK</v>
      </c>
      <c r="B778" s="49">
        <v>110676</v>
      </c>
      <c r="C778" s="49" t="s">
        <v>907</v>
      </c>
      <c r="D778" s="49" t="s">
        <v>5</v>
      </c>
      <c r="E778" s="50">
        <v>8.8999999999999996E-2</v>
      </c>
      <c r="F778" s="108">
        <v>22</v>
      </c>
      <c r="G778" s="51">
        <v>43922</v>
      </c>
      <c r="H778" s="46">
        <v>10</v>
      </c>
      <c r="I778" s="49" t="str">
        <f ca="1"/>
        <v>老田 純輝</v>
      </c>
      <c r="J778" s="109" t="s">
        <v>904</v>
      </c>
      <c r="K778" s="49" t="s">
        <v>50</v>
      </c>
      <c r="L778" s="100" t="s">
        <v>51</v>
      </c>
      <c r="M778" s="107" t="s">
        <v>52</v>
      </c>
    </row>
    <row r="779" spans="1:13" ht="16">
      <c r="A779" s="101" t="str">
        <f t="shared" si="0"/>
        <v>OK</v>
      </c>
      <c r="B779" s="49">
        <v>110680</v>
      </c>
      <c r="C779" s="49" t="s">
        <v>908</v>
      </c>
      <c r="D779" s="49" t="s">
        <v>5</v>
      </c>
      <c r="E779" s="50">
        <v>8.8999999999999996E-2</v>
      </c>
      <c r="F779" s="108">
        <v>47</v>
      </c>
      <c r="G779" s="51">
        <v>43922</v>
      </c>
      <c r="H779" s="46">
        <v>10</v>
      </c>
      <c r="I779" s="49" t="str">
        <f ca="1"/>
        <v>老田 純輝</v>
      </c>
      <c r="J779" s="109" t="s">
        <v>904</v>
      </c>
      <c r="K779" s="49" t="s">
        <v>50</v>
      </c>
      <c r="L779" s="100" t="s">
        <v>51</v>
      </c>
      <c r="M779" s="107" t="s">
        <v>52</v>
      </c>
    </row>
    <row r="780" spans="1:13" ht="16">
      <c r="A780" s="101" t="str">
        <f t="shared" si="0"/>
        <v>OK</v>
      </c>
      <c r="B780" s="49">
        <v>110681</v>
      </c>
      <c r="C780" s="49" t="s">
        <v>909</v>
      </c>
      <c r="D780" s="49" t="s">
        <v>5</v>
      </c>
      <c r="E780" s="50">
        <v>8.8999999999999996E-2</v>
      </c>
      <c r="F780" s="108">
        <v>7</v>
      </c>
      <c r="G780" s="51">
        <v>43922</v>
      </c>
      <c r="H780" s="46">
        <v>10</v>
      </c>
      <c r="I780" s="49" t="str">
        <f ca="1"/>
        <v>老田 純輝</v>
      </c>
      <c r="J780" s="109" t="s">
        <v>904</v>
      </c>
      <c r="K780" s="49" t="s">
        <v>50</v>
      </c>
      <c r="L780" s="100" t="s">
        <v>51</v>
      </c>
      <c r="M780" s="107" t="s">
        <v>52</v>
      </c>
    </row>
    <row r="781" spans="1:13" ht="16">
      <c r="A781" s="101" t="str">
        <f t="shared" si="0"/>
        <v>OK</v>
      </c>
      <c r="B781" s="49">
        <v>110714</v>
      </c>
      <c r="C781" s="49" t="s">
        <v>910</v>
      </c>
      <c r="D781" s="49" t="s">
        <v>5</v>
      </c>
      <c r="E781" s="50">
        <v>8.8999999999999996E-2</v>
      </c>
      <c r="F781" s="108">
        <v>16</v>
      </c>
      <c r="G781" s="51">
        <v>43922</v>
      </c>
      <c r="H781" s="46">
        <v>10</v>
      </c>
      <c r="I781" s="49" t="str">
        <f ca="1"/>
        <v>老田 純輝</v>
      </c>
      <c r="J781" s="109" t="s">
        <v>904</v>
      </c>
      <c r="K781" s="49" t="s">
        <v>50</v>
      </c>
      <c r="L781" s="100" t="s">
        <v>51</v>
      </c>
      <c r="M781" s="107" t="s">
        <v>52</v>
      </c>
    </row>
    <row r="782" spans="1:13" ht="16">
      <c r="A782" s="101" t="str">
        <f t="shared" si="0"/>
        <v>OK</v>
      </c>
      <c r="B782" s="49">
        <v>113129</v>
      </c>
      <c r="C782" s="49" t="s">
        <v>911</v>
      </c>
      <c r="D782" s="49" t="s">
        <v>5</v>
      </c>
      <c r="E782" s="50">
        <v>8.8999999999999996E-2</v>
      </c>
      <c r="F782" s="108">
        <v>56</v>
      </c>
      <c r="G782" s="51">
        <v>43922</v>
      </c>
      <c r="H782" s="46">
        <v>10</v>
      </c>
      <c r="I782" s="49" t="str">
        <f ca="1"/>
        <v>老田 純輝</v>
      </c>
      <c r="J782" s="109" t="s">
        <v>904</v>
      </c>
      <c r="K782" s="49" t="s">
        <v>50</v>
      </c>
      <c r="L782" s="100" t="s">
        <v>51</v>
      </c>
      <c r="M782" s="107" t="s">
        <v>52</v>
      </c>
    </row>
    <row r="783" spans="1:13" ht="16">
      <c r="A783" s="101" t="str">
        <f t="shared" si="0"/>
        <v>OK</v>
      </c>
      <c r="B783" s="49">
        <v>113137</v>
      </c>
      <c r="C783" s="49" t="s">
        <v>912</v>
      </c>
      <c r="D783" s="49" t="s">
        <v>5</v>
      </c>
      <c r="E783" s="50">
        <v>8.8999999999999996E-2</v>
      </c>
      <c r="F783" s="108">
        <v>0</v>
      </c>
      <c r="G783" s="51">
        <v>43922</v>
      </c>
      <c r="H783" s="46">
        <v>10</v>
      </c>
      <c r="I783" s="49" t="str">
        <f ca="1"/>
        <v>老田 純輝</v>
      </c>
      <c r="J783" s="109" t="s">
        <v>904</v>
      </c>
      <c r="K783" s="49" t="s">
        <v>50</v>
      </c>
      <c r="L783" s="100" t="s">
        <v>51</v>
      </c>
      <c r="M783" s="107" t="s">
        <v>52</v>
      </c>
    </row>
    <row r="784" spans="1:13" ht="16">
      <c r="A784" s="101" t="str">
        <f t="shared" si="0"/>
        <v>OK</v>
      </c>
      <c r="B784" s="49">
        <v>116952</v>
      </c>
      <c r="C784" s="49" t="s">
        <v>913</v>
      </c>
      <c r="D784" s="49" t="s">
        <v>5</v>
      </c>
      <c r="E784" s="50">
        <v>8.8999999999999996E-2</v>
      </c>
      <c r="F784" s="108">
        <v>27</v>
      </c>
      <c r="G784" s="51">
        <v>43922</v>
      </c>
      <c r="H784" s="46">
        <v>10</v>
      </c>
      <c r="I784" s="49" t="str">
        <f ca="1"/>
        <v>老田 純輝</v>
      </c>
      <c r="J784" s="109" t="s">
        <v>904</v>
      </c>
      <c r="K784" s="49" t="s">
        <v>50</v>
      </c>
      <c r="L784" s="100" t="s">
        <v>51</v>
      </c>
      <c r="M784" s="107" t="s">
        <v>52</v>
      </c>
    </row>
    <row r="785" spans="1:13" ht="16">
      <c r="A785" s="101" t="str">
        <f t="shared" si="0"/>
        <v>OK</v>
      </c>
      <c r="B785" s="49">
        <v>122883</v>
      </c>
      <c r="C785" s="49" t="s">
        <v>914</v>
      </c>
      <c r="D785" s="49" t="s">
        <v>5</v>
      </c>
      <c r="E785" s="50">
        <v>8.8999999999999996E-2</v>
      </c>
      <c r="F785" s="108">
        <v>10</v>
      </c>
      <c r="G785" s="51">
        <v>43922</v>
      </c>
      <c r="H785" s="46">
        <v>10</v>
      </c>
      <c r="I785" s="49" t="str">
        <f ca="1"/>
        <v>老田 純輝</v>
      </c>
      <c r="J785" s="109" t="s">
        <v>904</v>
      </c>
      <c r="K785" s="49" t="s">
        <v>50</v>
      </c>
      <c r="L785" s="100" t="s">
        <v>51</v>
      </c>
      <c r="M785" s="107" t="s">
        <v>52</v>
      </c>
    </row>
    <row r="786" spans="1:13" ht="16">
      <c r="A786" s="101" t="str">
        <f t="shared" si="0"/>
        <v>OK</v>
      </c>
      <c r="B786" s="49">
        <v>125429</v>
      </c>
      <c r="C786" s="49" t="s">
        <v>915</v>
      </c>
      <c r="D786" s="49" t="s">
        <v>5</v>
      </c>
      <c r="E786" s="50">
        <v>8.8999999999999996E-2</v>
      </c>
      <c r="F786" s="108">
        <v>41</v>
      </c>
      <c r="G786" s="51">
        <v>43922</v>
      </c>
      <c r="H786" s="46">
        <v>10</v>
      </c>
      <c r="I786" s="49" t="str">
        <f ca="1"/>
        <v>老田 純輝</v>
      </c>
      <c r="J786" s="109" t="s">
        <v>904</v>
      </c>
      <c r="K786" s="49" t="s">
        <v>50</v>
      </c>
      <c r="L786" s="100" t="s">
        <v>51</v>
      </c>
      <c r="M786" s="107" t="s">
        <v>52</v>
      </c>
    </row>
    <row r="787" spans="1:13" ht="16">
      <c r="A787" s="101" t="str">
        <f t="shared" si="0"/>
        <v>未記入あり</v>
      </c>
      <c r="B787" s="49">
        <v>127359</v>
      </c>
      <c r="C787" s="49" t="s">
        <v>916</v>
      </c>
      <c r="D787" s="49" t="s">
        <v>5</v>
      </c>
      <c r="E787" s="50">
        <v>8.8999999999999996E-2</v>
      </c>
      <c r="F787" s="108">
        <v>13</v>
      </c>
      <c r="G787" s="51">
        <v>43922</v>
      </c>
      <c r="H787" s="46"/>
      <c r="I787" s="49" t="str">
        <f ca="1"/>
        <v>退会済</v>
      </c>
      <c r="J787" s="109" t="s">
        <v>904</v>
      </c>
      <c r="K787" s="49" t="s">
        <v>50</v>
      </c>
      <c r="L787" s="100" t="s">
        <v>51</v>
      </c>
      <c r="M787" s="107" t="s">
        <v>52</v>
      </c>
    </row>
    <row r="788" spans="1:13" ht="16">
      <c r="A788" s="101" t="str">
        <f t="shared" si="0"/>
        <v>OK</v>
      </c>
      <c r="B788" s="49">
        <v>3700003</v>
      </c>
      <c r="C788" s="49" t="s">
        <v>917</v>
      </c>
      <c r="D788" s="49" t="s">
        <v>7</v>
      </c>
      <c r="E788" s="50">
        <v>2.1000000000000001E-2</v>
      </c>
      <c r="F788" s="108">
        <v>0</v>
      </c>
      <c r="G788" s="51">
        <v>43922</v>
      </c>
      <c r="H788" s="46">
        <v>0</v>
      </c>
      <c r="I788" s="49" t="str">
        <f ca="1"/>
        <v>渋谷 雄大</v>
      </c>
      <c r="J788" s="109" t="s">
        <v>918</v>
      </c>
      <c r="K788" s="49" t="s">
        <v>50</v>
      </c>
      <c r="L788" s="100" t="s">
        <v>51</v>
      </c>
      <c r="M788" s="107" t="s">
        <v>52</v>
      </c>
    </row>
    <row r="789" spans="1:13" ht="16">
      <c r="A789" s="101" t="str">
        <f t="shared" si="0"/>
        <v>OK</v>
      </c>
      <c r="B789" s="49">
        <v>3700004</v>
      </c>
      <c r="C789" s="49" t="s">
        <v>919</v>
      </c>
      <c r="D789" s="49" t="s">
        <v>7</v>
      </c>
      <c r="E789" s="50">
        <v>2.1000000000000001E-2</v>
      </c>
      <c r="F789" s="108">
        <v>0</v>
      </c>
      <c r="G789" s="51">
        <v>43922</v>
      </c>
      <c r="H789" s="46">
        <v>0</v>
      </c>
      <c r="I789" s="49" t="str">
        <f ca="1"/>
        <v>渋谷 雄大</v>
      </c>
      <c r="J789" s="109" t="s">
        <v>918</v>
      </c>
      <c r="K789" s="49" t="s">
        <v>50</v>
      </c>
      <c r="L789" s="100" t="s">
        <v>51</v>
      </c>
      <c r="M789" s="107" t="s">
        <v>52</v>
      </c>
    </row>
    <row r="790" spans="1:13" ht="16">
      <c r="A790" s="101" t="str">
        <f t="shared" si="0"/>
        <v>OK</v>
      </c>
      <c r="B790" s="49">
        <v>3700006</v>
      </c>
      <c r="C790" s="49" t="s">
        <v>920</v>
      </c>
      <c r="D790" s="49" t="s">
        <v>7</v>
      </c>
      <c r="E790" s="50">
        <v>2.1000000000000001E-2</v>
      </c>
      <c r="F790" s="108">
        <v>0</v>
      </c>
      <c r="G790" s="51">
        <v>43922</v>
      </c>
      <c r="H790" s="46">
        <v>0</v>
      </c>
      <c r="I790" s="49" t="str">
        <f ca="1"/>
        <v>渋谷 雄大</v>
      </c>
      <c r="J790" s="109" t="s">
        <v>918</v>
      </c>
      <c r="K790" s="49" t="s">
        <v>50</v>
      </c>
      <c r="L790" s="100" t="s">
        <v>51</v>
      </c>
      <c r="M790" s="107" t="s">
        <v>52</v>
      </c>
    </row>
    <row r="791" spans="1:13" ht="16">
      <c r="A791" s="101" t="str">
        <f t="shared" si="0"/>
        <v>OK</v>
      </c>
      <c r="B791" s="49">
        <v>3700007</v>
      </c>
      <c r="C791" s="49" t="s">
        <v>921</v>
      </c>
      <c r="D791" s="49" t="s">
        <v>7</v>
      </c>
      <c r="E791" s="50">
        <v>2.1000000000000001E-2</v>
      </c>
      <c r="F791" s="108">
        <v>0</v>
      </c>
      <c r="G791" s="51">
        <v>43922</v>
      </c>
      <c r="H791" s="46">
        <v>0</v>
      </c>
      <c r="I791" s="49" t="str">
        <f ca="1"/>
        <v>渋谷 雄大</v>
      </c>
      <c r="J791" s="109" t="s">
        <v>918</v>
      </c>
      <c r="K791" s="49" t="s">
        <v>50</v>
      </c>
      <c r="L791" s="100" t="s">
        <v>51</v>
      </c>
      <c r="M791" s="107" t="s">
        <v>52</v>
      </c>
    </row>
    <row r="792" spans="1:13" ht="16">
      <c r="A792" s="101" t="str">
        <f t="shared" si="0"/>
        <v>OK</v>
      </c>
      <c r="B792" s="49">
        <v>3700008</v>
      </c>
      <c r="C792" s="49" t="s">
        <v>922</v>
      </c>
      <c r="D792" s="49" t="s">
        <v>7</v>
      </c>
      <c r="E792" s="50">
        <v>2.1000000000000001E-2</v>
      </c>
      <c r="F792" s="108">
        <v>0</v>
      </c>
      <c r="G792" s="51">
        <v>43922</v>
      </c>
      <c r="H792" s="46">
        <v>0</v>
      </c>
      <c r="I792" s="49" t="str">
        <f ca="1"/>
        <v>渋谷 雄大</v>
      </c>
      <c r="J792" s="109" t="s">
        <v>918</v>
      </c>
      <c r="K792" s="49" t="s">
        <v>50</v>
      </c>
      <c r="L792" s="100" t="s">
        <v>51</v>
      </c>
      <c r="M792" s="107" t="s">
        <v>52</v>
      </c>
    </row>
    <row r="793" spans="1:13" ht="16">
      <c r="A793" s="101" t="str">
        <f t="shared" si="0"/>
        <v>OK</v>
      </c>
      <c r="B793" s="49">
        <v>3700009</v>
      </c>
      <c r="C793" s="49" t="s">
        <v>923</v>
      </c>
      <c r="D793" s="49" t="s">
        <v>7</v>
      </c>
      <c r="E793" s="50">
        <v>2.1000000000000001E-2</v>
      </c>
      <c r="F793" s="108">
        <v>0</v>
      </c>
      <c r="G793" s="51">
        <v>43922</v>
      </c>
      <c r="H793" s="46">
        <v>0</v>
      </c>
      <c r="I793" s="49" t="str">
        <f ca="1"/>
        <v>渋谷 雄大</v>
      </c>
      <c r="J793" s="109" t="s">
        <v>918</v>
      </c>
      <c r="K793" s="49" t="s">
        <v>50</v>
      </c>
      <c r="L793" s="100" t="s">
        <v>51</v>
      </c>
      <c r="M793" s="107" t="s">
        <v>52</v>
      </c>
    </row>
    <row r="794" spans="1:13" ht="16">
      <c r="A794" s="101" t="str">
        <f t="shared" si="0"/>
        <v>OK</v>
      </c>
      <c r="B794" s="49">
        <v>3700010</v>
      </c>
      <c r="C794" s="49" t="s">
        <v>924</v>
      </c>
      <c r="D794" s="49" t="s">
        <v>7</v>
      </c>
      <c r="E794" s="50">
        <v>2.1000000000000001E-2</v>
      </c>
      <c r="F794" s="108">
        <v>0</v>
      </c>
      <c r="G794" s="51">
        <v>43922</v>
      </c>
      <c r="H794" s="46">
        <v>0</v>
      </c>
      <c r="I794" s="49" t="str">
        <f ca="1"/>
        <v>渋谷 雄大</v>
      </c>
      <c r="J794" s="109" t="s">
        <v>918</v>
      </c>
      <c r="K794" s="49" t="s">
        <v>50</v>
      </c>
      <c r="L794" s="100" t="s">
        <v>51</v>
      </c>
      <c r="M794" s="107" t="s">
        <v>52</v>
      </c>
    </row>
    <row r="795" spans="1:13" ht="16">
      <c r="A795" s="101" t="str">
        <f t="shared" si="0"/>
        <v>OK</v>
      </c>
      <c r="B795" s="49">
        <v>3700011</v>
      </c>
      <c r="C795" s="49" t="s">
        <v>925</v>
      </c>
      <c r="D795" s="49" t="s">
        <v>7</v>
      </c>
      <c r="E795" s="50">
        <v>2.1000000000000001E-2</v>
      </c>
      <c r="F795" s="108">
        <v>0</v>
      </c>
      <c r="G795" s="51">
        <v>43922</v>
      </c>
      <c r="H795" s="46">
        <v>0</v>
      </c>
      <c r="I795" s="49" t="str">
        <f ca="1"/>
        <v>渋谷 雄大</v>
      </c>
      <c r="J795" s="109" t="s">
        <v>918</v>
      </c>
      <c r="K795" s="49" t="s">
        <v>50</v>
      </c>
      <c r="L795" s="100" t="s">
        <v>51</v>
      </c>
      <c r="M795" s="107" t="s">
        <v>52</v>
      </c>
    </row>
    <row r="796" spans="1:13" ht="16">
      <c r="A796" s="101" t="str">
        <f t="shared" si="0"/>
        <v>OK</v>
      </c>
      <c r="B796" s="49">
        <v>3700012</v>
      </c>
      <c r="C796" s="49" t="s">
        <v>926</v>
      </c>
      <c r="D796" s="49" t="s">
        <v>7</v>
      </c>
      <c r="E796" s="50">
        <v>2.1000000000000001E-2</v>
      </c>
      <c r="F796" s="108">
        <v>0</v>
      </c>
      <c r="G796" s="51">
        <v>43922</v>
      </c>
      <c r="H796" s="46">
        <v>0</v>
      </c>
      <c r="I796" s="49" t="str">
        <f ca="1"/>
        <v>渋谷 雄大</v>
      </c>
      <c r="J796" s="109" t="s">
        <v>918</v>
      </c>
      <c r="K796" s="49" t="s">
        <v>50</v>
      </c>
      <c r="L796" s="100" t="s">
        <v>51</v>
      </c>
      <c r="M796" s="107" t="s">
        <v>52</v>
      </c>
    </row>
    <row r="797" spans="1:13" ht="16">
      <c r="A797" s="101" t="str">
        <f t="shared" si="0"/>
        <v>OK</v>
      </c>
      <c r="B797" s="49">
        <v>3700013</v>
      </c>
      <c r="C797" s="49" t="s">
        <v>927</v>
      </c>
      <c r="D797" s="49" t="s">
        <v>7</v>
      </c>
      <c r="E797" s="50">
        <v>2.1000000000000001E-2</v>
      </c>
      <c r="F797" s="108">
        <v>0</v>
      </c>
      <c r="G797" s="51">
        <v>43922</v>
      </c>
      <c r="H797" s="46">
        <v>0</v>
      </c>
      <c r="I797" s="49" t="str">
        <f ca="1"/>
        <v>渋谷 雄大</v>
      </c>
      <c r="J797" s="109" t="s">
        <v>918</v>
      </c>
      <c r="K797" s="49" t="s">
        <v>50</v>
      </c>
      <c r="L797" s="100" t="s">
        <v>51</v>
      </c>
      <c r="M797" s="107" t="s">
        <v>52</v>
      </c>
    </row>
    <row r="798" spans="1:13" ht="16">
      <c r="A798" s="101" t="str">
        <f t="shared" si="0"/>
        <v>OK</v>
      </c>
      <c r="B798" s="49">
        <v>3700014</v>
      </c>
      <c r="C798" s="49" t="s">
        <v>928</v>
      </c>
      <c r="D798" s="49" t="s">
        <v>7</v>
      </c>
      <c r="E798" s="50">
        <v>2.1000000000000001E-2</v>
      </c>
      <c r="F798" s="108">
        <v>0</v>
      </c>
      <c r="G798" s="51">
        <v>43922</v>
      </c>
      <c r="H798" s="46">
        <v>0</v>
      </c>
      <c r="I798" s="49" t="str">
        <f ca="1"/>
        <v>渋谷 雄大</v>
      </c>
      <c r="J798" s="109" t="s">
        <v>918</v>
      </c>
      <c r="K798" s="49" t="s">
        <v>50</v>
      </c>
      <c r="L798" s="100" t="s">
        <v>51</v>
      </c>
      <c r="M798" s="107" t="s">
        <v>52</v>
      </c>
    </row>
    <row r="799" spans="1:13" ht="16">
      <c r="A799" s="101" t="str">
        <f t="shared" si="0"/>
        <v>OK</v>
      </c>
      <c r="B799" s="49">
        <v>3700015</v>
      </c>
      <c r="C799" s="49" t="s">
        <v>929</v>
      </c>
      <c r="D799" s="49" t="s">
        <v>7</v>
      </c>
      <c r="E799" s="50">
        <v>2.1000000000000001E-2</v>
      </c>
      <c r="F799" s="108">
        <v>0</v>
      </c>
      <c r="G799" s="51">
        <v>43922</v>
      </c>
      <c r="H799" s="46">
        <v>0</v>
      </c>
      <c r="I799" s="49" t="str">
        <f ca="1"/>
        <v>渋谷 雄大</v>
      </c>
      <c r="J799" s="109" t="s">
        <v>918</v>
      </c>
      <c r="K799" s="49" t="s">
        <v>50</v>
      </c>
      <c r="L799" s="100" t="s">
        <v>51</v>
      </c>
      <c r="M799" s="107" t="s">
        <v>52</v>
      </c>
    </row>
    <row r="800" spans="1:13" ht="16">
      <c r="A800" s="101" t="str">
        <f t="shared" si="0"/>
        <v>OK</v>
      </c>
      <c r="B800" s="49">
        <v>3700016</v>
      </c>
      <c r="C800" s="49" t="s">
        <v>930</v>
      </c>
      <c r="D800" s="49" t="s">
        <v>7</v>
      </c>
      <c r="E800" s="50">
        <v>2.1000000000000001E-2</v>
      </c>
      <c r="F800" s="108">
        <v>0</v>
      </c>
      <c r="G800" s="51">
        <v>43922</v>
      </c>
      <c r="H800" s="46">
        <v>0</v>
      </c>
      <c r="I800" s="49" t="str">
        <f ca="1"/>
        <v>渋谷 雄大</v>
      </c>
      <c r="J800" s="109" t="s">
        <v>918</v>
      </c>
      <c r="K800" s="49" t="s">
        <v>50</v>
      </c>
      <c r="L800" s="100" t="s">
        <v>51</v>
      </c>
      <c r="M800" s="107" t="s">
        <v>52</v>
      </c>
    </row>
    <row r="801" spans="1:13" ht="16">
      <c r="A801" s="101" t="str">
        <f t="shared" si="0"/>
        <v>OK</v>
      </c>
      <c r="B801" s="49">
        <v>3700017</v>
      </c>
      <c r="C801" s="49" t="s">
        <v>931</v>
      </c>
      <c r="D801" s="49" t="s">
        <v>7</v>
      </c>
      <c r="E801" s="50">
        <v>2.1000000000000001E-2</v>
      </c>
      <c r="F801" s="108">
        <v>0</v>
      </c>
      <c r="G801" s="51">
        <v>43922</v>
      </c>
      <c r="H801" s="46">
        <v>0</v>
      </c>
      <c r="I801" s="49" t="str">
        <f ca="1"/>
        <v>渋谷 雄大</v>
      </c>
      <c r="J801" s="109" t="s">
        <v>918</v>
      </c>
      <c r="K801" s="49" t="s">
        <v>50</v>
      </c>
      <c r="L801" s="100" t="s">
        <v>51</v>
      </c>
      <c r="M801" s="107" t="s">
        <v>52</v>
      </c>
    </row>
    <row r="802" spans="1:13" ht="16">
      <c r="A802" s="101" t="str">
        <f t="shared" si="0"/>
        <v>OK</v>
      </c>
      <c r="B802" s="49">
        <v>3700018</v>
      </c>
      <c r="C802" s="49" t="s">
        <v>932</v>
      </c>
      <c r="D802" s="49" t="s">
        <v>7</v>
      </c>
      <c r="E802" s="50">
        <v>2.1000000000000001E-2</v>
      </c>
      <c r="F802" s="108">
        <v>0</v>
      </c>
      <c r="G802" s="51">
        <v>43922</v>
      </c>
      <c r="H802" s="46">
        <v>0</v>
      </c>
      <c r="I802" s="49" t="str">
        <f ca="1"/>
        <v>渋谷 雄大</v>
      </c>
      <c r="J802" s="109" t="s">
        <v>918</v>
      </c>
      <c r="K802" s="49" t="s">
        <v>50</v>
      </c>
      <c r="L802" s="100" t="s">
        <v>51</v>
      </c>
      <c r="M802" s="107" t="s">
        <v>52</v>
      </c>
    </row>
    <row r="803" spans="1:13" ht="16">
      <c r="A803" s="101" t="str">
        <f t="shared" si="0"/>
        <v>OK</v>
      </c>
      <c r="B803" s="49">
        <v>3700019</v>
      </c>
      <c r="C803" s="49" t="s">
        <v>933</v>
      </c>
      <c r="D803" s="49" t="s">
        <v>7</v>
      </c>
      <c r="E803" s="50">
        <v>2.1000000000000001E-2</v>
      </c>
      <c r="F803" s="108">
        <v>0</v>
      </c>
      <c r="G803" s="51">
        <v>43922</v>
      </c>
      <c r="H803" s="46">
        <v>0</v>
      </c>
      <c r="I803" s="49" t="str">
        <f ca="1"/>
        <v>渋谷 雄大</v>
      </c>
      <c r="J803" s="109" t="s">
        <v>918</v>
      </c>
      <c r="K803" s="49" t="s">
        <v>50</v>
      </c>
      <c r="L803" s="100" t="s">
        <v>51</v>
      </c>
      <c r="M803" s="107" t="s">
        <v>52</v>
      </c>
    </row>
    <row r="804" spans="1:13" ht="16">
      <c r="A804" s="101" t="str">
        <f t="shared" si="0"/>
        <v>OK</v>
      </c>
      <c r="B804" s="49">
        <v>3700020</v>
      </c>
      <c r="C804" s="49" t="s">
        <v>934</v>
      </c>
      <c r="D804" s="49" t="s">
        <v>7</v>
      </c>
      <c r="E804" s="50">
        <v>2.1000000000000001E-2</v>
      </c>
      <c r="F804" s="108">
        <v>0</v>
      </c>
      <c r="G804" s="51">
        <v>43922</v>
      </c>
      <c r="H804" s="46">
        <v>0</v>
      </c>
      <c r="I804" s="49" t="str">
        <f ca="1"/>
        <v>渋谷 雄大</v>
      </c>
      <c r="J804" s="109" t="s">
        <v>918</v>
      </c>
      <c r="K804" s="49" t="s">
        <v>50</v>
      </c>
      <c r="L804" s="100" t="s">
        <v>51</v>
      </c>
      <c r="M804" s="107" t="s">
        <v>52</v>
      </c>
    </row>
    <row r="805" spans="1:13" ht="16">
      <c r="A805" s="101" t="str">
        <f t="shared" si="0"/>
        <v>OK</v>
      </c>
      <c r="B805" s="49">
        <v>3700021</v>
      </c>
      <c r="C805" s="49" t="s">
        <v>935</v>
      </c>
      <c r="D805" s="49" t="s">
        <v>7</v>
      </c>
      <c r="E805" s="50">
        <v>2.1000000000000001E-2</v>
      </c>
      <c r="F805" s="108">
        <v>0</v>
      </c>
      <c r="G805" s="51">
        <v>43922</v>
      </c>
      <c r="H805" s="46">
        <v>0</v>
      </c>
      <c r="I805" s="49" t="str">
        <f ca="1"/>
        <v>渋谷 雄大</v>
      </c>
      <c r="J805" s="109" t="s">
        <v>918</v>
      </c>
      <c r="K805" s="49" t="s">
        <v>50</v>
      </c>
      <c r="L805" s="100" t="s">
        <v>51</v>
      </c>
      <c r="M805" s="107" t="s">
        <v>52</v>
      </c>
    </row>
    <row r="806" spans="1:13" ht="16">
      <c r="A806" s="101" t="str">
        <f t="shared" si="0"/>
        <v>OK</v>
      </c>
      <c r="B806" s="49">
        <v>3700022</v>
      </c>
      <c r="C806" s="49" t="s">
        <v>936</v>
      </c>
      <c r="D806" s="49" t="s">
        <v>7</v>
      </c>
      <c r="E806" s="50">
        <v>2.1000000000000001E-2</v>
      </c>
      <c r="F806" s="108">
        <v>83</v>
      </c>
      <c r="G806" s="51">
        <v>43922</v>
      </c>
      <c r="H806" s="46">
        <v>0</v>
      </c>
      <c r="I806" s="49" t="str">
        <f ca="1"/>
        <v>渋谷 雄大</v>
      </c>
      <c r="J806" s="109" t="s">
        <v>918</v>
      </c>
      <c r="K806" s="49" t="s">
        <v>50</v>
      </c>
      <c r="L806" s="100" t="s">
        <v>51</v>
      </c>
      <c r="M806" s="107" t="s">
        <v>52</v>
      </c>
    </row>
    <row r="807" spans="1:13" ht="16">
      <c r="A807" s="101" t="str">
        <f t="shared" si="0"/>
        <v>OK</v>
      </c>
      <c r="B807" s="49">
        <v>3700023</v>
      </c>
      <c r="C807" s="49" t="s">
        <v>937</v>
      </c>
      <c r="D807" s="49" t="s">
        <v>7</v>
      </c>
      <c r="E807" s="50">
        <v>2.1000000000000001E-2</v>
      </c>
      <c r="F807" s="108">
        <v>79</v>
      </c>
      <c r="G807" s="51">
        <v>43922</v>
      </c>
      <c r="H807" s="46">
        <v>0</v>
      </c>
      <c r="I807" s="49" t="str">
        <f ca="1"/>
        <v>渋谷 雄大</v>
      </c>
      <c r="J807" s="109" t="s">
        <v>918</v>
      </c>
      <c r="K807" s="49" t="s">
        <v>50</v>
      </c>
      <c r="L807" s="100" t="s">
        <v>51</v>
      </c>
      <c r="M807" s="107" t="s">
        <v>52</v>
      </c>
    </row>
    <row r="808" spans="1:13" ht="16">
      <c r="A808" s="101" t="str">
        <f t="shared" si="0"/>
        <v>OK</v>
      </c>
      <c r="B808" s="49">
        <v>3700024</v>
      </c>
      <c r="C808" s="49" t="s">
        <v>938</v>
      </c>
      <c r="D808" s="49" t="s">
        <v>7</v>
      </c>
      <c r="E808" s="50">
        <v>2.1000000000000001E-2</v>
      </c>
      <c r="F808" s="108">
        <v>82</v>
      </c>
      <c r="G808" s="51">
        <v>43922</v>
      </c>
      <c r="H808" s="46">
        <v>0</v>
      </c>
      <c r="I808" s="49" t="str">
        <f ca="1"/>
        <v>渋谷 雄大</v>
      </c>
      <c r="J808" s="109" t="s">
        <v>918</v>
      </c>
      <c r="K808" s="49" t="s">
        <v>50</v>
      </c>
      <c r="L808" s="100" t="s">
        <v>51</v>
      </c>
      <c r="M808" s="107" t="s">
        <v>52</v>
      </c>
    </row>
    <row r="809" spans="1:13" ht="16">
      <c r="A809" s="101" t="str">
        <f t="shared" si="0"/>
        <v>OK</v>
      </c>
      <c r="B809" s="49">
        <v>3700025</v>
      </c>
      <c r="C809" s="49" t="s">
        <v>939</v>
      </c>
      <c r="D809" s="49" t="s">
        <v>7</v>
      </c>
      <c r="E809" s="50">
        <v>2.1000000000000001E-2</v>
      </c>
      <c r="F809" s="108">
        <v>162</v>
      </c>
      <c r="G809" s="51">
        <v>43922</v>
      </c>
      <c r="H809" s="46">
        <v>0</v>
      </c>
      <c r="I809" s="49" t="str">
        <f ca="1"/>
        <v>渋谷 雄大</v>
      </c>
      <c r="J809" s="109" t="s">
        <v>918</v>
      </c>
      <c r="K809" s="49" t="s">
        <v>50</v>
      </c>
      <c r="L809" s="100" t="s">
        <v>51</v>
      </c>
      <c r="M809" s="107" t="s">
        <v>52</v>
      </c>
    </row>
    <row r="810" spans="1:13" ht="16">
      <c r="A810" s="101" t="str">
        <f t="shared" si="0"/>
        <v>OK</v>
      </c>
      <c r="B810" s="49">
        <v>3700026</v>
      </c>
      <c r="C810" s="49" t="s">
        <v>940</v>
      </c>
      <c r="D810" s="49" t="s">
        <v>7</v>
      </c>
      <c r="E810" s="50">
        <v>2.1000000000000001E-2</v>
      </c>
      <c r="F810" s="108">
        <v>310</v>
      </c>
      <c r="G810" s="51">
        <v>43922</v>
      </c>
      <c r="H810" s="46">
        <v>0</v>
      </c>
      <c r="I810" s="49" t="str">
        <f ca="1"/>
        <v>渋谷 雄大</v>
      </c>
      <c r="J810" s="109" t="s">
        <v>918</v>
      </c>
      <c r="K810" s="49" t="s">
        <v>50</v>
      </c>
      <c r="L810" s="100" t="s">
        <v>51</v>
      </c>
      <c r="M810" s="107" t="s">
        <v>52</v>
      </c>
    </row>
    <row r="811" spans="1:13" ht="16">
      <c r="A811" s="101" t="str">
        <f t="shared" si="0"/>
        <v>OK</v>
      </c>
      <c r="B811" s="49">
        <v>3700027</v>
      </c>
      <c r="C811" s="49" t="s">
        <v>941</v>
      </c>
      <c r="D811" s="49" t="s">
        <v>7</v>
      </c>
      <c r="E811" s="50">
        <v>2.1000000000000001E-2</v>
      </c>
      <c r="F811" s="108">
        <v>97</v>
      </c>
      <c r="G811" s="51">
        <v>43922</v>
      </c>
      <c r="H811" s="46">
        <v>0</v>
      </c>
      <c r="I811" s="49" t="str">
        <f ca="1"/>
        <v>渋谷 雄大</v>
      </c>
      <c r="J811" s="109" t="s">
        <v>918</v>
      </c>
      <c r="K811" s="49" t="s">
        <v>50</v>
      </c>
      <c r="L811" s="100" t="s">
        <v>51</v>
      </c>
      <c r="M811" s="107" t="s">
        <v>52</v>
      </c>
    </row>
    <row r="812" spans="1:13" ht="16">
      <c r="A812" s="101" t="str">
        <f t="shared" si="0"/>
        <v>OK</v>
      </c>
      <c r="B812" s="49">
        <v>3700028</v>
      </c>
      <c r="C812" s="49" t="s">
        <v>942</v>
      </c>
      <c r="D812" s="49" t="s">
        <v>7</v>
      </c>
      <c r="E812" s="50">
        <v>2.1000000000000001E-2</v>
      </c>
      <c r="F812" s="108">
        <v>0</v>
      </c>
      <c r="G812" s="51">
        <v>43922</v>
      </c>
      <c r="H812" s="46">
        <v>0</v>
      </c>
      <c r="I812" s="49" t="str">
        <f ca="1"/>
        <v>渋谷 雄大</v>
      </c>
      <c r="J812" s="109" t="s">
        <v>918</v>
      </c>
      <c r="K812" s="49" t="s">
        <v>50</v>
      </c>
      <c r="L812" s="100" t="s">
        <v>51</v>
      </c>
      <c r="M812" s="107" t="s">
        <v>52</v>
      </c>
    </row>
    <row r="813" spans="1:13" ht="16">
      <c r="A813" s="101" t="str">
        <f t="shared" si="0"/>
        <v>OK</v>
      </c>
      <c r="B813" s="49">
        <v>3700029</v>
      </c>
      <c r="C813" s="49" t="s">
        <v>943</v>
      </c>
      <c r="D813" s="49" t="s">
        <v>7</v>
      </c>
      <c r="E813" s="50">
        <v>2.1000000000000001E-2</v>
      </c>
      <c r="F813" s="108">
        <v>0</v>
      </c>
      <c r="G813" s="51">
        <v>43922</v>
      </c>
      <c r="H813" s="46">
        <v>0</v>
      </c>
      <c r="I813" s="49" t="str">
        <f ca="1"/>
        <v>渋谷 雄大</v>
      </c>
      <c r="J813" s="109" t="s">
        <v>918</v>
      </c>
      <c r="K813" s="49" t="s">
        <v>50</v>
      </c>
      <c r="L813" s="100" t="s">
        <v>51</v>
      </c>
      <c r="M813" s="107" t="s">
        <v>52</v>
      </c>
    </row>
    <row r="814" spans="1:13" ht="16">
      <c r="A814" s="101" t="str">
        <f t="shared" si="0"/>
        <v>OK</v>
      </c>
      <c r="B814" s="49">
        <v>3700030</v>
      </c>
      <c r="C814" s="49" t="s">
        <v>944</v>
      </c>
      <c r="D814" s="49" t="s">
        <v>7</v>
      </c>
      <c r="E814" s="50">
        <v>2.1000000000000001E-2</v>
      </c>
      <c r="F814" s="108">
        <v>0</v>
      </c>
      <c r="G814" s="51">
        <v>43922</v>
      </c>
      <c r="H814" s="46">
        <v>0</v>
      </c>
      <c r="I814" s="49" t="str">
        <f ca="1"/>
        <v>渋谷 雄大</v>
      </c>
      <c r="J814" s="109" t="s">
        <v>918</v>
      </c>
      <c r="K814" s="49" t="s">
        <v>50</v>
      </c>
      <c r="L814" s="100" t="s">
        <v>51</v>
      </c>
      <c r="M814" s="107" t="s">
        <v>52</v>
      </c>
    </row>
    <row r="815" spans="1:13" ht="16">
      <c r="A815" s="101" t="str">
        <f t="shared" si="0"/>
        <v>OK</v>
      </c>
      <c r="B815" s="49">
        <v>3700031</v>
      </c>
      <c r="C815" s="49" t="s">
        <v>945</v>
      </c>
      <c r="D815" s="49" t="s">
        <v>7</v>
      </c>
      <c r="E815" s="50">
        <v>2.1000000000000001E-2</v>
      </c>
      <c r="F815" s="108">
        <v>315</v>
      </c>
      <c r="G815" s="51">
        <v>43922</v>
      </c>
      <c r="H815" s="46">
        <v>0</v>
      </c>
      <c r="I815" s="49" t="str">
        <f ca="1"/>
        <v>渋谷 雄大</v>
      </c>
      <c r="J815" s="109" t="s">
        <v>918</v>
      </c>
      <c r="K815" s="49" t="s">
        <v>50</v>
      </c>
      <c r="L815" s="100" t="s">
        <v>51</v>
      </c>
      <c r="M815" s="107" t="s">
        <v>52</v>
      </c>
    </row>
    <row r="816" spans="1:13" ht="16">
      <c r="A816" s="101" t="str">
        <f t="shared" si="0"/>
        <v>OK</v>
      </c>
      <c r="B816" s="49">
        <v>3700032</v>
      </c>
      <c r="C816" s="49" t="s">
        <v>946</v>
      </c>
      <c r="D816" s="49" t="s">
        <v>7</v>
      </c>
      <c r="E816" s="50">
        <v>2.1000000000000001E-2</v>
      </c>
      <c r="F816" s="108">
        <v>65</v>
      </c>
      <c r="G816" s="51">
        <v>43922</v>
      </c>
      <c r="H816" s="46">
        <v>0</v>
      </c>
      <c r="I816" s="49" t="str">
        <f ca="1"/>
        <v>渋谷 雄大</v>
      </c>
      <c r="J816" s="109" t="s">
        <v>918</v>
      </c>
      <c r="K816" s="49" t="s">
        <v>50</v>
      </c>
      <c r="L816" s="100" t="s">
        <v>51</v>
      </c>
      <c r="M816" s="107" t="s">
        <v>52</v>
      </c>
    </row>
    <row r="817" spans="1:13" ht="16">
      <c r="A817" s="101" t="str">
        <f t="shared" si="0"/>
        <v>OK</v>
      </c>
      <c r="B817" s="49">
        <v>3700033</v>
      </c>
      <c r="C817" s="49" t="s">
        <v>947</v>
      </c>
      <c r="D817" s="49" t="s">
        <v>7</v>
      </c>
      <c r="E817" s="50">
        <v>2.1000000000000001E-2</v>
      </c>
      <c r="F817" s="108">
        <v>0</v>
      </c>
      <c r="G817" s="51">
        <v>43922</v>
      </c>
      <c r="H817" s="46">
        <v>0</v>
      </c>
      <c r="I817" s="49" t="str">
        <f ca="1"/>
        <v>渋谷 雄大</v>
      </c>
      <c r="J817" s="109" t="s">
        <v>918</v>
      </c>
      <c r="K817" s="49" t="s">
        <v>50</v>
      </c>
      <c r="L817" s="100" t="s">
        <v>51</v>
      </c>
      <c r="M817" s="107" t="s">
        <v>52</v>
      </c>
    </row>
    <row r="818" spans="1:13" ht="16">
      <c r="A818" s="101" t="str">
        <f t="shared" si="0"/>
        <v>OK</v>
      </c>
      <c r="B818" s="49">
        <v>3700035</v>
      </c>
      <c r="C818" s="49" t="s">
        <v>948</v>
      </c>
      <c r="D818" s="49" t="s">
        <v>7</v>
      </c>
      <c r="E818" s="50">
        <v>2.1000000000000001E-2</v>
      </c>
      <c r="F818" s="108">
        <v>168</v>
      </c>
      <c r="G818" s="51">
        <v>43922</v>
      </c>
      <c r="H818" s="46">
        <v>0</v>
      </c>
      <c r="I818" s="49" t="str">
        <f ca="1"/>
        <v>渋谷 雄大</v>
      </c>
      <c r="J818" s="109" t="s">
        <v>918</v>
      </c>
      <c r="K818" s="49" t="s">
        <v>50</v>
      </c>
      <c r="L818" s="100" t="s">
        <v>51</v>
      </c>
      <c r="M818" s="107" t="s">
        <v>52</v>
      </c>
    </row>
    <row r="819" spans="1:13" ht="16">
      <c r="A819" s="101" t="str">
        <f t="shared" si="0"/>
        <v>OK</v>
      </c>
      <c r="B819" s="49">
        <v>3700037</v>
      </c>
      <c r="C819" s="49" t="s">
        <v>949</v>
      </c>
      <c r="D819" s="49" t="s">
        <v>7</v>
      </c>
      <c r="E819" s="50">
        <v>2.1000000000000001E-2</v>
      </c>
      <c r="F819" s="108">
        <v>135</v>
      </c>
      <c r="G819" s="51">
        <v>43922</v>
      </c>
      <c r="H819" s="46">
        <v>0</v>
      </c>
      <c r="I819" s="49" t="str">
        <f ca="1"/>
        <v>渋谷 雄大</v>
      </c>
      <c r="J819" s="109" t="s">
        <v>918</v>
      </c>
      <c r="K819" s="49" t="s">
        <v>50</v>
      </c>
      <c r="L819" s="100" t="s">
        <v>51</v>
      </c>
      <c r="M819" s="107" t="s">
        <v>52</v>
      </c>
    </row>
    <row r="820" spans="1:13" ht="16">
      <c r="A820" s="101" t="str">
        <f t="shared" si="0"/>
        <v>OK</v>
      </c>
      <c r="B820" s="49">
        <v>3700038</v>
      </c>
      <c r="C820" s="49" t="s">
        <v>950</v>
      </c>
      <c r="D820" s="49" t="s">
        <v>7</v>
      </c>
      <c r="E820" s="50">
        <v>2.1000000000000001E-2</v>
      </c>
      <c r="F820" s="108">
        <v>0</v>
      </c>
      <c r="G820" s="51">
        <v>43922</v>
      </c>
      <c r="H820" s="46">
        <v>0</v>
      </c>
      <c r="I820" s="49" t="str">
        <f ca="1"/>
        <v>渋谷 雄大</v>
      </c>
      <c r="J820" s="109" t="s">
        <v>918</v>
      </c>
      <c r="K820" s="49" t="s">
        <v>50</v>
      </c>
      <c r="L820" s="100" t="s">
        <v>51</v>
      </c>
      <c r="M820" s="107" t="s">
        <v>52</v>
      </c>
    </row>
    <row r="821" spans="1:13" ht="16">
      <c r="A821" s="101" t="str">
        <f t="shared" si="0"/>
        <v>OK</v>
      </c>
      <c r="B821" s="49">
        <v>3700041</v>
      </c>
      <c r="C821" s="49" t="s">
        <v>951</v>
      </c>
      <c r="D821" s="49" t="s">
        <v>7</v>
      </c>
      <c r="E821" s="50">
        <v>2.1000000000000001E-2</v>
      </c>
      <c r="F821" s="108">
        <v>0</v>
      </c>
      <c r="G821" s="51">
        <v>43922</v>
      </c>
      <c r="H821" s="46">
        <v>0</v>
      </c>
      <c r="I821" s="49" t="str">
        <f ca="1"/>
        <v>渋谷 雄大</v>
      </c>
      <c r="J821" s="109" t="s">
        <v>918</v>
      </c>
      <c r="K821" s="49" t="s">
        <v>50</v>
      </c>
      <c r="L821" s="100" t="s">
        <v>51</v>
      </c>
      <c r="M821" s="107" t="s">
        <v>52</v>
      </c>
    </row>
    <row r="822" spans="1:13" ht="16">
      <c r="A822" s="101" t="str">
        <f t="shared" si="0"/>
        <v>OK</v>
      </c>
      <c r="B822" s="49">
        <v>3700042</v>
      </c>
      <c r="C822" s="49" t="s">
        <v>952</v>
      </c>
      <c r="D822" s="49" t="s">
        <v>7</v>
      </c>
      <c r="E822" s="50">
        <v>2.1000000000000001E-2</v>
      </c>
      <c r="F822" s="108">
        <v>0</v>
      </c>
      <c r="G822" s="51">
        <v>43922</v>
      </c>
      <c r="H822" s="46">
        <v>0</v>
      </c>
      <c r="I822" s="49" t="str">
        <f ca="1"/>
        <v>渋谷 雄大</v>
      </c>
      <c r="J822" s="109" t="s">
        <v>918</v>
      </c>
      <c r="K822" s="49" t="s">
        <v>50</v>
      </c>
      <c r="L822" s="100" t="s">
        <v>51</v>
      </c>
      <c r="M822" s="107" t="s">
        <v>52</v>
      </c>
    </row>
    <row r="823" spans="1:13" ht="16">
      <c r="A823" s="101" t="str">
        <f t="shared" si="0"/>
        <v>OK</v>
      </c>
      <c r="B823" s="49">
        <v>3700044</v>
      </c>
      <c r="C823" s="49" t="s">
        <v>953</v>
      </c>
      <c r="D823" s="49" t="s">
        <v>7</v>
      </c>
      <c r="E823" s="50">
        <v>2.1000000000000001E-2</v>
      </c>
      <c r="F823" s="108">
        <v>0</v>
      </c>
      <c r="G823" s="51">
        <v>43922</v>
      </c>
      <c r="H823" s="46">
        <v>0</v>
      </c>
      <c r="I823" s="49" t="str">
        <f ca="1"/>
        <v>渋谷 雄大</v>
      </c>
      <c r="J823" s="109" t="s">
        <v>918</v>
      </c>
      <c r="K823" s="49" t="s">
        <v>50</v>
      </c>
      <c r="L823" s="100" t="s">
        <v>51</v>
      </c>
      <c r="M823" s="107" t="s">
        <v>52</v>
      </c>
    </row>
    <row r="824" spans="1:13" ht="16">
      <c r="A824" s="101" t="str">
        <f t="shared" si="0"/>
        <v>OK</v>
      </c>
      <c r="B824" s="49">
        <v>3700045</v>
      </c>
      <c r="C824" s="49" t="s">
        <v>954</v>
      </c>
      <c r="D824" s="49" t="s">
        <v>7</v>
      </c>
      <c r="E824" s="50">
        <v>2.1000000000000001E-2</v>
      </c>
      <c r="F824" s="108">
        <v>239</v>
      </c>
      <c r="G824" s="51">
        <v>43922</v>
      </c>
      <c r="H824" s="46">
        <v>0</v>
      </c>
      <c r="I824" s="49" t="str">
        <f ca="1"/>
        <v>渋谷 雄大</v>
      </c>
      <c r="J824" s="109" t="s">
        <v>918</v>
      </c>
      <c r="K824" s="49" t="s">
        <v>50</v>
      </c>
      <c r="L824" s="100" t="s">
        <v>51</v>
      </c>
      <c r="M824" s="107" t="s">
        <v>52</v>
      </c>
    </row>
    <row r="825" spans="1:13" ht="16">
      <c r="A825" s="101" t="str">
        <f t="shared" si="0"/>
        <v>OK</v>
      </c>
      <c r="B825" s="49">
        <v>3700047</v>
      </c>
      <c r="C825" s="49" t="s">
        <v>955</v>
      </c>
      <c r="D825" s="49" t="s">
        <v>7</v>
      </c>
      <c r="E825" s="50">
        <v>2.1000000000000001E-2</v>
      </c>
      <c r="F825" s="108">
        <v>0</v>
      </c>
      <c r="G825" s="51">
        <v>43922</v>
      </c>
      <c r="H825" s="46">
        <v>0</v>
      </c>
      <c r="I825" s="49" t="str">
        <f ca="1"/>
        <v>渋谷 雄大</v>
      </c>
      <c r="J825" s="109" t="s">
        <v>918</v>
      </c>
      <c r="K825" s="49" t="s">
        <v>50</v>
      </c>
      <c r="L825" s="100" t="s">
        <v>51</v>
      </c>
      <c r="M825" s="107" t="s">
        <v>52</v>
      </c>
    </row>
    <row r="826" spans="1:13" ht="16">
      <c r="A826" s="101" t="str">
        <f t="shared" si="0"/>
        <v>OK</v>
      </c>
      <c r="B826" s="49">
        <v>3700049</v>
      </c>
      <c r="C826" s="49" t="s">
        <v>956</v>
      </c>
      <c r="D826" s="49" t="s">
        <v>7</v>
      </c>
      <c r="E826" s="50">
        <v>2.1000000000000001E-2</v>
      </c>
      <c r="F826" s="108">
        <v>0</v>
      </c>
      <c r="G826" s="51">
        <v>43922</v>
      </c>
      <c r="H826" s="46">
        <v>0</v>
      </c>
      <c r="I826" s="49" t="str">
        <f ca="1"/>
        <v>渋谷 雄大</v>
      </c>
      <c r="J826" s="109" t="s">
        <v>918</v>
      </c>
      <c r="K826" s="49" t="s">
        <v>50</v>
      </c>
      <c r="L826" s="100" t="s">
        <v>51</v>
      </c>
      <c r="M826" s="107" t="s">
        <v>52</v>
      </c>
    </row>
    <row r="827" spans="1:13" ht="16">
      <c r="A827" s="101" t="str">
        <f t="shared" si="0"/>
        <v>OK</v>
      </c>
      <c r="B827" s="49">
        <v>3700050</v>
      </c>
      <c r="C827" s="49" t="s">
        <v>957</v>
      </c>
      <c r="D827" s="49" t="s">
        <v>7</v>
      </c>
      <c r="E827" s="50">
        <v>2.1000000000000001E-2</v>
      </c>
      <c r="F827" s="108">
        <v>164</v>
      </c>
      <c r="G827" s="51">
        <v>43922</v>
      </c>
      <c r="H827" s="46">
        <v>0</v>
      </c>
      <c r="I827" s="49" t="str">
        <f ca="1"/>
        <v>渋谷 雄大</v>
      </c>
      <c r="J827" s="109" t="s">
        <v>918</v>
      </c>
      <c r="K827" s="49" t="s">
        <v>50</v>
      </c>
      <c r="L827" s="100" t="s">
        <v>51</v>
      </c>
      <c r="M827" s="107" t="s">
        <v>52</v>
      </c>
    </row>
    <row r="828" spans="1:13" ht="16">
      <c r="A828" s="101" t="str">
        <f t="shared" si="0"/>
        <v>OK</v>
      </c>
      <c r="B828" s="49">
        <v>3700051</v>
      </c>
      <c r="C828" s="49" t="s">
        <v>958</v>
      </c>
      <c r="D828" s="49" t="s">
        <v>7</v>
      </c>
      <c r="E828" s="50">
        <v>2.1000000000000001E-2</v>
      </c>
      <c r="F828" s="108">
        <v>0</v>
      </c>
      <c r="G828" s="51">
        <v>43922</v>
      </c>
      <c r="H828" s="46">
        <v>0</v>
      </c>
      <c r="I828" s="49" t="str">
        <f ca="1"/>
        <v>渋谷 雄大</v>
      </c>
      <c r="J828" s="109" t="s">
        <v>918</v>
      </c>
      <c r="K828" s="49" t="s">
        <v>50</v>
      </c>
      <c r="L828" s="100" t="s">
        <v>51</v>
      </c>
      <c r="M828" s="107" t="s">
        <v>52</v>
      </c>
    </row>
    <row r="829" spans="1:13" ht="16">
      <c r="A829" s="101" t="str">
        <f t="shared" si="0"/>
        <v>OK</v>
      </c>
      <c r="B829" s="49">
        <v>3700052</v>
      </c>
      <c r="C829" s="49" t="s">
        <v>959</v>
      </c>
      <c r="D829" s="49" t="s">
        <v>7</v>
      </c>
      <c r="E829" s="50">
        <v>2.1000000000000001E-2</v>
      </c>
      <c r="F829" s="108">
        <v>111</v>
      </c>
      <c r="G829" s="51">
        <v>43922</v>
      </c>
      <c r="H829" s="46">
        <v>0</v>
      </c>
      <c r="I829" s="49" t="str">
        <f ca="1"/>
        <v>渋谷 雄大</v>
      </c>
      <c r="J829" s="109" t="s">
        <v>918</v>
      </c>
      <c r="K829" s="49" t="s">
        <v>50</v>
      </c>
      <c r="L829" s="100" t="s">
        <v>51</v>
      </c>
      <c r="M829" s="107" t="s">
        <v>52</v>
      </c>
    </row>
    <row r="830" spans="1:13" ht="16">
      <c r="A830" s="101" t="str">
        <f t="shared" si="0"/>
        <v>OK</v>
      </c>
      <c r="B830" s="49">
        <v>3700053</v>
      </c>
      <c r="C830" s="49" t="s">
        <v>960</v>
      </c>
      <c r="D830" s="49" t="s">
        <v>7</v>
      </c>
      <c r="E830" s="50">
        <v>2.1000000000000001E-2</v>
      </c>
      <c r="F830" s="108">
        <v>0</v>
      </c>
      <c r="G830" s="51">
        <v>43922</v>
      </c>
      <c r="H830" s="46">
        <v>0</v>
      </c>
      <c r="I830" s="49" t="str">
        <f ca="1"/>
        <v>渋谷 雄大</v>
      </c>
      <c r="J830" s="109" t="s">
        <v>918</v>
      </c>
      <c r="K830" s="49" t="s">
        <v>50</v>
      </c>
      <c r="L830" s="100" t="s">
        <v>51</v>
      </c>
      <c r="M830" s="107" t="s">
        <v>52</v>
      </c>
    </row>
    <row r="831" spans="1:13" ht="16">
      <c r="A831" s="101" t="str">
        <f t="shared" si="0"/>
        <v>OK</v>
      </c>
      <c r="B831" s="49">
        <v>3700054</v>
      </c>
      <c r="C831" s="49" t="s">
        <v>961</v>
      </c>
      <c r="D831" s="49" t="s">
        <v>7</v>
      </c>
      <c r="E831" s="50">
        <v>2.1000000000000001E-2</v>
      </c>
      <c r="F831" s="108">
        <v>0</v>
      </c>
      <c r="G831" s="51">
        <v>43922</v>
      </c>
      <c r="H831" s="46">
        <v>0</v>
      </c>
      <c r="I831" s="49" t="str">
        <f ca="1"/>
        <v>渋谷 雄大</v>
      </c>
      <c r="J831" s="109" t="s">
        <v>918</v>
      </c>
      <c r="K831" s="49" t="s">
        <v>50</v>
      </c>
      <c r="L831" s="100" t="s">
        <v>51</v>
      </c>
      <c r="M831" s="107" t="s">
        <v>52</v>
      </c>
    </row>
    <row r="832" spans="1:13" ht="16">
      <c r="A832" s="101" t="str">
        <f t="shared" si="0"/>
        <v>OK</v>
      </c>
      <c r="B832" s="49">
        <v>3700055</v>
      </c>
      <c r="C832" s="49" t="s">
        <v>962</v>
      </c>
      <c r="D832" s="49" t="s">
        <v>7</v>
      </c>
      <c r="E832" s="50">
        <v>2.1000000000000001E-2</v>
      </c>
      <c r="F832" s="108">
        <v>0</v>
      </c>
      <c r="G832" s="51">
        <v>43922</v>
      </c>
      <c r="H832" s="46">
        <v>0</v>
      </c>
      <c r="I832" s="49" t="str">
        <f ca="1"/>
        <v>渋谷 雄大</v>
      </c>
      <c r="J832" s="109" t="s">
        <v>918</v>
      </c>
      <c r="K832" s="49" t="s">
        <v>50</v>
      </c>
      <c r="L832" s="100" t="s">
        <v>51</v>
      </c>
      <c r="M832" s="107" t="s">
        <v>52</v>
      </c>
    </row>
    <row r="833" spans="1:13" ht="16">
      <c r="A833" s="101" t="str">
        <f t="shared" si="0"/>
        <v>OK</v>
      </c>
      <c r="B833" s="49">
        <v>3700056</v>
      </c>
      <c r="C833" s="49" t="s">
        <v>963</v>
      </c>
      <c r="D833" s="49" t="s">
        <v>7</v>
      </c>
      <c r="E833" s="50">
        <v>2.1000000000000001E-2</v>
      </c>
      <c r="F833" s="108">
        <v>0</v>
      </c>
      <c r="G833" s="51">
        <v>43922</v>
      </c>
      <c r="H833" s="46">
        <v>0</v>
      </c>
      <c r="I833" s="49" t="str">
        <f ca="1"/>
        <v>渋谷 雄大</v>
      </c>
      <c r="J833" s="109" t="s">
        <v>918</v>
      </c>
      <c r="K833" s="49" t="s">
        <v>50</v>
      </c>
      <c r="L833" s="100" t="s">
        <v>51</v>
      </c>
      <c r="M833" s="107" t="s">
        <v>52</v>
      </c>
    </row>
    <row r="834" spans="1:13" ht="16">
      <c r="A834" s="101" t="str">
        <f t="shared" si="0"/>
        <v>OK</v>
      </c>
      <c r="B834" s="49">
        <v>3700057</v>
      </c>
      <c r="C834" s="49" t="s">
        <v>964</v>
      </c>
      <c r="D834" s="49" t="s">
        <v>7</v>
      </c>
      <c r="E834" s="50">
        <v>2.1000000000000001E-2</v>
      </c>
      <c r="F834" s="108">
        <v>0</v>
      </c>
      <c r="G834" s="51">
        <v>43922</v>
      </c>
      <c r="H834" s="46">
        <v>0</v>
      </c>
      <c r="I834" s="49" t="str">
        <f ca="1"/>
        <v>渋谷 雄大</v>
      </c>
      <c r="J834" s="109" t="s">
        <v>918</v>
      </c>
      <c r="K834" s="49" t="s">
        <v>50</v>
      </c>
      <c r="L834" s="100" t="s">
        <v>51</v>
      </c>
      <c r="M834" s="107" t="s">
        <v>52</v>
      </c>
    </row>
    <row r="835" spans="1:13" ht="16">
      <c r="A835" s="101" t="str">
        <f t="shared" si="0"/>
        <v>OK</v>
      </c>
      <c r="B835" s="49">
        <v>3700058</v>
      </c>
      <c r="C835" s="49" t="s">
        <v>965</v>
      </c>
      <c r="D835" s="49" t="s">
        <v>7</v>
      </c>
      <c r="E835" s="50">
        <v>2.1000000000000001E-2</v>
      </c>
      <c r="F835" s="108">
        <v>0</v>
      </c>
      <c r="G835" s="51">
        <v>43922</v>
      </c>
      <c r="H835" s="46">
        <v>0</v>
      </c>
      <c r="I835" s="49" t="str">
        <f ca="1"/>
        <v>渋谷 雄大</v>
      </c>
      <c r="J835" s="109" t="s">
        <v>918</v>
      </c>
      <c r="K835" s="49" t="s">
        <v>50</v>
      </c>
      <c r="L835" s="100" t="s">
        <v>51</v>
      </c>
      <c r="M835" s="107" t="s">
        <v>52</v>
      </c>
    </row>
    <row r="836" spans="1:13" ht="16">
      <c r="A836" s="101" t="str">
        <f t="shared" si="0"/>
        <v>OK</v>
      </c>
      <c r="B836" s="49">
        <v>3700059</v>
      </c>
      <c r="C836" s="49" t="s">
        <v>966</v>
      </c>
      <c r="D836" s="49" t="s">
        <v>7</v>
      </c>
      <c r="E836" s="50">
        <v>2.1000000000000001E-2</v>
      </c>
      <c r="F836" s="108">
        <v>0</v>
      </c>
      <c r="G836" s="51">
        <v>43922</v>
      </c>
      <c r="H836" s="46">
        <v>0</v>
      </c>
      <c r="I836" s="49" t="str">
        <f ca="1"/>
        <v>渋谷 雄大</v>
      </c>
      <c r="J836" s="109" t="s">
        <v>918</v>
      </c>
      <c r="K836" s="49" t="s">
        <v>50</v>
      </c>
      <c r="L836" s="100" t="s">
        <v>51</v>
      </c>
      <c r="M836" s="107" t="s">
        <v>52</v>
      </c>
    </row>
    <row r="837" spans="1:13" ht="16">
      <c r="A837" s="101" t="str">
        <f t="shared" si="0"/>
        <v>OK</v>
      </c>
      <c r="B837" s="49">
        <v>3700060</v>
      </c>
      <c r="C837" s="49" t="s">
        <v>967</v>
      </c>
      <c r="D837" s="49" t="s">
        <v>7</v>
      </c>
      <c r="E837" s="50">
        <v>2.1000000000000001E-2</v>
      </c>
      <c r="F837" s="108">
        <v>0</v>
      </c>
      <c r="G837" s="51">
        <v>43922</v>
      </c>
      <c r="H837" s="46">
        <v>0</v>
      </c>
      <c r="I837" s="49" t="str">
        <f ca="1"/>
        <v>渋谷 雄大</v>
      </c>
      <c r="J837" s="109" t="s">
        <v>918</v>
      </c>
      <c r="K837" s="49" t="s">
        <v>50</v>
      </c>
      <c r="L837" s="100" t="s">
        <v>51</v>
      </c>
      <c r="M837" s="107" t="s">
        <v>52</v>
      </c>
    </row>
    <row r="838" spans="1:13" ht="16">
      <c r="A838" s="101" t="str">
        <f t="shared" si="0"/>
        <v>OK</v>
      </c>
      <c r="B838" s="49">
        <v>3700062</v>
      </c>
      <c r="C838" s="49" t="s">
        <v>968</v>
      </c>
      <c r="D838" s="49" t="s">
        <v>7</v>
      </c>
      <c r="E838" s="50">
        <v>2.1000000000000001E-2</v>
      </c>
      <c r="F838" s="108">
        <v>0</v>
      </c>
      <c r="G838" s="51">
        <v>43922</v>
      </c>
      <c r="H838" s="46">
        <v>0</v>
      </c>
      <c r="I838" s="49" t="str">
        <f ca="1"/>
        <v>渋谷 雄大</v>
      </c>
      <c r="J838" s="109" t="s">
        <v>918</v>
      </c>
      <c r="K838" s="49" t="s">
        <v>50</v>
      </c>
      <c r="L838" s="100" t="s">
        <v>51</v>
      </c>
      <c r="M838" s="107" t="s">
        <v>52</v>
      </c>
    </row>
    <row r="839" spans="1:13" ht="16">
      <c r="A839" s="101" t="str">
        <f t="shared" si="0"/>
        <v>OK</v>
      </c>
      <c r="B839" s="49">
        <v>3700063</v>
      </c>
      <c r="C839" s="49" t="s">
        <v>969</v>
      </c>
      <c r="D839" s="49" t="s">
        <v>7</v>
      </c>
      <c r="E839" s="50">
        <v>2.1000000000000001E-2</v>
      </c>
      <c r="F839" s="108">
        <v>0</v>
      </c>
      <c r="G839" s="51">
        <v>43922</v>
      </c>
      <c r="H839" s="46">
        <v>0</v>
      </c>
      <c r="I839" s="49" t="str">
        <f ca="1"/>
        <v>渋谷 雄大</v>
      </c>
      <c r="J839" s="109" t="s">
        <v>918</v>
      </c>
      <c r="K839" s="49" t="s">
        <v>50</v>
      </c>
      <c r="L839" s="100" t="s">
        <v>51</v>
      </c>
      <c r="M839" s="107" t="s">
        <v>52</v>
      </c>
    </row>
    <row r="840" spans="1:13" ht="16">
      <c r="A840" s="101" t="str">
        <f t="shared" si="0"/>
        <v>OK</v>
      </c>
      <c r="B840" s="49">
        <v>3700066</v>
      </c>
      <c r="C840" s="49" t="s">
        <v>970</v>
      </c>
      <c r="D840" s="49" t="s">
        <v>7</v>
      </c>
      <c r="E840" s="50">
        <v>2.1000000000000001E-2</v>
      </c>
      <c r="F840" s="108">
        <v>0</v>
      </c>
      <c r="G840" s="51">
        <v>43922</v>
      </c>
      <c r="H840" s="46">
        <v>0</v>
      </c>
      <c r="I840" s="49" t="str">
        <f ca="1"/>
        <v>渋谷 雄大</v>
      </c>
      <c r="J840" s="109" t="s">
        <v>918</v>
      </c>
      <c r="K840" s="49" t="s">
        <v>50</v>
      </c>
      <c r="L840" s="100" t="s">
        <v>51</v>
      </c>
      <c r="M840" s="107" t="s">
        <v>52</v>
      </c>
    </row>
    <row r="841" spans="1:13" ht="16">
      <c r="A841" s="101" t="str">
        <f t="shared" si="0"/>
        <v>OK</v>
      </c>
      <c r="B841" s="49">
        <v>3700067</v>
      </c>
      <c r="C841" s="49" t="s">
        <v>971</v>
      </c>
      <c r="D841" s="49" t="s">
        <v>7</v>
      </c>
      <c r="E841" s="50">
        <v>2.1000000000000001E-2</v>
      </c>
      <c r="F841" s="108">
        <v>0</v>
      </c>
      <c r="G841" s="51">
        <v>43922</v>
      </c>
      <c r="H841" s="46">
        <v>0</v>
      </c>
      <c r="I841" s="49" t="str">
        <f ca="1"/>
        <v>渋谷 雄大</v>
      </c>
      <c r="J841" s="109" t="s">
        <v>918</v>
      </c>
      <c r="K841" s="49" t="s">
        <v>50</v>
      </c>
      <c r="L841" s="100" t="s">
        <v>51</v>
      </c>
      <c r="M841" s="107" t="s">
        <v>52</v>
      </c>
    </row>
    <row r="842" spans="1:13" ht="16">
      <c r="A842" s="101" t="str">
        <f t="shared" si="0"/>
        <v>OK</v>
      </c>
      <c r="B842" s="49">
        <v>3700068</v>
      </c>
      <c r="C842" s="49" t="s">
        <v>972</v>
      </c>
      <c r="D842" s="49" t="s">
        <v>7</v>
      </c>
      <c r="E842" s="50">
        <v>2.1000000000000001E-2</v>
      </c>
      <c r="F842" s="108">
        <v>0</v>
      </c>
      <c r="G842" s="51">
        <v>43922</v>
      </c>
      <c r="H842" s="46">
        <v>0</v>
      </c>
      <c r="I842" s="49" t="str">
        <f ca="1"/>
        <v>渋谷 雄大</v>
      </c>
      <c r="J842" s="109" t="s">
        <v>918</v>
      </c>
      <c r="K842" s="49" t="s">
        <v>50</v>
      </c>
      <c r="L842" s="100" t="s">
        <v>51</v>
      </c>
      <c r="M842" s="107" t="s">
        <v>52</v>
      </c>
    </row>
    <row r="843" spans="1:13" ht="16">
      <c r="A843" s="101" t="str">
        <f t="shared" si="0"/>
        <v>OK</v>
      </c>
      <c r="B843" s="49">
        <v>3700070</v>
      </c>
      <c r="C843" s="49" t="s">
        <v>973</v>
      </c>
      <c r="D843" s="49" t="s">
        <v>7</v>
      </c>
      <c r="E843" s="50">
        <v>2.1000000000000001E-2</v>
      </c>
      <c r="F843" s="108">
        <v>0</v>
      </c>
      <c r="G843" s="51">
        <v>43922</v>
      </c>
      <c r="H843" s="46">
        <v>0</v>
      </c>
      <c r="I843" s="49" t="str">
        <f ca="1"/>
        <v>渋谷 雄大</v>
      </c>
      <c r="J843" s="109" t="s">
        <v>918</v>
      </c>
      <c r="K843" s="49" t="s">
        <v>50</v>
      </c>
      <c r="L843" s="100" t="s">
        <v>51</v>
      </c>
      <c r="M843" s="107" t="s">
        <v>52</v>
      </c>
    </row>
    <row r="844" spans="1:13" ht="16">
      <c r="A844" s="101" t="str">
        <f t="shared" si="0"/>
        <v>OK</v>
      </c>
      <c r="B844" s="49">
        <v>3700071</v>
      </c>
      <c r="C844" s="49" t="s">
        <v>974</v>
      </c>
      <c r="D844" s="49" t="s">
        <v>7</v>
      </c>
      <c r="E844" s="50">
        <v>2.1000000000000001E-2</v>
      </c>
      <c r="F844" s="108">
        <v>0</v>
      </c>
      <c r="G844" s="51">
        <v>43922</v>
      </c>
      <c r="H844" s="46">
        <v>0</v>
      </c>
      <c r="I844" s="49" t="str">
        <f ca="1"/>
        <v>渋谷 雄大</v>
      </c>
      <c r="J844" s="109" t="s">
        <v>918</v>
      </c>
      <c r="K844" s="49" t="s">
        <v>50</v>
      </c>
      <c r="L844" s="100" t="s">
        <v>51</v>
      </c>
      <c r="M844" s="107" t="s">
        <v>52</v>
      </c>
    </row>
    <row r="845" spans="1:13" ht="16">
      <c r="A845" s="101" t="str">
        <f t="shared" si="0"/>
        <v>OK</v>
      </c>
      <c r="B845" s="49">
        <v>3700072</v>
      </c>
      <c r="C845" s="49" t="s">
        <v>975</v>
      </c>
      <c r="D845" s="49" t="s">
        <v>7</v>
      </c>
      <c r="E845" s="50">
        <v>2.1000000000000001E-2</v>
      </c>
      <c r="F845" s="108">
        <v>0</v>
      </c>
      <c r="G845" s="51">
        <v>43922</v>
      </c>
      <c r="H845" s="46">
        <v>0</v>
      </c>
      <c r="I845" s="49" t="str">
        <f ca="1"/>
        <v>渋谷 雄大</v>
      </c>
      <c r="J845" s="109" t="s">
        <v>918</v>
      </c>
      <c r="K845" s="49" t="s">
        <v>50</v>
      </c>
      <c r="L845" s="100" t="s">
        <v>51</v>
      </c>
      <c r="M845" s="107" t="s">
        <v>52</v>
      </c>
    </row>
    <row r="846" spans="1:13" ht="16">
      <c r="A846" s="101" t="str">
        <f t="shared" si="0"/>
        <v>OK</v>
      </c>
      <c r="B846" s="49">
        <v>3700073</v>
      </c>
      <c r="C846" s="49" t="s">
        <v>976</v>
      </c>
      <c r="D846" s="49" t="s">
        <v>7</v>
      </c>
      <c r="E846" s="50">
        <v>2.1000000000000001E-2</v>
      </c>
      <c r="F846" s="108">
        <v>0</v>
      </c>
      <c r="G846" s="51">
        <v>43922</v>
      </c>
      <c r="H846" s="46">
        <v>0</v>
      </c>
      <c r="I846" s="49" t="str">
        <f ca="1"/>
        <v>渋谷 雄大</v>
      </c>
      <c r="J846" s="109" t="s">
        <v>918</v>
      </c>
      <c r="K846" s="49" t="s">
        <v>50</v>
      </c>
      <c r="L846" s="100" t="s">
        <v>51</v>
      </c>
      <c r="M846" s="107" t="s">
        <v>52</v>
      </c>
    </row>
    <row r="847" spans="1:13" ht="16">
      <c r="A847" s="101" t="str">
        <f t="shared" si="0"/>
        <v>OK</v>
      </c>
      <c r="B847" s="49">
        <v>3700074</v>
      </c>
      <c r="C847" s="49" t="s">
        <v>977</v>
      </c>
      <c r="D847" s="49" t="s">
        <v>7</v>
      </c>
      <c r="E847" s="50">
        <v>2.1000000000000001E-2</v>
      </c>
      <c r="F847" s="108">
        <v>0</v>
      </c>
      <c r="G847" s="51">
        <v>43922</v>
      </c>
      <c r="H847" s="46">
        <v>0</v>
      </c>
      <c r="I847" s="49" t="str">
        <f ca="1"/>
        <v>渋谷 雄大</v>
      </c>
      <c r="J847" s="109" t="s">
        <v>918</v>
      </c>
      <c r="K847" s="49" t="s">
        <v>50</v>
      </c>
      <c r="L847" s="100" t="s">
        <v>51</v>
      </c>
      <c r="M847" s="107" t="s">
        <v>52</v>
      </c>
    </row>
    <row r="848" spans="1:13" ht="16">
      <c r="A848" s="101" t="str">
        <f t="shared" si="0"/>
        <v>OK</v>
      </c>
      <c r="B848" s="49">
        <v>3700075</v>
      </c>
      <c r="C848" s="49" t="s">
        <v>978</v>
      </c>
      <c r="D848" s="49" t="s">
        <v>7</v>
      </c>
      <c r="E848" s="50">
        <v>2.1000000000000001E-2</v>
      </c>
      <c r="F848" s="108">
        <v>0</v>
      </c>
      <c r="G848" s="51">
        <v>43922</v>
      </c>
      <c r="H848" s="46">
        <v>0</v>
      </c>
      <c r="I848" s="49" t="str">
        <f ca="1"/>
        <v>渋谷 雄大</v>
      </c>
      <c r="J848" s="109" t="s">
        <v>918</v>
      </c>
      <c r="K848" s="49" t="s">
        <v>50</v>
      </c>
      <c r="L848" s="100" t="s">
        <v>51</v>
      </c>
      <c r="M848" s="107" t="s">
        <v>52</v>
      </c>
    </row>
    <row r="849" spans="1:13" ht="16">
      <c r="A849" s="101" t="str">
        <f t="shared" si="0"/>
        <v>OK</v>
      </c>
      <c r="B849" s="49">
        <v>3700076</v>
      </c>
      <c r="C849" s="49" t="s">
        <v>979</v>
      </c>
      <c r="D849" s="49" t="s">
        <v>7</v>
      </c>
      <c r="E849" s="50">
        <v>2.1000000000000001E-2</v>
      </c>
      <c r="F849" s="108">
        <v>0</v>
      </c>
      <c r="G849" s="51">
        <v>43922</v>
      </c>
      <c r="H849" s="46">
        <v>0</v>
      </c>
      <c r="I849" s="49" t="str">
        <f ca="1"/>
        <v>渋谷 雄大</v>
      </c>
      <c r="J849" s="109" t="s">
        <v>918</v>
      </c>
      <c r="K849" s="49" t="s">
        <v>50</v>
      </c>
      <c r="L849" s="100" t="s">
        <v>51</v>
      </c>
      <c r="M849" s="107" t="s">
        <v>52</v>
      </c>
    </row>
    <row r="850" spans="1:13" ht="16">
      <c r="A850" s="101" t="str">
        <f t="shared" si="0"/>
        <v>OK</v>
      </c>
      <c r="B850" s="49">
        <v>3700077</v>
      </c>
      <c r="C850" s="49" t="s">
        <v>980</v>
      </c>
      <c r="D850" s="49" t="s">
        <v>7</v>
      </c>
      <c r="E850" s="50">
        <v>2.1000000000000001E-2</v>
      </c>
      <c r="F850" s="108">
        <v>0</v>
      </c>
      <c r="G850" s="51">
        <v>43922</v>
      </c>
      <c r="H850" s="46">
        <v>0</v>
      </c>
      <c r="I850" s="49" t="str">
        <f ca="1"/>
        <v>渋谷 雄大</v>
      </c>
      <c r="J850" s="109" t="s">
        <v>918</v>
      </c>
      <c r="K850" s="49" t="s">
        <v>50</v>
      </c>
      <c r="L850" s="100" t="s">
        <v>51</v>
      </c>
      <c r="M850" s="107" t="s">
        <v>52</v>
      </c>
    </row>
    <row r="851" spans="1:13" ht="16">
      <c r="A851" s="101" t="str">
        <f t="shared" si="0"/>
        <v>OK</v>
      </c>
      <c r="B851" s="49">
        <v>3700078</v>
      </c>
      <c r="C851" s="49" t="s">
        <v>981</v>
      </c>
      <c r="D851" s="49" t="s">
        <v>7</v>
      </c>
      <c r="E851" s="50">
        <v>2.1000000000000001E-2</v>
      </c>
      <c r="F851" s="108">
        <v>0</v>
      </c>
      <c r="G851" s="51">
        <v>43922</v>
      </c>
      <c r="H851" s="46">
        <v>0</v>
      </c>
      <c r="I851" s="49" t="str">
        <f ca="1"/>
        <v>渋谷 雄大</v>
      </c>
      <c r="J851" s="109" t="s">
        <v>918</v>
      </c>
      <c r="K851" s="49" t="s">
        <v>50</v>
      </c>
      <c r="L851" s="100" t="s">
        <v>51</v>
      </c>
      <c r="M851" s="107" t="s">
        <v>52</v>
      </c>
    </row>
    <row r="852" spans="1:13" ht="16">
      <c r="A852" s="101" t="str">
        <f t="shared" si="0"/>
        <v>OK</v>
      </c>
      <c r="B852" s="49">
        <v>3700079</v>
      </c>
      <c r="C852" s="49" t="s">
        <v>982</v>
      </c>
      <c r="D852" s="49" t="s">
        <v>7</v>
      </c>
      <c r="E852" s="50">
        <v>2.1000000000000001E-2</v>
      </c>
      <c r="F852" s="108">
        <v>0</v>
      </c>
      <c r="G852" s="51">
        <v>43922</v>
      </c>
      <c r="H852" s="46">
        <v>0</v>
      </c>
      <c r="I852" s="49" t="str">
        <f ca="1"/>
        <v>渋谷 雄大</v>
      </c>
      <c r="J852" s="109" t="s">
        <v>918</v>
      </c>
      <c r="K852" s="49" t="s">
        <v>50</v>
      </c>
      <c r="L852" s="100" t="s">
        <v>51</v>
      </c>
      <c r="M852" s="107" t="s">
        <v>52</v>
      </c>
    </row>
    <row r="853" spans="1:13" ht="16">
      <c r="A853" s="101" t="str">
        <f t="shared" si="0"/>
        <v>OK</v>
      </c>
      <c r="B853" s="49">
        <v>3700080</v>
      </c>
      <c r="C853" s="49" t="s">
        <v>983</v>
      </c>
      <c r="D853" s="49" t="s">
        <v>7</v>
      </c>
      <c r="E853" s="50">
        <v>2.1000000000000001E-2</v>
      </c>
      <c r="F853" s="108">
        <v>0</v>
      </c>
      <c r="G853" s="51">
        <v>43922</v>
      </c>
      <c r="H853" s="46">
        <v>0</v>
      </c>
      <c r="I853" s="49" t="str">
        <f ca="1"/>
        <v>渋谷 雄大</v>
      </c>
      <c r="J853" s="109" t="s">
        <v>918</v>
      </c>
      <c r="K853" s="49" t="s">
        <v>50</v>
      </c>
      <c r="L853" s="100" t="s">
        <v>51</v>
      </c>
      <c r="M853" s="107" t="s">
        <v>52</v>
      </c>
    </row>
    <row r="854" spans="1:13" ht="16">
      <c r="A854" s="101" t="str">
        <f t="shared" si="0"/>
        <v>OK</v>
      </c>
      <c r="B854" s="49">
        <v>3700081</v>
      </c>
      <c r="C854" s="49" t="s">
        <v>984</v>
      </c>
      <c r="D854" s="49" t="s">
        <v>7</v>
      </c>
      <c r="E854" s="50">
        <v>2.1000000000000001E-2</v>
      </c>
      <c r="F854" s="108">
        <v>0</v>
      </c>
      <c r="G854" s="51">
        <v>43922</v>
      </c>
      <c r="H854" s="46">
        <v>0</v>
      </c>
      <c r="I854" s="49" t="str">
        <f ca="1"/>
        <v>渋谷 雄大</v>
      </c>
      <c r="J854" s="109" t="s">
        <v>918</v>
      </c>
      <c r="K854" s="49" t="s">
        <v>50</v>
      </c>
      <c r="L854" s="100" t="s">
        <v>51</v>
      </c>
      <c r="M854" s="107" t="s">
        <v>52</v>
      </c>
    </row>
    <row r="855" spans="1:13" ht="16">
      <c r="A855" s="101" t="str">
        <f t="shared" si="0"/>
        <v>OK</v>
      </c>
      <c r="B855" s="49">
        <v>3700082</v>
      </c>
      <c r="C855" s="49" t="s">
        <v>985</v>
      </c>
      <c r="D855" s="49" t="s">
        <v>7</v>
      </c>
      <c r="E855" s="50">
        <v>2.1000000000000001E-2</v>
      </c>
      <c r="F855" s="108">
        <v>0</v>
      </c>
      <c r="G855" s="51">
        <v>43922</v>
      </c>
      <c r="H855" s="46">
        <v>0</v>
      </c>
      <c r="I855" s="49" t="str">
        <f ca="1"/>
        <v>渋谷 雄大</v>
      </c>
      <c r="J855" s="109" t="s">
        <v>918</v>
      </c>
      <c r="K855" s="49" t="s">
        <v>50</v>
      </c>
      <c r="L855" s="100" t="s">
        <v>51</v>
      </c>
      <c r="M855" s="107" t="s">
        <v>52</v>
      </c>
    </row>
    <row r="856" spans="1:13" ht="16">
      <c r="A856" s="101" t="str">
        <f t="shared" si="0"/>
        <v>OK</v>
      </c>
      <c r="B856" s="49">
        <v>3700084</v>
      </c>
      <c r="C856" s="49" t="s">
        <v>986</v>
      </c>
      <c r="D856" s="49" t="s">
        <v>7</v>
      </c>
      <c r="E856" s="50">
        <v>2.1000000000000001E-2</v>
      </c>
      <c r="F856" s="108">
        <v>0</v>
      </c>
      <c r="G856" s="51">
        <v>43922</v>
      </c>
      <c r="H856" s="46">
        <v>0</v>
      </c>
      <c r="I856" s="49" t="str">
        <f ca="1"/>
        <v>渋谷 雄大</v>
      </c>
      <c r="J856" s="109" t="s">
        <v>918</v>
      </c>
      <c r="K856" s="49" t="s">
        <v>50</v>
      </c>
      <c r="L856" s="100" t="s">
        <v>51</v>
      </c>
      <c r="M856" s="107" t="s">
        <v>52</v>
      </c>
    </row>
    <row r="857" spans="1:13" ht="16">
      <c r="A857" s="101" t="str">
        <f t="shared" si="0"/>
        <v>OK</v>
      </c>
      <c r="B857" s="49">
        <v>3700085</v>
      </c>
      <c r="C857" s="49" t="s">
        <v>987</v>
      </c>
      <c r="D857" s="49" t="s">
        <v>7</v>
      </c>
      <c r="E857" s="50">
        <v>2.1000000000000001E-2</v>
      </c>
      <c r="F857" s="108">
        <v>0</v>
      </c>
      <c r="G857" s="51">
        <v>43922</v>
      </c>
      <c r="H857" s="46">
        <v>0</v>
      </c>
      <c r="I857" s="49" t="str">
        <f ca="1"/>
        <v>渋谷 雄大</v>
      </c>
      <c r="J857" s="109" t="s">
        <v>918</v>
      </c>
      <c r="K857" s="49" t="s">
        <v>50</v>
      </c>
      <c r="L857" s="100" t="s">
        <v>51</v>
      </c>
      <c r="M857" s="107" t="s">
        <v>52</v>
      </c>
    </row>
    <row r="858" spans="1:13" ht="16">
      <c r="A858" s="101" t="str">
        <f t="shared" si="0"/>
        <v>OK</v>
      </c>
      <c r="B858" s="49">
        <v>3700087</v>
      </c>
      <c r="C858" s="49" t="s">
        <v>988</v>
      </c>
      <c r="D858" s="49" t="s">
        <v>7</v>
      </c>
      <c r="E858" s="50">
        <v>2.1000000000000001E-2</v>
      </c>
      <c r="F858" s="108">
        <v>0</v>
      </c>
      <c r="G858" s="51">
        <v>43922</v>
      </c>
      <c r="H858" s="46">
        <v>0</v>
      </c>
      <c r="I858" s="49" t="str">
        <f ca="1"/>
        <v>渋谷 雄大</v>
      </c>
      <c r="J858" s="109" t="s">
        <v>918</v>
      </c>
      <c r="K858" s="49" t="s">
        <v>50</v>
      </c>
      <c r="L858" s="100" t="s">
        <v>51</v>
      </c>
      <c r="M858" s="107" t="s">
        <v>52</v>
      </c>
    </row>
    <row r="859" spans="1:13" ht="16">
      <c r="A859" s="101" t="str">
        <f t="shared" si="0"/>
        <v>OK</v>
      </c>
      <c r="B859" s="49">
        <v>3700088</v>
      </c>
      <c r="C859" s="49" t="s">
        <v>989</v>
      </c>
      <c r="D859" s="49" t="s">
        <v>7</v>
      </c>
      <c r="E859" s="50">
        <v>2.1000000000000001E-2</v>
      </c>
      <c r="F859" s="108">
        <v>0</v>
      </c>
      <c r="G859" s="51">
        <v>43922</v>
      </c>
      <c r="H859" s="46">
        <v>0</v>
      </c>
      <c r="I859" s="49" t="str">
        <f ca="1"/>
        <v>渋谷 雄大</v>
      </c>
      <c r="J859" s="109" t="s">
        <v>918</v>
      </c>
      <c r="K859" s="49" t="s">
        <v>50</v>
      </c>
      <c r="L859" s="100" t="s">
        <v>51</v>
      </c>
      <c r="M859" s="107" t="s">
        <v>52</v>
      </c>
    </row>
    <row r="860" spans="1:13" ht="16">
      <c r="A860" s="101" t="str">
        <f t="shared" si="0"/>
        <v>OK</v>
      </c>
      <c r="B860" s="49">
        <v>3700089</v>
      </c>
      <c r="C860" s="49" t="s">
        <v>990</v>
      </c>
      <c r="D860" s="49" t="s">
        <v>7</v>
      </c>
      <c r="E860" s="50">
        <v>2.1000000000000001E-2</v>
      </c>
      <c r="F860" s="108">
        <v>0</v>
      </c>
      <c r="G860" s="51">
        <v>43922</v>
      </c>
      <c r="H860" s="46">
        <v>0</v>
      </c>
      <c r="I860" s="49" t="str">
        <f ca="1"/>
        <v>渋谷 雄大</v>
      </c>
      <c r="J860" s="109" t="s">
        <v>918</v>
      </c>
      <c r="K860" s="49" t="s">
        <v>50</v>
      </c>
      <c r="L860" s="100" t="s">
        <v>51</v>
      </c>
      <c r="M860" s="107" t="s">
        <v>52</v>
      </c>
    </row>
    <row r="861" spans="1:13" ht="16">
      <c r="A861" s="101" t="str">
        <f t="shared" si="0"/>
        <v>OK</v>
      </c>
      <c r="B861" s="49">
        <v>3700090</v>
      </c>
      <c r="C861" s="49" t="s">
        <v>991</v>
      </c>
      <c r="D861" s="49" t="s">
        <v>7</v>
      </c>
      <c r="E861" s="50">
        <v>2.1000000000000001E-2</v>
      </c>
      <c r="F861" s="108">
        <v>0</v>
      </c>
      <c r="G861" s="51">
        <v>43922</v>
      </c>
      <c r="H861" s="46">
        <v>0</v>
      </c>
      <c r="I861" s="49" t="str">
        <f ca="1"/>
        <v>渋谷 雄大</v>
      </c>
      <c r="J861" s="109" t="s">
        <v>918</v>
      </c>
      <c r="K861" s="49" t="s">
        <v>50</v>
      </c>
      <c r="L861" s="100" t="s">
        <v>51</v>
      </c>
      <c r="M861" s="107" t="s">
        <v>52</v>
      </c>
    </row>
    <row r="862" spans="1:13" ht="16">
      <c r="A862" s="101" t="str">
        <f t="shared" si="0"/>
        <v>OK</v>
      </c>
      <c r="B862" s="49">
        <v>3700092</v>
      </c>
      <c r="C862" s="49" t="s">
        <v>992</v>
      </c>
      <c r="D862" s="49" t="s">
        <v>7</v>
      </c>
      <c r="E862" s="50">
        <v>2.1000000000000001E-2</v>
      </c>
      <c r="F862" s="108">
        <v>0</v>
      </c>
      <c r="G862" s="51">
        <v>43922</v>
      </c>
      <c r="H862" s="46">
        <v>0</v>
      </c>
      <c r="I862" s="49" t="str">
        <f ca="1"/>
        <v>渋谷 雄大</v>
      </c>
      <c r="J862" s="109" t="s">
        <v>918</v>
      </c>
      <c r="K862" s="49" t="s">
        <v>50</v>
      </c>
      <c r="L862" s="100" t="s">
        <v>51</v>
      </c>
      <c r="M862" s="107" t="s">
        <v>52</v>
      </c>
    </row>
    <row r="863" spans="1:13" ht="16">
      <c r="A863" s="101" t="str">
        <f t="shared" si="0"/>
        <v>OK</v>
      </c>
      <c r="B863" s="49">
        <v>3700093</v>
      </c>
      <c r="C863" s="49" t="s">
        <v>993</v>
      </c>
      <c r="D863" s="49" t="s">
        <v>7</v>
      </c>
      <c r="E863" s="50">
        <v>2.1000000000000001E-2</v>
      </c>
      <c r="F863" s="108">
        <v>0</v>
      </c>
      <c r="G863" s="51">
        <v>43922</v>
      </c>
      <c r="H863" s="46">
        <v>0</v>
      </c>
      <c r="I863" s="49" t="str">
        <f ca="1"/>
        <v>渋谷 雄大</v>
      </c>
      <c r="J863" s="109" t="s">
        <v>918</v>
      </c>
      <c r="K863" s="49" t="s">
        <v>50</v>
      </c>
      <c r="L863" s="100" t="s">
        <v>51</v>
      </c>
      <c r="M863" s="107" t="s">
        <v>52</v>
      </c>
    </row>
    <row r="864" spans="1:13" ht="16">
      <c r="A864" s="101" t="str">
        <f t="shared" si="0"/>
        <v>OK</v>
      </c>
      <c r="B864" s="49">
        <v>3700094</v>
      </c>
      <c r="C864" s="49" t="s">
        <v>994</v>
      </c>
      <c r="D864" s="49" t="s">
        <v>7</v>
      </c>
      <c r="E864" s="50">
        <v>2.1000000000000001E-2</v>
      </c>
      <c r="F864" s="108">
        <v>0</v>
      </c>
      <c r="G864" s="51">
        <v>43922</v>
      </c>
      <c r="H864" s="46">
        <v>0</v>
      </c>
      <c r="I864" s="49" t="str">
        <f ca="1"/>
        <v>渋谷 雄大</v>
      </c>
      <c r="J864" s="109" t="s">
        <v>918</v>
      </c>
      <c r="K864" s="49" t="s">
        <v>50</v>
      </c>
      <c r="L864" s="100" t="s">
        <v>51</v>
      </c>
      <c r="M864" s="107" t="s">
        <v>52</v>
      </c>
    </row>
    <row r="865" spans="1:13" ht="16">
      <c r="A865" s="101" t="str">
        <f t="shared" si="0"/>
        <v>OK</v>
      </c>
      <c r="B865" s="49">
        <v>3700095</v>
      </c>
      <c r="C865" s="49" t="s">
        <v>995</v>
      </c>
      <c r="D865" s="49" t="s">
        <v>7</v>
      </c>
      <c r="E865" s="50">
        <v>2.1000000000000001E-2</v>
      </c>
      <c r="F865" s="108">
        <v>0</v>
      </c>
      <c r="G865" s="51">
        <v>43922</v>
      </c>
      <c r="H865" s="46">
        <v>0</v>
      </c>
      <c r="I865" s="49" t="str">
        <f ca="1"/>
        <v>渋谷 雄大</v>
      </c>
      <c r="J865" s="109" t="s">
        <v>918</v>
      </c>
      <c r="K865" s="49" t="s">
        <v>50</v>
      </c>
      <c r="L865" s="100" t="s">
        <v>51</v>
      </c>
      <c r="M865" s="107" t="s">
        <v>52</v>
      </c>
    </row>
    <row r="866" spans="1:13" ht="16">
      <c r="A866" s="101" t="str">
        <f t="shared" si="0"/>
        <v>OK</v>
      </c>
      <c r="B866" s="49">
        <v>3700096</v>
      </c>
      <c r="C866" s="49" t="s">
        <v>996</v>
      </c>
      <c r="D866" s="49" t="s">
        <v>7</v>
      </c>
      <c r="E866" s="50">
        <v>2.1000000000000001E-2</v>
      </c>
      <c r="F866" s="108">
        <v>0</v>
      </c>
      <c r="G866" s="51">
        <v>43922</v>
      </c>
      <c r="H866" s="46">
        <v>0</v>
      </c>
      <c r="I866" s="49" t="str">
        <f ca="1"/>
        <v>渋谷 雄大</v>
      </c>
      <c r="J866" s="109" t="s">
        <v>918</v>
      </c>
      <c r="K866" s="49" t="s">
        <v>50</v>
      </c>
      <c r="L866" s="100" t="s">
        <v>51</v>
      </c>
      <c r="M866" s="107" t="s">
        <v>52</v>
      </c>
    </row>
    <row r="867" spans="1:13" ht="16">
      <c r="A867" s="101" t="str">
        <f t="shared" si="0"/>
        <v>OK</v>
      </c>
      <c r="B867" s="49">
        <v>3700097</v>
      </c>
      <c r="C867" s="49" t="s">
        <v>997</v>
      </c>
      <c r="D867" s="49" t="s">
        <v>7</v>
      </c>
      <c r="E867" s="50">
        <v>2.1000000000000001E-2</v>
      </c>
      <c r="F867" s="108">
        <v>0</v>
      </c>
      <c r="G867" s="51">
        <v>43922</v>
      </c>
      <c r="H867" s="46">
        <v>0</v>
      </c>
      <c r="I867" s="49" t="str">
        <f ca="1"/>
        <v>渋谷 雄大</v>
      </c>
      <c r="J867" s="109" t="s">
        <v>918</v>
      </c>
      <c r="K867" s="49" t="s">
        <v>50</v>
      </c>
      <c r="L867" s="100" t="s">
        <v>51</v>
      </c>
      <c r="M867" s="107" t="s">
        <v>52</v>
      </c>
    </row>
    <row r="868" spans="1:13" ht="16">
      <c r="A868" s="101" t="str">
        <f t="shared" si="0"/>
        <v>OK</v>
      </c>
      <c r="B868" s="49">
        <v>3700098</v>
      </c>
      <c r="C868" s="49" t="s">
        <v>998</v>
      </c>
      <c r="D868" s="49" t="s">
        <v>7</v>
      </c>
      <c r="E868" s="50">
        <v>2.1000000000000001E-2</v>
      </c>
      <c r="F868" s="108">
        <v>0</v>
      </c>
      <c r="G868" s="51">
        <v>43922</v>
      </c>
      <c r="H868" s="46">
        <v>0</v>
      </c>
      <c r="I868" s="49" t="str">
        <f ca="1"/>
        <v>渋谷 雄大</v>
      </c>
      <c r="J868" s="109" t="s">
        <v>918</v>
      </c>
      <c r="K868" s="49" t="s">
        <v>50</v>
      </c>
      <c r="L868" s="100" t="s">
        <v>51</v>
      </c>
      <c r="M868" s="107" t="s">
        <v>52</v>
      </c>
    </row>
    <row r="869" spans="1:13" ht="16">
      <c r="A869" s="101" t="str">
        <f t="shared" si="0"/>
        <v>OK</v>
      </c>
      <c r="B869" s="49">
        <v>3700099</v>
      </c>
      <c r="C869" s="49" t="s">
        <v>999</v>
      </c>
      <c r="D869" s="49" t="s">
        <v>7</v>
      </c>
      <c r="E869" s="50">
        <v>2.1000000000000001E-2</v>
      </c>
      <c r="F869" s="108">
        <v>0</v>
      </c>
      <c r="G869" s="51">
        <v>43922</v>
      </c>
      <c r="H869" s="46">
        <v>0</v>
      </c>
      <c r="I869" s="49" t="str">
        <f ca="1"/>
        <v>渋谷 雄大</v>
      </c>
      <c r="J869" s="109" t="s">
        <v>918</v>
      </c>
      <c r="K869" s="49" t="s">
        <v>50</v>
      </c>
      <c r="L869" s="100" t="s">
        <v>51</v>
      </c>
      <c r="M869" s="107" t="s">
        <v>52</v>
      </c>
    </row>
    <row r="870" spans="1:13" ht="16">
      <c r="A870" s="101" t="str">
        <f t="shared" si="0"/>
        <v>OK</v>
      </c>
      <c r="B870" s="49">
        <v>3700100</v>
      </c>
      <c r="C870" s="49" t="s">
        <v>1000</v>
      </c>
      <c r="D870" s="49" t="s">
        <v>7</v>
      </c>
      <c r="E870" s="50">
        <v>2.1000000000000001E-2</v>
      </c>
      <c r="F870" s="108">
        <v>0</v>
      </c>
      <c r="G870" s="51">
        <v>43922</v>
      </c>
      <c r="H870" s="46">
        <v>0</v>
      </c>
      <c r="I870" s="49" t="str">
        <f ca="1"/>
        <v>渋谷 雄大</v>
      </c>
      <c r="J870" s="109" t="s">
        <v>918</v>
      </c>
      <c r="K870" s="49" t="s">
        <v>50</v>
      </c>
      <c r="L870" s="100" t="s">
        <v>51</v>
      </c>
      <c r="M870" s="107" t="s">
        <v>52</v>
      </c>
    </row>
    <row r="871" spans="1:13" ht="16">
      <c r="A871" s="101" t="str">
        <f t="shared" si="0"/>
        <v>OK</v>
      </c>
      <c r="B871" s="49">
        <v>3700101</v>
      </c>
      <c r="C871" s="49" t="s">
        <v>1001</v>
      </c>
      <c r="D871" s="49" t="s">
        <v>7</v>
      </c>
      <c r="E871" s="50">
        <v>2.1000000000000001E-2</v>
      </c>
      <c r="F871" s="108">
        <v>0</v>
      </c>
      <c r="G871" s="51">
        <v>43922</v>
      </c>
      <c r="H871" s="46">
        <v>0</v>
      </c>
      <c r="I871" s="49" t="str">
        <f ca="1"/>
        <v>渋谷 雄大</v>
      </c>
      <c r="J871" s="109" t="s">
        <v>918</v>
      </c>
      <c r="K871" s="49" t="s">
        <v>50</v>
      </c>
      <c r="L871" s="100" t="s">
        <v>51</v>
      </c>
      <c r="M871" s="107" t="s">
        <v>52</v>
      </c>
    </row>
    <row r="872" spans="1:13" ht="16">
      <c r="A872" s="101" t="str">
        <f t="shared" si="0"/>
        <v>OK</v>
      </c>
      <c r="B872" s="49">
        <v>3700104</v>
      </c>
      <c r="C872" s="49" t="s">
        <v>1002</v>
      </c>
      <c r="D872" s="49" t="s">
        <v>7</v>
      </c>
      <c r="E872" s="50">
        <v>2.1000000000000001E-2</v>
      </c>
      <c r="F872" s="108">
        <v>0</v>
      </c>
      <c r="G872" s="51">
        <v>43922</v>
      </c>
      <c r="H872" s="46">
        <v>0</v>
      </c>
      <c r="I872" s="49" t="str">
        <f ca="1"/>
        <v>渋谷 雄大</v>
      </c>
      <c r="J872" s="109" t="s">
        <v>918</v>
      </c>
      <c r="K872" s="49" t="s">
        <v>50</v>
      </c>
      <c r="L872" s="100" t="s">
        <v>51</v>
      </c>
      <c r="M872" s="107" t="s">
        <v>52</v>
      </c>
    </row>
    <row r="873" spans="1:13" ht="16">
      <c r="A873" s="101" t="str">
        <f t="shared" si="0"/>
        <v>OK</v>
      </c>
      <c r="B873" s="49">
        <v>3700105</v>
      </c>
      <c r="C873" s="49" t="s">
        <v>1003</v>
      </c>
      <c r="D873" s="49" t="s">
        <v>7</v>
      </c>
      <c r="E873" s="50">
        <v>2.1000000000000001E-2</v>
      </c>
      <c r="F873" s="108">
        <v>0</v>
      </c>
      <c r="G873" s="51">
        <v>43922</v>
      </c>
      <c r="H873" s="46">
        <v>0</v>
      </c>
      <c r="I873" s="49" t="str">
        <f ca="1"/>
        <v>渋谷 雄大</v>
      </c>
      <c r="J873" s="109" t="s">
        <v>918</v>
      </c>
      <c r="K873" s="49" t="s">
        <v>50</v>
      </c>
      <c r="L873" s="100" t="s">
        <v>51</v>
      </c>
      <c r="M873" s="107" t="s">
        <v>52</v>
      </c>
    </row>
    <row r="874" spans="1:13" ht="16">
      <c r="A874" s="101" t="str">
        <f t="shared" si="0"/>
        <v>OK</v>
      </c>
      <c r="B874" s="49">
        <v>3700106</v>
      </c>
      <c r="C874" s="49" t="s">
        <v>1004</v>
      </c>
      <c r="D874" s="49" t="s">
        <v>7</v>
      </c>
      <c r="E874" s="50">
        <v>2.1000000000000001E-2</v>
      </c>
      <c r="F874" s="108">
        <v>0</v>
      </c>
      <c r="G874" s="51">
        <v>43922</v>
      </c>
      <c r="H874" s="46">
        <v>0</v>
      </c>
      <c r="I874" s="49" t="str">
        <f ca="1"/>
        <v>渋谷 雄大</v>
      </c>
      <c r="J874" s="109" t="s">
        <v>918</v>
      </c>
      <c r="K874" s="49" t="s">
        <v>50</v>
      </c>
      <c r="L874" s="100" t="s">
        <v>51</v>
      </c>
      <c r="M874" s="107" t="s">
        <v>52</v>
      </c>
    </row>
    <row r="875" spans="1:13" ht="16">
      <c r="A875" s="101" t="str">
        <f t="shared" si="0"/>
        <v>OK</v>
      </c>
      <c r="B875" s="49">
        <v>3700107</v>
      </c>
      <c r="C875" s="49" t="s">
        <v>1005</v>
      </c>
      <c r="D875" s="49" t="s">
        <v>7</v>
      </c>
      <c r="E875" s="50">
        <v>2.1000000000000001E-2</v>
      </c>
      <c r="F875" s="108">
        <v>0</v>
      </c>
      <c r="G875" s="51">
        <v>43922</v>
      </c>
      <c r="H875" s="46">
        <v>0</v>
      </c>
      <c r="I875" s="49" t="str">
        <f ca="1"/>
        <v>渋谷 雄大</v>
      </c>
      <c r="J875" s="109" t="s">
        <v>918</v>
      </c>
      <c r="K875" s="49" t="s">
        <v>50</v>
      </c>
      <c r="L875" s="100" t="s">
        <v>51</v>
      </c>
      <c r="M875" s="107" t="s">
        <v>52</v>
      </c>
    </row>
    <row r="876" spans="1:13" ht="16">
      <c r="A876" s="101" t="str">
        <f t="shared" si="0"/>
        <v>OK</v>
      </c>
      <c r="B876" s="49">
        <v>3700108</v>
      </c>
      <c r="C876" s="49" t="s">
        <v>1006</v>
      </c>
      <c r="D876" s="49" t="s">
        <v>7</v>
      </c>
      <c r="E876" s="50">
        <v>2.1000000000000001E-2</v>
      </c>
      <c r="F876" s="108">
        <v>0</v>
      </c>
      <c r="G876" s="51">
        <v>43922</v>
      </c>
      <c r="H876" s="46">
        <v>0</v>
      </c>
      <c r="I876" s="49" t="str">
        <f ca="1"/>
        <v>渋谷 雄大</v>
      </c>
      <c r="J876" s="109" t="s">
        <v>918</v>
      </c>
      <c r="K876" s="49" t="s">
        <v>50</v>
      </c>
      <c r="L876" s="100" t="s">
        <v>51</v>
      </c>
      <c r="M876" s="107" t="s">
        <v>52</v>
      </c>
    </row>
    <row r="877" spans="1:13" ht="16">
      <c r="A877" s="101" t="str">
        <f t="shared" si="0"/>
        <v>OK</v>
      </c>
      <c r="B877" s="49">
        <v>3700109</v>
      </c>
      <c r="C877" s="49" t="s">
        <v>1007</v>
      </c>
      <c r="D877" s="49" t="s">
        <v>7</v>
      </c>
      <c r="E877" s="50">
        <v>2.1000000000000001E-2</v>
      </c>
      <c r="F877" s="108">
        <v>0</v>
      </c>
      <c r="G877" s="51">
        <v>43922</v>
      </c>
      <c r="H877" s="46">
        <v>0</v>
      </c>
      <c r="I877" s="49" t="str">
        <f ca="1"/>
        <v>渋谷 雄大</v>
      </c>
      <c r="J877" s="109" t="s">
        <v>918</v>
      </c>
      <c r="K877" s="49" t="s">
        <v>50</v>
      </c>
      <c r="L877" s="100" t="s">
        <v>51</v>
      </c>
      <c r="M877" s="107" t="s">
        <v>52</v>
      </c>
    </row>
    <row r="878" spans="1:13" ht="16">
      <c r="A878" s="101" t="str">
        <f t="shared" si="0"/>
        <v>OK</v>
      </c>
      <c r="B878" s="49">
        <v>3700110</v>
      </c>
      <c r="C878" s="49" t="s">
        <v>1008</v>
      </c>
      <c r="D878" s="49" t="s">
        <v>7</v>
      </c>
      <c r="E878" s="50">
        <v>2.1000000000000001E-2</v>
      </c>
      <c r="F878" s="108">
        <v>0</v>
      </c>
      <c r="G878" s="51">
        <v>43922</v>
      </c>
      <c r="H878" s="46">
        <v>0</v>
      </c>
      <c r="I878" s="49" t="str">
        <f ca="1"/>
        <v>渋谷 雄大</v>
      </c>
      <c r="J878" s="109" t="s">
        <v>918</v>
      </c>
      <c r="K878" s="49" t="s">
        <v>50</v>
      </c>
      <c r="L878" s="100" t="s">
        <v>51</v>
      </c>
      <c r="M878" s="107" t="s">
        <v>52</v>
      </c>
    </row>
    <row r="879" spans="1:13" ht="16">
      <c r="A879" s="101" t="str">
        <f t="shared" si="0"/>
        <v>OK</v>
      </c>
      <c r="B879" s="49">
        <v>3700111</v>
      </c>
      <c r="C879" s="49" t="s">
        <v>1009</v>
      </c>
      <c r="D879" s="49" t="s">
        <v>7</v>
      </c>
      <c r="E879" s="50">
        <v>2.1000000000000001E-2</v>
      </c>
      <c r="F879" s="108">
        <v>0</v>
      </c>
      <c r="G879" s="51">
        <v>43922</v>
      </c>
      <c r="H879" s="46">
        <v>0</v>
      </c>
      <c r="I879" s="49" t="str">
        <f ca="1"/>
        <v>渋谷 雄大</v>
      </c>
      <c r="J879" s="109" t="s">
        <v>918</v>
      </c>
      <c r="K879" s="49" t="s">
        <v>50</v>
      </c>
      <c r="L879" s="100" t="s">
        <v>51</v>
      </c>
      <c r="M879" s="107" t="s">
        <v>52</v>
      </c>
    </row>
    <row r="880" spans="1:13" ht="16">
      <c r="A880" s="101" t="str">
        <f t="shared" si="0"/>
        <v>OK</v>
      </c>
      <c r="B880" s="49">
        <v>3700112</v>
      </c>
      <c r="C880" s="49" t="s">
        <v>1010</v>
      </c>
      <c r="D880" s="49" t="s">
        <v>7</v>
      </c>
      <c r="E880" s="50">
        <v>2.1000000000000001E-2</v>
      </c>
      <c r="F880" s="108">
        <v>0</v>
      </c>
      <c r="G880" s="51">
        <v>43922</v>
      </c>
      <c r="H880" s="46">
        <v>0</v>
      </c>
      <c r="I880" s="49" t="str">
        <f ca="1"/>
        <v>渋谷 雄大</v>
      </c>
      <c r="J880" s="109" t="s">
        <v>918</v>
      </c>
      <c r="K880" s="49" t="s">
        <v>50</v>
      </c>
      <c r="L880" s="100" t="s">
        <v>51</v>
      </c>
      <c r="M880" s="107" t="s">
        <v>52</v>
      </c>
    </row>
    <row r="881" spans="1:13" ht="16">
      <c r="A881" s="101" t="str">
        <f t="shared" si="0"/>
        <v>OK</v>
      </c>
      <c r="B881" s="49">
        <v>3700113</v>
      </c>
      <c r="C881" s="49" t="s">
        <v>1011</v>
      </c>
      <c r="D881" s="49" t="s">
        <v>7</v>
      </c>
      <c r="E881" s="50">
        <v>2.1000000000000001E-2</v>
      </c>
      <c r="F881" s="108">
        <v>0</v>
      </c>
      <c r="G881" s="51">
        <v>43922</v>
      </c>
      <c r="H881" s="46">
        <v>0</v>
      </c>
      <c r="I881" s="49" t="str">
        <f ca="1"/>
        <v>渋谷 雄大</v>
      </c>
      <c r="J881" s="109" t="s">
        <v>918</v>
      </c>
      <c r="K881" s="49" t="s">
        <v>50</v>
      </c>
      <c r="L881" s="100" t="s">
        <v>51</v>
      </c>
      <c r="M881" s="107" t="s">
        <v>52</v>
      </c>
    </row>
    <row r="882" spans="1:13" ht="16">
      <c r="A882" s="101" t="str">
        <f t="shared" si="0"/>
        <v>OK</v>
      </c>
      <c r="B882" s="49">
        <v>3700114</v>
      </c>
      <c r="C882" s="49" t="s">
        <v>1012</v>
      </c>
      <c r="D882" s="49" t="s">
        <v>7</v>
      </c>
      <c r="E882" s="50">
        <v>2.1000000000000001E-2</v>
      </c>
      <c r="F882" s="108">
        <v>0</v>
      </c>
      <c r="G882" s="51">
        <v>43922</v>
      </c>
      <c r="H882" s="46">
        <v>0</v>
      </c>
      <c r="I882" s="49" t="str">
        <f ca="1"/>
        <v>渋谷 雄大</v>
      </c>
      <c r="J882" s="109" t="s">
        <v>918</v>
      </c>
      <c r="K882" s="49" t="s">
        <v>50</v>
      </c>
      <c r="L882" s="100" t="s">
        <v>51</v>
      </c>
      <c r="M882" s="107" t="s">
        <v>52</v>
      </c>
    </row>
    <row r="883" spans="1:13" ht="16">
      <c r="A883" s="101" t="str">
        <f t="shared" si="0"/>
        <v>OK</v>
      </c>
      <c r="B883" s="49">
        <v>3700115</v>
      </c>
      <c r="C883" s="49" t="s">
        <v>1013</v>
      </c>
      <c r="D883" s="49" t="s">
        <v>7</v>
      </c>
      <c r="E883" s="50">
        <v>2.1000000000000001E-2</v>
      </c>
      <c r="F883" s="108">
        <v>0</v>
      </c>
      <c r="G883" s="51">
        <v>43922</v>
      </c>
      <c r="H883" s="46">
        <v>0</v>
      </c>
      <c r="I883" s="49" t="str">
        <f ca="1"/>
        <v>渋谷 雄大</v>
      </c>
      <c r="J883" s="109" t="s">
        <v>918</v>
      </c>
      <c r="K883" s="49" t="s">
        <v>50</v>
      </c>
      <c r="L883" s="100" t="s">
        <v>51</v>
      </c>
      <c r="M883" s="107" t="s">
        <v>52</v>
      </c>
    </row>
    <row r="884" spans="1:13" ht="16">
      <c r="A884" s="101" t="str">
        <f t="shared" si="0"/>
        <v>OK</v>
      </c>
      <c r="B884" s="49">
        <v>3700116</v>
      </c>
      <c r="C884" s="49" t="s">
        <v>1014</v>
      </c>
      <c r="D884" s="49" t="s">
        <v>7</v>
      </c>
      <c r="E884" s="50">
        <v>2.1000000000000001E-2</v>
      </c>
      <c r="F884" s="108">
        <v>0</v>
      </c>
      <c r="G884" s="51">
        <v>43922</v>
      </c>
      <c r="H884" s="46">
        <v>0</v>
      </c>
      <c r="I884" s="49" t="str">
        <f ca="1"/>
        <v>渋谷 雄大</v>
      </c>
      <c r="J884" s="109" t="s">
        <v>918</v>
      </c>
      <c r="K884" s="49" t="s">
        <v>50</v>
      </c>
      <c r="L884" s="100" t="s">
        <v>51</v>
      </c>
      <c r="M884" s="107" t="s">
        <v>52</v>
      </c>
    </row>
    <row r="885" spans="1:13" ht="16">
      <c r="A885" s="101" t="str">
        <f t="shared" si="0"/>
        <v>OK</v>
      </c>
      <c r="B885" s="49">
        <v>3700118</v>
      </c>
      <c r="C885" s="49" t="s">
        <v>1015</v>
      </c>
      <c r="D885" s="49" t="s">
        <v>7</v>
      </c>
      <c r="E885" s="50">
        <v>2.1000000000000001E-2</v>
      </c>
      <c r="F885" s="108">
        <v>0</v>
      </c>
      <c r="G885" s="51">
        <v>43922</v>
      </c>
      <c r="H885" s="46">
        <v>0</v>
      </c>
      <c r="I885" s="49" t="str">
        <f ca="1"/>
        <v>渋谷 雄大</v>
      </c>
      <c r="J885" s="109" t="s">
        <v>918</v>
      </c>
      <c r="K885" s="49" t="s">
        <v>50</v>
      </c>
      <c r="L885" s="100" t="s">
        <v>51</v>
      </c>
      <c r="M885" s="107" t="s">
        <v>52</v>
      </c>
    </row>
    <row r="886" spans="1:13" ht="16">
      <c r="A886" s="101" t="str">
        <f t="shared" si="0"/>
        <v>OK</v>
      </c>
      <c r="B886" s="49">
        <v>3700119</v>
      </c>
      <c r="C886" s="49" t="s">
        <v>1016</v>
      </c>
      <c r="D886" s="49" t="s">
        <v>7</v>
      </c>
      <c r="E886" s="50">
        <v>2.1000000000000001E-2</v>
      </c>
      <c r="F886" s="108">
        <v>0</v>
      </c>
      <c r="G886" s="51">
        <v>43922</v>
      </c>
      <c r="H886" s="46">
        <v>0</v>
      </c>
      <c r="I886" s="49" t="str">
        <f ca="1"/>
        <v>渋谷 雄大</v>
      </c>
      <c r="J886" s="109" t="s">
        <v>918</v>
      </c>
      <c r="K886" s="49" t="s">
        <v>50</v>
      </c>
      <c r="L886" s="100" t="s">
        <v>51</v>
      </c>
      <c r="M886" s="107" t="s">
        <v>52</v>
      </c>
    </row>
    <row r="887" spans="1:13" ht="16">
      <c r="A887" s="101" t="str">
        <f t="shared" si="0"/>
        <v>OK</v>
      </c>
      <c r="B887" s="49">
        <v>3700121</v>
      </c>
      <c r="C887" s="49" t="s">
        <v>1017</v>
      </c>
      <c r="D887" s="49" t="s">
        <v>7</v>
      </c>
      <c r="E887" s="50">
        <v>2.1000000000000001E-2</v>
      </c>
      <c r="F887" s="108">
        <v>226</v>
      </c>
      <c r="G887" s="51">
        <v>43922</v>
      </c>
      <c r="H887" s="46">
        <v>0</v>
      </c>
      <c r="I887" s="49" t="str">
        <f ca="1"/>
        <v>渋谷 雄大</v>
      </c>
      <c r="J887" s="109" t="s">
        <v>918</v>
      </c>
      <c r="K887" s="49" t="s">
        <v>50</v>
      </c>
      <c r="L887" s="100" t="s">
        <v>51</v>
      </c>
      <c r="M887" s="107" t="s">
        <v>52</v>
      </c>
    </row>
    <row r="888" spans="1:13" ht="16">
      <c r="A888" s="101" t="str">
        <f t="shared" si="0"/>
        <v>OK</v>
      </c>
      <c r="B888" s="49">
        <v>3700122</v>
      </c>
      <c r="C888" s="49" t="s">
        <v>1018</v>
      </c>
      <c r="D888" s="49" t="s">
        <v>7</v>
      </c>
      <c r="E888" s="50">
        <v>2.1000000000000001E-2</v>
      </c>
      <c r="F888" s="108">
        <v>0</v>
      </c>
      <c r="G888" s="51">
        <v>43922</v>
      </c>
      <c r="H888" s="46">
        <v>0</v>
      </c>
      <c r="I888" s="49" t="str">
        <f ca="1"/>
        <v>渋谷 雄大</v>
      </c>
      <c r="J888" s="109" t="s">
        <v>918</v>
      </c>
      <c r="K888" s="49" t="s">
        <v>50</v>
      </c>
      <c r="L888" s="100" t="s">
        <v>51</v>
      </c>
      <c r="M888" s="107" t="s">
        <v>52</v>
      </c>
    </row>
    <row r="889" spans="1:13" ht="16">
      <c r="A889" s="101" t="str">
        <f t="shared" si="0"/>
        <v>OK</v>
      </c>
      <c r="B889" s="49">
        <v>3700126</v>
      </c>
      <c r="C889" s="49" t="s">
        <v>1019</v>
      </c>
      <c r="D889" s="49" t="s">
        <v>7</v>
      </c>
      <c r="E889" s="50">
        <v>2.1000000000000001E-2</v>
      </c>
      <c r="F889" s="108">
        <v>0</v>
      </c>
      <c r="G889" s="51">
        <v>43922</v>
      </c>
      <c r="H889" s="46">
        <v>0</v>
      </c>
      <c r="I889" s="49" t="str">
        <f ca="1"/>
        <v>渋谷 雄大</v>
      </c>
      <c r="J889" s="109" t="s">
        <v>918</v>
      </c>
      <c r="K889" s="49" t="s">
        <v>50</v>
      </c>
      <c r="L889" s="100" t="s">
        <v>51</v>
      </c>
      <c r="M889" s="107" t="s">
        <v>52</v>
      </c>
    </row>
    <row r="890" spans="1:13" ht="16">
      <c r="A890" s="101" t="str">
        <f t="shared" si="0"/>
        <v>OK</v>
      </c>
      <c r="B890" s="49">
        <v>3700129</v>
      </c>
      <c r="C890" s="49" t="s">
        <v>1020</v>
      </c>
      <c r="D890" s="49" t="s">
        <v>7</v>
      </c>
      <c r="E890" s="50">
        <v>2.1000000000000001E-2</v>
      </c>
      <c r="F890" s="108">
        <v>0</v>
      </c>
      <c r="G890" s="51">
        <v>43922</v>
      </c>
      <c r="H890" s="46">
        <v>0</v>
      </c>
      <c r="I890" s="49" t="str">
        <f ca="1"/>
        <v>渋谷 雄大</v>
      </c>
      <c r="J890" s="109" t="s">
        <v>918</v>
      </c>
      <c r="K890" s="49" t="s">
        <v>50</v>
      </c>
      <c r="L890" s="100" t="s">
        <v>51</v>
      </c>
      <c r="M890" s="107" t="s">
        <v>52</v>
      </c>
    </row>
    <row r="891" spans="1:13" ht="16">
      <c r="A891" s="101" t="str">
        <f t="shared" si="0"/>
        <v>OK</v>
      </c>
      <c r="B891" s="49">
        <v>3700130</v>
      </c>
      <c r="C891" s="49" t="s">
        <v>1021</v>
      </c>
      <c r="D891" s="49" t="s">
        <v>7</v>
      </c>
      <c r="E891" s="50">
        <v>2.1000000000000001E-2</v>
      </c>
      <c r="F891" s="108">
        <v>0</v>
      </c>
      <c r="G891" s="51">
        <v>43922</v>
      </c>
      <c r="H891" s="46">
        <v>0</v>
      </c>
      <c r="I891" s="49" t="str">
        <f ca="1"/>
        <v>渋谷 雄大</v>
      </c>
      <c r="J891" s="109" t="s">
        <v>918</v>
      </c>
      <c r="K891" s="49" t="s">
        <v>50</v>
      </c>
      <c r="L891" s="100" t="s">
        <v>51</v>
      </c>
      <c r="M891" s="107" t="s">
        <v>52</v>
      </c>
    </row>
    <row r="892" spans="1:13" ht="16">
      <c r="A892" s="101" t="str">
        <f t="shared" si="0"/>
        <v>OK</v>
      </c>
      <c r="B892" s="49">
        <v>3700131</v>
      </c>
      <c r="C892" s="49" t="s">
        <v>1022</v>
      </c>
      <c r="D892" s="49" t="s">
        <v>7</v>
      </c>
      <c r="E892" s="50">
        <v>2.1000000000000001E-2</v>
      </c>
      <c r="F892" s="108">
        <v>0</v>
      </c>
      <c r="G892" s="51">
        <v>43922</v>
      </c>
      <c r="H892" s="46">
        <v>0</v>
      </c>
      <c r="I892" s="49" t="str">
        <f ca="1"/>
        <v>渋谷 雄大</v>
      </c>
      <c r="J892" s="109" t="s">
        <v>918</v>
      </c>
      <c r="K892" s="49" t="s">
        <v>50</v>
      </c>
      <c r="L892" s="100" t="s">
        <v>51</v>
      </c>
      <c r="M892" s="107" t="s">
        <v>52</v>
      </c>
    </row>
    <row r="893" spans="1:13" ht="16">
      <c r="A893" s="101" t="str">
        <f t="shared" si="0"/>
        <v>OK</v>
      </c>
      <c r="B893" s="49">
        <v>3700134</v>
      </c>
      <c r="C893" s="49" t="s">
        <v>1023</v>
      </c>
      <c r="D893" s="49" t="s">
        <v>7</v>
      </c>
      <c r="E893" s="50">
        <v>2.1000000000000001E-2</v>
      </c>
      <c r="F893" s="108">
        <v>0</v>
      </c>
      <c r="G893" s="51">
        <v>43922</v>
      </c>
      <c r="H893" s="46">
        <v>0</v>
      </c>
      <c r="I893" s="49" t="str">
        <f ca="1"/>
        <v>渋谷 雄大</v>
      </c>
      <c r="J893" s="109" t="s">
        <v>918</v>
      </c>
      <c r="K893" s="49" t="s">
        <v>50</v>
      </c>
      <c r="L893" s="100" t="s">
        <v>51</v>
      </c>
      <c r="M893" s="107" t="s">
        <v>52</v>
      </c>
    </row>
    <row r="894" spans="1:13" ht="16">
      <c r="A894" s="101" t="str">
        <f t="shared" si="0"/>
        <v>OK</v>
      </c>
      <c r="B894" s="49">
        <v>3700135</v>
      </c>
      <c r="C894" s="49" t="s">
        <v>1024</v>
      </c>
      <c r="D894" s="49" t="s">
        <v>7</v>
      </c>
      <c r="E894" s="50">
        <v>2.1000000000000001E-2</v>
      </c>
      <c r="F894" s="108">
        <v>0</v>
      </c>
      <c r="G894" s="51">
        <v>43922</v>
      </c>
      <c r="H894" s="46">
        <v>0</v>
      </c>
      <c r="I894" s="49" t="str">
        <f ca="1"/>
        <v>渋谷 雄大</v>
      </c>
      <c r="J894" s="109" t="s">
        <v>918</v>
      </c>
      <c r="K894" s="49" t="s">
        <v>50</v>
      </c>
      <c r="L894" s="100" t="s">
        <v>51</v>
      </c>
      <c r="M894" s="107" t="s">
        <v>52</v>
      </c>
    </row>
    <row r="895" spans="1:13" ht="16">
      <c r="A895" s="101" t="str">
        <f t="shared" si="0"/>
        <v>OK</v>
      </c>
      <c r="B895" s="49">
        <v>3700136</v>
      </c>
      <c r="C895" s="49" t="s">
        <v>1025</v>
      </c>
      <c r="D895" s="49" t="s">
        <v>7</v>
      </c>
      <c r="E895" s="50">
        <v>2.1000000000000001E-2</v>
      </c>
      <c r="F895" s="108">
        <v>0</v>
      </c>
      <c r="G895" s="51">
        <v>43922</v>
      </c>
      <c r="H895" s="46">
        <v>0</v>
      </c>
      <c r="I895" s="49" t="str">
        <f ca="1"/>
        <v>渋谷 雄大</v>
      </c>
      <c r="J895" s="109" t="s">
        <v>918</v>
      </c>
      <c r="K895" s="49" t="s">
        <v>50</v>
      </c>
      <c r="L895" s="100" t="s">
        <v>51</v>
      </c>
      <c r="M895" s="107" t="s">
        <v>52</v>
      </c>
    </row>
    <row r="896" spans="1:13" ht="16">
      <c r="A896" s="101" t="str">
        <f t="shared" si="0"/>
        <v>OK</v>
      </c>
      <c r="B896" s="49">
        <v>3700137</v>
      </c>
      <c r="C896" s="49" t="s">
        <v>1026</v>
      </c>
      <c r="D896" s="49" t="s">
        <v>7</v>
      </c>
      <c r="E896" s="50">
        <v>2.1000000000000001E-2</v>
      </c>
      <c r="F896" s="108">
        <v>0</v>
      </c>
      <c r="G896" s="51">
        <v>43922</v>
      </c>
      <c r="H896" s="46">
        <v>0</v>
      </c>
      <c r="I896" s="49" t="str">
        <f ca="1"/>
        <v>渋谷 雄大</v>
      </c>
      <c r="J896" s="109" t="s">
        <v>918</v>
      </c>
      <c r="K896" s="49" t="s">
        <v>50</v>
      </c>
      <c r="L896" s="100" t="s">
        <v>51</v>
      </c>
      <c r="M896" s="107" t="s">
        <v>52</v>
      </c>
    </row>
    <row r="897" spans="1:13" ht="16">
      <c r="A897" s="101" t="str">
        <f t="shared" si="0"/>
        <v>OK</v>
      </c>
      <c r="B897" s="49">
        <v>3700138</v>
      </c>
      <c r="C897" s="49" t="s">
        <v>1027</v>
      </c>
      <c r="D897" s="49" t="s">
        <v>7</v>
      </c>
      <c r="E897" s="50">
        <v>2.1000000000000001E-2</v>
      </c>
      <c r="F897" s="108">
        <v>0</v>
      </c>
      <c r="G897" s="51">
        <v>43922</v>
      </c>
      <c r="H897" s="46">
        <v>0</v>
      </c>
      <c r="I897" s="49" t="str">
        <f ca="1"/>
        <v>渋谷 雄大</v>
      </c>
      <c r="J897" s="109" t="s">
        <v>918</v>
      </c>
      <c r="K897" s="49" t="s">
        <v>50</v>
      </c>
      <c r="L897" s="100" t="s">
        <v>51</v>
      </c>
      <c r="M897" s="107" t="s">
        <v>52</v>
      </c>
    </row>
    <row r="898" spans="1:13" ht="16">
      <c r="A898" s="101" t="str">
        <f t="shared" si="0"/>
        <v>OK</v>
      </c>
      <c r="B898" s="49">
        <v>3700139</v>
      </c>
      <c r="C898" s="49" t="s">
        <v>1028</v>
      </c>
      <c r="D898" s="49" t="s">
        <v>7</v>
      </c>
      <c r="E898" s="50">
        <v>2.1000000000000001E-2</v>
      </c>
      <c r="F898" s="108">
        <v>0</v>
      </c>
      <c r="G898" s="51">
        <v>43922</v>
      </c>
      <c r="H898" s="46">
        <v>0</v>
      </c>
      <c r="I898" s="49" t="str">
        <f ca="1"/>
        <v>渋谷 雄大</v>
      </c>
      <c r="J898" s="109" t="s">
        <v>918</v>
      </c>
      <c r="K898" s="49" t="s">
        <v>50</v>
      </c>
      <c r="L898" s="100" t="s">
        <v>51</v>
      </c>
      <c r="M898" s="107" t="s">
        <v>52</v>
      </c>
    </row>
    <row r="899" spans="1:13" ht="16">
      <c r="A899" s="101" t="str">
        <f t="shared" si="0"/>
        <v>OK</v>
      </c>
      <c r="B899" s="49">
        <v>3700141</v>
      </c>
      <c r="C899" s="49" t="s">
        <v>1029</v>
      </c>
      <c r="D899" s="49" t="s">
        <v>7</v>
      </c>
      <c r="E899" s="50">
        <v>2.1000000000000001E-2</v>
      </c>
      <c r="F899" s="108">
        <v>0</v>
      </c>
      <c r="G899" s="51">
        <v>43922</v>
      </c>
      <c r="H899" s="46">
        <v>0</v>
      </c>
      <c r="I899" s="49" t="str">
        <f ca="1"/>
        <v>渋谷 雄大</v>
      </c>
      <c r="J899" s="109" t="s">
        <v>918</v>
      </c>
      <c r="K899" s="49" t="s">
        <v>50</v>
      </c>
      <c r="L899" s="100" t="s">
        <v>51</v>
      </c>
      <c r="M899" s="107" t="s">
        <v>52</v>
      </c>
    </row>
    <row r="900" spans="1:13" ht="16">
      <c r="A900" s="101" t="str">
        <f t="shared" si="0"/>
        <v>OK</v>
      </c>
      <c r="B900" s="49">
        <v>3700142</v>
      </c>
      <c r="C900" s="49" t="s">
        <v>1030</v>
      </c>
      <c r="D900" s="49" t="s">
        <v>7</v>
      </c>
      <c r="E900" s="50">
        <v>2.1000000000000001E-2</v>
      </c>
      <c r="F900" s="108">
        <v>275</v>
      </c>
      <c r="G900" s="51">
        <v>43922</v>
      </c>
      <c r="H900" s="46">
        <v>0</v>
      </c>
      <c r="I900" s="49" t="str">
        <f ca="1"/>
        <v>渋谷 雄大</v>
      </c>
      <c r="J900" s="109" t="s">
        <v>918</v>
      </c>
      <c r="K900" s="49" t="s">
        <v>50</v>
      </c>
      <c r="L900" s="100" t="s">
        <v>51</v>
      </c>
      <c r="M900" s="107" t="s">
        <v>52</v>
      </c>
    </row>
    <row r="901" spans="1:13" ht="16">
      <c r="A901" s="101" t="str">
        <f t="shared" si="0"/>
        <v>OK</v>
      </c>
      <c r="B901" s="49">
        <v>3700143</v>
      </c>
      <c r="C901" s="49" t="s">
        <v>1031</v>
      </c>
      <c r="D901" s="49" t="s">
        <v>7</v>
      </c>
      <c r="E901" s="50">
        <v>2.1000000000000001E-2</v>
      </c>
      <c r="F901" s="108">
        <v>0</v>
      </c>
      <c r="G901" s="51">
        <v>43922</v>
      </c>
      <c r="H901" s="46">
        <v>0</v>
      </c>
      <c r="I901" s="49" t="str">
        <f ca="1"/>
        <v>渋谷 雄大</v>
      </c>
      <c r="J901" s="109" t="s">
        <v>918</v>
      </c>
      <c r="K901" s="49" t="s">
        <v>50</v>
      </c>
      <c r="L901" s="100" t="s">
        <v>51</v>
      </c>
      <c r="M901" s="107" t="s">
        <v>52</v>
      </c>
    </row>
    <row r="902" spans="1:13" ht="16">
      <c r="A902" s="101" t="str">
        <f t="shared" si="0"/>
        <v>OK</v>
      </c>
      <c r="B902" s="49">
        <v>3700144</v>
      </c>
      <c r="C902" s="49" t="s">
        <v>1032</v>
      </c>
      <c r="D902" s="49" t="s">
        <v>7</v>
      </c>
      <c r="E902" s="50">
        <v>2.1000000000000001E-2</v>
      </c>
      <c r="F902" s="108">
        <v>0</v>
      </c>
      <c r="G902" s="51">
        <v>43922</v>
      </c>
      <c r="H902" s="46">
        <v>0</v>
      </c>
      <c r="I902" s="49" t="str">
        <f ca="1"/>
        <v>渋谷 雄大</v>
      </c>
      <c r="J902" s="109" t="s">
        <v>918</v>
      </c>
      <c r="K902" s="49" t="s">
        <v>50</v>
      </c>
      <c r="L902" s="100" t="s">
        <v>51</v>
      </c>
      <c r="M902" s="107" t="s">
        <v>52</v>
      </c>
    </row>
    <row r="903" spans="1:13" ht="16">
      <c r="A903" s="101" t="str">
        <f t="shared" si="0"/>
        <v>OK</v>
      </c>
      <c r="B903" s="49">
        <v>3700145</v>
      </c>
      <c r="C903" s="49" t="s">
        <v>1033</v>
      </c>
      <c r="D903" s="49" t="s">
        <v>7</v>
      </c>
      <c r="E903" s="50">
        <v>2.1000000000000001E-2</v>
      </c>
      <c r="F903" s="108">
        <v>0</v>
      </c>
      <c r="G903" s="51">
        <v>43922</v>
      </c>
      <c r="H903" s="46">
        <v>0</v>
      </c>
      <c r="I903" s="49" t="str">
        <f ca="1"/>
        <v>渋谷 雄大</v>
      </c>
      <c r="J903" s="109" t="s">
        <v>918</v>
      </c>
      <c r="K903" s="49" t="s">
        <v>50</v>
      </c>
      <c r="L903" s="100" t="s">
        <v>51</v>
      </c>
      <c r="M903" s="107" t="s">
        <v>52</v>
      </c>
    </row>
    <row r="904" spans="1:13" ht="16">
      <c r="A904" s="101" t="str">
        <f t="shared" si="0"/>
        <v>OK</v>
      </c>
      <c r="B904" s="49">
        <v>3700146</v>
      </c>
      <c r="C904" s="49" t="s">
        <v>1034</v>
      </c>
      <c r="D904" s="49" t="s">
        <v>7</v>
      </c>
      <c r="E904" s="50">
        <v>2.1000000000000001E-2</v>
      </c>
      <c r="F904" s="108">
        <v>378</v>
      </c>
      <c r="G904" s="51">
        <v>43922</v>
      </c>
      <c r="H904" s="46">
        <v>0</v>
      </c>
      <c r="I904" s="49" t="str">
        <f ca="1"/>
        <v>渋谷 雄大</v>
      </c>
      <c r="J904" s="109" t="s">
        <v>918</v>
      </c>
      <c r="K904" s="49" t="s">
        <v>50</v>
      </c>
      <c r="L904" s="100" t="s">
        <v>51</v>
      </c>
      <c r="M904" s="107" t="s">
        <v>52</v>
      </c>
    </row>
    <row r="905" spans="1:13" ht="16">
      <c r="A905" s="101" t="str">
        <f t="shared" si="0"/>
        <v>OK</v>
      </c>
      <c r="B905" s="49">
        <v>3700147</v>
      </c>
      <c r="C905" s="49" t="s">
        <v>1035</v>
      </c>
      <c r="D905" s="49" t="s">
        <v>7</v>
      </c>
      <c r="E905" s="50">
        <v>2.1000000000000001E-2</v>
      </c>
      <c r="F905" s="108">
        <v>0</v>
      </c>
      <c r="G905" s="51">
        <v>43922</v>
      </c>
      <c r="H905" s="46">
        <v>0</v>
      </c>
      <c r="I905" s="49" t="str">
        <f ca="1"/>
        <v>渋谷 雄大</v>
      </c>
      <c r="J905" s="109" t="s">
        <v>918</v>
      </c>
      <c r="K905" s="49" t="s">
        <v>50</v>
      </c>
      <c r="L905" s="100" t="s">
        <v>51</v>
      </c>
      <c r="M905" s="107" t="s">
        <v>52</v>
      </c>
    </row>
    <row r="906" spans="1:13" ht="16">
      <c r="A906" s="101" t="str">
        <f t="shared" si="0"/>
        <v>OK</v>
      </c>
      <c r="B906" s="49">
        <v>3700148</v>
      </c>
      <c r="C906" s="49" t="s">
        <v>1036</v>
      </c>
      <c r="D906" s="49" t="s">
        <v>7</v>
      </c>
      <c r="E906" s="50">
        <v>2.1000000000000001E-2</v>
      </c>
      <c r="F906" s="108">
        <v>0</v>
      </c>
      <c r="G906" s="51">
        <v>43922</v>
      </c>
      <c r="H906" s="46">
        <v>0</v>
      </c>
      <c r="I906" s="49" t="str">
        <f ca="1"/>
        <v>渋谷 雄大</v>
      </c>
      <c r="J906" s="109" t="s">
        <v>918</v>
      </c>
      <c r="K906" s="49" t="s">
        <v>50</v>
      </c>
      <c r="L906" s="100" t="s">
        <v>51</v>
      </c>
      <c r="M906" s="107" t="s">
        <v>52</v>
      </c>
    </row>
    <row r="907" spans="1:13" ht="16">
      <c r="A907" s="101" t="str">
        <f t="shared" si="0"/>
        <v>OK</v>
      </c>
      <c r="B907" s="49">
        <v>3700149</v>
      </c>
      <c r="C907" s="49" t="s">
        <v>1037</v>
      </c>
      <c r="D907" s="49" t="s">
        <v>7</v>
      </c>
      <c r="E907" s="50">
        <v>2.1000000000000001E-2</v>
      </c>
      <c r="F907" s="108">
        <v>0</v>
      </c>
      <c r="G907" s="51">
        <v>43922</v>
      </c>
      <c r="H907" s="46">
        <v>0</v>
      </c>
      <c r="I907" s="49" t="str">
        <f ca="1"/>
        <v>渋谷 雄大</v>
      </c>
      <c r="J907" s="109" t="s">
        <v>918</v>
      </c>
      <c r="K907" s="49" t="s">
        <v>50</v>
      </c>
      <c r="L907" s="100" t="s">
        <v>51</v>
      </c>
      <c r="M907" s="107" t="s">
        <v>52</v>
      </c>
    </row>
    <row r="908" spans="1:13" ht="16">
      <c r="A908" s="101" t="str">
        <f t="shared" si="0"/>
        <v>OK</v>
      </c>
      <c r="B908" s="49">
        <v>3700150</v>
      </c>
      <c r="C908" s="49" t="s">
        <v>1038</v>
      </c>
      <c r="D908" s="49" t="s">
        <v>7</v>
      </c>
      <c r="E908" s="50">
        <v>2.1000000000000001E-2</v>
      </c>
      <c r="F908" s="108">
        <v>0</v>
      </c>
      <c r="G908" s="51">
        <v>43922</v>
      </c>
      <c r="H908" s="46">
        <v>0</v>
      </c>
      <c r="I908" s="49" t="str">
        <f ca="1"/>
        <v>渋谷 雄大</v>
      </c>
      <c r="J908" s="109" t="s">
        <v>918</v>
      </c>
      <c r="K908" s="49" t="s">
        <v>50</v>
      </c>
      <c r="L908" s="100" t="s">
        <v>51</v>
      </c>
      <c r="M908" s="107" t="s">
        <v>52</v>
      </c>
    </row>
    <row r="909" spans="1:13" ht="16">
      <c r="A909" s="101" t="str">
        <f t="shared" si="0"/>
        <v>OK</v>
      </c>
      <c r="B909" s="49">
        <v>3700151</v>
      </c>
      <c r="C909" s="49" t="s">
        <v>1039</v>
      </c>
      <c r="D909" s="49" t="s">
        <v>7</v>
      </c>
      <c r="E909" s="50">
        <v>2.1000000000000001E-2</v>
      </c>
      <c r="F909" s="108">
        <v>0</v>
      </c>
      <c r="G909" s="51">
        <v>43922</v>
      </c>
      <c r="H909" s="46">
        <v>0</v>
      </c>
      <c r="I909" s="49" t="str">
        <f ca="1"/>
        <v>渋谷 雄大</v>
      </c>
      <c r="J909" s="109" t="s">
        <v>918</v>
      </c>
      <c r="K909" s="49" t="s">
        <v>50</v>
      </c>
      <c r="L909" s="100" t="s">
        <v>51</v>
      </c>
      <c r="M909" s="107" t="s">
        <v>52</v>
      </c>
    </row>
    <row r="910" spans="1:13" ht="16">
      <c r="A910" s="101" t="str">
        <f t="shared" si="0"/>
        <v>OK</v>
      </c>
      <c r="B910" s="49">
        <v>3700152</v>
      </c>
      <c r="C910" s="49" t="s">
        <v>1040</v>
      </c>
      <c r="D910" s="49" t="s">
        <v>7</v>
      </c>
      <c r="E910" s="50">
        <v>2.1000000000000001E-2</v>
      </c>
      <c r="F910" s="108">
        <v>0</v>
      </c>
      <c r="G910" s="51">
        <v>43922</v>
      </c>
      <c r="H910" s="46">
        <v>0</v>
      </c>
      <c r="I910" s="49" t="str">
        <f ca="1"/>
        <v>渋谷 雄大</v>
      </c>
      <c r="J910" s="109" t="s">
        <v>918</v>
      </c>
      <c r="K910" s="49" t="s">
        <v>50</v>
      </c>
      <c r="L910" s="100" t="s">
        <v>51</v>
      </c>
      <c r="M910" s="107" t="s">
        <v>52</v>
      </c>
    </row>
    <row r="911" spans="1:13" ht="16">
      <c r="A911" s="101" t="str">
        <f t="shared" si="0"/>
        <v>OK</v>
      </c>
      <c r="B911" s="49">
        <v>3700154</v>
      </c>
      <c r="C911" s="49" t="s">
        <v>1041</v>
      </c>
      <c r="D911" s="49" t="s">
        <v>7</v>
      </c>
      <c r="E911" s="50">
        <v>2.1000000000000001E-2</v>
      </c>
      <c r="F911" s="108">
        <v>0</v>
      </c>
      <c r="G911" s="51">
        <v>43922</v>
      </c>
      <c r="H911" s="46">
        <v>0</v>
      </c>
      <c r="I911" s="49" t="str">
        <f ca="1"/>
        <v>渋谷 雄大</v>
      </c>
      <c r="J911" s="109" t="s">
        <v>918</v>
      </c>
      <c r="K911" s="49" t="s">
        <v>50</v>
      </c>
      <c r="L911" s="100" t="s">
        <v>51</v>
      </c>
      <c r="M911" s="107" t="s">
        <v>52</v>
      </c>
    </row>
    <row r="912" spans="1:13" ht="16">
      <c r="A912" s="101" t="str">
        <f t="shared" si="0"/>
        <v>OK</v>
      </c>
      <c r="B912" s="49">
        <v>3700156</v>
      </c>
      <c r="C912" s="49" t="s">
        <v>1042</v>
      </c>
      <c r="D912" s="49" t="s">
        <v>7</v>
      </c>
      <c r="E912" s="50">
        <v>2.1000000000000001E-2</v>
      </c>
      <c r="F912" s="108">
        <v>0</v>
      </c>
      <c r="G912" s="51">
        <v>43922</v>
      </c>
      <c r="H912" s="46">
        <v>0</v>
      </c>
      <c r="I912" s="49" t="str">
        <f ca="1"/>
        <v>渋谷 雄大</v>
      </c>
      <c r="J912" s="109" t="s">
        <v>918</v>
      </c>
      <c r="K912" s="49" t="s">
        <v>50</v>
      </c>
      <c r="L912" s="100" t="s">
        <v>51</v>
      </c>
      <c r="M912" s="107" t="s">
        <v>52</v>
      </c>
    </row>
    <row r="913" spans="1:13" ht="16">
      <c r="A913" s="101" t="str">
        <f t="shared" si="0"/>
        <v>OK</v>
      </c>
      <c r="B913" s="49">
        <v>3700157</v>
      </c>
      <c r="C913" s="49" t="s">
        <v>1043</v>
      </c>
      <c r="D913" s="49" t="s">
        <v>7</v>
      </c>
      <c r="E913" s="50">
        <v>2.1000000000000001E-2</v>
      </c>
      <c r="F913" s="108">
        <v>0</v>
      </c>
      <c r="G913" s="51">
        <v>43922</v>
      </c>
      <c r="H913" s="46">
        <v>0</v>
      </c>
      <c r="I913" s="49" t="str">
        <f ca="1"/>
        <v>渋谷 雄大</v>
      </c>
      <c r="J913" s="109" t="s">
        <v>918</v>
      </c>
      <c r="K913" s="49" t="s">
        <v>50</v>
      </c>
      <c r="L913" s="100" t="s">
        <v>51</v>
      </c>
      <c r="M913" s="107" t="s">
        <v>52</v>
      </c>
    </row>
    <row r="914" spans="1:13" ht="16">
      <c r="A914" s="101" t="str">
        <f t="shared" si="0"/>
        <v>OK</v>
      </c>
      <c r="B914" s="49">
        <v>3700158</v>
      </c>
      <c r="C914" s="49" t="s">
        <v>1044</v>
      </c>
      <c r="D914" s="49" t="s">
        <v>7</v>
      </c>
      <c r="E914" s="50">
        <v>2.1000000000000001E-2</v>
      </c>
      <c r="F914" s="108">
        <v>133</v>
      </c>
      <c r="G914" s="51">
        <v>43922</v>
      </c>
      <c r="H914" s="46">
        <v>0</v>
      </c>
      <c r="I914" s="49" t="str">
        <f ca="1"/>
        <v>渋谷 雄大</v>
      </c>
      <c r="J914" s="109" t="s">
        <v>918</v>
      </c>
      <c r="K914" s="49" t="s">
        <v>50</v>
      </c>
      <c r="L914" s="100" t="s">
        <v>51</v>
      </c>
      <c r="M914" s="107" t="s">
        <v>52</v>
      </c>
    </row>
    <row r="915" spans="1:13" ht="16">
      <c r="A915" s="101" t="str">
        <f t="shared" si="0"/>
        <v>OK</v>
      </c>
      <c r="B915" s="49">
        <v>3700159</v>
      </c>
      <c r="C915" s="49" t="s">
        <v>1045</v>
      </c>
      <c r="D915" s="49" t="s">
        <v>7</v>
      </c>
      <c r="E915" s="50">
        <v>2.1000000000000001E-2</v>
      </c>
      <c r="F915" s="108">
        <v>0</v>
      </c>
      <c r="G915" s="51">
        <v>43922</v>
      </c>
      <c r="H915" s="46">
        <v>0</v>
      </c>
      <c r="I915" s="49" t="str">
        <f ca="1"/>
        <v>渋谷 雄大</v>
      </c>
      <c r="J915" s="109" t="s">
        <v>918</v>
      </c>
      <c r="K915" s="49" t="s">
        <v>50</v>
      </c>
      <c r="L915" s="100" t="s">
        <v>51</v>
      </c>
      <c r="M915" s="107" t="s">
        <v>52</v>
      </c>
    </row>
    <row r="916" spans="1:13" ht="16">
      <c r="A916" s="101" t="str">
        <f t="shared" si="0"/>
        <v>OK</v>
      </c>
      <c r="B916" s="49">
        <v>3700160</v>
      </c>
      <c r="C916" s="49" t="s">
        <v>1046</v>
      </c>
      <c r="D916" s="49" t="s">
        <v>7</v>
      </c>
      <c r="E916" s="50">
        <v>2.1000000000000001E-2</v>
      </c>
      <c r="F916" s="108">
        <v>0</v>
      </c>
      <c r="G916" s="51">
        <v>43922</v>
      </c>
      <c r="H916" s="46">
        <v>0</v>
      </c>
      <c r="I916" s="49" t="str">
        <f ca="1"/>
        <v>渋谷 雄大</v>
      </c>
      <c r="J916" s="109" t="s">
        <v>918</v>
      </c>
      <c r="K916" s="49" t="s">
        <v>50</v>
      </c>
      <c r="L916" s="100" t="s">
        <v>51</v>
      </c>
      <c r="M916" s="107" t="s">
        <v>52</v>
      </c>
    </row>
    <row r="917" spans="1:13" ht="16">
      <c r="A917" s="101" t="str">
        <f t="shared" si="0"/>
        <v>OK</v>
      </c>
      <c r="B917" s="49">
        <v>3700166</v>
      </c>
      <c r="C917" s="49" t="s">
        <v>1047</v>
      </c>
      <c r="D917" s="49" t="s">
        <v>7</v>
      </c>
      <c r="E917" s="50">
        <v>2.1000000000000001E-2</v>
      </c>
      <c r="F917" s="108">
        <v>0</v>
      </c>
      <c r="G917" s="51">
        <v>43922</v>
      </c>
      <c r="H917" s="46">
        <v>0</v>
      </c>
      <c r="I917" s="49" t="str">
        <f ca="1"/>
        <v>渋谷 雄大</v>
      </c>
      <c r="J917" s="109" t="s">
        <v>918</v>
      </c>
      <c r="K917" s="49" t="s">
        <v>50</v>
      </c>
      <c r="L917" s="100" t="s">
        <v>51</v>
      </c>
      <c r="M917" s="107" t="s">
        <v>52</v>
      </c>
    </row>
    <row r="918" spans="1:13" ht="16">
      <c r="A918" s="101" t="str">
        <f t="shared" si="0"/>
        <v>OK</v>
      </c>
      <c r="B918" s="49">
        <v>3700167</v>
      </c>
      <c r="C918" s="49" t="s">
        <v>1048</v>
      </c>
      <c r="D918" s="49" t="s">
        <v>7</v>
      </c>
      <c r="E918" s="50">
        <v>2.1000000000000001E-2</v>
      </c>
      <c r="F918" s="108">
        <v>0</v>
      </c>
      <c r="G918" s="51">
        <v>43922</v>
      </c>
      <c r="H918" s="46">
        <v>0</v>
      </c>
      <c r="I918" s="49" t="str">
        <f ca="1"/>
        <v>渋谷 雄大</v>
      </c>
      <c r="J918" s="109" t="s">
        <v>918</v>
      </c>
      <c r="K918" s="49" t="s">
        <v>50</v>
      </c>
      <c r="L918" s="100" t="s">
        <v>51</v>
      </c>
      <c r="M918" s="107" t="s">
        <v>52</v>
      </c>
    </row>
    <row r="919" spans="1:13" ht="16">
      <c r="A919" s="101" t="str">
        <f t="shared" si="0"/>
        <v>OK</v>
      </c>
      <c r="B919" s="49">
        <v>3700168</v>
      </c>
      <c r="C919" s="49" t="s">
        <v>1049</v>
      </c>
      <c r="D919" s="49" t="s">
        <v>7</v>
      </c>
      <c r="E919" s="50">
        <v>2.1000000000000001E-2</v>
      </c>
      <c r="F919" s="108">
        <v>0</v>
      </c>
      <c r="G919" s="51">
        <v>43922</v>
      </c>
      <c r="H919" s="46">
        <v>0</v>
      </c>
      <c r="I919" s="49" t="str">
        <f ca="1"/>
        <v>渋谷 雄大</v>
      </c>
      <c r="J919" s="109" t="s">
        <v>918</v>
      </c>
      <c r="K919" s="49" t="s">
        <v>50</v>
      </c>
      <c r="L919" s="100" t="s">
        <v>51</v>
      </c>
      <c r="M919" s="107" t="s">
        <v>52</v>
      </c>
    </row>
    <row r="920" spans="1:13" ht="16">
      <c r="A920" s="101" t="str">
        <f t="shared" si="0"/>
        <v>OK</v>
      </c>
      <c r="B920" s="49">
        <v>3700169</v>
      </c>
      <c r="C920" s="49" t="s">
        <v>1050</v>
      </c>
      <c r="D920" s="49" t="s">
        <v>7</v>
      </c>
      <c r="E920" s="50">
        <v>2.1000000000000001E-2</v>
      </c>
      <c r="F920" s="108">
        <v>0</v>
      </c>
      <c r="G920" s="51">
        <v>43922</v>
      </c>
      <c r="H920" s="46">
        <v>0</v>
      </c>
      <c r="I920" s="49" t="str">
        <f ca="1"/>
        <v>渋谷 雄大</v>
      </c>
      <c r="J920" s="109" t="s">
        <v>918</v>
      </c>
      <c r="K920" s="49" t="s">
        <v>50</v>
      </c>
      <c r="L920" s="100" t="s">
        <v>51</v>
      </c>
      <c r="M920" s="107" t="s">
        <v>52</v>
      </c>
    </row>
    <row r="921" spans="1:13" ht="16">
      <c r="A921" s="101" t="str">
        <f t="shared" si="0"/>
        <v>OK</v>
      </c>
      <c r="B921" s="49">
        <v>3700171</v>
      </c>
      <c r="C921" s="49" t="s">
        <v>1051</v>
      </c>
      <c r="D921" s="49" t="s">
        <v>7</v>
      </c>
      <c r="E921" s="50">
        <v>2.1000000000000001E-2</v>
      </c>
      <c r="F921" s="108">
        <v>0</v>
      </c>
      <c r="G921" s="51">
        <v>43922</v>
      </c>
      <c r="H921" s="46">
        <v>0</v>
      </c>
      <c r="I921" s="49" t="str">
        <f ca="1"/>
        <v>渋谷 雄大</v>
      </c>
      <c r="J921" s="109" t="s">
        <v>918</v>
      </c>
      <c r="K921" s="49" t="s">
        <v>50</v>
      </c>
      <c r="L921" s="100" t="s">
        <v>51</v>
      </c>
      <c r="M921" s="107" t="s">
        <v>52</v>
      </c>
    </row>
    <row r="922" spans="1:13" ht="16">
      <c r="A922" s="101" t="str">
        <f t="shared" si="0"/>
        <v>OK</v>
      </c>
      <c r="B922" s="49">
        <v>3700172</v>
      </c>
      <c r="C922" s="49" t="s">
        <v>1052</v>
      </c>
      <c r="D922" s="49" t="s">
        <v>7</v>
      </c>
      <c r="E922" s="50">
        <v>2.1000000000000001E-2</v>
      </c>
      <c r="F922" s="108">
        <v>0</v>
      </c>
      <c r="G922" s="51">
        <v>43922</v>
      </c>
      <c r="H922" s="46">
        <v>0</v>
      </c>
      <c r="I922" s="49" t="str">
        <f ca="1"/>
        <v>渋谷 雄大</v>
      </c>
      <c r="J922" s="109" t="s">
        <v>918</v>
      </c>
      <c r="K922" s="49" t="s">
        <v>50</v>
      </c>
      <c r="L922" s="100" t="s">
        <v>51</v>
      </c>
      <c r="M922" s="107" t="s">
        <v>52</v>
      </c>
    </row>
    <row r="923" spans="1:13" ht="16">
      <c r="A923" s="101" t="str">
        <f t="shared" si="0"/>
        <v>OK</v>
      </c>
      <c r="B923" s="49">
        <v>3700173</v>
      </c>
      <c r="C923" s="49" t="s">
        <v>1053</v>
      </c>
      <c r="D923" s="49" t="s">
        <v>7</v>
      </c>
      <c r="E923" s="50">
        <v>2.1000000000000001E-2</v>
      </c>
      <c r="F923" s="108">
        <v>0</v>
      </c>
      <c r="G923" s="51">
        <v>43922</v>
      </c>
      <c r="H923" s="46">
        <v>0</v>
      </c>
      <c r="I923" s="49" t="str">
        <f ca="1"/>
        <v>渋谷 雄大</v>
      </c>
      <c r="J923" s="109" t="s">
        <v>918</v>
      </c>
      <c r="K923" s="49" t="s">
        <v>50</v>
      </c>
      <c r="L923" s="100" t="s">
        <v>51</v>
      </c>
      <c r="M923" s="107" t="s">
        <v>52</v>
      </c>
    </row>
    <row r="924" spans="1:13" ht="16">
      <c r="A924" s="101" t="str">
        <f t="shared" si="0"/>
        <v>OK</v>
      </c>
      <c r="B924" s="49">
        <v>3700174</v>
      </c>
      <c r="C924" s="49" t="s">
        <v>1054</v>
      </c>
      <c r="D924" s="49" t="s">
        <v>7</v>
      </c>
      <c r="E924" s="50">
        <v>2.1000000000000001E-2</v>
      </c>
      <c r="F924" s="108">
        <v>0</v>
      </c>
      <c r="G924" s="51">
        <v>43922</v>
      </c>
      <c r="H924" s="46">
        <v>0</v>
      </c>
      <c r="I924" s="49" t="str">
        <f ca="1"/>
        <v>渋谷 雄大</v>
      </c>
      <c r="J924" s="109" t="s">
        <v>918</v>
      </c>
      <c r="K924" s="49" t="s">
        <v>50</v>
      </c>
      <c r="L924" s="100" t="s">
        <v>51</v>
      </c>
      <c r="M924" s="107" t="s">
        <v>52</v>
      </c>
    </row>
    <row r="925" spans="1:13" ht="16">
      <c r="A925" s="101" t="str">
        <f t="shared" si="0"/>
        <v>OK</v>
      </c>
      <c r="B925" s="49">
        <v>3700175</v>
      </c>
      <c r="C925" s="49" t="s">
        <v>1055</v>
      </c>
      <c r="D925" s="49" t="s">
        <v>7</v>
      </c>
      <c r="E925" s="50">
        <v>2.1000000000000001E-2</v>
      </c>
      <c r="F925" s="108">
        <v>0</v>
      </c>
      <c r="G925" s="51">
        <v>43922</v>
      </c>
      <c r="H925" s="46">
        <v>0</v>
      </c>
      <c r="I925" s="49" t="str">
        <f ca="1"/>
        <v>渋谷 雄大</v>
      </c>
      <c r="J925" s="109" t="s">
        <v>918</v>
      </c>
      <c r="K925" s="49" t="s">
        <v>50</v>
      </c>
      <c r="L925" s="100" t="s">
        <v>51</v>
      </c>
      <c r="M925" s="107" t="s">
        <v>52</v>
      </c>
    </row>
    <row r="926" spans="1:13" ht="16">
      <c r="A926" s="101" t="str">
        <f t="shared" si="0"/>
        <v>OK</v>
      </c>
      <c r="B926" s="49">
        <v>3700176</v>
      </c>
      <c r="C926" s="49" t="s">
        <v>1056</v>
      </c>
      <c r="D926" s="49" t="s">
        <v>7</v>
      </c>
      <c r="E926" s="50">
        <v>2.1000000000000001E-2</v>
      </c>
      <c r="F926" s="108">
        <v>0</v>
      </c>
      <c r="G926" s="51">
        <v>43922</v>
      </c>
      <c r="H926" s="46">
        <v>0</v>
      </c>
      <c r="I926" s="49" t="str">
        <f ca="1"/>
        <v>渋谷 雄大</v>
      </c>
      <c r="J926" s="109" t="s">
        <v>918</v>
      </c>
      <c r="K926" s="49" t="s">
        <v>50</v>
      </c>
      <c r="L926" s="100" t="s">
        <v>51</v>
      </c>
      <c r="M926" s="107" t="s">
        <v>52</v>
      </c>
    </row>
    <row r="927" spans="1:13" ht="16">
      <c r="A927" s="101" t="str">
        <f t="shared" si="0"/>
        <v>OK</v>
      </c>
      <c r="B927" s="49">
        <v>3700177</v>
      </c>
      <c r="C927" s="49" t="s">
        <v>1057</v>
      </c>
      <c r="D927" s="49" t="s">
        <v>7</v>
      </c>
      <c r="E927" s="50">
        <v>2.1000000000000001E-2</v>
      </c>
      <c r="F927" s="108">
        <v>308</v>
      </c>
      <c r="G927" s="51">
        <v>43922</v>
      </c>
      <c r="H927" s="46">
        <v>0</v>
      </c>
      <c r="I927" s="49" t="str">
        <f ca="1"/>
        <v>渋谷 雄大</v>
      </c>
      <c r="J927" s="109" t="s">
        <v>918</v>
      </c>
      <c r="K927" s="49" t="s">
        <v>50</v>
      </c>
      <c r="L927" s="100" t="s">
        <v>51</v>
      </c>
      <c r="M927" s="107" t="s">
        <v>52</v>
      </c>
    </row>
    <row r="928" spans="1:13" ht="16">
      <c r="A928" s="101" t="str">
        <f t="shared" si="0"/>
        <v>OK</v>
      </c>
      <c r="B928" s="49">
        <v>3700178</v>
      </c>
      <c r="C928" s="49" t="s">
        <v>1058</v>
      </c>
      <c r="D928" s="49" t="s">
        <v>7</v>
      </c>
      <c r="E928" s="50">
        <v>2.1000000000000001E-2</v>
      </c>
      <c r="F928" s="108">
        <v>0</v>
      </c>
      <c r="G928" s="51">
        <v>43922</v>
      </c>
      <c r="H928" s="46">
        <v>0</v>
      </c>
      <c r="I928" s="49" t="str">
        <f ca="1"/>
        <v>渋谷 雄大</v>
      </c>
      <c r="J928" s="109" t="s">
        <v>918</v>
      </c>
      <c r="K928" s="49" t="s">
        <v>50</v>
      </c>
      <c r="L928" s="100" t="s">
        <v>51</v>
      </c>
      <c r="M928" s="107" t="s">
        <v>52</v>
      </c>
    </row>
    <row r="929" spans="1:13" ht="16">
      <c r="A929" s="101" t="str">
        <f t="shared" si="0"/>
        <v>OK</v>
      </c>
      <c r="B929" s="49">
        <v>3700179</v>
      </c>
      <c r="C929" s="49" t="s">
        <v>1059</v>
      </c>
      <c r="D929" s="49" t="s">
        <v>7</v>
      </c>
      <c r="E929" s="50">
        <v>2.1000000000000001E-2</v>
      </c>
      <c r="F929" s="108">
        <v>0</v>
      </c>
      <c r="G929" s="51">
        <v>43922</v>
      </c>
      <c r="H929" s="46">
        <v>0</v>
      </c>
      <c r="I929" s="49" t="str">
        <f ca="1"/>
        <v>渋谷 雄大</v>
      </c>
      <c r="J929" s="109" t="s">
        <v>918</v>
      </c>
      <c r="K929" s="49" t="s">
        <v>50</v>
      </c>
      <c r="L929" s="100" t="s">
        <v>51</v>
      </c>
      <c r="M929" s="107" t="s">
        <v>52</v>
      </c>
    </row>
    <row r="930" spans="1:13" ht="16">
      <c r="A930" s="101" t="str">
        <f t="shared" si="0"/>
        <v>OK</v>
      </c>
      <c r="B930" s="49">
        <v>3700180</v>
      </c>
      <c r="C930" s="49" t="s">
        <v>1060</v>
      </c>
      <c r="D930" s="49" t="s">
        <v>7</v>
      </c>
      <c r="E930" s="50">
        <v>2.1000000000000001E-2</v>
      </c>
      <c r="F930" s="108">
        <v>0</v>
      </c>
      <c r="G930" s="51">
        <v>43922</v>
      </c>
      <c r="H930" s="46">
        <v>0</v>
      </c>
      <c r="I930" s="49" t="str">
        <f ca="1"/>
        <v>渋谷 雄大</v>
      </c>
      <c r="J930" s="109" t="s">
        <v>918</v>
      </c>
      <c r="K930" s="49" t="s">
        <v>50</v>
      </c>
      <c r="L930" s="100" t="s">
        <v>51</v>
      </c>
      <c r="M930" s="107" t="s">
        <v>52</v>
      </c>
    </row>
    <row r="931" spans="1:13" ht="16">
      <c r="A931" s="101" t="str">
        <f t="shared" si="0"/>
        <v>OK</v>
      </c>
      <c r="B931" s="49">
        <v>3700182</v>
      </c>
      <c r="C931" s="49" t="s">
        <v>1061</v>
      </c>
      <c r="D931" s="49" t="s">
        <v>7</v>
      </c>
      <c r="E931" s="50">
        <v>2.1000000000000001E-2</v>
      </c>
      <c r="F931" s="108">
        <v>0</v>
      </c>
      <c r="G931" s="51">
        <v>43922</v>
      </c>
      <c r="H931" s="46">
        <v>0</v>
      </c>
      <c r="I931" s="49" t="str">
        <f ca="1"/>
        <v>渋谷 雄大</v>
      </c>
      <c r="J931" s="109" t="s">
        <v>918</v>
      </c>
      <c r="K931" s="49" t="s">
        <v>50</v>
      </c>
      <c r="L931" s="100" t="s">
        <v>51</v>
      </c>
      <c r="M931" s="107" t="s">
        <v>52</v>
      </c>
    </row>
    <row r="932" spans="1:13" ht="16">
      <c r="A932" s="101" t="str">
        <f t="shared" si="0"/>
        <v>OK</v>
      </c>
      <c r="B932" s="49">
        <v>3700185</v>
      </c>
      <c r="C932" s="49" t="s">
        <v>1062</v>
      </c>
      <c r="D932" s="49" t="s">
        <v>7</v>
      </c>
      <c r="E932" s="50">
        <v>2.1000000000000001E-2</v>
      </c>
      <c r="F932" s="108">
        <v>0</v>
      </c>
      <c r="G932" s="51">
        <v>43922</v>
      </c>
      <c r="H932" s="46">
        <v>0</v>
      </c>
      <c r="I932" s="49" t="str">
        <f ca="1"/>
        <v>渋谷 雄大</v>
      </c>
      <c r="J932" s="109" t="s">
        <v>918</v>
      </c>
      <c r="K932" s="49" t="s">
        <v>50</v>
      </c>
      <c r="L932" s="100" t="s">
        <v>51</v>
      </c>
      <c r="M932" s="107" t="s">
        <v>52</v>
      </c>
    </row>
    <row r="933" spans="1:13" ht="16">
      <c r="A933" s="101" t="str">
        <f t="shared" si="0"/>
        <v>OK</v>
      </c>
      <c r="B933" s="49">
        <v>3700187</v>
      </c>
      <c r="C933" s="49" t="s">
        <v>1063</v>
      </c>
      <c r="D933" s="49" t="s">
        <v>7</v>
      </c>
      <c r="E933" s="50">
        <v>2.1000000000000001E-2</v>
      </c>
      <c r="F933" s="108">
        <v>0</v>
      </c>
      <c r="G933" s="51">
        <v>43922</v>
      </c>
      <c r="H933" s="46">
        <v>0</v>
      </c>
      <c r="I933" s="49" t="str">
        <f ca="1"/>
        <v>渋谷 雄大</v>
      </c>
      <c r="J933" s="109" t="s">
        <v>918</v>
      </c>
      <c r="K933" s="49" t="s">
        <v>50</v>
      </c>
      <c r="L933" s="100" t="s">
        <v>51</v>
      </c>
      <c r="M933" s="107" t="s">
        <v>52</v>
      </c>
    </row>
    <row r="934" spans="1:13" ht="16">
      <c r="A934" s="101" t="str">
        <f t="shared" si="0"/>
        <v>OK</v>
      </c>
      <c r="B934" s="49">
        <v>3700191</v>
      </c>
      <c r="C934" s="49" t="s">
        <v>1064</v>
      </c>
      <c r="D934" s="49" t="s">
        <v>7</v>
      </c>
      <c r="E934" s="50">
        <v>2.1000000000000001E-2</v>
      </c>
      <c r="F934" s="108">
        <v>0</v>
      </c>
      <c r="G934" s="51">
        <v>43922</v>
      </c>
      <c r="H934" s="46">
        <v>0</v>
      </c>
      <c r="I934" s="49" t="str">
        <f ca="1"/>
        <v>渋谷 雄大</v>
      </c>
      <c r="J934" s="109" t="s">
        <v>918</v>
      </c>
      <c r="K934" s="49" t="s">
        <v>50</v>
      </c>
      <c r="L934" s="100" t="s">
        <v>51</v>
      </c>
      <c r="M934" s="107" t="s">
        <v>52</v>
      </c>
    </row>
    <row r="935" spans="1:13" ht="16">
      <c r="A935" s="101" t="str">
        <f t="shared" si="0"/>
        <v>OK</v>
      </c>
      <c r="B935" s="49">
        <v>3700192</v>
      </c>
      <c r="C935" s="49" t="s">
        <v>1065</v>
      </c>
      <c r="D935" s="49" t="s">
        <v>7</v>
      </c>
      <c r="E935" s="50">
        <v>2.1000000000000001E-2</v>
      </c>
      <c r="F935" s="108">
        <v>0</v>
      </c>
      <c r="G935" s="51">
        <v>43922</v>
      </c>
      <c r="H935" s="46">
        <v>0</v>
      </c>
      <c r="I935" s="49" t="str">
        <f ca="1"/>
        <v>渋谷 雄大</v>
      </c>
      <c r="J935" s="109" t="s">
        <v>918</v>
      </c>
      <c r="K935" s="49" t="s">
        <v>50</v>
      </c>
      <c r="L935" s="100" t="s">
        <v>51</v>
      </c>
      <c r="M935" s="107" t="s">
        <v>52</v>
      </c>
    </row>
    <row r="936" spans="1:13" ht="16">
      <c r="A936" s="101" t="str">
        <f t="shared" si="0"/>
        <v>OK</v>
      </c>
      <c r="B936" s="49">
        <v>3700198</v>
      </c>
      <c r="C936" s="49" t="s">
        <v>1066</v>
      </c>
      <c r="D936" s="49" t="s">
        <v>7</v>
      </c>
      <c r="E936" s="50">
        <v>2.1000000000000001E-2</v>
      </c>
      <c r="F936" s="108">
        <v>0</v>
      </c>
      <c r="G936" s="51">
        <v>43922</v>
      </c>
      <c r="H936" s="46">
        <v>0</v>
      </c>
      <c r="I936" s="49" t="str">
        <f ca="1"/>
        <v>渋谷 雄大</v>
      </c>
      <c r="J936" s="109" t="s">
        <v>918</v>
      </c>
      <c r="K936" s="49" t="s">
        <v>50</v>
      </c>
      <c r="L936" s="100" t="s">
        <v>51</v>
      </c>
      <c r="M936" s="107" t="s">
        <v>52</v>
      </c>
    </row>
    <row r="937" spans="1:13" ht="16">
      <c r="A937" s="101" t="str">
        <f t="shared" si="0"/>
        <v>OK</v>
      </c>
      <c r="B937" s="49">
        <v>3700199</v>
      </c>
      <c r="C937" s="49" t="s">
        <v>1067</v>
      </c>
      <c r="D937" s="49" t="s">
        <v>7</v>
      </c>
      <c r="E937" s="50">
        <v>2.1000000000000001E-2</v>
      </c>
      <c r="F937" s="108">
        <v>0</v>
      </c>
      <c r="G937" s="51">
        <v>43922</v>
      </c>
      <c r="H937" s="46">
        <v>0</v>
      </c>
      <c r="I937" s="49" t="str">
        <f ca="1"/>
        <v>渋谷 雄大</v>
      </c>
      <c r="J937" s="109" t="s">
        <v>918</v>
      </c>
      <c r="K937" s="49" t="s">
        <v>50</v>
      </c>
      <c r="L937" s="100" t="s">
        <v>51</v>
      </c>
      <c r="M937" s="107" t="s">
        <v>52</v>
      </c>
    </row>
    <row r="938" spans="1:13" ht="16">
      <c r="A938" s="101" t="str">
        <f t="shared" si="0"/>
        <v>OK</v>
      </c>
      <c r="B938" s="49">
        <v>3700201</v>
      </c>
      <c r="C938" s="49" t="s">
        <v>1068</v>
      </c>
      <c r="D938" s="49" t="s">
        <v>7</v>
      </c>
      <c r="E938" s="50">
        <v>2.1000000000000001E-2</v>
      </c>
      <c r="F938" s="108">
        <v>0</v>
      </c>
      <c r="G938" s="51">
        <v>43922</v>
      </c>
      <c r="H938" s="46">
        <v>0</v>
      </c>
      <c r="I938" s="49" t="str">
        <f ca="1"/>
        <v>渋谷 雄大</v>
      </c>
      <c r="J938" s="109" t="s">
        <v>918</v>
      </c>
      <c r="K938" s="49" t="s">
        <v>50</v>
      </c>
      <c r="L938" s="100" t="s">
        <v>51</v>
      </c>
      <c r="M938" s="107" t="s">
        <v>52</v>
      </c>
    </row>
    <row r="939" spans="1:13" ht="16">
      <c r="A939" s="101" t="str">
        <f t="shared" si="0"/>
        <v>OK</v>
      </c>
      <c r="B939" s="49">
        <v>3700204</v>
      </c>
      <c r="C939" s="49" t="s">
        <v>1069</v>
      </c>
      <c r="D939" s="49" t="s">
        <v>7</v>
      </c>
      <c r="E939" s="50">
        <v>2.1000000000000001E-2</v>
      </c>
      <c r="F939" s="108">
        <v>0</v>
      </c>
      <c r="G939" s="51">
        <v>43922</v>
      </c>
      <c r="H939" s="46">
        <v>0</v>
      </c>
      <c r="I939" s="49" t="str">
        <f ca="1"/>
        <v>渋谷 雄大</v>
      </c>
      <c r="J939" s="109" t="s">
        <v>918</v>
      </c>
      <c r="K939" s="49" t="s">
        <v>50</v>
      </c>
      <c r="L939" s="100" t="s">
        <v>51</v>
      </c>
      <c r="M939" s="107" t="s">
        <v>52</v>
      </c>
    </row>
    <row r="940" spans="1:13" ht="16">
      <c r="A940" s="101" t="str">
        <f t="shared" si="0"/>
        <v>OK</v>
      </c>
      <c r="B940" s="49">
        <v>3700210</v>
      </c>
      <c r="C940" s="49" t="s">
        <v>1070</v>
      </c>
      <c r="D940" s="49" t="s">
        <v>7</v>
      </c>
      <c r="E940" s="50">
        <v>2.1000000000000001E-2</v>
      </c>
      <c r="F940" s="108">
        <v>0</v>
      </c>
      <c r="G940" s="51">
        <v>43922</v>
      </c>
      <c r="H940" s="46">
        <v>0</v>
      </c>
      <c r="I940" s="49" t="str">
        <f ca="1"/>
        <v>渋谷 雄大</v>
      </c>
      <c r="J940" s="109" t="s">
        <v>918</v>
      </c>
      <c r="K940" s="49" t="s">
        <v>50</v>
      </c>
      <c r="L940" s="100" t="s">
        <v>51</v>
      </c>
      <c r="M940" s="107" t="s">
        <v>52</v>
      </c>
    </row>
    <row r="941" spans="1:13" ht="16">
      <c r="A941" s="101" t="str">
        <f t="shared" si="0"/>
        <v>OK</v>
      </c>
      <c r="B941" s="49">
        <v>3700214</v>
      </c>
      <c r="C941" s="49" t="s">
        <v>1071</v>
      </c>
      <c r="D941" s="49" t="s">
        <v>7</v>
      </c>
      <c r="E941" s="50">
        <v>2.1000000000000001E-2</v>
      </c>
      <c r="F941" s="108">
        <v>0</v>
      </c>
      <c r="G941" s="51">
        <v>43922</v>
      </c>
      <c r="H941" s="46">
        <v>0</v>
      </c>
      <c r="I941" s="49" t="str">
        <f ca="1"/>
        <v>渋谷 雄大</v>
      </c>
      <c r="J941" s="109" t="s">
        <v>918</v>
      </c>
      <c r="K941" s="49" t="s">
        <v>50</v>
      </c>
      <c r="L941" s="100" t="s">
        <v>51</v>
      </c>
      <c r="M941" s="107" t="s">
        <v>52</v>
      </c>
    </row>
    <row r="942" spans="1:13" ht="16">
      <c r="A942" s="101" t="str">
        <f t="shared" si="0"/>
        <v>OK</v>
      </c>
      <c r="B942" s="49">
        <v>3700217</v>
      </c>
      <c r="C942" s="49" t="s">
        <v>1072</v>
      </c>
      <c r="D942" s="49" t="s">
        <v>7</v>
      </c>
      <c r="E942" s="50">
        <v>2.1000000000000001E-2</v>
      </c>
      <c r="F942" s="108">
        <v>0</v>
      </c>
      <c r="G942" s="51">
        <v>43922</v>
      </c>
      <c r="H942" s="46">
        <v>0</v>
      </c>
      <c r="I942" s="49" t="str">
        <f ca="1"/>
        <v>渋谷 雄大</v>
      </c>
      <c r="J942" s="109" t="s">
        <v>918</v>
      </c>
      <c r="K942" s="49" t="s">
        <v>50</v>
      </c>
      <c r="L942" s="100" t="s">
        <v>51</v>
      </c>
      <c r="M942" s="107" t="s">
        <v>52</v>
      </c>
    </row>
    <row r="943" spans="1:13" ht="16">
      <c r="A943" s="101" t="str">
        <f t="shared" si="0"/>
        <v>OK</v>
      </c>
      <c r="B943" s="49">
        <v>3700218</v>
      </c>
      <c r="C943" s="49" t="s">
        <v>1073</v>
      </c>
      <c r="D943" s="49" t="s">
        <v>7</v>
      </c>
      <c r="E943" s="50">
        <v>2.1000000000000001E-2</v>
      </c>
      <c r="F943" s="108">
        <v>0</v>
      </c>
      <c r="G943" s="51">
        <v>43922</v>
      </c>
      <c r="H943" s="46">
        <v>0</v>
      </c>
      <c r="I943" s="49" t="str">
        <f ca="1"/>
        <v>渋谷 雄大</v>
      </c>
      <c r="J943" s="109" t="s">
        <v>918</v>
      </c>
      <c r="K943" s="49" t="s">
        <v>50</v>
      </c>
      <c r="L943" s="100" t="s">
        <v>51</v>
      </c>
      <c r="M943" s="107" t="s">
        <v>52</v>
      </c>
    </row>
    <row r="944" spans="1:13" ht="16">
      <c r="A944" s="101" t="str">
        <f t="shared" si="0"/>
        <v>OK</v>
      </c>
      <c r="B944" s="49">
        <v>3700219</v>
      </c>
      <c r="C944" s="49" t="s">
        <v>1074</v>
      </c>
      <c r="D944" s="49" t="s">
        <v>7</v>
      </c>
      <c r="E944" s="50">
        <v>2.1000000000000001E-2</v>
      </c>
      <c r="F944" s="108">
        <v>0</v>
      </c>
      <c r="G944" s="51">
        <v>43922</v>
      </c>
      <c r="H944" s="46">
        <v>0</v>
      </c>
      <c r="I944" s="49" t="str">
        <f ca="1"/>
        <v>渋谷 雄大</v>
      </c>
      <c r="J944" s="109" t="s">
        <v>918</v>
      </c>
      <c r="K944" s="49" t="s">
        <v>50</v>
      </c>
      <c r="L944" s="100" t="s">
        <v>51</v>
      </c>
      <c r="M944" s="107" t="s">
        <v>52</v>
      </c>
    </row>
    <row r="945" spans="1:13" ht="16">
      <c r="A945" s="101" t="str">
        <f t="shared" si="0"/>
        <v>OK</v>
      </c>
      <c r="B945" s="49">
        <v>3700220</v>
      </c>
      <c r="C945" s="49" t="s">
        <v>1075</v>
      </c>
      <c r="D945" s="49" t="s">
        <v>7</v>
      </c>
      <c r="E945" s="50">
        <v>2.1000000000000001E-2</v>
      </c>
      <c r="F945" s="108">
        <v>0</v>
      </c>
      <c r="G945" s="51">
        <v>43922</v>
      </c>
      <c r="H945" s="46">
        <v>0</v>
      </c>
      <c r="I945" s="49" t="str">
        <f ca="1"/>
        <v>渋谷 雄大</v>
      </c>
      <c r="J945" s="109" t="s">
        <v>918</v>
      </c>
      <c r="K945" s="49" t="s">
        <v>50</v>
      </c>
      <c r="L945" s="100" t="s">
        <v>51</v>
      </c>
      <c r="M945" s="107" t="s">
        <v>52</v>
      </c>
    </row>
    <row r="946" spans="1:13" ht="16">
      <c r="A946" s="101" t="str">
        <f t="shared" si="0"/>
        <v>OK</v>
      </c>
      <c r="B946" s="49">
        <v>3700223</v>
      </c>
      <c r="C946" s="49" t="s">
        <v>1076</v>
      </c>
      <c r="D946" s="49" t="s">
        <v>7</v>
      </c>
      <c r="E946" s="50">
        <v>2.1000000000000001E-2</v>
      </c>
      <c r="F946" s="108">
        <v>0</v>
      </c>
      <c r="G946" s="51">
        <v>43922</v>
      </c>
      <c r="H946" s="46">
        <v>0</v>
      </c>
      <c r="I946" s="49" t="str">
        <f ca="1"/>
        <v>渋谷 雄大</v>
      </c>
      <c r="J946" s="109" t="s">
        <v>918</v>
      </c>
      <c r="K946" s="49" t="s">
        <v>50</v>
      </c>
      <c r="L946" s="100" t="s">
        <v>51</v>
      </c>
      <c r="M946" s="107" t="s">
        <v>52</v>
      </c>
    </row>
    <row r="947" spans="1:13" ht="16">
      <c r="A947" s="101" t="str">
        <f t="shared" si="0"/>
        <v>OK</v>
      </c>
      <c r="B947" s="49">
        <v>3700228</v>
      </c>
      <c r="C947" s="49" t="s">
        <v>1077</v>
      </c>
      <c r="D947" s="49" t="s">
        <v>7</v>
      </c>
      <c r="E947" s="50">
        <v>2.1000000000000001E-2</v>
      </c>
      <c r="F947" s="108">
        <v>0</v>
      </c>
      <c r="G947" s="51">
        <v>43922</v>
      </c>
      <c r="H947" s="46">
        <v>0</v>
      </c>
      <c r="I947" s="49" t="str">
        <f ca="1"/>
        <v>渋谷 雄大</v>
      </c>
      <c r="J947" s="109" t="s">
        <v>918</v>
      </c>
      <c r="K947" s="49" t="s">
        <v>50</v>
      </c>
      <c r="L947" s="100" t="s">
        <v>51</v>
      </c>
      <c r="M947" s="107" t="s">
        <v>52</v>
      </c>
    </row>
    <row r="948" spans="1:13" ht="16">
      <c r="A948" s="101" t="str">
        <f t="shared" si="0"/>
        <v>OK</v>
      </c>
      <c r="B948" s="49">
        <v>3700236</v>
      </c>
      <c r="C948" s="49" t="s">
        <v>1078</v>
      </c>
      <c r="D948" s="49" t="s">
        <v>7</v>
      </c>
      <c r="E948" s="50">
        <v>2.1000000000000001E-2</v>
      </c>
      <c r="F948" s="108">
        <v>0</v>
      </c>
      <c r="G948" s="51">
        <v>43922</v>
      </c>
      <c r="H948" s="46">
        <v>0</v>
      </c>
      <c r="I948" s="49" t="str">
        <f ca="1"/>
        <v>渋谷 雄大</v>
      </c>
      <c r="J948" s="109" t="s">
        <v>918</v>
      </c>
      <c r="K948" s="49" t="s">
        <v>50</v>
      </c>
      <c r="L948" s="100" t="s">
        <v>51</v>
      </c>
      <c r="M948" s="107" t="s">
        <v>52</v>
      </c>
    </row>
    <row r="949" spans="1:13" ht="16">
      <c r="A949" s="101" t="str">
        <f t="shared" si="0"/>
        <v>OK</v>
      </c>
      <c r="B949" s="49">
        <v>3700239</v>
      </c>
      <c r="C949" s="49" t="s">
        <v>1079</v>
      </c>
      <c r="D949" s="49" t="s">
        <v>7</v>
      </c>
      <c r="E949" s="50">
        <v>2.1000000000000001E-2</v>
      </c>
      <c r="F949" s="108">
        <v>40</v>
      </c>
      <c r="G949" s="51">
        <v>43922</v>
      </c>
      <c r="H949" s="46">
        <v>0</v>
      </c>
      <c r="I949" s="49" t="str">
        <f ca="1"/>
        <v>渋谷 雄大</v>
      </c>
      <c r="J949" s="109" t="s">
        <v>918</v>
      </c>
      <c r="K949" s="49" t="s">
        <v>50</v>
      </c>
      <c r="L949" s="100" t="s">
        <v>51</v>
      </c>
      <c r="M949" s="107" t="s">
        <v>52</v>
      </c>
    </row>
    <row r="950" spans="1:13" ht="16">
      <c r="A950" s="101" t="str">
        <f t="shared" si="0"/>
        <v>OK</v>
      </c>
      <c r="B950" s="49">
        <v>3700243</v>
      </c>
      <c r="C950" s="49" t="s">
        <v>1080</v>
      </c>
      <c r="D950" s="49" t="s">
        <v>7</v>
      </c>
      <c r="E950" s="50">
        <v>2.1000000000000001E-2</v>
      </c>
      <c r="F950" s="108">
        <v>74</v>
      </c>
      <c r="G950" s="51">
        <v>43922</v>
      </c>
      <c r="H950" s="46">
        <v>0</v>
      </c>
      <c r="I950" s="49" t="str">
        <f ca="1"/>
        <v>渋谷 雄大</v>
      </c>
      <c r="J950" s="109" t="s">
        <v>918</v>
      </c>
      <c r="K950" s="49" t="s">
        <v>50</v>
      </c>
      <c r="L950" s="100" t="s">
        <v>51</v>
      </c>
      <c r="M950" s="107" t="s">
        <v>52</v>
      </c>
    </row>
    <row r="951" spans="1:13" ht="16">
      <c r="A951" s="101" t="str">
        <f t="shared" si="0"/>
        <v>OK</v>
      </c>
      <c r="B951" s="49">
        <v>3700245</v>
      </c>
      <c r="C951" s="49" t="s">
        <v>1081</v>
      </c>
      <c r="D951" s="49" t="s">
        <v>7</v>
      </c>
      <c r="E951" s="50">
        <v>2.1000000000000001E-2</v>
      </c>
      <c r="F951" s="108">
        <v>113</v>
      </c>
      <c r="G951" s="51">
        <v>43922</v>
      </c>
      <c r="H951" s="46">
        <v>0</v>
      </c>
      <c r="I951" s="49" t="str">
        <f ca="1"/>
        <v>渋谷 雄大</v>
      </c>
      <c r="J951" s="109" t="s">
        <v>918</v>
      </c>
      <c r="K951" s="49" t="s">
        <v>50</v>
      </c>
      <c r="L951" s="100" t="s">
        <v>51</v>
      </c>
      <c r="M951" s="107" t="s">
        <v>52</v>
      </c>
    </row>
    <row r="952" spans="1:13" ht="16">
      <c r="A952" s="101" t="str">
        <f t="shared" si="0"/>
        <v>OK</v>
      </c>
      <c r="B952" s="49">
        <v>3700246</v>
      </c>
      <c r="C952" s="49" t="s">
        <v>1082</v>
      </c>
      <c r="D952" s="49" t="s">
        <v>7</v>
      </c>
      <c r="E952" s="50">
        <v>2.1000000000000001E-2</v>
      </c>
      <c r="F952" s="108">
        <v>187</v>
      </c>
      <c r="G952" s="51">
        <v>43922</v>
      </c>
      <c r="H952" s="46">
        <v>0</v>
      </c>
      <c r="I952" s="49" t="str">
        <f ca="1"/>
        <v>渋谷 雄大</v>
      </c>
      <c r="J952" s="109" t="s">
        <v>918</v>
      </c>
      <c r="K952" s="49" t="s">
        <v>50</v>
      </c>
      <c r="L952" s="100" t="s">
        <v>51</v>
      </c>
      <c r="M952" s="107" t="s">
        <v>52</v>
      </c>
    </row>
    <row r="953" spans="1:13" ht="16">
      <c r="A953" s="101" t="str">
        <f t="shared" si="0"/>
        <v>OK</v>
      </c>
      <c r="B953" s="49">
        <v>3700248</v>
      </c>
      <c r="C953" s="49" t="s">
        <v>1083</v>
      </c>
      <c r="D953" s="49" t="s">
        <v>7</v>
      </c>
      <c r="E953" s="50">
        <v>2.1000000000000001E-2</v>
      </c>
      <c r="F953" s="108">
        <v>176</v>
      </c>
      <c r="G953" s="51">
        <v>43922</v>
      </c>
      <c r="H953" s="46">
        <v>0</v>
      </c>
      <c r="I953" s="49" t="str">
        <f ca="1"/>
        <v>渋谷 雄大</v>
      </c>
      <c r="J953" s="109" t="s">
        <v>918</v>
      </c>
      <c r="K953" s="49" t="s">
        <v>50</v>
      </c>
      <c r="L953" s="100" t="s">
        <v>51</v>
      </c>
      <c r="M953" s="107" t="s">
        <v>52</v>
      </c>
    </row>
    <row r="954" spans="1:13" ht="16">
      <c r="A954" s="101" t="str">
        <f t="shared" si="0"/>
        <v>OK</v>
      </c>
      <c r="B954" s="49">
        <v>3700249</v>
      </c>
      <c r="C954" s="49" t="s">
        <v>1084</v>
      </c>
      <c r="D954" s="49" t="s">
        <v>7</v>
      </c>
      <c r="E954" s="50">
        <v>2.1000000000000001E-2</v>
      </c>
      <c r="F954" s="108">
        <v>155</v>
      </c>
      <c r="G954" s="51">
        <v>43922</v>
      </c>
      <c r="H954" s="46">
        <v>0</v>
      </c>
      <c r="I954" s="49" t="str">
        <f ca="1"/>
        <v>渋谷 雄大</v>
      </c>
      <c r="J954" s="109" t="s">
        <v>918</v>
      </c>
      <c r="K954" s="49" t="s">
        <v>50</v>
      </c>
      <c r="L954" s="100" t="s">
        <v>51</v>
      </c>
      <c r="M954" s="107" t="s">
        <v>52</v>
      </c>
    </row>
    <row r="955" spans="1:13" ht="16">
      <c r="A955" s="101" t="str">
        <f t="shared" si="0"/>
        <v>OK</v>
      </c>
      <c r="B955" s="49">
        <v>3700256</v>
      </c>
      <c r="C955" s="49" t="s">
        <v>1085</v>
      </c>
      <c r="D955" s="49" t="s">
        <v>7</v>
      </c>
      <c r="E955" s="50">
        <v>2.1000000000000001E-2</v>
      </c>
      <c r="F955" s="108">
        <v>0</v>
      </c>
      <c r="G955" s="51">
        <v>43922</v>
      </c>
      <c r="H955" s="46">
        <v>0</v>
      </c>
      <c r="I955" s="49" t="str">
        <f ca="1"/>
        <v>渋谷 雄大</v>
      </c>
      <c r="J955" s="109" t="s">
        <v>918</v>
      </c>
      <c r="K955" s="49" t="s">
        <v>50</v>
      </c>
      <c r="L955" s="100" t="s">
        <v>51</v>
      </c>
      <c r="M955" s="107" t="s">
        <v>52</v>
      </c>
    </row>
    <row r="956" spans="1:13" ht="16">
      <c r="A956" s="101" t="str">
        <f t="shared" si="0"/>
        <v>OK</v>
      </c>
      <c r="B956" s="49">
        <v>3700257</v>
      </c>
      <c r="C956" s="49" t="s">
        <v>1086</v>
      </c>
      <c r="D956" s="49" t="s">
        <v>7</v>
      </c>
      <c r="E956" s="50">
        <v>2.1000000000000001E-2</v>
      </c>
      <c r="F956" s="108">
        <v>0</v>
      </c>
      <c r="G956" s="51">
        <v>43922</v>
      </c>
      <c r="H956" s="46">
        <v>0</v>
      </c>
      <c r="I956" s="49" t="str">
        <f ca="1"/>
        <v>渋谷 雄大</v>
      </c>
      <c r="J956" s="109" t="s">
        <v>918</v>
      </c>
      <c r="K956" s="49" t="s">
        <v>50</v>
      </c>
      <c r="L956" s="100" t="s">
        <v>51</v>
      </c>
      <c r="M956" s="107" t="s">
        <v>52</v>
      </c>
    </row>
    <row r="957" spans="1:13" ht="16">
      <c r="A957" s="101" t="str">
        <f t="shared" si="0"/>
        <v>OK</v>
      </c>
      <c r="B957" s="49">
        <v>3700258</v>
      </c>
      <c r="C957" s="49" t="s">
        <v>1087</v>
      </c>
      <c r="D957" s="49" t="s">
        <v>7</v>
      </c>
      <c r="E957" s="50">
        <v>2.1000000000000001E-2</v>
      </c>
      <c r="F957" s="108">
        <v>0</v>
      </c>
      <c r="G957" s="51">
        <v>43922</v>
      </c>
      <c r="H957" s="46">
        <v>0</v>
      </c>
      <c r="I957" s="49" t="str">
        <f ca="1"/>
        <v>渋谷 雄大</v>
      </c>
      <c r="J957" s="109" t="s">
        <v>918</v>
      </c>
      <c r="K957" s="49" t="s">
        <v>50</v>
      </c>
      <c r="L957" s="100" t="s">
        <v>51</v>
      </c>
      <c r="M957" s="107" t="s">
        <v>52</v>
      </c>
    </row>
    <row r="958" spans="1:13" ht="16">
      <c r="A958" s="101" t="str">
        <f t="shared" si="0"/>
        <v>OK</v>
      </c>
      <c r="B958" s="49">
        <v>3700260</v>
      </c>
      <c r="C958" s="49" t="s">
        <v>1088</v>
      </c>
      <c r="D958" s="49" t="s">
        <v>7</v>
      </c>
      <c r="E958" s="50">
        <v>2.1000000000000001E-2</v>
      </c>
      <c r="F958" s="108">
        <v>0</v>
      </c>
      <c r="G958" s="51">
        <v>43922</v>
      </c>
      <c r="H958" s="46">
        <v>0</v>
      </c>
      <c r="I958" s="49" t="str">
        <f ca="1"/>
        <v>渋谷 雄大</v>
      </c>
      <c r="J958" s="109" t="s">
        <v>918</v>
      </c>
      <c r="K958" s="49" t="s">
        <v>50</v>
      </c>
      <c r="L958" s="100" t="s">
        <v>51</v>
      </c>
      <c r="M958" s="107" t="s">
        <v>52</v>
      </c>
    </row>
    <row r="959" spans="1:13" ht="16">
      <c r="A959" s="101" t="str">
        <f t="shared" si="0"/>
        <v>OK</v>
      </c>
      <c r="B959" s="49">
        <v>3700261</v>
      </c>
      <c r="C959" s="49" t="s">
        <v>1089</v>
      </c>
      <c r="D959" s="49" t="s">
        <v>7</v>
      </c>
      <c r="E959" s="50">
        <v>2.1000000000000001E-2</v>
      </c>
      <c r="F959" s="108">
        <v>44</v>
      </c>
      <c r="G959" s="51">
        <v>43922</v>
      </c>
      <c r="H959" s="46">
        <v>0</v>
      </c>
      <c r="I959" s="49" t="str">
        <f ca="1"/>
        <v>渋谷 雄大</v>
      </c>
      <c r="J959" s="109" t="s">
        <v>918</v>
      </c>
      <c r="K959" s="49" t="s">
        <v>50</v>
      </c>
      <c r="L959" s="100" t="s">
        <v>51</v>
      </c>
      <c r="M959" s="107" t="s">
        <v>52</v>
      </c>
    </row>
    <row r="960" spans="1:13" ht="16">
      <c r="A960" s="101" t="str">
        <f t="shared" si="0"/>
        <v>OK</v>
      </c>
      <c r="B960" s="49">
        <v>3700264</v>
      </c>
      <c r="C960" s="49" t="s">
        <v>1090</v>
      </c>
      <c r="D960" s="49" t="s">
        <v>7</v>
      </c>
      <c r="E960" s="50">
        <v>2.1000000000000001E-2</v>
      </c>
      <c r="F960" s="108">
        <v>126</v>
      </c>
      <c r="G960" s="51">
        <v>43922</v>
      </c>
      <c r="H960" s="46">
        <v>0</v>
      </c>
      <c r="I960" s="49" t="str">
        <f ca="1"/>
        <v>渋谷 雄大</v>
      </c>
      <c r="J960" s="109" t="s">
        <v>918</v>
      </c>
      <c r="K960" s="49" t="s">
        <v>50</v>
      </c>
      <c r="L960" s="100" t="s">
        <v>51</v>
      </c>
      <c r="M960" s="107" t="s">
        <v>52</v>
      </c>
    </row>
    <row r="961" spans="1:13" ht="16">
      <c r="A961" s="101" t="str">
        <f t="shared" si="0"/>
        <v>OK</v>
      </c>
      <c r="B961" s="49">
        <v>3700268</v>
      </c>
      <c r="C961" s="49" t="s">
        <v>1091</v>
      </c>
      <c r="D961" s="49" t="s">
        <v>7</v>
      </c>
      <c r="E961" s="50">
        <v>2.1000000000000001E-2</v>
      </c>
      <c r="F961" s="108">
        <v>0</v>
      </c>
      <c r="G961" s="51">
        <v>43922</v>
      </c>
      <c r="H961" s="46">
        <v>0</v>
      </c>
      <c r="I961" s="49" t="str">
        <f ca="1"/>
        <v>渋谷 雄大</v>
      </c>
      <c r="J961" s="109" t="s">
        <v>918</v>
      </c>
      <c r="K961" s="49" t="s">
        <v>50</v>
      </c>
      <c r="L961" s="100" t="s">
        <v>51</v>
      </c>
      <c r="M961" s="107" t="s">
        <v>52</v>
      </c>
    </row>
    <row r="962" spans="1:13" ht="16">
      <c r="A962" s="101" t="str">
        <f t="shared" si="0"/>
        <v>OK</v>
      </c>
      <c r="B962" s="49">
        <v>3700269</v>
      </c>
      <c r="C962" s="49" t="s">
        <v>1092</v>
      </c>
      <c r="D962" s="49" t="s">
        <v>7</v>
      </c>
      <c r="E962" s="50">
        <v>2.1000000000000001E-2</v>
      </c>
      <c r="F962" s="108">
        <v>0</v>
      </c>
      <c r="G962" s="51">
        <v>43922</v>
      </c>
      <c r="H962" s="46">
        <v>0</v>
      </c>
      <c r="I962" s="49" t="str">
        <f ca="1"/>
        <v>渋谷 雄大</v>
      </c>
      <c r="J962" s="109" t="s">
        <v>918</v>
      </c>
      <c r="K962" s="49" t="s">
        <v>50</v>
      </c>
      <c r="L962" s="100" t="s">
        <v>51</v>
      </c>
      <c r="M962" s="107" t="s">
        <v>52</v>
      </c>
    </row>
    <row r="963" spans="1:13" ht="16">
      <c r="A963" s="101" t="str">
        <f t="shared" si="0"/>
        <v>OK</v>
      </c>
      <c r="B963" s="49">
        <v>3700270</v>
      </c>
      <c r="C963" s="49" t="s">
        <v>1093</v>
      </c>
      <c r="D963" s="49" t="s">
        <v>7</v>
      </c>
      <c r="E963" s="50">
        <v>2.1000000000000001E-2</v>
      </c>
      <c r="F963" s="108">
        <v>0</v>
      </c>
      <c r="G963" s="51">
        <v>43922</v>
      </c>
      <c r="H963" s="46">
        <v>0</v>
      </c>
      <c r="I963" s="49" t="str">
        <f ca="1"/>
        <v>渋谷 雄大</v>
      </c>
      <c r="J963" s="109" t="s">
        <v>918</v>
      </c>
      <c r="K963" s="49" t="s">
        <v>50</v>
      </c>
      <c r="L963" s="100" t="s">
        <v>51</v>
      </c>
      <c r="M963" s="107" t="s">
        <v>52</v>
      </c>
    </row>
    <row r="964" spans="1:13" ht="16">
      <c r="A964" s="101" t="str">
        <f t="shared" si="0"/>
        <v>OK</v>
      </c>
      <c r="B964" s="49">
        <v>3700276</v>
      </c>
      <c r="C964" s="49" t="s">
        <v>1094</v>
      </c>
      <c r="D964" s="49" t="s">
        <v>7</v>
      </c>
      <c r="E964" s="50">
        <v>2.1000000000000001E-2</v>
      </c>
      <c r="F964" s="108">
        <v>242</v>
      </c>
      <c r="G964" s="51">
        <v>43922</v>
      </c>
      <c r="H964" s="46">
        <v>0</v>
      </c>
      <c r="I964" s="49" t="str">
        <f ca="1"/>
        <v>渋谷 雄大</v>
      </c>
      <c r="J964" s="109" t="s">
        <v>918</v>
      </c>
      <c r="K964" s="49" t="s">
        <v>50</v>
      </c>
      <c r="L964" s="100" t="s">
        <v>51</v>
      </c>
      <c r="M964" s="107" t="s">
        <v>52</v>
      </c>
    </row>
    <row r="965" spans="1:13" ht="16">
      <c r="A965" s="101" t="str">
        <f t="shared" si="0"/>
        <v>OK</v>
      </c>
      <c r="B965" s="49">
        <v>3700277</v>
      </c>
      <c r="C965" s="49" t="s">
        <v>1095</v>
      </c>
      <c r="D965" s="49" t="s">
        <v>7</v>
      </c>
      <c r="E965" s="50">
        <v>2.1000000000000001E-2</v>
      </c>
      <c r="F965" s="108">
        <v>29</v>
      </c>
      <c r="G965" s="51">
        <v>43922</v>
      </c>
      <c r="H965" s="46">
        <v>0</v>
      </c>
      <c r="I965" s="49" t="str">
        <f ca="1"/>
        <v>渋谷 雄大</v>
      </c>
      <c r="J965" s="109" t="s">
        <v>918</v>
      </c>
      <c r="K965" s="49" t="s">
        <v>50</v>
      </c>
      <c r="L965" s="100" t="s">
        <v>51</v>
      </c>
      <c r="M965" s="107" t="s">
        <v>52</v>
      </c>
    </row>
    <row r="966" spans="1:13" ht="16">
      <c r="A966" s="101" t="str">
        <f t="shared" si="0"/>
        <v>OK</v>
      </c>
      <c r="B966" s="49">
        <v>3700278</v>
      </c>
      <c r="C966" s="49" t="s">
        <v>1096</v>
      </c>
      <c r="D966" s="49" t="s">
        <v>7</v>
      </c>
      <c r="E966" s="50">
        <v>2.1000000000000001E-2</v>
      </c>
      <c r="F966" s="108">
        <v>66</v>
      </c>
      <c r="G966" s="51">
        <v>43922</v>
      </c>
      <c r="H966" s="46">
        <v>0</v>
      </c>
      <c r="I966" s="49" t="str">
        <f ca="1"/>
        <v>渋谷 雄大</v>
      </c>
      <c r="J966" s="109" t="s">
        <v>918</v>
      </c>
      <c r="K966" s="49" t="s">
        <v>50</v>
      </c>
      <c r="L966" s="100" t="s">
        <v>51</v>
      </c>
      <c r="M966" s="107" t="s">
        <v>52</v>
      </c>
    </row>
    <row r="967" spans="1:13" ht="16">
      <c r="A967" s="101" t="str">
        <f t="shared" si="0"/>
        <v>OK</v>
      </c>
      <c r="B967" s="49">
        <v>3700281</v>
      </c>
      <c r="C967" s="49" t="s">
        <v>1097</v>
      </c>
      <c r="D967" s="49" t="s">
        <v>7</v>
      </c>
      <c r="E967" s="50">
        <v>2.1000000000000001E-2</v>
      </c>
      <c r="F967" s="108">
        <v>0</v>
      </c>
      <c r="G967" s="51">
        <v>43922</v>
      </c>
      <c r="H967" s="46">
        <v>0</v>
      </c>
      <c r="I967" s="49" t="str">
        <f ca="1"/>
        <v>渋谷 雄大</v>
      </c>
      <c r="J967" s="109" t="s">
        <v>918</v>
      </c>
      <c r="K967" s="49" t="s">
        <v>50</v>
      </c>
      <c r="L967" s="100" t="s">
        <v>51</v>
      </c>
      <c r="M967" s="107" t="s">
        <v>52</v>
      </c>
    </row>
    <row r="968" spans="1:13" ht="16">
      <c r="A968" s="101" t="str">
        <f t="shared" si="0"/>
        <v>OK</v>
      </c>
      <c r="B968" s="49">
        <v>3700282</v>
      </c>
      <c r="C968" s="49" t="s">
        <v>1098</v>
      </c>
      <c r="D968" s="49" t="s">
        <v>7</v>
      </c>
      <c r="E968" s="50">
        <v>2.1000000000000001E-2</v>
      </c>
      <c r="F968" s="108">
        <v>0</v>
      </c>
      <c r="G968" s="51">
        <v>43922</v>
      </c>
      <c r="H968" s="46">
        <v>0</v>
      </c>
      <c r="I968" s="49" t="str">
        <f ca="1"/>
        <v>渋谷 雄大</v>
      </c>
      <c r="J968" s="109" t="s">
        <v>918</v>
      </c>
      <c r="K968" s="49" t="s">
        <v>50</v>
      </c>
      <c r="L968" s="100" t="s">
        <v>51</v>
      </c>
      <c r="M968" s="107" t="s">
        <v>52</v>
      </c>
    </row>
    <row r="969" spans="1:13" ht="16">
      <c r="A969" s="101" t="str">
        <f t="shared" si="0"/>
        <v>OK</v>
      </c>
      <c r="B969" s="49">
        <v>3700283</v>
      </c>
      <c r="C969" s="49" t="s">
        <v>1099</v>
      </c>
      <c r="D969" s="49" t="s">
        <v>7</v>
      </c>
      <c r="E969" s="50">
        <v>2.1000000000000001E-2</v>
      </c>
      <c r="F969" s="108">
        <v>0</v>
      </c>
      <c r="G969" s="51">
        <v>43922</v>
      </c>
      <c r="H969" s="46">
        <v>0</v>
      </c>
      <c r="I969" s="49" t="str">
        <f ca="1"/>
        <v>渋谷 雄大</v>
      </c>
      <c r="J969" s="109" t="s">
        <v>918</v>
      </c>
      <c r="K969" s="49" t="s">
        <v>50</v>
      </c>
      <c r="L969" s="100" t="s">
        <v>51</v>
      </c>
      <c r="M969" s="107" t="s">
        <v>52</v>
      </c>
    </row>
    <row r="970" spans="1:13" ht="16">
      <c r="A970" s="101" t="str">
        <f t="shared" si="0"/>
        <v>OK</v>
      </c>
      <c r="B970" s="49">
        <v>3700285</v>
      </c>
      <c r="C970" s="49" t="s">
        <v>1100</v>
      </c>
      <c r="D970" s="49" t="s">
        <v>7</v>
      </c>
      <c r="E970" s="50">
        <v>2.1000000000000001E-2</v>
      </c>
      <c r="F970" s="108">
        <v>0</v>
      </c>
      <c r="G970" s="51">
        <v>43922</v>
      </c>
      <c r="H970" s="46">
        <v>0</v>
      </c>
      <c r="I970" s="49" t="str">
        <f ca="1"/>
        <v>渋谷 雄大</v>
      </c>
      <c r="J970" s="109" t="s">
        <v>918</v>
      </c>
      <c r="K970" s="49" t="s">
        <v>50</v>
      </c>
      <c r="L970" s="100" t="s">
        <v>51</v>
      </c>
      <c r="M970" s="107" t="s">
        <v>52</v>
      </c>
    </row>
    <row r="971" spans="1:13" ht="16">
      <c r="A971" s="101" t="str">
        <f t="shared" si="0"/>
        <v>OK</v>
      </c>
      <c r="B971" s="49">
        <v>3700288</v>
      </c>
      <c r="C971" s="49" t="s">
        <v>1101</v>
      </c>
      <c r="D971" s="49" t="s">
        <v>7</v>
      </c>
      <c r="E971" s="50">
        <v>2.1000000000000001E-2</v>
      </c>
      <c r="F971" s="108">
        <v>0</v>
      </c>
      <c r="G971" s="51">
        <v>43922</v>
      </c>
      <c r="H971" s="46">
        <v>0</v>
      </c>
      <c r="I971" s="49" t="str">
        <f ca="1"/>
        <v>渋谷 雄大</v>
      </c>
      <c r="J971" s="109" t="s">
        <v>918</v>
      </c>
      <c r="K971" s="49" t="s">
        <v>50</v>
      </c>
      <c r="L971" s="100" t="s">
        <v>51</v>
      </c>
      <c r="M971" s="107" t="s">
        <v>52</v>
      </c>
    </row>
    <row r="972" spans="1:13" ht="16">
      <c r="A972" s="101" t="str">
        <f t="shared" si="0"/>
        <v>OK</v>
      </c>
      <c r="B972" s="49">
        <v>3700294</v>
      </c>
      <c r="C972" s="49" t="s">
        <v>1102</v>
      </c>
      <c r="D972" s="49" t="s">
        <v>7</v>
      </c>
      <c r="E972" s="50">
        <v>2.1000000000000001E-2</v>
      </c>
      <c r="F972" s="108">
        <v>0</v>
      </c>
      <c r="G972" s="51">
        <v>43922</v>
      </c>
      <c r="H972" s="46">
        <v>0</v>
      </c>
      <c r="I972" s="49" t="str">
        <f ca="1"/>
        <v>渋谷 雄大</v>
      </c>
      <c r="J972" s="109" t="s">
        <v>918</v>
      </c>
      <c r="K972" s="49" t="s">
        <v>50</v>
      </c>
      <c r="L972" s="100" t="s">
        <v>51</v>
      </c>
      <c r="M972" s="107" t="s">
        <v>52</v>
      </c>
    </row>
    <row r="973" spans="1:13" ht="16">
      <c r="A973" s="101" t="str">
        <f t="shared" si="0"/>
        <v>OK</v>
      </c>
      <c r="B973" s="49">
        <v>3700298</v>
      </c>
      <c r="C973" s="49" t="s">
        <v>1103</v>
      </c>
      <c r="D973" s="49" t="s">
        <v>7</v>
      </c>
      <c r="E973" s="50">
        <v>2.1000000000000001E-2</v>
      </c>
      <c r="F973" s="108">
        <v>0</v>
      </c>
      <c r="G973" s="51">
        <v>43922</v>
      </c>
      <c r="H973" s="46">
        <v>0</v>
      </c>
      <c r="I973" s="49" t="str">
        <f ca="1"/>
        <v>渋谷 雄大</v>
      </c>
      <c r="J973" s="109" t="s">
        <v>918</v>
      </c>
      <c r="K973" s="49" t="s">
        <v>50</v>
      </c>
      <c r="L973" s="100" t="s">
        <v>51</v>
      </c>
      <c r="M973" s="107" t="s">
        <v>52</v>
      </c>
    </row>
    <row r="974" spans="1:13" ht="16">
      <c r="A974" s="101" t="str">
        <f t="shared" si="0"/>
        <v>OK</v>
      </c>
      <c r="B974" s="49">
        <v>3700301</v>
      </c>
      <c r="C974" s="49" t="s">
        <v>1104</v>
      </c>
      <c r="D974" s="49" t="s">
        <v>7</v>
      </c>
      <c r="E974" s="50">
        <v>2.1000000000000001E-2</v>
      </c>
      <c r="F974" s="108">
        <v>0</v>
      </c>
      <c r="G974" s="51">
        <v>43922</v>
      </c>
      <c r="H974" s="46">
        <v>0</v>
      </c>
      <c r="I974" s="49" t="str">
        <f ca="1"/>
        <v>渋谷 雄大</v>
      </c>
      <c r="J974" s="109" t="s">
        <v>918</v>
      </c>
      <c r="K974" s="49" t="s">
        <v>50</v>
      </c>
      <c r="L974" s="100" t="s">
        <v>51</v>
      </c>
      <c r="M974" s="107" t="s">
        <v>52</v>
      </c>
    </row>
    <row r="975" spans="1:13" ht="16">
      <c r="A975" s="101" t="str">
        <f t="shared" si="0"/>
        <v>OK</v>
      </c>
      <c r="B975" s="49">
        <v>3700302</v>
      </c>
      <c r="C975" s="49" t="s">
        <v>1105</v>
      </c>
      <c r="D975" s="49" t="s">
        <v>7</v>
      </c>
      <c r="E975" s="50">
        <v>2.1000000000000001E-2</v>
      </c>
      <c r="F975" s="108">
        <v>0</v>
      </c>
      <c r="G975" s="51">
        <v>43922</v>
      </c>
      <c r="H975" s="46">
        <v>0</v>
      </c>
      <c r="I975" s="49" t="str">
        <f ca="1"/>
        <v>渋谷 雄大</v>
      </c>
      <c r="J975" s="109" t="s">
        <v>918</v>
      </c>
      <c r="K975" s="49" t="s">
        <v>50</v>
      </c>
      <c r="L975" s="100" t="s">
        <v>51</v>
      </c>
      <c r="M975" s="107" t="s">
        <v>52</v>
      </c>
    </row>
    <row r="976" spans="1:13" ht="16">
      <c r="A976" s="101" t="str">
        <f t="shared" si="0"/>
        <v>OK</v>
      </c>
      <c r="B976" s="49">
        <v>3700303</v>
      </c>
      <c r="C976" s="49" t="s">
        <v>1106</v>
      </c>
      <c r="D976" s="49" t="s">
        <v>7</v>
      </c>
      <c r="E976" s="50">
        <v>2.1000000000000001E-2</v>
      </c>
      <c r="F976" s="108">
        <v>0</v>
      </c>
      <c r="G976" s="51">
        <v>43922</v>
      </c>
      <c r="H976" s="46">
        <v>0</v>
      </c>
      <c r="I976" s="49" t="str">
        <f ca="1"/>
        <v>渋谷 雄大</v>
      </c>
      <c r="J976" s="109" t="s">
        <v>918</v>
      </c>
      <c r="K976" s="49" t="s">
        <v>50</v>
      </c>
      <c r="L976" s="100" t="s">
        <v>51</v>
      </c>
      <c r="M976" s="107" t="s">
        <v>52</v>
      </c>
    </row>
    <row r="977" spans="1:13" ht="16">
      <c r="A977" s="101" t="str">
        <f t="shared" si="0"/>
        <v>OK</v>
      </c>
      <c r="B977" s="49">
        <v>3700310</v>
      </c>
      <c r="C977" s="49" t="s">
        <v>1107</v>
      </c>
      <c r="D977" s="49" t="s">
        <v>7</v>
      </c>
      <c r="E977" s="50">
        <v>2.1000000000000001E-2</v>
      </c>
      <c r="F977" s="108">
        <v>0</v>
      </c>
      <c r="G977" s="51">
        <v>43922</v>
      </c>
      <c r="H977" s="46">
        <v>0</v>
      </c>
      <c r="I977" s="49" t="str">
        <f ca="1"/>
        <v>渋谷 雄大</v>
      </c>
      <c r="J977" s="109" t="s">
        <v>918</v>
      </c>
      <c r="K977" s="49" t="s">
        <v>50</v>
      </c>
      <c r="L977" s="100" t="s">
        <v>51</v>
      </c>
      <c r="M977" s="107" t="s">
        <v>52</v>
      </c>
    </row>
    <row r="978" spans="1:13" ht="16">
      <c r="A978" s="101" t="str">
        <f t="shared" si="0"/>
        <v>OK</v>
      </c>
      <c r="B978" s="49">
        <v>3700312</v>
      </c>
      <c r="C978" s="49" t="s">
        <v>1108</v>
      </c>
      <c r="D978" s="49" t="s">
        <v>7</v>
      </c>
      <c r="E978" s="50">
        <v>2.1000000000000001E-2</v>
      </c>
      <c r="F978" s="108">
        <v>0</v>
      </c>
      <c r="G978" s="51">
        <v>43922</v>
      </c>
      <c r="H978" s="46">
        <v>0</v>
      </c>
      <c r="I978" s="49" t="str">
        <f ca="1"/>
        <v>渋谷 雄大</v>
      </c>
      <c r="J978" s="109" t="s">
        <v>918</v>
      </c>
      <c r="K978" s="49" t="s">
        <v>50</v>
      </c>
      <c r="L978" s="100" t="s">
        <v>51</v>
      </c>
      <c r="M978" s="107" t="s">
        <v>52</v>
      </c>
    </row>
    <row r="979" spans="1:13" ht="16">
      <c r="A979" s="101" t="str">
        <f t="shared" si="0"/>
        <v>OK</v>
      </c>
      <c r="B979" s="49">
        <v>3700317</v>
      </c>
      <c r="C979" s="49" t="s">
        <v>1109</v>
      </c>
      <c r="D979" s="49" t="s">
        <v>7</v>
      </c>
      <c r="E979" s="50">
        <v>2.1000000000000001E-2</v>
      </c>
      <c r="F979" s="108">
        <v>0</v>
      </c>
      <c r="G979" s="51">
        <v>43922</v>
      </c>
      <c r="H979" s="46">
        <v>0</v>
      </c>
      <c r="I979" s="49" t="str">
        <f ca="1"/>
        <v>渋谷 雄大</v>
      </c>
      <c r="J979" s="109" t="s">
        <v>918</v>
      </c>
      <c r="K979" s="49" t="s">
        <v>50</v>
      </c>
      <c r="L979" s="100" t="s">
        <v>51</v>
      </c>
      <c r="M979" s="107" t="s">
        <v>52</v>
      </c>
    </row>
    <row r="980" spans="1:13" ht="16">
      <c r="A980" s="101" t="str">
        <f t="shared" si="0"/>
        <v>OK</v>
      </c>
      <c r="B980" s="49">
        <v>3700322</v>
      </c>
      <c r="C980" s="49" t="s">
        <v>1110</v>
      </c>
      <c r="D980" s="49" t="s">
        <v>7</v>
      </c>
      <c r="E980" s="50">
        <v>2.1000000000000001E-2</v>
      </c>
      <c r="F980" s="108">
        <v>0</v>
      </c>
      <c r="G980" s="51">
        <v>43922</v>
      </c>
      <c r="H980" s="46">
        <v>0</v>
      </c>
      <c r="I980" s="49" t="str">
        <f ca="1"/>
        <v>渋谷 雄大</v>
      </c>
      <c r="J980" s="109" t="s">
        <v>918</v>
      </c>
      <c r="K980" s="49" t="s">
        <v>50</v>
      </c>
      <c r="L980" s="100" t="s">
        <v>51</v>
      </c>
      <c r="M980" s="107" t="s">
        <v>52</v>
      </c>
    </row>
    <row r="981" spans="1:13" ht="16">
      <c r="A981" s="101" t="str">
        <f t="shared" si="0"/>
        <v>OK</v>
      </c>
      <c r="B981" s="49">
        <v>3700328</v>
      </c>
      <c r="C981" s="49" t="s">
        <v>1111</v>
      </c>
      <c r="D981" s="49" t="s">
        <v>7</v>
      </c>
      <c r="E981" s="50">
        <v>2.1000000000000001E-2</v>
      </c>
      <c r="F981" s="108">
        <v>0</v>
      </c>
      <c r="G981" s="51">
        <v>43922</v>
      </c>
      <c r="H981" s="46">
        <v>0</v>
      </c>
      <c r="I981" s="49" t="str">
        <f ca="1"/>
        <v>渋谷 雄大</v>
      </c>
      <c r="J981" s="109" t="s">
        <v>918</v>
      </c>
      <c r="K981" s="49" t="s">
        <v>50</v>
      </c>
      <c r="L981" s="100" t="s">
        <v>51</v>
      </c>
      <c r="M981" s="107" t="s">
        <v>52</v>
      </c>
    </row>
    <row r="982" spans="1:13" ht="16">
      <c r="A982" s="101" t="str">
        <f t="shared" si="0"/>
        <v>OK</v>
      </c>
      <c r="B982" s="49">
        <v>3700331</v>
      </c>
      <c r="C982" s="49" t="s">
        <v>1112</v>
      </c>
      <c r="D982" s="49" t="s">
        <v>7</v>
      </c>
      <c r="E982" s="50">
        <v>2.1000000000000001E-2</v>
      </c>
      <c r="F982" s="108">
        <v>0</v>
      </c>
      <c r="G982" s="51">
        <v>43922</v>
      </c>
      <c r="H982" s="46">
        <v>0</v>
      </c>
      <c r="I982" s="49" t="str">
        <f ca="1"/>
        <v>渋谷 雄大</v>
      </c>
      <c r="J982" s="109" t="s">
        <v>918</v>
      </c>
      <c r="K982" s="49" t="s">
        <v>50</v>
      </c>
      <c r="L982" s="100" t="s">
        <v>51</v>
      </c>
      <c r="M982" s="107" t="s">
        <v>52</v>
      </c>
    </row>
    <row r="983" spans="1:13" ht="16">
      <c r="A983" s="101" t="str">
        <f t="shared" si="0"/>
        <v>OK</v>
      </c>
      <c r="B983" s="49">
        <v>3700335</v>
      </c>
      <c r="C983" s="49" t="s">
        <v>1113</v>
      </c>
      <c r="D983" s="49" t="s">
        <v>7</v>
      </c>
      <c r="E983" s="50">
        <v>2.1000000000000001E-2</v>
      </c>
      <c r="F983" s="108">
        <v>0</v>
      </c>
      <c r="G983" s="51">
        <v>43922</v>
      </c>
      <c r="H983" s="46">
        <v>0</v>
      </c>
      <c r="I983" s="49" t="str">
        <f ca="1"/>
        <v>渋谷 雄大</v>
      </c>
      <c r="J983" s="109" t="s">
        <v>918</v>
      </c>
      <c r="K983" s="49" t="s">
        <v>50</v>
      </c>
      <c r="L983" s="100" t="s">
        <v>51</v>
      </c>
      <c r="M983" s="107" t="s">
        <v>52</v>
      </c>
    </row>
    <row r="984" spans="1:13" ht="16">
      <c r="A984" s="101" t="str">
        <f t="shared" si="0"/>
        <v>OK</v>
      </c>
      <c r="B984" s="49">
        <v>3700336</v>
      </c>
      <c r="C984" s="49" t="s">
        <v>1114</v>
      </c>
      <c r="D984" s="49" t="s">
        <v>7</v>
      </c>
      <c r="E984" s="50">
        <v>2.1000000000000001E-2</v>
      </c>
      <c r="F984" s="108">
        <v>0</v>
      </c>
      <c r="G984" s="51">
        <v>43922</v>
      </c>
      <c r="H984" s="46">
        <v>0</v>
      </c>
      <c r="I984" s="49" t="str">
        <f ca="1"/>
        <v>渋谷 雄大</v>
      </c>
      <c r="J984" s="109" t="s">
        <v>918</v>
      </c>
      <c r="K984" s="49" t="s">
        <v>50</v>
      </c>
      <c r="L984" s="100" t="s">
        <v>51</v>
      </c>
      <c r="M984" s="107" t="s">
        <v>52</v>
      </c>
    </row>
    <row r="985" spans="1:13" ht="16">
      <c r="A985" s="101" t="str">
        <f t="shared" si="0"/>
        <v>OK</v>
      </c>
      <c r="B985" s="49">
        <v>3700338</v>
      </c>
      <c r="C985" s="49" t="s">
        <v>1115</v>
      </c>
      <c r="D985" s="49" t="s">
        <v>7</v>
      </c>
      <c r="E985" s="50">
        <v>2.1000000000000001E-2</v>
      </c>
      <c r="F985" s="108">
        <v>0</v>
      </c>
      <c r="G985" s="51">
        <v>43922</v>
      </c>
      <c r="H985" s="46">
        <v>0</v>
      </c>
      <c r="I985" s="49" t="str">
        <f ca="1"/>
        <v>渋谷 雄大</v>
      </c>
      <c r="J985" s="109" t="s">
        <v>918</v>
      </c>
      <c r="K985" s="49" t="s">
        <v>50</v>
      </c>
      <c r="L985" s="100" t="s">
        <v>51</v>
      </c>
      <c r="M985" s="107" t="s">
        <v>52</v>
      </c>
    </row>
    <row r="986" spans="1:13" ht="16">
      <c r="A986" s="101" t="str">
        <f t="shared" si="0"/>
        <v>OK</v>
      </c>
      <c r="B986" s="49">
        <v>3700339</v>
      </c>
      <c r="C986" s="49" t="s">
        <v>1116</v>
      </c>
      <c r="D986" s="49" t="s">
        <v>7</v>
      </c>
      <c r="E986" s="50">
        <v>2.1000000000000001E-2</v>
      </c>
      <c r="F986" s="108">
        <v>0</v>
      </c>
      <c r="G986" s="51">
        <v>43922</v>
      </c>
      <c r="H986" s="46">
        <v>0</v>
      </c>
      <c r="I986" s="49" t="str">
        <f ca="1"/>
        <v>渋谷 雄大</v>
      </c>
      <c r="J986" s="109" t="s">
        <v>918</v>
      </c>
      <c r="K986" s="49" t="s">
        <v>50</v>
      </c>
      <c r="L986" s="100" t="s">
        <v>51</v>
      </c>
      <c r="M986" s="107" t="s">
        <v>52</v>
      </c>
    </row>
    <row r="987" spans="1:13" ht="16">
      <c r="A987" s="101" t="str">
        <f t="shared" si="0"/>
        <v>OK</v>
      </c>
      <c r="B987" s="49">
        <v>3700345</v>
      </c>
      <c r="C987" s="49" t="s">
        <v>1117</v>
      </c>
      <c r="D987" s="49" t="s">
        <v>7</v>
      </c>
      <c r="E987" s="50">
        <v>2.1000000000000001E-2</v>
      </c>
      <c r="F987" s="108">
        <v>0</v>
      </c>
      <c r="G987" s="51">
        <v>43922</v>
      </c>
      <c r="H987" s="46">
        <v>0</v>
      </c>
      <c r="I987" s="49" t="str">
        <f ca="1"/>
        <v>渋谷 雄大</v>
      </c>
      <c r="J987" s="109" t="s">
        <v>918</v>
      </c>
      <c r="K987" s="49" t="s">
        <v>50</v>
      </c>
      <c r="L987" s="100" t="s">
        <v>51</v>
      </c>
      <c r="M987" s="107" t="s">
        <v>52</v>
      </c>
    </row>
    <row r="988" spans="1:13" ht="16">
      <c r="A988" s="101" t="str">
        <f t="shared" si="0"/>
        <v>OK</v>
      </c>
      <c r="B988" s="49">
        <v>3700347</v>
      </c>
      <c r="C988" s="49" t="s">
        <v>1118</v>
      </c>
      <c r="D988" s="49" t="s">
        <v>7</v>
      </c>
      <c r="E988" s="50">
        <v>2.1000000000000001E-2</v>
      </c>
      <c r="F988" s="108">
        <v>0</v>
      </c>
      <c r="G988" s="51">
        <v>43922</v>
      </c>
      <c r="H988" s="46">
        <v>0</v>
      </c>
      <c r="I988" s="49" t="str">
        <f ca="1"/>
        <v>渋谷 雄大</v>
      </c>
      <c r="J988" s="109" t="s">
        <v>918</v>
      </c>
      <c r="K988" s="49" t="s">
        <v>50</v>
      </c>
      <c r="L988" s="100" t="s">
        <v>51</v>
      </c>
      <c r="M988" s="107" t="s">
        <v>52</v>
      </c>
    </row>
    <row r="989" spans="1:13" ht="16">
      <c r="A989" s="101" t="str">
        <f t="shared" si="0"/>
        <v>OK</v>
      </c>
      <c r="B989" s="49">
        <v>3700351</v>
      </c>
      <c r="C989" s="49" t="s">
        <v>1119</v>
      </c>
      <c r="D989" s="49" t="s">
        <v>7</v>
      </c>
      <c r="E989" s="50">
        <v>2.1000000000000001E-2</v>
      </c>
      <c r="F989" s="108">
        <v>0</v>
      </c>
      <c r="G989" s="51">
        <v>43922</v>
      </c>
      <c r="H989" s="46">
        <v>0</v>
      </c>
      <c r="I989" s="49" t="str">
        <f ca="1"/>
        <v>渋谷 雄大</v>
      </c>
      <c r="J989" s="109" t="s">
        <v>918</v>
      </c>
      <c r="K989" s="49" t="s">
        <v>50</v>
      </c>
      <c r="L989" s="100" t="s">
        <v>51</v>
      </c>
      <c r="M989" s="107" t="s">
        <v>52</v>
      </c>
    </row>
    <row r="990" spans="1:13" ht="16">
      <c r="A990" s="101" t="str">
        <f t="shared" si="0"/>
        <v>OK</v>
      </c>
      <c r="B990" s="49">
        <v>3700357</v>
      </c>
      <c r="C990" s="49" t="s">
        <v>1120</v>
      </c>
      <c r="D990" s="49" t="s">
        <v>7</v>
      </c>
      <c r="E990" s="50">
        <v>2.1000000000000001E-2</v>
      </c>
      <c r="F990" s="108">
        <v>0</v>
      </c>
      <c r="G990" s="51">
        <v>43922</v>
      </c>
      <c r="H990" s="46">
        <v>0</v>
      </c>
      <c r="I990" s="49" t="str">
        <f ca="1"/>
        <v>渋谷 雄大</v>
      </c>
      <c r="J990" s="109" t="s">
        <v>918</v>
      </c>
      <c r="K990" s="49" t="s">
        <v>50</v>
      </c>
      <c r="L990" s="100" t="s">
        <v>51</v>
      </c>
      <c r="M990" s="107" t="s">
        <v>52</v>
      </c>
    </row>
    <row r="991" spans="1:13" ht="16">
      <c r="A991" s="101" t="str">
        <f t="shared" si="0"/>
        <v>OK</v>
      </c>
      <c r="B991" s="49">
        <v>3700359</v>
      </c>
      <c r="C991" s="49" t="s">
        <v>1121</v>
      </c>
      <c r="D991" s="49" t="s">
        <v>7</v>
      </c>
      <c r="E991" s="50">
        <v>2.1000000000000001E-2</v>
      </c>
      <c r="F991" s="108">
        <v>0</v>
      </c>
      <c r="G991" s="51">
        <v>43922</v>
      </c>
      <c r="H991" s="46">
        <v>0</v>
      </c>
      <c r="I991" s="49" t="str">
        <f ca="1"/>
        <v>渋谷 雄大</v>
      </c>
      <c r="J991" s="109" t="s">
        <v>918</v>
      </c>
      <c r="K991" s="49" t="s">
        <v>50</v>
      </c>
      <c r="L991" s="100" t="s">
        <v>51</v>
      </c>
      <c r="M991" s="107" t="s">
        <v>52</v>
      </c>
    </row>
    <row r="992" spans="1:13" ht="16">
      <c r="A992" s="101" t="str">
        <f t="shared" si="0"/>
        <v>OK</v>
      </c>
      <c r="B992" s="49">
        <v>3700360</v>
      </c>
      <c r="C992" s="49" t="s">
        <v>1122</v>
      </c>
      <c r="D992" s="49" t="s">
        <v>7</v>
      </c>
      <c r="E992" s="50">
        <v>2.1000000000000001E-2</v>
      </c>
      <c r="F992" s="108">
        <v>0</v>
      </c>
      <c r="G992" s="51">
        <v>43922</v>
      </c>
      <c r="H992" s="46">
        <v>0</v>
      </c>
      <c r="I992" s="49" t="str">
        <f ca="1"/>
        <v>渋谷 雄大</v>
      </c>
      <c r="J992" s="109" t="s">
        <v>918</v>
      </c>
      <c r="K992" s="49" t="s">
        <v>50</v>
      </c>
      <c r="L992" s="100" t="s">
        <v>51</v>
      </c>
      <c r="M992" s="107" t="s">
        <v>52</v>
      </c>
    </row>
    <row r="993" spans="1:13" ht="16">
      <c r="A993" s="101" t="str">
        <f t="shared" si="0"/>
        <v>OK</v>
      </c>
      <c r="B993" s="49">
        <v>3700367</v>
      </c>
      <c r="C993" s="49" t="s">
        <v>1123</v>
      </c>
      <c r="D993" s="49" t="s">
        <v>7</v>
      </c>
      <c r="E993" s="50">
        <v>2.1000000000000001E-2</v>
      </c>
      <c r="F993" s="108">
        <v>0</v>
      </c>
      <c r="G993" s="51">
        <v>43922</v>
      </c>
      <c r="H993" s="46">
        <v>0</v>
      </c>
      <c r="I993" s="49" t="str">
        <f ca="1"/>
        <v>渋谷 雄大</v>
      </c>
      <c r="J993" s="109" t="s">
        <v>918</v>
      </c>
      <c r="K993" s="49" t="s">
        <v>50</v>
      </c>
      <c r="L993" s="100" t="s">
        <v>51</v>
      </c>
      <c r="M993" s="107" t="s">
        <v>52</v>
      </c>
    </row>
    <row r="994" spans="1:13" ht="16">
      <c r="A994" s="101" t="str">
        <f t="shared" si="0"/>
        <v>OK</v>
      </c>
      <c r="B994" s="49">
        <v>3700368</v>
      </c>
      <c r="C994" s="49" t="s">
        <v>1124</v>
      </c>
      <c r="D994" s="49" t="s">
        <v>7</v>
      </c>
      <c r="E994" s="50">
        <v>2.1000000000000001E-2</v>
      </c>
      <c r="F994" s="108">
        <v>0</v>
      </c>
      <c r="G994" s="51">
        <v>43922</v>
      </c>
      <c r="H994" s="46">
        <v>0</v>
      </c>
      <c r="I994" s="49" t="str">
        <f ca="1"/>
        <v>渋谷 雄大</v>
      </c>
      <c r="J994" s="109" t="s">
        <v>918</v>
      </c>
      <c r="K994" s="49" t="s">
        <v>50</v>
      </c>
      <c r="L994" s="100" t="s">
        <v>51</v>
      </c>
      <c r="M994" s="107" t="s">
        <v>52</v>
      </c>
    </row>
    <row r="995" spans="1:13" ht="16">
      <c r="A995" s="101" t="str">
        <f t="shared" si="0"/>
        <v>OK</v>
      </c>
      <c r="B995" s="49">
        <v>3700369</v>
      </c>
      <c r="C995" s="49" t="s">
        <v>1125</v>
      </c>
      <c r="D995" s="49" t="s">
        <v>7</v>
      </c>
      <c r="E995" s="50">
        <v>2.1000000000000001E-2</v>
      </c>
      <c r="F995" s="108">
        <v>0</v>
      </c>
      <c r="G995" s="51">
        <v>43922</v>
      </c>
      <c r="H995" s="46">
        <v>0</v>
      </c>
      <c r="I995" s="49" t="str">
        <f ca="1"/>
        <v>渋谷 雄大</v>
      </c>
      <c r="J995" s="109" t="s">
        <v>918</v>
      </c>
      <c r="K995" s="49" t="s">
        <v>50</v>
      </c>
      <c r="L995" s="100" t="s">
        <v>51</v>
      </c>
      <c r="M995" s="107" t="s">
        <v>52</v>
      </c>
    </row>
    <row r="996" spans="1:13" ht="16">
      <c r="A996" s="101" t="str">
        <f t="shared" si="0"/>
        <v>OK</v>
      </c>
      <c r="B996" s="49">
        <v>3700370</v>
      </c>
      <c r="C996" s="49" t="s">
        <v>1126</v>
      </c>
      <c r="D996" s="49" t="s">
        <v>7</v>
      </c>
      <c r="E996" s="50">
        <v>2.1000000000000001E-2</v>
      </c>
      <c r="F996" s="108">
        <v>0</v>
      </c>
      <c r="G996" s="51">
        <v>43922</v>
      </c>
      <c r="H996" s="46">
        <v>0</v>
      </c>
      <c r="I996" s="49" t="str">
        <f ca="1"/>
        <v>渋谷 雄大</v>
      </c>
      <c r="J996" s="109" t="s">
        <v>918</v>
      </c>
      <c r="K996" s="49" t="s">
        <v>50</v>
      </c>
      <c r="L996" s="100" t="s">
        <v>51</v>
      </c>
      <c r="M996" s="107" t="s">
        <v>52</v>
      </c>
    </row>
    <row r="997" spans="1:13" ht="16">
      <c r="A997" s="101" t="str">
        <f t="shared" si="0"/>
        <v>OK</v>
      </c>
      <c r="B997" s="49">
        <v>3700372</v>
      </c>
      <c r="C997" s="49" t="s">
        <v>1127</v>
      </c>
      <c r="D997" s="49" t="s">
        <v>7</v>
      </c>
      <c r="E997" s="50">
        <v>2.1000000000000001E-2</v>
      </c>
      <c r="F997" s="108">
        <v>0</v>
      </c>
      <c r="G997" s="51">
        <v>43922</v>
      </c>
      <c r="H997" s="46">
        <v>0</v>
      </c>
      <c r="I997" s="49" t="str">
        <f ca="1"/>
        <v>渋谷 雄大</v>
      </c>
      <c r="J997" s="109" t="s">
        <v>918</v>
      </c>
      <c r="K997" s="49" t="s">
        <v>50</v>
      </c>
      <c r="L997" s="100" t="s">
        <v>51</v>
      </c>
      <c r="M997" s="107" t="s">
        <v>52</v>
      </c>
    </row>
    <row r="998" spans="1:13" ht="16">
      <c r="A998" s="101" t="str">
        <f t="shared" si="0"/>
        <v>OK</v>
      </c>
      <c r="B998" s="49">
        <v>3700373</v>
      </c>
      <c r="C998" s="49" t="s">
        <v>1128</v>
      </c>
      <c r="D998" s="49" t="s">
        <v>7</v>
      </c>
      <c r="E998" s="50">
        <v>2.1000000000000001E-2</v>
      </c>
      <c r="F998" s="108">
        <v>0</v>
      </c>
      <c r="G998" s="51">
        <v>43922</v>
      </c>
      <c r="H998" s="46">
        <v>0</v>
      </c>
      <c r="I998" s="49" t="str">
        <f ca="1"/>
        <v>渋谷 雄大</v>
      </c>
      <c r="J998" s="109" t="s">
        <v>918</v>
      </c>
      <c r="K998" s="49" t="s">
        <v>50</v>
      </c>
      <c r="L998" s="100" t="s">
        <v>51</v>
      </c>
      <c r="M998" s="107" t="s">
        <v>52</v>
      </c>
    </row>
    <row r="999" spans="1:13" ht="16">
      <c r="A999" s="101" t="str">
        <f t="shared" si="0"/>
        <v>OK</v>
      </c>
      <c r="B999" s="49">
        <v>3700375</v>
      </c>
      <c r="C999" s="49" t="s">
        <v>1129</v>
      </c>
      <c r="D999" s="49" t="s">
        <v>7</v>
      </c>
      <c r="E999" s="50">
        <v>2.1000000000000001E-2</v>
      </c>
      <c r="F999" s="108">
        <v>0</v>
      </c>
      <c r="G999" s="51">
        <v>43922</v>
      </c>
      <c r="H999" s="46">
        <v>0</v>
      </c>
      <c r="I999" s="49" t="str">
        <f ca="1"/>
        <v>渋谷 雄大</v>
      </c>
      <c r="J999" s="109" t="s">
        <v>918</v>
      </c>
      <c r="K999" s="49" t="s">
        <v>50</v>
      </c>
      <c r="L999" s="100" t="s">
        <v>51</v>
      </c>
      <c r="M999" s="107" t="s">
        <v>52</v>
      </c>
    </row>
    <row r="1000" spans="1:13" ht="16">
      <c r="A1000" s="101" t="str">
        <f t="shared" si="0"/>
        <v>OK</v>
      </c>
      <c r="B1000" s="49">
        <v>3700376</v>
      </c>
      <c r="C1000" s="49" t="s">
        <v>1130</v>
      </c>
      <c r="D1000" s="49" t="s">
        <v>7</v>
      </c>
      <c r="E1000" s="50">
        <v>2.1000000000000001E-2</v>
      </c>
      <c r="F1000" s="108">
        <v>0</v>
      </c>
      <c r="G1000" s="51">
        <v>43922</v>
      </c>
      <c r="H1000" s="46">
        <v>0</v>
      </c>
      <c r="I1000" s="49" t="str">
        <f ca="1"/>
        <v>渋谷 雄大</v>
      </c>
      <c r="J1000" s="109" t="s">
        <v>918</v>
      </c>
      <c r="K1000" s="49" t="s">
        <v>50</v>
      </c>
      <c r="L1000" s="100" t="s">
        <v>51</v>
      </c>
      <c r="M1000" s="107" t="s">
        <v>52</v>
      </c>
    </row>
    <row r="1001" spans="1:13" ht="16">
      <c r="A1001" s="101" t="str">
        <f t="shared" si="0"/>
        <v>OK</v>
      </c>
      <c r="B1001" s="49">
        <v>3700377</v>
      </c>
      <c r="C1001" s="49" t="s">
        <v>1131</v>
      </c>
      <c r="D1001" s="49" t="s">
        <v>7</v>
      </c>
      <c r="E1001" s="50">
        <v>2.1000000000000001E-2</v>
      </c>
      <c r="F1001" s="108">
        <v>0</v>
      </c>
      <c r="G1001" s="51">
        <v>43922</v>
      </c>
      <c r="H1001" s="46">
        <v>0</v>
      </c>
      <c r="I1001" s="49" t="str">
        <f ca="1"/>
        <v>渋谷 雄大</v>
      </c>
      <c r="J1001" s="109" t="s">
        <v>918</v>
      </c>
      <c r="K1001" s="49" t="s">
        <v>50</v>
      </c>
      <c r="L1001" s="100" t="s">
        <v>51</v>
      </c>
      <c r="M1001" s="107" t="s">
        <v>52</v>
      </c>
    </row>
    <row r="1002" spans="1:13" ht="16">
      <c r="A1002" s="101" t="str">
        <f t="shared" si="0"/>
        <v>OK</v>
      </c>
      <c r="B1002" s="49">
        <v>3700379</v>
      </c>
      <c r="C1002" s="49" t="s">
        <v>1132</v>
      </c>
      <c r="D1002" s="49" t="s">
        <v>7</v>
      </c>
      <c r="E1002" s="50">
        <v>2.1000000000000001E-2</v>
      </c>
      <c r="F1002" s="108">
        <v>0</v>
      </c>
      <c r="G1002" s="51">
        <v>43922</v>
      </c>
      <c r="H1002" s="46">
        <v>0</v>
      </c>
      <c r="I1002" s="49" t="str">
        <f ca="1"/>
        <v>渋谷 雄大</v>
      </c>
      <c r="J1002" s="109" t="s">
        <v>918</v>
      </c>
      <c r="K1002" s="49" t="s">
        <v>50</v>
      </c>
      <c r="L1002" s="100" t="s">
        <v>51</v>
      </c>
      <c r="M1002" s="107" t="s">
        <v>52</v>
      </c>
    </row>
    <row r="1003" spans="1:13" ht="16">
      <c r="A1003" s="101" t="str">
        <f t="shared" si="0"/>
        <v>OK</v>
      </c>
      <c r="B1003" s="49">
        <v>3700381</v>
      </c>
      <c r="C1003" s="49" t="s">
        <v>1133</v>
      </c>
      <c r="D1003" s="49" t="s">
        <v>7</v>
      </c>
      <c r="E1003" s="50">
        <v>2.1000000000000001E-2</v>
      </c>
      <c r="F1003" s="108">
        <v>0</v>
      </c>
      <c r="G1003" s="51">
        <v>43922</v>
      </c>
      <c r="H1003" s="46">
        <v>0</v>
      </c>
      <c r="I1003" s="49" t="str">
        <f ca="1"/>
        <v>渋谷 雄大</v>
      </c>
      <c r="J1003" s="109" t="s">
        <v>918</v>
      </c>
      <c r="K1003" s="49" t="s">
        <v>50</v>
      </c>
      <c r="L1003" s="100" t="s">
        <v>51</v>
      </c>
      <c r="M1003" s="107" t="s">
        <v>52</v>
      </c>
    </row>
    <row r="1004" spans="1:13" ht="16">
      <c r="A1004" s="101" t="str">
        <f t="shared" si="0"/>
        <v>OK</v>
      </c>
      <c r="B1004" s="49">
        <v>3700383</v>
      </c>
      <c r="C1004" s="49" t="s">
        <v>1134</v>
      </c>
      <c r="D1004" s="49" t="s">
        <v>7</v>
      </c>
      <c r="E1004" s="50">
        <v>2.1000000000000001E-2</v>
      </c>
      <c r="F1004" s="108">
        <v>0</v>
      </c>
      <c r="G1004" s="51">
        <v>43922</v>
      </c>
      <c r="H1004" s="46">
        <v>0</v>
      </c>
      <c r="I1004" s="49" t="str">
        <f ca="1"/>
        <v>渋谷 雄大</v>
      </c>
      <c r="J1004" s="109" t="s">
        <v>918</v>
      </c>
      <c r="K1004" s="49" t="s">
        <v>50</v>
      </c>
      <c r="L1004" s="100" t="s">
        <v>51</v>
      </c>
      <c r="M1004" s="107" t="s">
        <v>52</v>
      </c>
    </row>
    <row r="1005" spans="1:13" ht="16">
      <c r="A1005" s="101" t="str">
        <f t="shared" si="0"/>
        <v>OK</v>
      </c>
      <c r="B1005" s="49">
        <v>3700384</v>
      </c>
      <c r="C1005" s="49" t="s">
        <v>1135</v>
      </c>
      <c r="D1005" s="49" t="s">
        <v>7</v>
      </c>
      <c r="E1005" s="50">
        <v>2.1000000000000001E-2</v>
      </c>
      <c r="F1005" s="108">
        <v>0</v>
      </c>
      <c r="G1005" s="51">
        <v>43922</v>
      </c>
      <c r="H1005" s="46">
        <v>0</v>
      </c>
      <c r="I1005" s="49" t="str">
        <f ca="1"/>
        <v>渋谷 雄大</v>
      </c>
      <c r="J1005" s="109" t="s">
        <v>918</v>
      </c>
      <c r="K1005" s="49" t="s">
        <v>50</v>
      </c>
      <c r="L1005" s="100" t="s">
        <v>51</v>
      </c>
      <c r="M1005" s="107" t="s">
        <v>52</v>
      </c>
    </row>
    <row r="1006" spans="1:13" ht="16">
      <c r="A1006" s="101" t="str">
        <f t="shared" si="0"/>
        <v>OK</v>
      </c>
      <c r="B1006" s="49">
        <v>3700385</v>
      </c>
      <c r="C1006" s="49" t="s">
        <v>1136</v>
      </c>
      <c r="D1006" s="49" t="s">
        <v>7</v>
      </c>
      <c r="E1006" s="50">
        <v>2.1000000000000001E-2</v>
      </c>
      <c r="F1006" s="108">
        <v>0</v>
      </c>
      <c r="G1006" s="51">
        <v>43922</v>
      </c>
      <c r="H1006" s="46">
        <v>0</v>
      </c>
      <c r="I1006" s="49" t="str">
        <f ca="1"/>
        <v>渋谷 雄大</v>
      </c>
      <c r="J1006" s="109" t="s">
        <v>918</v>
      </c>
      <c r="K1006" s="49" t="s">
        <v>50</v>
      </c>
      <c r="L1006" s="100" t="s">
        <v>51</v>
      </c>
      <c r="M1006" s="107" t="s">
        <v>52</v>
      </c>
    </row>
    <row r="1007" spans="1:13" ht="16">
      <c r="A1007" s="101" t="str">
        <f t="shared" si="0"/>
        <v>OK</v>
      </c>
      <c r="B1007" s="49">
        <v>3700393</v>
      </c>
      <c r="C1007" s="49" t="s">
        <v>1137</v>
      </c>
      <c r="D1007" s="49" t="s">
        <v>7</v>
      </c>
      <c r="E1007" s="50">
        <v>2.1000000000000001E-2</v>
      </c>
      <c r="F1007" s="108">
        <v>0</v>
      </c>
      <c r="G1007" s="51">
        <v>43922</v>
      </c>
      <c r="H1007" s="46">
        <v>0</v>
      </c>
      <c r="I1007" s="49" t="str">
        <f ca="1"/>
        <v>渋谷 雄大</v>
      </c>
      <c r="J1007" s="109" t="s">
        <v>918</v>
      </c>
      <c r="K1007" s="49" t="s">
        <v>50</v>
      </c>
      <c r="L1007" s="100" t="s">
        <v>51</v>
      </c>
      <c r="M1007" s="107" t="s">
        <v>52</v>
      </c>
    </row>
    <row r="1008" spans="1:13" ht="16">
      <c r="A1008" s="101" t="str">
        <f t="shared" si="0"/>
        <v>OK</v>
      </c>
      <c r="B1008" s="49">
        <v>3700394</v>
      </c>
      <c r="C1008" s="49" t="s">
        <v>1138</v>
      </c>
      <c r="D1008" s="49" t="s">
        <v>7</v>
      </c>
      <c r="E1008" s="50">
        <v>2.1000000000000001E-2</v>
      </c>
      <c r="F1008" s="108">
        <v>64</v>
      </c>
      <c r="G1008" s="51">
        <v>43922</v>
      </c>
      <c r="H1008" s="46">
        <v>0</v>
      </c>
      <c r="I1008" s="49" t="str">
        <f ca="1"/>
        <v>渋谷 雄大</v>
      </c>
      <c r="J1008" s="109" t="s">
        <v>918</v>
      </c>
      <c r="K1008" s="49" t="s">
        <v>50</v>
      </c>
      <c r="L1008" s="100" t="s">
        <v>51</v>
      </c>
      <c r="M1008" s="107" t="s">
        <v>52</v>
      </c>
    </row>
    <row r="1009" spans="1:13" ht="16">
      <c r="A1009" s="101" t="str">
        <f t="shared" si="0"/>
        <v>OK</v>
      </c>
      <c r="B1009" s="49">
        <v>3700397</v>
      </c>
      <c r="C1009" s="49" t="s">
        <v>1139</v>
      </c>
      <c r="D1009" s="49" t="s">
        <v>7</v>
      </c>
      <c r="E1009" s="50">
        <v>2.1000000000000001E-2</v>
      </c>
      <c r="F1009" s="108">
        <v>0</v>
      </c>
      <c r="G1009" s="51">
        <v>43922</v>
      </c>
      <c r="H1009" s="46">
        <v>0</v>
      </c>
      <c r="I1009" s="49" t="str">
        <f ca="1"/>
        <v>渋谷 雄大</v>
      </c>
      <c r="J1009" s="109" t="s">
        <v>918</v>
      </c>
      <c r="K1009" s="49" t="s">
        <v>50</v>
      </c>
      <c r="L1009" s="100" t="s">
        <v>51</v>
      </c>
      <c r="M1009" s="107" t="s">
        <v>52</v>
      </c>
    </row>
    <row r="1010" spans="1:13" ht="16">
      <c r="A1010" s="101" t="str">
        <f t="shared" si="0"/>
        <v>OK</v>
      </c>
      <c r="B1010" s="49">
        <v>3700400</v>
      </c>
      <c r="C1010" s="49" t="s">
        <v>1140</v>
      </c>
      <c r="D1010" s="49" t="s">
        <v>7</v>
      </c>
      <c r="E1010" s="50">
        <v>2.1000000000000001E-2</v>
      </c>
      <c r="F1010" s="108">
        <v>0</v>
      </c>
      <c r="G1010" s="51">
        <v>43922</v>
      </c>
      <c r="H1010" s="46">
        <v>0</v>
      </c>
      <c r="I1010" s="49" t="str">
        <f ca="1"/>
        <v>渋谷 雄大</v>
      </c>
      <c r="J1010" s="109" t="s">
        <v>918</v>
      </c>
      <c r="K1010" s="49" t="s">
        <v>50</v>
      </c>
      <c r="L1010" s="100" t="s">
        <v>51</v>
      </c>
      <c r="M1010" s="107" t="s">
        <v>52</v>
      </c>
    </row>
    <row r="1011" spans="1:13" ht="16">
      <c r="A1011" s="101" t="str">
        <f t="shared" si="0"/>
        <v>OK</v>
      </c>
      <c r="B1011" s="49">
        <v>3700404</v>
      </c>
      <c r="C1011" s="49" t="s">
        <v>1141</v>
      </c>
      <c r="D1011" s="49" t="s">
        <v>7</v>
      </c>
      <c r="E1011" s="50">
        <v>2.1000000000000001E-2</v>
      </c>
      <c r="F1011" s="108">
        <v>0</v>
      </c>
      <c r="G1011" s="51">
        <v>43922</v>
      </c>
      <c r="H1011" s="46">
        <v>0</v>
      </c>
      <c r="I1011" s="49" t="str">
        <f ca="1"/>
        <v>渋谷 雄大</v>
      </c>
      <c r="J1011" s="109" t="s">
        <v>918</v>
      </c>
      <c r="K1011" s="49" t="s">
        <v>50</v>
      </c>
      <c r="L1011" s="100" t="s">
        <v>51</v>
      </c>
      <c r="M1011" s="107" t="s">
        <v>52</v>
      </c>
    </row>
    <row r="1012" spans="1:13" ht="16">
      <c r="A1012" s="101" t="str">
        <f t="shared" si="0"/>
        <v>OK</v>
      </c>
      <c r="B1012" s="49">
        <v>3700405</v>
      </c>
      <c r="C1012" s="49" t="s">
        <v>1142</v>
      </c>
      <c r="D1012" s="49" t="s">
        <v>7</v>
      </c>
      <c r="E1012" s="50">
        <v>2.1000000000000001E-2</v>
      </c>
      <c r="F1012" s="108">
        <v>0</v>
      </c>
      <c r="G1012" s="51">
        <v>43922</v>
      </c>
      <c r="H1012" s="46">
        <v>0</v>
      </c>
      <c r="I1012" s="49" t="str">
        <f ca="1"/>
        <v>渋谷 雄大</v>
      </c>
      <c r="J1012" s="109" t="s">
        <v>918</v>
      </c>
      <c r="K1012" s="49" t="s">
        <v>50</v>
      </c>
      <c r="L1012" s="100" t="s">
        <v>51</v>
      </c>
      <c r="M1012" s="107" t="s">
        <v>52</v>
      </c>
    </row>
    <row r="1013" spans="1:13" ht="16">
      <c r="A1013" s="101" t="str">
        <f t="shared" si="0"/>
        <v>OK</v>
      </c>
      <c r="B1013" s="49">
        <v>3700407</v>
      </c>
      <c r="C1013" s="49" t="s">
        <v>1143</v>
      </c>
      <c r="D1013" s="49" t="s">
        <v>7</v>
      </c>
      <c r="E1013" s="50">
        <v>2.1000000000000001E-2</v>
      </c>
      <c r="F1013" s="108">
        <v>0</v>
      </c>
      <c r="G1013" s="51">
        <v>43922</v>
      </c>
      <c r="H1013" s="46">
        <v>0</v>
      </c>
      <c r="I1013" s="49" t="str">
        <f ca="1"/>
        <v>渋谷 雄大</v>
      </c>
      <c r="J1013" s="109" t="s">
        <v>918</v>
      </c>
      <c r="K1013" s="49" t="s">
        <v>50</v>
      </c>
      <c r="L1013" s="100" t="s">
        <v>51</v>
      </c>
      <c r="M1013" s="107" t="s">
        <v>52</v>
      </c>
    </row>
    <row r="1014" spans="1:13" ht="16">
      <c r="A1014" s="101" t="str">
        <f t="shared" si="0"/>
        <v>OK</v>
      </c>
      <c r="B1014" s="49">
        <v>3700408</v>
      </c>
      <c r="C1014" s="49" t="s">
        <v>1144</v>
      </c>
      <c r="D1014" s="49" t="s">
        <v>7</v>
      </c>
      <c r="E1014" s="50">
        <v>2.1000000000000001E-2</v>
      </c>
      <c r="F1014" s="108">
        <v>25</v>
      </c>
      <c r="G1014" s="51">
        <v>43922</v>
      </c>
      <c r="H1014" s="46">
        <v>0</v>
      </c>
      <c r="I1014" s="49" t="str">
        <f ca="1"/>
        <v>渋谷 雄大</v>
      </c>
      <c r="J1014" s="109" t="s">
        <v>918</v>
      </c>
      <c r="K1014" s="49" t="s">
        <v>50</v>
      </c>
      <c r="L1014" s="100" t="s">
        <v>51</v>
      </c>
      <c r="M1014" s="107" t="s">
        <v>52</v>
      </c>
    </row>
    <row r="1015" spans="1:13" ht="16">
      <c r="A1015" s="101" t="str">
        <f t="shared" si="0"/>
        <v>OK</v>
      </c>
      <c r="B1015" s="49">
        <v>3700409</v>
      </c>
      <c r="C1015" s="49" t="s">
        <v>1145</v>
      </c>
      <c r="D1015" s="49" t="s">
        <v>7</v>
      </c>
      <c r="E1015" s="50">
        <v>2.1000000000000001E-2</v>
      </c>
      <c r="F1015" s="108">
        <v>0</v>
      </c>
      <c r="G1015" s="51">
        <v>43922</v>
      </c>
      <c r="H1015" s="46">
        <v>0</v>
      </c>
      <c r="I1015" s="49" t="str">
        <f ca="1"/>
        <v>渋谷 雄大</v>
      </c>
      <c r="J1015" s="109" t="s">
        <v>918</v>
      </c>
      <c r="K1015" s="49" t="s">
        <v>50</v>
      </c>
      <c r="L1015" s="100" t="s">
        <v>51</v>
      </c>
      <c r="M1015" s="107" t="s">
        <v>52</v>
      </c>
    </row>
    <row r="1016" spans="1:13" ht="16">
      <c r="A1016" s="101" t="str">
        <f t="shared" si="0"/>
        <v>OK</v>
      </c>
      <c r="B1016" s="49">
        <v>3700410</v>
      </c>
      <c r="C1016" s="49" t="s">
        <v>1146</v>
      </c>
      <c r="D1016" s="49" t="s">
        <v>7</v>
      </c>
      <c r="E1016" s="50">
        <v>2.1000000000000001E-2</v>
      </c>
      <c r="F1016" s="108">
        <v>0</v>
      </c>
      <c r="G1016" s="51">
        <v>43922</v>
      </c>
      <c r="H1016" s="46">
        <v>0</v>
      </c>
      <c r="I1016" s="49" t="str">
        <f ca="1"/>
        <v>渋谷 雄大</v>
      </c>
      <c r="J1016" s="109" t="s">
        <v>918</v>
      </c>
      <c r="K1016" s="49" t="s">
        <v>50</v>
      </c>
      <c r="L1016" s="100" t="s">
        <v>51</v>
      </c>
      <c r="M1016" s="107" t="s">
        <v>52</v>
      </c>
    </row>
    <row r="1017" spans="1:13" ht="16">
      <c r="A1017" s="101" t="str">
        <f t="shared" si="0"/>
        <v>OK</v>
      </c>
      <c r="B1017" s="49">
        <v>3700411</v>
      </c>
      <c r="C1017" s="49" t="s">
        <v>1147</v>
      </c>
      <c r="D1017" s="49" t="s">
        <v>7</v>
      </c>
      <c r="E1017" s="50">
        <v>2.1000000000000001E-2</v>
      </c>
      <c r="F1017" s="108">
        <v>0</v>
      </c>
      <c r="G1017" s="51">
        <v>43922</v>
      </c>
      <c r="H1017" s="46">
        <v>0</v>
      </c>
      <c r="I1017" s="49" t="str">
        <f ca="1"/>
        <v>渋谷 雄大</v>
      </c>
      <c r="J1017" s="109" t="s">
        <v>918</v>
      </c>
      <c r="K1017" s="49" t="s">
        <v>50</v>
      </c>
      <c r="L1017" s="100" t="s">
        <v>51</v>
      </c>
      <c r="M1017" s="107" t="s">
        <v>52</v>
      </c>
    </row>
    <row r="1018" spans="1:13" ht="16">
      <c r="A1018" s="101" t="str">
        <f t="shared" si="0"/>
        <v>OK</v>
      </c>
      <c r="B1018" s="49">
        <v>3700412</v>
      </c>
      <c r="C1018" s="49" t="s">
        <v>1148</v>
      </c>
      <c r="D1018" s="49" t="s">
        <v>7</v>
      </c>
      <c r="E1018" s="50">
        <v>2.1000000000000001E-2</v>
      </c>
      <c r="F1018" s="108">
        <v>34</v>
      </c>
      <c r="G1018" s="51">
        <v>43922</v>
      </c>
      <c r="H1018" s="46">
        <v>0</v>
      </c>
      <c r="I1018" s="49" t="str">
        <f ca="1"/>
        <v>渋谷 雄大</v>
      </c>
      <c r="J1018" s="109" t="s">
        <v>918</v>
      </c>
      <c r="K1018" s="49" t="s">
        <v>50</v>
      </c>
      <c r="L1018" s="100" t="s">
        <v>51</v>
      </c>
      <c r="M1018" s="107" t="s">
        <v>52</v>
      </c>
    </row>
    <row r="1019" spans="1:13" ht="16">
      <c r="A1019" s="101" t="str">
        <f t="shared" si="0"/>
        <v>OK</v>
      </c>
      <c r="B1019" s="49">
        <v>3700413</v>
      </c>
      <c r="C1019" s="49" t="s">
        <v>1149</v>
      </c>
      <c r="D1019" s="49" t="s">
        <v>7</v>
      </c>
      <c r="E1019" s="50">
        <v>2.1000000000000001E-2</v>
      </c>
      <c r="F1019" s="108">
        <v>0</v>
      </c>
      <c r="G1019" s="51">
        <v>43922</v>
      </c>
      <c r="H1019" s="46">
        <v>0</v>
      </c>
      <c r="I1019" s="49" t="str">
        <f ca="1"/>
        <v>渋谷 雄大</v>
      </c>
      <c r="J1019" s="109" t="s">
        <v>918</v>
      </c>
      <c r="K1019" s="49" t="s">
        <v>50</v>
      </c>
      <c r="L1019" s="100" t="s">
        <v>51</v>
      </c>
      <c r="M1019" s="107" t="s">
        <v>52</v>
      </c>
    </row>
    <row r="1020" spans="1:13" ht="16">
      <c r="A1020" s="101" t="str">
        <f t="shared" si="0"/>
        <v>OK</v>
      </c>
      <c r="B1020" s="49">
        <v>3700414</v>
      </c>
      <c r="C1020" s="49" t="s">
        <v>1150</v>
      </c>
      <c r="D1020" s="49" t="s">
        <v>7</v>
      </c>
      <c r="E1020" s="50">
        <v>2.1000000000000001E-2</v>
      </c>
      <c r="F1020" s="108">
        <v>0</v>
      </c>
      <c r="G1020" s="51">
        <v>43922</v>
      </c>
      <c r="H1020" s="46">
        <v>0</v>
      </c>
      <c r="I1020" s="49" t="str">
        <f ca="1"/>
        <v>渋谷 雄大</v>
      </c>
      <c r="J1020" s="109" t="s">
        <v>918</v>
      </c>
      <c r="K1020" s="49" t="s">
        <v>50</v>
      </c>
      <c r="L1020" s="100" t="s">
        <v>51</v>
      </c>
      <c r="M1020" s="107" t="s">
        <v>52</v>
      </c>
    </row>
    <row r="1021" spans="1:13" ht="16">
      <c r="A1021" s="101" t="str">
        <f t="shared" si="0"/>
        <v>OK</v>
      </c>
      <c r="B1021" s="49">
        <v>3700415</v>
      </c>
      <c r="C1021" s="49" t="s">
        <v>1151</v>
      </c>
      <c r="D1021" s="49" t="s">
        <v>7</v>
      </c>
      <c r="E1021" s="50">
        <v>2.1000000000000001E-2</v>
      </c>
      <c r="F1021" s="108">
        <v>0</v>
      </c>
      <c r="G1021" s="51">
        <v>43922</v>
      </c>
      <c r="H1021" s="46">
        <v>0</v>
      </c>
      <c r="I1021" s="49" t="str">
        <f ca="1"/>
        <v>渋谷 雄大</v>
      </c>
      <c r="J1021" s="109" t="s">
        <v>918</v>
      </c>
      <c r="K1021" s="49" t="s">
        <v>50</v>
      </c>
      <c r="L1021" s="100" t="s">
        <v>51</v>
      </c>
      <c r="M1021" s="107" t="s">
        <v>52</v>
      </c>
    </row>
    <row r="1022" spans="1:13" ht="16">
      <c r="A1022" s="101" t="str">
        <f t="shared" si="0"/>
        <v>OK</v>
      </c>
      <c r="B1022" s="49">
        <v>3700416</v>
      </c>
      <c r="C1022" s="49" t="s">
        <v>1152</v>
      </c>
      <c r="D1022" s="49" t="s">
        <v>7</v>
      </c>
      <c r="E1022" s="50">
        <v>2.1000000000000001E-2</v>
      </c>
      <c r="F1022" s="108">
        <v>0</v>
      </c>
      <c r="G1022" s="51">
        <v>43922</v>
      </c>
      <c r="H1022" s="46">
        <v>0</v>
      </c>
      <c r="I1022" s="49" t="str">
        <f ca="1"/>
        <v>渋谷 雄大</v>
      </c>
      <c r="J1022" s="109" t="s">
        <v>918</v>
      </c>
      <c r="K1022" s="49" t="s">
        <v>50</v>
      </c>
      <c r="L1022" s="100" t="s">
        <v>51</v>
      </c>
      <c r="M1022" s="107" t="s">
        <v>52</v>
      </c>
    </row>
    <row r="1023" spans="1:13" ht="16">
      <c r="A1023" s="101" t="str">
        <f t="shared" si="0"/>
        <v>OK</v>
      </c>
      <c r="B1023" s="49">
        <v>3700417</v>
      </c>
      <c r="C1023" s="49" t="s">
        <v>1153</v>
      </c>
      <c r="D1023" s="49" t="s">
        <v>7</v>
      </c>
      <c r="E1023" s="50">
        <v>2.1000000000000001E-2</v>
      </c>
      <c r="F1023" s="108">
        <v>46</v>
      </c>
      <c r="G1023" s="51">
        <v>43922</v>
      </c>
      <c r="H1023" s="46">
        <v>0</v>
      </c>
      <c r="I1023" s="49" t="str">
        <f ca="1"/>
        <v>渋谷 雄大</v>
      </c>
      <c r="J1023" s="109" t="s">
        <v>918</v>
      </c>
      <c r="K1023" s="49" t="s">
        <v>50</v>
      </c>
      <c r="L1023" s="100" t="s">
        <v>51</v>
      </c>
      <c r="M1023" s="107" t="s">
        <v>52</v>
      </c>
    </row>
    <row r="1024" spans="1:13" ht="16">
      <c r="A1024" s="101" t="str">
        <f t="shared" si="0"/>
        <v>OK</v>
      </c>
      <c r="B1024" s="49">
        <v>3700418</v>
      </c>
      <c r="C1024" s="49" t="s">
        <v>1154</v>
      </c>
      <c r="D1024" s="49" t="s">
        <v>7</v>
      </c>
      <c r="E1024" s="50">
        <v>2.1000000000000001E-2</v>
      </c>
      <c r="F1024" s="108">
        <v>0</v>
      </c>
      <c r="G1024" s="51">
        <v>43922</v>
      </c>
      <c r="H1024" s="46">
        <v>0</v>
      </c>
      <c r="I1024" s="49" t="str">
        <f ca="1"/>
        <v>渋谷 雄大</v>
      </c>
      <c r="J1024" s="109" t="s">
        <v>918</v>
      </c>
      <c r="K1024" s="49" t="s">
        <v>50</v>
      </c>
      <c r="L1024" s="100" t="s">
        <v>51</v>
      </c>
      <c r="M1024" s="107" t="s">
        <v>52</v>
      </c>
    </row>
    <row r="1025" spans="1:13" ht="16">
      <c r="A1025" s="101" t="str">
        <f t="shared" si="0"/>
        <v>OK</v>
      </c>
      <c r="B1025" s="49">
        <v>3700419</v>
      </c>
      <c r="C1025" s="49" t="s">
        <v>1155</v>
      </c>
      <c r="D1025" s="49" t="s">
        <v>7</v>
      </c>
      <c r="E1025" s="50">
        <v>2.1000000000000001E-2</v>
      </c>
      <c r="F1025" s="108">
        <v>0</v>
      </c>
      <c r="G1025" s="51">
        <v>43922</v>
      </c>
      <c r="H1025" s="46">
        <v>0</v>
      </c>
      <c r="I1025" s="49" t="str">
        <f ca="1"/>
        <v>渋谷 雄大</v>
      </c>
      <c r="J1025" s="109" t="s">
        <v>918</v>
      </c>
      <c r="K1025" s="49" t="s">
        <v>50</v>
      </c>
      <c r="L1025" s="100" t="s">
        <v>51</v>
      </c>
      <c r="M1025" s="107" t="s">
        <v>52</v>
      </c>
    </row>
    <row r="1026" spans="1:13" ht="16">
      <c r="A1026" s="101" t="str">
        <f t="shared" si="0"/>
        <v>OK</v>
      </c>
      <c r="B1026" s="49">
        <v>3700420</v>
      </c>
      <c r="C1026" s="49" t="s">
        <v>1156</v>
      </c>
      <c r="D1026" s="49" t="s">
        <v>7</v>
      </c>
      <c r="E1026" s="50">
        <v>2.1000000000000001E-2</v>
      </c>
      <c r="F1026" s="108">
        <v>0</v>
      </c>
      <c r="G1026" s="51">
        <v>43922</v>
      </c>
      <c r="H1026" s="46">
        <v>0</v>
      </c>
      <c r="I1026" s="49" t="str">
        <f ca="1"/>
        <v>渋谷 雄大</v>
      </c>
      <c r="J1026" s="109" t="s">
        <v>918</v>
      </c>
      <c r="K1026" s="49" t="s">
        <v>50</v>
      </c>
      <c r="L1026" s="100" t="s">
        <v>51</v>
      </c>
      <c r="M1026" s="107" t="s">
        <v>52</v>
      </c>
    </row>
    <row r="1027" spans="1:13" ht="16">
      <c r="A1027" s="101" t="str">
        <f t="shared" si="0"/>
        <v>OK</v>
      </c>
      <c r="B1027" s="49">
        <v>3700421</v>
      </c>
      <c r="C1027" s="49" t="s">
        <v>1157</v>
      </c>
      <c r="D1027" s="49" t="s">
        <v>7</v>
      </c>
      <c r="E1027" s="50">
        <v>2.1000000000000001E-2</v>
      </c>
      <c r="F1027" s="108">
        <v>0</v>
      </c>
      <c r="G1027" s="51">
        <v>43922</v>
      </c>
      <c r="H1027" s="46">
        <v>0</v>
      </c>
      <c r="I1027" s="49" t="str">
        <f ca="1"/>
        <v>渋谷 雄大</v>
      </c>
      <c r="J1027" s="109" t="s">
        <v>918</v>
      </c>
      <c r="K1027" s="49" t="s">
        <v>50</v>
      </c>
      <c r="L1027" s="100" t="s">
        <v>51</v>
      </c>
      <c r="M1027" s="107" t="s">
        <v>52</v>
      </c>
    </row>
    <row r="1028" spans="1:13" ht="16">
      <c r="A1028" s="101" t="str">
        <f t="shared" si="0"/>
        <v>OK</v>
      </c>
      <c r="B1028" s="49">
        <v>3700422</v>
      </c>
      <c r="C1028" s="49" t="s">
        <v>1158</v>
      </c>
      <c r="D1028" s="49" t="s">
        <v>7</v>
      </c>
      <c r="E1028" s="50">
        <v>2.1000000000000001E-2</v>
      </c>
      <c r="F1028" s="108">
        <v>0</v>
      </c>
      <c r="G1028" s="51">
        <v>43922</v>
      </c>
      <c r="H1028" s="46">
        <v>0</v>
      </c>
      <c r="I1028" s="49" t="str">
        <f ca="1"/>
        <v>渋谷 雄大</v>
      </c>
      <c r="J1028" s="109" t="s">
        <v>918</v>
      </c>
      <c r="K1028" s="49" t="s">
        <v>50</v>
      </c>
      <c r="L1028" s="100" t="s">
        <v>51</v>
      </c>
      <c r="M1028" s="107" t="s">
        <v>52</v>
      </c>
    </row>
    <row r="1029" spans="1:13" ht="16">
      <c r="A1029" s="101" t="str">
        <f t="shared" si="0"/>
        <v>OK</v>
      </c>
      <c r="B1029" s="49">
        <v>3720001</v>
      </c>
      <c r="C1029" s="49" t="s">
        <v>1159</v>
      </c>
      <c r="D1029" s="49" t="s">
        <v>7</v>
      </c>
      <c r="E1029" s="50">
        <v>2.1000000000000001E-2</v>
      </c>
      <c r="F1029" s="108">
        <v>0</v>
      </c>
      <c r="G1029" s="51">
        <v>43922</v>
      </c>
      <c r="H1029" s="46">
        <v>0</v>
      </c>
      <c r="I1029" s="49" t="str">
        <f ca="1"/>
        <v>渋谷 雄大</v>
      </c>
      <c r="J1029" s="109" t="s">
        <v>918</v>
      </c>
      <c r="K1029" s="49" t="s">
        <v>50</v>
      </c>
      <c r="L1029" s="100" t="s">
        <v>51</v>
      </c>
      <c r="M1029" s="107" t="s">
        <v>52</v>
      </c>
    </row>
    <row r="1030" spans="1:13" ht="16">
      <c r="A1030" s="101" t="str">
        <f t="shared" si="0"/>
        <v>OK</v>
      </c>
      <c r="B1030" s="49">
        <v>3720002</v>
      </c>
      <c r="C1030" s="49" t="s">
        <v>1160</v>
      </c>
      <c r="D1030" s="49" t="s">
        <v>7</v>
      </c>
      <c r="E1030" s="50">
        <v>2.1000000000000001E-2</v>
      </c>
      <c r="F1030" s="108">
        <v>0</v>
      </c>
      <c r="G1030" s="51">
        <v>43922</v>
      </c>
      <c r="H1030" s="46">
        <v>0</v>
      </c>
      <c r="I1030" s="49" t="str">
        <f ca="1"/>
        <v>渋谷 雄大</v>
      </c>
      <c r="J1030" s="109" t="s">
        <v>918</v>
      </c>
      <c r="K1030" s="49" t="s">
        <v>50</v>
      </c>
      <c r="L1030" s="100" t="s">
        <v>51</v>
      </c>
      <c r="M1030" s="107" t="s">
        <v>52</v>
      </c>
    </row>
    <row r="1031" spans="1:13" ht="16">
      <c r="A1031" s="101" t="str">
        <f t="shared" si="0"/>
        <v>OK</v>
      </c>
      <c r="B1031" s="49">
        <v>3720003</v>
      </c>
      <c r="C1031" s="49" t="s">
        <v>1161</v>
      </c>
      <c r="D1031" s="49" t="s">
        <v>7</v>
      </c>
      <c r="E1031" s="50">
        <v>2.1000000000000001E-2</v>
      </c>
      <c r="F1031" s="108">
        <v>0</v>
      </c>
      <c r="G1031" s="51">
        <v>43922</v>
      </c>
      <c r="H1031" s="46">
        <v>0</v>
      </c>
      <c r="I1031" s="49" t="str">
        <f ca="1"/>
        <v>渋谷 雄大</v>
      </c>
      <c r="J1031" s="109" t="s">
        <v>918</v>
      </c>
      <c r="K1031" s="49" t="s">
        <v>50</v>
      </c>
      <c r="L1031" s="100" t="s">
        <v>51</v>
      </c>
      <c r="M1031" s="107" t="s">
        <v>52</v>
      </c>
    </row>
    <row r="1032" spans="1:13" ht="16">
      <c r="A1032" s="101" t="str">
        <f t="shared" si="0"/>
        <v>OK</v>
      </c>
      <c r="B1032" s="49">
        <v>3720004</v>
      </c>
      <c r="C1032" s="49" t="s">
        <v>1162</v>
      </c>
      <c r="D1032" s="49" t="s">
        <v>7</v>
      </c>
      <c r="E1032" s="50">
        <v>2.1000000000000001E-2</v>
      </c>
      <c r="F1032" s="108">
        <v>0</v>
      </c>
      <c r="G1032" s="51">
        <v>43922</v>
      </c>
      <c r="H1032" s="46">
        <v>0</v>
      </c>
      <c r="I1032" s="49" t="str">
        <f ca="1"/>
        <v>渋谷 雄大</v>
      </c>
      <c r="J1032" s="109" t="s">
        <v>918</v>
      </c>
      <c r="K1032" s="49" t="s">
        <v>50</v>
      </c>
      <c r="L1032" s="100" t="s">
        <v>51</v>
      </c>
      <c r="M1032" s="107" t="s">
        <v>52</v>
      </c>
    </row>
    <row r="1033" spans="1:13" ht="16">
      <c r="A1033" s="101" t="str">
        <f t="shared" si="0"/>
        <v>OK</v>
      </c>
      <c r="B1033" s="49">
        <v>3720005</v>
      </c>
      <c r="C1033" s="49" t="s">
        <v>1163</v>
      </c>
      <c r="D1033" s="49" t="s">
        <v>7</v>
      </c>
      <c r="E1033" s="50">
        <v>2.1000000000000001E-2</v>
      </c>
      <c r="F1033" s="108">
        <v>0</v>
      </c>
      <c r="G1033" s="51">
        <v>43922</v>
      </c>
      <c r="H1033" s="46">
        <v>0</v>
      </c>
      <c r="I1033" s="49" t="str">
        <f ca="1"/>
        <v>渋谷 雄大</v>
      </c>
      <c r="J1033" s="109" t="s">
        <v>918</v>
      </c>
      <c r="K1033" s="49" t="s">
        <v>50</v>
      </c>
      <c r="L1033" s="100" t="s">
        <v>51</v>
      </c>
      <c r="M1033" s="107" t="s">
        <v>52</v>
      </c>
    </row>
    <row r="1034" spans="1:13" ht="16">
      <c r="A1034" s="101" t="str">
        <f t="shared" si="0"/>
        <v>OK</v>
      </c>
      <c r="B1034" s="49">
        <v>3720006</v>
      </c>
      <c r="C1034" s="49" t="s">
        <v>1164</v>
      </c>
      <c r="D1034" s="49" t="s">
        <v>7</v>
      </c>
      <c r="E1034" s="50">
        <v>2.1000000000000001E-2</v>
      </c>
      <c r="F1034" s="108">
        <v>0</v>
      </c>
      <c r="G1034" s="51">
        <v>43922</v>
      </c>
      <c r="H1034" s="46">
        <v>0</v>
      </c>
      <c r="I1034" s="49" t="str">
        <f ca="1"/>
        <v>渋谷 雄大</v>
      </c>
      <c r="J1034" s="109" t="s">
        <v>918</v>
      </c>
      <c r="K1034" s="49" t="s">
        <v>50</v>
      </c>
      <c r="L1034" s="100" t="s">
        <v>51</v>
      </c>
      <c r="M1034" s="107" t="s">
        <v>52</v>
      </c>
    </row>
    <row r="1035" spans="1:13" ht="16">
      <c r="A1035" s="101" t="str">
        <f t="shared" si="0"/>
        <v>OK</v>
      </c>
      <c r="B1035" s="49">
        <v>3720008</v>
      </c>
      <c r="C1035" s="49" t="s">
        <v>1165</v>
      </c>
      <c r="D1035" s="49" t="s">
        <v>7</v>
      </c>
      <c r="E1035" s="50">
        <v>2.1000000000000001E-2</v>
      </c>
      <c r="F1035" s="108">
        <v>0</v>
      </c>
      <c r="G1035" s="51">
        <v>43922</v>
      </c>
      <c r="H1035" s="46">
        <v>0</v>
      </c>
      <c r="I1035" s="49" t="str">
        <f ca="1"/>
        <v>渋谷 雄大</v>
      </c>
      <c r="J1035" s="109" t="s">
        <v>918</v>
      </c>
      <c r="K1035" s="49" t="s">
        <v>50</v>
      </c>
      <c r="L1035" s="100" t="s">
        <v>51</v>
      </c>
      <c r="M1035" s="107" t="s">
        <v>52</v>
      </c>
    </row>
    <row r="1036" spans="1:13" ht="16">
      <c r="A1036" s="101" t="str">
        <f t="shared" si="0"/>
        <v>OK</v>
      </c>
      <c r="B1036" s="49">
        <v>3720009</v>
      </c>
      <c r="C1036" s="49" t="s">
        <v>1166</v>
      </c>
      <c r="D1036" s="49" t="s">
        <v>7</v>
      </c>
      <c r="E1036" s="50">
        <v>2.1000000000000001E-2</v>
      </c>
      <c r="F1036" s="108">
        <v>0</v>
      </c>
      <c r="G1036" s="51">
        <v>43922</v>
      </c>
      <c r="H1036" s="46">
        <v>0</v>
      </c>
      <c r="I1036" s="49" t="str">
        <f ca="1"/>
        <v>渋谷 雄大</v>
      </c>
      <c r="J1036" s="109" t="s">
        <v>918</v>
      </c>
      <c r="K1036" s="49" t="s">
        <v>50</v>
      </c>
      <c r="L1036" s="100" t="s">
        <v>51</v>
      </c>
      <c r="M1036" s="107" t="s">
        <v>52</v>
      </c>
    </row>
    <row r="1037" spans="1:13" ht="16">
      <c r="A1037" s="101" t="str">
        <f t="shared" si="0"/>
        <v>OK</v>
      </c>
      <c r="B1037" s="49">
        <v>3720010</v>
      </c>
      <c r="C1037" s="49" t="s">
        <v>1167</v>
      </c>
      <c r="D1037" s="49" t="s">
        <v>7</v>
      </c>
      <c r="E1037" s="50">
        <v>2.1000000000000001E-2</v>
      </c>
      <c r="F1037" s="108">
        <v>0</v>
      </c>
      <c r="G1037" s="51">
        <v>43922</v>
      </c>
      <c r="H1037" s="46">
        <v>0</v>
      </c>
      <c r="I1037" s="49" t="str">
        <f ca="1"/>
        <v>渋谷 雄大</v>
      </c>
      <c r="J1037" s="109" t="s">
        <v>918</v>
      </c>
      <c r="K1037" s="49" t="s">
        <v>50</v>
      </c>
      <c r="L1037" s="100" t="s">
        <v>51</v>
      </c>
      <c r="M1037" s="107" t="s">
        <v>52</v>
      </c>
    </row>
    <row r="1038" spans="1:13" ht="16">
      <c r="A1038" s="101" t="str">
        <f t="shared" si="0"/>
        <v>OK</v>
      </c>
      <c r="B1038" s="49">
        <v>3720011</v>
      </c>
      <c r="C1038" s="49" t="s">
        <v>1168</v>
      </c>
      <c r="D1038" s="49" t="s">
        <v>7</v>
      </c>
      <c r="E1038" s="50">
        <v>2.1000000000000001E-2</v>
      </c>
      <c r="F1038" s="108">
        <v>0</v>
      </c>
      <c r="G1038" s="51">
        <v>43922</v>
      </c>
      <c r="H1038" s="46">
        <v>0</v>
      </c>
      <c r="I1038" s="49" t="str">
        <f ca="1"/>
        <v>渋谷 雄大</v>
      </c>
      <c r="J1038" s="109" t="s">
        <v>918</v>
      </c>
      <c r="K1038" s="49" t="s">
        <v>50</v>
      </c>
      <c r="L1038" s="100" t="s">
        <v>51</v>
      </c>
      <c r="M1038" s="107" t="s">
        <v>52</v>
      </c>
    </row>
    <row r="1039" spans="1:13" ht="16">
      <c r="A1039" s="101" t="str">
        <f t="shared" si="0"/>
        <v>OK</v>
      </c>
      <c r="B1039" s="49">
        <v>3720012</v>
      </c>
      <c r="C1039" s="49" t="s">
        <v>1169</v>
      </c>
      <c r="D1039" s="49" t="s">
        <v>7</v>
      </c>
      <c r="E1039" s="50">
        <v>2.1000000000000001E-2</v>
      </c>
      <c r="F1039" s="108">
        <v>0</v>
      </c>
      <c r="G1039" s="51">
        <v>43922</v>
      </c>
      <c r="H1039" s="46">
        <v>0</v>
      </c>
      <c r="I1039" s="49" t="str">
        <f ca="1"/>
        <v>渋谷 雄大</v>
      </c>
      <c r="J1039" s="109" t="s">
        <v>918</v>
      </c>
      <c r="K1039" s="49" t="s">
        <v>50</v>
      </c>
      <c r="L1039" s="100" t="s">
        <v>51</v>
      </c>
      <c r="M1039" s="107" t="s">
        <v>52</v>
      </c>
    </row>
    <row r="1040" spans="1:13" ht="16">
      <c r="A1040" s="101" t="str">
        <f t="shared" si="0"/>
        <v>OK</v>
      </c>
      <c r="B1040" s="49">
        <v>3720013</v>
      </c>
      <c r="C1040" s="49" t="s">
        <v>1170</v>
      </c>
      <c r="D1040" s="49" t="s">
        <v>7</v>
      </c>
      <c r="E1040" s="50">
        <v>2.1000000000000001E-2</v>
      </c>
      <c r="F1040" s="108">
        <v>0</v>
      </c>
      <c r="G1040" s="51">
        <v>43922</v>
      </c>
      <c r="H1040" s="46">
        <v>0</v>
      </c>
      <c r="I1040" s="49" t="str">
        <f ca="1"/>
        <v>渋谷 雄大</v>
      </c>
      <c r="J1040" s="109" t="s">
        <v>918</v>
      </c>
      <c r="K1040" s="49" t="s">
        <v>50</v>
      </c>
      <c r="L1040" s="100" t="s">
        <v>51</v>
      </c>
      <c r="M1040" s="107" t="s">
        <v>52</v>
      </c>
    </row>
    <row r="1041" spans="1:13" ht="16">
      <c r="A1041" s="101" t="str">
        <f t="shared" si="0"/>
        <v>OK</v>
      </c>
      <c r="B1041" s="49">
        <v>3720014</v>
      </c>
      <c r="C1041" s="49" t="s">
        <v>1171</v>
      </c>
      <c r="D1041" s="49" t="s">
        <v>7</v>
      </c>
      <c r="E1041" s="50">
        <v>2.1000000000000001E-2</v>
      </c>
      <c r="F1041" s="108">
        <v>0</v>
      </c>
      <c r="G1041" s="51">
        <v>43922</v>
      </c>
      <c r="H1041" s="46">
        <v>0</v>
      </c>
      <c r="I1041" s="49" t="str">
        <f ca="1"/>
        <v>渋谷 雄大</v>
      </c>
      <c r="J1041" s="109" t="s">
        <v>918</v>
      </c>
      <c r="K1041" s="49" t="s">
        <v>50</v>
      </c>
      <c r="L1041" s="100" t="s">
        <v>51</v>
      </c>
      <c r="M1041" s="107" t="s">
        <v>52</v>
      </c>
    </row>
    <row r="1042" spans="1:13" ht="16">
      <c r="A1042" s="101" t="str">
        <f t="shared" si="0"/>
        <v>OK</v>
      </c>
      <c r="B1042" s="49">
        <v>3720015</v>
      </c>
      <c r="C1042" s="49" t="s">
        <v>1172</v>
      </c>
      <c r="D1042" s="49" t="s">
        <v>7</v>
      </c>
      <c r="E1042" s="50">
        <v>2.1000000000000001E-2</v>
      </c>
      <c r="F1042" s="108">
        <v>0</v>
      </c>
      <c r="G1042" s="51">
        <v>43922</v>
      </c>
      <c r="H1042" s="46">
        <v>0</v>
      </c>
      <c r="I1042" s="49" t="str">
        <f ca="1"/>
        <v>渋谷 雄大</v>
      </c>
      <c r="J1042" s="109" t="s">
        <v>918</v>
      </c>
      <c r="K1042" s="49" t="s">
        <v>50</v>
      </c>
      <c r="L1042" s="100" t="s">
        <v>51</v>
      </c>
      <c r="M1042" s="107" t="s">
        <v>52</v>
      </c>
    </row>
    <row r="1043" spans="1:13" ht="16">
      <c r="A1043" s="101" t="str">
        <f t="shared" si="0"/>
        <v>OK</v>
      </c>
      <c r="B1043" s="49">
        <v>3720016</v>
      </c>
      <c r="C1043" s="49" t="s">
        <v>1173</v>
      </c>
      <c r="D1043" s="49" t="s">
        <v>7</v>
      </c>
      <c r="E1043" s="50">
        <v>2.1000000000000001E-2</v>
      </c>
      <c r="F1043" s="108">
        <v>0</v>
      </c>
      <c r="G1043" s="51">
        <v>43922</v>
      </c>
      <c r="H1043" s="46">
        <v>0</v>
      </c>
      <c r="I1043" s="49" t="str">
        <f ca="1"/>
        <v>渋谷 雄大</v>
      </c>
      <c r="J1043" s="109" t="s">
        <v>918</v>
      </c>
      <c r="K1043" s="49" t="s">
        <v>50</v>
      </c>
      <c r="L1043" s="100" t="s">
        <v>51</v>
      </c>
      <c r="M1043" s="107" t="s">
        <v>52</v>
      </c>
    </row>
    <row r="1044" spans="1:13" ht="16">
      <c r="A1044" s="101" t="str">
        <f t="shared" si="0"/>
        <v>OK</v>
      </c>
      <c r="B1044" s="49">
        <v>3720017</v>
      </c>
      <c r="C1044" s="49" t="s">
        <v>1174</v>
      </c>
      <c r="D1044" s="49" t="s">
        <v>7</v>
      </c>
      <c r="E1044" s="50">
        <v>2.1000000000000001E-2</v>
      </c>
      <c r="F1044" s="108">
        <v>0</v>
      </c>
      <c r="G1044" s="51">
        <v>43922</v>
      </c>
      <c r="H1044" s="46">
        <v>0</v>
      </c>
      <c r="I1044" s="49" t="str">
        <f ca="1"/>
        <v>渋谷 雄大</v>
      </c>
      <c r="J1044" s="109" t="s">
        <v>918</v>
      </c>
      <c r="K1044" s="49" t="s">
        <v>50</v>
      </c>
      <c r="L1044" s="100" t="s">
        <v>51</v>
      </c>
      <c r="M1044" s="107" t="s">
        <v>52</v>
      </c>
    </row>
    <row r="1045" spans="1:13" ht="16">
      <c r="A1045" s="101" t="str">
        <f t="shared" si="0"/>
        <v>OK</v>
      </c>
      <c r="B1045" s="49">
        <v>3720018</v>
      </c>
      <c r="C1045" s="49" t="s">
        <v>1175</v>
      </c>
      <c r="D1045" s="49" t="s">
        <v>7</v>
      </c>
      <c r="E1045" s="50">
        <v>2.1000000000000001E-2</v>
      </c>
      <c r="F1045" s="108">
        <v>0</v>
      </c>
      <c r="G1045" s="51">
        <v>43922</v>
      </c>
      <c r="H1045" s="46">
        <v>0</v>
      </c>
      <c r="I1045" s="49" t="str">
        <f ca="1"/>
        <v>渋谷 雄大</v>
      </c>
      <c r="J1045" s="109" t="s">
        <v>918</v>
      </c>
      <c r="K1045" s="49" t="s">
        <v>50</v>
      </c>
      <c r="L1045" s="100" t="s">
        <v>51</v>
      </c>
      <c r="M1045" s="107" t="s">
        <v>52</v>
      </c>
    </row>
    <row r="1046" spans="1:13" ht="16">
      <c r="A1046" s="101" t="str">
        <f t="shared" si="0"/>
        <v>OK</v>
      </c>
      <c r="B1046" s="49">
        <v>3720019</v>
      </c>
      <c r="C1046" s="49" t="s">
        <v>1176</v>
      </c>
      <c r="D1046" s="49" t="s">
        <v>7</v>
      </c>
      <c r="E1046" s="50">
        <v>2.1000000000000001E-2</v>
      </c>
      <c r="F1046" s="108">
        <v>0</v>
      </c>
      <c r="G1046" s="51">
        <v>43922</v>
      </c>
      <c r="H1046" s="46">
        <v>0</v>
      </c>
      <c r="I1046" s="49" t="str">
        <f ca="1"/>
        <v>渋谷 雄大</v>
      </c>
      <c r="J1046" s="109" t="s">
        <v>918</v>
      </c>
      <c r="K1046" s="49" t="s">
        <v>50</v>
      </c>
      <c r="L1046" s="100" t="s">
        <v>51</v>
      </c>
      <c r="M1046" s="107" t="s">
        <v>52</v>
      </c>
    </row>
    <row r="1047" spans="1:13" ht="16">
      <c r="A1047" s="101" t="str">
        <f t="shared" si="0"/>
        <v>OK</v>
      </c>
      <c r="B1047" s="49">
        <v>3720021</v>
      </c>
      <c r="C1047" s="49" t="s">
        <v>1177</v>
      </c>
      <c r="D1047" s="49" t="s">
        <v>7</v>
      </c>
      <c r="E1047" s="50">
        <v>2.1000000000000001E-2</v>
      </c>
      <c r="F1047" s="108">
        <v>0</v>
      </c>
      <c r="G1047" s="51">
        <v>43922</v>
      </c>
      <c r="H1047" s="46">
        <v>0</v>
      </c>
      <c r="I1047" s="49" t="str">
        <f ca="1"/>
        <v>渋谷 雄大</v>
      </c>
      <c r="J1047" s="109" t="s">
        <v>918</v>
      </c>
      <c r="K1047" s="49" t="s">
        <v>50</v>
      </c>
      <c r="L1047" s="100" t="s">
        <v>51</v>
      </c>
      <c r="M1047" s="107" t="s">
        <v>52</v>
      </c>
    </row>
    <row r="1048" spans="1:13" ht="16">
      <c r="A1048" s="101" t="str">
        <f t="shared" si="0"/>
        <v>OK</v>
      </c>
      <c r="B1048" s="49">
        <v>3720022</v>
      </c>
      <c r="C1048" s="49" t="s">
        <v>1178</v>
      </c>
      <c r="D1048" s="49" t="s">
        <v>7</v>
      </c>
      <c r="E1048" s="50">
        <v>2.1000000000000001E-2</v>
      </c>
      <c r="F1048" s="108">
        <v>0</v>
      </c>
      <c r="G1048" s="51">
        <v>43922</v>
      </c>
      <c r="H1048" s="46">
        <v>0</v>
      </c>
      <c r="I1048" s="49" t="str">
        <f ca="1"/>
        <v>渋谷 雄大</v>
      </c>
      <c r="J1048" s="109" t="s">
        <v>918</v>
      </c>
      <c r="K1048" s="49" t="s">
        <v>50</v>
      </c>
      <c r="L1048" s="100" t="s">
        <v>51</v>
      </c>
      <c r="M1048" s="107" t="s">
        <v>52</v>
      </c>
    </row>
    <row r="1049" spans="1:13" ht="16">
      <c r="A1049" s="101" t="str">
        <f t="shared" si="0"/>
        <v>OK</v>
      </c>
      <c r="B1049" s="49">
        <v>3720023</v>
      </c>
      <c r="C1049" s="49" t="s">
        <v>1179</v>
      </c>
      <c r="D1049" s="49" t="s">
        <v>7</v>
      </c>
      <c r="E1049" s="50">
        <v>2.1000000000000001E-2</v>
      </c>
      <c r="F1049" s="108">
        <v>0</v>
      </c>
      <c r="G1049" s="51">
        <v>43922</v>
      </c>
      <c r="H1049" s="46">
        <v>0</v>
      </c>
      <c r="I1049" s="49" t="str">
        <f ca="1"/>
        <v>渋谷 雄大</v>
      </c>
      <c r="J1049" s="109" t="s">
        <v>918</v>
      </c>
      <c r="K1049" s="49" t="s">
        <v>50</v>
      </c>
      <c r="L1049" s="100" t="s">
        <v>51</v>
      </c>
      <c r="M1049" s="107" t="s">
        <v>52</v>
      </c>
    </row>
    <row r="1050" spans="1:13" ht="16">
      <c r="A1050" s="101" t="str">
        <f t="shared" si="0"/>
        <v>OK</v>
      </c>
      <c r="B1050" s="49">
        <v>3720024</v>
      </c>
      <c r="C1050" s="49" t="s">
        <v>1180</v>
      </c>
      <c r="D1050" s="49" t="s">
        <v>7</v>
      </c>
      <c r="E1050" s="50">
        <v>2.1000000000000001E-2</v>
      </c>
      <c r="F1050" s="108">
        <v>0</v>
      </c>
      <c r="G1050" s="51">
        <v>43922</v>
      </c>
      <c r="H1050" s="46">
        <v>0</v>
      </c>
      <c r="I1050" s="49" t="str">
        <f ca="1"/>
        <v>渋谷 雄大</v>
      </c>
      <c r="J1050" s="109" t="s">
        <v>918</v>
      </c>
      <c r="K1050" s="49" t="s">
        <v>50</v>
      </c>
      <c r="L1050" s="100" t="s">
        <v>51</v>
      </c>
      <c r="M1050" s="107" t="s">
        <v>52</v>
      </c>
    </row>
    <row r="1051" spans="1:13" ht="16">
      <c r="A1051" s="101" t="str">
        <f t="shared" si="0"/>
        <v>OK</v>
      </c>
      <c r="B1051" s="49">
        <v>3720025</v>
      </c>
      <c r="C1051" s="49" t="s">
        <v>1181</v>
      </c>
      <c r="D1051" s="49" t="s">
        <v>7</v>
      </c>
      <c r="E1051" s="50">
        <v>2.1000000000000001E-2</v>
      </c>
      <c r="F1051" s="108">
        <v>0</v>
      </c>
      <c r="G1051" s="51">
        <v>43922</v>
      </c>
      <c r="H1051" s="46">
        <v>0</v>
      </c>
      <c r="I1051" s="49" t="str">
        <f ca="1"/>
        <v>渋谷 雄大</v>
      </c>
      <c r="J1051" s="109" t="s">
        <v>918</v>
      </c>
      <c r="K1051" s="49" t="s">
        <v>50</v>
      </c>
      <c r="L1051" s="100" t="s">
        <v>51</v>
      </c>
      <c r="M1051" s="107" t="s">
        <v>52</v>
      </c>
    </row>
    <row r="1052" spans="1:13" ht="16">
      <c r="A1052" s="101" t="str">
        <f t="shared" si="0"/>
        <v>OK</v>
      </c>
      <c r="B1052" s="49">
        <v>3720026</v>
      </c>
      <c r="C1052" s="49" t="s">
        <v>1182</v>
      </c>
      <c r="D1052" s="49" t="s">
        <v>7</v>
      </c>
      <c r="E1052" s="50">
        <v>2.1000000000000001E-2</v>
      </c>
      <c r="F1052" s="108">
        <v>0</v>
      </c>
      <c r="G1052" s="51">
        <v>43922</v>
      </c>
      <c r="H1052" s="46">
        <v>0</v>
      </c>
      <c r="I1052" s="49" t="str">
        <f ca="1"/>
        <v>渋谷 雄大</v>
      </c>
      <c r="J1052" s="109" t="s">
        <v>918</v>
      </c>
      <c r="K1052" s="49" t="s">
        <v>50</v>
      </c>
      <c r="L1052" s="100" t="s">
        <v>51</v>
      </c>
      <c r="M1052" s="107" t="s">
        <v>52</v>
      </c>
    </row>
    <row r="1053" spans="1:13" ht="16">
      <c r="A1053" s="101" t="str">
        <f t="shared" si="0"/>
        <v>OK</v>
      </c>
      <c r="B1053" s="49">
        <v>3720027</v>
      </c>
      <c r="C1053" s="49" t="s">
        <v>1183</v>
      </c>
      <c r="D1053" s="49" t="s">
        <v>7</v>
      </c>
      <c r="E1053" s="50">
        <v>2.1000000000000001E-2</v>
      </c>
      <c r="F1053" s="108">
        <v>0</v>
      </c>
      <c r="G1053" s="51">
        <v>43922</v>
      </c>
      <c r="H1053" s="46">
        <v>0</v>
      </c>
      <c r="I1053" s="49" t="str">
        <f ca="1"/>
        <v>渋谷 雄大</v>
      </c>
      <c r="J1053" s="109" t="s">
        <v>918</v>
      </c>
      <c r="K1053" s="49" t="s">
        <v>50</v>
      </c>
      <c r="L1053" s="100" t="s">
        <v>51</v>
      </c>
      <c r="M1053" s="107" t="s">
        <v>52</v>
      </c>
    </row>
    <row r="1054" spans="1:13" ht="16">
      <c r="A1054" s="101" t="str">
        <f t="shared" si="0"/>
        <v>OK</v>
      </c>
      <c r="B1054" s="49">
        <v>3720028</v>
      </c>
      <c r="C1054" s="49" t="s">
        <v>1184</v>
      </c>
      <c r="D1054" s="49" t="s">
        <v>7</v>
      </c>
      <c r="E1054" s="50">
        <v>2.1000000000000001E-2</v>
      </c>
      <c r="F1054" s="108">
        <v>0</v>
      </c>
      <c r="G1054" s="51">
        <v>43922</v>
      </c>
      <c r="H1054" s="46">
        <v>0</v>
      </c>
      <c r="I1054" s="49" t="str">
        <f ca="1"/>
        <v>渋谷 雄大</v>
      </c>
      <c r="J1054" s="109" t="s">
        <v>918</v>
      </c>
      <c r="K1054" s="49" t="s">
        <v>50</v>
      </c>
      <c r="L1054" s="100" t="s">
        <v>51</v>
      </c>
      <c r="M1054" s="107" t="s">
        <v>52</v>
      </c>
    </row>
    <row r="1055" spans="1:13" ht="16">
      <c r="A1055" s="101" t="str">
        <f t="shared" si="0"/>
        <v>OK</v>
      </c>
      <c r="B1055" s="49">
        <v>3720029</v>
      </c>
      <c r="C1055" s="49" t="s">
        <v>1185</v>
      </c>
      <c r="D1055" s="49" t="s">
        <v>7</v>
      </c>
      <c r="E1055" s="50">
        <v>2.1000000000000001E-2</v>
      </c>
      <c r="F1055" s="108">
        <v>0</v>
      </c>
      <c r="G1055" s="51">
        <v>43922</v>
      </c>
      <c r="H1055" s="46">
        <v>0</v>
      </c>
      <c r="I1055" s="49" t="str">
        <f ca="1"/>
        <v>渋谷 雄大</v>
      </c>
      <c r="J1055" s="109" t="s">
        <v>918</v>
      </c>
      <c r="K1055" s="49" t="s">
        <v>50</v>
      </c>
      <c r="L1055" s="100" t="s">
        <v>51</v>
      </c>
      <c r="M1055" s="107" t="s">
        <v>52</v>
      </c>
    </row>
    <row r="1056" spans="1:13" ht="16">
      <c r="A1056" s="101" t="str">
        <f t="shared" si="0"/>
        <v>OK</v>
      </c>
      <c r="B1056" s="49">
        <v>3720030</v>
      </c>
      <c r="C1056" s="49" t="s">
        <v>1186</v>
      </c>
      <c r="D1056" s="49" t="s">
        <v>7</v>
      </c>
      <c r="E1056" s="50">
        <v>2.1000000000000001E-2</v>
      </c>
      <c r="F1056" s="108">
        <v>0</v>
      </c>
      <c r="G1056" s="51">
        <v>43922</v>
      </c>
      <c r="H1056" s="46">
        <v>0</v>
      </c>
      <c r="I1056" s="49" t="str">
        <f ca="1"/>
        <v>渋谷 雄大</v>
      </c>
      <c r="J1056" s="109" t="s">
        <v>918</v>
      </c>
      <c r="K1056" s="49" t="s">
        <v>50</v>
      </c>
      <c r="L1056" s="100" t="s">
        <v>51</v>
      </c>
      <c r="M1056" s="107" t="s">
        <v>52</v>
      </c>
    </row>
    <row r="1057" spans="1:13" ht="16">
      <c r="A1057" s="101" t="str">
        <f t="shared" si="0"/>
        <v>OK</v>
      </c>
      <c r="B1057" s="49">
        <v>3720032</v>
      </c>
      <c r="C1057" s="49" t="s">
        <v>1187</v>
      </c>
      <c r="D1057" s="49" t="s">
        <v>7</v>
      </c>
      <c r="E1057" s="50">
        <v>2.1000000000000001E-2</v>
      </c>
      <c r="F1057" s="108">
        <v>0</v>
      </c>
      <c r="G1057" s="51">
        <v>43922</v>
      </c>
      <c r="H1057" s="46">
        <v>0</v>
      </c>
      <c r="I1057" s="49" t="str">
        <f ca="1"/>
        <v>渋谷 雄大</v>
      </c>
      <c r="J1057" s="109" t="s">
        <v>918</v>
      </c>
      <c r="K1057" s="49" t="s">
        <v>50</v>
      </c>
      <c r="L1057" s="100" t="s">
        <v>51</v>
      </c>
      <c r="M1057" s="107" t="s">
        <v>52</v>
      </c>
    </row>
    <row r="1058" spans="1:13" ht="16">
      <c r="A1058" s="101" t="str">
        <f t="shared" si="0"/>
        <v>OK</v>
      </c>
      <c r="B1058" s="49">
        <v>3720033</v>
      </c>
      <c r="C1058" s="49" t="s">
        <v>1188</v>
      </c>
      <c r="D1058" s="49" t="s">
        <v>7</v>
      </c>
      <c r="E1058" s="50">
        <v>2.1000000000000001E-2</v>
      </c>
      <c r="F1058" s="108">
        <v>0</v>
      </c>
      <c r="G1058" s="51">
        <v>43922</v>
      </c>
      <c r="H1058" s="46">
        <v>0</v>
      </c>
      <c r="I1058" s="49" t="str">
        <f ca="1"/>
        <v>渋谷 雄大</v>
      </c>
      <c r="J1058" s="109" t="s">
        <v>918</v>
      </c>
      <c r="K1058" s="49" t="s">
        <v>50</v>
      </c>
      <c r="L1058" s="100" t="s">
        <v>51</v>
      </c>
      <c r="M1058" s="107" t="s">
        <v>52</v>
      </c>
    </row>
    <row r="1059" spans="1:13" ht="16">
      <c r="A1059" s="101" t="str">
        <f t="shared" si="0"/>
        <v>OK</v>
      </c>
      <c r="B1059" s="49">
        <v>3720034</v>
      </c>
      <c r="C1059" s="49" t="s">
        <v>1189</v>
      </c>
      <c r="D1059" s="49" t="s">
        <v>7</v>
      </c>
      <c r="E1059" s="50">
        <v>2.1000000000000001E-2</v>
      </c>
      <c r="F1059" s="108">
        <v>0</v>
      </c>
      <c r="G1059" s="51">
        <v>43922</v>
      </c>
      <c r="H1059" s="46">
        <v>0</v>
      </c>
      <c r="I1059" s="49" t="str">
        <f ca="1"/>
        <v>渋谷 雄大</v>
      </c>
      <c r="J1059" s="109" t="s">
        <v>918</v>
      </c>
      <c r="K1059" s="49" t="s">
        <v>50</v>
      </c>
      <c r="L1059" s="100" t="s">
        <v>51</v>
      </c>
      <c r="M1059" s="107" t="s">
        <v>52</v>
      </c>
    </row>
    <row r="1060" spans="1:13" ht="16">
      <c r="A1060" s="101" t="str">
        <f t="shared" si="0"/>
        <v>OK</v>
      </c>
      <c r="B1060" s="49">
        <v>3720035</v>
      </c>
      <c r="C1060" s="49" t="s">
        <v>1190</v>
      </c>
      <c r="D1060" s="49" t="s">
        <v>7</v>
      </c>
      <c r="E1060" s="50">
        <v>2.1000000000000001E-2</v>
      </c>
      <c r="F1060" s="108">
        <v>0</v>
      </c>
      <c r="G1060" s="51">
        <v>43922</v>
      </c>
      <c r="H1060" s="46">
        <v>0</v>
      </c>
      <c r="I1060" s="49" t="str">
        <f ca="1"/>
        <v>渋谷 雄大</v>
      </c>
      <c r="J1060" s="109" t="s">
        <v>918</v>
      </c>
      <c r="K1060" s="49" t="s">
        <v>50</v>
      </c>
      <c r="L1060" s="100" t="s">
        <v>51</v>
      </c>
      <c r="M1060" s="107" t="s">
        <v>52</v>
      </c>
    </row>
    <row r="1061" spans="1:13" ht="16">
      <c r="A1061" s="101" t="str">
        <f t="shared" si="0"/>
        <v>OK</v>
      </c>
      <c r="B1061" s="49">
        <v>3720038</v>
      </c>
      <c r="C1061" s="49" t="s">
        <v>1191</v>
      </c>
      <c r="D1061" s="49" t="s">
        <v>7</v>
      </c>
      <c r="E1061" s="50">
        <v>2.1000000000000001E-2</v>
      </c>
      <c r="F1061" s="108">
        <v>0</v>
      </c>
      <c r="G1061" s="51">
        <v>43922</v>
      </c>
      <c r="H1061" s="46">
        <v>0</v>
      </c>
      <c r="I1061" s="49" t="str">
        <f ca="1"/>
        <v>渋谷 雄大</v>
      </c>
      <c r="J1061" s="109" t="s">
        <v>918</v>
      </c>
      <c r="K1061" s="49" t="s">
        <v>50</v>
      </c>
      <c r="L1061" s="100" t="s">
        <v>51</v>
      </c>
      <c r="M1061" s="107" t="s">
        <v>52</v>
      </c>
    </row>
    <row r="1062" spans="1:13" ht="16">
      <c r="A1062" s="101" t="str">
        <f t="shared" si="0"/>
        <v>OK</v>
      </c>
      <c r="B1062" s="49">
        <v>3720039</v>
      </c>
      <c r="C1062" s="49" t="s">
        <v>1192</v>
      </c>
      <c r="D1062" s="49" t="s">
        <v>7</v>
      </c>
      <c r="E1062" s="50">
        <v>2.1000000000000001E-2</v>
      </c>
      <c r="F1062" s="108">
        <v>0</v>
      </c>
      <c r="G1062" s="51">
        <v>43922</v>
      </c>
      <c r="H1062" s="46">
        <v>0</v>
      </c>
      <c r="I1062" s="49" t="str">
        <f ca="1"/>
        <v>渋谷 雄大</v>
      </c>
      <c r="J1062" s="109" t="s">
        <v>918</v>
      </c>
      <c r="K1062" s="49" t="s">
        <v>50</v>
      </c>
      <c r="L1062" s="100" t="s">
        <v>51</v>
      </c>
      <c r="M1062" s="107" t="s">
        <v>52</v>
      </c>
    </row>
    <row r="1063" spans="1:13" ht="16">
      <c r="A1063" s="101" t="str">
        <f t="shared" si="0"/>
        <v>OK</v>
      </c>
      <c r="B1063" s="49">
        <v>3720040</v>
      </c>
      <c r="C1063" s="49" t="s">
        <v>1193</v>
      </c>
      <c r="D1063" s="49" t="s">
        <v>7</v>
      </c>
      <c r="E1063" s="50">
        <v>2.1000000000000001E-2</v>
      </c>
      <c r="F1063" s="108">
        <v>0</v>
      </c>
      <c r="G1063" s="51">
        <v>43922</v>
      </c>
      <c r="H1063" s="46">
        <v>0</v>
      </c>
      <c r="I1063" s="49" t="str">
        <f ca="1"/>
        <v>渋谷 雄大</v>
      </c>
      <c r="J1063" s="109" t="s">
        <v>918</v>
      </c>
      <c r="K1063" s="49" t="s">
        <v>50</v>
      </c>
      <c r="L1063" s="100" t="s">
        <v>51</v>
      </c>
      <c r="M1063" s="107" t="s">
        <v>52</v>
      </c>
    </row>
    <row r="1064" spans="1:13" ht="16">
      <c r="A1064" s="101" t="str">
        <f t="shared" si="0"/>
        <v>OK</v>
      </c>
      <c r="B1064" s="49">
        <v>3720041</v>
      </c>
      <c r="C1064" s="49" t="s">
        <v>1194</v>
      </c>
      <c r="D1064" s="49" t="s">
        <v>7</v>
      </c>
      <c r="E1064" s="50">
        <v>2.1000000000000001E-2</v>
      </c>
      <c r="F1064" s="108">
        <v>0</v>
      </c>
      <c r="G1064" s="51">
        <v>43922</v>
      </c>
      <c r="H1064" s="46">
        <v>0</v>
      </c>
      <c r="I1064" s="49" t="str">
        <f ca="1"/>
        <v>渋谷 雄大</v>
      </c>
      <c r="J1064" s="109" t="s">
        <v>918</v>
      </c>
      <c r="K1064" s="49" t="s">
        <v>50</v>
      </c>
      <c r="L1064" s="100" t="s">
        <v>51</v>
      </c>
      <c r="M1064" s="107" t="s">
        <v>52</v>
      </c>
    </row>
    <row r="1065" spans="1:13" ht="16">
      <c r="A1065" s="101" t="str">
        <f t="shared" si="0"/>
        <v>OK</v>
      </c>
      <c r="B1065" s="49">
        <v>3720044</v>
      </c>
      <c r="C1065" s="49" t="s">
        <v>1195</v>
      </c>
      <c r="D1065" s="49" t="s">
        <v>7</v>
      </c>
      <c r="E1065" s="50">
        <v>2.1000000000000001E-2</v>
      </c>
      <c r="F1065" s="108">
        <v>0</v>
      </c>
      <c r="G1065" s="51">
        <v>43922</v>
      </c>
      <c r="H1065" s="46">
        <v>0</v>
      </c>
      <c r="I1065" s="49" t="str">
        <f ca="1"/>
        <v>渋谷 雄大</v>
      </c>
      <c r="J1065" s="109" t="s">
        <v>918</v>
      </c>
      <c r="K1065" s="49" t="s">
        <v>50</v>
      </c>
      <c r="L1065" s="100" t="s">
        <v>51</v>
      </c>
      <c r="M1065" s="107" t="s">
        <v>52</v>
      </c>
    </row>
    <row r="1066" spans="1:13" ht="16">
      <c r="A1066" s="101" t="str">
        <f t="shared" si="0"/>
        <v>OK</v>
      </c>
      <c r="B1066" s="49">
        <v>3720046</v>
      </c>
      <c r="C1066" s="49" t="s">
        <v>1196</v>
      </c>
      <c r="D1066" s="49" t="s">
        <v>7</v>
      </c>
      <c r="E1066" s="50">
        <v>2.1000000000000001E-2</v>
      </c>
      <c r="F1066" s="108">
        <v>0</v>
      </c>
      <c r="G1066" s="51">
        <v>43922</v>
      </c>
      <c r="H1066" s="46">
        <v>0</v>
      </c>
      <c r="I1066" s="49" t="str">
        <f ca="1"/>
        <v>渋谷 雄大</v>
      </c>
      <c r="J1066" s="109" t="s">
        <v>918</v>
      </c>
      <c r="K1066" s="49" t="s">
        <v>50</v>
      </c>
      <c r="L1066" s="100" t="s">
        <v>51</v>
      </c>
      <c r="M1066" s="107" t="s">
        <v>52</v>
      </c>
    </row>
    <row r="1067" spans="1:13" ht="16">
      <c r="A1067" s="101" t="str">
        <f t="shared" si="0"/>
        <v>OK</v>
      </c>
      <c r="B1067" s="49">
        <v>3720047</v>
      </c>
      <c r="C1067" s="49" t="s">
        <v>1197</v>
      </c>
      <c r="D1067" s="49" t="s">
        <v>7</v>
      </c>
      <c r="E1067" s="50">
        <v>2.1000000000000001E-2</v>
      </c>
      <c r="F1067" s="108">
        <v>0</v>
      </c>
      <c r="G1067" s="51">
        <v>43922</v>
      </c>
      <c r="H1067" s="46">
        <v>0</v>
      </c>
      <c r="I1067" s="49" t="str">
        <f ca="1"/>
        <v>渋谷 雄大</v>
      </c>
      <c r="J1067" s="109" t="s">
        <v>918</v>
      </c>
      <c r="K1067" s="49" t="s">
        <v>50</v>
      </c>
      <c r="L1067" s="100" t="s">
        <v>51</v>
      </c>
      <c r="M1067" s="107" t="s">
        <v>52</v>
      </c>
    </row>
    <row r="1068" spans="1:13" ht="16">
      <c r="A1068" s="101" t="str">
        <f t="shared" si="0"/>
        <v>OK</v>
      </c>
      <c r="B1068" s="49">
        <v>3720048</v>
      </c>
      <c r="C1068" s="49" t="s">
        <v>1198</v>
      </c>
      <c r="D1068" s="49" t="s">
        <v>7</v>
      </c>
      <c r="E1068" s="50">
        <v>2.1000000000000001E-2</v>
      </c>
      <c r="F1068" s="108">
        <v>0</v>
      </c>
      <c r="G1068" s="51">
        <v>43922</v>
      </c>
      <c r="H1068" s="46">
        <v>0</v>
      </c>
      <c r="I1068" s="49" t="str">
        <f ca="1"/>
        <v>渋谷 雄大</v>
      </c>
      <c r="J1068" s="109" t="s">
        <v>918</v>
      </c>
      <c r="K1068" s="49" t="s">
        <v>50</v>
      </c>
      <c r="L1068" s="100" t="s">
        <v>51</v>
      </c>
      <c r="M1068" s="107" t="s">
        <v>52</v>
      </c>
    </row>
    <row r="1069" spans="1:13" ht="16">
      <c r="A1069" s="101" t="str">
        <f t="shared" si="0"/>
        <v>OK</v>
      </c>
      <c r="B1069" s="49">
        <v>3720049</v>
      </c>
      <c r="C1069" s="49" t="s">
        <v>1199</v>
      </c>
      <c r="D1069" s="49" t="s">
        <v>7</v>
      </c>
      <c r="E1069" s="50">
        <v>2.1000000000000001E-2</v>
      </c>
      <c r="F1069" s="108">
        <v>0</v>
      </c>
      <c r="G1069" s="51">
        <v>43922</v>
      </c>
      <c r="H1069" s="46">
        <v>0</v>
      </c>
      <c r="I1069" s="49" t="str">
        <f ca="1"/>
        <v>渋谷 雄大</v>
      </c>
      <c r="J1069" s="109" t="s">
        <v>918</v>
      </c>
      <c r="K1069" s="49" t="s">
        <v>50</v>
      </c>
      <c r="L1069" s="100" t="s">
        <v>51</v>
      </c>
      <c r="M1069" s="107" t="s">
        <v>52</v>
      </c>
    </row>
    <row r="1070" spans="1:13" ht="16">
      <c r="A1070" s="101" t="str">
        <f t="shared" si="0"/>
        <v>OK</v>
      </c>
      <c r="B1070" s="49">
        <v>3720050</v>
      </c>
      <c r="C1070" s="49" t="s">
        <v>1200</v>
      </c>
      <c r="D1070" s="49" t="s">
        <v>7</v>
      </c>
      <c r="E1070" s="50">
        <v>2.1000000000000001E-2</v>
      </c>
      <c r="F1070" s="108">
        <v>0</v>
      </c>
      <c r="G1070" s="51">
        <v>43922</v>
      </c>
      <c r="H1070" s="46">
        <v>0</v>
      </c>
      <c r="I1070" s="49" t="str">
        <f ca="1"/>
        <v>渋谷 雄大</v>
      </c>
      <c r="J1070" s="109" t="s">
        <v>918</v>
      </c>
      <c r="K1070" s="49" t="s">
        <v>50</v>
      </c>
      <c r="L1070" s="100" t="s">
        <v>51</v>
      </c>
      <c r="M1070" s="107" t="s">
        <v>52</v>
      </c>
    </row>
    <row r="1071" spans="1:13" ht="16">
      <c r="A1071" s="101" t="str">
        <f t="shared" si="0"/>
        <v>OK</v>
      </c>
      <c r="B1071" s="49">
        <v>3720051</v>
      </c>
      <c r="C1071" s="49" t="s">
        <v>1201</v>
      </c>
      <c r="D1071" s="49" t="s">
        <v>7</v>
      </c>
      <c r="E1071" s="50">
        <v>2.1000000000000001E-2</v>
      </c>
      <c r="F1071" s="108">
        <v>0</v>
      </c>
      <c r="G1071" s="51">
        <v>43922</v>
      </c>
      <c r="H1071" s="46">
        <v>0</v>
      </c>
      <c r="I1071" s="49" t="str">
        <f ca="1"/>
        <v>渋谷 雄大</v>
      </c>
      <c r="J1071" s="109" t="s">
        <v>918</v>
      </c>
      <c r="K1071" s="49" t="s">
        <v>50</v>
      </c>
      <c r="L1071" s="100" t="s">
        <v>51</v>
      </c>
      <c r="M1071" s="107" t="s">
        <v>52</v>
      </c>
    </row>
    <row r="1072" spans="1:13" ht="16">
      <c r="A1072" s="101" t="str">
        <f t="shared" si="0"/>
        <v>OK</v>
      </c>
      <c r="B1072" s="49">
        <v>3720052</v>
      </c>
      <c r="C1072" s="49" t="s">
        <v>1202</v>
      </c>
      <c r="D1072" s="49" t="s">
        <v>7</v>
      </c>
      <c r="E1072" s="50">
        <v>2.1000000000000001E-2</v>
      </c>
      <c r="F1072" s="108">
        <v>0</v>
      </c>
      <c r="G1072" s="51">
        <v>43922</v>
      </c>
      <c r="H1072" s="46">
        <v>0</v>
      </c>
      <c r="I1072" s="49" t="str">
        <f ca="1"/>
        <v>渋谷 雄大</v>
      </c>
      <c r="J1072" s="109" t="s">
        <v>918</v>
      </c>
      <c r="K1072" s="49" t="s">
        <v>50</v>
      </c>
      <c r="L1072" s="100" t="s">
        <v>51</v>
      </c>
      <c r="M1072" s="107" t="s">
        <v>52</v>
      </c>
    </row>
    <row r="1073" spans="1:13" ht="16">
      <c r="A1073" s="101" t="str">
        <f t="shared" si="0"/>
        <v>OK</v>
      </c>
      <c r="B1073" s="49">
        <v>3720053</v>
      </c>
      <c r="C1073" s="49" t="s">
        <v>1203</v>
      </c>
      <c r="D1073" s="49" t="s">
        <v>7</v>
      </c>
      <c r="E1073" s="50">
        <v>2.1000000000000001E-2</v>
      </c>
      <c r="F1073" s="108">
        <v>0</v>
      </c>
      <c r="G1073" s="51">
        <v>43922</v>
      </c>
      <c r="H1073" s="46">
        <v>0</v>
      </c>
      <c r="I1073" s="49" t="str">
        <f ca="1"/>
        <v>渋谷 雄大</v>
      </c>
      <c r="J1073" s="109" t="s">
        <v>918</v>
      </c>
      <c r="K1073" s="49" t="s">
        <v>50</v>
      </c>
      <c r="L1073" s="100" t="s">
        <v>51</v>
      </c>
      <c r="M1073" s="107" t="s">
        <v>52</v>
      </c>
    </row>
    <row r="1074" spans="1:13" ht="16">
      <c r="A1074" s="101" t="str">
        <f t="shared" si="0"/>
        <v>OK</v>
      </c>
      <c r="B1074" s="49">
        <v>3720054</v>
      </c>
      <c r="C1074" s="49" t="s">
        <v>1204</v>
      </c>
      <c r="D1074" s="49" t="s">
        <v>7</v>
      </c>
      <c r="E1074" s="50">
        <v>2.1000000000000001E-2</v>
      </c>
      <c r="F1074" s="108">
        <v>0</v>
      </c>
      <c r="G1074" s="51">
        <v>43922</v>
      </c>
      <c r="H1074" s="46">
        <v>0</v>
      </c>
      <c r="I1074" s="49" t="str">
        <f ca="1"/>
        <v>渋谷 雄大</v>
      </c>
      <c r="J1074" s="109" t="s">
        <v>918</v>
      </c>
      <c r="K1074" s="49" t="s">
        <v>50</v>
      </c>
      <c r="L1074" s="100" t="s">
        <v>51</v>
      </c>
      <c r="M1074" s="107" t="s">
        <v>52</v>
      </c>
    </row>
    <row r="1075" spans="1:13" ht="16">
      <c r="A1075" s="101" t="str">
        <f t="shared" si="0"/>
        <v>OK</v>
      </c>
      <c r="B1075" s="49">
        <v>3720056</v>
      </c>
      <c r="C1075" s="49" t="s">
        <v>1205</v>
      </c>
      <c r="D1075" s="49" t="s">
        <v>7</v>
      </c>
      <c r="E1075" s="50">
        <v>2.1000000000000001E-2</v>
      </c>
      <c r="F1075" s="108">
        <v>0</v>
      </c>
      <c r="G1075" s="51">
        <v>43922</v>
      </c>
      <c r="H1075" s="46">
        <v>0</v>
      </c>
      <c r="I1075" s="49" t="str">
        <f ca="1"/>
        <v>渋谷 雄大</v>
      </c>
      <c r="J1075" s="109" t="s">
        <v>918</v>
      </c>
      <c r="K1075" s="49" t="s">
        <v>50</v>
      </c>
      <c r="L1075" s="100" t="s">
        <v>51</v>
      </c>
      <c r="M1075" s="107" t="s">
        <v>52</v>
      </c>
    </row>
    <row r="1076" spans="1:13" ht="16">
      <c r="A1076" s="101" t="str">
        <f t="shared" si="0"/>
        <v>OK</v>
      </c>
      <c r="B1076" s="49">
        <v>3720057</v>
      </c>
      <c r="C1076" s="49" t="s">
        <v>1206</v>
      </c>
      <c r="D1076" s="49" t="s">
        <v>7</v>
      </c>
      <c r="E1076" s="50">
        <v>2.1000000000000001E-2</v>
      </c>
      <c r="F1076" s="108">
        <v>0</v>
      </c>
      <c r="G1076" s="51">
        <v>43922</v>
      </c>
      <c r="H1076" s="46">
        <v>0</v>
      </c>
      <c r="I1076" s="49" t="str">
        <f ca="1"/>
        <v>渋谷 雄大</v>
      </c>
      <c r="J1076" s="109" t="s">
        <v>918</v>
      </c>
      <c r="K1076" s="49" t="s">
        <v>50</v>
      </c>
      <c r="L1076" s="100" t="s">
        <v>51</v>
      </c>
      <c r="M1076" s="107" t="s">
        <v>52</v>
      </c>
    </row>
    <row r="1077" spans="1:13" ht="16">
      <c r="A1077" s="101" t="str">
        <f t="shared" si="0"/>
        <v>OK</v>
      </c>
      <c r="B1077" s="49">
        <v>3720058</v>
      </c>
      <c r="C1077" s="49" t="s">
        <v>1207</v>
      </c>
      <c r="D1077" s="49" t="s">
        <v>7</v>
      </c>
      <c r="E1077" s="50">
        <v>2.1000000000000001E-2</v>
      </c>
      <c r="F1077" s="108">
        <v>0</v>
      </c>
      <c r="G1077" s="51">
        <v>43922</v>
      </c>
      <c r="H1077" s="46">
        <v>0</v>
      </c>
      <c r="I1077" s="49" t="str">
        <f ca="1"/>
        <v>渋谷 雄大</v>
      </c>
      <c r="J1077" s="109" t="s">
        <v>918</v>
      </c>
      <c r="K1077" s="49" t="s">
        <v>50</v>
      </c>
      <c r="L1077" s="100" t="s">
        <v>51</v>
      </c>
      <c r="M1077" s="107" t="s">
        <v>52</v>
      </c>
    </row>
    <row r="1078" spans="1:13" ht="16">
      <c r="A1078" s="101" t="str">
        <f t="shared" si="0"/>
        <v>OK</v>
      </c>
      <c r="B1078" s="49">
        <v>3720059</v>
      </c>
      <c r="C1078" s="49" t="s">
        <v>1208</v>
      </c>
      <c r="D1078" s="49" t="s">
        <v>7</v>
      </c>
      <c r="E1078" s="50">
        <v>2.1000000000000001E-2</v>
      </c>
      <c r="F1078" s="108">
        <v>0</v>
      </c>
      <c r="G1078" s="51">
        <v>43922</v>
      </c>
      <c r="H1078" s="46">
        <v>0</v>
      </c>
      <c r="I1078" s="49" t="str">
        <f ca="1"/>
        <v>渋谷 雄大</v>
      </c>
      <c r="J1078" s="109" t="s">
        <v>918</v>
      </c>
      <c r="K1078" s="49" t="s">
        <v>50</v>
      </c>
      <c r="L1078" s="100" t="s">
        <v>51</v>
      </c>
      <c r="M1078" s="107" t="s">
        <v>52</v>
      </c>
    </row>
    <row r="1079" spans="1:13" ht="16">
      <c r="A1079" s="101" t="str">
        <f t="shared" si="0"/>
        <v>OK</v>
      </c>
      <c r="B1079" s="49">
        <v>3720060</v>
      </c>
      <c r="C1079" s="49" t="s">
        <v>1209</v>
      </c>
      <c r="D1079" s="49" t="s">
        <v>7</v>
      </c>
      <c r="E1079" s="50">
        <v>2.1000000000000001E-2</v>
      </c>
      <c r="F1079" s="108">
        <v>0</v>
      </c>
      <c r="G1079" s="51">
        <v>43922</v>
      </c>
      <c r="H1079" s="46">
        <v>0</v>
      </c>
      <c r="I1079" s="49" t="str">
        <f ca="1"/>
        <v>渋谷 雄大</v>
      </c>
      <c r="J1079" s="109" t="s">
        <v>918</v>
      </c>
      <c r="K1079" s="49" t="s">
        <v>50</v>
      </c>
      <c r="L1079" s="100" t="s">
        <v>51</v>
      </c>
      <c r="M1079" s="107" t="s">
        <v>52</v>
      </c>
    </row>
    <row r="1080" spans="1:13" ht="16">
      <c r="A1080" s="101" t="str">
        <f t="shared" si="0"/>
        <v>OK</v>
      </c>
      <c r="B1080" s="49">
        <v>3720061</v>
      </c>
      <c r="C1080" s="49" t="s">
        <v>1210</v>
      </c>
      <c r="D1080" s="49" t="s">
        <v>7</v>
      </c>
      <c r="E1080" s="50">
        <v>2.1000000000000001E-2</v>
      </c>
      <c r="F1080" s="108">
        <v>0</v>
      </c>
      <c r="G1080" s="51">
        <v>43922</v>
      </c>
      <c r="H1080" s="46">
        <v>0</v>
      </c>
      <c r="I1080" s="49" t="str">
        <f ca="1"/>
        <v>渋谷 雄大</v>
      </c>
      <c r="J1080" s="109" t="s">
        <v>918</v>
      </c>
      <c r="K1080" s="49" t="s">
        <v>50</v>
      </c>
      <c r="L1080" s="100" t="s">
        <v>51</v>
      </c>
      <c r="M1080" s="107" t="s">
        <v>52</v>
      </c>
    </row>
    <row r="1081" spans="1:13" ht="16">
      <c r="A1081" s="101" t="str">
        <f t="shared" si="0"/>
        <v>OK</v>
      </c>
      <c r="B1081" s="49">
        <v>3720062</v>
      </c>
      <c r="C1081" s="49" t="s">
        <v>1211</v>
      </c>
      <c r="D1081" s="49" t="s">
        <v>7</v>
      </c>
      <c r="E1081" s="50">
        <v>2.1000000000000001E-2</v>
      </c>
      <c r="F1081" s="108">
        <v>0</v>
      </c>
      <c r="G1081" s="51">
        <v>43922</v>
      </c>
      <c r="H1081" s="46">
        <v>0</v>
      </c>
      <c r="I1081" s="49" t="str">
        <f ca="1"/>
        <v>渋谷 雄大</v>
      </c>
      <c r="J1081" s="109" t="s">
        <v>918</v>
      </c>
      <c r="K1081" s="49" t="s">
        <v>50</v>
      </c>
      <c r="L1081" s="100" t="s">
        <v>51</v>
      </c>
      <c r="M1081" s="107" t="s">
        <v>52</v>
      </c>
    </row>
    <row r="1082" spans="1:13" ht="16">
      <c r="A1082" s="101" t="str">
        <f t="shared" si="0"/>
        <v>OK</v>
      </c>
      <c r="B1082" s="49">
        <v>3720063</v>
      </c>
      <c r="C1082" s="49" t="s">
        <v>1212</v>
      </c>
      <c r="D1082" s="49" t="s">
        <v>7</v>
      </c>
      <c r="E1082" s="50">
        <v>2.1000000000000001E-2</v>
      </c>
      <c r="F1082" s="108">
        <v>0</v>
      </c>
      <c r="G1082" s="51">
        <v>43922</v>
      </c>
      <c r="H1082" s="46">
        <v>0</v>
      </c>
      <c r="I1082" s="49" t="str">
        <f ca="1"/>
        <v>渋谷 雄大</v>
      </c>
      <c r="J1082" s="109" t="s">
        <v>918</v>
      </c>
      <c r="K1082" s="49" t="s">
        <v>50</v>
      </c>
      <c r="L1082" s="100" t="s">
        <v>51</v>
      </c>
      <c r="M1082" s="107" t="s">
        <v>52</v>
      </c>
    </row>
    <row r="1083" spans="1:13" ht="16">
      <c r="A1083" s="101" t="str">
        <f t="shared" si="0"/>
        <v>OK</v>
      </c>
      <c r="B1083" s="49">
        <v>3720064</v>
      </c>
      <c r="C1083" s="49" t="s">
        <v>1213</v>
      </c>
      <c r="D1083" s="49" t="s">
        <v>7</v>
      </c>
      <c r="E1083" s="50">
        <v>2.1000000000000001E-2</v>
      </c>
      <c r="F1083" s="108">
        <v>0</v>
      </c>
      <c r="G1083" s="51">
        <v>43922</v>
      </c>
      <c r="H1083" s="46">
        <v>0</v>
      </c>
      <c r="I1083" s="49" t="str">
        <f ca="1"/>
        <v>渋谷 雄大</v>
      </c>
      <c r="J1083" s="109" t="s">
        <v>918</v>
      </c>
      <c r="K1083" s="49" t="s">
        <v>50</v>
      </c>
      <c r="L1083" s="100" t="s">
        <v>51</v>
      </c>
      <c r="M1083" s="107" t="s">
        <v>52</v>
      </c>
    </row>
    <row r="1084" spans="1:13" ht="16">
      <c r="A1084" s="101" t="str">
        <f t="shared" si="0"/>
        <v>OK</v>
      </c>
      <c r="B1084" s="49">
        <v>3720065</v>
      </c>
      <c r="C1084" s="49" t="s">
        <v>1214</v>
      </c>
      <c r="D1084" s="49" t="s">
        <v>7</v>
      </c>
      <c r="E1084" s="50">
        <v>2.1000000000000001E-2</v>
      </c>
      <c r="F1084" s="108">
        <v>0</v>
      </c>
      <c r="G1084" s="51">
        <v>43922</v>
      </c>
      <c r="H1084" s="46">
        <v>0</v>
      </c>
      <c r="I1084" s="49" t="str">
        <f ca="1"/>
        <v>渋谷 雄大</v>
      </c>
      <c r="J1084" s="109" t="s">
        <v>918</v>
      </c>
      <c r="K1084" s="49" t="s">
        <v>50</v>
      </c>
      <c r="L1084" s="100" t="s">
        <v>51</v>
      </c>
      <c r="M1084" s="107" t="s">
        <v>52</v>
      </c>
    </row>
    <row r="1085" spans="1:13" ht="16">
      <c r="A1085" s="101" t="str">
        <f t="shared" si="0"/>
        <v>OK</v>
      </c>
      <c r="B1085" s="49">
        <v>3720066</v>
      </c>
      <c r="C1085" s="49" t="s">
        <v>1215</v>
      </c>
      <c r="D1085" s="49" t="s">
        <v>7</v>
      </c>
      <c r="E1085" s="50">
        <v>2.1000000000000001E-2</v>
      </c>
      <c r="F1085" s="108">
        <v>0</v>
      </c>
      <c r="G1085" s="51">
        <v>43922</v>
      </c>
      <c r="H1085" s="46">
        <v>0</v>
      </c>
      <c r="I1085" s="49" t="str">
        <f ca="1"/>
        <v>渋谷 雄大</v>
      </c>
      <c r="J1085" s="109" t="s">
        <v>918</v>
      </c>
      <c r="K1085" s="49" t="s">
        <v>50</v>
      </c>
      <c r="L1085" s="100" t="s">
        <v>51</v>
      </c>
      <c r="M1085" s="107" t="s">
        <v>52</v>
      </c>
    </row>
    <row r="1086" spans="1:13" ht="16">
      <c r="A1086" s="101" t="str">
        <f t="shared" si="0"/>
        <v>OK</v>
      </c>
      <c r="B1086" s="49">
        <v>3720068</v>
      </c>
      <c r="C1086" s="49" t="s">
        <v>1216</v>
      </c>
      <c r="D1086" s="49" t="s">
        <v>7</v>
      </c>
      <c r="E1086" s="50">
        <v>2.1000000000000001E-2</v>
      </c>
      <c r="F1086" s="108">
        <v>0</v>
      </c>
      <c r="G1086" s="51">
        <v>43922</v>
      </c>
      <c r="H1086" s="46">
        <v>0</v>
      </c>
      <c r="I1086" s="49" t="str">
        <f ca="1"/>
        <v>渋谷 雄大</v>
      </c>
      <c r="J1086" s="109" t="s">
        <v>918</v>
      </c>
      <c r="K1086" s="49" t="s">
        <v>50</v>
      </c>
      <c r="L1086" s="100" t="s">
        <v>51</v>
      </c>
      <c r="M1086" s="107" t="s">
        <v>52</v>
      </c>
    </row>
    <row r="1087" spans="1:13" ht="16">
      <c r="A1087" s="101" t="str">
        <f t="shared" si="0"/>
        <v>OK</v>
      </c>
      <c r="B1087" s="49">
        <v>3720069</v>
      </c>
      <c r="C1087" s="49" t="s">
        <v>1217</v>
      </c>
      <c r="D1087" s="49" t="s">
        <v>7</v>
      </c>
      <c r="E1087" s="50">
        <v>2.1000000000000001E-2</v>
      </c>
      <c r="F1087" s="108">
        <v>0</v>
      </c>
      <c r="G1087" s="51">
        <v>43922</v>
      </c>
      <c r="H1087" s="46">
        <v>0</v>
      </c>
      <c r="I1087" s="49" t="str">
        <f ca="1"/>
        <v>渋谷 雄大</v>
      </c>
      <c r="J1087" s="109" t="s">
        <v>918</v>
      </c>
      <c r="K1087" s="49" t="s">
        <v>50</v>
      </c>
      <c r="L1087" s="100" t="s">
        <v>51</v>
      </c>
      <c r="M1087" s="107" t="s">
        <v>52</v>
      </c>
    </row>
    <row r="1088" spans="1:13" ht="16">
      <c r="A1088" s="101" t="str">
        <f t="shared" si="0"/>
        <v>OK</v>
      </c>
      <c r="B1088" s="49">
        <v>3720071</v>
      </c>
      <c r="C1088" s="49" t="s">
        <v>1218</v>
      </c>
      <c r="D1088" s="49" t="s">
        <v>7</v>
      </c>
      <c r="E1088" s="50">
        <v>2.1000000000000001E-2</v>
      </c>
      <c r="F1088" s="108">
        <v>0</v>
      </c>
      <c r="G1088" s="51">
        <v>43922</v>
      </c>
      <c r="H1088" s="46">
        <v>0</v>
      </c>
      <c r="I1088" s="49" t="str">
        <f ca="1"/>
        <v>渋谷 雄大</v>
      </c>
      <c r="J1088" s="109" t="s">
        <v>918</v>
      </c>
      <c r="K1088" s="49" t="s">
        <v>50</v>
      </c>
      <c r="L1088" s="100" t="s">
        <v>51</v>
      </c>
      <c r="M1088" s="107" t="s">
        <v>52</v>
      </c>
    </row>
    <row r="1089" spans="1:13" ht="16">
      <c r="A1089" s="101" t="str">
        <f t="shared" si="0"/>
        <v>OK</v>
      </c>
      <c r="B1089" s="49">
        <v>3720074</v>
      </c>
      <c r="C1089" s="49" t="s">
        <v>1219</v>
      </c>
      <c r="D1089" s="49" t="s">
        <v>7</v>
      </c>
      <c r="E1089" s="50">
        <v>2.1000000000000001E-2</v>
      </c>
      <c r="F1089" s="108">
        <v>0</v>
      </c>
      <c r="G1089" s="51">
        <v>43922</v>
      </c>
      <c r="H1089" s="46">
        <v>0</v>
      </c>
      <c r="I1089" s="49" t="str">
        <f ca="1"/>
        <v>渋谷 雄大</v>
      </c>
      <c r="J1089" s="109" t="s">
        <v>918</v>
      </c>
      <c r="K1089" s="49" t="s">
        <v>50</v>
      </c>
      <c r="L1089" s="100" t="s">
        <v>51</v>
      </c>
      <c r="M1089" s="107" t="s">
        <v>52</v>
      </c>
    </row>
    <row r="1090" spans="1:13" ht="16">
      <c r="A1090" s="101" t="str">
        <f t="shared" si="0"/>
        <v>OK</v>
      </c>
      <c r="B1090" s="49">
        <v>3720076</v>
      </c>
      <c r="C1090" s="49" t="s">
        <v>1220</v>
      </c>
      <c r="D1090" s="49" t="s">
        <v>7</v>
      </c>
      <c r="E1090" s="50">
        <v>2.1000000000000001E-2</v>
      </c>
      <c r="F1090" s="108">
        <v>0</v>
      </c>
      <c r="G1090" s="51">
        <v>43922</v>
      </c>
      <c r="H1090" s="46">
        <v>0</v>
      </c>
      <c r="I1090" s="49" t="str">
        <f ca="1"/>
        <v>渋谷 雄大</v>
      </c>
      <c r="J1090" s="109" t="s">
        <v>918</v>
      </c>
      <c r="K1090" s="49" t="s">
        <v>50</v>
      </c>
      <c r="L1090" s="100" t="s">
        <v>51</v>
      </c>
      <c r="M1090" s="107" t="s">
        <v>52</v>
      </c>
    </row>
    <row r="1091" spans="1:13" ht="16">
      <c r="A1091" s="101" t="str">
        <f t="shared" si="0"/>
        <v>OK</v>
      </c>
      <c r="B1091" s="49">
        <v>3720077</v>
      </c>
      <c r="C1091" s="49" t="s">
        <v>1221</v>
      </c>
      <c r="D1091" s="49" t="s">
        <v>7</v>
      </c>
      <c r="E1091" s="50">
        <v>2.1000000000000001E-2</v>
      </c>
      <c r="F1091" s="108">
        <v>0</v>
      </c>
      <c r="G1091" s="51">
        <v>43922</v>
      </c>
      <c r="H1091" s="46">
        <v>0</v>
      </c>
      <c r="I1091" s="49" t="str">
        <f ca="1"/>
        <v>渋谷 雄大</v>
      </c>
      <c r="J1091" s="109" t="s">
        <v>918</v>
      </c>
      <c r="K1091" s="49" t="s">
        <v>50</v>
      </c>
      <c r="L1091" s="100" t="s">
        <v>51</v>
      </c>
      <c r="M1091" s="107" t="s">
        <v>52</v>
      </c>
    </row>
    <row r="1092" spans="1:13" ht="16">
      <c r="A1092" s="101" t="str">
        <f t="shared" si="0"/>
        <v>OK</v>
      </c>
      <c r="B1092" s="49">
        <v>3720079</v>
      </c>
      <c r="C1092" s="49" t="s">
        <v>1222</v>
      </c>
      <c r="D1092" s="49" t="s">
        <v>7</v>
      </c>
      <c r="E1092" s="50">
        <v>2.1000000000000001E-2</v>
      </c>
      <c r="F1092" s="108">
        <v>0</v>
      </c>
      <c r="G1092" s="51">
        <v>43922</v>
      </c>
      <c r="H1092" s="46">
        <v>0</v>
      </c>
      <c r="I1092" s="49" t="str">
        <f ca="1"/>
        <v>渋谷 雄大</v>
      </c>
      <c r="J1092" s="109" t="s">
        <v>918</v>
      </c>
      <c r="K1092" s="49" t="s">
        <v>50</v>
      </c>
      <c r="L1092" s="100" t="s">
        <v>51</v>
      </c>
      <c r="M1092" s="107" t="s">
        <v>52</v>
      </c>
    </row>
    <row r="1093" spans="1:13" ht="16">
      <c r="A1093" s="101" t="str">
        <f t="shared" si="0"/>
        <v>OK</v>
      </c>
      <c r="B1093" s="49">
        <v>3720080</v>
      </c>
      <c r="C1093" s="49" t="s">
        <v>1223</v>
      </c>
      <c r="D1093" s="49" t="s">
        <v>7</v>
      </c>
      <c r="E1093" s="50">
        <v>2.1000000000000001E-2</v>
      </c>
      <c r="F1093" s="108">
        <v>0</v>
      </c>
      <c r="G1093" s="51">
        <v>43922</v>
      </c>
      <c r="H1093" s="46">
        <v>0</v>
      </c>
      <c r="I1093" s="49" t="str">
        <f ca="1"/>
        <v>渋谷 雄大</v>
      </c>
      <c r="J1093" s="109" t="s">
        <v>918</v>
      </c>
      <c r="K1093" s="49" t="s">
        <v>50</v>
      </c>
      <c r="L1093" s="100" t="s">
        <v>51</v>
      </c>
      <c r="M1093" s="107" t="s">
        <v>52</v>
      </c>
    </row>
    <row r="1094" spans="1:13" ht="16">
      <c r="A1094" s="101" t="str">
        <f t="shared" si="0"/>
        <v>OK</v>
      </c>
      <c r="B1094" s="49">
        <v>3720081</v>
      </c>
      <c r="C1094" s="49" t="s">
        <v>1224</v>
      </c>
      <c r="D1094" s="49" t="s">
        <v>7</v>
      </c>
      <c r="E1094" s="50">
        <v>2.1000000000000001E-2</v>
      </c>
      <c r="F1094" s="108">
        <v>0</v>
      </c>
      <c r="G1094" s="51">
        <v>43922</v>
      </c>
      <c r="H1094" s="46">
        <v>0</v>
      </c>
      <c r="I1094" s="49" t="str">
        <f ca="1"/>
        <v>渋谷 雄大</v>
      </c>
      <c r="J1094" s="109" t="s">
        <v>918</v>
      </c>
      <c r="K1094" s="49" t="s">
        <v>50</v>
      </c>
      <c r="L1094" s="100" t="s">
        <v>51</v>
      </c>
      <c r="M1094" s="107" t="s">
        <v>52</v>
      </c>
    </row>
    <row r="1095" spans="1:13" ht="16">
      <c r="A1095" s="101" t="str">
        <f t="shared" si="0"/>
        <v>OK</v>
      </c>
      <c r="B1095" s="49">
        <v>3720082</v>
      </c>
      <c r="C1095" s="49" t="s">
        <v>1225</v>
      </c>
      <c r="D1095" s="49" t="s">
        <v>7</v>
      </c>
      <c r="E1095" s="50">
        <v>2.1000000000000001E-2</v>
      </c>
      <c r="F1095" s="108">
        <v>0</v>
      </c>
      <c r="G1095" s="51">
        <v>43922</v>
      </c>
      <c r="H1095" s="46">
        <v>0</v>
      </c>
      <c r="I1095" s="49" t="str">
        <f ca="1"/>
        <v>渋谷 雄大</v>
      </c>
      <c r="J1095" s="109" t="s">
        <v>918</v>
      </c>
      <c r="K1095" s="49" t="s">
        <v>50</v>
      </c>
      <c r="L1095" s="100" t="s">
        <v>51</v>
      </c>
      <c r="M1095" s="107" t="s">
        <v>52</v>
      </c>
    </row>
    <row r="1096" spans="1:13" ht="16">
      <c r="A1096" s="101" t="str">
        <f t="shared" si="0"/>
        <v>OK</v>
      </c>
      <c r="B1096" s="49">
        <v>3720083</v>
      </c>
      <c r="C1096" s="49" t="s">
        <v>1226</v>
      </c>
      <c r="D1096" s="49" t="s">
        <v>7</v>
      </c>
      <c r="E1096" s="50">
        <v>2.1000000000000001E-2</v>
      </c>
      <c r="F1096" s="108">
        <v>0</v>
      </c>
      <c r="G1096" s="51">
        <v>43922</v>
      </c>
      <c r="H1096" s="46">
        <v>0</v>
      </c>
      <c r="I1096" s="49" t="str">
        <f ca="1"/>
        <v>渋谷 雄大</v>
      </c>
      <c r="J1096" s="109" t="s">
        <v>918</v>
      </c>
      <c r="K1096" s="49" t="s">
        <v>50</v>
      </c>
      <c r="L1096" s="100" t="s">
        <v>51</v>
      </c>
      <c r="M1096" s="107" t="s">
        <v>52</v>
      </c>
    </row>
    <row r="1097" spans="1:13" ht="16">
      <c r="A1097" s="101" t="str">
        <f t="shared" si="0"/>
        <v>OK</v>
      </c>
      <c r="B1097" s="49">
        <v>3720084</v>
      </c>
      <c r="C1097" s="49" t="s">
        <v>1227</v>
      </c>
      <c r="D1097" s="49" t="s">
        <v>7</v>
      </c>
      <c r="E1097" s="50">
        <v>2.1000000000000001E-2</v>
      </c>
      <c r="F1097" s="108">
        <v>0</v>
      </c>
      <c r="G1097" s="51">
        <v>43922</v>
      </c>
      <c r="H1097" s="46">
        <v>0</v>
      </c>
      <c r="I1097" s="49" t="str">
        <f ca="1"/>
        <v>渋谷 雄大</v>
      </c>
      <c r="J1097" s="109" t="s">
        <v>918</v>
      </c>
      <c r="K1097" s="49" t="s">
        <v>50</v>
      </c>
      <c r="L1097" s="100" t="s">
        <v>51</v>
      </c>
      <c r="M1097" s="107" t="s">
        <v>52</v>
      </c>
    </row>
    <row r="1098" spans="1:13" ht="16">
      <c r="A1098" s="101" t="str">
        <f t="shared" si="0"/>
        <v>OK</v>
      </c>
      <c r="B1098" s="49">
        <v>3720085</v>
      </c>
      <c r="C1098" s="49" t="s">
        <v>1228</v>
      </c>
      <c r="D1098" s="49" t="s">
        <v>7</v>
      </c>
      <c r="E1098" s="50">
        <v>2.1000000000000001E-2</v>
      </c>
      <c r="F1098" s="108">
        <v>0</v>
      </c>
      <c r="G1098" s="51">
        <v>43922</v>
      </c>
      <c r="H1098" s="46">
        <v>0</v>
      </c>
      <c r="I1098" s="49" t="str">
        <f ca="1"/>
        <v>渋谷 雄大</v>
      </c>
      <c r="J1098" s="109" t="s">
        <v>918</v>
      </c>
      <c r="K1098" s="49" t="s">
        <v>50</v>
      </c>
      <c r="L1098" s="100" t="s">
        <v>51</v>
      </c>
      <c r="M1098" s="107" t="s">
        <v>52</v>
      </c>
    </row>
    <row r="1099" spans="1:13" ht="16">
      <c r="A1099" s="101" t="str">
        <f t="shared" si="0"/>
        <v>OK</v>
      </c>
      <c r="B1099" s="49">
        <v>3720086</v>
      </c>
      <c r="C1099" s="49" t="s">
        <v>1229</v>
      </c>
      <c r="D1099" s="49" t="s">
        <v>7</v>
      </c>
      <c r="E1099" s="50">
        <v>2.1000000000000001E-2</v>
      </c>
      <c r="F1099" s="108">
        <v>0</v>
      </c>
      <c r="G1099" s="51">
        <v>43922</v>
      </c>
      <c r="H1099" s="46">
        <v>0</v>
      </c>
      <c r="I1099" s="49" t="str">
        <f ca="1"/>
        <v>渋谷 雄大</v>
      </c>
      <c r="J1099" s="109" t="s">
        <v>918</v>
      </c>
      <c r="K1099" s="49" t="s">
        <v>50</v>
      </c>
      <c r="L1099" s="100" t="s">
        <v>51</v>
      </c>
      <c r="M1099" s="107" t="s">
        <v>52</v>
      </c>
    </row>
    <row r="1100" spans="1:13" ht="16">
      <c r="A1100" s="101" t="str">
        <f t="shared" si="0"/>
        <v>OK</v>
      </c>
      <c r="B1100" s="49">
        <v>3720087</v>
      </c>
      <c r="C1100" s="49" t="s">
        <v>1230</v>
      </c>
      <c r="D1100" s="49" t="s">
        <v>7</v>
      </c>
      <c r="E1100" s="50">
        <v>2.1000000000000001E-2</v>
      </c>
      <c r="F1100" s="108">
        <v>0</v>
      </c>
      <c r="G1100" s="51">
        <v>43922</v>
      </c>
      <c r="H1100" s="46">
        <v>0</v>
      </c>
      <c r="I1100" s="49" t="str">
        <f ca="1"/>
        <v>渋谷 雄大</v>
      </c>
      <c r="J1100" s="109" t="s">
        <v>918</v>
      </c>
      <c r="K1100" s="49" t="s">
        <v>50</v>
      </c>
      <c r="L1100" s="100" t="s">
        <v>51</v>
      </c>
      <c r="M1100" s="107" t="s">
        <v>52</v>
      </c>
    </row>
    <row r="1101" spans="1:13" ht="16">
      <c r="A1101" s="101" t="str">
        <f t="shared" si="0"/>
        <v>OK</v>
      </c>
      <c r="B1101" s="49">
        <v>3720088</v>
      </c>
      <c r="C1101" s="49" t="s">
        <v>1231</v>
      </c>
      <c r="D1101" s="49" t="s">
        <v>7</v>
      </c>
      <c r="E1101" s="50">
        <v>2.1000000000000001E-2</v>
      </c>
      <c r="F1101" s="108">
        <v>0</v>
      </c>
      <c r="G1101" s="51">
        <v>43922</v>
      </c>
      <c r="H1101" s="46">
        <v>0</v>
      </c>
      <c r="I1101" s="49" t="str">
        <f ca="1"/>
        <v>渋谷 雄大</v>
      </c>
      <c r="J1101" s="109" t="s">
        <v>918</v>
      </c>
      <c r="K1101" s="49" t="s">
        <v>50</v>
      </c>
      <c r="L1101" s="100" t="s">
        <v>51</v>
      </c>
      <c r="M1101" s="107" t="s">
        <v>52</v>
      </c>
    </row>
    <row r="1102" spans="1:13" ht="16">
      <c r="A1102" s="101" t="str">
        <f t="shared" si="0"/>
        <v>OK</v>
      </c>
      <c r="B1102" s="49">
        <v>3720089</v>
      </c>
      <c r="C1102" s="49" t="s">
        <v>1232</v>
      </c>
      <c r="D1102" s="49" t="s">
        <v>7</v>
      </c>
      <c r="E1102" s="50">
        <v>2.1000000000000001E-2</v>
      </c>
      <c r="F1102" s="108">
        <v>0</v>
      </c>
      <c r="G1102" s="51">
        <v>43922</v>
      </c>
      <c r="H1102" s="46">
        <v>0</v>
      </c>
      <c r="I1102" s="49" t="str">
        <f ca="1"/>
        <v>渋谷 雄大</v>
      </c>
      <c r="J1102" s="109" t="s">
        <v>918</v>
      </c>
      <c r="K1102" s="49" t="s">
        <v>50</v>
      </c>
      <c r="L1102" s="100" t="s">
        <v>51</v>
      </c>
      <c r="M1102" s="107" t="s">
        <v>52</v>
      </c>
    </row>
    <row r="1103" spans="1:13" ht="16">
      <c r="A1103" s="101" t="str">
        <f t="shared" si="0"/>
        <v>OK</v>
      </c>
      <c r="B1103" s="49">
        <v>3720091</v>
      </c>
      <c r="C1103" s="49" t="s">
        <v>1233</v>
      </c>
      <c r="D1103" s="49" t="s">
        <v>7</v>
      </c>
      <c r="E1103" s="50">
        <v>2.1000000000000001E-2</v>
      </c>
      <c r="F1103" s="108">
        <v>0</v>
      </c>
      <c r="G1103" s="51">
        <v>43922</v>
      </c>
      <c r="H1103" s="46">
        <v>0</v>
      </c>
      <c r="I1103" s="49" t="str">
        <f ca="1"/>
        <v>渋谷 雄大</v>
      </c>
      <c r="J1103" s="109" t="s">
        <v>918</v>
      </c>
      <c r="K1103" s="49" t="s">
        <v>50</v>
      </c>
      <c r="L1103" s="100" t="s">
        <v>51</v>
      </c>
      <c r="M1103" s="107" t="s">
        <v>52</v>
      </c>
    </row>
    <row r="1104" spans="1:13" ht="16">
      <c r="A1104" s="101" t="str">
        <f t="shared" si="0"/>
        <v>OK</v>
      </c>
      <c r="B1104" s="49">
        <v>3720092</v>
      </c>
      <c r="C1104" s="49" t="s">
        <v>1234</v>
      </c>
      <c r="D1104" s="49" t="s">
        <v>7</v>
      </c>
      <c r="E1104" s="50">
        <v>2.1000000000000001E-2</v>
      </c>
      <c r="F1104" s="108">
        <v>0</v>
      </c>
      <c r="G1104" s="51">
        <v>43922</v>
      </c>
      <c r="H1104" s="46">
        <v>0</v>
      </c>
      <c r="I1104" s="49" t="str">
        <f ca="1"/>
        <v>渋谷 雄大</v>
      </c>
      <c r="J1104" s="109" t="s">
        <v>918</v>
      </c>
      <c r="K1104" s="49" t="s">
        <v>50</v>
      </c>
      <c r="L1104" s="100" t="s">
        <v>51</v>
      </c>
      <c r="M1104" s="107" t="s">
        <v>52</v>
      </c>
    </row>
    <row r="1105" spans="1:13" ht="16">
      <c r="A1105" s="101" t="str">
        <f t="shared" si="0"/>
        <v>OK</v>
      </c>
      <c r="B1105" s="49">
        <v>3720094</v>
      </c>
      <c r="C1105" s="49" t="s">
        <v>1235</v>
      </c>
      <c r="D1105" s="49" t="s">
        <v>7</v>
      </c>
      <c r="E1105" s="50">
        <v>2.1000000000000001E-2</v>
      </c>
      <c r="F1105" s="108">
        <v>0</v>
      </c>
      <c r="G1105" s="51">
        <v>43922</v>
      </c>
      <c r="H1105" s="46">
        <v>0</v>
      </c>
      <c r="I1105" s="49" t="str">
        <f ca="1"/>
        <v>渋谷 雄大</v>
      </c>
      <c r="J1105" s="109" t="s">
        <v>918</v>
      </c>
      <c r="K1105" s="49" t="s">
        <v>50</v>
      </c>
      <c r="L1105" s="100" t="s">
        <v>51</v>
      </c>
      <c r="M1105" s="107" t="s">
        <v>52</v>
      </c>
    </row>
    <row r="1106" spans="1:13" ht="16">
      <c r="A1106" s="101" t="str">
        <f t="shared" si="0"/>
        <v>OK</v>
      </c>
      <c r="B1106" s="49">
        <v>3720095</v>
      </c>
      <c r="C1106" s="49" t="s">
        <v>1236</v>
      </c>
      <c r="D1106" s="49" t="s">
        <v>7</v>
      </c>
      <c r="E1106" s="50">
        <v>2.1000000000000001E-2</v>
      </c>
      <c r="F1106" s="108">
        <v>0</v>
      </c>
      <c r="G1106" s="51">
        <v>43922</v>
      </c>
      <c r="H1106" s="46">
        <v>0</v>
      </c>
      <c r="I1106" s="49" t="str">
        <f ca="1"/>
        <v>渋谷 雄大</v>
      </c>
      <c r="J1106" s="109" t="s">
        <v>918</v>
      </c>
      <c r="K1106" s="49" t="s">
        <v>50</v>
      </c>
      <c r="L1106" s="100" t="s">
        <v>51</v>
      </c>
      <c r="M1106" s="107" t="s">
        <v>52</v>
      </c>
    </row>
    <row r="1107" spans="1:13" ht="16">
      <c r="A1107" s="101" t="str">
        <f t="shared" si="0"/>
        <v>OK</v>
      </c>
      <c r="B1107" s="49">
        <v>3720096</v>
      </c>
      <c r="C1107" s="49" t="s">
        <v>1237</v>
      </c>
      <c r="D1107" s="49" t="s">
        <v>7</v>
      </c>
      <c r="E1107" s="50">
        <v>2.1000000000000001E-2</v>
      </c>
      <c r="F1107" s="108">
        <v>0</v>
      </c>
      <c r="G1107" s="51">
        <v>43922</v>
      </c>
      <c r="H1107" s="46">
        <v>0</v>
      </c>
      <c r="I1107" s="49" t="str">
        <f ca="1"/>
        <v>渋谷 雄大</v>
      </c>
      <c r="J1107" s="109" t="s">
        <v>918</v>
      </c>
      <c r="K1107" s="49" t="s">
        <v>50</v>
      </c>
      <c r="L1107" s="100" t="s">
        <v>51</v>
      </c>
      <c r="M1107" s="107" t="s">
        <v>52</v>
      </c>
    </row>
    <row r="1108" spans="1:13" ht="16">
      <c r="A1108" s="101" t="str">
        <f t="shared" si="0"/>
        <v>OK</v>
      </c>
      <c r="B1108" s="49">
        <v>3720097</v>
      </c>
      <c r="C1108" s="49" t="s">
        <v>1238</v>
      </c>
      <c r="D1108" s="49" t="s">
        <v>7</v>
      </c>
      <c r="E1108" s="50">
        <v>2.1000000000000001E-2</v>
      </c>
      <c r="F1108" s="108">
        <v>0</v>
      </c>
      <c r="G1108" s="51">
        <v>43922</v>
      </c>
      <c r="H1108" s="46">
        <v>0</v>
      </c>
      <c r="I1108" s="49" t="str">
        <f ca="1"/>
        <v>渋谷 雄大</v>
      </c>
      <c r="J1108" s="109" t="s">
        <v>918</v>
      </c>
      <c r="K1108" s="49" t="s">
        <v>50</v>
      </c>
      <c r="L1108" s="100" t="s">
        <v>51</v>
      </c>
      <c r="M1108" s="107" t="s">
        <v>52</v>
      </c>
    </row>
    <row r="1109" spans="1:13" ht="16">
      <c r="A1109" s="101" t="str">
        <f t="shared" si="0"/>
        <v>OK</v>
      </c>
      <c r="B1109" s="49">
        <v>3720098</v>
      </c>
      <c r="C1109" s="49" t="s">
        <v>1239</v>
      </c>
      <c r="D1109" s="49" t="s">
        <v>7</v>
      </c>
      <c r="E1109" s="50">
        <v>2.1000000000000001E-2</v>
      </c>
      <c r="F1109" s="108">
        <v>0</v>
      </c>
      <c r="G1109" s="51">
        <v>43922</v>
      </c>
      <c r="H1109" s="46">
        <v>0</v>
      </c>
      <c r="I1109" s="49" t="str">
        <f ca="1"/>
        <v>渋谷 雄大</v>
      </c>
      <c r="J1109" s="109" t="s">
        <v>918</v>
      </c>
      <c r="K1109" s="49" t="s">
        <v>50</v>
      </c>
      <c r="L1109" s="100" t="s">
        <v>51</v>
      </c>
      <c r="M1109" s="107" t="s">
        <v>52</v>
      </c>
    </row>
    <row r="1110" spans="1:13" ht="16">
      <c r="A1110" s="101" t="str">
        <f t="shared" si="0"/>
        <v>OK</v>
      </c>
      <c r="B1110" s="49">
        <v>3720099</v>
      </c>
      <c r="C1110" s="49" t="s">
        <v>1240</v>
      </c>
      <c r="D1110" s="49" t="s">
        <v>7</v>
      </c>
      <c r="E1110" s="50">
        <v>2.1000000000000001E-2</v>
      </c>
      <c r="F1110" s="108">
        <v>0</v>
      </c>
      <c r="G1110" s="51">
        <v>43922</v>
      </c>
      <c r="H1110" s="46">
        <v>0</v>
      </c>
      <c r="I1110" s="49" t="str">
        <f ca="1"/>
        <v>渋谷 雄大</v>
      </c>
      <c r="J1110" s="109" t="s">
        <v>918</v>
      </c>
      <c r="K1110" s="49" t="s">
        <v>50</v>
      </c>
      <c r="L1110" s="100" t="s">
        <v>51</v>
      </c>
      <c r="M1110" s="107" t="s">
        <v>52</v>
      </c>
    </row>
    <row r="1111" spans="1:13" ht="16">
      <c r="A1111" s="101" t="str">
        <f t="shared" si="0"/>
        <v>OK</v>
      </c>
      <c r="B1111" s="49">
        <v>3720100</v>
      </c>
      <c r="C1111" s="49" t="s">
        <v>1241</v>
      </c>
      <c r="D1111" s="49" t="s">
        <v>7</v>
      </c>
      <c r="E1111" s="50">
        <v>2.1000000000000001E-2</v>
      </c>
      <c r="F1111" s="108">
        <v>0</v>
      </c>
      <c r="G1111" s="51">
        <v>43922</v>
      </c>
      <c r="H1111" s="46">
        <v>0</v>
      </c>
      <c r="I1111" s="49" t="str">
        <f ca="1"/>
        <v>渋谷 雄大</v>
      </c>
      <c r="J1111" s="109" t="s">
        <v>918</v>
      </c>
      <c r="K1111" s="49" t="s">
        <v>50</v>
      </c>
      <c r="L1111" s="100" t="s">
        <v>51</v>
      </c>
      <c r="M1111" s="107" t="s">
        <v>52</v>
      </c>
    </row>
    <row r="1112" spans="1:13" ht="16">
      <c r="A1112" s="101" t="str">
        <f t="shared" si="0"/>
        <v>OK</v>
      </c>
      <c r="B1112" s="49">
        <v>3720101</v>
      </c>
      <c r="C1112" s="49" t="s">
        <v>1242</v>
      </c>
      <c r="D1112" s="49" t="s">
        <v>7</v>
      </c>
      <c r="E1112" s="50">
        <v>2.1000000000000001E-2</v>
      </c>
      <c r="F1112" s="108">
        <v>0</v>
      </c>
      <c r="G1112" s="51">
        <v>43922</v>
      </c>
      <c r="H1112" s="46">
        <v>0</v>
      </c>
      <c r="I1112" s="49" t="str">
        <f ca="1"/>
        <v>渋谷 雄大</v>
      </c>
      <c r="J1112" s="109" t="s">
        <v>918</v>
      </c>
      <c r="K1112" s="49" t="s">
        <v>50</v>
      </c>
      <c r="L1112" s="100" t="s">
        <v>51</v>
      </c>
      <c r="M1112" s="107" t="s">
        <v>52</v>
      </c>
    </row>
    <row r="1113" spans="1:13" ht="16">
      <c r="A1113" s="101" t="str">
        <f t="shared" si="0"/>
        <v>OK</v>
      </c>
      <c r="B1113" s="49">
        <v>3720102</v>
      </c>
      <c r="C1113" s="49" t="s">
        <v>1243</v>
      </c>
      <c r="D1113" s="49" t="s">
        <v>7</v>
      </c>
      <c r="E1113" s="50">
        <v>2.1000000000000001E-2</v>
      </c>
      <c r="F1113" s="108">
        <v>0</v>
      </c>
      <c r="G1113" s="51">
        <v>43922</v>
      </c>
      <c r="H1113" s="46">
        <v>0</v>
      </c>
      <c r="I1113" s="49" t="str">
        <f ca="1"/>
        <v>渋谷 雄大</v>
      </c>
      <c r="J1113" s="109" t="s">
        <v>918</v>
      </c>
      <c r="K1113" s="49" t="s">
        <v>50</v>
      </c>
      <c r="L1113" s="100" t="s">
        <v>51</v>
      </c>
      <c r="M1113" s="107" t="s">
        <v>52</v>
      </c>
    </row>
    <row r="1114" spans="1:13" ht="16">
      <c r="A1114" s="101" t="str">
        <f t="shared" si="0"/>
        <v>OK</v>
      </c>
      <c r="B1114" s="49">
        <v>3720103</v>
      </c>
      <c r="C1114" s="49" t="s">
        <v>1244</v>
      </c>
      <c r="D1114" s="49" t="s">
        <v>7</v>
      </c>
      <c r="E1114" s="50">
        <v>2.1000000000000001E-2</v>
      </c>
      <c r="F1114" s="108">
        <v>0</v>
      </c>
      <c r="G1114" s="51">
        <v>43922</v>
      </c>
      <c r="H1114" s="46">
        <v>0</v>
      </c>
      <c r="I1114" s="49" t="str">
        <f ca="1"/>
        <v>渋谷 雄大</v>
      </c>
      <c r="J1114" s="109" t="s">
        <v>918</v>
      </c>
      <c r="K1114" s="49" t="s">
        <v>50</v>
      </c>
      <c r="L1114" s="100" t="s">
        <v>51</v>
      </c>
      <c r="M1114" s="107" t="s">
        <v>52</v>
      </c>
    </row>
    <row r="1115" spans="1:13" ht="16">
      <c r="A1115" s="101" t="str">
        <f t="shared" si="0"/>
        <v>OK</v>
      </c>
      <c r="B1115" s="49">
        <v>3720104</v>
      </c>
      <c r="C1115" s="49" t="s">
        <v>1245</v>
      </c>
      <c r="D1115" s="49" t="s">
        <v>7</v>
      </c>
      <c r="E1115" s="50">
        <v>2.1000000000000001E-2</v>
      </c>
      <c r="F1115" s="108">
        <v>0</v>
      </c>
      <c r="G1115" s="51">
        <v>43922</v>
      </c>
      <c r="H1115" s="46">
        <v>0</v>
      </c>
      <c r="I1115" s="49" t="str">
        <f ca="1"/>
        <v>渋谷 雄大</v>
      </c>
      <c r="J1115" s="109" t="s">
        <v>918</v>
      </c>
      <c r="K1115" s="49" t="s">
        <v>50</v>
      </c>
      <c r="L1115" s="100" t="s">
        <v>51</v>
      </c>
      <c r="M1115" s="107" t="s">
        <v>52</v>
      </c>
    </row>
    <row r="1116" spans="1:13" ht="16">
      <c r="A1116" s="101" t="str">
        <f t="shared" si="0"/>
        <v>OK</v>
      </c>
      <c r="B1116" s="49">
        <v>3720105</v>
      </c>
      <c r="C1116" s="49" t="s">
        <v>1246</v>
      </c>
      <c r="D1116" s="49" t="s">
        <v>7</v>
      </c>
      <c r="E1116" s="50">
        <v>2.1000000000000001E-2</v>
      </c>
      <c r="F1116" s="108">
        <v>0</v>
      </c>
      <c r="G1116" s="51">
        <v>43922</v>
      </c>
      <c r="H1116" s="46">
        <v>0</v>
      </c>
      <c r="I1116" s="49" t="str">
        <f ca="1"/>
        <v>渋谷 雄大</v>
      </c>
      <c r="J1116" s="109" t="s">
        <v>918</v>
      </c>
      <c r="K1116" s="49" t="s">
        <v>50</v>
      </c>
      <c r="L1116" s="100" t="s">
        <v>51</v>
      </c>
      <c r="M1116" s="107" t="s">
        <v>52</v>
      </c>
    </row>
    <row r="1117" spans="1:13" ht="16">
      <c r="A1117" s="101" t="str">
        <f t="shared" si="0"/>
        <v>OK</v>
      </c>
      <c r="B1117" s="49">
        <v>3720106</v>
      </c>
      <c r="C1117" s="49" t="s">
        <v>1247</v>
      </c>
      <c r="D1117" s="49" t="s">
        <v>7</v>
      </c>
      <c r="E1117" s="50">
        <v>2.1000000000000001E-2</v>
      </c>
      <c r="F1117" s="108">
        <v>0</v>
      </c>
      <c r="G1117" s="51">
        <v>43922</v>
      </c>
      <c r="H1117" s="46">
        <v>0</v>
      </c>
      <c r="I1117" s="49" t="str">
        <f ca="1"/>
        <v>渋谷 雄大</v>
      </c>
      <c r="J1117" s="109" t="s">
        <v>918</v>
      </c>
      <c r="K1117" s="49" t="s">
        <v>50</v>
      </c>
      <c r="L1117" s="100" t="s">
        <v>51</v>
      </c>
      <c r="M1117" s="107" t="s">
        <v>52</v>
      </c>
    </row>
    <row r="1118" spans="1:13" ht="16">
      <c r="A1118" s="101" t="str">
        <f t="shared" si="0"/>
        <v>OK</v>
      </c>
      <c r="B1118" s="49">
        <v>3720108</v>
      </c>
      <c r="C1118" s="49" t="s">
        <v>1248</v>
      </c>
      <c r="D1118" s="49" t="s">
        <v>7</v>
      </c>
      <c r="E1118" s="50">
        <v>2.1000000000000001E-2</v>
      </c>
      <c r="F1118" s="108">
        <v>0</v>
      </c>
      <c r="G1118" s="51">
        <v>43922</v>
      </c>
      <c r="H1118" s="46">
        <v>0</v>
      </c>
      <c r="I1118" s="49" t="str">
        <f ca="1"/>
        <v>渋谷 雄大</v>
      </c>
      <c r="J1118" s="109" t="s">
        <v>918</v>
      </c>
      <c r="K1118" s="49" t="s">
        <v>50</v>
      </c>
      <c r="L1118" s="100" t="s">
        <v>51</v>
      </c>
      <c r="M1118" s="107" t="s">
        <v>52</v>
      </c>
    </row>
    <row r="1119" spans="1:13" ht="16">
      <c r="A1119" s="101" t="str">
        <f t="shared" si="0"/>
        <v>OK</v>
      </c>
      <c r="B1119" s="49">
        <v>3720111</v>
      </c>
      <c r="C1119" s="49" t="s">
        <v>1249</v>
      </c>
      <c r="D1119" s="49" t="s">
        <v>7</v>
      </c>
      <c r="E1119" s="50">
        <v>2.1000000000000001E-2</v>
      </c>
      <c r="F1119" s="108">
        <v>0</v>
      </c>
      <c r="G1119" s="51">
        <v>43922</v>
      </c>
      <c r="H1119" s="46">
        <v>0</v>
      </c>
      <c r="I1119" s="49" t="str">
        <f ca="1"/>
        <v>渋谷 雄大</v>
      </c>
      <c r="J1119" s="109" t="s">
        <v>918</v>
      </c>
      <c r="K1119" s="49" t="s">
        <v>50</v>
      </c>
      <c r="L1119" s="100" t="s">
        <v>51</v>
      </c>
      <c r="M1119" s="107" t="s">
        <v>52</v>
      </c>
    </row>
    <row r="1120" spans="1:13" ht="16">
      <c r="A1120" s="101" t="str">
        <f t="shared" si="0"/>
        <v>OK</v>
      </c>
      <c r="B1120" s="49">
        <v>3720112</v>
      </c>
      <c r="C1120" s="49" t="s">
        <v>1250</v>
      </c>
      <c r="D1120" s="49" t="s">
        <v>7</v>
      </c>
      <c r="E1120" s="50">
        <v>2.1000000000000001E-2</v>
      </c>
      <c r="F1120" s="108">
        <v>0</v>
      </c>
      <c r="G1120" s="51">
        <v>43922</v>
      </c>
      <c r="H1120" s="46">
        <v>0</v>
      </c>
      <c r="I1120" s="49" t="str">
        <f ca="1"/>
        <v>渋谷 雄大</v>
      </c>
      <c r="J1120" s="109" t="s">
        <v>918</v>
      </c>
      <c r="K1120" s="49" t="s">
        <v>50</v>
      </c>
      <c r="L1120" s="100" t="s">
        <v>51</v>
      </c>
      <c r="M1120" s="107" t="s">
        <v>52</v>
      </c>
    </row>
    <row r="1121" spans="1:13" ht="16">
      <c r="A1121" s="101" t="str">
        <f t="shared" si="0"/>
        <v>OK</v>
      </c>
      <c r="B1121" s="49">
        <v>3720113</v>
      </c>
      <c r="C1121" s="49" t="s">
        <v>1251</v>
      </c>
      <c r="D1121" s="49" t="s">
        <v>7</v>
      </c>
      <c r="E1121" s="50">
        <v>2.1000000000000001E-2</v>
      </c>
      <c r="F1121" s="108">
        <v>0</v>
      </c>
      <c r="G1121" s="51">
        <v>43922</v>
      </c>
      <c r="H1121" s="46">
        <v>0</v>
      </c>
      <c r="I1121" s="49" t="str">
        <f ca="1"/>
        <v>渋谷 雄大</v>
      </c>
      <c r="J1121" s="109" t="s">
        <v>918</v>
      </c>
      <c r="K1121" s="49" t="s">
        <v>50</v>
      </c>
      <c r="L1121" s="100" t="s">
        <v>51</v>
      </c>
      <c r="M1121" s="107" t="s">
        <v>52</v>
      </c>
    </row>
    <row r="1122" spans="1:13" ht="16">
      <c r="A1122" s="101" t="str">
        <f t="shared" si="0"/>
        <v>OK</v>
      </c>
      <c r="B1122" s="49">
        <v>3720114</v>
      </c>
      <c r="C1122" s="49" t="s">
        <v>1252</v>
      </c>
      <c r="D1122" s="49" t="s">
        <v>7</v>
      </c>
      <c r="E1122" s="50">
        <v>2.1000000000000001E-2</v>
      </c>
      <c r="F1122" s="108">
        <v>0</v>
      </c>
      <c r="G1122" s="51">
        <v>43922</v>
      </c>
      <c r="H1122" s="46">
        <v>0</v>
      </c>
      <c r="I1122" s="49" t="str">
        <f ca="1"/>
        <v>渋谷 雄大</v>
      </c>
      <c r="J1122" s="109" t="s">
        <v>918</v>
      </c>
      <c r="K1122" s="49" t="s">
        <v>50</v>
      </c>
      <c r="L1122" s="100" t="s">
        <v>51</v>
      </c>
      <c r="M1122" s="107" t="s">
        <v>52</v>
      </c>
    </row>
    <row r="1123" spans="1:13" ht="16">
      <c r="A1123" s="101" t="str">
        <f t="shared" si="0"/>
        <v>OK</v>
      </c>
      <c r="B1123" s="49">
        <v>3720116</v>
      </c>
      <c r="C1123" s="49" t="s">
        <v>1253</v>
      </c>
      <c r="D1123" s="49" t="s">
        <v>7</v>
      </c>
      <c r="E1123" s="50">
        <v>2.1000000000000001E-2</v>
      </c>
      <c r="F1123" s="108">
        <v>0</v>
      </c>
      <c r="G1123" s="51">
        <v>43922</v>
      </c>
      <c r="H1123" s="46">
        <v>0</v>
      </c>
      <c r="I1123" s="49" t="str">
        <f ca="1"/>
        <v>渋谷 雄大</v>
      </c>
      <c r="J1123" s="109" t="s">
        <v>918</v>
      </c>
      <c r="K1123" s="49" t="s">
        <v>50</v>
      </c>
      <c r="L1123" s="100" t="s">
        <v>51</v>
      </c>
      <c r="M1123" s="107" t="s">
        <v>52</v>
      </c>
    </row>
    <row r="1124" spans="1:13" ht="16">
      <c r="A1124" s="101" t="str">
        <f t="shared" si="0"/>
        <v>OK</v>
      </c>
      <c r="B1124" s="49">
        <v>3720117</v>
      </c>
      <c r="C1124" s="49" t="s">
        <v>1254</v>
      </c>
      <c r="D1124" s="49" t="s">
        <v>7</v>
      </c>
      <c r="E1124" s="50">
        <v>2.1000000000000001E-2</v>
      </c>
      <c r="F1124" s="108">
        <v>0</v>
      </c>
      <c r="G1124" s="51">
        <v>43922</v>
      </c>
      <c r="H1124" s="46">
        <v>0</v>
      </c>
      <c r="I1124" s="49" t="str">
        <f ca="1"/>
        <v>渋谷 雄大</v>
      </c>
      <c r="J1124" s="109" t="s">
        <v>918</v>
      </c>
      <c r="K1124" s="49" t="s">
        <v>50</v>
      </c>
      <c r="L1124" s="100" t="s">
        <v>51</v>
      </c>
      <c r="M1124" s="107" t="s">
        <v>52</v>
      </c>
    </row>
    <row r="1125" spans="1:13" ht="16">
      <c r="A1125" s="101" t="str">
        <f t="shared" si="0"/>
        <v>OK</v>
      </c>
      <c r="B1125" s="49">
        <v>3720118</v>
      </c>
      <c r="C1125" s="49" t="s">
        <v>1255</v>
      </c>
      <c r="D1125" s="49" t="s">
        <v>7</v>
      </c>
      <c r="E1125" s="50">
        <v>2.1000000000000001E-2</v>
      </c>
      <c r="F1125" s="108">
        <v>0</v>
      </c>
      <c r="G1125" s="51">
        <v>43922</v>
      </c>
      <c r="H1125" s="46">
        <v>0</v>
      </c>
      <c r="I1125" s="49" t="str">
        <f ca="1"/>
        <v>渋谷 雄大</v>
      </c>
      <c r="J1125" s="109" t="s">
        <v>918</v>
      </c>
      <c r="K1125" s="49" t="s">
        <v>50</v>
      </c>
      <c r="L1125" s="100" t="s">
        <v>51</v>
      </c>
      <c r="M1125" s="107" t="s">
        <v>52</v>
      </c>
    </row>
    <row r="1126" spans="1:13" ht="16">
      <c r="A1126" s="101" t="str">
        <f t="shared" si="0"/>
        <v>OK</v>
      </c>
      <c r="B1126" s="49">
        <v>3720119</v>
      </c>
      <c r="C1126" s="49" t="s">
        <v>1256</v>
      </c>
      <c r="D1126" s="49" t="s">
        <v>7</v>
      </c>
      <c r="E1126" s="50">
        <v>2.1000000000000001E-2</v>
      </c>
      <c r="F1126" s="108">
        <v>0</v>
      </c>
      <c r="G1126" s="51">
        <v>43922</v>
      </c>
      <c r="H1126" s="46">
        <v>0</v>
      </c>
      <c r="I1126" s="49" t="str">
        <f ca="1"/>
        <v>渋谷 雄大</v>
      </c>
      <c r="J1126" s="109" t="s">
        <v>918</v>
      </c>
      <c r="K1126" s="49" t="s">
        <v>50</v>
      </c>
      <c r="L1126" s="100" t="s">
        <v>51</v>
      </c>
      <c r="M1126" s="107" t="s">
        <v>52</v>
      </c>
    </row>
    <row r="1127" spans="1:13" ht="16">
      <c r="A1127" s="101" t="str">
        <f t="shared" si="0"/>
        <v>OK</v>
      </c>
      <c r="B1127" s="49">
        <v>3720120</v>
      </c>
      <c r="C1127" s="49" t="s">
        <v>1257</v>
      </c>
      <c r="D1127" s="49" t="s">
        <v>7</v>
      </c>
      <c r="E1127" s="50">
        <v>2.1000000000000001E-2</v>
      </c>
      <c r="F1127" s="108">
        <v>0</v>
      </c>
      <c r="G1127" s="51">
        <v>43922</v>
      </c>
      <c r="H1127" s="46">
        <v>0</v>
      </c>
      <c r="I1127" s="49" t="str">
        <f ca="1"/>
        <v>渋谷 雄大</v>
      </c>
      <c r="J1127" s="109" t="s">
        <v>918</v>
      </c>
      <c r="K1127" s="49" t="s">
        <v>50</v>
      </c>
      <c r="L1127" s="100" t="s">
        <v>51</v>
      </c>
      <c r="M1127" s="107" t="s">
        <v>52</v>
      </c>
    </row>
    <row r="1128" spans="1:13" ht="16">
      <c r="A1128" s="101" t="str">
        <f t="shared" si="0"/>
        <v>OK</v>
      </c>
      <c r="B1128" s="49">
        <v>3720121</v>
      </c>
      <c r="C1128" s="49" t="s">
        <v>1258</v>
      </c>
      <c r="D1128" s="49" t="s">
        <v>7</v>
      </c>
      <c r="E1128" s="50">
        <v>2.1000000000000001E-2</v>
      </c>
      <c r="F1128" s="108">
        <v>0</v>
      </c>
      <c r="G1128" s="51">
        <v>43922</v>
      </c>
      <c r="H1128" s="46">
        <v>0</v>
      </c>
      <c r="I1128" s="49" t="str">
        <f ca="1"/>
        <v>渋谷 雄大</v>
      </c>
      <c r="J1128" s="109" t="s">
        <v>918</v>
      </c>
      <c r="K1128" s="49" t="s">
        <v>50</v>
      </c>
      <c r="L1128" s="100" t="s">
        <v>51</v>
      </c>
      <c r="M1128" s="107" t="s">
        <v>52</v>
      </c>
    </row>
    <row r="1129" spans="1:13" ht="16">
      <c r="A1129" s="101" t="str">
        <f t="shared" si="0"/>
        <v>OK</v>
      </c>
      <c r="B1129" s="49">
        <v>3720122</v>
      </c>
      <c r="C1129" s="49" t="s">
        <v>1259</v>
      </c>
      <c r="D1129" s="49" t="s">
        <v>7</v>
      </c>
      <c r="E1129" s="50">
        <v>2.1000000000000001E-2</v>
      </c>
      <c r="F1129" s="108">
        <v>0</v>
      </c>
      <c r="G1129" s="51">
        <v>43922</v>
      </c>
      <c r="H1129" s="46">
        <v>0</v>
      </c>
      <c r="I1129" s="49" t="str">
        <f ca="1"/>
        <v>渋谷 雄大</v>
      </c>
      <c r="J1129" s="109" t="s">
        <v>918</v>
      </c>
      <c r="K1129" s="49" t="s">
        <v>50</v>
      </c>
      <c r="L1129" s="100" t="s">
        <v>51</v>
      </c>
      <c r="M1129" s="107" t="s">
        <v>52</v>
      </c>
    </row>
    <row r="1130" spans="1:13" ht="16">
      <c r="A1130" s="101" t="str">
        <f t="shared" si="0"/>
        <v>OK</v>
      </c>
      <c r="B1130" s="49">
        <v>3720123</v>
      </c>
      <c r="C1130" s="49" t="s">
        <v>1260</v>
      </c>
      <c r="D1130" s="49" t="s">
        <v>7</v>
      </c>
      <c r="E1130" s="50">
        <v>2.1000000000000001E-2</v>
      </c>
      <c r="F1130" s="108">
        <v>0</v>
      </c>
      <c r="G1130" s="51">
        <v>43922</v>
      </c>
      <c r="H1130" s="46">
        <v>0</v>
      </c>
      <c r="I1130" s="49" t="str">
        <f ca="1"/>
        <v>渋谷 雄大</v>
      </c>
      <c r="J1130" s="109" t="s">
        <v>918</v>
      </c>
      <c r="K1130" s="49" t="s">
        <v>50</v>
      </c>
      <c r="L1130" s="100" t="s">
        <v>51</v>
      </c>
      <c r="M1130" s="107" t="s">
        <v>52</v>
      </c>
    </row>
    <row r="1131" spans="1:13" ht="16">
      <c r="A1131" s="101" t="str">
        <f t="shared" si="0"/>
        <v>OK</v>
      </c>
      <c r="B1131" s="49">
        <v>3720124</v>
      </c>
      <c r="C1131" s="49" t="s">
        <v>1261</v>
      </c>
      <c r="D1131" s="49" t="s">
        <v>7</v>
      </c>
      <c r="E1131" s="50">
        <v>2.1000000000000001E-2</v>
      </c>
      <c r="F1131" s="108">
        <v>0</v>
      </c>
      <c r="G1131" s="51">
        <v>43922</v>
      </c>
      <c r="H1131" s="46">
        <v>0</v>
      </c>
      <c r="I1131" s="49" t="str">
        <f ca="1"/>
        <v>渋谷 雄大</v>
      </c>
      <c r="J1131" s="109" t="s">
        <v>918</v>
      </c>
      <c r="K1131" s="49" t="s">
        <v>50</v>
      </c>
      <c r="L1131" s="100" t="s">
        <v>51</v>
      </c>
      <c r="M1131" s="107" t="s">
        <v>52</v>
      </c>
    </row>
    <row r="1132" spans="1:13" ht="16">
      <c r="A1132" s="101" t="str">
        <f t="shared" si="0"/>
        <v>OK</v>
      </c>
      <c r="B1132" s="49">
        <v>3720125</v>
      </c>
      <c r="C1132" s="49" t="s">
        <v>1262</v>
      </c>
      <c r="D1132" s="49" t="s">
        <v>7</v>
      </c>
      <c r="E1132" s="50">
        <v>2.1000000000000001E-2</v>
      </c>
      <c r="F1132" s="108">
        <v>0</v>
      </c>
      <c r="G1132" s="51">
        <v>43922</v>
      </c>
      <c r="H1132" s="46">
        <v>0</v>
      </c>
      <c r="I1132" s="49" t="str">
        <f ca="1"/>
        <v>渋谷 雄大</v>
      </c>
      <c r="J1132" s="109" t="s">
        <v>918</v>
      </c>
      <c r="K1132" s="49" t="s">
        <v>50</v>
      </c>
      <c r="L1132" s="100" t="s">
        <v>51</v>
      </c>
      <c r="M1132" s="107" t="s">
        <v>52</v>
      </c>
    </row>
    <row r="1133" spans="1:13" ht="16">
      <c r="A1133" s="101" t="str">
        <f t="shared" si="0"/>
        <v>OK</v>
      </c>
      <c r="B1133" s="49">
        <v>3720126</v>
      </c>
      <c r="C1133" s="49" t="s">
        <v>1263</v>
      </c>
      <c r="D1133" s="49" t="s">
        <v>7</v>
      </c>
      <c r="E1133" s="50">
        <v>2.1000000000000001E-2</v>
      </c>
      <c r="F1133" s="108">
        <v>0</v>
      </c>
      <c r="G1133" s="51">
        <v>43922</v>
      </c>
      <c r="H1133" s="46">
        <v>0</v>
      </c>
      <c r="I1133" s="49" t="str">
        <f ca="1"/>
        <v>渋谷 雄大</v>
      </c>
      <c r="J1133" s="109" t="s">
        <v>918</v>
      </c>
      <c r="K1133" s="49" t="s">
        <v>50</v>
      </c>
      <c r="L1133" s="100" t="s">
        <v>51</v>
      </c>
      <c r="M1133" s="107" t="s">
        <v>52</v>
      </c>
    </row>
    <row r="1134" spans="1:13" ht="16">
      <c r="A1134" s="101" t="str">
        <f t="shared" si="0"/>
        <v>OK</v>
      </c>
      <c r="B1134" s="49">
        <v>3720127</v>
      </c>
      <c r="C1134" s="49" t="s">
        <v>1264</v>
      </c>
      <c r="D1134" s="49" t="s">
        <v>7</v>
      </c>
      <c r="E1134" s="50">
        <v>2.1000000000000001E-2</v>
      </c>
      <c r="F1134" s="108">
        <v>0</v>
      </c>
      <c r="G1134" s="51">
        <v>43922</v>
      </c>
      <c r="H1134" s="46">
        <v>0</v>
      </c>
      <c r="I1134" s="49" t="str">
        <f ca="1"/>
        <v>渋谷 雄大</v>
      </c>
      <c r="J1134" s="109" t="s">
        <v>918</v>
      </c>
      <c r="K1134" s="49" t="s">
        <v>50</v>
      </c>
      <c r="L1134" s="100" t="s">
        <v>51</v>
      </c>
      <c r="M1134" s="107" t="s">
        <v>52</v>
      </c>
    </row>
    <row r="1135" spans="1:13" ht="16">
      <c r="A1135" s="101" t="str">
        <f t="shared" si="0"/>
        <v>OK</v>
      </c>
      <c r="B1135" s="49">
        <v>3720128</v>
      </c>
      <c r="C1135" s="49" t="s">
        <v>1265</v>
      </c>
      <c r="D1135" s="49" t="s">
        <v>7</v>
      </c>
      <c r="E1135" s="50">
        <v>2.1000000000000001E-2</v>
      </c>
      <c r="F1135" s="108">
        <v>0</v>
      </c>
      <c r="G1135" s="51">
        <v>43922</v>
      </c>
      <c r="H1135" s="46">
        <v>0</v>
      </c>
      <c r="I1135" s="49" t="str">
        <f ca="1"/>
        <v>渋谷 雄大</v>
      </c>
      <c r="J1135" s="109" t="s">
        <v>918</v>
      </c>
      <c r="K1135" s="49" t="s">
        <v>50</v>
      </c>
      <c r="L1135" s="100" t="s">
        <v>51</v>
      </c>
      <c r="M1135" s="107" t="s">
        <v>52</v>
      </c>
    </row>
    <row r="1136" spans="1:13" ht="16">
      <c r="A1136" s="101" t="str">
        <f t="shared" si="0"/>
        <v>OK</v>
      </c>
      <c r="B1136" s="49">
        <v>3720129</v>
      </c>
      <c r="C1136" s="49" t="s">
        <v>1266</v>
      </c>
      <c r="D1136" s="49" t="s">
        <v>7</v>
      </c>
      <c r="E1136" s="50">
        <v>2.1000000000000001E-2</v>
      </c>
      <c r="F1136" s="108">
        <v>0</v>
      </c>
      <c r="G1136" s="51">
        <v>43922</v>
      </c>
      <c r="H1136" s="46">
        <v>0</v>
      </c>
      <c r="I1136" s="49" t="str">
        <f ca="1"/>
        <v>渋谷 雄大</v>
      </c>
      <c r="J1136" s="109" t="s">
        <v>918</v>
      </c>
      <c r="K1136" s="49" t="s">
        <v>50</v>
      </c>
      <c r="L1136" s="100" t="s">
        <v>51</v>
      </c>
      <c r="M1136" s="107" t="s">
        <v>52</v>
      </c>
    </row>
    <row r="1137" spans="1:13" ht="16">
      <c r="A1137" s="101" t="str">
        <f t="shared" si="0"/>
        <v>OK</v>
      </c>
      <c r="B1137" s="49">
        <v>3720130</v>
      </c>
      <c r="C1137" s="49" t="s">
        <v>1267</v>
      </c>
      <c r="D1137" s="49" t="s">
        <v>7</v>
      </c>
      <c r="E1137" s="50">
        <v>2.1000000000000001E-2</v>
      </c>
      <c r="F1137" s="108">
        <v>0</v>
      </c>
      <c r="G1137" s="51">
        <v>43922</v>
      </c>
      <c r="H1137" s="46">
        <v>0</v>
      </c>
      <c r="I1137" s="49" t="str">
        <f ca="1"/>
        <v>渋谷 雄大</v>
      </c>
      <c r="J1137" s="109" t="s">
        <v>918</v>
      </c>
      <c r="K1137" s="49" t="s">
        <v>50</v>
      </c>
      <c r="L1137" s="100" t="s">
        <v>51</v>
      </c>
      <c r="M1137" s="107" t="s">
        <v>52</v>
      </c>
    </row>
    <row r="1138" spans="1:13" ht="16">
      <c r="A1138" s="101" t="str">
        <f t="shared" si="0"/>
        <v>OK</v>
      </c>
      <c r="B1138" s="49">
        <v>3720131</v>
      </c>
      <c r="C1138" s="49" t="s">
        <v>1268</v>
      </c>
      <c r="D1138" s="49" t="s">
        <v>7</v>
      </c>
      <c r="E1138" s="50">
        <v>2.1000000000000001E-2</v>
      </c>
      <c r="F1138" s="108">
        <v>0</v>
      </c>
      <c r="G1138" s="51">
        <v>43922</v>
      </c>
      <c r="H1138" s="46">
        <v>0</v>
      </c>
      <c r="I1138" s="49" t="str">
        <f ca="1"/>
        <v>渋谷 雄大</v>
      </c>
      <c r="J1138" s="109" t="s">
        <v>918</v>
      </c>
      <c r="K1138" s="49" t="s">
        <v>50</v>
      </c>
      <c r="L1138" s="100" t="s">
        <v>51</v>
      </c>
      <c r="M1138" s="107" t="s">
        <v>52</v>
      </c>
    </row>
    <row r="1139" spans="1:13" ht="16">
      <c r="A1139" s="101" t="str">
        <f t="shared" si="0"/>
        <v>OK</v>
      </c>
      <c r="B1139" s="49">
        <v>3720133</v>
      </c>
      <c r="C1139" s="49" t="s">
        <v>1269</v>
      </c>
      <c r="D1139" s="49" t="s">
        <v>7</v>
      </c>
      <c r="E1139" s="50">
        <v>2.1000000000000001E-2</v>
      </c>
      <c r="F1139" s="108">
        <v>0</v>
      </c>
      <c r="G1139" s="51">
        <v>43922</v>
      </c>
      <c r="H1139" s="46">
        <v>0</v>
      </c>
      <c r="I1139" s="49" t="str">
        <f ca="1"/>
        <v>渋谷 雄大</v>
      </c>
      <c r="J1139" s="109" t="s">
        <v>918</v>
      </c>
      <c r="K1139" s="49" t="s">
        <v>50</v>
      </c>
      <c r="L1139" s="100" t="s">
        <v>51</v>
      </c>
      <c r="M1139" s="107" t="s">
        <v>52</v>
      </c>
    </row>
    <row r="1140" spans="1:13" ht="16">
      <c r="A1140" s="101" t="str">
        <f t="shared" si="0"/>
        <v>OK</v>
      </c>
      <c r="B1140" s="49">
        <v>3720134</v>
      </c>
      <c r="C1140" s="49" t="s">
        <v>1270</v>
      </c>
      <c r="D1140" s="49" t="s">
        <v>7</v>
      </c>
      <c r="E1140" s="50">
        <v>2.1000000000000001E-2</v>
      </c>
      <c r="F1140" s="108">
        <v>0</v>
      </c>
      <c r="G1140" s="51">
        <v>43922</v>
      </c>
      <c r="H1140" s="46">
        <v>0</v>
      </c>
      <c r="I1140" s="49" t="str">
        <f ca="1"/>
        <v>渋谷 雄大</v>
      </c>
      <c r="J1140" s="109" t="s">
        <v>918</v>
      </c>
      <c r="K1140" s="49" t="s">
        <v>50</v>
      </c>
      <c r="L1140" s="100" t="s">
        <v>51</v>
      </c>
      <c r="M1140" s="107" t="s">
        <v>52</v>
      </c>
    </row>
    <row r="1141" spans="1:13" ht="16">
      <c r="A1141" s="101" t="str">
        <f t="shared" si="0"/>
        <v>OK</v>
      </c>
      <c r="B1141" s="49">
        <v>3720138</v>
      </c>
      <c r="C1141" s="49" t="s">
        <v>1271</v>
      </c>
      <c r="D1141" s="49" t="s">
        <v>7</v>
      </c>
      <c r="E1141" s="50">
        <v>2.1000000000000001E-2</v>
      </c>
      <c r="F1141" s="108">
        <v>0</v>
      </c>
      <c r="G1141" s="51">
        <v>43922</v>
      </c>
      <c r="H1141" s="46">
        <v>0</v>
      </c>
      <c r="I1141" s="49" t="str">
        <f ca="1"/>
        <v>渋谷 雄大</v>
      </c>
      <c r="J1141" s="109" t="s">
        <v>918</v>
      </c>
      <c r="K1141" s="49" t="s">
        <v>50</v>
      </c>
      <c r="L1141" s="100" t="s">
        <v>51</v>
      </c>
      <c r="M1141" s="107" t="s">
        <v>52</v>
      </c>
    </row>
    <row r="1142" spans="1:13" ht="16">
      <c r="A1142" s="101" t="str">
        <f t="shared" si="0"/>
        <v>OK</v>
      </c>
      <c r="B1142" s="49">
        <v>3720139</v>
      </c>
      <c r="C1142" s="49" t="s">
        <v>1272</v>
      </c>
      <c r="D1142" s="49" t="s">
        <v>7</v>
      </c>
      <c r="E1142" s="50">
        <v>2.1000000000000001E-2</v>
      </c>
      <c r="F1142" s="108">
        <v>0</v>
      </c>
      <c r="G1142" s="51">
        <v>43922</v>
      </c>
      <c r="H1142" s="46">
        <v>0</v>
      </c>
      <c r="I1142" s="49" t="str">
        <f ca="1"/>
        <v>渋谷 雄大</v>
      </c>
      <c r="J1142" s="109" t="s">
        <v>918</v>
      </c>
      <c r="K1142" s="49" t="s">
        <v>50</v>
      </c>
      <c r="L1142" s="100" t="s">
        <v>51</v>
      </c>
      <c r="M1142" s="107" t="s">
        <v>52</v>
      </c>
    </row>
    <row r="1143" spans="1:13" ht="16">
      <c r="A1143" s="101" t="str">
        <f t="shared" si="0"/>
        <v>OK</v>
      </c>
      <c r="B1143" s="49">
        <v>3720140</v>
      </c>
      <c r="C1143" s="49" t="s">
        <v>1273</v>
      </c>
      <c r="D1143" s="49" t="s">
        <v>7</v>
      </c>
      <c r="E1143" s="50">
        <v>2.1000000000000001E-2</v>
      </c>
      <c r="F1143" s="108">
        <v>0</v>
      </c>
      <c r="G1143" s="51">
        <v>43922</v>
      </c>
      <c r="H1143" s="46">
        <v>0</v>
      </c>
      <c r="I1143" s="49" t="str">
        <f ca="1"/>
        <v>渋谷 雄大</v>
      </c>
      <c r="J1143" s="109" t="s">
        <v>918</v>
      </c>
      <c r="K1143" s="49" t="s">
        <v>50</v>
      </c>
      <c r="L1143" s="100" t="s">
        <v>51</v>
      </c>
      <c r="M1143" s="107" t="s">
        <v>52</v>
      </c>
    </row>
    <row r="1144" spans="1:13" ht="16">
      <c r="A1144" s="101" t="str">
        <f t="shared" si="0"/>
        <v>OK</v>
      </c>
      <c r="B1144" s="49">
        <v>3720141</v>
      </c>
      <c r="C1144" s="49" t="s">
        <v>1274</v>
      </c>
      <c r="D1144" s="49" t="s">
        <v>7</v>
      </c>
      <c r="E1144" s="50">
        <v>2.1000000000000001E-2</v>
      </c>
      <c r="F1144" s="108">
        <v>0</v>
      </c>
      <c r="G1144" s="51">
        <v>43922</v>
      </c>
      <c r="H1144" s="46">
        <v>0</v>
      </c>
      <c r="I1144" s="49" t="str">
        <f ca="1"/>
        <v>渋谷 雄大</v>
      </c>
      <c r="J1144" s="109" t="s">
        <v>918</v>
      </c>
      <c r="K1144" s="49" t="s">
        <v>50</v>
      </c>
      <c r="L1144" s="100" t="s">
        <v>51</v>
      </c>
      <c r="M1144" s="107" t="s">
        <v>52</v>
      </c>
    </row>
    <row r="1145" spans="1:13" ht="16">
      <c r="A1145" s="101" t="str">
        <f t="shared" si="0"/>
        <v>OK</v>
      </c>
      <c r="B1145" s="49">
        <v>3720142</v>
      </c>
      <c r="C1145" s="49" t="s">
        <v>1275</v>
      </c>
      <c r="D1145" s="49" t="s">
        <v>7</v>
      </c>
      <c r="E1145" s="50">
        <v>2.1000000000000001E-2</v>
      </c>
      <c r="F1145" s="108">
        <v>0</v>
      </c>
      <c r="G1145" s="51">
        <v>43922</v>
      </c>
      <c r="H1145" s="46">
        <v>0</v>
      </c>
      <c r="I1145" s="49" t="str">
        <f ca="1"/>
        <v>渋谷 雄大</v>
      </c>
      <c r="J1145" s="109" t="s">
        <v>918</v>
      </c>
      <c r="K1145" s="49" t="s">
        <v>50</v>
      </c>
      <c r="L1145" s="100" t="s">
        <v>51</v>
      </c>
      <c r="M1145" s="107" t="s">
        <v>52</v>
      </c>
    </row>
    <row r="1146" spans="1:13" ht="16">
      <c r="A1146" s="101" t="str">
        <f t="shared" si="0"/>
        <v>OK</v>
      </c>
      <c r="B1146" s="49">
        <v>3720143</v>
      </c>
      <c r="C1146" s="49" t="s">
        <v>1276</v>
      </c>
      <c r="D1146" s="49" t="s">
        <v>7</v>
      </c>
      <c r="E1146" s="50">
        <v>2.1000000000000001E-2</v>
      </c>
      <c r="F1146" s="108">
        <v>0</v>
      </c>
      <c r="G1146" s="51">
        <v>43922</v>
      </c>
      <c r="H1146" s="46">
        <v>0</v>
      </c>
      <c r="I1146" s="49" t="str">
        <f ca="1"/>
        <v>渋谷 雄大</v>
      </c>
      <c r="J1146" s="109" t="s">
        <v>918</v>
      </c>
      <c r="K1146" s="49" t="s">
        <v>50</v>
      </c>
      <c r="L1146" s="100" t="s">
        <v>51</v>
      </c>
      <c r="M1146" s="107" t="s">
        <v>52</v>
      </c>
    </row>
    <row r="1147" spans="1:13" ht="16">
      <c r="A1147" s="101" t="str">
        <f t="shared" si="0"/>
        <v>OK</v>
      </c>
      <c r="B1147" s="49">
        <v>3720144</v>
      </c>
      <c r="C1147" s="49" t="s">
        <v>1277</v>
      </c>
      <c r="D1147" s="49" t="s">
        <v>7</v>
      </c>
      <c r="E1147" s="50">
        <v>2.1000000000000001E-2</v>
      </c>
      <c r="F1147" s="108">
        <v>0</v>
      </c>
      <c r="G1147" s="51">
        <v>43922</v>
      </c>
      <c r="H1147" s="46">
        <v>0</v>
      </c>
      <c r="I1147" s="49" t="str">
        <f ca="1"/>
        <v>渋谷 雄大</v>
      </c>
      <c r="J1147" s="109" t="s">
        <v>918</v>
      </c>
      <c r="K1147" s="49" t="s">
        <v>50</v>
      </c>
      <c r="L1147" s="100" t="s">
        <v>51</v>
      </c>
      <c r="M1147" s="107" t="s">
        <v>52</v>
      </c>
    </row>
    <row r="1148" spans="1:13" ht="16">
      <c r="A1148" s="101" t="str">
        <f t="shared" si="0"/>
        <v>OK</v>
      </c>
      <c r="B1148" s="49">
        <v>3720145</v>
      </c>
      <c r="C1148" s="49" t="s">
        <v>1278</v>
      </c>
      <c r="D1148" s="49" t="s">
        <v>7</v>
      </c>
      <c r="E1148" s="50">
        <v>2.1000000000000001E-2</v>
      </c>
      <c r="F1148" s="108">
        <v>0</v>
      </c>
      <c r="G1148" s="51">
        <v>43922</v>
      </c>
      <c r="H1148" s="46">
        <v>0</v>
      </c>
      <c r="I1148" s="49" t="str">
        <f ca="1"/>
        <v>渋谷 雄大</v>
      </c>
      <c r="J1148" s="109" t="s">
        <v>918</v>
      </c>
      <c r="K1148" s="49" t="s">
        <v>50</v>
      </c>
      <c r="L1148" s="100" t="s">
        <v>51</v>
      </c>
      <c r="M1148" s="107" t="s">
        <v>52</v>
      </c>
    </row>
    <row r="1149" spans="1:13" ht="16">
      <c r="A1149" s="101" t="str">
        <f t="shared" si="0"/>
        <v>OK</v>
      </c>
      <c r="B1149" s="49">
        <v>3720146</v>
      </c>
      <c r="C1149" s="49" t="s">
        <v>1279</v>
      </c>
      <c r="D1149" s="49" t="s">
        <v>7</v>
      </c>
      <c r="E1149" s="50">
        <v>2.1000000000000001E-2</v>
      </c>
      <c r="F1149" s="108">
        <v>0</v>
      </c>
      <c r="G1149" s="51">
        <v>43922</v>
      </c>
      <c r="H1149" s="46">
        <v>0</v>
      </c>
      <c r="I1149" s="49" t="str">
        <f ca="1"/>
        <v>渋谷 雄大</v>
      </c>
      <c r="J1149" s="109" t="s">
        <v>918</v>
      </c>
      <c r="K1149" s="49" t="s">
        <v>50</v>
      </c>
      <c r="L1149" s="100" t="s">
        <v>51</v>
      </c>
      <c r="M1149" s="107" t="s">
        <v>52</v>
      </c>
    </row>
    <row r="1150" spans="1:13" ht="16">
      <c r="A1150" s="101" t="str">
        <f t="shared" si="0"/>
        <v>OK</v>
      </c>
      <c r="B1150" s="49">
        <v>3720147</v>
      </c>
      <c r="C1150" s="49" t="s">
        <v>1280</v>
      </c>
      <c r="D1150" s="49" t="s">
        <v>7</v>
      </c>
      <c r="E1150" s="50">
        <v>2.1000000000000001E-2</v>
      </c>
      <c r="F1150" s="108">
        <v>0</v>
      </c>
      <c r="G1150" s="51">
        <v>43922</v>
      </c>
      <c r="H1150" s="46">
        <v>0</v>
      </c>
      <c r="I1150" s="49" t="str">
        <f ca="1"/>
        <v>渋谷 雄大</v>
      </c>
      <c r="J1150" s="109" t="s">
        <v>918</v>
      </c>
      <c r="K1150" s="49" t="s">
        <v>50</v>
      </c>
      <c r="L1150" s="100" t="s">
        <v>51</v>
      </c>
      <c r="M1150" s="107" t="s">
        <v>52</v>
      </c>
    </row>
    <row r="1151" spans="1:13" ht="16">
      <c r="A1151" s="101" t="str">
        <f t="shared" si="0"/>
        <v>OK</v>
      </c>
      <c r="B1151" s="49">
        <v>3720148</v>
      </c>
      <c r="C1151" s="49" t="s">
        <v>1281</v>
      </c>
      <c r="D1151" s="49" t="s">
        <v>7</v>
      </c>
      <c r="E1151" s="50">
        <v>2.1000000000000001E-2</v>
      </c>
      <c r="F1151" s="108">
        <v>0</v>
      </c>
      <c r="G1151" s="51">
        <v>43922</v>
      </c>
      <c r="H1151" s="46">
        <v>0</v>
      </c>
      <c r="I1151" s="49" t="str">
        <f ca="1"/>
        <v>渋谷 雄大</v>
      </c>
      <c r="J1151" s="109" t="s">
        <v>918</v>
      </c>
      <c r="K1151" s="49" t="s">
        <v>50</v>
      </c>
      <c r="L1151" s="100" t="s">
        <v>51</v>
      </c>
      <c r="M1151" s="107" t="s">
        <v>52</v>
      </c>
    </row>
    <row r="1152" spans="1:13" ht="16">
      <c r="A1152" s="101" t="str">
        <f t="shared" si="0"/>
        <v>OK</v>
      </c>
      <c r="B1152" s="49">
        <v>3720149</v>
      </c>
      <c r="C1152" s="49" t="s">
        <v>1282</v>
      </c>
      <c r="D1152" s="49" t="s">
        <v>7</v>
      </c>
      <c r="E1152" s="50">
        <v>2.1000000000000001E-2</v>
      </c>
      <c r="F1152" s="108">
        <v>0</v>
      </c>
      <c r="G1152" s="51">
        <v>43922</v>
      </c>
      <c r="H1152" s="46">
        <v>0</v>
      </c>
      <c r="I1152" s="49" t="str">
        <f ca="1"/>
        <v>渋谷 雄大</v>
      </c>
      <c r="J1152" s="109" t="s">
        <v>918</v>
      </c>
      <c r="K1152" s="49" t="s">
        <v>50</v>
      </c>
      <c r="L1152" s="100" t="s">
        <v>51</v>
      </c>
      <c r="M1152" s="107" t="s">
        <v>52</v>
      </c>
    </row>
    <row r="1153" spans="1:13" ht="16">
      <c r="A1153" s="101" t="str">
        <f t="shared" si="0"/>
        <v>OK</v>
      </c>
      <c r="B1153" s="49">
        <v>3720150</v>
      </c>
      <c r="C1153" s="49" t="s">
        <v>1283</v>
      </c>
      <c r="D1153" s="49" t="s">
        <v>7</v>
      </c>
      <c r="E1153" s="50">
        <v>2.1000000000000001E-2</v>
      </c>
      <c r="F1153" s="108">
        <v>0</v>
      </c>
      <c r="G1153" s="51">
        <v>43922</v>
      </c>
      <c r="H1153" s="46">
        <v>0</v>
      </c>
      <c r="I1153" s="49" t="str">
        <f ca="1"/>
        <v>渋谷 雄大</v>
      </c>
      <c r="J1153" s="109" t="s">
        <v>918</v>
      </c>
      <c r="K1153" s="49" t="s">
        <v>50</v>
      </c>
      <c r="L1153" s="100" t="s">
        <v>51</v>
      </c>
      <c r="M1153" s="107" t="s">
        <v>52</v>
      </c>
    </row>
    <row r="1154" spans="1:13" ht="16">
      <c r="A1154" s="101" t="str">
        <f t="shared" si="0"/>
        <v>OK</v>
      </c>
      <c r="B1154" s="49">
        <v>3720151</v>
      </c>
      <c r="C1154" s="49" t="s">
        <v>1284</v>
      </c>
      <c r="D1154" s="49" t="s">
        <v>7</v>
      </c>
      <c r="E1154" s="50">
        <v>2.1000000000000001E-2</v>
      </c>
      <c r="F1154" s="108">
        <v>0</v>
      </c>
      <c r="G1154" s="51">
        <v>43922</v>
      </c>
      <c r="H1154" s="46">
        <v>0</v>
      </c>
      <c r="I1154" s="49" t="str">
        <f ca="1"/>
        <v>渋谷 雄大</v>
      </c>
      <c r="J1154" s="109" t="s">
        <v>918</v>
      </c>
      <c r="K1154" s="49" t="s">
        <v>50</v>
      </c>
      <c r="L1154" s="100" t="s">
        <v>51</v>
      </c>
      <c r="M1154" s="107" t="s">
        <v>52</v>
      </c>
    </row>
    <row r="1155" spans="1:13" ht="16">
      <c r="A1155" s="101" t="str">
        <f t="shared" si="0"/>
        <v>OK</v>
      </c>
      <c r="B1155" s="49">
        <v>3720152</v>
      </c>
      <c r="C1155" s="49" t="s">
        <v>1285</v>
      </c>
      <c r="D1155" s="49" t="s">
        <v>7</v>
      </c>
      <c r="E1155" s="50">
        <v>2.1000000000000001E-2</v>
      </c>
      <c r="F1155" s="108">
        <v>0</v>
      </c>
      <c r="G1155" s="51">
        <v>43922</v>
      </c>
      <c r="H1155" s="46">
        <v>0</v>
      </c>
      <c r="I1155" s="49" t="str">
        <f ca="1"/>
        <v>渋谷 雄大</v>
      </c>
      <c r="J1155" s="109" t="s">
        <v>918</v>
      </c>
      <c r="K1155" s="49" t="s">
        <v>50</v>
      </c>
      <c r="L1155" s="100" t="s">
        <v>51</v>
      </c>
      <c r="M1155" s="107" t="s">
        <v>52</v>
      </c>
    </row>
    <row r="1156" spans="1:13" ht="16">
      <c r="A1156" s="101" t="str">
        <f t="shared" si="0"/>
        <v>OK</v>
      </c>
      <c r="B1156" s="49">
        <v>3720153</v>
      </c>
      <c r="C1156" s="49" t="s">
        <v>1286</v>
      </c>
      <c r="D1156" s="49" t="s">
        <v>7</v>
      </c>
      <c r="E1156" s="50">
        <v>2.1000000000000001E-2</v>
      </c>
      <c r="F1156" s="108">
        <v>0</v>
      </c>
      <c r="G1156" s="51">
        <v>43922</v>
      </c>
      <c r="H1156" s="46">
        <v>0</v>
      </c>
      <c r="I1156" s="49" t="str">
        <f ca="1"/>
        <v>渋谷 雄大</v>
      </c>
      <c r="J1156" s="109" t="s">
        <v>918</v>
      </c>
      <c r="K1156" s="49" t="s">
        <v>50</v>
      </c>
      <c r="L1156" s="100" t="s">
        <v>51</v>
      </c>
      <c r="M1156" s="107" t="s">
        <v>52</v>
      </c>
    </row>
    <row r="1157" spans="1:13" ht="16">
      <c r="A1157" s="101" t="str">
        <f t="shared" si="0"/>
        <v>OK</v>
      </c>
      <c r="B1157" s="49">
        <v>3720154</v>
      </c>
      <c r="C1157" s="49" t="s">
        <v>1287</v>
      </c>
      <c r="D1157" s="49" t="s">
        <v>7</v>
      </c>
      <c r="E1157" s="50">
        <v>2.1000000000000001E-2</v>
      </c>
      <c r="F1157" s="108">
        <v>0</v>
      </c>
      <c r="G1157" s="51">
        <v>43922</v>
      </c>
      <c r="H1157" s="46">
        <v>0</v>
      </c>
      <c r="I1157" s="49" t="str">
        <f ca="1"/>
        <v>渋谷 雄大</v>
      </c>
      <c r="J1157" s="109" t="s">
        <v>918</v>
      </c>
      <c r="K1157" s="49" t="s">
        <v>50</v>
      </c>
      <c r="L1157" s="100" t="s">
        <v>51</v>
      </c>
      <c r="M1157" s="107" t="s">
        <v>52</v>
      </c>
    </row>
    <row r="1158" spans="1:13" ht="16">
      <c r="A1158" s="101" t="str">
        <f t="shared" si="0"/>
        <v>OK</v>
      </c>
      <c r="B1158" s="49">
        <v>3720155</v>
      </c>
      <c r="C1158" s="49" t="s">
        <v>1288</v>
      </c>
      <c r="D1158" s="49" t="s">
        <v>7</v>
      </c>
      <c r="E1158" s="50">
        <v>2.1000000000000001E-2</v>
      </c>
      <c r="F1158" s="108">
        <v>0</v>
      </c>
      <c r="G1158" s="51">
        <v>43922</v>
      </c>
      <c r="H1158" s="46">
        <v>0</v>
      </c>
      <c r="I1158" s="49" t="str">
        <f ca="1"/>
        <v>渋谷 雄大</v>
      </c>
      <c r="J1158" s="109" t="s">
        <v>918</v>
      </c>
      <c r="K1158" s="49" t="s">
        <v>50</v>
      </c>
      <c r="L1158" s="100" t="s">
        <v>51</v>
      </c>
      <c r="M1158" s="107" t="s">
        <v>52</v>
      </c>
    </row>
    <row r="1159" spans="1:13" ht="16">
      <c r="A1159" s="101" t="str">
        <f t="shared" si="0"/>
        <v>OK</v>
      </c>
      <c r="B1159" s="49">
        <v>3720157</v>
      </c>
      <c r="C1159" s="49" t="s">
        <v>1289</v>
      </c>
      <c r="D1159" s="49" t="s">
        <v>7</v>
      </c>
      <c r="E1159" s="50">
        <v>2.1000000000000001E-2</v>
      </c>
      <c r="F1159" s="108">
        <v>0</v>
      </c>
      <c r="G1159" s="51">
        <v>43922</v>
      </c>
      <c r="H1159" s="46">
        <v>0</v>
      </c>
      <c r="I1159" s="49" t="str">
        <f ca="1"/>
        <v>渋谷 雄大</v>
      </c>
      <c r="J1159" s="109" t="s">
        <v>918</v>
      </c>
      <c r="K1159" s="49" t="s">
        <v>50</v>
      </c>
      <c r="L1159" s="100" t="s">
        <v>51</v>
      </c>
      <c r="M1159" s="107" t="s">
        <v>52</v>
      </c>
    </row>
    <row r="1160" spans="1:13" ht="16">
      <c r="A1160" s="101" t="str">
        <f t="shared" si="0"/>
        <v>OK</v>
      </c>
      <c r="B1160" s="49">
        <v>3720159</v>
      </c>
      <c r="C1160" s="49" t="s">
        <v>1290</v>
      </c>
      <c r="D1160" s="49" t="s">
        <v>7</v>
      </c>
      <c r="E1160" s="50">
        <v>2.1000000000000001E-2</v>
      </c>
      <c r="F1160" s="108">
        <v>0</v>
      </c>
      <c r="G1160" s="51">
        <v>43922</v>
      </c>
      <c r="H1160" s="46">
        <v>0</v>
      </c>
      <c r="I1160" s="49" t="str">
        <f ca="1"/>
        <v>渋谷 雄大</v>
      </c>
      <c r="J1160" s="109" t="s">
        <v>918</v>
      </c>
      <c r="K1160" s="49" t="s">
        <v>50</v>
      </c>
      <c r="L1160" s="100" t="s">
        <v>51</v>
      </c>
      <c r="M1160" s="107" t="s">
        <v>52</v>
      </c>
    </row>
    <row r="1161" spans="1:13" ht="16">
      <c r="A1161" s="101" t="str">
        <f t="shared" si="0"/>
        <v>OK</v>
      </c>
      <c r="B1161" s="49">
        <v>3720162</v>
      </c>
      <c r="C1161" s="49" t="s">
        <v>1291</v>
      </c>
      <c r="D1161" s="49" t="s">
        <v>7</v>
      </c>
      <c r="E1161" s="50">
        <v>2.1000000000000001E-2</v>
      </c>
      <c r="F1161" s="108">
        <v>0</v>
      </c>
      <c r="G1161" s="51">
        <v>43922</v>
      </c>
      <c r="H1161" s="46">
        <v>0</v>
      </c>
      <c r="I1161" s="49" t="str">
        <f ca="1"/>
        <v>渋谷 雄大</v>
      </c>
      <c r="J1161" s="109" t="s">
        <v>918</v>
      </c>
      <c r="K1161" s="49" t="s">
        <v>50</v>
      </c>
      <c r="L1161" s="100" t="s">
        <v>51</v>
      </c>
      <c r="M1161" s="107" t="s">
        <v>52</v>
      </c>
    </row>
    <row r="1162" spans="1:13" ht="16">
      <c r="A1162" s="101" t="str">
        <f t="shared" si="0"/>
        <v>OK</v>
      </c>
      <c r="B1162" s="49">
        <v>3720164</v>
      </c>
      <c r="C1162" s="49" t="s">
        <v>1292</v>
      </c>
      <c r="D1162" s="49" t="s">
        <v>7</v>
      </c>
      <c r="E1162" s="50">
        <v>2.1000000000000001E-2</v>
      </c>
      <c r="F1162" s="108">
        <v>0</v>
      </c>
      <c r="G1162" s="51">
        <v>43922</v>
      </c>
      <c r="H1162" s="46">
        <v>0</v>
      </c>
      <c r="I1162" s="49" t="str">
        <f ca="1"/>
        <v>渋谷 雄大</v>
      </c>
      <c r="J1162" s="109" t="s">
        <v>918</v>
      </c>
      <c r="K1162" s="49" t="s">
        <v>50</v>
      </c>
      <c r="L1162" s="100" t="s">
        <v>51</v>
      </c>
      <c r="M1162" s="107" t="s">
        <v>52</v>
      </c>
    </row>
    <row r="1163" spans="1:13" ht="16">
      <c r="A1163" s="101" t="str">
        <f t="shared" si="0"/>
        <v>OK</v>
      </c>
      <c r="B1163" s="49">
        <v>3720165</v>
      </c>
      <c r="C1163" s="49" t="s">
        <v>1293</v>
      </c>
      <c r="D1163" s="49" t="s">
        <v>7</v>
      </c>
      <c r="E1163" s="50">
        <v>2.1000000000000001E-2</v>
      </c>
      <c r="F1163" s="108">
        <v>0</v>
      </c>
      <c r="G1163" s="51">
        <v>43922</v>
      </c>
      <c r="H1163" s="46">
        <v>0</v>
      </c>
      <c r="I1163" s="49" t="str">
        <f ca="1"/>
        <v>渋谷 雄大</v>
      </c>
      <c r="J1163" s="109" t="s">
        <v>918</v>
      </c>
      <c r="K1163" s="49" t="s">
        <v>50</v>
      </c>
      <c r="L1163" s="100" t="s">
        <v>51</v>
      </c>
      <c r="M1163" s="107" t="s">
        <v>52</v>
      </c>
    </row>
    <row r="1164" spans="1:13" ht="16">
      <c r="A1164" s="101" t="str">
        <f t="shared" si="0"/>
        <v>OK</v>
      </c>
      <c r="B1164" s="49">
        <v>3720166</v>
      </c>
      <c r="C1164" s="49" t="s">
        <v>1294</v>
      </c>
      <c r="D1164" s="49" t="s">
        <v>7</v>
      </c>
      <c r="E1164" s="50">
        <v>2.1000000000000001E-2</v>
      </c>
      <c r="F1164" s="108">
        <v>0</v>
      </c>
      <c r="G1164" s="51">
        <v>43922</v>
      </c>
      <c r="H1164" s="46">
        <v>0</v>
      </c>
      <c r="I1164" s="49" t="str">
        <f ca="1"/>
        <v>渋谷 雄大</v>
      </c>
      <c r="J1164" s="109" t="s">
        <v>918</v>
      </c>
      <c r="K1164" s="49" t="s">
        <v>50</v>
      </c>
      <c r="L1164" s="100" t="s">
        <v>51</v>
      </c>
      <c r="M1164" s="107" t="s">
        <v>52</v>
      </c>
    </row>
    <row r="1165" spans="1:13" ht="16">
      <c r="A1165" s="101" t="str">
        <f t="shared" si="0"/>
        <v>OK</v>
      </c>
      <c r="B1165" s="49">
        <v>3720167</v>
      </c>
      <c r="C1165" s="49" t="s">
        <v>1295</v>
      </c>
      <c r="D1165" s="49" t="s">
        <v>7</v>
      </c>
      <c r="E1165" s="50">
        <v>2.1000000000000001E-2</v>
      </c>
      <c r="F1165" s="108">
        <v>0</v>
      </c>
      <c r="G1165" s="51">
        <v>43922</v>
      </c>
      <c r="H1165" s="46">
        <v>0</v>
      </c>
      <c r="I1165" s="49" t="str">
        <f ca="1"/>
        <v>渋谷 雄大</v>
      </c>
      <c r="J1165" s="109" t="s">
        <v>918</v>
      </c>
      <c r="K1165" s="49" t="s">
        <v>50</v>
      </c>
      <c r="L1165" s="100" t="s">
        <v>51</v>
      </c>
      <c r="M1165" s="107" t="s">
        <v>52</v>
      </c>
    </row>
    <row r="1166" spans="1:13" ht="16">
      <c r="A1166" s="101" t="str">
        <f t="shared" si="0"/>
        <v>OK</v>
      </c>
      <c r="B1166" s="49">
        <v>3720168</v>
      </c>
      <c r="C1166" s="49" t="s">
        <v>1296</v>
      </c>
      <c r="D1166" s="49" t="s">
        <v>7</v>
      </c>
      <c r="E1166" s="50">
        <v>2.1000000000000001E-2</v>
      </c>
      <c r="F1166" s="108">
        <v>0</v>
      </c>
      <c r="G1166" s="51">
        <v>43922</v>
      </c>
      <c r="H1166" s="46">
        <v>0</v>
      </c>
      <c r="I1166" s="49" t="str">
        <f ca="1"/>
        <v>渋谷 雄大</v>
      </c>
      <c r="J1166" s="109" t="s">
        <v>918</v>
      </c>
      <c r="K1166" s="49" t="s">
        <v>50</v>
      </c>
      <c r="L1166" s="100" t="s">
        <v>51</v>
      </c>
      <c r="M1166" s="107" t="s">
        <v>52</v>
      </c>
    </row>
    <row r="1167" spans="1:13" ht="16">
      <c r="A1167" s="101" t="str">
        <f t="shared" si="0"/>
        <v>OK</v>
      </c>
      <c r="B1167" s="49">
        <v>3720169</v>
      </c>
      <c r="C1167" s="49" t="s">
        <v>1297</v>
      </c>
      <c r="D1167" s="49" t="s">
        <v>7</v>
      </c>
      <c r="E1167" s="50">
        <v>2.1000000000000001E-2</v>
      </c>
      <c r="F1167" s="108">
        <v>0</v>
      </c>
      <c r="G1167" s="51">
        <v>43922</v>
      </c>
      <c r="H1167" s="46">
        <v>0</v>
      </c>
      <c r="I1167" s="49" t="str">
        <f ca="1"/>
        <v>渋谷 雄大</v>
      </c>
      <c r="J1167" s="109" t="s">
        <v>918</v>
      </c>
      <c r="K1167" s="49" t="s">
        <v>50</v>
      </c>
      <c r="L1167" s="100" t="s">
        <v>51</v>
      </c>
      <c r="M1167" s="107" t="s">
        <v>52</v>
      </c>
    </row>
    <row r="1168" spans="1:13" ht="16">
      <c r="A1168" s="101" t="str">
        <f t="shared" si="0"/>
        <v>OK</v>
      </c>
      <c r="B1168" s="49">
        <v>3720170</v>
      </c>
      <c r="C1168" s="49" t="s">
        <v>1298</v>
      </c>
      <c r="D1168" s="49" t="s">
        <v>7</v>
      </c>
      <c r="E1168" s="50">
        <v>2.1000000000000001E-2</v>
      </c>
      <c r="F1168" s="108">
        <v>0</v>
      </c>
      <c r="G1168" s="51">
        <v>43922</v>
      </c>
      <c r="H1168" s="46">
        <v>0</v>
      </c>
      <c r="I1168" s="49" t="str">
        <f ca="1"/>
        <v>渋谷 雄大</v>
      </c>
      <c r="J1168" s="109" t="s">
        <v>918</v>
      </c>
      <c r="K1168" s="49" t="s">
        <v>50</v>
      </c>
      <c r="L1168" s="100" t="s">
        <v>51</v>
      </c>
      <c r="M1168" s="107" t="s">
        <v>52</v>
      </c>
    </row>
    <row r="1169" spans="1:13" ht="16">
      <c r="A1169" s="101" t="str">
        <f t="shared" si="0"/>
        <v>OK</v>
      </c>
      <c r="B1169" s="49">
        <v>3720171</v>
      </c>
      <c r="C1169" s="49" t="s">
        <v>1299</v>
      </c>
      <c r="D1169" s="49" t="s">
        <v>7</v>
      </c>
      <c r="E1169" s="50">
        <v>2.1000000000000001E-2</v>
      </c>
      <c r="F1169" s="108">
        <v>0</v>
      </c>
      <c r="G1169" s="51">
        <v>43922</v>
      </c>
      <c r="H1169" s="46">
        <v>0</v>
      </c>
      <c r="I1169" s="49" t="str">
        <f ca="1"/>
        <v>渋谷 雄大</v>
      </c>
      <c r="J1169" s="109" t="s">
        <v>918</v>
      </c>
      <c r="K1169" s="49" t="s">
        <v>50</v>
      </c>
      <c r="L1169" s="100" t="s">
        <v>51</v>
      </c>
      <c r="M1169" s="107" t="s">
        <v>52</v>
      </c>
    </row>
    <row r="1170" spans="1:13" ht="16">
      <c r="A1170" s="101" t="str">
        <f t="shared" si="0"/>
        <v>OK</v>
      </c>
      <c r="B1170" s="49">
        <v>3720172</v>
      </c>
      <c r="C1170" s="49" t="s">
        <v>1300</v>
      </c>
      <c r="D1170" s="49" t="s">
        <v>7</v>
      </c>
      <c r="E1170" s="50">
        <v>2.1000000000000001E-2</v>
      </c>
      <c r="F1170" s="108">
        <v>0</v>
      </c>
      <c r="G1170" s="51">
        <v>43922</v>
      </c>
      <c r="H1170" s="46">
        <v>0</v>
      </c>
      <c r="I1170" s="49" t="str">
        <f ca="1"/>
        <v>渋谷 雄大</v>
      </c>
      <c r="J1170" s="109" t="s">
        <v>918</v>
      </c>
      <c r="K1170" s="49" t="s">
        <v>50</v>
      </c>
      <c r="L1170" s="100" t="s">
        <v>51</v>
      </c>
      <c r="M1170" s="107" t="s">
        <v>52</v>
      </c>
    </row>
    <row r="1171" spans="1:13" ht="16">
      <c r="A1171" s="101" t="str">
        <f t="shared" si="0"/>
        <v>OK</v>
      </c>
      <c r="B1171" s="49">
        <v>3720173</v>
      </c>
      <c r="C1171" s="49" t="s">
        <v>1301</v>
      </c>
      <c r="D1171" s="49" t="s">
        <v>7</v>
      </c>
      <c r="E1171" s="50">
        <v>2.1000000000000001E-2</v>
      </c>
      <c r="F1171" s="108">
        <v>0</v>
      </c>
      <c r="G1171" s="51">
        <v>43922</v>
      </c>
      <c r="H1171" s="46">
        <v>0</v>
      </c>
      <c r="I1171" s="49" t="str">
        <f ca="1"/>
        <v>渋谷 雄大</v>
      </c>
      <c r="J1171" s="109" t="s">
        <v>918</v>
      </c>
      <c r="K1171" s="49" t="s">
        <v>50</v>
      </c>
      <c r="L1171" s="100" t="s">
        <v>51</v>
      </c>
      <c r="M1171" s="107" t="s">
        <v>52</v>
      </c>
    </row>
    <row r="1172" spans="1:13" ht="16">
      <c r="A1172" s="101" t="str">
        <f t="shared" si="0"/>
        <v>OK</v>
      </c>
      <c r="B1172" s="49">
        <v>3720174</v>
      </c>
      <c r="C1172" s="49" t="s">
        <v>1302</v>
      </c>
      <c r="D1172" s="49" t="s">
        <v>7</v>
      </c>
      <c r="E1172" s="50">
        <v>2.1000000000000001E-2</v>
      </c>
      <c r="F1172" s="108">
        <v>0</v>
      </c>
      <c r="G1172" s="51">
        <v>43922</v>
      </c>
      <c r="H1172" s="46">
        <v>0</v>
      </c>
      <c r="I1172" s="49" t="str">
        <f ca="1"/>
        <v>渋谷 雄大</v>
      </c>
      <c r="J1172" s="109" t="s">
        <v>918</v>
      </c>
      <c r="K1172" s="49" t="s">
        <v>50</v>
      </c>
      <c r="L1172" s="100" t="s">
        <v>51</v>
      </c>
      <c r="M1172" s="107" t="s">
        <v>52</v>
      </c>
    </row>
    <row r="1173" spans="1:13" ht="16">
      <c r="A1173" s="101" t="str">
        <f t="shared" si="0"/>
        <v>OK</v>
      </c>
      <c r="B1173" s="49">
        <v>3720176</v>
      </c>
      <c r="C1173" s="49" t="s">
        <v>1303</v>
      </c>
      <c r="D1173" s="49" t="s">
        <v>7</v>
      </c>
      <c r="E1173" s="50">
        <v>2.1000000000000001E-2</v>
      </c>
      <c r="F1173" s="108">
        <v>0</v>
      </c>
      <c r="G1173" s="51">
        <v>43922</v>
      </c>
      <c r="H1173" s="46">
        <v>0</v>
      </c>
      <c r="I1173" s="49" t="str">
        <f ca="1"/>
        <v>渋谷 雄大</v>
      </c>
      <c r="J1173" s="109" t="s">
        <v>918</v>
      </c>
      <c r="K1173" s="49" t="s">
        <v>50</v>
      </c>
      <c r="L1173" s="100" t="s">
        <v>51</v>
      </c>
      <c r="M1173" s="107" t="s">
        <v>52</v>
      </c>
    </row>
    <row r="1174" spans="1:13" ht="16">
      <c r="A1174" s="101" t="str">
        <f t="shared" si="0"/>
        <v>OK</v>
      </c>
      <c r="B1174" s="49">
        <v>3720178</v>
      </c>
      <c r="C1174" s="49" t="s">
        <v>1304</v>
      </c>
      <c r="D1174" s="49" t="s">
        <v>7</v>
      </c>
      <c r="E1174" s="50">
        <v>2.1000000000000001E-2</v>
      </c>
      <c r="F1174" s="108">
        <v>0</v>
      </c>
      <c r="G1174" s="51">
        <v>43922</v>
      </c>
      <c r="H1174" s="46">
        <v>0</v>
      </c>
      <c r="I1174" s="49" t="str">
        <f ca="1"/>
        <v>渋谷 雄大</v>
      </c>
      <c r="J1174" s="109" t="s">
        <v>918</v>
      </c>
      <c r="K1174" s="49" t="s">
        <v>50</v>
      </c>
      <c r="L1174" s="100" t="s">
        <v>51</v>
      </c>
      <c r="M1174" s="107" t="s">
        <v>52</v>
      </c>
    </row>
    <row r="1175" spans="1:13" ht="16">
      <c r="A1175" s="101" t="str">
        <f t="shared" si="0"/>
        <v>OK</v>
      </c>
      <c r="B1175" s="49">
        <v>3720179</v>
      </c>
      <c r="C1175" s="49" t="s">
        <v>1305</v>
      </c>
      <c r="D1175" s="49" t="s">
        <v>7</v>
      </c>
      <c r="E1175" s="50">
        <v>2.1000000000000001E-2</v>
      </c>
      <c r="F1175" s="108">
        <v>0</v>
      </c>
      <c r="G1175" s="51">
        <v>43922</v>
      </c>
      <c r="H1175" s="46">
        <v>0</v>
      </c>
      <c r="I1175" s="49" t="str">
        <f ca="1"/>
        <v>渋谷 雄大</v>
      </c>
      <c r="J1175" s="109" t="s">
        <v>918</v>
      </c>
      <c r="K1175" s="49" t="s">
        <v>50</v>
      </c>
      <c r="L1175" s="100" t="s">
        <v>51</v>
      </c>
      <c r="M1175" s="107" t="s">
        <v>52</v>
      </c>
    </row>
    <row r="1176" spans="1:13" ht="16">
      <c r="A1176" s="101" t="str">
        <f t="shared" si="0"/>
        <v>OK</v>
      </c>
      <c r="B1176" s="49">
        <v>3720180</v>
      </c>
      <c r="C1176" s="49" t="s">
        <v>1306</v>
      </c>
      <c r="D1176" s="49" t="s">
        <v>7</v>
      </c>
      <c r="E1176" s="50">
        <v>2.1000000000000001E-2</v>
      </c>
      <c r="F1176" s="108">
        <v>0</v>
      </c>
      <c r="G1176" s="51">
        <v>43922</v>
      </c>
      <c r="H1176" s="46">
        <v>0</v>
      </c>
      <c r="I1176" s="49" t="str">
        <f ca="1"/>
        <v>渋谷 雄大</v>
      </c>
      <c r="J1176" s="109" t="s">
        <v>918</v>
      </c>
      <c r="K1176" s="49" t="s">
        <v>50</v>
      </c>
      <c r="L1176" s="100" t="s">
        <v>51</v>
      </c>
      <c r="M1176" s="107" t="s">
        <v>52</v>
      </c>
    </row>
    <row r="1177" spans="1:13" ht="16">
      <c r="A1177" s="101" t="str">
        <f t="shared" si="0"/>
        <v>OK</v>
      </c>
      <c r="B1177" s="49">
        <v>3720183</v>
      </c>
      <c r="C1177" s="49" t="s">
        <v>1307</v>
      </c>
      <c r="D1177" s="49" t="s">
        <v>7</v>
      </c>
      <c r="E1177" s="50">
        <v>2.1000000000000001E-2</v>
      </c>
      <c r="F1177" s="108">
        <v>0</v>
      </c>
      <c r="G1177" s="51">
        <v>43922</v>
      </c>
      <c r="H1177" s="46">
        <v>0</v>
      </c>
      <c r="I1177" s="49" t="str">
        <f ca="1"/>
        <v>渋谷 雄大</v>
      </c>
      <c r="J1177" s="109" t="s">
        <v>918</v>
      </c>
      <c r="K1177" s="49" t="s">
        <v>50</v>
      </c>
      <c r="L1177" s="100" t="s">
        <v>51</v>
      </c>
      <c r="M1177" s="107" t="s">
        <v>52</v>
      </c>
    </row>
    <row r="1178" spans="1:13" ht="16">
      <c r="A1178" s="101" t="str">
        <f t="shared" si="0"/>
        <v>OK</v>
      </c>
      <c r="B1178" s="49">
        <v>3720184</v>
      </c>
      <c r="C1178" s="49" t="s">
        <v>1308</v>
      </c>
      <c r="D1178" s="49" t="s">
        <v>7</v>
      </c>
      <c r="E1178" s="50">
        <v>2.1000000000000001E-2</v>
      </c>
      <c r="F1178" s="108">
        <v>0</v>
      </c>
      <c r="G1178" s="51">
        <v>43922</v>
      </c>
      <c r="H1178" s="46">
        <v>0</v>
      </c>
      <c r="I1178" s="49" t="str">
        <f ca="1"/>
        <v>渋谷 雄大</v>
      </c>
      <c r="J1178" s="109" t="s">
        <v>918</v>
      </c>
      <c r="K1178" s="49" t="s">
        <v>50</v>
      </c>
      <c r="L1178" s="100" t="s">
        <v>51</v>
      </c>
      <c r="M1178" s="107" t="s">
        <v>52</v>
      </c>
    </row>
    <row r="1179" spans="1:13" ht="16">
      <c r="A1179" s="101" t="str">
        <f t="shared" si="0"/>
        <v>OK</v>
      </c>
      <c r="B1179" s="49">
        <v>3720185</v>
      </c>
      <c r="C1179" s="49" t="s">
        <v>1309</v>
      </c>
      <c r="D1179" s="49" t="s">
        <v>7</v>
      </c>
      <c r="E1179" s="50">
        <v>2.1000000000000001E-2</v>
      </c>
      <c r="F1179" s="108">
        <v>0</v>
      </c>
      <c r="G1179" s="51">
        <v>43922</v>
      </c>
      <c r="H1179" s="46">
        <v>0</v>
      </c>
      <c r="I1179" s="49" t="str">
        <f ca="1"/>
        <v>渋谷 雄大</v>
      </c>
      <c r="J1179" s="109" t="s">
        <v>918</v>
      </c>
      <c r="K1179" s="49" t="s">
        <v>50</v>
      </c>
      <c r="L1179" s="100" t="s">
        <v>51</v>
      </c>
      <c r="M1179" s="107" t="s">
        <v>52</v>
      </c>
    </row>
    <row r="1180" spans="1:13" ht="16">
      <c r="A1180" s="101" t="str">
        <f t="shared" si="0"/>
        <v>OK</v>
      </c>
      <c r="B1180" s="49">
        <v>3720186</v>
      </c>
      <c r="C1180" s="49" t="s">
        <v>1310</v>
      </c>
      <c r="D1180" s="49" t="s">
        <v>7</v>
      </c>
      <c r="E1180" s="50">
        <v>2.1000000000000001E-2</v>
      </c>
      <c r="F1180" s="108">
        <v>0</v>
      </c>
      <c r="G1180" s="51">
        <v>43922</v>
      </c>
      <c r="H1180" s="46">
        <v>0</v>
      </c>
      <c r="I1180" s="49" t="str">
        <f ca="1"/>
        <v>渋谷 雄大</v>
      </c>
      <c r="J1180" s="109" t="s">
        <v>918</v>
      </c>
      <c r="K1180" s="49" t="s">
        <v>50</v>
      </c>
      <c r="L1180" s="100" t="s">
        <v>51</v>
      </c>
      <c r="M1180" s="107" t="s">
        <v>52</v>
      </c>
    </row>
    <row r="1181" spans="1:13" ht="16">
      <c r="A1181" s="101" t="str">
        <f t="shared" si="0"/>
        <v>OK</v>
      </c>
      <c r="B1181" s="49">
        <v>3720187</v>
      </c>
      <c r="C1181" s="49" t="s">
        <v>1311</v>
      </c>
      <c r="D1181" s="49" t="s">
        <v>7</v>
      </c>
      <c r="E1181" s="50">
        <v>2.1000000000000001E-2</v>
      </c>
      <c r="F1181" s="108">
        <v>0</v>
      </c>
      <c r="G1181" s="51">
        <v>43922</v>
      </c>
      <c r="H1181" s="46">
        <v>0</v>
      </c>
      <c r="I1181" s="49" t="str">
        <f ca="1"/>
        <v>渋谷 雄大</v>
      </c>
      <c r="J1181" s="109" t="s">
        <v>918</v>
      </c>
      <c r="K1181" s="49" t="s">
        <v>50</v>
      </c>
      <c r="L1181" s="100" t="s">
        <v>51</v>
      </c>
      <c r="M1181" s="107" t="s">
        <v>52</v>
      </c>
    </row>
    <row r="1182" spans="1:13" ht="16">
      <c r="A1182" s="101" t="str">
        <f t="shared" si="0"/>
        <v>OK</v>
      </c>
      <c r="B1182" s="49">
        <v>3720191</v>
      </c>
      <c r="C1182" s="49" t="s">
        <v>1312</v>
      </c>
      <c r="D1182" s="49" t="s">
        <v>7</v>
      </c>
      <c r="E1182" s="50">
        <v>2.1000000000000001E-2</v>
      </c>
      <c r="F1182" s="108">
        <v>0</v>
      </c>
      <c r="G1182" s="51">
        <v>43922</v>
      </c>
      <c r="H1182" s="46">
        <v>0</v>
      </c>
      <c r="I1182" s="49" t="str">
        <f ca="1"/>
        <v>渋谷 雄大</v>
      </c>
      <c r="J1182" s="109" t="s">
        <v>918</v>
      </c>
      <c r="K1182" s="49" t="s">
        <v>50</v>
      </c>
      <c r="L1182" s="100" t="s">
        <v>51</v>
      </c>
      <c r="M1182" s="107" t="s">
        <v>52</v>
      </c>
    </row>
    <row r="1183" spans="1:13" ht="16">
      <c r="A1183" s="101" t="str">
        <f t="shared" si="0"/>
        <v>OK</v>
      </c>
      <c r="B1183" s="49">
        <v>3720195</v>
      </c>
      <c r="C1183" s="49" t="s">
        <v>1313</v>
      </c>
      <c r="D1183" s="49" t="s">
        <v>7</v>
      </c>
      <c r="E1183" s="50">
        <v>2.1000000000000001E-2</v>
      </c>
      <c r="F1183" s="108">
        <v>0</v>
      </c>
      <c r="G1183" s="51">
        <v>43922</v>
      </c>
      <c r="H1183" s="46">
        <v>0</v>
      </c>
      <c r="I1183" s="49" t="str">
        <f ca="1"/>
        <v>渋谷 雄大</v>
      </c>
      <c r="J1183" s="109" t="s">
        <v>918</v>
      </c>
      <c r="K1183" s="49" t="s">
        <v>50</v>
      </c>
      <c r="L1183" s="100" t="s">
        <v>51</v>
      </c>
      <c r="M1183" s="107" t="s">
        <v>52</v>
      </c>
    </row>
    <row r="1184" spans="1:13" ht="16">
      <c r="A1184" s="101" t="str">
        <f t="shared" si="0"/>
        <v>OK</v>
      </c>
      <c r="B1184" s="49">
        <v>3720196</v>
      </c>
      <c r="C1184" s="49" t="s">
        <v>1314</v>
      </c>
      <c r="D1184" s="49" t="s">
        <v>7</v>
      </c>
      <c r="E1184" s="50">
        <v>2.1000000000000001E-2</v>
      </c>
      <c r="F1184" s="108">
        <v>0</v>
      </c>
      <c r="G1184" s="51">
        <v>43922</v>
      </c>
      <c r="H1184" s="46">
        <v>0</v>
      </c>
      <c r="I1184" s="49" t="str">
        <f ca="1"/>
        <v>渋谷 雄大</v>
      </c>
      <c r="J1184" s="109" t="s">
        <v>918</v>
      </c>
      <c r="K1184" s="49" t="s">
        <v>50</v>
      </c>
      <c r="L1184" s="100" t="s">
        <v>51</v>
      </c>
      <c r="M1184" s="107" t="s">
        <v>52</v>
      </c>
    </row>
    <row r="1185" spans="1:13" ht="16">
      <c r="A1185" s="101" t="str">
        <f t="shared" si="0"/>
        <v>OK</v>
      </c>
      <c r="B1185" s="49">
        <v>3720197</v>
      </c>
      <c r="C1185" s="49" t="s">
        <v>1315</v>
      </c>
      <c r="D1185" s="49" t="s">
        <v>7</v>
      </c>
      <c r="E1185" s="50">
        <v>2.1000000000000001E-2</v>
      </c>
      <c r="F1185" s="108">
        <v>0</v>
      </c>
      <c r="G1185" s="51">
        <v>43922</v>
      </c>
      <c r="H1185" s="46">
        <v>0</v>
      </c>
      <c r="I1185" s="49" t="str">
        <f ca="1"/>
        <v>渋谷 雄大</v>
      </c>
      <c r="J1185" s="109" t="s">
        <v>918</v>
      </c>
      <c r="K1185" s="49" t="s">
        <v>50</v>
      </c>
      <c r="L1185" s="100" t="s">
        <v>51</v>
      </c>
      <c r="M1185" s="107" t="s">
        <v>52</v>
      </c>
    </row>
    <row r="1186" spans="1:13" ht="16">
      <c r="A1186" s="101" t="str">
        <f t="shared" si="0"/>
        <v>OK</v>
      </c>
      <c r="B1186" s="49">
        <v>3720198</v>
      </c>
      <c r="C1186" s="49" t="s">
        <v>1316</v>
      </c>
      <c r="D1186" s="49" t="s">
        <v>7</v>
      </c>
      <c r="E1186" s="50">
        <v>2.1000000000000001E-2</v>
      </c>
      <c r="F1186" s="108">
        <v>0</v>
      </c>
      <c r="G1186" s="51">
        <v>43922</v>
      </c>
      <c r="H1186" s="46">
        <v>0</v>
      </c>
      <c r="I1186" s="49" t="str">
        <f ca="1"/>
        <v>渋谷 雄大</v>
      </c>
      <c r="J1186" s="109" t="s">
        <v>918</v>
      </c>
      <c r="K1186" s="49" t="s">
        <v>50</v>
      </c>
      <c r="L1186" s="100" t="s">
        <v>51</v>
      </c>
      <c r="M1186" s="107" t="s">
        <v>52</v>
      </c>
    </row>
    <row r="1187" spans="1:13" ht="16">
      <c r="A1187" s="101" t="str">
        <f t="shared" si="0"/>
        <v>OK</v>
      </c>
      <c r="B1187" s="49">
        <v>3720199</v>
      </c>
      <c r="C1187" s="49" t="s">
        <v>1317</v>
      </c>
      <c r="D1187" s="49" t="s">
        <v>7</v>
      </c>
      <c r="E1187" s="50">
        <v>2.1000000000000001E-2</v>
      </c>
      <c r="F1187" s="108">
        <v>0</v>
      </c>
      <c r="G1187" s="51">
        <v>43922</v>
      </c>
      <c r="H1187" s="46">
        <v>0</v>
      </c>
      <c r="I1187" s="49" t="str">
        <f ca="1"/>
        <v>渋谷 雄大</v>
      </c>
      <c r="J1187" s="109" t="s">
        <v>918</v>
      </c>
      <c r="K1187" s="49" t="s">
        <v>50</v>
      </c>
      <c r="L1187" s="100" t="s">
        <v>51</v>
      </c>
      <c r="M1187" s="107" t="s">
        <v>52</v>
      </c>
    </row>
    <row r="1188" spans="1:13" ht="16">
      <c r="A1188" s="101" t="str">
        <f t="shared" si="0"/>
        <v>OK</v>
      </c>
      <c r="B1188" s="49">
        <v>3720214</v>
      </c>
      <c r="C1188" s="49" t="s">
        <v>1318</v>
      </c>
      <c r="D1188" s="49" t="s">
        <v>7</v>
      </c>
      <c r="E1188" s="50">
        <v>2.1000000000000001E-2</v>
      </c>
      <c r="F1188" s="108">
        <v>0</v>
      </c>
      <c r="G1188" s="51">
        <v>43922</v>
      </c>
      <c r="H1188" s="46">
        <v>0</v>
      </c>
      <c r="I1188" s="49" t="str">
        <f ca="1"/>
        <v>渋谷 雄大</v>
      </c>
      <c r="J1188" s="109" t="s">
        <v>918</v>
      </c>
      <c r="K1188" s="49" t="s">
        <v>50</v>
      </c>
      <c r="L1188" s="100" t="s">
        <v>51</v>
      </c>
      <c r="M1188" s="107" t="s">
        <v>52</v>
      </c>
    </row>
    <row r="1189" spans="1:13" ht="16">
      <c r="A1189" s="101" t="str">
        <f t="shared" si="0"/>
        <v>OK</v>
      </c>
      <c r="B1189" s="49">
        <v>3720215</v>
      </c>
      <c r="C1189" s="49" t="s">
        <v>1319</v>
      </c>
      <c r="D1189" s="49" t="s">
        <v>7</v>
      </c>
      <c r="E1189" s="50">
        <v>2.1000000000000001E-2</v>
      </c>
      <c r="F1189" s="108">
        <v>0</v>
      </c>
      <c r="G1189" s="51">
        <v>43922</v>
      </c>
      <c r="H1189" s="46">
        <v>0</v>
      </c>
      <c r="I1189" s="49" t="str">
        <f ca="1"/>
        <v>渋谷 雄大</v>
      </c>
      <c r="J1189" s="109" t="s">
        <v>918</v>
      </c>
      <c r="K1189" s="49" t="s">
        <v>50</v>
      </c>
      <c r="L1189" s="100" t="s">
        <v>51</v>
      </c>
      <c r="M1189" s="107" t="s">
        <v>52</v>
      </c>
    </row>
    <row r="1190" spans="1:13" ht="16">
      <c r="A1190" s="101" t="str">
        <f t="shared" si="0"/>
        <v>OK</v>
      </c>
      <c r="B1190" s="49">
        <v>3720218</v>
      </c>
      <c r="C1190" s="49" t="s">
        <v>1320</v>
      </c>
      <c r="D1190" s="49" t="s">
        <v>7</v>
      </c>
      <c r="E1190" s="50">
        <v>2.1000000000000001E-2</v>
      </c>
      <c r="F1190" s="108">
        <v>0</v>
      </c>
      <c r="G1190" s="51">
        <v>43922</v>
      </c>
      <c r="H1190" s="46">
        <v>0</v>
      </c>
      <c r="I1190" s="49" t="str">
        <f ca="1"/>
        <v>渋谷 雄大</v>
      </c>
      <c r="J1190" s="109" t="s">
        <v>918</v>
      </c>
      <c r="K1190" s="49" t="s">
        <v>50</v>
      </c>
      <c r="L1190" s="100" t="s">
        <v>51</v>
      </c>
      <c r="M1190" s="107" t="s">
        <v>52</v>
      </c>
    </row>
    <row r="1191" spans="1:13" ht="16">
      <c r="A1191" s="101" t="str">
        <f t="shared" si="0"/>
        <v>OK</v>
      </c>
      <c r="B1191" s="49">
        <v>3720219</v>
      </c>
      <c r="C1191" s="49" t="s">
        <v>1321</v>
      </c>
      <c r="D1191" s="49" t="s">
        <v>7</v>
      </c>
      <c r="E1191" s="50">
        <v>2.1000000000000001E-2</v>
      </c>
      <c r="F1191" s="108">
        <v>0</v>
      </c>
      <c r="G1191" s="51">
        <v>43922</v>
      </c>
      <c r="H1191" s="46">
        <v>0</v>
      </c>
      <c r="I1191" s="49" t="str">
        <f ca="1"/>
        <v>渋谷 雄大</v>
      </c>
      <c r="J1191" s="109" t="s">
        <v>918</v>
      </c>
      <c r="K1191" s="49" t="s">
        <v>50</v>
      </c>
      <c r="L1191" s="100" t="s">
        <v>51</v>
      </c>
      <c r="M1191" s="107" t="s">
        <v>52</v>
      </c>
    </row>
    <row r="1192" spans="1:13" ht="16">
      <c r="A1192" s="101" t="str">
        <f t="shared" si="0"/>
        <v>OK</v>
      </c>
      <c r="B1192" s="49">
        <v>3720223</v>
      </c>
      <c r="C1192" s="49" t="s">
        <v>1322</v>
      </c>
      <c r="D1192" s="49" t="s">
        <v>7</v>
      </c>
      <c r="E1192" s="50">
        <v>2.1000000000000001E-2</v>
      </c>
      <c r="F1192" s="108">
        <v>0</v>
      </c>
      <c r="G1192" s="51">
        <v>43922</v>
      </c>
      <c r="H1192" s="46">
        <v>0</v>
      </c>
      <c r="I1192" s="49" t="str">
        <f ca="1"/>
        <v>渋谷 雄大</v>
      </c>
      <c r="J1192" s="109" t="s">
        <v>918</v>
      </c>
      <c r="K1192" s="49" t="s">
        <v>50</v>
      </c>
      <c r="L1192" s="100" t="s">
        <v>51</v>
      </c>
      <c r="M1192" s="107" t="s">
        <v>52</v>
      </c>
    </row>
    <row r="1193" spans="1:13" ht="16">
      <c r="A1193" s="101" t="str">
        <f t="shared" si="0"/>
        <v>OK</v>
      </c>
      <c r="B1193" s="49">
        <v>3720224</v>
      </c>
      <c r="C1193" s="49" t="s">
        <v>1323</v>
      </c>
      <c r="D1193" s="49" t="s">
        <v>7</v>
      </c>
      <c r="E1193" s="50">
        <v>2.1000000000000001E-2</v>
      </c>
      <c r="F1193" s="108">
        <v>0</v>
      </c>
      <c r="G1193" s="51">
        <v>43922</v>
      </c>
      <c r="H1193" s="46">
        <v>0</v>
      </c>
      <c r="I1193" s="49" t="str">
        <f ca="1"/>
        <v>渋谷 雄大</v>
      </c>
      <c r="J1193" s="109" t="s">
        <v>918</v>
      </c>
      <c r="K1193" s="49" t="s">
        <v>50</v>
      </c>
      <c r="L1193" s="100" t="s">
        <v>51</v>
      </c>
      <c r="M1193" s="107" t="s">
        <v>52</v>
      </c>
    </row>
    <row r="1194" spans="1:13" ht="16">
      <c r="A1194" s="101" t="str">
        <f t="shared" si="0"/>
        <v>OK</v>
      </c>
      <c r="B1194" s="49">
        <v>125477</v>
      </c>
      <c r="C1194" s="49" t="s">
        <v>1324</v>
      </c>
      <c r="D1194" s="49" t="s">
        <v>7</v>
      </c>
      <c r="E1194" s="50">
        <v>7.0000000000000007E-2</v>
      </c>
      <c r="F1194" s="108">
        <v>141</v>
      </c>
      <c r="G1194" s="51">
        <v>44013</v>
      </c>
      <c r="H1194" s="108">
        <v>141</v>
      </c>
      <c r="I1194" s="49" t="str">
        <f ca="1"/>
        <v>菅野 ぎんが</v>
      </c>
      <c r="J1194" s="109" t="s">
        <v>1325</v>
      </c>
      <c r="K1194" s="49" t="s">
        <v>50</v>
      </c>
      <c r="L1194" s="100" t="s">
        <v>51</v>
      </c>
      <c r="M1194" s="107" t="s">
        <v>52</v>
      </c>
    </row>
    <row r="1195" spans="1:13" ht="16">
      <c r="A1195" s="101" t="str">
        <f t="shared" si="0"/>
        <v>OK</v>
      </c>
      <c r="B1195" s="49">
        <v>125480</v>
      </c>
      <c r="C1195" s="49" t="s">
        <v>1326</v>
      </c>
      <c r="D1195" s="49" t="s">
        <v>7</v>
      </c>
      <c r="E1195" s="50">
        <v>7.0000000000000007E-2</v>
      </c>
      <c r="F1195" s="108">
        <v>93</v>
      </c>
      <c r="G1195" s="51">
        <v>44013</v>
      </c>
      <c r="H1195" s="108">
        <v>93</v>
      </c>
      <c r="I1195" s="49" t="str">
        <f ca="1"/>
        <v>菅野 ぎんが</v>
      </c>
      <c r="J1195" s="109" t="s">
        <v>1325</v>
      </c>
      <c r="K1195" s="49" t="s">
        <v>50</v>
      </c>
      <c r="L1195" s="100" t="s">
        <v>51</v>
      </c>
      <c r="M1195" s="107" t="s">
        <v>52</v>
      </c>
    </row>
    <row r="1196" spans="1:13" ht="16">
      <c r="A1196" s="101" t="str">
        <f t="shared" si="0"/>
        <v>OK</v>
      </c>
      <c r="B1196" s="49">
        <v>125715</v>
      </c>
      <c r="C1196" s="49" t="s">
        <v>1327</v>
      </c>
      <c r="D1196" s="49" t="s">
        <v>7</v>
      </c>
      <c r="E1196" s="50">
        <v>7.0000000000000007E-2</v>
      </c>
      <c r="F1196" s="108">
        <v>123</v>
      </c>
      <c r="G1196" s="51">
        <v>44013</v>
      </c>
      <c r="H1196" s="108">
        <v>123</v>
      </c>
      <c r="I1196" s="49" t="str">
        <f ca="1"/>
        <v>菅野 ぎんが</v>
      </c>
      <c r="J1196" s="109" t="s">
        <v>1325</v>
      </c>
      <c r="K1196" s="49" t="s">
        <v>50</v>
      </c>
      <c r="L1196" s="100" t="s">
        <v>51</v>
      </c>
      <c r="M1196" s="107" t="s">
        <v>52</v>
      </c>
    </row>
    <row r="1197" spans="1:13" ht="16">
      <c r="A1197" s="101" t="str">
        <f t="shared" si="0"/>
        <v>OK</v>
      </c>
      <c r="B1197" s="49">
        <v>132410</v>
      </c>
      <c r="C1197" s="49" t="s">
        <v>1328</v>
      </c>
      <c r="D1197" s="49" t="s">
        <v>7</v>
      </c>
      <c r="E1197" s="50">
        <v>7.0000000000000007E-2</v>
      </c>
      <c r="F1197" s="108">
        <v>41</v>
      </c>
      <c r="G1197" s="51">
        <v>44013</v>
      </c>
      <c r="H1197" s="108">
        <v>41</v>
      </c>
      <c r="I1197" s="49" t="str">
        <f ca="1"/>
        <v>菅野 ぎんが</v>
      </c>
      <c r="J1197" s="109" t="s">
        <v>1325</v>
      </c>
      <c r="K1197" s="49" t="s">
        <v>50</v>
      </c>
      <c r="L1197" s="100" t="s">
        <v>51</v>
      </c>
      <c r="M1197" s="107" t="s">
        <v>52</v>
      </c>
    </row>
    <row r="1198" spans="1:13" ht="16">
      <c r="A1198" s="101" t="str">
        <f t="shared" si="0"/>
        <v>OK</v>
      </c>
      <c r="B1198" s="49">
        <v>135483</v>
      </c>
      <c r="C1198" s="49" t="s">
        <v>1329</v>
      </c>
      <c r="D1198" s="49" t="s">
        <v>7</v>
      </c>
      <c r="E1198" s="50">
        <v>7.0000000000000007E-2</v>
      </c>
      <c r="F1198" s="108">
        <v>41</v>
      </c>
      <c r="G1198" s="51">
        <v>44013</v>
      </c>
      <c r="H1198" s="108">
        <v>41</v>
      </c>
      <c r="I1198" s="49" t="str">
        <f ca="1"/>
        <v>菅野 ぎんが</v>
      </c>
      <c r="J1198" s="109" t="s">
        <v>1325</v>
      </c>
      <c r="K1198" s="49" t="s">
        <v>50</v>
      </c>
      <c r="L1198" s="100" t="s">
        <v>51</v>
      </c>
      <c r="M1198" s="107" t="s">
        <v>52</v>
      </c>
    </row>
    <row r="1199" spans="1:13" ht="16">
      <c r="A1199" s="101" t="str">
        <f t="shared" si="0"/>
        <v>OK</v>
      </c>
      <c r="B1199" s="49">
        <v>138836</v>
      </c>
      <c r="C1199" s="49" t="s">
        <v>1330</v>
      </c>
      <c r="D1199" s="49" t="s">
        <v>7</v>
      </c>
      <c r="E1199" s="50">
        <v>7.0000000000000007E-2</v>
      </c>
      <c r="F1199" s="108">
        <v>59</v>
      </c>
      <c r="G1199" s="51">
        <v>44013</v>
      </c>
      <c r="H1199" s="108">
        <v>59</v>
      </c>
      <c r="I1199" s="49" t="str">
        <f ca="1"/>
        <v>菅野 ぎんが</v>
      </c>
      <c r="J1199" s="109" t="s">
        <v>1325</v>
      </c>
      <c r="K1199" s="49" t="s">
        <v>50</v>
      </c>
      <c r="L1199" s="100" t="s">
        <v>51</v>
      </c>
      <c r="M1199" s="107" t="s">
        <v>52</v>
      </c>
    </row>
    <row r="1200" spans="1:13" ht="16">
      <c r="A1200" s="101" t="str">
        <f t="shared" si="0"/>
        <v>OK</v>
      </c>
      <c r="B1200" s="49">
        <v>139582</v>
      </c>
      <c r="C1200" s="49" t="s">
        <v>1331</v>
      </c>
      <c r="D1200" s="49" t="s">
        <v>7</v>
      </c>
      <c r="E1200" s="50">
        <v>7.0000000000000007E-2</v>
      </c>
      <c r="F1200" s="108">
        <v>24</v>
      </c>
      <c r="G1200" s="51">
        <v>44013</v>
      </c>
      <c r="H1200" s="108">
        <v>24</v>
      </c>
      <c r="I1200" s="49" t="str">
        <f ca="1"/>
        <v>菅野 ぎんが</v>
      </c>
      <c r="J1200" s="109" t="s">
        <v>1325</v>
      </c>
      <c r="K1200" s="49" t="s">
        <v>50</v>
      </c>
      <c r="L1200" s="100" t="s">
        <v>51</v>
      </c>
      <c r="M1200" s="107" t="s">
        <v>52</v>
      </c>
    </row>
    <row r="1201" spans="1:14" ht="16">
      <c r="A1201" s="101" t="str">
        <f t="shared" si="0"/>
        <v>OK</v>
      </c>
      <c r="B1201" s="49">
        <v>140611</v>
      </c>
      <c r="C1201" s="49" t="s">
        <v>1332</v>
      </c>
      <c r="D1201" s="49" t="s">
        <v>7</v>
      </c>
      <c r="E1201" s="50">
        <v>7.0000000000000007E-2</v>
      </c>
      <c r="F1201" s="108">
        <v>37</v>
      </c>
      <c r="G1201" s="51">
        <v>44013</v>
      </c>
      <c r="H1201" s="108">
        <v>37</v>
      </c>
      <c r="I1201" s="49" t="str">
        <f ca="1"/>
        <v>菅野 ぎんが</v>
      </c>
      <c r="J1201" s="109" t="s">
        <v>1325</v>
      </c>
      <c r="K1201" s="49" t="s">
        <v>50</v>
      </c>
      <c r="L1201" s="100" t="s">
        <v>51</v>
      </c>
      <c r="M1201" s="107" t="s">
        <v>52</v>
      </c>
    </row>
    <row r="1202" spans="1:14" ht="16">
      <c r="A1202" s="101" t="str">
        <f t="shared" si="0"/>
        <v>OK</v>
      </c>
      <c r="B1202" s="49">
        <v>128132</v>
      </c>
      <c r="C1202" s="49" t="s">
        <v>1333</v>
      </c>
      <c r="D1202" s="49" t="s">
        <v>7</v>
      </c>
      <c r="E1202" s="50">
        <v>0.09</v>
      </c>
      <c r="F1202" s="108">
        <v>92</v>
      </c>
      <c r="G1202" s="51">
        <v>43922</v>
      </c>
      <c r="H1202" s="46">
        <v>350</v>
      </c>
      <c r="I1202" s="49" t="str">
        <f ca="1"/>
        <v>小川 純</v>
      </c>
      <c r="J1202" s="109" t="s">
        <v>49</v>
      </c>
      <c r="K1202" s="49" t="s">
        <v>50</v>
      </c>
      <c r="L1202" s="100" t="s">
        <v>51</v>
      </c>
      <c r="M1202" s="107" t="s">
        <v>52</v>
      </c>
      <c r="N1202" s="100" t="s">
        <v>1334</v>
      </c>
    </row>
    <row r="1203" spans="1:14" ht="16">
      <c r="A1203" s="101" t="str">
        <f t="shared" si="0"/>
        <v>OK</v>
      </c>
      <c r="B1203" s="49">
        <v>131787</v>
      </c>
      <c r="C1203" s="49" t="s">
        <v>1335</v>
      </c>
      <c r="D1203" s="49" t="s">
        <v>7</v>
      </c>
      <c r="E1203" s="50">
        <v>0.09</v>
      </c>
      <c r="F1203" s="108">
        <v>92</v>
      </c>
      <c r="G1203" s="51">
        <v>43922</v>
      </c>
      <c r="H1203" s="46">
        <v>500</v>
      </c>
      <c r="I1203" s="49" t="str">
        <f ca="1"/>
        <v>小川 純</v>
      </c>
      <c r="J1203" s="109" t="s">
        <v>49</v>
      </c>
      <c r="K1203" s="49" t="s">
        <v>50</v>
      </c>
      <c r="L1203" s="100" t="s">
        <v>51</v>
      </c>
      <c r="M1203" s="107" t="s">
        <v>52</v>
      </c>
      <c r="N1203" s="100" t="s">
        <v>1334</v>
      </c>
    </row>
    <row r="1204" spans="1:14" ht="16">
      <c r="A1204" s="101" t="str">
        <f t="shared" si="0"/>
        <v>OK</v>
      </c>
      <c r="B1204" s="49">
        <v>132825</v>
      </c>
      <c r="C1204" s="49" t="s">
        <v>1336</v>
      </c>
      <c r="D1204" s="49" t="s">
        <v>7</v>
      </c>
      <c r="E1204" s="50">
        <v>0.09</v>
      </c>
      <c r="F1204" s="108">
        <v>128</v>
      </c>
      <c r="G1204" s="51">
        <v>43922</v>
      </c>
      <c r="H1204" s="46">
        <v>800</v>
      </c>
      <c r="I1204" s="49" t="str">
        <f ca="1"/>
        <v>小川 純</v>
      </c>
      <c r="J1204" s="109" t="s">
        <v>49</v>
      </c>
      <c r="K1204" s="49" t="s">
        <v>50</v>
      </c>
      <c r="L1204" s="100" t="s">
        <v>51</v>
      </c>
      <c r="M1204" s="107" t="s">
        <v>52</v>
      </c>
      <c r="N1204" s="100" t="s">
        <v>1334</v>
      </c>
    </row>
    <row r="1205" spans="1:14" ht="16">
      <c r="A1205" s="101" t="str">
        <f t="shared" si="0"/>
        <v>OK</v>
      </c>
      <c r="B1205" s="49">
        <v>134612</v>
      </c>
      <c r="C1205" s="49" t="s">
        <v>1337</v>
      </c>
      <c r="D1205" s="49" t="s">
        <v>7</v>
      </c>
      <c r="E1205" s="50">
        <v>0.09</v>
      </c>
      <c r="F1205" s="108">
        <v>95</v>
      </c>
      <c r="G1205" s="51">
        <v>43922</v>
      </c>
      <c r="H1205" s="46">
        <v>300</v>
      </c>
      <c r="I1205" s="49" t="str">
        <f ca="1"/>
        <v>小川 純</v>
      </c>
      <c r="J1205" s="109" t="s">
        <v>49</v>
      </c>
      <c r="K1205" s="49" t="s">
        <v>50</v>
      </c>
      <c r="L1205" s="100" t="s">
        <v>51</v>
      </c>
      <c r="M1205" s="107" t="s">
        <v>52</v>
      </c>
      <c r="N1205" s="100" t="s">
        <v>1334</v>
      </c>
    </row>
    <row r="1206" spans="1:14" ht="16">
      <c r="A1206" s="101" t="str">
        <f t="shared" si="0"/>
        <v>OK</v>
      </c>
      <c r="B1206" s="49">
        <v>134613</v>
      </c>
      <c r="C1206" s="49" t="s">
        <v>1338</v>
      </c>
      <c r="D1206" s="49" t="s">
        <v>7</v>
      </c>
      <c r="E1206" s="50">
        <v>0.09</v>
      </c>
      <c r="F1206" s="108">
        <v>84</v>
      </c>
      <c r="G1206" s="51">
        <v>43922</v>
      </c>
      <c r="H1206" s="46">
        <v>500</v>
      </c>
      <c r="I1206" s="49" t="str">
        <f ca="1"/>
        <v>小川 純</v>
      </c>
      <c r="J1206" s="109" t="s">
        <v>49</v>
      </c>
      <c r="K1206" s="49" t="s">
        <v>50</v>
      </c>
      <c r="L1206" s="100" t="s">
        <v>51</v>
      </c>
      <c r="M1206" s="107" t="s">
        <v>52</v>
      </c>
      <c r="N1206" s="100" t="s">
        <v>1334</v>
      </c>
    </row>
    <row r="1207" spans="1:14" ht="16">
      <c r="A1207" s="101" t="str">
        <f t="shared" si="0"/>
        <v>OK</v>
      </c>
      <c r="B1207" s="49">
        <v>134614</v>
      </c>
      <c r="C1207" s="49" t="s">
        <v>1339</v>
      </c>
      <c r="D1207" s="49" t="s">
        <v>7</v>
      </c>
      <c r="E1207" s="50">
        <v>0.09</v>
      </c>
      <c r="F1207" s="108">
        <v>97</v>
      </c>
      <c r="G1207" s="51">
        <v>43922</v>
      </c>
      <c r="H1207" s="46">
        <v>550</v>
      </c>
      <c r="I1207" s="49" t="str">
        <f ca="1"/>
        <v>小川 純</v>
      </c>
      <c r="J1207" s="109" t="s">
        <v>49</v>
      </c>
      <c r="K1207" s="49" t="s">
        <v>50</v>
      </c>
      <c r="L1207" s="100" t="s">
        <v>51</v>
      </c>
      <c r="M1207" s="107" t="s">
        <v>52</v>
      </c>
      <c r="N1207" s="100" t="s">
        <v>1334</v>
      </c>
    </row>
    <row r="1208" spans="1:14" ht="16">
      <c r="A1208" s="101" t="str">
        <f t="shared" si="0"/>
        <v>OK</v>
      </c>
      <c r="B1208" s="49">
        <v>134615</v>
      </c>
      <c r="C1208" s="49" t="s">
        <v>1340</v>
      </c>
      <c r="D1208" s="49" t="s">
        <v>7</v>
      </c>
      <c r="E1208" s="50">
        <v>0.09</v>
      </c>
      <c r="F1208" s="108">
        <v>97</v>
      </c>
      <c r="G1208" s="51">
        <v>43922</v>
      </c>
      <c r="H1208" s="46">
        <v>350</v>
      </c>
      <c r="I1208" s="49" t="str">
        <f ca="1"/>
        <v>小川 純</v>
      </c>
      <c r="J1208" s="109" t="s">
        <v>49</v>
      </c>
      <c r="K1208" s="49" t="s">
        <v>50</v>
      </c>
      <c r="L1208" s="100" t="s">
        <v>51</v>
      </c>
      <c r="M1208" s="107" t="s">
        <v>52</v>
      </c>
      <c r="N1208" s="100" t="s">
        <v>1334</v>
      </c>
    </row>
    <row r="1209" spans="1:14" ht="16">
      <c r="A1209" s="101" t="str">
        <f t="shared" si="0"/>
        <v>OK</v>
      </c>
      <c r="B1209" s="49">
        <v>140357</v>
      </c>
      <c r="C1209" s="49" t="s">
        <v>1341</v>
      </c>
      <c r="D1209" s="49" t="s">
        <v>7</v>
      </c>
      <c r="E1209" s="50">
        <v>0.09</v>
      </c>
      <c r="F1209" s="108">
        <v>128</v>
      </c>
      <c r="G1209" s="51">
        <v>43922</v>
      </c>
      <c r="H1209" s="46">
        <v>800</v>
      </c>
      <c r="I1209" s="49" t="str">
        <f ca="1"/>
        <v>小川 純</v>
      </c>
      <c r="J1209" s="109" t="s">
        <v>49</v>
      </c>
      <c r="K1209" s="49" t="s">
        <v>50</v>
      </c>
      <c r="L1209" s="100" t="s">
        <v>51</v>
      </c>
      <c r="M1209" s="107" t="s">
        <v>52</v>
      </c>
      <c r="N1209" s="100" t="s">
        <v>1334</v>
      </c>
    </row>
    <row r="1210" spans="1:14" ht="16">
      <c r="A1210" s="101" t="str">
        <f t="shared" si="0"/>
        <v>OK</v>
      </c>
      <c r="B1210" s="49">
        <v>140169</v>
      </c>
      <c r="C1210" s="49" t="s">
        <v>1342</v>
      </c>
      <c r="D1210" s="49" t="s">
        <v>5</v>
      </c>
      <c r="E1210" s="50">
        <v>8.5000000000000006E-2</v>
      </c>
      <c r="F1210" s="108">
        <v>208</v>
      </c>
      <c r="G1210" s="51">
        <v>43891</v>
      </c>
      <c r="H1210" s="46">
        <v>4000</v>
      </c>
      <c r="I1210" s="49" t="str">
        <f ca="1"/>
        <v>栗原 大武</v>
      </c>
      <c r="J1210" s="109" t="s">
        <v>468</v>
      </c>
      <c r="K1210" s="49" t="s">
        <v>50</v>
      </c>
      <c r="L1210" s="100" t="s">
        <v>51</v>
      </c>
      <c r="M1210" s="107" t="s">
        <v>52</v>
      </c>
      <c r="N1210" s="111" t="s">
        <v>552</v>
      </c>
    </row>
    <row r="1211" spans="1:14" ht="16">
      <c r="A1211" s="101" t="str">
        <f t="shared" si="0"/>
        <v>OK</v>
      </c>
      <c r="B1211" s="49">
        <v>119309</v>
      </c>
      <c r="C1211" s="49" t="s">
        <v>1343</v>
      </c>
      <c r="D1211" s="49" t="s">
        <v>5</v>
      </c>
      <c r="E1211" s="50">
        <v>8.5000000000000006E-2</v>
      </c>
      <c r="F1211" s="108">
        <v>168</v>
      </c>
      <c r="G1211" s="51">
        <v>43922</v>
      </c>
      <c r="H1211" s="46">
        <v>1500</v>
      </c>
      <c r="I1211" s="49" t="str">
        <f ca="1"/>
        <v>荻曽 克輝</v>
      </c>
      <c r="J1211" s="109" t="s">
        <v>1344</v>
      </c>
      <c r="K1211" s="49" t="s">
        <v>50</v>
      </c>
      <c r="L1211" s="100" t="s">
        <v>51</v>
      </c>
      <c r="M1211" s="107" t="s">
        <v>52</v>
      </c>
    </row>
    <row r="1212" spans="1:14" ht="16">
      <c r="A1212" s="101" t="str">
        <f t="shared" si="0"/>
        <v>OK</v>
      </c>
      <c r="B1212" s="49">
        <v>125221</v>
      </c>
      <c r="C1212" s="49" t="s">
        <v>1345</v>
      </c>
      <c r="D1212" s="49" t="s">
        <v>7</v>
      </c>
      <c r="E1212" s="50">
        <v>9.5000000000000001E-2</v>
      </c>
      <c r="F1212" s="108">
        <v>145</v>
      </c>
      <c r="G1212" s="51">
        <v>43922</v>
      </c>
      <c r="H1212" s="46">
        <v>1767</v>
      </c>
      <c r="I1212" s="49" t="str">
        <f ca="1"/>
        <v>芳賀 亮輔</v>
      </c>
      <c r="J1212" s="109" t="s">
        <v>89</v>
      </c>
      <c r="K1212" s="49" t="s">
        <v>50</v>
      </c>
      <c r="L1212" s="100" t="s">
        <v>51</v>
      </c>
      <c r="M1212" s="107" t="s">
        <v>52</v>
      </c>
    </row>
    <row r="1213" spans="1:14" ht="16">
      <c r="A1213" s="101" t="str">
        <f t="shared" si="0"/>
        <v>OK</v>
      </c>
      <c r="B1213" s="49">
        <v>140263</v>
      </c>
      <c r="C1213" s="49" t="s">
        <v>1346</v>
      </c>
      <c r="D1213" s="49" t="s">
        <v>7</v>
      </c>
      <c r="E1213" s="50">
        <v>9.5000000000000001E-2</v>
      </c>
      <c r="F1213" s="108">
        <v>12</v>
      </c>
      <c r="G1213" s="51">
        <v>43891</v>
      </c>
      <c r="H1213" s="46">
        <v>100</v>
      </c>
      <c r="I1213" s="49" t="str">
        <f ca="1"/>
        <v>栗原 大武</v>
      </c>
      <c r="J1213" s="109" t="s">
        <v>468</v>
      </c>
      <c r="K1213" s="49" t="s">
        <v>50</v>
      </c>
      <c r="L1213" s="100" t="s">
        <v>51</v>
      </c>
      <c r="M1213" s="107" t="s">
        <v>52</v>
      </c>
      <c r="N1213" s="100" t="s">
        <v>1347</v>
      </c>
    </row>
    <row r="1214" spans="1:14" ht="16">
      <c r="A1214" s="101" t="str">
        <f t="shared" si="0"/>
        <v>OK</v>
      </c>
      <c r="B1214" s="49">
        <v>122625</v>
      </c>
      <c r="C1214" s="49" t="s">
        <v>1348</v>
      </c>
      <c r="D1214" s="49" t="s">
        <v>7</v>
      </c>
      <c r="E1214" s="50">
        <v>9.5000000000000001E-2</v>
      </c>
      <c r="F1214" s="108">
        <v>68</v>
      </c>
      <c r="G1214" s="51">
        <v>43922</v>
      </c>
      <c r="H1214" s="46">
        <v>1654</v>
      </c>
      <c r="I1214" s="49" t="str">
        <f ca="1"/>
        <v>芳賀 亮輔</v>
      </c>
      <c r="J1214" s="109" t="s">
        <v>89</v>
      </c>
      <c r="K1214" s="49" t="s">
        <v>50</v>
      </c>
      <c r="L1214" s="100" t="s">
        <v>51</v>
      </c>
      <c r="M1214" s="107" t="s">
        <v>52</v>
      </c>
    </row>
    <row r="1215" spans="1:14" ht="16">
      <c r="A1215" s="101" t="str">
        <f t="shared" si="0"/>
        <v>OK</v>
      </c>
      <c r="B1215" s="49">
        <v>138602</v>
      </c>
      <c r="C1215" s="49" t="s">
        <v>1349</v>
      </c>
      <c r="D1215" s="49" t="s">
        <v>7</v>
      </c>
      <c r="E1215" s="50">
        <v>9.5000000000000001E-2</v>
      </c>
      <c r="F1215" s="108">
        <v>34</v>
      </c>
      <c r="G1215" s="51">
        <v>43922</v>
      </c>
      <c r="H1215" s="46">
        <v>863</v>
      </c>
      <c r="I1215" s="49" t="str">
        <f ca="1"/>
        <v>芳賀 亮輔</v>
      </c>
      <c r="J1215" s="109" t="s">
        <v>89</v>
      </c>
      <c r="K1215" s="49" t="s">
        <v>50</v>
      </c>
      <c r="L1215" s="100" t="s">
        <v>51</v>
      </c>
      <c r="M1215" s="107" t="s">
        <v>52</v>
      </c>
    </row>
    <row r="1216" spans="1:14" ht="16">
      <c r="A1216" s="101" t="str">
        <f t="shared" si="0"/>
        <v>OK</v>
      </c>
      <c r="B1216" s="49">
        <v>140249</v>
      </c>
      <c r="C1216" s="49" t="s">
        <v>1350</v>
      </c>
      <c r="D1216" s="49" t="s">
        <v>5</v>
      </c>
      <c r="E1216" s="50">
        <v>8.3000000000000004E-2</v>
      </c>
      <c r="F1216" s="108">
        <v>261</v>
      </c>
      <c r="G1216" s="51">
        <v>43839</v>
      </c>
      <c r="H1216" s="46">
        <v>1900</v>
      </c>
      <c r="I1216" s="49" t="str">
        <f ca="1"/>
        <v>荻曽 克輝</v>
      </c>
      <c r="J1216" s="109" t="s">
        <v>647</v>
      </c>
      <c r="K1216" s="49" t="s">
        <v>50</v>
      </c>
      <c r="L1216" s="100" t="s">
        <v>51</v>
      </c>
      <c r="M1216" s="107" t="s">
        <v>52</v>
      </c>
    </row>
    <row r="1217" spans="1:13" ht="16">
      <c r="A1217" s="101" t="str">
        <f t="shared" si="0"/>
        <v>OK</v>
      </c>
      <c r="B1217" s="49">
        <v>121051</v>
      </c>
      <c r="C1217" s="49" t="s">
        <v>1351</v>
      </c>
      <c r="D1217" s="49" t="s">
        <v>5</v>
      </c>
      <c r="E1217" s="50">
        <v>9.5000000000000001E-2</v>
      </c>
      <c r="F1217" s="108">
        <v>255</v>
      </c>
      <c r="G1217" s="51">
        <v>43839</v>
      </c>
      <c r="H1217" s="46">
        <v>200</v>
      </c>
      <c r="I1217" s="49" t="str">
        <f ca="1"/>
        <v>栗原 大武</v>
      </c>
      <c r="J1217" s="109" t="s">
        <v>631</v>
      </c>
      <c r="K1217" s="49" t="s">
        <v>50</v>
      </c>
      <c r="L1217" s="100" t="s">
        <v>51</v>
      </c>
      <c r="M1217" s="107" t="s">
        <v>52</v>
      </c>
    </row>
    <row r="1218" spans="1:13" ht="16">
      <c r="A1218" s="101" t="str">
        <f t="shared" si="0"/>
        <v>OK</v>
      </c>
      <c r="B1218" s="49">
        <v>134587</v>
      </c>
      <c r="C1218" s="49" t="s">
        <v>1352</v>
      </c>
      <c r="D1218" s="49" t="s">
        <v>5</v>
      </c>
      <c r="E1218" s="50">
        <v>8.3000000000000004E-2</v>
      </c>
      <c r="F1218" s="108">
        <v>254</v>
      </c>
      <c r="G1218" s="51">
        <v>43839</v>
      </c>
      <c r="H1218" s="46">
        <v>1900</v>
      </c>
      <c r="I1218" s="49" t="str">
        <f ca="1"/>
        <v>荻曽 克輝</v>
      </c>
      <c r="J1218" s="109" t="s">
        <v>647</v>
      </c>
      <c r="K1218" s="49" t="s">
        <v>50</v>
      </c>
      <c r="L1218" s="100" t="s">
        <v>51</v>
      </c>
      <c r="M1218" s="107" t="s">
        <v>52</v>
      </c>
    </row>
    <row r="1219" spans="1:13" ht="16">
      <c r="A1219" s="101" t="str">
        <f t="shared" si="0"/>
        <v>OK</v>
      </c>
      <c r="B1219" s="49">
        <v>128422</v>
      </c>
      <c r="C1219" s="49" t="s">
        <v>1353</v>
      </c>
      <c r="D1219" s="49" t="s">
        <v>5</v>
      </c>
      <c r="E1219" s="50">
        <v>8.3000000000000004E-2</v>
      </c>
      <c r="F1219" s="108">
        <v>247</v>
      </c>
      <c r="G1219" s="51">
        <v>43839</v>
      </c>
      <c r="H1219" s="46">
        <v>1600</v>
      </c>
      <c r="I1219" s="49" t="str">
        <f ca="1"/>
        <v>荻曽 克輝</v>
      </c>
      <c r="J1219" s="109" t="s">
        <v>647</v>
      </c>
      <c r="K1219" s="49" t="s">
        <v>50</v>
      </c>
      <c r="L1219" s="100" t="s">
        <v>51</v>
      </c>
      <c r="M1219" s="107" t="s">
        <v>52</v>
      </c>
    </row>
    <row r="1220" spans="1:13" ht="16">
      <c r="A1220" s="101" t="str">
        <f t="shared" si="0"/>
        <v>OK</v>
      </c>
      <c r="B1220" s="49">
        <v>138691</v>
      </c>
      <c r="C1220" s="49" t="s">
        <v>1354</v>
      </c>
      <c r="D1220" s="49" t="s">
        <v>5</v>
      </c>
      <c r="E1220" s="50">
        <v>8.3000000000000004E-2</v>
      </c>
      <c r="F1220" s="108">
        <v>242</v>
      </c>
      <c r="G1220" s="51">
        <v>43839</v>
      </c>
      <c r="H1220" s="46">
        <v>1400</v>
      </c>
      <c r="I1220" s="49" t="str">
        <f ca="1"/>
        <v>荻曽 克輝</v>
      </c>
      <c r="J1220" s="109" t="s">
        <v>647</v>
      </c>
      <c r="K1220" s="49" t="s">
        <v>50</v>
      </c>
      <c r="L1220" s="100" t="s">
        <v>51</v>
      </c>
      <c r="M1220" s="107" t="s">
        <v>52</v>
      </c>
    </row>
    <row r="1221" spans="1:13" ht="16">
      <c r="A1221" s="101" t="str">
        <f t="shared" si="0"/>
        <v>OK</v>
      </c>
      <c r="B1221" s="49">
        <v>140961</v>
      </c>
      <c r="C1221" s="49" t="s">
        <v>1355</v>
      </c>
      <c r="D1221" s="49" t="s">
        <v>7</v>
      </c>
      <c r="E1221" s="50">
        <v>9.5000000000000001E-2</v>
      </c>
      <c r="F1221" s="108">
        <v>27</v>
      </c>
      <c r="G1221" s="51">
        <v>43859</v>
      </c>
      <c r="H1221" s="46">
        <v>10</v>
      </c>
      <c r="I1221" s="49" t="str">
        <f ca="1"/>
        <v>老田 純輝</v>
      </c>
      <c r="J1221" s="109" t="s">
        <v>904</v>
      </c>
      <c r="K1221" s="49" t="s">
        <v>50</v>
      </c>
      <c r="L1221" s="100" t="s">
        <v>51</v>
      </c>
      <c r="M1221" s="107" t="s">
        <v>52</v>
      </c>
    </row>
    <row r="1222" spans="1:13" ht="16">
      <c r="A1222" s="101" t="str">
        <f t="shared" si="0"/>
        <v>OK</v>
      </c>
      <c r="B1222" s="49">
        <v>3103784</v>
      </c>
      <c r="C1222" s="49" t="s">
        <v>1356</v>
      </c>
      <c r="D1222" s="49" t="s">
        <v>7</v>
      </c>
      <c r="E1222" s="50">
        <v>8.5000000000000006E-2</v>
      </c>
      <c r="F1222" s="108">
        <v>261</v>
      </c>
      <c r="G1222" s="51">
        <v>43862</v>
      </c>
      <c r="H1222" s="46">
        <v>1383</v>
      </c>
      <c r="I1222" s="49" t="str">
        <f ca="1"/>
        <v>芳賀 亮輔</v>
      </c>
      <c r="J1222" s="109" t="s">
        <v>89</v>
      </c>
      <c r="K1222" s="49" t="s">
        <v>50</v>
      </c>
      <c r="L1222" s="100" t="s">
        <v>51</v>
      </c>
      <c r="M1222" s="107" t="s">
        <v>52</v>
      </c>
    </row>
    <row r="1223" spans="1:13" ht="16">
      <c r="A1223" s="101" t="str">
        <f t="shared" si="0"/>
        <v>OK</v>
      </c>
      <c r="B1223" s="49">
        <v>140561</v>
      </c>
      <c r="C1223" s="49" t="s">
        <v>1357</v>
      </c>
      <c r="D1223" s="49" t="s">
        <v>5</v>
      </c>
      <c r="E1223" s="50">
        <v>8.4000000000000005E-2</v>
      </c>
      <c r="F1223" s="108">
        <v>238</v>
      </c>
      <c r="G1223" s="51">
        <v>43862</v>
      </c>
      <c r="H1223" s="46">
        <v>300</v>
      </c>
      <c r="I1223" s="49" t="str">
        <f ca="1"/>
        <v>村上 浩一朗</v>
      </c>
      <c r="J1223" s="109" t="s">
        <v>70</v>
      </c>
      <c r="K1223" s="49" t="s">
        <v>50</v>
      </c>
      <c r="L1223" s="100" t="s">
        <v>51</v>
      </c>
      <c r="M1223" s="107" t="s">
        <v>52</v>
      </c>
    </row>
    <row r="1224" spans="1:13" ht="16">
      <c r="A1224" s="101" t="str">
        <f t="shared" si="0"/>
        <v>OK</v>
      </c>
      <c r="B1224" s="49">
        <v>3103783</v>
      </c>
      <c r="C1224" s="49" t="s">
        <v>1358</v>
      </c>
      <c r="D1224" s="49" t="s">
        <v>7</v>
      </c>
      <c r="E1224" s="50">
        <v>8.5000000000000006E-2</v>
      </c>
      <c r="F1224" s="108">
        <v>236</v>
      </c>
      <c r="G1224" s="51">
        <v>43862</v>
      </c>
      <c r="H1224" s="46">
        <v>1117</v>
      </c>
      <c r="I1224" s="49" t="str">
        <f ca="1"/>
        <v>芳賀 亮輔</v>
      </c>
      <c r="J1224" s="109" t="s">
        <v>89</v>
      </c>
      <c r="K1224" s="49" t="s">
        <v>50</v>
      </c>
      <c r="L1224" s="100" t="s">
        <v>51</v>
      </c>
      <c r="M1224" s="107" t="s">
        <v>52</v>
      </c>
    </row>
    <row r="1225" spans="1:13" ht="16">
      <c r="A1225" s="101" t="str">
        <f t="shared" si="0"/>
        <v>OK</v>
      </c>
      <c r="B1225" s="49">
        <v>140560</v>
      </c>
      <c r="C1225" s="49" t="s">
        <v>1359</v>
      </c>
      <c r="D1225" s="49" t="s">
        <v>5</v>
      </c>
      <c r="E1225" s="50">
        <v>8.4000000000000005E-2</v>
      </c>
      <c r="F1225" s="108">
        <v>194</v>
      </c>
      <c r="G1225" s="51">
        <v>43862</v>
      </c>
      <c r="H1225" s="46">
        <v>300</v>
      </c>
      <c r="I1225" s="49" t="str">
        <f ca="1"/>
        <v>村上 浩一朗</v>
      </c>
      <c r="J1225" s="109" t="s">
        <v>70</v>
      </c>
      <c r="K1225" s="49" t="s">
        <v>50</v>
      </c>
      <c r="L1225" s="100" t="s">
        <v>51</v>
      </c>
      <c r="M1225" s="107" t="s">
        <v>52</v>
      </c>
    </row>
    <row r="1226" spans="1:13" ht="16">
      <c r="A1226" s="101" t="str">
        <f t="shared" si="0"/>
        <v>OK</v>
      </c>
      <c r="B1226" s="49">
        <v>126376</v>
      </c>
      <c r="C1226" s="49" t="s">
        <v>1360</v>
      </c>
      <c r="D1226" s="49" t="s">
        <v>5</v>
      </c>
      <c r="E1226" s="50">
        <v>8.5000000000000006E-2</v>
      </c>
      <c r="F1226" s="108">
        <v>146</v>
      </c>
      <c r="G1226" s="51">
        <v>43862</v>
      </c>
      <c r="H1226" s="46">
        <v>1200</v>
      </c>
      <c r="I1226" s="49" t="str">
        <f ca="1"/>
        <v>村上 浩一朗</v>
      </c>
      <c r="J1226" s="109" t="s">
        <v>159</v>
      </c>
      <c r="K1226" s="49" t="s">
        <v>50</v>
      </c>
      <c r="L1226" s="100" t="s">
        <v>51</v>
      </c>
      <c r="M1226" s="107" t="s">
        <v>52</v>
      </c>
    </row>
    <row r="1227" spans="1:13" ht="16">
      <c r="A1227" s="101" t="str">
        <f t="shared" si="0"/>
        <v>OK</v>
      </c>
      <c r="B1227" s="49">
        <v>133072</v>
      </c>
      <c r="C1227" s="49" t="s">
        <v>1361</v>
      </c>
      <c r="D1227" s="49" t="s">
        <v>5</v>
      </c>
      <c r="E1227" s="50">
        <v>8.4000000000000005E-2</v>
      </c>
      <c r="F1227" s="108">
        <v>123</v>
      </c>
      <c r="G1227" s="51">
        <v>43862</v>
      </c>
      <c r="H1227" s="46">
        <v>700</v>
      </c>
      <c r="I1227" s="49" t="str">
        <f ca="1"/>
        <v>村上 浩一朗</v>
      </c>
      <c r="J1227" s="109" t="s">
        <v>70</v>
      </c>
      <c r="K1227" s="49" t="s">
        <v>50</v>
      </c>
      <c r="L1227" s="100" t="s">
        <v>51</v>
      </c>
      <c r="M1227" s="107" t="s">
        <v>52</v>
      </c>
    </row>
    <row r="1228" spans="1:13" ht="16">
      <c r="A1228" s="101" t="str">
        <f t="shared" si="0"/>
        <v>OK</v>
      </c>
      <c r="B1228" s="49">
        <v>113080</v>
      </c>
      <c r="C1228" s="49" t="s">
        <v>1362</v>
      </c>
      <c r="D1228" s="49" t="s">
        <v>5</v>
      </c>
      <c r="E1228" s="50">
        <v>8.5000000000000006E-2</v>
      </c>
      <c r="F1228" s="108">
        <v>116</v>
      </c>
      <c r="G1228" s="51">
        <v>43862</v>
      </c>
      <c r="H1228" s="46">
        <v>1420</v>
      </c>
      <c r="I1228" s="49" t="str">
        <f ca="1"/>
        <v>川島 幹也</v>
      </c>
      <c r="J1228" s="109" t="s">
        <v>1363</v>
      </c>
      <c r="K1228" s="49" t="s">
        <v>50</v>
      </c>
      <c r="L1228" s="100" t="s">
        <v>51</v>
      </c>
      <c r="M1228" s="107" t="s">
        <v>52</v>
      </c>
    </row>
    <row r="1229" spans="1:13" ht="16">
      <c r="A1229" s="101" t="str">
        <f t="shared" si="0"/>
        <v>OK</v>
      </c>
      <c r="B1229" s="49">
        <v>127734</v>
      </c>
      <c r="C1229" s="49" t="s">
        <v>1364</v>
      </c>
      <c r="D1229" s="49" t="s">
        <v>7</v>
      </c>
      <c r="E1229" s="50">
        <v>2.5999999999999999E-2</v>
      </c>
      <c r="F1229" s="108">
        <v>113</v>
      </c>
      <c r="G1229" s="51">
        <v>43862</v>
      </c>
      <c r="H1229" s="46">
        <v>400</v>
      </c>
      <c r="I1229" s="49" t="str">
        <f ca="1"/>
        <v>稲場 勇介</v>
      </c>
      <c r="J1229" s="109" t="s">
        <v>453</v>
      </c>
      <c r="K1229" s="49" t="s">
        <v>50</v>
      </c>
      <c r="L1229" s="100" t="s">
        <v>51</v>
      </c>
      <c r="M1229" s="107" t="s">
        <v>52</v>
      </c>
    </row>
    <row r="1230" spans="1:13" ht="16">
      <c r="A1230" s="101" t="str">
        <f t="shared" si="0"/>
        <v>OK</v>
      </c>
      <c r="B1230" s="49">
        <v>122436</v>
      </c>
      <c r="C1230" s="49" t="s">
        <v>1365</v>
      </c>
      <c r="D1230" s="49" t="s">
        <v>1</v>
      </c>
      <c r="E1230" s="50">
        <v>0.06</v>
      </c>
      <c r="F1230" s="108">
        <v>89</v>
      </c>
      <c r="G1230" s="51">
        <v>43862</v>
      </c>
      <c r="H1230" s="46">
        <v>200</v>
      </c>
      <c r="I1230" s="49" t="str">
        <f ca="1"/>
        <v>長谷川 陸朗</v>
      </c>
      <c r="J1230" s="109" t="s">
        <v>46</v>
      </c>
      <c r="K1230" s="49" t="s">
        <v>50</v>
      </c>
      <c r="L1230" s="100" t="s">
        <v>51</v>
      </c>
      <c r="M1230" s="107" t="s">
        <v>52</v>
      </c>
    </row>
    <row r="1231" spans="1:13" ht="16">
      <c r="A1231" s="101" t="str">
        <f t="shared" si="0"/>
        <v>OK</v>
      </c>
      <c r="B1231" s="49">
        <v>119209</v>
      </c>
      <c r="C1231" s="49" t="s">
        <v>1366</v>
      </c>
      <c r="D1231" s="49" t="s">
        <v>7</v>
      </c>
      <c r="E1231" s="50">
        <v>2.5999999999999999E-2</v>
      </c>
      <c r="F1231" s="108">
        <v>87</v>
      </c>
      <c r="G1231" s="51">
        <v>43862</v>
      </c>
      <c r="H1231" s="46">
        <v>400</v>
      </c>
      <c r="I1231" s="49" t="str">
        <f ca="1"/>
        <v>稲場 勇介</v>
      </c>
      <c r="J1231" s="109" t="s">
        <v>453</v>
      </c>
      <c r="K1231" s="49" t="s">
        <v>50</v>
      </c>
      <c r="L1231" s="100" t="s">
        <v>51</v>
      </c>
      <c r="M1231" s="107" t="s">
        <v>52</v>
      </c>
    </row>
    <row r="1232" spans="1:13" ht="16">
      <c r="A1232" s="101" t="str">
        <f t="shared" si="0"/>
        <v>OK</v>
      </c>
      <c r="B1232" s="49">
        <v>138157</v>
      </c>
      <c r="C1232" s="49" t="s">
        <v>1367</v>
      </c>
      <c r="D1232" s="49" t="s">
        <v>7</v>
      </c>
      <c r="E1232" s="50">
        <v>4.5999999999999999E-2</v>
      </c>
      <c r="F1232" s="108">
        <v>84</v>
      </c>
      <c r="G1232" s="51">
        <v>43862</v>
      </c>
      <c r="H1232" s="46">
        <v>350</v>
      </c>
      <c r="I1232" s="49" t="str">
        <f ca="1"/>
        <v>稲場 勇介</v>
      </c>
      <c r="J1232" s="109" t="s">
        <v>453</v>
      </c>
      <c r="K1232" s="49" t="s">
        <v>50</v>
      </c>
      <c r="L1232" s="100" t="s">
        <v>51</v>
      </c>
      <c r="M1232" s="107" t="s">
        <v>52</v>
      </c>
    </row>
    <row r="1233" spans="1:13" ht="16">
      <c r="A1233" s="101" t="str">
        <f t="shared" si="0"/>
        <v>OK</v>
      </c>
      <c r="B1233" s="49">
        <v>139882</v>
      </c>
      <c r="C1233" s="49" t="s">
        <v>1368</v>
      </c>
      <c r="D1233" s="49" t="s">
        <v>7</v>
      </c>
      <c r="E1233" s="50">
        <v>0.05</v>
      </c>
      <c r="F1233" s="108">
        <v>82</v>
      </c>
      <c r="G1233" s="51">
        <v>43862</v>
      </c>
      <c r="H1233" s="46">
        <v>360</v>
      </c>
      <c r="I1233" s="49" t="str">
        <f ca="1"/>
        <v>成嶋 夏未</v>
      </c>
      <c r="J1233" s="109" t="s">
        <v>516</v>
      </c>
      <c r="K1233" s="49" t="s">
        <v>50</v>
      </c>
      <c r="L1233" s="100" t="s">
        <v>51</v>
      </c>
      <c r="M1233" s="107" t="s">
        <v>52</v>
      </c>
    </row>
    <row r="1234" spans="1:13" ht="16">
      <c r="A1234" s="101" t="str">
        <f t="shared" si="0"/>
        <v>OK</v>
      </c>
      <c r="B1234" s="49">
        <v>100714</v>
      </c>
      <c r="C1234" s="49" t="s">
        <v>1369</v>
      </c>
      <c r="D1234" s="49" t="s">
        <v>7</v>
      </c>
      <c r="E1234" s="50">
        <v>0.124</v>
      </c>
      <c r="F1234" s="108">
        <v>77</v>
      </c>
      <c r="G1234" s="51">
        <v>43862</v>
      </c>
      <c r="H1234" s="46">
        <v>400</v>
      </c>
      <c r="I1234" s="49" t="str">
        <f ca="1"/>
        <v>松尾 尚樹</v>
      </c>
      <c r="J1234" s="109" t="s">
        <v>453</v>
      </c>
      <c r="K1234" s="49" t="s">
        <v>50</v>
      </c>
      <c r="L1234" s="100" t="s">
        <v>51</v>
      </c>
      <c r="M1234" s="107" t="s">
        <v>52</v>
      </c>
    </row>
    <row r="1235" spans="1:13" ht="16">
      <c r="A1235" s="101" t="str">
        <f t="shared" si="0"/>
        <v>OK</v>
      </c>
      <c r="B1235" s="49">
        <v>139535</v>
      </c>
      <c r="C1235" s="49" t="s">
        <v>1370</v>
      </c>
      <c r="D1235" s="49" t="s">
        <v>5</v>
      </c>
      <c r="E1235" s="50">
        <v>9.1999999999999998E-2</v>
      </c>
      <c r="F1235" s="108">
        <v>76</v>
      </c>
      <c r="G1235" s="51">
        <v>43862</v>
      </c>
      <c r="H1235" s="46">
        <v>800</v>
      </c>
      <c r="I1235" s="49" t="str">
        <f ca="1"/>
        <v>荻曽 克輝</v>
      </c>
      <c r="J1235" s="109" t="s">
        <v>175</v>
      </c>
      <c r="K1235" s="49" t="s">
        <v>50</v>
      </c>
      <c r="L1235" s="100" t="s">
        <v>51</v>
      </c>
      <c r="M1235" s="107" t="s">
        <v>52</v>
      </c>
    </row>
    <row r="1236" spans="1:13" ht="16">
      <c r="A1236" s="101" t="str">
        <f t="shared" si="0"/>
        <v>OK</v>
      </c>
      <c r="B1236" s="49">
        <v>138831</v>
      </c>
      <c r="C1236" s="49" t="s">
        <v>1371</v>
      </c>
      <c r="D1236" s="49" t="s">
        <v>5</v>
      </c>
      <c r="E1236" s="50">
        <v>8.4000000000000005E-2</v>
      </c>
      <c r="F1236" s="108">
        <v>68</v>
      </c>
      <c r="G1236" s="51">
        <v>43862</v>
      </c>
      <c r="H1236" s="46">
        <v>700</v>
      </c>
      <c r="I1236" s="49" t="str">
        <f ca="1"/>
        <v>村上 浩一朗</v>
      </c>
      <c r="J1236" s="109" t="s">
        <v>70</v>
      </c>
      <c r="K1236" s="49" t="s">
        <v>50</v>
      </c>
      <c r="L1236" s="100" t="s">
        <v>51</v>
      </c>
      <c r="M1236" s="107" t="s">
        <v>52</v>
      </c>
    </row>
    <row r="1237" spans="1:13" ht="16">
      <c r="A1237" s="101" t="str">
        <f t="shared" si="0"/>
        <v>OK</v>
      </c>
      <c r="B1237" s="49">
        <v>120754</v>
      </c>
      <c r="C1237" s="49" t="s">
        <v>1372</v>
      </c>
      <c r="D1237" s="49" t="s">
        <v>7</v>
      </c>
      <c r="E1237" s="50">
        <v>6.5000000000000002E-2</v>
      </c>
      <c r="F1237" s="108">
        <v>67</v>
      </c>
      <c r="G1237" s="51">
        <v>43862</v>
      </c>
      <c r="H1237" s="46">
        <v>450</v>
      </c>
      <c r="I1237" s="49" t="str">
        <f ca="1"/>
        <v>小関 麻起</v>
      </c>
      <c r="J1237" s="109" t="s">
        <v>516</v>
      </c>
      <c r="K1237" s="49" t="s">
        <v>50</v>
      </c>
      <c r="L1237" s="100" t="s">
        <v>51</v>
      </c>
      <c r="M1237" s="107" t="s">
        <v>52</v>
      </c>
    </row>
    <row r="1238" spans="1:13" ht="16">
      <c r="A1238" s="101" t="str">
        <f t="shared" si="0"/>
        <v>OK</v>
      </c>
      <c r="B1238" s="49">
        <v>122686</v>
      </c>
      <c r="C1238" s="49" t="s">
        <v>1373</v>
      </c>
      <c r="D1238" s="49" t="s">
        <v>1</v>
      </c>
      <c r="E1238" s="50">
        <v>6.5000000000000002E-2</v>
      </c>
      <c r="F1238" s="108">
        <v>65</v>
      </c>
      <c r="G1238" s="51">
        <v>43862</v>
      </c>
      <c r="H1238" s="46">
        <v>1000</v>
      </c>
      <c r="I1238" s="49" t="str">
        <f ca="1"/>
        <v>菅野 ぎんが</v>
      </c>
      <c r="J1238" s="109" t="s">
        <v>185</v>
      </c>
      <c r="K1238" s="49" t="s">
        <v>50</v>
      </c>
      <c r="L1238" s="100" t="s">
        <v>51</v>
      </c>
      <c r="M1238" s="107" t="s">
        <v>52</v>
      </c>
    </row>
    <row r="1239" spans="1:13" ht="16">
      <c r="A1239" s="101" t="str">
        <f t="shared" si="0"/>
        <v>未記入あり</v>
      </c>
      <c r="B1239" s="49">
        <v>136466</v>
      </c>
      <c r="C1239" s="49" t="s">
        <v>1374</v>
      </c>
      <c r="D1239" s="49" t="s">
        <v>1</v>
      </c>
      <c r="E1239" s="50">
        <v>6.5000000000000002E-2</v>
      </c>
      <c r="F1239" s="108">
        <v>65</v>
      </c>
      <c r="G1239" s="51">
        <v>43862</v>
      </c>
      <c r="H1239" s="46"/>
      <c r="I1239" s="49" t="str">
        <f ca="1"/>
        <v>退会済</v>
      </c>
      <c r="J1239" s="109" t="s">
        <v>46</v>
      </c>
      <c r="K1239" s="49" t="s">
        <v>50</v>
      </c>
      <c r="L1239" s="100" t="s">
        <v>51</v>
      </c>
      <c r="M1239" s="107" t="s">
        <v>52</v>
      </c>
    </row>
    <row r="1240" spans="1:13" ht="16">
      <c r="A1240" s="101" t="str">
        <f t="shared" si="0"/>
        <v>OK</v>
      </c>
      <c r="B1240" s="49">
        <v>122457</v>
      </c>
      <c r="C1240" s="49" t="s">
        <v>1375</v>
      </c>
      <c r="D1240" s="49" t="s">
        <v>7</v>
      </c>
      <c r="E1240" s="50">
        <v>6.5000000000000002E-2</v>
      </c>
      <c r="F1240" s="108">
        <v>64</v>
      </c>
      <c r="G1240" s="51">
        <v>43862</v>
      </c>
      <c r="H1240" s="46">
        <v>450</v>
      </c>
      <c r="I1240" s="49" t="str">
        <f ca="1"/>
        <v>小関 麻起</v>
      </c>
      <c r="J1240" s="109" t="s">
        <v>516</v>
      </c>
      <c r="K1240" s="49" t="s">
        <v>50</v>
      </c>
      <c r="L1240" s="100" t="s">
        <v>51</v>
      </c>
      <c r="M1240" s="107" t="s">
        <v>52</v>
      </c>
    </row>
    <row r="1241" spans="1:13" ht="16">
      <c r="A1241" s="101" t="str">
        <f t="shared" si="0"/>
        <v>OK</v>
      </c>
      <c r="B1241" s="49">
        <v>131253</v>
      </c>
      <c r="C1241" s="49" t="s">
        <v>1376</v>
      </c>
      <c r="D1241" s="49" t="s">
        <v>1</v>
      </c>
      <c r="E1241" s="50">
        <v>6.5000000000000002E-2</v>
      </c>
      <c r="F1241" s="108">
        <v>52</v>
      </c>
      <c r="G1241" s="51">
        <v>43862</v>
      </c>
      <c r="H1241" s="46">
        <v>1000</v>
      </c>
      <c r="I1241" s="49" t="str">
        <f ca="1"/>
        <v>菅野 ぎんが</v>
      </c>
      <c r="J1241" s="109" t="s">
        <v>185</v>
      </c>
      <c r="K1241" s="49" t="s">
        <v>50</v>
      </c>
      <c r="L1241" s="100" t="s">
        <v>51</v>
      </c>
      <c r="M1241" s="107" t="s">
        <v>52</v>
      </c>
    </row>
    <row r="1242" spans="1:13" ht="16">
      <c r="A1242" s="101" t="str">
        <f t="shared" si="0"/>
        <v>OK</v>
      </c>
      <c r="B1242" s="49">
        <v>125881</v>
      </c>
      <c r="C1242" s="49" t="s">
        <v>1377</v>
      </c>
      <c r="D1242" s="49" t="s">
        <v>7</v>
      </c>
      <c r="E1242" s="50">
        <v>6.0999999999999999E-2</v>
      </c>
      <c r="F1242" s="108">
        <v>51</v>
      </c>
      <c r="G1242" s="51">
        <v>43862</v>
      </c>
      <c r="H1242" s="46">
        <v>300</v>
      </c>
      <c r="I1242" s="49" t="str">
        <f ca="1"/>
        <v>稲場 勇介</v>
      </c>
      <c r="J1242" s="109" t="s">
        <v>918</v>
      </c>
      <c r="K1242" s="49" t="s">
        <v>50</v>
      </c>
      <c r="L1242" s="100" t="s">
        <v>51</v>
      </c>
      <c r="M1242" s="107" t="s">
        <v>52</v>
      </c>
    </row>
    <row r="1243" spans="1:13" ht="16">
      <c r="A1243" s="101" t="str">
        <f t="shared" si="0"/>
        <v>OK</v>
      </c>
      <c r="B1243" s="49">
        <v>125502</v>
      </c>
      <c r="C1243" s="49" t="s">
        <v>1378</v>
      </c>
      <c r="D1243" s="49" t="s">
        <v>7</v>
      </c>
      <c r="E1243" s="50">
        <v>6.9000000000000006E-2</v>
      </c>
      <c r="F1243" s="108">
        <v>47</v>
      </c>
      <c r="G1243" s="51">
        <v>43862</v>
      </c>
      <c r="H1243" s="46">
        <v>800</v>
      </c>
      <c r="I1243" s="49" t="str">
        <f ca="1"/>
        <v>小関 麻起</v>
      </c>
      <c r="J1243" s="109" t="s">
        <v>918</v>
      </c>
      <c r="K1243" s="49" t="s">
        <v>50</v>
      </c>
      <c r="L1243" s="100" t="s">
        <v>51</v>
      </c>
      <c r="M1243" s="107" t="s">
        <v>52</v>
      </c>
    </row>
    <row r="1244" spans="1:13" ht="16">
      <c r="A1244" s="101" t="str">
        <f t="shared" si="0"/>
        <v>OK</v>
      </c>
      <c r="B1244" s="49">
        <v>125713</v>
      </c>
      <c r="C1244" s="49" t="s">
        <v>1379</v>
      </c>
      <c r="D1244" s="49" t="s">
        <v>5</v>
      </c>
      <c r="E1244" s="50">
        <v>8.5000000000000006E-2</v>
      </c>
      <c r="F1244" s="108">
        <v>45</v>
      </c>
      <c r="G1244" s="51">
        <v>43862</v>
      </c>
      <c r="H1244" s="46">
        <v>200</v>
      </c>
      <c r="I1244" s="49" t="str">
        <f ca="1"/>
        <v>荻曽 克輝</v>
      </c>
      <c r="J1244" s="109" t="s">
        <v>159</v>
      </c>
      <c r="K1244" s="49" t="s">
        <v>50</v>
      </c>
      <c r="L1244" s="100" t="s">
        <v>51</v>
      </c>
      <c r="M1244" s="107" t="s">
        <v>52</v>
      </c>
    </row>
    <row r="1245" spans="1:13" ht="16">
      <c r="A1245" s="101" t="str">
        <f t="shared" si="0"/>
        <v>OK</v>
      </c>
      <c r="B1245" s="49">
        <v>121284</v>
      </c>
      <c r="C1245" s="49" t="s">
        <v>1380</v>
      </c>
      <c r="D1245" s="49" t="s">
        <v>5</v>
      </c>
      <c r="E1245" s="50">
        <v>7.3999999999999996E-2</v>
      </c>
      <c r="F1245" s="108">
        <v>35</v>
      </c>
      <c r="G1245" s="51">
        <v>43862</v>
      </c>
      <c r="H1245" s="46">
        <v>500</v>
      </c>
      <c r="I1245" s="49" t="str">
        <f ca="1"/>
        <v>村上 浩一朗</v>
      </c>
      <c r="J1245" s="109" t="s">
        <v>70</v>
      </c>
      <c r="K1245" s="49" t="s">
        <v>50</v>
      </c>
      <c r="L1245" s="100" t="s">
        <v>51</v>
      </c>
      <c r="M1245" s="107" t="s">
        <v>52</v>
      </c>
    </row>
    <row r="1246" spans="1:13" ht="16">
      <c r="A1246" s="101" t="str">
        <f t="shared" si="0"/>
        <v>OK</v>
      </c>
      <c r="B1246" s="49">
        <v>139074</v>
      </c>
      <c r="C1246" s="49" t="s">
        <v>1381</v>
      </c>
      <c r="D1246" s="49" t="s">
        <v>5</v>
      </c>
      <c r="E1246" s="50">
        <v>8.5000000000000006E-2</v>
      </c>
      <c r="F1246" s="108">
        <v>35</v>
      </c>
      <c r="G1246" s="51">
        <v>43862</v>
      </c>
      <c r="H1246" s="46">
        <v>500</v>
      </c>
      <c r="I1246" s="49" t="str">
        <f ca="1"/>
        <v>荻曽 克輝</v>
      </c>
      <c r="J1246" s="109" t="s">
        <v>1344</v>
      </c>
      <c r="K1246" s="49" t="s">
        <v>50</v>
      </c>
      <c r="L1246" s="100" t="s">
        <v>51</v>
      </c>
      <c r="M1246" s="107" t="s">
        <v>52</v>
      </c>
    </row>
    <row r="1247" spans="1:13" ht="16">
      <c r="A1247" s="101" t="str">
        <f t="shared" si="0"/>
        <v>OK</v>
      </c>
      <c r="B1247" s="49">
        <v>125308</v>
      </c>
      <c r="C1247" s="49" t="s">
        <v>1382</v>
      </c>
      <c r="D1247" s="49" t="s">
        <v>7</v>
      </c>
      <c r="E1247" s="50">
        <v>2.5999999999999999E-2</v>
      </c>
      <c r="F1247" s="108">
        <v>35</v>
      </c>
      <c r="G1247" s="51">
        <v>43862</v>
      </c>
      <c r="H1247" s="46">
        <v>400</v>
      </c>
      <c r="I1247" s="49" t="str">
        <f ca="1"/>
        <v>稲場 勇介</v>
      </c>
      <c r="J1247" s="109" t="s">
        <v>453</v>
      </c>
      <c r="K1247" s="49" t="s">
        <v>50</v>
      </c>
      <c r="L1247" s="100" t="s">
        <v>51</v>
      </c>
      <c r="M1247" s="107" t="s">
        <v>52</v>
      </c>
    </row>
    <row r="1248" spans="1:13" ht="16">
      <c r="A1248" s="101" t="str">
        <f t="shared" si="0"/>
        <v>OK</v>
      </c>
      <c r="B1248" s="49">
        <v>3200072</v>
      </c>
      <c r="C1248" s="49" t="s">
        <v>1383</v>
      </c>
      <c r="D1248" s="49" t="s">
        <v>7</v>
      </c>
      <c r="E1248" s="50">
        <v>7.9000000000000001E-2</v>
      </c>
      <c r="F1248" s="108">
        <v>32</v>
      </c>
      <c r="G1248" s="51">
        <v>43862</v>
      </c>
      <c r="H1248" s="46">
        <v>100</v>
      </c>
      <c r="I1248" s="49" t="str">
        <f ca="1"/>
        <v>松尾 尚樹</v>
      </c>
      <c r="J1248" s="109" t="s">
        <v>453</v>
      </c>
      <c r="K1248" s="49" t="s">
        <v>50</v>
      </c>
      <c r="L1248" s="100" t="s">
        <v>51</v>
      </c>
      <c r="M1248" s="107" t="s">
        <v>52</v>
      </c>
    </row>
    <row r="1249" spans="1:14" ht="16">
      <c r="A1249" s="101" t="str">
        <f t="shared" si="0"/>
        <v>OK</v>
      </c>
      <c r="B1249" s="49">
        <v>114949</v>
      </c>
      <c r="C1249" s="49" t="s">
        <v>1384</v>
      </c>
      <c r="D1249" s="49" t="s">
        <v>5</v>
      </c>
      <c r="E1249" s="50">
        <v>7.3999999999999996E-2</v>
      </c>
      <c r="F1249" s="108">
        <v>23</v>
      </c>
      <c r="G1249" s="51">
        <v>43862</v>
      </c>
      <c r="H1249" s="46">
        <v>700</v>
      </c>
      <c r="I1249" s="49" t="str">
        <f ca="1"/>
        <v>村上 浩一朗</v>
      </c>
      <c r="J1249" s="109" t="s">
        <v>70</v>
      </c>
      <c r="K1249" s="49" t="s">
        <v>50</v>
      </c>
      <c r="L1249" s="100" t="s">
        <v>51</v>
      </c>
      <c r="M1249" s="107" t="s">
        <v>52</v>
      </c>
    </row>
    <row r="1250" spans="1:14" ht="16">
      <c r="A1250" s="101" t="str">
        <f t="shared" si="0"/>
        <v>OK</v>
      </c>
      <c r="B1250" s="49">
        <v>131648</v>
      </c>
      <c r="C1250" s="49" t="s">
        <v>1385</v>
      </c>
      <c r="D1250" s="49" t="s">
        <v>7</v>
      </c>
      <c r="E1250" s="50">
        <v>6.9000000000000006E-2</v>
      </c>
      <c r="F1250" s="108">
        <v>19</v>
      </c>
      <c r="G1250" s="51">
        <v>43862</v>
      </c>
      <c r="H1250" s="46">
        <v>700</v>
      </c>
      <c r="I1250" s="49" t="str">
        <f ca="1"/>
        <v>小関 麻起</v>
      </c>
      <c r="J1250" s="109" t="s">
        <v>918</v>
      </c>
      <c r="K1250" s="49" t="s">
        <v>50</v>
      </c>
      <c r="L1250" s="100" t="s">
        <v>51</v>
      </c>
      <c r="M1250" s="107" t="s">
        <v>52</v>
      </c>
    </row>
    <row r="1251" spans="1:14" ht="16">
      <c r="A1251" s="101" t="str">
        <f t="shared" si="0"/>
        <v>OK</v>
      </c>
      <c r="B1251" s="49">
        <v>3200071</v>
      </c>
      <c r="C1251" s="49" t="s">
        <v>1386</v>
      </c>
      <c r="D1251" s="49" t="s">
        <v>7</v>
      </c>
      <c r="E1251" s="50">
        <v>7.9000000000000001E-2</v>
      </c>
      <c r="F1251" s="108">
        <v>12</v>
      </c>
      <c r="G1251" s="51">
        <v>43862</v>
      </c>
      <c r="H1251" s="46">
        <v>450</v>
      </c>
      <c r="I1251" s="49" t="str">
        <f ca="1"/>
        <v>松尾 尚樹</v>
      </c>
      <c r="J1251" s="109" t="s">
        <v>453</v>
      </c>
      <c r="K1251" s="49" t="s">
        <v>50</v>
      </c>
      <c r="L1251" s="100" t="s">
        <v>51</v>
      </c>
      <c r="M1251" s="107" t="s">
        <v>52</v>
      </c>
    </row>
    <row r="1252" spans="1:14" ht="16">
      <c r="A1252" s="101" t="str">
        <f t="shared" si="0"/>
        <v>OK</v>
      </c>
      <c r="B1252" s="49">
        <v>140344</v>
      </c>
      <c r="C1252" s="49" t="s">
        <v>1387</v>
      </c>
      <c r="D1252" s="49" t="s">
        <v>7</v>
      </c>
      <c r="E1252" s="50">
        <v>5.5E-2</v>
      </c>
      <c r="F1252" s="108">
        <v>9</v>
      </c>
      <c r="G1252" s="51">
        <v>43862</v>
      </c>
      <c r="H1252" s="46">
        <v>300</v>
      </c>
      <c r="I1252" s="49" t="str">
        <f ca="1"/>
        <v>内丸 裕子</v>
      </c>
      <c r="J1252" s="109" t="s">
        <v>1388</v>
      </c>
      <c r="K1252" s="49" t="s">
        <v>50</v>
      </c>
      <c r="L1252" s="100" t="s">
        <v>51</v>
      </c>
      <c r="M1252" s="107" t="s">
        <v>52</v>
      </c>
    </row>
    <row r="1253" spans="1:14" ht="16">
      <c r="A1253" s="101" t="str">
        <f t="shared" si="0"/>
        <v>OK</v>
      </c>
      <c r="B1253" s="49">
        <v>136948</v>
      </c>
      <c r="C1253" s="49" t="s">
        <v>1389</v>
      </c>
      <c r="D1253" s="49" t="s">
        <v>5</v>
      </c>
      <c r="E1253" s="50">
        <v>9.2999999999999999E-2</v>
      </c>
      <c r="F1253" s="108">
        <v>63</v>
      </c>
      <c r="G1253" s="51">
        <v>43875</v>
      </c>
      <c r="H1253" s="46">
        <v>300</v>
      </c>
      <c r="I1253" s="49" t="str">
        <f ca="1"/>
        <v>荻曽 克輝</v>
      </c>
      <c r="J1253" s="109" t="s">
        <v>175</v>
      </c>
      <c r="K1253" s="49" t="s">
        <v>50</v>
      </c>
      <c r="L1253" s="100" t="s">
        <v>51</v>
      </c>
      <c r="M1253" s="107" t="s">
        <v>52</v>
      </c>
    </row>
    <row r="1254" spans="1:14" ht="16">
      <c r="A1254" s="101" t="str">
        <f t="shared" si="0"/>
        <v>OK</v>
      </c>
      <c r="B1254" s="49">
        <v>136751</v>
      </c>
      <c r="C1254" s="49" t="s">
        <v>1390</v>
      </c>
      <c r="D1254" s="49" t="s">
        <v>5</v>
      </c>
      <c r="E1254" s="50">
        <v>8.5000000000000006E-2</v>
      </c>
      <c r="F1254" s="108">
        <v>191</v>
      </c>
      <c r="G1254" s="51">
        <v>43879</v>
      </c>
      <c r="H1254" s="46">
        <v>50</v>
      </c>
      <c r="I1254" s="49" t="str">
        <f ca="1"/>
        <v>荻曽 克輝</v>
      </c>
      <c r="J1254" s="109" t="s">
        <v>175</v>
      </c>
      <c r="K1254" s="49" t="s">
        <v>50</v>
      </c>
      <c r="L1254" s="100" t="s">
        <v>51</v>
      </c>
      <c r="M1254" s="107" t="s">
        <v>52</v>
      </c>
    </row>
    <row r="1255" spans="1:14" ht="16">
      <c r="A1255" s="101" t="str">
        <f t="shared" si="0"/>
        <v>OK</v>
      </c>
      <c r="B1255" s="49">
        <v>135788</v>
      </c>
      <c r="C1255" s="49" t="s">
        <v>1391</v>
      </c>
      <c r="D1255" s="49" t="s">
        <v>5</v>
      </c>
      <c r="E1255" s="50">
        <v>8.5000000000000006E-2</v>
      </c>
      <c r="F1255" s="108">
        <v>186</v>
      </c>
      <c r="G1255" s="51">
        <v>43879</v>
      </c>
      <c r="H1255" s="46">
        <v>300</v>
      </c>
      <c r="I1255" s="49" t="str">
        <f ca="1"/>
        <v>荻曽 克輝</v>
      </c>
      <c r="J1255" s="109" t="s">
        <v>175</v>
      </c>
      <c r="K1255" s="49" t="s">
        <v>50</v>
      </c>
      <c r="L1255" s="100" t="s">
        <v>51</v>
      </c>
      <c r="M1255" s="107" t="s">
        <v>52</v>
      </c>
    </row>
    <row r="1256" spans="1:14" ht="16">
      <c r="A1256" s="101" t="str">
        <f t="shared" si="0"/>
        <v>OK</v>
      </c>
      <c r="B1256" s="49">
        <v>124636</v>
      </c>
      <c r="C1256" s="49" t="s">
        <v>1392</v>
      </c>
      <c r="D1256" s="49" t="s">
        <v>5</v>
      </c>
      <c r="E1256" s="50">
        <v>9.5000000000000001E-2</v>
      </c>
      <c r="F1256" s="108">
        <v>142</v>
      </c>
      <c r="G1256" s="51">
        <v>43881</v>
      </c>
      <c r="H1256" s="46">
        <v>0</v>
      </c>
      <c r="I1256" s="49" t="str">
        <f ca="1"/>
        <v>栗原 大武</v>
      </c>
      <c r="J1256" s="109" t="s">
        <v>631</v>
      </c>
      <c r="K1256" s="49" t="s">
        <v>50</v>
      </c>
      <c r="L1256" s="100" t="s">
        <v>51</v>
      </c>
      <c r="M1256" s="107" t="s">
        <v>52</v>
      </c>
    </row>
    <row r="1257" spans="1:14" ht="16">
      <c r="A1257" s="101" t="str">
        <f t="shared" si="0"/>
        <v>OK</v>
      </c>
      <c r="B1257" s="49">
        <v>130575</v>
      </c>
      <c r="C1257" s="49" t="s">
        <v>1393</v>
      </c>
      <c r="D1257" s="49" t="s">
        <v>7</v>
      </c>
      <c r="E1257" s="50">
        <v>9.5000000000000001E-2</v>
      </c>
      <c r="F1257" s="108">
        <v>14</v>
      </c>
      <c r="G1257" s="51">
        <v>43886</v>
      </c>
      <c r="H1257" s="46">
        <v>50</v>
      </c>
      <c r="I1257" s="49" t="str">
        <f ca="1"/>
        <v>栗原 大武</v>
      </c>
      <c r="J1257" s="109" t="s">
        <v>468</v>
      </c>
      <c r="K1257" s="49" t="s">
        <v>50</v>
      </c>
      <c r="L1257" s="100" t="s">
        <v>51</v>
      </c>
      <c r="M1257" s="107" t="s">
        <v>52</v>
      </c>
      <c r="N1257" s="100" t="s">
        <v>1347</v>
      </c>
    </row>
    <row r="1258" spans="1:14" ht="16">
      <c r="A1258" s="101" t="str">
        <f t="shared" si="0"/>
        <v>OK</v>
      </c>
      <c r="B1258" s="49">
        <v>130240</v>
      </c>
      <c r="C1258" s="49" t="s">
        <v>1394</v>
      </c>
      <c r="D1258" s="49" t="s">
        <v>5</v>
      </c>
      <c r="E1258" s="50">
        <v>9.2999999999999999E-2</v>
      </c>
      <c r="F1258" s="108">
        <v>470</v>
      </c>
      <c r="G1258" s="51">
        <v>43891</v>
      </c>
      <c r="H1258" s="46">
        <v>800</v>
      </c>
      <c r="I1258" s="49" t="str">
        <f ca="1"/>
        <v>荻曽 克輝</v>
      </c>
      <c r="J1258" s="109" t="s">
        <v>175</v>
      </c>
      <c r="K1258" s="49" t="s">
        <v>50</v>
      </c>
      <c r="L1258" s="100" t="s">
        <v>51</v>
      </c>
      <c r="M1258" s="107" t="s">
        <v>52</v>
      </c>
    </row>
    <row r="1259" spans="1:14" ht="16">
      <c r="A1259" s="101" t="str">
        <f t="shared" si="0"/>
        <v>OK</v>
      </c>
      <c r="B1259" s="49">
        <v>138613</v>
      </c>
      <c r="C1259" s="49" t="s">
        <v>1395</v>
      </c>
      <c r="D1259" s="49" t="s">
        <v>7</v>
      </c>
      <c r="E1259" s="50">
        <v>9.5000000000000001E-2</v>
      </c>
      <c r="F1259" s="108">
        <v>146</v>
      </c>
      <c r="G1259" s="51">
        <v>43891</v>
      </c>
      <c r="H1259" s="46">
        <v>396</v>
      </c>
      <c r="I1259" s="49" t="str">
        <f ca="1"/>
        <v>芳賀 亮輔</v>
      </c>
      <c r="J1259" s="109" t="s">
        <v>89</v>
      </c>
      <c r="K1259" s="49" t="s">
        <v>50</v>
      </c>
      <c r="L1259" s="100" t="s">
        <v>51</v>
      </c>
      <c r="M1259" s="107" t="s">
        <v>52</v>
      </c>
    </row>
    <row r="1260" spans="1:14" ht="16">
      <c r="A1260" s="101" t="str">
        <f t="shared" si="0"/>
        <v>OK</v>
      </c>
      <c r="B1260" s="49">
        <v>134783</v>
      </c>
      <c r="C1260" s="49" t="s">
        <v>1396</v>
      </c>
      <c r="D1260" s="49" t="s">
        <v>7</v>
      </c>
      <c r="E1260" s="50">
        <v>5.5E-2</v>
      </c>
      <c r="F1260" s="108">
        <v>133</v>
      </c>
      <c r="G1260" s="51">
        <v>43891</v>
      </c>
      <c r="H1260" s="46">
        <v>500</v>
      </c>
      <c r="I1260" s="49" t="str">
        <f ca="1"/>
        <v>菅野 ぎんが</v>
      </c>
      <c r="J1260" s="109" t="s">
        <v>185</v>
      </c>
      <c r="K1260" s="49" t="s">
        <v>50</v>
      </c>
      <c r="L1260" s="100" t="s">
        <v>51</v>
      </c>
      <c r="M1260" s="107" t="s">
        <v>52</v>
      </c>
    </row>
    <row r="1261" spans="1:14" ht="16">
      <c r="A1261" s="101" t="str">
        <f t="shared" si="0"/>
        <v>OK</v>
      </c>
      <c r="B1261" s="49">
        <v>128476</v>
      </c>
      <c r="C1261" s="49" t="s">
        <v>1397</v>
      </c>
      <c r="D1261" s="49" t="s">
        <v>7</v>
      </c>
      <c r="E1261" s="50">
        <v>5.5E-2</v>
      </c>
      <c r="F1261" s="108">
        <v>133</v>
      </c>
      <c r="G1261" s="51">
        <v>43891</v>
      </c>
      <c r="H1261" s="46">
        <v>50</v>
      </c>
      <c r="I1261" s="49" t="str">
        <f ca="1"/>
        <v>芳賀 亮輔</v>
      </c>
      <c r="J1261" s="109" t="s">
        <v>89</v>
      </c>
      <c r="K1261" s="49" t="s">
        <v>50</v>
      </c>
      <c r="L1261" s="100" t="s">
        <v>51</v>
      </c>
      <c r="M1261" s="107" t="s">
        <v>52</v>
      </c>
    </row>
    <row r="1262" spans="1:14" ht="16">
      <c r="A1262" s="101" t="str">
        <f t="shared" si="0"/>
        <v>OK</v>
      </c>
      <c r="B1262" s="49">
        <v>102202</v>
      </c>
      <c r="C1262" s="49" t="s">
        <v>1398</v>
      </c>
      <c r="D1262" s="49" t="s">
        <v>7</v>
      </c>
      <c r="E1262" s="50">
        <v>5.5E-2</v>
      </c>
      <c r="F1262" s="108">
        <v>114</v>
      </c>
      <c r="G1262" s="51">
        <v>43891</v>
      </c>
      <c r="H1262" s="46">
        <v>114</v>
      </c>
      <c r="I1262" s="49" t="str">
        <f ca="1"/>
        <v>菅野 ぎんが</v>
      </c>
      <c r="J1262" s="109" t="s">
        <v>532</v>
      </c>
      <c r="K1262" s="49" t="s">
        <v>50</v>
      </c>
      <c r="L1262" s="100" t="s">
        <v>51</v>
      </c>
      <c r="M1262" s="107" t="s">
        <v>52</v>
      </c>
    </row>
    <row r="1263" spans="1:14" ht="16">
      <c r="A1263" s="101" t="str">
        <f t="shared" si="0"/>
        <v>OK</v>
      </c>
      <c r="B1263" s="49">
        <v>126760</v>
      </c>
      <c r="C1263" s="49" t="s">
        <v>1399</v>
      </c>
      <c r="D1263" s="49" t="s">
        <v>5</v>
      </c>
      <c r="E1263" s="50">
        <v>8.5000000000000006E-2</v>
      </c>
      <c r="F1263" s="108">
        <v>104</v>
      </c>
      <c r="G1263" s="51">
        <v>43891</v>
      </c>
      <c r="H1263" s="46">
        <v>800</v>
      </c>
      <c r="I1263" s="49" t="str">
        <f ca="1"/>
        <v>荻曽 克輝</v>
      </c>
      <c r="J1263" s="109" t="s">
        <v>175</v>
      </c>
      <c r="K1263" s="49" t="s">
        <v>50</v>
      </c>
      <c r="L1263" s="100" t="s">
        <v>51</v>
      </c>
      <c r="M1263" s="107" t="s">
        <v>52</v>
      </c>
    </row>
    <row r="1264" spans="1:14" ht="16">
      <c r="A1264" s="101" t="str">
        <f t="shared" si="0"/>
        <v>OK</v>
      </c>
      <c r="B1264" s="49">
        <v>138889</v>
      </c>
      <c r="C1264" s="49" t="s">
        <v>1400</v>
      </c>
      <c r="D1264" s="49" t="s">
        <v>5</v>
      </c>
      <c r="E1264" s="50">
        <v>9.2999999999999999E-2</v>
      </c>
      <c r="F1264" s="108">
        <v>81</v>
      </c>
      <c r="G1264" s="51">
        <v>43891</v>
      </c>
      <c r="H1264" s="46">
        <v>1200</v>
      </c>
      <c r="I1264" s="49" t="str">
        <f ca="1"/>
        <v>桐山 勝気</v>
      </c>
      <c r="J1264" s="109" t="s">
        <v>175</v>
      </c>
      <c r="K1264" s="49" t="s">
        <v>50</v>
      </c>
      <c r="L1264" s="100" t="s">
        <v>51</v>
      </c>
      <c r="M1264" s="107" t="s">
        <v>52</v>
      </c>
    </row>
    <row r="1265" spans="1:13" ht="16">
      <c r="A1265" s="101" t="str">
        <f t="shared" si="0"/>
        <v>OK</v>
      </c>
      <c r="B1265" s="49">
        <v>125127</v>
      </c>
      <c r="C1265" s="49" t="s">
        <v>1401</v>
      </c>
      <c r="D1265" s="49" t="s">
        <v>7</v>
      </c>
      <c r="E1265" s="50">
        <v>5.5E-2</v>
      </c>
      <c r="F1265" s="108">
        <v>79</v>
      </c>
      <c r="G1265" s="51">
        <v>43891</v>
      </c>
      <c r="H1265" s="46">
        <v>50</v>
      </c>
      <c r="I1265" s="49" t="str">
        <f ca="1"/>
        <v>芳賀 亮輔</v>
      </c>
      <c r="J1265" s="109" t="s">
        <v>89</v>
      </c>
      <c r="K1265" s="49" t="s">
        <v>50</v>
      </c>
      <c r="L1265" s="100" t="s">
        <v>51</v>
      </c>
      <c r="M1265" s="107" t="s">
        <v>52</v>
      </c>
    </row>
    <row r="1266" spans="1:13" ht="16">
      <c r="A1266" s="101" t="str">
        <f t="shared" si="0"/>
        <v>OK</v>
      </c>
      <c r="B1266" s="49">
        <v>136920</v>
      </c>
      <c r="C1266" s="49" t="s">
        <v>1402</v>
      </c>
      <c r="D1266" s="49" t="s">
        <v>6</v>
      </c>
      <c r="E1266" s="50">
        <v>9.5000000000000001E-2</v>
      </c>
      <c r="F1266" s="108">
        <v>62</v>
      </c>
      <c r="G1266" s="51">
        <v>43891</v>
      </c>
      <c r="H1266" s="46">
        <v>2000</v>
      </c>
      <c r="I1266" s="49" t="str">
        <f ca="1"/>
        <v>松尾 尚樹</v>
      </c>
      <c r="J1266" s="109" t="s">
        <v>1325</v>
      </c>
      <c r="K1266" s="49" t="s">
        <v>50</v>
      </c>
      <c r="L1266" s="100" t="s">
        <v>51</v>
      </c>
      <c r="M1266" s="107" t="s">
        <v>52</v>
      </c>
    </row>
    <row r="1267" spans="1:13" ht="16">
      <c r="A1267" s="101" t="str">
        <f t="shared" si="0"/>
        <v>OK</v>
      </c>
      <c r="B1267" s="49">
        <v>135115</v>
      </c>
      <c r="C1267" s="49" t="s">
        <v>1403</v>
      </c>
      <c r="D1267" s="49" t="s">
        <v>5</v>
      </c>
      <c r="E1267" s="50">
        <v>9.8000000000000004E-2</v>
      </c>
      <c r="F1267" s="108">
        <v>60</v>
      </c>
      <c r="G1267" s="51">
        <v>43891</v>
      </c>
      <c r="H1267" s="46">
        <v>1000</v>
      </c>
      <c r="I1267" s="49" t="str">
        <f ca="1"/>
        <v>荻曽 克輝</v>
      </c>
      <c r="J1267" s="109" t="s">
        <v>175</v>
      </c>
      <c r="K1267" s="49" t="s">
        <v>50</v>
      </c>
      <c r="L1267" s="100" t="s">
        <v>51</v>
      </c>
      <c r="M1267" s="107" t="s">
        <v>52</v>
      </c>
    </row>
    <row r="1268" spans="1:13" ht="16">
      <c r="A1268" s="101" t="str">
        <f t="shared" si="0"/>
        <v>OK</v>
      </c>
      <c r="B1268" s="49">
        <v>139704</v>
      </c>
      <c r="C1268" s="49" t="s">
        <v>1404</v>
      </c>
      <c r="D1268" s="49" t="s">
        <v>7</v>
      </c>
      <c r="E1268" s="50">
        <v>3.4000000000000002E-2</v>
      </c>
      <c r="F1268" s="108">
        <v>59</v>
      </c>
      <c r="G1268" s="51">
        <v>43891</v>
      </c>
      <c r="H1268" s="46">
        <v>150</v>
      </c>
      <c r="I1268" s="49" t="str">
        <f ca="1"/>
        <v>松尾 尚樹</v>
      </c>
      <c r="J1268" s="109" t="s">
        <v>516</v>
      </c>
      <c r="K1268" s="49" t="s">
        <v>50</v>
      </c>
      <c r="L1268" s="100" t="s">
        <v>51</v>
      </c>
      <c r="M1268" s="107" t="s">
        <v>52</v>
      </c>
    </row>
    <row r="1269" spans="1:13" ht="16">
      <c r="A1269" s="101" t="str">
        <f t="shared" si="0"/>
        <v>OK</v>
      </c>
      <c r="B1269" s="49">
        <v>103081</v>
      </c>
      <c r="C1269" s="49" t="s">
        <v>1405</v>
      </c>
      <c r="D1269" s="49" t="s">
        <v>7</v>
      </c>
      <c r="E1269" s="50">
        <v>3.4000000000000002E-2</v>
      </c>
      <c r="F1269" s="108">
        <v>53</v>
      </c>
      <c r="G1269" s="51">
        <v>43891</v>
      </c>
      <c r="H1269" s="46">
        <v>150</v>
      </c>
      <c r="I1269" s="49" t="str">
        <f ca="1"/>
        <v>松尾 尚樹</v>
      </c>
      <c r="J1269" s="109" t="s">
        <v>516</v>
      </c>
      <c r="K1269" s="49" t="s">
        <v>50</v>
      </c>
      <c r="L1269" s="100" t="s">
        <v>51</v>
      </c>
      <c r="M1269" s="107" t="s">
        <v>52</v>
      </c>
    </row>
    <row r="1270" spans="1:13" ht="16">
      <c r="A1270" s="101" t="str">
        <f t="shared" si="0"/>
        <v>OK</v>
      </c>
      <c r="B1270" s="49">
        <v>139156</v>
      </c>
      <c r="C1270" s="49" t="s">
        <v>1406</v>
      </c>
      <c r="D1270" s="49" t="s">
        <v>7</v>
      </c>
      <c r="E1270" s="50">
        <v>7.2999999999999995E-2</v>
      </c>
      <c r="F1270" s="108">
        <v>49</v>
      </c>
      <c r="G1270" s="51">
        <v>43891</v>
      </c>
      <c r="H1270" s="46">
        <v>325</v>
      </c>
      <c r="I1270" s="49" t="str">
        <f ca="1"/>
        <v>松尾 尚樹</v>
      </c>
      <c r="J1270" s="109" t="s">
        <v>516</v>
      </c>
      <c r="K1270" s="49" t="s">
        <v>50</v>
      </c>
      <c r="L1270" s="100" t="s">
        <v>51</v>
      </c>
      <c r="M1270" s="107" t="s">
        <v>52</v>
      </c>
    </row>
    <row r="1271" spans="1:13" ht="16">
      <c r="A1271" s="101" t="str">
        <f t="shared" si="0"/>
        <v>OK</v>
      </c>
      <c r="B1271" s="49">
        <v>106172</v>
      </c>
      <c r="C1271" s="49" t="s">
        <v>1407</v>
      </c>
      <c r="D1271" s="49" t="s">
        <v>7</v>
      </c>
      <c r="E1271" s="50">
        <v>9.5000000000000001E-2</v>
      </c>
      <c r="F1271" s="108">
        <v>31</v>
      </c>
      <c r="G1271" s="51">
        <v>43891</v>
      </c>
      <c r="H1271" s="46">
        <v>80</v>
      </c>
      <c r="I1271" s="49" t="str">
        <f ca="1"/>
        <v>松尾 尚樹</v>
      </c>
      <c r="J1271" s="109" t="s">
        <v>918</v>
      </c>
      <c r="K1271" s="49" t="s">
        <v>50</v>
      </c>
      <c r="L1271" s="100" t="s">
        <v>51</v>
      </c>
      <c r="M1271" s="107" t="s">
        <v>52</v>
      </c>
    </row>
    <row r="1272" spans="1:13" ht="16">
      <c r="A1272" s="101" t="str">
        <f t="shared" si="0"/>
        <v>OK</v>
      </c>
      <c r="B1272" s="49">
        <v>125235</v>
      </c>
      <c r="C1272" s="49" t="s">
        <v>1408</v>
      </c>
      <c r="D1272" s="49" t="s">
        <v>7</v>
      </c>
      <c r="E1272" s="50">
        <v>5.3999999999999999E-2</v>
      </c>
      <c r="F1272" s="108">
        <v>26</v>
      </c>
      <c r="G1272" s="51">
        <v>43891</v>
      </c>
      <c r="H1272" s="46">
        <v>150</v>
      </c>
      <c r="I1272" s="49" t="str">
        <f ca="1"/>
        <v>稲場 勇介</v>
      </c>
      <c r="J1272" s="109" t="s">
        <v>918</v>
      </c>
      <c r="K1272" s="49" t="s">
        <v>50</v>
      </c>
      <c r="L1272" s="100" t="s">
        <v>51</v>
      </c>
      <c r="M1272" s="107" t="s">
        <v>52</v>
      </c>
    </row>
    <row r="1273" spans="1:13" ht="16">
      <c r="A1273" s="101" t="str">
        <f t="shared" si="0"/>
        <v>OK</v>
      </c>
      <c r="B1273" s="49">
        <v>120351</v>
      </c>
      <c r="C1273" s="49" t="s">
        <v>1409</v>
      </c>
      <c r="D1273" s="49" t="s">
        <v>7</v>
      </c>
      <c r="E1273" s="50">
        <v>7.2999999999999995E-2</v>
      </c>
      <c r="F1273" s="108">
        <v>1</v>
      </c>
      <c r="G1273" s="51">
        <v>43891</v>
      </c>
      <c r="H1273" s="46">
        <v>325</v>
      </c>
      <c r="I1273" s="49" t="str">
        <f ca="1"/>
        <v>松尾 尚樹</v>
      </c>
      <c r="J1273" s="109" t="s">
        <v>516</v>
      </c>
      <c r="K1273" s="49" t="s">
        <v>50</v>
      </c>
      <c r="L1273" s="100" t="s">
        <v>51</v>
      </c>
      <c r="M1273" s="107" t="s">
        <v>52</v>
      </c>
    </row>
    <row r="1274" spans="1:13" ht="16">
      <c r="A1274" s="101" t="str">
        <f t="shared" si="0"/>
        <v>OK</v>
      </c>
      <c r="B1274" s="49">
        <v>141793</v>
      </c>
      <c r="C1274" s="49" t="s">
        <v>1410</v>
      </c>
      <c r="D1274" s="49" t="s">
        <v>7</v>
      </c>
      <c r="E1274" s="50">
        <v>5.5E-2</v>
      </c>
      <c r="F1274" s="108">
        <v>219</v>
      </c>
      <c r="G1274" s="51">
        <v>43891</v>
      </c>
      <c r="H1274" s="46">
        <v>219</v>
      </c>
      <c r="I1274" s="49" t="str">
        <f ca="1"/>
        <v>老田 純輝</v>
      </c>
      <c r="J1274" s="109" t="s">
        <v>904</v>
      </c>
      <c r="K1274" s="49" t="s">
        <v>50</v>
      </c>
      <c r="L1274" s="100" t="s">
        <v>51</v>
      </c>
      <c r="M1274" s="107" t="s">
        <v>52</v>
      </c>
    </row>
    <row r="1275" spans="1:13" ht="16">
      <c r="A1275" s="101" t="str">
        <f t="shared" si="0"/>
        <v>OK</v>
      </c>
      <c r="B1275" s="49">
        <v>100472</v>
      </c>
      <c r="C1275" s="49" t="s">
        <v>1411</v>
      </c>
      <c r="D1275" s="49" t="s">
        <v>6</v>
      </c>
      <c r="E1275" s="50">
        <v>9.5000000000000001E-2</v>
      </c>
      <c r="F1275" s="108">
        <v>57</v>
      </c>
      <c r="G1275" s="51">
        <v>43900</v>
      </c>
      <c r="H1275" s="46">
        <v>2000</v>
      </c>
      <c r="I1275" s="49" t="str">
        <f ca="1"/>
        <v>松尾 尚樹</v>
      </c>
      <c r="J1275" s="109" t="s">
        <v>1325</v>
      </c>
      <c r="K1275" s="49" t="s">
        <v>50</v>
      </c>
      <c r="L1275" s="100" t="s">
        <v>51</v>
      </c>
      <c r="M1275" s="107" t="s">
        <v>52</v>
      </c>
    </row>
    <row r="1276" spans="1:13" ht="16">
      <c r="A1276" s="101" t="str">
        <f t="shared" si="0"/>
        <v>OK</v>
      </c>
      <c r="B1276" s="49">
        <v>127667</v>
      </c>
      <c r="C1276" s="49" t="s">
        <v>1412</v>
      </c>
      <c r="D1276" s="49" t="s">
        <v>5</v>
      </c>
      <c r="E1276" s="50">
        <v>8.7999999999999995E-2</v>
      </c>
      <c r="F1276" s="108">
        <v>352</v>
      </c>
      <c r="G1276" s="51">
        <v>43905</v>
      </c>
      <c r="H1276" s="46">
        <v>1000</v>
      </c>
      <c r="I1276" s="49" t="str">
        <f ca="1"/>
        <v>荻曽 克輝</v>
      </c>
      <c r="J1276" s="109" t="s">
        <v>70</v>
      </c>
      <c r="K1276" s="49" t="s">
        <v>50</v>
      </c>
      <c r="L1276" s="100" t="s">
        <v>51</v>
      </c>
      <c r="M1276" s="107" t="s">
        <v>52</v>
      </c>
    </row>
    <row r="1277" spans="1:13" ht="16">
      <c r="A1277" s="101" t="str">
        <f t="shared" si="0"/>
        <v>OK</v>
      </c>
      <c r="B1277" s="49">
        <v>121591</v>
      </c>
      <c r="C1277" s="49" t="s">
        <v>1413</v>
      </c>
      <c r="D1277" s="49" t="s">
        <v>6</v>
      </c>
      <c r="E1277" s="50">
        <v>6.3E-2</v>
      </c>
      <c r="F1277" s="108">
        <v>275</v>
      </c>
      <c r="G1277" s="51">
        <v>43922</v>
      </c>
      <c r="H1277" s="46">
        <v>900</v>
      </c>
      <c r="I1277" s="49" t="str">
        <f ca="1"/>
        <v>菅野 ぎんが</v>
      </c>
      <c r="J1277" s="109" t="s">
        <v>185</v>
      </c>
      <c r="K1277" s="49" t="s">
        <v>50</v>
      </c>
      <c r="L1277" s="100" t="s">
        <v>51</v>
      </c>
      <c r="M1277" s="107" t="s">
        <v>52</v>
      </c>
    </row>
    <row r="1278" spans="1:13" ht="16">
      <c r="A1278" s="101" t="str">
        <f t="shared" si="0"/>
        <v>OK</v>
      </c>
      <c r="B1278" s="49">
        <v>138958</v>
      </c>
      <c r="C1278" s="49" t="s">
        <v>1414</v>
      </c>
      <c r="D1278" s="49" t="s">
        <v>7</v>
      </c>
      <c r="E1278" s="50">
        <v>0.1</v>
      </c>
      <c r="F1278" s="108">
        <v>106</v>
      </c>
      <c r="G1278" s="51">
        <v>43922</v>
      </c>
      <c r="H1278" s="46">
        <v>736</v>
      </c>
      <c r="I1278" s="49" t="str">
        <f ca="1"/>
        <v>芳賀 亮輔</v>
      </c>
      <c r="J1278" s="109" t="s">
        <v>89</v>
      </c>
      <c r="K1278" s="49" t="s">
        <v>50</v>
      </c>
      <c r="L1278" s="100" t="s">
        <v>51</v>
      </c>
      <c r="M1278" s="107" t="s">
        <v>52</v>
      </c>
    </row>
    <row r="1279" spans="1:13" ht="16">
      <c r="A1279" s="101" t="str">
        <f t="shared" si="0"/>
        <v>OK</v>
      </c>
      <c r="B1279" s="49">
        <v>122575</v>
      </c>
      <c r="C1279" s="49" t="s">
        <v>1415</v>
      </c>
      <c r="D1279" s="49" t="s">
        <v>6</v>
      </c>
      <c r="E1279" s="50">
        <v>6.3E-2</v>
      </c>
      <c r="F1279" s="108">
        <v>103</v>
      </c>
      <c r="G1279" s="51">
        <v>43922</v>
      </c>
      <c r="H1279" s="46">
        <v>500</v>
      </c>
      <c r="I1279" s="49" t="str">
        <f ca="1"/>
        <v>菅野 ぎんが</v>
      </c>
      <c r="J1279" s="109" t="s">
        <v>185</v>
      </c>
      <c r="K1279" s="49" t="s">
        <v>50</v>
      </c>
      <c r="L1279" s="100" t="s">
        <v>51</v>
      </c>
      <c r="M1279" s="107" t="s">
        <v>52</v>
      </c>
    </row>
    <row r="1280" spans="1:13" ht="16">
      <c r="A1280" s="101" t="str">
        <f t="shared" si="0"/>
        <v>OK</v>
      </c>
      <c r="B1280" s="49">
        <v>131165</v>
      </c>
      <c r="C1280" s="49" t="s">
        <v>1416</v>
      </c>
      <c r="D1280" s="49" t="s">
        <v>7</v>
      </c>
      <c r="E1280" s="50">
        <v>0.1</v>
      </c>
      <c r="F1280" s="108">
        <v>87</v>
      </c>
      <c r="G1280" s="51">
        <v>43922</v>
      </c>
      <c r="H1280" s="46">
        <v>700</v>
      </c>
      <c r="I1280" s="49" t="str">
        <f ca="1"/>
        <v>芳賀 亮輔</v>
      </c>
      <c r="J1280" s="109" t="s">
        <v>89</v>
      </c>
      <c r="K1280" s="49" t="s">
        <v>50</v>
      </c>
      <c r="L1280" s="100" t="s">
        <v>51</v>
      </c>
      <c r="M1280" s="107" t="s">
        <v>52</v>
      </c>
    </row>
    <row r="1281" spans="1:13" ht="16">
      <c r="A1281" s="101" t="str">
        <f t="shared" si="0"/>
        <v>OK</v>
      </c>
      <c r="B1281" s="49">
        <v>118137</v>
      </c>
      <c r="C1281" s="49" t="s">
        <v>1417</v>
      </c>
      <c r="D1281" s="49" t="s">
        <v>5</v>
      </c>
      <c r="E1281" s="50">
        <v>9.0999999999999998E-2</v>
      </c>
      <c r="F1281" s="108">
        <v>75</v>
      </c>
      <c r="G1281" s="51">
        <v>43910</v>
      </c>
      <c r="H1281" s="46">
        <v>1800</v>
      </c>
      <c r="I1281" s="49" t="str">
        <f ca="1"/>
        <v>桐山 勝気</v>
      </c>
      <c r="J1281" s="109" t="s">
        <v>70</v>
      </c>
      <c r="K1281" s="49" t="s">
        <v>50</v>
      </c>
      <c r="L1281" s="100" t="s">
        <v>51</v>
      </c>
      <c r="M1281" s="107" t="s">
        <v>52</v>
      </c>
    </row>
    <row r="1282" spans="1:13" ht="16">
      <c r="A1282" s="101" t="str">
        <f t="shared" si="0"/>
        <v>OK</v>
      </c>
      <c r="B1282" s="49">
        <v>119116</v>
      </c>
      <c r="C1282" s="49" t="s">
        <v>1418</v>
      </c>
      <c r="D1282" s="49" t="s">
        <v>7</v>
      </c>
      <c r="E1282" s="50">
        <v>0.1</v>
      </c>
      <c r="F1282" s="108">
        <v>72</v>
      </c>
      <c r="G1282" s="51">
        <v>43922</v>
      </c>
      <c r="H1282" s="46">
        <v>800</v>
      </c>
      <c r="I1282" s="49" t="str">
        <f ca="1"/>
        <v>芳賀 亮輔</v>
      </c>
      <c r="J1282" s="109" t="s">
        <v>89</v>
      </c>
      <c r="K1282" s="49" t="s">
        <v>50</v>
      </c>
      <c r="L1282" s="100" t="s">
        <v>51</v>
      </c>
      <c r="M1282" s="107" t="s">
        <v>52</v>
      </c>
    </row>
    <row r="1283" spans="1:13" ht="16">
      <c r="A1283" s="101" t="str">
        <f t="shared" si="0"/>
        <v>OK</v>
      </c>
      <c r="B1283" s="49">
        <v>125741</v>
      </c>
      <c r="C1283" s="49" t="s">
        <v>1419</v>
      </c>
      <c r="D1283" s="49" t="s">
        <v>7</v>
      </c>
      <c r="E1283" s="50">
        <v>0.1</v>
      </c>
      <c r="F1283" s="108">
        <v>66</v>
      </c>
      <c r="G1283" s="51">
        <v>43922</v>
      </c>
      <c r="H1283" s="46">
        <v>700</v>
      </c>
      <c r="I1283" s="49" t="str">
        <f ca="1"/>
        <v>芳賀 亮輔</v>
      </c>
      <c r="J1283" s="109" t="s">
        <v>89</v>
      </c>
      <c r="K1283" s="49" t="s">
        <v>50</v>
      </c>
      <c r="L1283" s="100" t="s">
        <v>51</v>
      </c>
      <c r="M1283" s="107" t="s">
        <v>52</v>
      </c>
    </row>
    <row r="1284" spans="1:13" ht="16">
      <c r="A1284" s="101" t="str">
        <f t="shared" si="0"/>
        <v>OK</v>
      </c>
      <c r="B1284" s="49">
        <v>106735</v>
      </c>
      <c r="C1284" s="49" t="s">
        <v>1420</v>
      </c>
      <c r="D1284" s="49" t="s">
        <v>7</v>
      </c>
      <c r="E1284" s="50">
        <v>0.09</v>
      </c>
      <c r="F1284" s="108">
        <v>51</v>
      </c>
      <c r="G1284" s="51">
        <v>43922</v>
      </c>
      <c r="H1284" s="46">
        <v>51</v>
      </c>
      <c r="I1284" s="49" t="str">
        <f ca="1"/>
        <v>菅野 ぎんが</v>
      </c>
      <c r="J1284" s="109" t="s">
        <v>453</v>
      </c>
      <c r="K1284" s="49" t="s">
        <v>50</v>
      </c>
      <c r="L1284" s="100" t="s">
        <v>51</v>
      </c>
      <c r="M1284" s="107" t="s">
        <v>52</v>
      </c>
    </row>
    <row r="1285" spans="1:13" ht="16">
      <c r="A1285" s="101" t="str">
        <f t="shared" si="0"/>
        <v>OK</v>
      </c>
      <c r="B1285" s="49">
        <v>116715</v>
      </c>
      <c r="C1285" s="49" t="s">
        <v>1421</v>
      </c>
      <c r="D1285" s="49" t="s">
        <v>7</v>
      </c>
      <c r="E1285" s="50">
        <v>6.7000000000000004E-2</v>
      </c>
      <c r="F1285" s="108">
        <v>47</v>
      </c>
      <c r="G1285" s="51">
        <v>43922</v>
      </c>
      <c r="H1285" s="46">
        <v>200</v>
      </c>
      <c r="I1285" s="49" t="str">
        <f ca="1"/>
        <v>小関 麻起</v>
      </c>
      <c r="J1285" s="109" t="s">
        <v>516</v>
      </c>
      <c r="K1285" s="49" t="s">
        <v>50</v>
      </c>
      <c r="L1285" s="100" t="s">
        <v>51</v>
      </c>
      <c r="M1285" s="107" t="s">
        <v>52</v>
      </c>
    </row>
    <row r="1286" spans="1:13" ht="16">
      <c r="A1286" s="101" t="str">
        <f t="shared" si="0"/>
        <v>OK</v>
      </c>
      <c r="B1286" s="49">
        <v>125294</v>
      </c>
      <c r="C1286" s="49" t="s">
        <v>1422</v>
      </c>
      <c r="D1286" s="49" t="s">
        <v>7</v>
      </c>
      <c r="E1286" s="50">
        <v>0.105</v>
      </c>
      <c r="F1286" s="108">
        <v>45</v>
      </c>
      <c r="G1286" s="51">
        <v>43922</v>
      </c>
      <c r="H1286" s="46">
        <v>791</v>
      </c>
      <c r="I1286" s="49" t="str">
        <f ca="1"/>
        <v>芳賀 亮輔</v>
      </c>
      <c r="J1286" s="109" t="s">
        <v>89</v>
      </c>
      <c r="K1286" s="49" t="s">
        <v>50</v>
      </c>
      <c r="L1286" s="100" t="s">
        <v>51</v>
      </c>
      <c r="M1286" s="107" t="s">
        <v>52</v>
      </c>
    </row>
    <row r="1287" spans="1:13" ht="16">
      <c r="A1287" s="101" t="str">
        <f t="shared" si="0"/>
        <v>OK</v>
      </c>
      <c r="B1287" s="48">
        <v>133035</v>
      </c>
      <c r="C1287" s="49" t="s">
        <v>1423</v>
      </c>
      <c r="D1287" s="49" t="s">
        <v>5</v>
      </c>
      <c r="E1287" s="50">
        <v>6.9000000000000006E-2</v>
      </c>
      <c r="F1287" s="46">
        <v>37</v>
      </c>
      <c r="G1287" s="51">
        <v>43922</v>
      </c>
      <c r="H1287" s="46">
        <v>250</v>
      </c>
      <c r="I1287" s="49" t="str">
        <f ca="1"/>
        <v>稲場 勇介</v>
      </c>
      <c r="J1287" s="109" t="s">
        <v>918</v>
      </c>
      <c r="K1287" s="49" t="s">
        <v>50</v>
      </c>
      <c r="L1287" s="100" t="s">
        <v>51</v>
      </c>
      <c r="M1287" s="107" t="s">
        <v>52</v>
      </c>
    </row>
    <row r="1288" spans="1:13" ht="16">
      <c r="A1288" s="101" t="str">
        <f t="shared" si="0"/>
        <v>OK</v>
      </c>
      <c r="B1288" s="48">
        <v>142006</v>
      </c>
      <c r="C1288" s="49" t="s">
        <v>1424</v>
      </c>
      <c r="D1288" s="49" t="s">
        <v>7</v>
      </c>
      <c r="E1288" s="50">
        <v>0.06</v>
      </c>
      <c r="F1288" s="46">
        <v>250</v>
      </c>
      <c r="G1288" s="51">
        <v>43936</v>
      </c>
      <c r="H1288" s="46">
        <v>250</v>
      </c>
      <c r="I1288" s="49" t="str">
        <f ca="1"/>
        <v>老田 純輝</v>
      </c>
      <c r="J1288" s="109" t="s">
        <v>904</v>
      </c>
      <c r="K1288" s="49" t="s">
        <v>50</v>
      </c>
      <c r="L1288" s="100" t="s">
        <v>51</v>
      </c>
      <c r="M1288" s="107" t="s">
        <v>52</v>
      </c>
    </row>
    <row r="1289" spans="1:13" ht="16">
      <c r="A1289" s="101" t="str">
        <f t="shared" si="0"/>
        <v>OK</v>
      </c>
      <c r="B1289" s="48">
        <v>132644</v>
      </c>
      <c r="C1289" s="49" t="s">
        <v>1425</v>
      </c>
      <c r="D1289" s="49" t="s">
        <v>6</v>
      </c>
      <c r="E1289" s="50">
        <v>7.9000000000000001E-2</v>
      </c>
      <c r="F1289" s="46">
        <v>173</v>
      </c>
      <c r="G1289" s="51">
        <v>43891</v>
      </c>
      <c r="H1289" s="46">
        <v>173</v>
      </c>
      <c r="I1289" s="49" t="str">
        <f ca="1"/>
        <v>老田 純輝</v>
      </c>
      <c r="J1289" s="109" t="s">
        <v>904</v>
      </c>
      <c r="K1289" s="49" t="s">
        <v>50</v>
      </c>
      <c r="L1289" s="100" t="s">
        <v>51</v>
      </c>
      <c r="M1289" s="107" t="s">
        <v>52</v>
      </c>
    </row>
    <row r="1290" spans="1:13" ht="16">
      <c r="A1290" s="101" t="str">
        <f t="shared" si="0"/>
        <v>OK</v>
      </c>
      <c r="B1290" s="48">
        <v>107897</v>
      </c>
      <c r="C1290" s="49" t="s">
        <v>1426</v>
      </c>
      <c r="D1290" s="49" t="s">
        <v>7</v>
      </c>
      <c r="E1290" s="48" t="s">
        <v>1427</v>
      </c>
      <c r="F1290" s="46">
        <v>20</v>
      </c>
      <c r="G1290" s="51">
        <v>43952</v>
      </c>
      <c r="H1290" s="46">
        <v>20</v>
      </c>
      <c r="I1290" s="49" t="str">
        <f ca="1"/>
        <v>菅野 ぎんが</v>
      </c>
      <c r="J1290" s="109" t="s">
        <v>46</v>
      </c>
      <c r="K1290" s="49" t="s">
        <v>50</v>
      </c>
      <c r="L1290" s="100" t="s">
        <v>1428</v>
      </c>
      <c r="M1290" s="107" t="s">
        <v>52</v>
      </c>
    </row>
    <row r="1291" spans="1:13" ht="16">
      <c r="A1291" s="101" t="str">
        <f t="shared" si="0"/>
        <v>OK</v>
      </c>
      <c r="B1291" s="48">
        <v>118886</v>
      </c>
      <c r="C1291" s="49" t="s">
        <v>1429</v>
      </c>
      <c r="D1291" s="49" t="s">
        <v>7</v>
      </c>
      <c r="E1291" s="50">
        <v>3.2000000000000001E-2</v>
      </c>
      <c r="F1291" s="46">
        <v>350</v>
      </c>
      <c r="G1291" s="51">
        <v>43922</v>
      </c>
      <c r="H1291" s="46">
        <v>350</v>
      </c>
      <c r="I1291" s="49" t="str">
        <f ca="1"/>
        <v>稲場 勇介</v>
      </c>
      <c r="J1291" s="109" t="s">
        <v>517</v>
      </c>
      <c r="K1291" s="49" t="s">
        <v>50</v>
      </c>
      <c r="L1291" s="100" t="s">
        <v>51</v>
      </c>
      <c r="M1291" s="107" t="s">
        <v>52</v>
      </c>
    </row>
    <row r="1292" spans="1:13" ht="16">
      <c r="A1292" s="101" t="str">
        <f t="shared" si="0"/>
        <v>OK</v>
      </c>
      <c r="B1292" s="48">
        <v>118888</v>
      </c>
      <c r="C1292" s="49" t="s">
        <v>1430</v>
      </c>
      <c r="D1292" s="49" t="s">
        <v>7</v>
      </c>
      <c r="E1292" s="50">
        <v>3.2000000000000001E-2</v>
      </c>
      <c r="F1292" s="46">
        <v>350</v>
      </c>
      <c r="G1292" s="51">
        <v>43922</v>
      </c>
      <c r="H1292" s="46">
        <v>350</v>
      </c>
      <c r="I1292" s="49" t="str">
        <f ca="1"/>
        <v>稲場 勇介</v>
      </c>
      <c r="J1292" s="109" t="s">
        <v>517</v>
      </c>
      <c r="K1292" s="49" t="s">
        <v>50</v>
      </c>
      <c r="L1292" s="100" t="s">
        <v>51</v>
      </c>
      <c r="M1292" s="107" t="s">
        <v>52</v>
      </c>
    </row>
    <row r="1293" spans="1:13" ht="16">
      <c r="A1293" s="101" t="str">
        <f t="shared" si="0"/>
        <v>OK</v>
      </c>
      <c r="B1293" s="48">
        <v>118889</v>
      </c>
      <c r="C1293" s="49" t="s">
        <v>1431</v>
      </c>
      <c r="D1293" s="49" t="s">
        <v>7</v>
      </c>
      <c r="E1293" s="50">
        <v>3.2000000000000001E-2</v>
      </c>
      <c r="F1293" s="46">
        <v>350</v>
      </c>
      <c r="G1293" s="51">
        <v>43922</v>
      </c>
      <c r="H1293" s="46">
        <v>350</v>
      </c>
      <c r="I1293" s="49" t="str">
        <f ca="1"/>
        <v>稲場 勇介</v>
      </c>
      <c r="J1293" s="109" t="s">
        <v>517</v>
      </c>
      <c r="K1293" s="49" t="s">
        <v>50</v>
      </c>
      <c r="L1293" s="100" t="s">
        <v>51</v>
      </c>
      <c r="M1293" s="107" t="s">
        <v>52</v>
      </c>
    </row>
    <row r="1294" spans="1:13" ht="16">
      <c r="A1294" s="101" t="str">
        <f t="shared" si="0"/>
        <v>OK</v>
      </c>
      <c r="B1294" s="48">
        <v>128006</v>
      </c>
      <c r="C1294" s="49" t="s">
        <v>1432</v>
      </c>
      <c r="D1294" s="49" t="s">
        <v>7</v>
      </c>
      <c r="E1294" s="50">
        <v>3.2000000000000001E-2</v>
      </c>
      <c r="F1294" s="46">
        <v>350</v>
      </c>
      <c r="G1294" s="51">
        <v>43922</v>
      </c>
      <c r="H1294" s="46">
        <v>350</v>
      </c>
      <c r="I1294" s="49" t="str">
        <f ca="1"/>
        <v>稲場 勇介</v>
      </c>
      <c r="J1294" s="109" t="s">
        <v>517</v>
      </c>
      <c r="K1294" s="49" t="s">
        <v>50</v>
      </c>
      <c r="L1294" s="100" t="s">
        <v>51</v>
      </c>
      <c r="M1294" s="107" t="s">
        <v>52</v>
      </c>
    </row>
    <row r="1295" spans="1:13" ht="16">
      <c r="A1295" s="101" t="str">
        <f t="shared" si="0"/>
        <v>OK</v>
      </c>
      <c r="B1295" s="48">
        <v>121160</v>
      </c>
      <c r="C1295" s="49" t="s">
        <v>1433</v>
      </c>
      <c r="D1295" s="49" t="s">
        <v>7</v>
      </c>
      <c r="E1295" s="50">
        <v>8.1000000000000003E-2</v>
      </c>
      <c r="F1295" s="46">
        <v>200</v>
      </c>
      <c r="G1295" s="51">
        <v>43952</v>
      </c>
      <c r="H1295" s="46">
        <v>200</v>
      </c>
      <c r="I1295" s="49" t="str">
        <f ca="1"/>
        <v>村上 浩一朗</v>
      </c>
      <c r="J1295" s="109" t="s">
        <v>70</v>
      </c>
      <c r="K1295" s="49" t="s">
        <v>50</v>
      </c>
      <c r="M1295" s="107" t="s">
        <v>52</v>
      </c>
    </row>
    <row r="1296" spans="1:13" ht="16">
      <c r="A1296" s="101" t="str">
        <f t="shared" si="0"/>
        <v>OK</v>
      </c>
      <c r="B1296" s="48">
        <v>122172</v>
      </c>
      <c r="C1296" s="49" t="s">
        <v>1434</v>
      </c>
      <c r="D1296" s="49" t="s">
        <v>5</v>
      </c>
      <c r="E1296" s="50">
        <v>9.2999999999999999E-2</v>
      </c>
      <c r="F1296" s="46">
        <v>12</v>
      </c>
      <c r="G1296" s="51">
        <v>43938</v>
      </c>
      <c r="H1296" s="46">
        <v>300</v>
      </c>
      <c r="I1296" s="49" t="str">
        <f ca="1"/>
        <v>小関 麻起</v>
      </c>
      <c r="J1296" s="109" t="s">
        <v>175</v>
      </c>
      <c r="K1296" s="49" t="s">
        <v>50</v>
      </c>
      <c r="M1296" s="107" t="s">
        <v>52</v>
      </c>
    </row>
    <row r="1297" spans="1:13" ht="16">
      <c r="A1297" s="101" t="str">
        <f t="shared" si="0"/>
        <v>OK</v>
      </c>
      <c r="B1297" s="112">
        <v>137366</v>
      </c>
      <c r="C1297" s="49" t="s">
        <v>1435</v>
      </c>
      <c r="D1297" s="49" t="s">
        <v>7</v>
      </c>
      <c r="E1297" s="48" t="s">
        <v>1427</v>
      </c>
      <c r="F1297" s="46">
        <v>1</v>
      </c>
      <c r="G1297" s="51">
        <v>43952</v>
      </c>
      <c r="H1297" s="46">
        <v>15</v>
      </c>
      <c r="I1297" s="49" t="str">
        <f ca="1"/>
        <v>田嶋 将太</v>
      </c>
      <c r="J1297" s="109" t="s">
        <v>1436</v>
      </c>
      <c r="K1297" s="49" t="s">
        <v>50</v>
      </c>
      <c r="M1297" s="107" t="s">
        <v>52</v>
      </c>
    </row>
    <row r="1298" spans="1:13" ht="16">
      <c r="A1298" s="101" t="str">
        <f t="shared" si="0"/>
        <v>OK</v>
      </c>
      <c r="B1298" s="52">
        <v>135964</v>
      </c>
      <c r="C1298" s="49" t="s">
        <v>1437</v>
      </c>
      <c r="D1298" s="49" t="s">
        <v>7</v>
      </c>
      <c r="E1298" s="48" t="s">
        <v>1427</v>
      </c>
      <c r="F1298" s="46">
        <v>21</v>
      </c>
      <c r="G1298" s="51">
        <v>43952</v>
      </c>
      <c r="H1298" s="46">
        <v>40</v>
      </c>
      <c r="I1298" s="49" t="str">
        <f ca="1"/>
        <v>堀越 駿</v>
      </c>
      <c r="J1298" s="109" t="s">
        <v>1438</v>
      </c>
      <c r="K1298" s="49" t="s">
        <v>50</v>
      </c>
      <c r="M1298" s="107" t="s">
        <v>52</v>
      </c>
    </row>
    <row r="1299" spans="1:13" ht="16">
      <c r="A1299" s="101" t="str">
        <f t="shared" si="0"/>
        <v>OK</v>
      </c>
      <c r="B1299" s="48">
        <v>3905133</v>
      </c>
      <c r="C1299" s="49" t="s">
        <v>1439</v>
      </c>
      <c r="D1299" s="49" t="s">
        <v>7</v>
      </c>
      <c r="E1299" s="48" t="s">
        <v>1427</v>
      </c>
      <c r="F1299" s="46">
        <v>2</v>
      </c>
      <c r="G1299" s="51">
        <v>43952</v>
      </c>
      <c r="H1299" s="46">
        <v>35</v>
      </c>
      <c r="I1299" s="49" t="str">
        <f ca="1"/>
        <v>田嶋 将太</v>
      </c>
      <c r="J1299" s="109" t="s">
        <v>1436</v>
      </c>
      <c r="K1299" s="49" t="s">
        <v>50</v>
      </c>
      <c r="M1299" s="107" t="s">
        <v>52</v>
      </c>
    </row>
    <row r="1300" spans="1:13" ht="16">
      <c r="A1300" s="101" t="str">
        <f t="shared" si="0"/>
        <v>OK</v>
      </c>
      <c r="B1300" s="48">
        <v>106990</v>
      </c>
      <c r="C1300" s="49" t="s">
        <v>1440</v>
      </c>
      <c r="D1300" s="49" t="s">
        <v>7</v>
      </c>
      <c r="E1300" s="48" t="s">
        <v>1427</v>
      </c>
      <c r="F1300" s="46">
        <v>7</v>
      </c>
      <c r="G1300" s="51">
        <v>43952</v>
      </c>
      <c r="H1300" s="46">
        <v>40</v>
      </c>
      <c r="I1300" s="49" t="str">
        <f ca="1"/>
        <v>堀越 駿</v>
      </c>
      <c r="J1300" s="109" t="s">
        <v>1438</v>
      </c>
      <c r="K1300" s="49" t="s">
        <v>50</v>
      </c>
      <c r="M1300" s="107" t="s">
        <v>52</v>
      </c>
    </row>
    <row r="1301" spans="1:13" ht="16">
      <c r="A1301" s="101" t="str">
        <f t="shared" si="0"/>
        <v>OK</v>
      </c>
      <c r="B1301" s="48">
        <v>129790</v>
      </c>
      <c r="C1301" s="53" t="s">
        <v>1441</v>
      </c>
      <c r="D1301" s="49" t="s">
        <v>7</v>
      </c>
      <c r="E1301" s="48" t="s">
        <v>1427</v>
      </c>
      <c r="F1301" s="46">
        <v>30</v>
      </c>
      <c r="G1301" s="51">
        <v>43952</v>
      </c>
      <c r="H1301" s="46">
        <v>10</v>
      </c>
      <c r="I1301" s="49" t="str">
        <f ca="1"/>
        <v>菅野 ぎんが</v>
      </c>
      <c r="J1301" s="113"/>
      <c r="K1301" s="49" t="s">
        <v>50</v>
      </c>
      <c r="M1301" s="107" t="s">
        <v>52</v>
      </c>
    </row>
    <row r="1302" spans="1:13" ht="16">
      <c r="A1302" s="101" t="str">
        <f t="shared" si="0"/>
        <v>OK</v>
      </c>
      <c r="B1302" s="54">
        <v>130972</v>
      </c>
      <c r="C1302" s="55" t="s">
        <v>1442</v>
      </c>
      <c r="D1302" s="49" t="s">
        <v>7</v>
      </c>
      <c r="E1302" s="48" t="s">
        <v>1427</v>
      </c>
      <c r="F1302" s="46">
        <v>25</v>
      </c>
      <c r="G1302" s="51">
        <v>43952</v>
      </c>
      <c r="H1302" s="46">
        <v>20</v>
      </c>
      <c r="I1302" s="49" t="str">
        <f ca="1"/>
        <v>老田 純輝</v>
      </c>
      <c r="J1302" s="109" t="s">
        <v>904</v>
      </c>
      <c r="K1302" s="49" t="s">
        <v>50</v>
      </c>
      <c r="M1302" s="107" t="s">
        <v>52</v>
      </c>
    </row>
    <row r="1303" spans="1:13" ht="16">
      <c r="A1303" s="101" t="str">
        <f t="shared" si="0"/>
        <v>OK</v>
      </c>
      <c r="B1303" s="54">
        <v>134912</v>
      </c>
      <c r="C1303" s="56" t="s">
        <v>1443</v>
      </c>
      <c r="D1303" s="49" t="s">
        <v>7</v>
      </c>
      <c r="E1303" s="48" t="s">
        <v>1427</v>
      </c>
      <c r="F1303" s="46">
        <v>20</v>
      </c>
      <c r="G1303" s="51">
        <v>43952</v>
      </c>
      <c r="H1303" s="46">
        <v>20</v>
      </c>
      <c r="I1303" s="49" t="str">
        <f ca="1"/>
        <v>老田 純輝</v>
      </c>
      <c r="J1303" s="109" t="s">
        <v>904</v>
      </c>
      <c r="K1303" s="49" t="s">
        <v>50</v>
      </c>
      <c r="M1303" s="107" t="s">
        <v>52</v>
      </c>
    </row>
    <row r="1304" spans="1:13" ht="16">
      <c r="A1304" s="101" t="str">
        <f t="shared" si="0"/>
        <v>OK</v>
      </c>
      <c r="B1304" s="54">
        <v>3904497</v>
      </c>
      <c r="C1304" s="56" t="s">
        <v>1444</v>
      </c>
      <c r="D1304" s="49" t="s">
        <v>7</v>
      </c>
      <c r="E1304" s="48" t="s">
        <v>1427</v>
      </c>
      <c r="F1304" s="46">
        <v>15</v>
      </c>
      <c r="G1304" s="51">
        <v>43952</v>
      </c>
      <c r="H1304" s="46">
        <v>15</v>
      </c>
      <c r="I1304" s="49" t="str">
        <f ca="1"/>
        <v>老田 純輝</v>
      </c>
      <c r="J1304" s="109" t="s">
        <v>904</v>
      </c>
      <c r="K1304" s="49" t="s">
        <v>50</v>
      </c>
      <c r="M1304" s="107" t="s">
        <v>52</v>
      </c>
    </row>
    <row r="1305" spans="1:13" ht="16">
      <c r="A1305" s="101" t="str">
        <f t="shared" si="0"/>
        <v>OK</v>
      </c>
      <c r="B1305" s="54">
        <v>3905084</v>
      </c>
      <c r="C1305" s="56" t="s">
        <v>1445</v>
      </c>
      <c r="D1305" s="49" t="s">
        <v>7</v>
      </c>
      <c r="E1305" s="48" t="s">
        <v>1427</v>
      </c>
      <c r="F1305" s="46">
        <v>24</v>
      </c>
      <c r="G1305" s="51">
        <v>43952</v>
      </c>
      <c r="H1305" s="46">
        <v>24</v>
      </c>
      <c r="I1305" s="49" t="str">
        <f ca="1"/>
        <v>老田 純輝</v>
      </c>
      <c r="J1305" s="109" t="s">
        <v>904</v>
      </c>
      <c r="K1305" s="49" t="s">
        <v>50</v>
      </c>
      <c r="M1305" s="107" t="s">
        <v>52</v>
      </c>
    </row>
    <row r="1306" spans="1:13" ht="16">
      <c r="A1306" s="101" t="str">
        <f t="shared" si="0"/>
        <v>OK</v>
      </c>
      <c r="B1306" s="54">
        <v>138641</v>
      </c>
      <c r="C1306" s="56" t="s">
        <v>1446</v>
      </c>
      <c r="D1306" s="49" t="s">
        <v>7</v>
      </c>
      <c r="E1306" s="48" t="s">
        <v>1427</v>
      </c>
      <c r="F1306" s="46">
        <v>15</v>
      </c>
      <c r="G1306" s="51">
        <v>43952</v>
      </c>
      <c r="H1306" s="46">
        <v>15</v>
      </c>
      <c r="I1306" s="49" t="str">
        <f ca="1"/>
        <v>老田 純輝</v>
      </c>
      <c r="J1306" s="109" t="s">
        <v>904</v>
      </c>
      <c r="K1306" s="49" t="s">
        <v>50</v>
      </c>
      <c r="M1306" s="107" t="s">
        <v>52</v>
      </c>
    </row>
    <row r="1307" spans="1:13" ht="16">
      <c r="A1307" s="101" t="str">
        <f t="shared" si="0"/>
        <v>OK</v>
      </c>
      <c r="B1307" s="54">
        <v>135339</v>
      </c>
      <c r="C1307" s="55" t="s">
        <v>1447</v>
      </c>
      <c r="D1307" s="49" t="s">
        <v>7</v>
      </c>
      <c r="E1307" s="48" t="s">
        <v>1427</v>
      </c>
      <c r="F1307" s="46">
        <v>13</v>
      </c>
      <c r="G1307" s="51">
        <v>43952</v>
      </c>
      <c r="H1307" s="46">
        <v>13</v>
      </c>
      <c r="I1307" s="49" t="str">
        <f ca="1"/>
        <v>老田 純輝</v>
      </c>
      <c r="J1307" s="109" t="s">
        <v>904</v>
      </c>
      <c r="K1307" s="49" t="s">
        <v>50</v>
      </c>
      <c r="M1307" s="107" t="s">
        <v>52</v>
      </c>
    </row>
    <row r="1308" spans="1:13" ht="16">
      <c r="A1308" s="101" t="str">
        <f t="shared" si="0"/>
        <v>OK</v>
      </c>
      <c r="B1308" s="54">
        <v>139956</v>
      </c>
      <c r="C1308" s="56" t="s">
        <v>1448</v>
      </c>
      <c r="D1308" s="49" t="s">
        <v>7</v>
      </c>
      <c r="E1308" s="48" t="s">
        <v>1427</v>
      </c>
      <c r="F1308" s="46">
        <v>10</v>
      </c>
      <c r="G1308" s="51">
        <v>43952</v>
      </c>
      <c r="H1308" s="46">
        <v>10</v>
      </c>
      <c r="I1308" s="49" t="str">
        <f ca="1"/>
        <v>老田 純輝</v>
      </c>
      <c r="J1308" s="109" t="s">
        <v>904</v>
      </c>
      <c r="K1308" s="49" t="s">
        <v>50</v>
      </c>
      <c r="M1308" s="107" t="s">
        <v>52</v>
      </c>
    </row>
    <row r="1309" spans="1:13" ht="16">
      <c r="A1309" s="101" t="str">
        <f t="shared" si="0"/>
        <v>OK</v>
      </c>
      <c r="B1309" s="54">
        <v>139263</v>
      </c>
      <c r="C1309" s="56" t="s">
        <v>1449</v>
      </c>
      <c r="D1309" s="49" t="s">
        <v>7</v>
      </c>
      <c r="E1309" s="48" t="s">
        <v>1427</v>
      </c>
      <c r="F1309" s="46">
        <v>15</v>
      </c>
      <c r="G1309" s="51">
        <v>43952</v>
      </c>
      <c r="H1309" s="46">
        <v>15</v>
      </c>
      <c r="I1309" s="49" t="str">
        <f ca="1"/>
        <v>老田 純輝</v>
      </c>
      <c r="J1309" s="109" t="s">
        <v>904</v>
      </c>
      <c r="K1309" s="49" t="s">
        <v>50</v>
      </c>
      <c r="M1309" s="107" t="s">
        <v>52</v>
      </c>
    </row>
    <row r="1310" spans="1:13" ht="16">
      <c r="A1310" s="101" t="str">
        <f t="shared" si="0"/>
        <v>OK</v>
      </c>
      <c r="B1310" s="54">
        <v>140125</v>
      </c>
      <c r="C1310" s="56" t="s">
        <v>1450</v>
      </c>
      <c r="D1310" s="49" t="s">
        <v>7</v>
      </c>
      <c r="E1310" s="48" t="s">
        <v>1427</v>
      </c>
      <c r="F1310" s="46">
        <v>15</v>
      </c>
      <c r="G1310" s="51">
        <v>43952</v>
      </c>
      <c r="H1310" s="46">
        <v>15</v>
      </c>
      <c r="I1310" s="49" t="str">
        <f ca="1"/>
        <v>老田 純輝</v>
      </c>
      <c r="J1310" s="109" t="s">
        <v>904</v>
      </c>
      <c r="K1310" s="49" t="s">
        <v>50</v>
      </c>
      <c r="M1310" s="107" t="s">
        <v>52</v>
      </c>
    </row>
    <row r="1311" spans="1:13" ht="16">
      <c r="A1311" s="101" t="str">
        <f t="shared" si="0"/>
        <v>OK</v>
      </c>
      <c r="B1311" s="48">
        <v>126432</v>
      </c>
      <c r="C1311" s="49" t="s">
        <v>1451</v>
      </c>
      <c r="D1311" s="49" t="s">
        <v>7</v>
      </c>
      <c r="E1311" s="48" t="s">
        <v>1427</v>
      </c>
      <c r="F1311" s="46">
        <v>3</v>
      </c>
      <c r="G1311" s="51">
        <v>43952</v>
      </c>
      <c r="H1311" s="46">
        <v>20</v>
      </c>
      <c r="I1311" s="49" t="str">
        <f ca="1"/>
        <v>堀越 駿</v>
      </c>
      <c r="J1311" s="109" t="s">
        <v>1438</v>
      </c>
      <c r="K1311" s="49" t="s">
        <v>50</v>
      </c>
      <c r="M1311" s="107" t="s">
        <v>52</v>
      </c>
    </row>
    <row r="1312" spans="1:13" ht="16">
      <c r="A1312" s="101" t="str">
        <f t="shared" si="0"/>
        <v>OK</v>
      </c>
      <c r="B1312" s="48">
        <v>112361</v>
      </c>
      <c r="C1312" s="49" t="s">
        <v>1452</v>
      </c>
      <c r="D1312" s="49" t="s">
        <v>7</v>
      </c>
      <c r="E1312" s="48" t="s">
        <v>1427</v>
      </c>
      <c r="F1312" s="46">
        <v>16</v>
      </c>
      <c r="G1312" s="51">
        <v>43952</v>
      </c>
      <c r="H1312" s="46">
        <v>40</v>
      </c>
      <c r="I1312" s="49" t="str">
        <f ca="1"/>
        <v>堀越 駿</v>
      </c>
      <c r="J1312" s="109" t="s">
        <v>1438</v>
      </c>
      <c r="K1312" s="49" t="s">
        <v>50</v>
      </c>
      <c r="M1312" s="107" t="s">
        <v>52</v>
      </c>
    </row>
    <row r="1313" spans="1:13" ht="16">
      <c r="A1313" s="101" t="str">
        <f t="shared" si="0"/>
        <v>OK</v>
      </c>
      <c r="B1313" s="48">
        <v>3903801</v>
      </c>
      <c r="C1313" s="49" t="s">
        <v>1453</v>
      </c>
      <c r="D1313" s="49" t="s">
        <v>7</v>
      </c>
      <c r="E1313" s="48" t="s">
        <v>1427</v>
      </c>
      <c r="F1313" s="46">
        <v>10</v>
      </c>
      <c r="G1313" s="51">
        <v>43952</v>
      </c>
      <c r="H1313" s="46">
        <v>20</v>
      </c>
      <c r="I1313" s="49" t="str">
        <f ca="1"/>
        <v>堀越 駿</v>
      </c>
      <c r="J1313" s="109" t="s">
        <v>1438</v>
      </c>
      <c r="K1313" s="49" t="s">
        <v>50</v>
      </c>
      <c r="M1313" s="107" t="s">
        <v>52</v>
      </c>
    </row>
    <row r="1314" spans="1:13" ht="16">
      <c r="A1314" s="101" t="str">
        <f t="shared" si="0"/>
        <v>OK</v>
      </c>
      <c r="B1314" s="48">
        <v>8741</v>
      </c>
      <c r="C1314" s="49" t="s">
        <v>1454</v>
      </c>
      <c r="D1314" s="49" t="s">
        <v>7</v>
      </c>
      <c r="E1314" s="48" t="s">
        <v>1427</v>
      </c>
      <c r="F1314" s="46">
        <v>17</v>
      </c>
      <c r="G1314" s="51">
        <v>43952</v>
      </c>
      <c r="H1314" s="46">
        <v>30</v>
      </c>
      <c r="I1314" s="49" t="str">
        <f ca="1"/>
        <v>堀越 駿</v>
      </c>
      <c r="J1314" s="109" t="s">
        <v>1438</v>
      </c>
      <c r="K1314" s="49" t="s">
        <v>50</v>
      </c>
      <c r="M1314" s="107" t="s">
        <v>52</v>
      </c>
    </row>
    <row r="1315" spans="1:13" ht="16">
      <c r="A1315" s="101" t="str">
        <f t="shared" si="0"/>
        <v>OK</v>
      </c>
      <c r="B1315" s="48">
        <v>140298</v>
      </c>
      <c r="C1315" s="49" t="s">
        <v>1455</v>
      </c>
      <c r="D1315" s="49" t="s">
        <v>7</v>
      </c>
      <c r="E1315" s="50" t="s">
        <v>1427</v>
      </c>
      <c r="F1315" s="46">
        <v>20</v>
      </c>
      <c r="G1315" s="51">
        <v>43952</v>
      </c>
      <c r="H1315" s="46">
        <v>40</v>
      </c>
      <c r="I1315" s="49" t="str">
        <f ca="1"/>
        <v>堀越 駿</v>
      </c>
      <c r="J1315" s="109" t="s">
        <v>1438</v>
      </c>
      <c r="K1315" s="49" t="s">
        <v>50</v>
      </c>
      <c r="M1315" s="107" t="s">
        <v>52</v>
      </c>
    </row>
    <row r="1316" spans="1:13" ht="16">
      <c r="A1316" s="101" t="str">
        <f t="shared" si="0"/>
        <v>OK</v>
      </c>
      <c r="B1316" s="48">
        <v>132747</v>
      </c>
      <c r="C1316" s="49" t="s">
        <v>1456</v>
      </c>
      <c r="D1316" s="49" t="s">
        <v>7</v>
      </c>
      <c r="E1316" s="50" t="s">
        <v>1427</v>
      </c>
      <c r="F1316" s="46">
        <v>20</v>
      </c>
      <c r="G1316" s="51">
        <v>43952</v>
      </c>
      <c r="H1316" s="46">
        <v>50</v>
      </c>
      <c r="I1316" s="49" t="str">
        <f ca="1"/>
        <v>長谷川 陸朗</v>
      </c>
      <c r="J1316" s="109" t="s">
        <v>618</v>
      </c>
      <c r="K1316" s="49" t="s">
        <v>50</v>
      </c>
      <c r="M1316" s="107" t="s">
        <v>52</v>
      </c>
    </row>
    <row r="1317" spans="1:13" ht="16">
      <c r="A1317" s="101" t="str">
        <f t="shared" si="0"/>
        <v>OK</v>
      </c>
      <c r="B1317" s="48">
        <v>108324</v>
      </c>
      <c r="C1317" s="49" t="s">
        <v>1457</v>
      </c>
      <c r="D1317" s="49" t="s">
        <v>7</v>
      </c>
      <c r="E1317" s="57">
        <v>8.5000000000000006E-2</v>
      </c>
      <c r="F1317" s="46">
        <v>160</v>
      </c>
      <c r="G1317" s="51">
        <v>43952</v>
      </c>
      <c r="H1317" s="46">
        <v>1600</v>
      </c>
      <c r="I1317" s="49" t="str">
        <f ca="1"/>
        <v>長谷川 陸朗</v>
      </c>
      <c r="J1317" s="109" t="s">
        <v>618</v>
      </c>
      <c r="K1317" s="49" t="s">
        <v>50</v>
      </c>
      <c r="M1317" s="107" t="s">
        <v>52</v>
      </c>
    </row>
    <row r="1318" spans="1:13" ht="16">
      <c r="A1318" s="101" t="str">
        <f t="shared" si="0"/>
        <v>OK</v>
      </c>
      <c r="B1318" s="48">
        <v>125518</v>
      </c>
      <c r="C1318" s="49" t="s">
        <v>1458</v>
      </c>
      <c r="D1318" s="49" t="s">
        <v>7</v>
      </c>
      <c r="E1318" s="50">
        <v>5.5E-2</v>
      </c>
      <c r="F1318" s="46">
        <v>40</v>
      </c>
      <c r="G1318" s="51">
        <v>43952</v>
      </c>
      <c r="H1318" s="46">
        <v>80</v>
      </c>
      <c r="I1318" s="49" t="str">
        <f ca="1"/>
        <v>長谷川 陸朗</v>
      </c>
      <c r="J1318" s="109" t="s">
        <v>618</v>
      </c>
      <c r="K1318" s="49" t="s">
        <v>50</v>
      </c>
      <c r="M1318" s="107" t="s">
        <v>52</v>
      </c>
    </row>
    <row r="1319" spans="1:13" ht="16">
      <c r="A1319" s="101" t="str">
        <f t="shared" si="0"/>
        <v>OK</v>
      </c>
      <c r="B1319" s="48">
        <v>106947</v>
      </c>
      <c r="C1319" s="49" t="s">
        <v>1459</v>
      </c>
      <c r="D1319" s="49" t="s">
        <v>7</v>
      </c>
      <c r="E1319" s="50" t="s">
        <v>1427</v>
      </c>
      <c r="F1319" s="46">
        <v>22</v>
      </c>
      <c r="G1319" s="51">
        <v>43952</v>
      </c>
      <c r="H1319" s="46">
        <v>50</v>
      </c>
      <c r="I1319" s="49" t="str">
        <f ca="1"/>
        <v>松尾 尚樹</v>
      </c>
      <c r="J1319" s="113"/>
      <c r="K1319" s="49" t="s">
        <v>50</v>
      </c>
      <c r="M1319" s="107" t="s">
        <v>52</v>
      </c>
    </row>
    <row r="1320" spans="1:13" ht="16">
      <c r="A1320" s="101" t="str">
        <f t="shared" si="0"/>
        <v>OK</v>
      </c>
      <c r="B1320" s="48">
        <v>125272</v>
      </c>
      <c r="C1320" s="49" t="s">
        <v>1460</v>
      </c>
      <c r="D1320" s="49" t="s">
        <v>7</v>
      </c>
      <c r="E1320" s="50" t="s">
        <v>1427</v>
      </c>
      <c r="F1320" s="46">
        <v>19</v>
      </c>
      <c r="G1320" s="51">
        <v>43952</v>
      </c>
      <c r="H1320" s="46">
        <v>50</v>
      </c>
      <c r="I1320" s="49" t="str">
        <f ca="1"/>
        <v>松尾 尚樹</v>
      </c>
      <c r="J1320" s="113"/>
      <c r="K1320" s="49" t="s">
        <v>50</v>
      </c>
      <c r="M1320" s="107" t="s">
        <v>52</v>
      </c>
    </row>
    <row r="1321" spans="1:13" ht="16">
      <c r="A1321" s="101" t="str">
        <f t="shared" si="0"/>
        <v>OK</v>
      </c>
      <c r="B1321" s="48">
        <v>131149</v>
      </c>
      <c r="C1321" s="56" t="s">
        <v>1461</v>
      </c>
      <c r="D1321" s="49" t="s">
        <v>7</v>
      </c>
      <c r="E1321" s="50" t="s">
        <v>1427</v>
      </c>
      <c r="F1321" s="46">
        <v>15</v>
      </c>
      <c r="G1321" s="51">
        <v>43952</v>
      </c>
      <c r="H1321" s="46">
        <v>15</v>
      </c>
      <c r="I1321" s="49" t="str">
        <f ca="1"/>
        <v>老田 純輝</v>
      </c>
      <c r="J1321" s="109" t="s">
        <v>904</v>
      </c>
      <c r="K1321" s="49" t="s">
        <v>50</v>
      </c>
      <c r="M1321" s="107" t="s">
        <v>52</v>
      </c>
    </row>
    <row r="1322" spans="1:13" ht="16">
      <c r="A1322" s="101" t="str">
        <f t="shared" si="0"/>
        <v>OK</v>
      </c>
      <c r="B1322" s="58">
        <v>136476</v>
      </c>
      <c r="C1322" s="56" t="s">
        <v>1462</v>
      </c>
      <c r="D1322" s="49" t="s">
        <v>5</v>
      </c>
      <c r="E1322" s="50">
        <v>9.0999999999999998E-2</v>
      </c>
      <c r="F1322" s="46">
        <v>78</v>
      </c>
      <c r="G1322" s="51">
        <v>43952</v>
      </c>
      <c r="H1322" s="46">
        <v>78</v>
      </c>
      <c r="I1322" s="49" t="str">
        <f ca="1"/>
        <v>老田 純輝</v>
      </c>
      <c r="J1322" s="109" t="s">
        <v>904</v>
      </c>
      <c r="K1322" s="49" t="s">
        <v>50</v>
      </c>
      <c r="M1322" s="107" t="s">
        <v>52</v>
      </c>
    </row>
    <row r="1323" spans="1:13" ht="16">
      <c r="A1323" s="101" t="str">
        <f t="shared" si="0"/>
        <v>OK</v>
      </c>
      <c r="B1323" s="58">
        <v>3903945</v>
      </c>
      <c r="C1323" s="56" t="s">
        <v>1463</v>
      </c>
      <c r="D1323" s="49" t="s">
        <v>7</v>
      </c>
      <c r="E1323" s="50" t="s">
        <v>1427</v>
      </c>
      <c r="F1323" s="46">
        <v>20</v>
      </c>
      <c r="G1323" s="51">
        <v>43952</v>
      </c>
      <c r="H1323" s="46">
        <v>20</v>
      </c>
      <c r="I1323" s="49" t="str">
        <f ca="1"/>
        <v>老田 純輝</v>
      </c>
      <c r="J1323" s="109" t="s">
        <v>904</v>
      </c>
      <c r="K1323" s="49" t="s">
        <v>50</v>
      </c>
      <c r="M1323" s="107" t="s">
        <v>52</v>
      </c>
    </row>
    <row r="1324" spans="1:13" ht="16">
      <c r="A1324" s="101" t="str">
        <f t="shared" si="0"/>
        <v>OK</v>
      </c>
      <c r="B1324" s="58">
        <v>140125</v>
      </c>
      <c r="C1324" s="56" t="s">
        <v>1450</v>
      </c>
      <c r="D1324" s="49" t="s">
        <v>7</v>
      </c>
      <c r="E1324" s="50" t="s">
        <v>1427</v>
      </c>
      <c r="F1324" s="46">
        <v>20</v>
      </c>
      <c r="G1324" s="51">
        <v>43952</v>
      </c>
      <c r="H1324" s="46">
        <v>20</v>
      </c>
      <c r="I1324" s="49" t="str">
        <f ca="1"/>
        <v>老田 純輝</v>
      </c>
      <c r="J1324" s="109" t="s">
        <v>904</v>
      </c>
      <c r="K1324" s="49" t="s">
        <v>50</v>
      </c>
      <c r="M1324" s="107" t="s">
        <v>52</v>
      </c>
    </row>
    <row r="1325" spans="1:13" ht="16">
      <c r="A1325" s="101" t="str">
        <f t="shared" si="0"/>
        <v>OK</v>
      </c>
      <c r="B1325" s="59">
        <v>131870</v>
      </c>
      <c r="C1325" s="56" t="s">
        <v>1464</v>
      </c>
      <c r="D1325" s="49" t="s">
        <v>7</v>
      </c>
      <c r="E1325" s="50" t="s">
        <v>1427</v>
      </c>
      <c r="F1325" s="46">
        <v>15</v>
      </c>
      <c r="G1325" s="51">
        <v>43952</v>
      </c>
      <c r="H1325" s="46">
        <v>15</v>
      </c>
      <c r="I1325" s="49" t="str">
        <f ca="1"/>
        <v>老田 純輝</v>
      </c>
      <c r="J1325" s="109" t="s">
        <v>904</v>
      </c>
      <c r="K1325" s="49" t="s">
        <v>50</v>
      </c>
      <c r="M1325" s="107" t="s">
        <v>52</v>
      </c>
    </row>
    <row r="1326" spans="1:13" ht="16">
      <c r="A1326" s="101" t="str">
        <f t="shared" si="0"/>
        <v>OK</v>
      </c>
      <c r="B1326" s="48">
        <v>141496</v>
      </c>
      <c r="C1326" s="49" t="s">
        <v>160</v>
      </c>
      <c r="D1326" s="49" t="s">
        <v>7</v>
      </c>
      <c r="E1326" s="50" t="s">
        <v>1427</v>
      </c>
      <c r="F1326" s="46">
        <v>20</v>
      </c>
      <c r="G1326" s="51">
        <v>43952</v>
      </c>
      <c r="H1326" s="46">
        <v>50</v>
      </c>
      <c r="I1326" s="49" t="str">
        <f ca="1"/>
        <v>稲場 勇介</v>
      </c>
      <c r="J1326" s="109" t="s">
        <v>159</v>
      </c>
      <c r="K1326" s="49" t="s">
        <v>50</v>
      </c>
      <c r="M1326" s="107" t="s">
        <v>52</v>
      </c>
    </row>
    <row r="1327" spans="1:13" ht="16">
      <c r="A1327" s="101" t="str">
        <f t="shared" si="0"/>
        <v>OK</v>
      </c>
      <c r="B1327" s="48">
        <v>134098</v>
      </c>
      <c r="C1327" s="49" t="s">
        <v>1465</v>
      </c>
      <c r="D1327" s="49" t="s">
        <v>7</v>
      </c>
      <c r="E1327" s="50" t="s">
        <v>1427</v>
      </c>
      <c r="F1327" s="46">
        <v>13</v>
      </c>
      <c r="G1327" s="51">
        <v>43952</v>
      </c>
      <c r="H1327" s="46">
        <v>50</v>
      </c>
      <c r="I1327" s="49" t="str">
        <f ca="1"/>
        <v>堀越 駿</v>
      </c>
      <c r="J1327" s="109" t="s">
        <v>1438</v>
      </c>
      <c r="K1327" s="49" t="s">
        <v>50</v>
      </c>
      <c r="M1327" s="107" t="s">
        <v>52</v>
      </c>
    </row>
    <row r="1328" spans="1:13" ht="16">
      <c r="A1328" s="101" t="str">
        <f t="shared" si="0"/>
        <v>OK</v>
      </c>
      <c r="B1328" s="48">
        <v>125396</v>
      </c>
      <c r="C1328" s="49" t="s">
        <v>1466</v>
      </c>
      <c r="D1328" s="49" t="s">
        <v>7</v>
      </c>
      <c r="E1328" s="50" t="s">
        <v>1427</v>
      </c>
      <c r="F1328" s="46">
        <v>6</v>
      </c>
      <c r="G1328" s="51">
        <v>43952</v>
      </c>
      <c r="H1328" s="46">
        <v>50</v>
      </c>
      <c r="I1328" s="49" t="str">
        <f ca="1"/>
        <v>桑原 明子</v>
      </c>
      <c r="J1328" s="109" t="s">
        <v>1467</v>
      </c>
      <c r="K1328" s="49" t="s">
        <v>50</v>
      </c>
      <c r="M1328" s="107" t="s">
        <v>52</v>
      </c>
    </row>
    <row r="1329" spans="1:13" ht="16">
      <c r="A1329" s="101" t="str">
        <f t="shared" si="0"/>
        <v>OK</v>
      </c>
      <c r="B1329" s="48">
        <v>127435</v>
      </c>
      <c r="C1329" s="49" t="s">
        <v>1468</v>
      </c>
      <c r="D1329" s="49" t="s">
        <v>7</v>
      </c>
      <c r="E1329" s="50" t="s">
        <v>1427</v>
      </c>
      <c r="F1329" s="46">
        <v>10</v>
      </c>
      <c r="G1329" s="51">
        <v>43952</v>
      </c>
      <c r="H1329" s="46">
        <v>50</v>
      </c>
      <c r="I1329" s="49" t="str">
        <f ca="1"/>
        <v>桑原 明子</v>
      </c>
      <c r="J1329" s="109" t="s">
        <v>1467</v>
      </c>
      <c r="K1329" s="49" t="s">
        <v>50</v>
      </c>
      <c r="M1329" s="107" t="s">
        <v>52</v>
      </c>
    </row>
    <row r="1330" spans="1:13" ht="16">
      <c r="A1330" s="101" t="str">
        <f t="shared" si="0"/>
        <v>OK</v>
      </c>
      <c r="B1330" s="48">
        <v>125347</v>
      </c>
      <c r="C1330" s="49" t="s">
        <v>1469</v>
      </c>
      <c r="D1330" s="49" t="s">
        <v>7</v>
      </c>
      <c r="E1330" s="48" t="s">
        <v>1427</v>
      </c>
      <c r="F1330" s="46">
        <v>8</v>
      </c>
      <c r="G1330" s="51">
        <v>43952</v>
      </c>
      <c r="H1330" s="46">
        <v>48</v>
      </c>
      <c r="I1330" s="49" t="str">
        <f ca="1"/>
        <v>田嶋 将太</v>
      </c>
      <c r="J1330" s="109" t="s">
        <v>1436</v>
      </c>
      <c r="K1330" s="49" t="s">
        <v>50</v>
      </c>
      <c r="M1330" s="107" t="s">
        <v>52</v>
      </c>
    </row>
    <row r="1331" spans="1:13" ht="16">
      <c r="A1331" s="101" t="str">
        <f t="shared" si="0"/>
        <v>OK</v>
      </c>
      <c r="B1331" s="48">
        <v>113444</v>
      </c>
      <c r="C1331" s="49" t="s">
        <v>1470</v>
      </c>
      <c r="D1331" s="49" t="s">
        <v>7</v>
      </c>
      <c r="E1331" s="48" t="s">
        <v>1427</v>
      </c>
      <c r="F1331" s="46">
        <v>13</v>
      </c>
      <c r="G1331" s="51">
        <v>43952</v>
      </c>
      <c r="H1331" s="46">
        <v>30</v>
      </c>
      <c r="I1331" s="49" t="str">
        <f ca="1"/>
        <v>田嶋 将太</v>
      </c>
      <c r="J1331" s="109" t="s">
        <v>1436</v>
      </c>
      <c r="K1331" s="49" t="s">
        <v>50</v>
      </c>
      <c r="M1331" s="107" t="s">
        <v>52</v>
      </c>
    </row>
    <row r="1332" spans="1:13" ht="16">
      <c r="A1332" s="101" t="str">
        <f t="shared" si="0"/>
        <v>OK</v>
      </c>
      <c r="B1332" s="48">
        <v>139469</v>
      </c>
      <c r="C1332" s="49" t="s">
        <v>1471</v>
      </c>
      <c r="D1332" s="49" t="s">
        <v>7</v>
      </c>
      <c r="E1332" s="48" t="s">
        <v>1427</v>
      </c>
      <c r="F1332" s="46">
        <v>20</v>
      </c>
      <c r="G1332" s="51">
        <v>43952</v>
      </c>
      <c r="H1332" s="46">
        <v>40</v>
      </c>
      <c r="I1332" s="49" t="str">
        <f ca="1"/>
        <v>田嶋 将太</v>
      </c>
      <c r="J1332" s="109" t="s">
        <v>1436</v>
      </c>
      <c r="K1332" s="49" t="s">
        <v>50</v>
      </c>
      <c r="M1332" s="107" t="s">
        <v>52</v>
      </c>
    </row>
    <row r="1333" spans="1:13" ht="16">
      <c r="A1333" s="101" t="str">
        <f t="shared" si="0"/>
        <v>OK</v>
      </c>
      <c r="B1333" s="48" t="s">
        <v>1472</v>
      </c>
      <c r="C1333" s="49" t="s">
        <v>1473</v>
      </c>
      <c r="D1333" s="49" t="s">
        <v>6</v>
      </c>
      <c r="E1333" s="50">
        <v>6.9000000000000006E-2</v>
      </c>
      <c r="F1333" s="46">
        <v>200</v>
      </c>
      <c r="G1333" s="51">
        <v>43952</v>
      </c>
      <c r="H1333" s="46">
        <v>3000</v>
      </c>
      <c r="I1333" s="49" t="str">
        <f ca="1"/>
        <v>退会済</v>
      </c>
      <c r="J1333" s="109" t="s">
        <v>1388</v>
      </c>
      <c r="K1333" s="49" t="s">
        <v>50</v>
      </c>
      <c r="M1333" s="107" t="s">
        <v>52</v>
      </c>
    </row>
    <row r="1334" spans="1:13" ht="16">
      <c r="A1334" s="101" t="str">
        <f t="shared" si="0"/>
        <v>OK</v>
      </c>
      <c r="B1334" s="48" t="s">
        <v>1472</v>
      </c>
      <c r="C1334" s="49" t="s">
        <v>1474</v>
      </c>
      <c r="D1334" s="49" t="s">
        <v>6</v>
      </c>
      <c r="E1334" s="50">
        <v>6.9000000000000006E-2</v>
      </c>
      <c r="F1334" s="46">
        <v>200</v>
      </c>
      <c r="G1334" s="51">
        <v>43952</v>
      </c>
      <c r="H1334" s="46">
        <v>3000</v>
      </c>
      <c r="I1334" s="49" t="str">
        <f ca="1"/>
        <v>退会済</v>
      </c>
      <c r="J1334" s="109" t="s">
        <v>1388</v>
      </c>
      <c r="K1334" s="49" t="s">
        <v>50</v>
      </c>
      <c r="M1334" s="107" t="s">
        <v>52</v>
      </c>
    </row>
    <row r="1335" spans="1:13" ht="16">
      <c r="A1335" s="101" t="str">
        <f t="shared" si="0"/>
        <v>OK</v>
      </c>
      <c r="B1335" s="48" t="s">
        <v>1472</v>
      </c>
      <c r="C1335" s="49" t="s">
        <v>1475</v>
      </c>
      <c r="D1335" s="49" t="s">
        <v>6</v>
      </c>
      <c r="E1335" s="50">
        <v>6.9000000000000006E-2</v>
      </c>
      <c r="F1335" s="46">
        <v>200</v>
      </c>
      <c r="G1335" s="51">
        <v>43952</v>
      </c>
      <c r="H1335" s="46">
        <v>3000</v>
      </c>
      <c r="I1335" s="49" t="str">
        <f ca="1"/>
        <v>退会済</v>
      </c>
      <c r="J1335" s="109" t="s">
        <v>1388</v>
      </c>
      <c r="K1335" s="49" t="s">
        <v>50</v>
      </c>
      <c r="M1335" s="107" t="s">
        <v>52</v>
      </c>
    </row>
    <row r="1336" spans="1:13" ht="16">
      <c r="A1336" s="101" t="str">
        <f t="shared" si="0"/>
        <v>OK</v>
      </c>
      <c r="B1336" s="60">
        <v>122164</v>
      </c>
      <c r="C1336" s="49" t="s">
        <v>1476</v>
      </c>
      <c r="D1336" s="49" t="s">
        <v>5</v>
      </c>
      <c r="E1336" s="50">
        <v>8.3000000000000004E-2</v>
      </c>
      <c r="F1336" s="46">
        <v>50</v>
      </c>
      <c r="G1336" s="51">
        <v>43952</v>
      </c>
      <c r="H1336" s="46">
        <v>1200</v>
      </c>
      <c r="I1336" s="49" t="str">
        <f ca="1"/>
        <v>村上 浩一朗</v>
      </c>
      <c r="J1336" s="109" t="s">
        <v>70</v>
      </c>
      <c r="K1336" s="49" t="s">
        <v>50</v>
      </c>
      <c r="M1336" s="107" t="s">
        <v>52</v>
      </c>
    </row>
    <row r="1337" spans="1:13" ht="16">
      <c r="A1337" s="101" t="str">
        <f t="shared" si="0"/>
        <v>OK</v>
      </c>
      <c r="B1337" s="48">
        <v>123332</v>
      </c>
      <c r="C1337" s="49" t="s">
        <v>1477</v>
      </c>
      <c r="D1337" s="49" t="s">
        <v>5</v>
      </c>
      <c r="E1337" s="50">
        <v>8.3000000000000004E-2</v>
      </c>
      <c r="F1337" s="46">
        <v>50</v>
      </c>
      <c r="G1337" s="51">
        <v>43952</v>
      </c>
      <c r="H1337" s="46">
        <v>1200</v>
      </c>
      <c r="I1337" s="49" t="str">
        <f ca="1"/>
        <v>村上 浩一朗</v>
      </c>
      <c r="J1337" s="109" t="s">
        <v>70</v>
      </c>
      <c r="K1337" s="49" t="s">
        <v>50</v>
      </c>
      <c r="M1337" s="107" t="s">
        <v>52</v>
      </c>
    </row>
    <row r="1338" spans="1:13" ht="16">
      <c r="A1338" s="101" t="str">
        <f t="shared" si="0"/>
        <v>OK</v>
      </c>
      <c r="B1338" s="48">
        <v>124411</v>
      </c>
      <c r="C1338" s="49" t="s">
        <v>1478</v>
      </c>
      <c r="D1338" s="49" t="s">
        <v>5</v>
      </c>
      <c r="E1338" s="50">
        <v>8.3000000000000004E-2</v>
      </c>
      <c r="F1338" s="46">
        <v>30</v>
      </c>
      <c r="G1338" s="51">
        <v>43952</v>
      </c>
      <c r="H1338" s="46">
        <v>700</v>
      </c>
      <c r="I1338" s="49" t="str">
        <f ca="1"/>
        <v>村上 浩一朗</v>
      </c>
      <c r="J1338" s="109" t="s">
        <v>70</v>
      </c>
      <c r="K1338" s="49" t="s">
        <v>50</v>
      </c>
      <c r="M1338" s="107" t="s">
        <v>52</v>
      </c>
    </row>
    <row r="1339" spans="1:13" ht="16">
      <c r="A1339" s="101" t="str">
        <f t="shared" si="0"/>
        <v>OK</v>
      </c>
      <c r="B1339" s="48">
        <v>140319</v>
      </c>
      <c r="C1339" s="49" t="s">
        <v>1479</v>
      </c>
      <c r="D1339" s="49" t="s">
        <v>7</v>
      </c>
      <c r="E1339" s="48" t="s">
        <v>1427</v>
      </c>
      <c r="F1339" s="46">
        <v>3</v>
      </c>
      <c r="G1339" s="51">
        <v>43952</v>
      </c>
      <c r="H1339" s="46">
        <v>10</v>
      </c>
      <c r="I1339" s="49" t="str">
        <f ca="1"/>
        <v>田嶋 将太</v>
      </c>
      <c r="J1339" s="109" t="s">
        <v>1436</v>
      </c>
      <c r="K1339" s="49" t="s">
        <v>50</v>
      </c>
      <c r="M1339" s="107" t="s">
        <v>52</v>
      </c>
    </row>
    <row r="1340" spans="1:13" ht="16">
      <c r="A1340" s="101" t="str">
        <f t="shared" si="0"/>
        <v>OK</v>
      </c>
      <c r="B1340" s="48">
        <v>131928</v>
      </c>
      <c r="C1340" s="49" t="s">
        <v>1480</v>
      </c>
      <c r="D1340" s="49" t="s">
        <v>7</v>
      </c>
      <c r="E1340" s="48" t="s">
        <v>1427</v>
      </c>
      <c r="F1340" s="46">
        <v>3</v>
      </c>
      <c r="G1340" s="51">
        <v>43952</v>
      </c>
      <c r="H1340" s="46">
        <v>10</v>
      </c>
      <c r="I1340" s="49" t="str">
        <f ca="1"/>
        <v>田嶋 将太</v>
      </c>
      <c r="J1340" s="109" t="s">
        <v>1436</v>
      </c>
      <c r="K1340" s="49" t="s">
        <v>50</v>
      </c>
      <c r="M1340" s="107" t="s">
        <v>52</v>
      </c>
    </row>
    <row r="1341" spans="1:13" ht="16">
      <c r="A1341" s="101" t="str">
        <f t="shared" si="0"/>
        <v>OK</v>
      </c>
      <c r="B1341" s="48">
        <v>8125</v>
      </c>
      <c r="C1341" s="49" t="s">
        <v>1481</v>
      </c>
      <c r="D1341" s="49" t="s">
        <v>7</v>
      </c>
      <c r="E1341" s="48" t="s">
        <v>1427</v>
      </c>
      <c r="F1341" s="46">
        <v>45</v>
      </c>
      <c r="G1341" s="51">
        <v>43952</v>
      </c>
      <c r="H1341" s="46">
        <v>50</v>
      </c>
      <c r="I1341" s="49" t="str">
        <f ca="1"/>
        <v>長谷川 陸朗</v>
      </c>
      <c r="J1341" s="109" t="s">
        <v>618</v>
      </c>
      <c r="K1341" s="49" t="s">
        <v>50</v>
      </c>
      <c r="M1341" s="107" t="s">
        <v>52</v>
      </c>
    </row>
    <row r="1342" spans="1:13" ht="16">
      <c r="A1342" s="101" t="str">
        <f t="shared" si="0"/>
        <v>OK</v>
      </c>
      <c r="B1342" s="48">
        <v>138566</v>
      </c>
      <c r="C1342" s="49" t="s">
        <v>1482</v>
      </c>
      <c r="D1342" s="49" t="s">
        <v>7</v>
      </c>
      <c r="E1342" s="48" t="s">
        <v>1427</v>
      </c>
      <c r="F1342" s="46">
        <v>20</v>
      </c>
      <c r="G1342" s="51">
        <v>43952</v>
      </c>
      <c r="H1342" s="46">
        <v>40</v>
      </c>
      <c r="I1342" s="49" t="str">
        <f ca="1"/>
        <v>川島 幹也</v>
      </c>
      <c r="J1342" s="109" t="s">
        <v>1363</v>
      </c>
      <c r="K1342" s="49" t="s">
        <v>50</v>
      </c>
      <c r="M1342" s="107" t="s">
        <v>52</v>
      </c>
    </row>
    <row r="1343" spans="1:13" ht="16">
      <c r="A1343" s="101" t="str">
        <f t="shared" si="0"/>
        <v>OK</v>
      </c>
      <c r="B1343" s="48">
        <v>138214</v>
      </c>
      <c r="C1343" s="49" t="s">
        <v>1483</v>
      </c>
      <c r="D1343" s="49" t="s">
        <v>5</v>
      </c>
      <c r="E1343" s="50">
        <v>0.09</v>
      </c>
      <c r="F1343" s="46">
        <v>140</v>
      </c>
      <c r="G1343" s="51">
        <v>43952</v>
      </c>
      <c r="H1343" s="46">
        <v>700</v>
      </c>
      <c r="I1343" s="49" t="str">
        <f ca="1"/>
        <v>川島 幹也</v>
      </c>
      <c r="J1343" s="109" t="s">
        <v>1363</v>
      </c>
      <c r="K1343" s="49" t="s">
        <v>50</v>
      </c>
      <c r="M1343" s="107" t="s">
        <v>52</v>
      </c>
    </row>
    <row r="1344" spans="1:13" ht="16">
      <c r="A1344" s="101" t="str">
        <f t="shared" si="0"/>
        <v>OK</v>
      </c>
      <c r="B1344" s="48">
        <v>120987</v>
      </c>
      <c r="C1344" s="49" t="s">
        <v>1484</v>
      </c>
      <c r="D1344" s="49" t="s">
        <v>5</v>
      </c>
      <c r="E1344" s="50">
        <v>0.08</v>
      </c>
      <c r="F1344" s="46">
        <v>100</v>
      </c>
      <c r="G1344" s="51">
        <v>43952</v>
      </c>
      <c r="H1344" s="46">
        <v>500</v>
      </c>
      <c r="I1344" s="49" t="str">
        <f ca="1"/>
        <v>川島 幹也</v>
      </c>
      <c r="J1344" s="109" t="s">
        <v>1363</v>
      </c>
      <c r="K1344" s="49" t="s">
        <v>50</v>
      </c>
      <c r="M1344" s="107" t="s">
        <v>52</v>
      </c>
    </row>
    <row r="1345" spans="1:13" ht="16">
      <c r="A1345" s="101" t="str">
        <f t="shared" si="0"/>
        <v>OK</v>
      </c>
      <c r="B1345" s="48">
        <v>120989</v>
      </c>
      <c r="C1345" s="49" t="s">
        <v>1485</v>
      </c>
      <c r="D1345" s="49" t="s">
        <v>5</v>
      </c>
      <c r="E1345" s="50">
        <v>0.08</v>
      </c>
      <c r="F1345" s="46">
        <v>100</v>
      </c>
      <c r="G1345" s="51">
        <v>43952</v>
      </c>
      <c r="H1345" s="46">
        <v>300</v>
      </c>
      <c r="I1345" s="49" t="str">
        <f ca="1"/>
        <v>川島 幹也</v>
      </c>
      <c r="J1345" s="109" t="s">
        <v>1363</v>
      </c>
      <c r="K1345" s="49" t="s">
        <v>50</v>
      </c>
      <c r="M1345" s="107" t="s">
        <v>52</v>
      </c>
    </row>
    <row r="1346" spans="1:13" ht="16">
      <c r="A1346" s="101" t="str">
        <f t="shared" si="0"/>
        <v>OK</v>
      </c>
      <c r="B1346" s="48">
        <v>120990</v>
      </c>
      <c r="C1346" s="49" t="s">
        <v>1486</v>
      </c>
      <c r="D1346" s="49" t="s">
        <v>5</v>
      </c>
      <c r="E1346" s="50">
        <v>0.08</v>
      </c>
      <c r="F1346" s="46">
        <v>100</v>
      </c>
      <c r="G1346" s="51">
        <v>43952</v>
      </c>
      <c r="H1346" s="46">
        <v>100</v>
      </c>
      <c r="I1346" s="49" t="str">
        <f ca="1"/>
        <v>川島 幹也</v>
      </c>
      <c r="J1346" s="109" t="s">
        <v>1363</v>
      </c>
      <c r="K1346" s="49" t="s">
        <v>50</v>
      </c>
      <c r="M1346" s="107" t="s">
        <v>52</v>
      </c>
    </row>
    <row r="1347" spans="1:13" ht="16">
      <c r="A1347" s="101" t="str">
        <f t="shared" si="0"/>
        <v>OK</v>
      </c>
      <c r="B1347" s="48">
        <v>115853</v>
      </c>
      <c r="C1347" s="49" t="s">
        <v>1487</v>
      </c>
      <c r="D1347" s="49" t="s">
        <v>7</v>
      </c>
      <c r="E1347" s="48" t="s">
        <v>1427</v>
      </c>
      <c r="F1347" s="46">
        <v>15</v>
      </c>
      <c r="G1347" s="51">
        <v>43952</v>
      </c>
      <c r="H1347" s="46">
        <v>20</v>
      </c>
      <c r="I1347" s="49" t="str">
        <f ca="1"/>
        <v>松尾 尚樹</v>
      </c>
      <c r="J1347" s="113"/>
      <c r="K1347" s="49" t="s">
        <v>50</v>
      </c>
      <c r="M1347" s="107" t="s">
        <v>52</v>
      </c>
    </row>
    <row r="1348" spans="1:13" ht="16">
      <c r="A1348" s="101" t="str">
        <f t="shared" si="0"/>
        <v>未記入あり</v>
      </c>
      <c r="B1348" s="48" t="s">
        <v>1472</v>
      </c>
      <c r="C1348" s="49" t="s">
        <v>1488</v>
      </c>
      <c r="D1348" s="49" t="s">
        <v>7</v>
      </c>
      <c r="E1348" s="61">
        <v>7.0000000000000007E-2</v>
      </c>
      <c r="F1348" s="46">
        <v>60</v>
      </c>
      <c r="G1348" s="51">
        <v>43952</v>
      </c>
      <c r="H1348" s="46"/>
      <c r="I1348" s="49" t="str">
        <f ca="1"/>
        <v>退会済</v>
      </c>
      <c r="J1348" s="109" t="s">
        <v>1363</v>
      </c>
      <c r="K1348" s="49" t="s">
        <v>50</v>
      </c>
      <c r="M1348" s="107" t="s">
        <v>52</v>
      </c>
    </row>
    <row r="1349" spans="1:13" ht="16">
      <c r="A1349" s="101" t="str">
        <f t="shared" si="0"/>
        <v>OK</v>
      </c>
      <c r="B1349" s="48">
        <v>136372</v>
      </c>
      <c r="C1349" s="49" t="s">
        <v>1489</v>
      </c>
      <c r="D1349" s="49" t="s">
        <v>7</v>
      </c>
      <c r="E1349" s="48" t="s">
        <v>1427</v>
      </c>
      <c r="F1349" s="46">
        <v>30</v>
      </c>
      <c r="G1349" s="51">
        <v>43952</v>
      </c>
      <c r="H1349" s="46">
        <v>20</v>
      </c>
      <c r="I1349" s="49" t="str">
        <f ca="1"/>
        <v>内丸 裕子</v>
      </c>
      <c r="J1349" s="109" t="s">
        <v>1388</v>
      </c>
      <c r="K1349" s="49" t="s">
        <v>50</v>
      </c>
      <c r="M1349" s="107" t="s">
        <v>52</v>
      </c>
    </row>
    <row r="1350" spans="1:13" ht="16">
      <c r="A1350" s="101" t="str">
        <f t="shared" si="0"/>
        <v>OK</v>
      </c>
      <c r="B1350" s="70">
        <v>7068</v>
      </c>
      <c r="C1350" s="114" t="s">
        <v>1490</v>
      </c>
      <c r="D1350" s="49" t="s">
        <v>7</v>
      </c>
      <c r="E1350" s="48" t="s">
        <v>1427</v>
      </c>
      <c r="F1350" s="46">
        <v>20</v>
      </c>
      <c r="G1350" s="51">
        <v>43952</v>
      </c>
      <c r="H1350" s="46">
        <v>50</v>
      </c>
      <c r="I1350" s="49" t="str">
        <f ca="1"/>
        <v>成嶋 夏未</v>
      </c>
      <c r="J1350" s="109" t="s">
        <v>516</v>
      </c>
      <c r="K1350" s="49" t="s">
        <v>50</v>
      </c>
      <c r="M1350" s="107" t="s">
        <v>52</v>
      </c>
    </row>
    <row r="1351" spans="1:13" ht="16">
      <c r="A1351" s="101" t="str">
        <f t="shared" si="0"/>
        <v>OK</v>
      </c>
      <c r="B1351" s="48">
        <v>122507</v>
      </c>
      <c r="C1351" s="49" t="s">
        <v>1491</v>
      </c>
      <c r="D1351" s="49" t="s">
        <v>7</v>
      </c>
      <c r="E1351" s="48" t="s">
        <v>1427</v>
      </c>
      <c r="F1351" s="46">
        <v>20</v>
      </c>
      <c r="G1351" s="51">
        <v>43952</v>
      </c>
      <c r="H1351" s="46">
        <v>50</v>
      </c>
      <c r="I1351" s="49" t="str">
        <f ca="1"/>
        <v>長谷川 陸朗</v>
      </c>
      <c r="J1351" s="109" t="s">
        <v>618</v>
      </c>
      <c r="K1351" s="49" t="s">
        <v>50</v>
      </c>
      <c r="M1351" s="107" t="s">
        <v>52</v>
      </c>
    </row>
    <row r="1352" spans="1:13" ht="16">
      <c r="A1352" s="101" t="str">
        <f t="shared" si="0"/>
        <v>OK</v>
      </c>
      <c r="B1352" s="48">
        <v>122502</v>
      </c>
      <c r="C1352" s="49" t="s">
        <v>1492</v>
      </c>
      <c r="D1352" s="49" t="s">
        <v>7</v>
      </c>
      <c r="E1352" s="50">
        <v>0.06</v>
      </c>
      <c r="F1352" s="46">
        <v>11</v>
      </c>
      <c r="G1352" s="51">
        <v>43952</v>
      </c>
      <c r="H1352" s="46">
        <v>1200</v>
      </c>
      <c r="I1352" s="49" t="str">
        <f ca="1"/>
        <v>堀越 駿</v>
      </c>
      <c r="J1352" s="109" t="s">
        <v>1438</v>
      </c>
      <c r="K1352" s="49" t="s">
        <v>50</v>
      </c>
      <c r="M1352" s="107" t="s">
        <v>52</v>
      </c>
    </row>
    <row r="1353" spans="1:13" ht="16">
      <c r="A1353" s="101" t="str">
        <f t="shared" si="0"/>
        <v>OK</v>
      </c>
      <c r="B1353" s="48" t="s">
        <v>1472</v>
      </c>
      <c r="C1353" s="49" t="s">
        <v>1493</v>
      </c>
      <c r="D1353" s="49" t="s">
        <v>7</v>
      </c>
      <c r="E1353" s="48" t="s">
        <v>1427</v>
      </c>
      <c r="F1353" s="46">
        <v>200</v>
      </c>
      <c r="G1353" s="51">
        <v>43952</v>
      </c>
      <c r="H1353" s="46">
        <v>400</v>
      </c>
      <c r="I1353" s="49" t="str">
        <f ca="1"/>
        <v>退会済</v>
      </c>
      <c r="J1353" s="109" t="s">
        <v>159</v>
      </c>
      <c r="K1353" s="49" t="s">
        <v>50</v>
      </c>
      <c r="M1353" s="107" t="s">
        <v>52</v>
      </c>
    </row>
    <row r="1354" spans="1:13" ht="16">
      <c r="A1354" s="101" t="str">
        <f t="shared" si="0"/>
        <v>OK</v>
      </c>
      <c r="B1354" s="48">
        <v>141019</v>
      </c>
      <c r="C1354" s="49" t="s">
        <v>530</v>
      </c>
      <c r="D1354" s="49" t="s">
        <v>7</v>
      </c>
      <c r="E1354" s="48" t="s">
        <v>1427</v>
      </c>
      <c r="F1354" s="46">
        <v>200</v>
      </c>
      <c r="G1354" s="51">
        <v>43952</v>
      </c>
      <c r="H1354" s="46">
        <v>400</v>
      </c>
      <c r="I1354" s="49" t="str">
        <f ca="1"/>
        <v>稲場 勇介</v>
      </c>
      <c r="J1354" s="109" t="s">
        <v>159</v>
      </c>
      <c r="K1354" s="49" t="s">
        <v>50</v>
      </c>
      <c r="M1354" s="107" t="s">
        <v>52</v>
      </c>
    </row>
    <row r="1355" spans="1:13" ht="16">
      <c r="A1355" s="101" t="str">
        <f t="shared" si="0"/>
        <v>OK</v>
      </c>
      <c r="B1355" s="48">
        <v>135567</v>
      </c>
      <c r="C1355" s="49" t="s">
        <v>1494</v>
      </c>
      <c r="D1355" s="49" t="s">
        <v>5</v>
      </c>
      <c r="E1355" s="48">
        <v>8.6</v>
      </c>
      <c r="F1355" s="46">
        <v>31</v>
      </c>
      <c r="G1355" s="51">
        <v>43952</v>
      </c>
      <c r="H1355" s="46">
        <v>400</v>
      </c>
      <c r="I1355" s="49" t="str">
        <f ca="1"/>
        <v>村上 浩一朗</v>
      </c>
      <c r="J1355" s="109" t="s">
        <v>70</v>
      </c>
      <c r="K1355" s="49" t="s">
        <v>50</v>
      </c>
      <c r="M1355" s="107" t="s">
        <v>52</v>
      </c>
    </row>
    <row r="1356" spans="1:13" ht="16">
      <c r="A1356" s="101" t="str">
        <f t="shared" si="0"/>
        <v>OK</v>
      </c>
      <c r="B1356" s="48">
        <v>113869</v>
      </c>
      <c r="C1356" s="49" t="s">
        <v>1495</v>
      </c>
      <c r="D1356" s="49" t="s">
        <v>7</v>
      </c>
      <c r="E1356" s="48" t="s">
        <v>1427</v>
      </c>
      <c r="F1356" s="46">
        <v>29</v>
      </c>
      <c r="G1356" s="51">
        <v>43952</v>
      </c>
      <c r="H1356" s="46">
        <v>50</v>
      </c>
      <c r="I1356" s="49" t="str">
        <f ca="1"/>
        <v>稲場 勇介</v>
      </c>
      <c r="J1356" s="109" t="s">
        <v>159</v>
      </c>
      <c r="K1356" s="49" t="s">
        <v>50</v>
      </c>
      <c r="M1356" s="107" t="s">
        <v>52</v>
      </c>
    </row>
    <row r="1357" spans="1:13" ht="16">
      <c r="A1357" s="101" t="str">
        <f t="shared" si="0"/>
        <v>OK</v>
      </c>
      <c r="B1357" s="48">
        <v>138773</v>
      </c>
      <c r="C1357" s="49" t="s">
        <v>1496</v>
      </c>
      <c r="D1357" s="49" t="s">
        <v>5</v>
      </c>
      <c r="E1357" s="50">
        <v>0.04</v>
      </c>
      <c r="F1357" s="46">
        <v>104</v>
      </c>
      <c r="G1357" s="51">
        <v>43952</v>
      </c>
      <c r="H1357" s="46">
        <v>1200</v>
      </c>
      <c r="I1357" s="49" t="str">
        <f ca="1"/>
        <v>松尾 尚樹</v>
      </c>
      <c r="J1357" s="113"/>
      <c r="K1357" s="49" t="s">
        <v>50</v>
      </c>
      <c r="M1357" s="107" t="s">
        <v>52</v>
      </c>
    </row>
    <row r="1358" spans="1:13" ht="16">
      <c r="A1358" s="101" t="str">
        <f t="shared" si="0"/>
        <v>OK</v>
      </c>
      <c r="B1358" s="48">
        <v>141172</v>
      </c>
      <c r="C1358" s="49" t="s">
        <v>1497</v>
      </c>
      <c r="D1358" s="49" t="s">
        <v>7</v>
      </c>
      <c r="E1358" s="48" t="s">
        <v>1427</v>
      </c>
      <c r="F1358" s="46">
        <v>5</v>
      </c>
      <c r="G1358" s="51">
        <v>43983</v>
      </c>
      <c r="H1358" s="46">
        <v>10</v>
      </c>
      <c r="I1358" s="49" t="str">
        <f ca="1"/>
        <v>松尾 尚樹</v>
      </c>
      <c r="J1358" s="113"/>
      <c r="K1358" s="49" t="s">
        <v>50</v>
      </c>
      <c r="M1358" s="107" t="s">
        <v>52</v>
      </c>
    </row>
    <row r="1359" spans="1:13" ht="16">
      <c r="A1359" s="101" t="str">
        <f t="shared" si="0"/>
        <v>OK</v>
      </c>
      <c r="B1359" s="48">
        <v>101473</v>
      </c>
      <c r="C1359" s="49" t="s">
        <v>1498</v>
      </c>
      <c r="D1359" s="49" t="s">
        <v>7</v>
      </c>
      <c r="E1359" s="48" t="s">
        <v>1427</v>
      </c>
      <c r="F1359" s="46">
        <v>7</v>
      </c>
      <c r="G1359" s="51">
        <v>43952</v>
      </c>
      <c r="H1359" s="46">
        <v>20</v>
      </c>
      <c r="I1359" s="49" t="str">
        <f ca="1"/>
        <v>稲場 勇介</v>
      </c>
      <c r="J1359" s="109" t="s">
        <v>159</v>
      </c>
      <c r="K1359" s="49" t="s">
        <v>50</v>
      </c>
      <c r="M1359" s="107" t="s">
        <v>52</v>
      </c>
    </row>
    <row r="1360" spans="1:13" ht="16">
      <c r="A1360" s="101" t="str">
        <f t="shared" si="0"/>
        <v>OK</v>
      </c>
      <c r="B1360" s="48">
        <v>124783</v>
      </c>
      <c r="C1360" s="49" t="s">
        <v>1499</v>
      </c>
      <c r="D1360" s="49" t="s">
        <v>7</v>
      </c>
      <c r="E1360" s="48" t="s">
        <v>1427</v>
      </c>
      <c r="F1360" s="46">
        <v>3</v>
      </c>
      <c r="G1360" s="51">
        <v>43952</v>
      </c>
      <c r="H1360" s="46">
        <v>20</v>
      </c>
      <c r="I1360" s="49" t="str">
        <f ca="1"/>
        <v>稲場 勇介</v>
      </c>
      <c r="J1360" s="109" t="s">
        <v>159</v>
      </c>
      <c r="K1360" s="49" t="s">
        <v>50</v>
      </c>
      <c r="M1360" s="107" t="s">
        <v>52</v>
      </c>
    </row>
    <row r="1361" spans="1:13" ht="16">
      <c r="A1361" s="101" t="str">
        <f t="shared" si="0"/>
        <v>OK</v>
      </c>
      <c r="B1361" s="48">
        <v>118979</v>
      </c>
      <c r="C1361" s="49" t="s">
        <v>1500</v>
      </c>
      <c r="D1361" s="49" t="s">
        <v>7</v>
      </c>
      <c r="E1361" s="48" t="s">
        <v>1427</v>
      </c>
      <c r="F1361" s="46">
        <v>4</v>
      </c>
      <c r="G1361" s="51">
        <v>43983</v>
      </c>
      <c r="H1361" s="46">
        <v>9</v>
      </c>
      <c r="I1361" s="49" t="str">
        <f ca="1"/>
        <v>松尾 尚樹</v>
      </c>
      <c r="J1361" s="113"/>
      <c r="K1361" s="49" t="s">
        <v>50</v>
      </c>
      <c r="M1361" s="107" t="s">
        <v>52</v>
      </c>
    </row>
    <row r="1362" spans="1:13" ht="16">
      <c r="A1362" s="101" t="str">
        <f t="shared" si="0"/>
        <v>OK</v>
      </c>
      <c r="B1362" s="48">
        <v>119405</v>
      </c>
      <c r="C1362" s="49" t="s">
        <v>1501</v>
      </c>
      <c r="D1362" s="49" t="s">
        <v>7</v>
      </c>
      <c r="E1362" s="48" t="s">
        <v>1427</v>
      </c>
      <c r="F1362" s="46">
        <v>10</v>
      </c>
      <c r="G1362" s="51">
        <v>43952</v>
      </c>
      <c r="H1362" s="46">
        <v>15</v>
      </c>
      <c r="I1362" s="49" t="str">
        <f ca="1"/>
        <v>長谷川 陸朗</v>
      </c>
      <c r="J1362" s="109" t="s">
        <v>618</v>
      </c>
      <c r="K1362" s="49" t="s">
        <v>50</v>
      </c>
      <c r="M1362" s="107" t="s">
        <v>52</v>
      </c>
    </row>
    <row r="1363" spans="1:13" ht="16">
      <c r="A1363" s="101" t="str">
        <f t="shared" si="0"/>
        <v>OK</v>
      </c>
      <c r="B1363" s="48">
        <v>141546</v>
      </c>
      <c r="C1363" s="49" t="s">
        <v>1502</v>
      </c>
      <c r="D1363" s="49" t="s">
        <v>7</v>
      </c>
      <c r="E1363" s="48" t="s">
        <v>1427</v>
      </c>
      <c r="F1363" s="46">
        <v>25</v>
      </c>
      <c r="G1363" s="51">
        <v>43983</v>
      </c>
      <c r="H1363" s="46">
        <v>40</v>
      </c>
      <c r="I1363" s="49" t="str">
        <f ca="1"/>
        <v>長谷川 陸朗</v>
      </c>
      <c r="J1363" s="109" t="s">
        <v>618</v>
      </c>
      <c r="K1363" s="49" t="s">
        <v>50</v>
      </c>
      <c r="M1363" s="107" t="s">
        <v>52</v>
      </c>
    </row>
    <row r="1364" spans="1:13" ht="16">
      <c r="A1364" s="101" t="str">
        <f t="shared" si="0"/>
        <v>OK</v>
      </c>
      <c r="B1364" s="48">
        <v>120507</v>
      </c>
      <c r="C1364" s="49" t="s">
        <v>1503</v>
      </c>
      <c r="D1364" s="49" t="s">
        <v>5</v>
      </c>
      <c r="E1364" s="50">
        <v>8.5999999999999993E-2</v>
      </c>
      <c r="F1364" s="46">
        <v>40</v>
      </c>
      <c r="G1364" s="51">
        <v>43952</v>
      </c>
      <c r="H1364" s="46">
        <v>300</v>
      </c>
      <c r="I1364" s="49" t="str">
        <f ca="1"/>
        <v>村上 浩一朗</v>
      </c>
      <c r="J1364" s="109" t="s">
        <v>70</v>
      </c>
      <c r="K1364" s="49" t="s">
        <v>50</v>
      </c>
      <c r="M1364" s="107" t="s">
        <v>52</v>
      </c>
    </row>
    <row r="1365" spans="1:13" ht="16">
      <c r="A1365" s="101" t="str">
        <f t="shared" si="0"/>
        <v>OK</v>
      </c>
      <c r="B1365" s="48">
        <v>127629</v>
      </c>
      <c r="C1365" s="49" t="s">
        <v>1504</v>
      </c>
      <c r="D1365" s="49" t="s">
        <v>5</v>
      </c>
      <c r="E1365" s="50">
        <v>8.5999999999999993E-2</v>
      </c>
      <c r="F1365" s="46">
        <v>20</v>
      </c>
      <c r="G1365" s="51">
        <v>43952</v>
      </c>
      <c r="H1365" s="46">
        <v>300</v>
      </c>
      <c r="I1365" s="49" t="str">
        <f ca="1"/>
        <v>村上 浩一朗</v>
      </c>
      <c r="J1365" s="109" t="s">
        <v>70</v>
      </c>
      <c r="K1365" s="49" t="s">
        <v>50</v>
      </c>
      <c r="M1365" s="107" t="s">
        <v>52</v>
      </c>
    </row>
    <row r="1366" spans="1:13" ht="16">
      <c r="A1366" s="101" t="str">
        <f t="shared" si="0"/>
        <v>OK</v>
      </c>
      <c r="B1366" s="48">
        <v>7835</v>
      </c>
      <c r="C1366" s="49" t="s">
        <v>1505</v>
      </c>
      <c r="D1366" s="49" t="s">
        <v>7</v>
      </c>
      <c r="E1366" s="48" t="s">
        <v>1427</v>
      </c>
      <c r="F1366" s="46">
        <v>5</v>
      </c>
      <c r="G1366" s="51">
        <v>43952</v>
      </c>
      <c r="H1366" s="46">
        <v>50</v>
      </c>
      <c r="I1366" s="49" t="str">
        <f ca="1"/>
        <v>小関 麻起</v>
      </c>
      <c r="J1366" s="109" t="s">
        <v>175</v>
      </c>
      <c r="K1366" s="49" t="s">
        <v>50</v>
      </c>
      <c r="M1366" s="107" t="s">
        <v>52</v>
      </c>
    </row>
    <row r="1367" spans="1:13" ht="16">
      <c r="A1367" s="101" t="str">
        <f t="shared" si="0"/>
        <v>OK</v>
      </c>
      <c r="B1367" s="48">
        <v>136802</v>
      </c>
      <c r="C1367" s="49" t="s">
        <v>1506</v>
      </c>
      <c r="D1367" s="49" t="s">
        <v>7</v>
      </c>
      <c r="E1367" s="50">
        <v>7.8E-2</v>
      </c>
      <c r="F1367" s="46">
        <v>78</v>
      </c>
      <c r="G1367" s="51">
        <v>43952</v>
      </c>
      <c r="H1367" s="46">
        <v>2500</v>
      </c>
      <c r="I1367" s="49" t="str">
        <f ca="1"/>
        <v>小川 純</v>
      </c>
      <c r="J1367" s="109" t="s">
        <v>57</v>
      </c>
      <c r="K1367" s="49" t="s">
        <v>50</v>
      </c>
      <c r="M1367" s="107" t="s">
        <v>52</v>
      </c>
    </row>
    <row r="1368" spans="1:13" ht="16">
      <c r="A1368" s="101" t="str">
        <f t="shared" si="0"/>
        <v>OK</v>
      </c>
      <c r="B1368" s="48">
        <v>138737</v>
      </c>
      <c r="C1368" s="49" t="s">
        <v>1507</v>
      </c>
      <c r="D1368" s="49" t="s">
        <v>7</v>
      </c>
      <c r="E1368" s="50">
        <v>0.08</v>
      </c>
      <c r="F1368" s="46">
        <v>104</v>
      </c>
      <c r="G1368" s="51">
        <v>43952</v>
      </c>
      <c r="H1368" s="46">
        <v>350</v>
      </c>
      <c r="I1368" s="49" t="str">
        <f ca="1"/>
        <v>小川 純</v>
      </c>
      <c r="J1368" s="109" t="s">
        <v>57</v>
      </c>
      <c r="K1368" s="49" t="s">
        <v>50</v>
      </c>
      <c r="M1368" s="107" t="s">
        <v>52</v>
      </c>
    </row>
    <row r="1369" spans="1:13" ht="16">
      <c r="A1369" s="101" t="str">
        <f t="shared" si="0"/>
        <v>OK</v>
      </c>
      <c r="B1369" s="48">
        <v>120528</v>
      </c>
      <c r="C1369" s="49" t="s">
        <v>1508</v>
      </c>
      <c r="D1369" s="49" t="s">
        <v>7</v>
      </c>
      <c r="E1369" s="50">
        <v>0.08</v>
      </c>
      <c r="F1369" s="46">
        <v>51</v>
      </c>
      <c r="G1369" s="51">
        <v>43952</v>
      </c>
      <c r="H1369" s="46">
        <v>3200</v>
      </c>
      <c r="I1369" s="49" t="str">
        <f ca="1"/>
        <v>小川 純</v>
      </c>
      <c r="J1369" s="109" t="s">
        <v>57</v>
      </c>
      <c r="K1369" s="49" t="s">
        <v>50</v>
      </c>
      <c r="M1369" s="107" t="s">
        <v>52</v>
      </c>
    </row>
    <row r="1370" spans="1:13" ht="16">
      <c r="A1370" s="101" t="str">
        <f t="shared" si="0"/>
        <v>OK</v>
      </c>
      <c r="B1370" s="48">
        <v>122234</v>
      </c>
      <c r="C1370" s="49" t="s">
        <v>1509</v>
      </c>
      <c r="D1370" s="49" t="s">
        <v>7</v>
      </c>
      <c r="E1370" s="50">
        <v>0.08</v>
      </c>
      <c r="F1370" s="46">
        <v>7</v>
      </c>
      <c r="G1370" s="51">
        <v>43952</v>
      </c>
      <c r="H1370" s="46">
        <v>1900</v>
      </c>
      <c r="I1370" s="49" t="str">
        <f ca="1"/>
        <v>小川 純</v>
      </c>
      <c r="J1370" s="109" t="s">
        <v>57</v>
      </c>
      <c r="K1370" s="49" t="s">
        <v>50</v>
      </c>
      <c r="M1370" s="107" t="s">
        <v>52</v>
      </c>
    </row>
    <row r="1371" spans="1:13" ht="16">
      <c r="A1371" s="101" t="str">
        <f t="shared" si="0"/>
        <v>OK</v>
      </c>
      <c r="B1371" s="48">
        <v>122797</v>
      </c>
      <c r="C1371" s="49" t="s">
        <v>1510</v>
      </c>
      <c r="D1371" s="49" t="s">
        <v>7</v>
      </c>
      <c r="E1371" s="50">
        <v>0.08</v>
      </c>
      <c r="F1371" s="46">
        <v>12</v>
      </c>
      <c r="G1371" s="51">
        <v>43952</v>
      </c>
      <c r="H1371" s="46">
        <v>900</v>
      </c>
      <c r="I1371" s="49" t="str">
        <f ca="1"/>
        <v>小川 純</v>
      </c>
      <c r="J1371" s="109" t="s">
        <v>57</v>
      </c>
      <c r="K1371" s="49" t="s">
        <v>50</v>
      </c>
      <c r="M1371" s="107" t="s">
        <v>52</v>
      </c>
    </row>
    <row r="1372" spans="1:13" ht="16">
      <c r="A1372" s="101" t="str">
        <f t="shared" si="0"/>
        <v>OK</v>
      </c>
      <c r="B1372" s="48">
        <v>123071</v>
      </c>
      <c r="C1372" s="49" t="s">
        <v>1511</v>
      </c>
      <c r="D1372" s="49" t="s">
        <v>7</v>
      </c>
      <c r="E1372" s="50">
        <v>0.08</v>
      </c>
      <c r="F1372" s="46">
        <v>10</v>
      </c>
      <c r="G1372" s="51">
        <v>43952</v>
      </c>
      <c r="H1372" s="46">
        <v>1100</v>
      </c>
      <c r="I1372" s="49" t="str">
        <f ca="1"/>
        <v>小川 純</v>
      </c>
      <c r="J1372" s="109" t="s">
        <v>57</v>
      </c>
      <c r="K1372" s="49" t="s">
        <v>50</v>
      </c>
      <c r="M1372" s="107" t="s">
        <v>52</v>
      </c>
    </row>
    <row r="1373" spans="1:13" ht="16">
      <c r="A1373" s="101" t="str">
        <f t="shared" si="0"/>
        <v>OK</v>
      </c>
      <c r="B1373" s="48">
        <v>129750</v>
      </c>
      <c r="C1373" s="49" t="s">
        <v>1512</v>
      </c>
      <c r="D1373" s="49" t="s">
        <v>7</v>
      </c>
      <c r="E1373" s="50">
        <v>0.08</v>
      </c>
      <c r="F1373" s="46">
        <v>40</v>
      </c>
      <c r="G1373" s="51">
        <v>43952</v>
      </c>
      <c r="H1373" s="46">
        <v>1200</v>
      </c>
      <c r="I1373" s="49" t="str">
        <f ca="1"/>
        <v>小川 純</v>
      </c>
      <c r="J1373" s="109" t="s">
        <v>57</v>
      </c>
      <c r="K1373" s="49" t="s">
        <v>50</v>
      </c>
      <c r="M1373" s="107" t="s">
        <v>52</v>
      </c>
    </row>
    <row r="1374" spans="1:13" ht="16">
      <c r="A1374" s="101" t="str">
        <f t="shared" si="0"/>
        <v>OK</v>
      </c>
      <c r="B1374" s="48">
        <v>131103</v>
      </c>
      <c r="C1374" s="49" t="s">
        <v>1513</v>
      </c>
      <c r="D1374" s="49" t="s">
        <v>7</v>
      </c>
      <c r="E1374" s="50">
        <v>0.08</v>
      </c>
      <c r="F1374" s="46">
        <v>3</v>
      </c>
      <c r="G1374" s="51">
        <v>43952</v>
      </c>
      <c r="H1374" s="46">
        <v>700</v>
      </c>
      <c r="I1374" s="49" t="str">
        <f ca="1"/>
        <v>小川 純</v>
      </c>
      <c r="J1374" s="109" t="s">
        <v>57</v>
      </c>
      <c r="K1374" s="49" t="s">
        <v>50</v>
      </c>
      <c r="M1374" s="107" t="s">
        <v>52</v>
      </c>
    </row>
    <row r="1375" spans="1:13" ht="16">
      <c r="A1375" s="101" t="str">
        <f t="shared" si="0"/>
        <v>OK</v>
      </c>
      <c r="B1375" s="48">
        <v>134452</v>
      </c>
      <c r="C1375" s="49" t="s">
        <v>1514</v>
      </c>
      <c r="D1375" s="49" t="s">
        <v>7</v>
      </c>
      <c r="E1375" s="50">
        <v>0.08</v>
      </c>
      <c r="F1375" s="46">
        <v>20</v>
      </c>
      <c r="G1375" s="51">
        <v>43952</v>
      </c>
      <c r="H1375" s="46">
        <v>1000</v>
      </c>
      <c r="I1375" s="49" t="str">
        <f ca="1"/>
        <v>小川 純</v>
      </c>
      <c r="J1375" s="109" t="s">
        <v>57</v>
      </c>
      <c r="K1375" s="49" t="s">
        <v>50</v>
      </c>
      <c r="M1375" s="107" t="s">
        <v>52</v>
      </c>
    </row>
    <row r="1376" spans="1:13" ht="16">
      <c r="A1376" s="101" t="str">
        <f t="shared" si="0"/>
        <v>OK</v>
      </c>
      <c r="B1376" s="48">
        <v>1431</v>
      </c>
      <c r="C1376" s="62" t="s">
        <v>1515</v>
      </c>
      <c r="D1376" s="49" t="s">
        <v>7</v>
      </c>
      <c r="E1376" s="49">
        <v>6.5</v>
      </c>
      <c r="F1376" s="46">
        <v>6</v>
      </c>
      <c r="G1376" s="51">
        <v>43952</v>
      </c>
      <c r="H1376" s="46">
        <v>180</v>
      </c>
      <c r="I1376" s="49" t="str">
        <f ca="1"/>
        <v>小関 麻起</v>
      </c>
      <c r="J1376" s="109" t="s">
        <v>175</v>
      </c>
      <c r="K1376" s="49" t="s">
        <v>50</v>
      </c>
      <c r="M1376" s="107" t="s">
        <v>52</v>
      </c>
    </row>
    <row r="1377" spans="1:13" ht="16">
      <c r="A1377" s="101" t="str">
        <f t="shared" si="0"/>
        <v>OK</v>
      </c>
      <c r="B1377" s="48">
        <v>140169</v>
      </c>
      <c r="C1377" s="49" t="s">
        <v>1342</v>
      </c>
      <c r="D1377" s="49" t="s">
        <v>5</v>
      </c>
      <c r="E1377" s="57">
        <v>7.8E-2</v>
      </c>
      <c r="F1377" s="46">
        <v>100</v>
      </c>
      <c r="G1377" s="51">
        <v>43952</v>
      </c>
      <c r="H1377" s="46">
        <v>4500</v>
      </c>
      <c r="I1377" s="49" t="str">
        <f ca="1"/>
        <v>栗原 大武</v>
      </c>
      <c r="J1377" s="109" t="s">
        <v>468</v>
      </c>
      <c r="K1377" s="49" t="s">
        <v>50</v>
      </c>
      <c r="M1377" s="107" t="s">
        <v>52</v>
      </c>
    </row>
    <row r="1378" spans="1:13" ht="16">
      <c r="A1378" s="101" t="str">
        <f t="shared" si="0"/>
        <v>OK</v>
      </c>
      <c r="B1378" s="48">
        <v>139507</v>
      </c>
      <c r="C1378" s="49" t="s">
        <v>1516</v>
      </c>
      <c r="D1378" s="49" t="s">
        <v>5</v>
      </c>
      <c r="E1378" s="50">
        <v>8.8499999999999995E-2</v>
      </c>
      <c r="F1378" s="46">
        <v>400</v>
      </c>
      <c r="G1378" s="51">
        <v>43952</v>
      </c>
      <c r="H1378" s="46">
        <v>4000</v>
      </c>
      <c r="I1378" s="49" t="str">
        <f ca="1"/>
        <v>栗原 大武</v>
      </c>
      <c r="J1378" s="109" t="s">
        <v>468</v>
      </c>
      <c r="K1378" s="49" t="s">
        <v>50</v>
      </c>
      <c r="M1378" s="107" t="s">
        <v>52</v>
      </c>
    </row>
    <row r="1379" spans="1:13" ht="16">
      <c r="A1379" s="101" t="str">
        <f t="shared" si="0"/>
        <v>OK</v>
      </c>
      <c r="B1379" s="48">
        <v>119711</v>
      </c>
      <c r="C1379" s="49" t="s">
        <v>1517</v>
      </c>
      <c r="D1379" s="49" t="s">
        <v>5</v>
      </c>
      <c r="E1379" s="50">
        <v>8.8499999999999995E-2</v>
      </c>
      <c r="F1379" s="46">
        <v>400</v>
      </c>
      <c r="G1379" s="51">
        <v>43952</v>
      </c>
      <c r="H1379" s="46">
        <v>4000</v>
      </c>
      <c r="I1379" s="49" t="str">
        <f ca="1"/>
        <v>栗原 大武</v>
      </c>
      <c r="J1379" s="109" t="s">
        <v>468</v>
      </c>
      <c r="K1379" s="49" t="s">
        <v>50</v>
      </c>
      <c r="M1379" s="107" t="s">
        <v>52</v>
      </c>
    </row>
    <row r="1380" spans="1:13" ht="16">
      <c r="A1380" s="101" t="str">
        <f t="shared" si="0"/>
        <v>OK</v>
      </c>
      <c r="B1380" s="48">
        <v>110780</v>
      </c>
      <c r="C1380" s="49" t="s">
        <v>1518</v>
      </c>
      <c r="D1380" s="49" t="s">
        <v>5</v>
      </c>
      <c r="E1380" s="57">
        <v>8.8999999999999996E-2</v>
      </c>
      <c r="F1380" s="46">
        <v>100</v>
      </c>
      <c r="G1380" s="51">
        <v>43952</v>
      </c>
      <c r="H1380" s="46">
        <v>300</v>
      </c>
      <c r="I1380" s="49" t="str">
        <f ca="1"/>
        <v>栗原 大武</v>
      </c>
      <c r="J1380" s="109" t="s">
        <v>468</v>
      </c>
      <c r="K1380" s="49" t="s">
        <v>50</v>
      </c>
      <c r="M1380" s="107" t="s">
        <v>52</v>
      </c>
    </row>
    <row r="1381" spans="1:13" ht="16">
      <c r="A1381" s="101" t="str">
        <f t="shared" si="0"/>
        <v>OK</v>
      </c>
      <c r="B1381" s="48">
        <v>138374</v>
      </c>
      <c r="C1381" s="49" t="s">
        <v>1519</v>
      </c>
      <c r="D1381" s="49" t="s">
        <v>7</v>
      </c>
      <c r="E1381" s="57">
        <v>8.5000000000000006E-2</v>
      </c>
      <c r="F1381" s="46">
        <v>100</v>
      </c>
      <c r="G1381" s="51">
        <v>43952</v>
      </c>
      <c r="H1381" s="46">
        <v>2500</v>
      </c>
      <c r="I1381" s="49" t="str">
        <f ca="1"/>
        <v>栗原 大武</v>
      </c>
      <c r="J1381" s="109" t="s">
        <v>468</v>
      </c>
      <c r="K1381" s="49" t="s">
        <v>50</v>
      </c>
      <c r="M1381" s="107" t="s">
        <v>52</v>
      </c>
    </row>
    <row r="1382" spans="1:13" ht="16">
      <c r="A1382" s="101" t="str">
        <f t="shared" si="0"/>
        <v>OK</v>
      </c>
      <c r="B1382" s="48">
        <v>137194</v>
      </c>
      <c r="C1382" s="49" t="s">
        <v>1520</v>
      </c>
      <c r="D1382" s="49" t="s">
        <v>5</v>
      </c>
      <c r="E1382" s="57">
        <v>8.5000000000000006E-2</v>
      </c>
      <c r="F1382" s="46">
        <v>100</v>
      </c>
      <c r="G1382" s="51">
        <v>43952</v>
      </c>
      <c r="H1382" s="46">
        <v>1000</v>
      </c>
      <c r="I1382" s="49" t="str">
        <f ca="1"/>
        <v>栗原 大武</v>
      </c>
      <c r="J1382" s="109" t="s">
        <v>468</v>
      </c>
      <c r="K1382" s="49" t="s">
        <v>50</v>
      </c>
      <c r="M1382" s="107" t="s">
        <v>52</v>
      </c>
    </row>
    <row r="1383" spans="1:13" ht="16">
      <c r="A1383" s="101" t="str">
        <f t="shared" si="0"/>
        <v>OK</v>
      </c>
      <c r="B1383" s="48">
        <v>125505</v>
      </c>
      <c r="C1383" s="49" t="s">
        <v>1521</v>
      </c>
      <c r="D1383" s="49" t="s">
        <v>5</v>
      </c>
      <c r="E1383" s="57">
        <v>8.7999999999999995E-2</v>
      </c>
      <c r="F1383" s="46">
        <v>100</v>
      </c>
      <c r="G1383" s="51">
        <v>43952</v>
      </c>
      <c r="H1383" s="46">
        <v>1400</v>
      </c>
      <c r="I1383" s="49" t="str">
        <f ca="1"/>
        <v>荻曽 克輝</v>
      </c>
      <c r="J1383" s="109" t="s">
        <v>1344</v>
      </c>
      <c r="K1383" s="49" t="s">
        <v>50</v>
      </c>
      <c r="M1383" s="107" t="s">
        <v>52</v>
      </c>
    </row>
    <row r="1384" spans="1:13" ht="16">
      <c r="A1384" s="101" t="str">
        <f t="shared" si="0"/>
        <v>OK</v>
      </c>
      <c r="B1384" s="48" t="s">
        <v>1472</v>
      </c>
      <c r="C1384" s="49" t="s">
        <v>1522</v>
      </c>
      <c r="D1384" s="49" t="s">
        <v>7</v>
      </c>
      <c r="E1384" s="48" t="s">
        <v>1427</v>
      </c>
      <c r="F1384" s="46">
        <v>130</v>
      </c>
      <c r="G1384" s="51">
        <v>43952</v>
      </c>
      <c r="H1384" s="46">
        <v>500</v>
      </c>
      <c r="I1384" s="49" t="str">
        <f ca="1"/>
        <v>退会済</v>
      </c>
      <c r="J1384" s="109" t="s">
        <v>57</v>
      </c>
      <c r="K1384" s="49" t="s">
        <v>50</v>
      </c>
      <c r="M1384" s="107" t="s">
        <v>52</v>
      </c>
    </row>
    <row r="1385" spans="1:13" ht="16">
      <c r="A1385" s="101" t="str">
        <f t="shared" si="0"/>
        <v>OK</v>
      </c>
      <c r="B1385" s="48">
        <v>124401</v>
      </c>
      <c r="C1385" s="49" t="s">
        <v>1523</v>
      </c>
      <c r="D1385" s="49" t="s">
        <v>7</v>
      </c>
      <c r="E1385" s="48" t="s">
        <v>1427</v>
      </c>
      <c r="F1385" s="46">
        <v>130</v>
      </c>
      <c r="G1385" s="51">
        <v>43952</v>
      </c>
      <c r="H1385" s="46">
        <v>500</v>
      </c>
      <c r="I1385" s="49" t="str">
        <f ca="1"/>
        <v>小川 純</v>
      </c>
      <c r="J1385" s="109" t="s">
        <v>57</v>
      </c>
      <c r="K1385" s="49" t="s">
        <v>50</v>
      </c>
      <c r="M1385" s="107" t="s">
        <v>52</v>
      </c>
    </row>
    <row r="1386" spans="1:13" ht="16">
      <c r="A1386" s="101" t="str">
        <f t="shared" si="0"/>
        <v>OK</v>
      </c>
      <c r="B1386" s="48">
        <v>135145</v>
      </c>
      <c r="C1386" s="49" t="s">
        <v>1524</v>
      </c>
      <c r="D1386" s="49" t="s">
        <v>7</v>
      </c>
      <c r="E1386" s="48" t="s">
        <v>1427</v>
      </c>
      <c r="F1386" s="46">
        <v>20</v>
      </c>
      <c r="G1386" s="51">
        <v>43983</v>
      </c>
      <c r="H1386" s="46">
        <v>50</v>
      </c>
      <c r="I1386" s="49" t="str">
        <f ca="1"/>
        <v>長谷川 陸朗</v>
      </c>
      <c r="J1386" s="109" t="s">
        <v>618</v>
      </c>
      <c r="K1386" s="49" t="s">
        <v>50</v>
      </c>
      <c r="M1386" s="107" t="s">
        <v>52</v>
      </c>
    </row>
    <row r="1387" spans="1:13" ht="16">
      <c r="A1387" s="101" t="str">
        <f t="shared" si="0"/>
        <v>OK</v>
      </c>
      <c r="B1387" s="48">
        <v>110354</v>
      </c>
      <c r="C1387" s="53" t="s">
        <v>1525</v>
      </c>
      <c r="D1387" s="49" t="s">
        <v>7</v>
      </c>
      <c r="E1387" s="49" t="s">
        <v>1427</v>
      </c>
      <c r="F1387" s="46">
        <v>6</v>
      </c>
      <c r="G1387" s="51">
        <v>43952</v>
      </c>
      <c r="H1387" s="46">
        <v>20</v>
      </c>
      <c r="I1387" s="49" t="str">
        <f ca="1"/>
        <v>桑原 明子</v>
      </c>
      <c r="J1387" s="109" t="s">
        <v>1467</v>
      </c>
      <c r="K1387" s="49" t="s">
        <v>50</v>
      </c>
      <c r="M1387" s="107" t="s">
        <v>52</v>
      </c>
    </row>
    <row r="1388" spans="1:13" ht="16">
      <c r="A1388" s="101" t="str">
        <f t="shared" si="0"/>
        <v>OK</v>
      </c>
      <c r="B1388" s="48">
        <v>111127</v>
      </c>
      <c r="C1388" s="53" t="s">
        <v>1526</v>
      </c>
      <c r="D1388" s="49" t="s">
        <v>7</v>
      </c>
      <c r="E1388" s="49" t="s">
        <v>1427</v>
      </c>
      <c r="F1388" s="46">
        <v>0</v>
      </c>
      <c r="G1388" s="51">
        <v>43952</v>
      </c>
      <c r="H1388" s="46">
        <v>50</v>
      </c>
      <c r="I1388" s="49" t="str">
        <f ca="1"/>
        <v>桑原 明子</v>
      </c>
      <c r="J1388" s="109" t="s">
        <v>1467</v>
      </c>
      <c r="K1388" s="49" t="s">
        <v>50</v>
      </c>
      <c r="M1388" s="107" t="s">
        <v>52</v>
      </c>
    </row>
    <row r="1389" spans="1:13" ht="16">
      <c r="A1389" s="101" t="str">
        <f t="shared" si="0"/>
        <v>OK</v>
      </c>
      <c r="B1389" s="48">
        <v>125965</v>
      </c>
      <c r="C1389" s="49" t="s">
        <v>1527</v>
      </c>
      <c r="D1389" s="49" t="s">
        <v>7</v>
      </c>
      <c r="E1389" s="49" t="s">
        <v>1427</v>
      </c>
      <c r="F1389" s="46">
        <v>0</v>
      </c>
      <c r="G1389" s="51">
        <v>43983</v>
      </c>
      <c r="H1389" s="46">
        <v>13</v>
      </c>
      <c r="I1389" s="49" t="str">
        <f ca="1"/>
        <v>桑原 明子</v>
      </c>
      <c r="J1389" s="109" t="s">
        <v>1467</v>
      </c>
      <c r="K1389" s="49" t="s">
        <v>50</v>
      </c>
      <c r="M1389" s="107" t="s">
        <v>52</v>
      </c>
    </row>
    <row r="1390" spans="1:13" ht="16">
      <c r="A1390" s="101" t="str">
        <f t="shared" si="0"/>
        <v>OK</v>
      </c>
      <c r="B1390" s="48">
        <v>137008</v>
      </c>
      <c r="C1390" s="53" t="s">
        <v>1528</v>
      </c>
      <c r="D1390" s="49" t="s">
        <v>7</v>
      </c>
      <c r="E1390" s="63">
        <v>5.5E-2</v>
      </c>
      <c r="F1390" s="46">
        <v>42</v>
      </c>
      <c r="G1390" s="51">
        <v>43952</v>
      </c>
      <c r="H1390" s="46">
        <v>300</v>
      </c>
      <c r="I1390" s="49" t="str">
        <f ca="1"/>
        <v>桑原 明子</v>
      </c>
      <c r="J1390" s="109" t="s">
        <v>1467</v>
      </c>
      <c r="K1390" s="49" t="s">
        <v>50</v>
      </c>
      <c r="M1390" s="107" t="s">
        <v>52</v>
      </c>
    </row>
    <row r="1391" spans="1:13" ht="16">
      <c r="A1391" s="101" t="str">
        <f t="shared" si="0"/>
        <v>OK</v>
      </c>
      <c r="B1391" s="48">
        <v>140145</v>
      </c>
      <c r="C1391" s="53" t="s">
        <v>1529</v>
      </c>
      <c r="D1391" s="49" t="s">
        <v>7</v>
      </c>
      <c r="E1391" s="49" t="s">
        <v>1427</v>
      </c>
      <c r="F1391" s="46">
        <v>0</v>
      </c>
      <c r="G1391" s="51">
        <v>43983</v>
      </c>
      <c r="H1391" s="46">
        <v>7</v>
      </c>
      <c r="I1391" s="49" t="str">
        <f ca="1"/>
        <v>桑原 明子</v>
      </c>
      <c r="J1391" s="109" t="s">
        <v>1467</v>
      </c>
      <c r="K1391" s="49" t="s">
        <v>50</v>
      </c>
      <c r="M1391" s="107" t="s">
        <v>52</v>
      </c>
    </row>
    <row r="1392" spans="1:13" ht="16">
      <c r="A1392" s="101" t="str">
        <f t="shared" si="0"/>
        <v>OK</v>
      </c>
      <c r="B1392" s="48">
        <v>3210017</v>
      </c>
      <c r="C1392" s="53" t="s">
        <v>1530</v>
      </c>
      <c r="D1392" s="49" t="s">
        <v>7</v>
      </c>
      <c r="E1392" s="49" t="s">
        <v>1427</v>
      </c>
      <c r="F1392" s="46">
        <v>10</v>
      </c>
      <c r="G1392" s="51">
        <v>43983</v>
      </c>
      <c r="H1392" s="46">
        <v>50</v>
      </c>
      <c r="I1392" s="49" t="str">
        <f ca="1"/>
        <v>桑原 明子</v>
      </c>
      <c r="J1392" s="109" t="s">
        <v>1467</v>
      </c>
      <c r="K1392" s="49" t="s">
        <v>50</v>
      </c>
      <c r="M1392" s="107" t="s">
        <v>52</v>
      </c>
    </row>
    <row r="1393" spans="1:13" ht="16">
      <c r="A1393" s="101" t="str">
        <f t="shared" si="0"/>
        <v>OK</v>
      </c>
      <c r="B1393" s="48">
        <v>120815</v>
      </c>
      <c r="C1393" s="49" t="s">
        <v>1531</v>
      </c>
      <c r="D1393" s="49" t="s">
        <v>5</v>
      </c>
      <c r="E1393" s="64">
        <v>9.4E-2</v>
      </c>
      <c r="F1393" s="46">
        <v>30</v>
      </c>
      <c r="G1393" s="51">
        <v>43952</v>
      </c>
      <c r="H1393" s="46">
        <v>400</v>
      </c>
      <c r="I1393" s="49" t="str">
        <f ca="1"/>
        <v>荻曽 克輝</v>
      </c>
      <c r="J1393" s="109" t="s">
        <v>1344</v>
      </c>
      <c r="K1393" s="49" t="s">
        <v>50</v>
      </c>
      <c r="M1393" s="107" t="s">
        <v>52</v>
      </c>
    </row>
    <row r="1394" spans="1:13" ht="16">
      <c r="A1394" s="101" t="str">
        <f t="shared" si="0"/>
        <v>OK</v>
      </c>
      <c r="B1394" s="48">
        <v>136774</v>
      </c>
      <c r="C1394" s="49" t="s">
        <v>1532</v>
      </c>
      <c r="D1394" s="49" t="s">
        <v>5</v>
      </c>
      <c r="E1394" s="64">
        <v>9.4E-2</v>
      </c>
      <c r="F1394" s="46">
        <v>30</v>
      </c>
      <c r="G1394" s="51">
        <v>43952</v>
      </c>
      <c r="H1394" s="46">
        <v>500</v>
      </c>
      <c r="I1394" s="49" t="str">
        <f ca="1"/>
        <v>荻曽 克輝</v>
      </c>
      <c r="J1394" s="109" t="s">
        <v>1344</v>
      </c>
      <c r="K1394" s="49" t="s">
        <v>50</v>
      </c>
      <c r="M1394" s="107" t="s">
        <v>52</v>
      </c>
    </row>
    <row r="1395" spans="1:13" ht="16">
      <c r="A1395" s="101" t="str">
        <f t="shared" si="0"/>
        <v>OK</v>
      </c>
      <c r="B1395" s="48">
        <v>137377</v>
      </c>
      <c r="C1395" s="49" t="s">
        <v>1533</v>
      </c>
      <c r="D1395" s="49" t="s">
        <v>5</v>
      </c>
      <c r="E1395" s="64">
        <v>9.0999999999999998E-2</v>
      </c>
      <c r="F1395" s="46">
        <v>120</v>
      </c>
      <c r="G1395" s="51">
        <v>43952</v>
      </c>
      <c r="H1395" s="46">
        <v>800</v>
      </c>
      <c r="I1395" s="49" t="str">
        <f ca="1"/>
        <v>辻村 将大</v>
      </c>
      <c r="J1395" s="109" t="s">
        <v>647</v>
      </c>
      <c r="K1395" s="49" t="s">
        <v>50</v>
      </c>
      <c r="M1395" s="107" t="s">
        <v>52</v>
      </c>
    </row>
    <row r="1396" spans="1:13" ht="16">
      <c r="A1396" s="101" t="str">
        <f t="shared" si="0"/>
        <v>未記入あり</v>
      </c>
      <c r="B1396" s="48" t="s">
        <v>1534</v>
      </c>
      <c r="C1396" s="49" t="s">
        <v>1535</v>
      </c>
      <c r="D1396" s="49" t="s">
        <v>7</v>
      </c>
      <c r="E1396" s="63">
        <v>7.0000000000000007E-2</v>
      </c>
      <c r="F1396" s="46">
        <v>50</v>
      </c>
      <c r="G1396" s="51">
        <v>43952</v>
      </c>
      <c r="H1396" s="46"/>
      <c r="I1396" s="49" t="str">
        <f ca="1"/>
        <v>退会済</v>
      </c>
      <c r="J1396" s="109" t="s">
        <v>647</v>
      </c>
      <c r="K1396" s="49" t="s">
        <v>50</v>
      </c>
      <c r="M1396" s="107" t="s">
        <v>52</v>
      </c>
    </row>
    <row r="1397" spans="1:13" ht="16">
      <c r="A1397" s="101" t="str">
        <f t="shared" si="0"/>
        <v>未記入あり</v>
      </c>
      <c r="B1397" s="48" t="s">
        <v>1534</v>
      </c>
      <c r="C1397" s="49" t="s">
        <v>1536</v>
      </c>
      <c r="D1397" s="49" t="s">
        <v>7</v>
      </c>
      <c r="E1397" s="63">
        <v>7.0000000000000007E-2</v>
      </c>
      <c r="F1397" s="46">
        <v>50</v>
      </c>
      <c r="G1397" s="51">
        <v>43952</v>
      </c>
      <c r="H1397" s="46"/>
      <c r="I1397" s="49" t="str">
        <f ca="1"/>
        <v>退会済</v>
      </c>
      <c r="J1397" s="109" t="s">
        <v>647</v>
      </c>
      <c r="K1397" s="49" t="s">
        <v>50</v>
      </c>
      <c r="M1397" s="107" t="s">
        <v>52</v>
      </c>
    </row>
    <row r="1398" spans="1:13" ht="16">
      <c r="A1398" s="101" t="str">
        <f t="shared" si="0"/>
        <v>OK</v>
      </c>
      <c r="B1398" s="48">
        <v>133934</v>
      </c>
      <c r="C1398" s="49" t="s">
        <v>1537</v>
      </c>
      <c r="D1398" s="49" t="s">
        <v>7</v>
      </c>
      <c r="E1398" s="49" t="s">
        <v>1427</v>
      </c>
      <c r="F1398" s="46">
        <v>100</v>
      </c>
      <c r="G1398" s="51">
        <v>44013</v>
      </c>
      <c r="H1398" s="46">
        <v>600</v>
      </c>
      <c r="I1398" s="49" t="str">
        <f ca="1"/>
        <v>芳賀 亮輔</v>
      </c>
      <c r="J1398" s="109" t="s">
        <v>89</v>
      </c>
      <c r="K1398" s="49" t="s">
        <v>50</v>
      </c>
      <c r="M1398" s="107" t="s">
        <v>52</v>
      </c>
    </row>
    <row r="1399" spans="1:13" ht="16">
      <c r="A1399" s="101" t="str">
        <f t="shared" si="0"/>
        <v>OK</v>
      </c>
      <c r="B1399" s="48" t="s">
        <v>1472</v>
      </c>
      <c r="C1399" s="49" t="s">
        <v>1538</v>
      </c>
      <c r="D1399" s="49" t="s">
        <v>7</v>
      </c>
      <c r="E1399" s="63">
        <v>9.5000000000000001E-2</v>
      </c>
      <c r="F1399" s="46">
        <v>80</v>
      </c>
      <c r="G1399" s="51">
        <v>43952</v>
      </c>
      <c r="H1399" s="46">
        <v>400</v>
      </c>
      <c r="I1399" s="49" t="str">
        <f ca="1"/>
        <v>退会済</v>
      </c>
      <c r="J1399" s="109" t="s">
        <v>89</v>
      </c>
      <c r="K1399" s="49" t="s">
        <v>50</v>
      </c>
      <c r="M1399" s="107" t="s">
        <v>52</v>
      </c>
    </row>
    <row r="1400" spans="1:13" ht="16">
      <c r="A1400" s="101" t="str">
        <f t="shared" si="0"/>
        <v>OK</v>
      </c>
      <c r="B1400" s="48">
        <v>140032</v>
      </c>
      <c r="C1400" s="49" t="s">
        <v>1539</v>
      </c>
      <c r="D1400" s="49" t="s">
        <v>7</v>
      </c>
      <c r="E1400" s="49" t="s">
        <v>1427</v>
      </c>
      <c r="F1400" s="46">
        <v>3</v>
      </c>
      <c r="G1400" s="51">
        <v>43952</v>
      </c>
      <c r="H1400" s="46">
        <v>3</v>
      </c>
      <c r="I1400" s="49" t="str">
        <f ca="1"/>
        <v>老田 純輝</v>
      </c>
      <c r="J1400" s="113"/>
      <c r="K1400" s="49" t="s">
        <v>50</v>
      </c>
      <c r="M1400" s="107" t="s">
        <v>52</v>
      </c>
    </row>
    <row r="1401" spans="1:13" ht="16">
      <c r="A1401" s="101" t="str">
        <f t="shared" si="0"/>
        <v>OK</v>
      </c>
      <c r="B1401" s="48">
        <v>3901279</v>
      </c>
      <c r="C1401" s="56" t="s">
        <v>1540</v>
      </c>
      <c r="D1401" s="49" t="s">
        <v>7</v>
      </c>
      <c r="E1401" s="49" t="s">
        <v>1427</v>
      </c>
      <c r="F1401" s="46">
        <v>8</v>
      </c>
      <c r="G1401" s="51">
        <v>43952</v>
      </c>
      <c r="H1401" s="46">
        <v>20</v>
      </c>
      <c r="I1401" s="49" t="str">
        <f ca="1"/>
        <v>老田 純輝</v>
      </c>
      <c r="J1401" s="113"/>
      <c r="K1401" s="49" t="s">
        <v>50</v>
      </c>
      <c r="M1401" s="107" t="s">
        <v>52</v>
      </c>
    </row>
    <row r="1402" spans="1:13" ht="16">
      <c r="A1402" s="101" t="str">
        <f t="shared" si="0"/>
        <v>OK</v>
      </c>
      <c r="B1402" s="59">
        <v>3903823</v>
      </c>
      <c r="C1402" s="56" t="s">
        <v>1541</v>
      </c>
      <c r="D1402" s="49" t="s">
        <v>7</v>
      </c>
      <c r="E1402" s="49" t="s">
        <v>1427</v>
      </c>
      <c r="F1402" s="46">
        <v>0</v>
      </c>
      <c r="G1402" s="51">
        <v>43952</v>
      </c>
      <c r="H1402" s="46">
        <v>30</v>
      </c>
      <c r="I1402" s="49" t="str">
        <f ca="1"/>
        <v>老田 純輝</v>
      </c>
      <c r="J1402" s="113"/>
      <c r="K1402" s="49" t="s">
        <v>50</v>
      </c>
      <c r="M1402" s="107" t="s">
        <v>52</v>
      </c>
    </row>
    <row r="1403" spans="1:13" ht="16">
      <c r="A1403" s="101" t="str">
        <f t="shared" si="0"/>
        <v>OK</v>
      </c>
      <c r="B1403" s="48">
        <v>112603</v>
      </c>
      <c r="C1403" s="49" t="s">
        <v>1542</v>
      </c>
      <c r="D1403" s="49" t="s">
        <v>7</v>
      </c>
      <c r="E1403" s="49" t="s">
        <v>1427</v>
      </c>
      <c r="F1403" s="46">
        <v>15</v>
      </c>
      <c r="G1403" s="51">
        <v>43983</v>
      </c>
      <c r="H1403" s="46">
        <v>15</v>
      </c>
      <c r="I1403" s="49" t="str">
        <f ca="1"/>
        <v>老田 純輝</v>
      </c>
      <c r="J1403" s="113"/>
      <c r="K1403" s="49" t="s">
        <v>50</v>
      </c>
      <c r="M1403" s="107" t="s">
        <v>52</v>
      </c>
    </row>
    <row r="1404" spans="1:13" ht="16">
      <c r="A1404" s="101" t="str">
        <f t="shared" si="0"/>
        <v>OK</v>
      </c>
      <c r="B1404" s="48">
        <v>139200</v>
      </c>
      <c r="C1404" s="49" t="s">
        <v>1543</v>
      </c>
      <c r="D1404" s="49" t="s">
        <v>7</v>
      </c>
      <c r="E1404" s="49" t="s">
        <v>1427</v>
      </c>
      <c r="F1404" s="46">
        <v>15</v>
      </c>
      <c r="G1404" s="51">
        <v>43983</v>
      </c>
      <c r="H1404" s="46">
        <v>15</v>
      </c>
      <c r="I1404" s="49" t="str">
        <f ca="1"/>
        <v>老田 純輝</v>
      </c>
      <c r="J1404" s="113"/>
      <c r="K1404" s="49" t="s">
        <v>50</v>
      </c>
      <c r="M1404" s="107" t="s">
        <v>52</v>
      </c>
    </row>
    <row r="1405" spans="1:13" ht="16">
      <c r="A1405" s="101" t="str">
        <f t="shared" si="0"/>
        <v>OK</v>
      </c>
      <c r="B1405" s="48">
        <v>112385</v>
      </c>
      <c r="C1405" s="56" t="s">
        <v>1544</v>
      </c>
      <c r="D1405" s="49" t="s">
        <v>7</v>
      </c>
      <c r="E1405" s="49" t="s">
        <v>1427</v>
      </c>
      <c r="F1405" s="46">
        <v>45</v>
      </c>
      <c r="G1405" s="51">
        <v>43952</v>
      </c>
      <c r="H1405" s="46">
        <v>30</v>
      </c>
      <c r="I1405" s="49" t="str">
        <f ca="1"/>
        <v>老田 純輝</v>
      </c>
      <c r="J1405" s="113"/>
      <c r="K1405" s="49" t="s">
        <v>50</v>
      </c>
      <c r="M1405" s="107" t="s">
        <v>52</v>
      </c>
    </row>
    <row r="1406" spans="1:13" ht="16">
      <c r="A1406" s="101" t="str">
        <f t="shared" si="0"/>
        <v>OK</v>
      </c>
      <c r="B1406" s="58">
        <v>120188</v>
      </c>
      <c r="C1406" s="49" t="s">
        <v>1545</v>
      </c>
      <c r="D1406" s="49" t="s">
        <v>7</v>
      </c>
      <c r="E1406" s="63">
        <v>5.5E-2</v>
      </c>
      <c r="F1406" s="46">
        <v>40</v>
      </c>
      <c r="G1406" s="51">
        <v>43952</v>
      </c>
      <c r="H1406" s="46">
        <v>40</v>
      </c>
      <c r="I1406" s="49" t="str">
        <f ca="1"/>
        <v>老田 純輝</v>
      </c>
      <c r="J1406" s="113"/>
      <c r="K1406" s="49" t="s">
        <v>50</v>
      </c>
      <c r="M1406" s="107" t="s">
        <v>52</v>
      </c>
    </row>
    <row r="1407" spans="1:13" ht="16">
      <c r="A1407" s="101" t="str">
        <f t="shared" si="0"/>
        <v>OK</v>
      </c>
      <c r="B1407" s="48">
        <v>139542</v>
      </c>
      <c r="C1407" s="49" t="s">
        <v>1546</v>
      </c>
      <c r="D1407" s="49" t="s">
        <v>7</v>
      </c>
      <c r="E1407" s="49" t="s">
        <v>1427</v>
      </c>
      <c r="F1407" s="46">
        <v>15</v>
      </c>
      <c r="G1407" s="51">
        <v>43952</v>
      </c>
      <c r="H1407" s="46">
        <v>5</v>
      </c>
      <c r="I1407" s="49" t="str">
        <f ca="1"/>
        <v>老田 純輝</v>
      </c>
      <c r="J1407" s="113"/>
      <c r="K1407" s="49" t="s">
        <v>50</v>
      </c>
      <c r="M1407" s="107" t="s">
        <v>52</v>
      </c>
    </row>
    <row r="1408" spans="1:13" ht="16">
      <c r="A1408" s="101" t="str">
        <f t="shared" si="0"/>
        <v>OK</v>
      </c>
      <c r="B1408" s="48">
        <v>112577</v>
      </c>
      <c r="C1408" s="49" t="s">
        <v>1547</v>
      </c>
      <c r="D1408" s="49" t="s">
        <v>5</v>
      </c>
      <c r="E1408" s="63">
        <v>0.09</v>
      </c>
      <c r="F1408" s="46">
        <v>107</v>
      </c>
      <c r="G1408" s="51">
        <v>43952</v>
      </c>
      <c r="H1408" s="46">
        <v>107</v>
      </c>
      <c r="I1408" s="49" t="str">
        <f ca="1"/>
        <v>老田 純輝</v>
      </c>
      <c r="J1408" s="113"/>
      <c r="K1408" s="49" t="s">
        <v>50</v>
      </c>
      <c r="M1408" s="107" t="s">
        <v>52</v>
      </c>
    </row>
    <row r="1409" spans="1:13" ht="16">
      <c r="A1409" s="101" t="str">
        <f t="shared" si="0"/>
        <v>OK</v>
      </c>
      <c r="B1409" s="48">
        <v>113389</v>
      </c>
      <c r="C1409" s="49" t="s">
        <v>1548</v>
      </c>
      <c r="D1409" s="49" t="s">
        <v>7</v>
      </c>
      <c r="E1409" s="63">
        <v>5.5E-2</v>
      </c>
      <c r="F1409" s="46">
        <v>43</v>
      </c>
      <c r="G1409" s="51">
        <v>43952</v>
      </c>
      <c r="H1409" s="46">
        <v>43</v>
      </c>
      <c r="I1409" s="49" t="str">
        <f ca="1"/>
        <v>老田 純輝</v>
      </c>
      <c r="J1409" s="113"/>
      <c r="K1409" s="49" t="s">
        <v>50</v>
      </c>
      <c r="M1409" s="107" t="s">
        <v>52</v>
      </c>
    </row>
    <row r="1410" spans="1:13" ht="16">
      <c r="A1410" s="101" t="str">
        <f t="shared" si="0"/>
        <v>OK</v>
      </c>
      <c r="B1410" s="48">
        <v>123205</v>
      </c>
      <c r="C1410" s="49" t="s">
        <v>1549</v>
      </c>
      <c r="D1410" s="49" t="s">
        <v>5</v>
      </c>
      <c r="E1410" s="63">
        <v>0.09</v>
      </c>
      <c r="F1410" s="46">
        <v>23</v>
      </c>
      <c r="G1410" s="51">
        <v>43952</v>
      </c>
      <c r="H1410" s="46">
        <v>23</v>
      </c>
      <c r="I1410" s="49" t="str">
        <f ca="1"/>
        <v>老田 純輝</v>
      </c>
      <c r="J1410" s="113"/>
      <c r="K1410" s="49" t="s">
        <v>50</v>
      </c>
      <c r="M1410" s="107" t="s">
        <v>52</v>
      </c>
    </row>
    <row r="1411" spans="1:13" ht="16">
      <c r="A1411" s="101" t="str">
        <f t="shared" si="0"/>
        <v>OK</v>
      </c>
      <c r="B1411" s="48">
        <v>123233</v>
      </c>
      <c r="C1411" s="49" t="s">
        <v>1550</v>
      </c>
      <c r="D1411" s="49" t="s">
        <v>7</v>
      </c>
      <c r="E1411" s="49" t="s">
        <v>1427</v>
      </c>
      <c r="F1411" s="46">
        <v>8</v>
      </c>
      <c r="G1411" s="51">
        <v>43952</v>
      </c>
      <c r="H1411" s="46">
        <v>8</v>
      </c>
      <c r="I1411" s="49" t="str">
        <f ca="1"/>
        <v>老田 純輝</v>
      </c>
      <c r="J1411" s="113"/>
      <c r="K1411" s="49" t="s">
        <v>50</v>
      </c>
      <c r="M1411" s="107" t="s">
        <v>52</v>
      </c>
    </row>
    <row r="1412" spans="1:13" ht="16">
      <c r="A1412" s="101" t="str">
        <f t="shared" si="0"/>
        <v>OK</v>
      </c>
      <c r="B1412" s="48">
        <v>139481</v>
      </c>
      <c r="C1412" s="49" t="s">
        <v>1551</v>
      </c>
      <c r="D1412" s="49" t="s">
        <v>7</v>
      </c>
      <c r="E1412" s="49" t="s">
        <v>1427</v>
      </c>
      <c r="F1412" s="46">
        <v>5</v>
      </c>
      <c r="G1412" s="51">
        <v>43983</v>
      </c>
      <c r="H1412" s="46">
        <v>10</v>
      </c>
      <c r="I1412" s="49" t="str">
        <f ca="1"/>
        <v>堀越 駿</v>
      </c>
      <c r="J1412" s="113"/>
      <c r="K1412" s="49" t="s">
        <v>50</v>
      </c>
      <c r="M1412" s="107" t="s">
        <v>52</v>
      </c>
    </row>
    <row r="1413" spans="1:13" ht="16">
      <c r="A1413" s="101" t="str">
        <f t="shared" si="0"/>
        <v>OK</v>
      </c>
      <c r="B1413" s="48">
        <v>112093</v>
      </c>
      <c r="C1413" s="49" t="s">
        <v>1552</v>
      </c>
      <c r="D1413" s="49" t="s">
        <v>7</v>
      </c>
      <c r="E1413" s="49" t="s">
        <v>1427</v>
      </c>
      <c r="F1413" s="46">
        <v>20</v>
      </c>
      <c r="G1413" s="51">
        <v>43983</v>
      </c>
      <c r="H1413" s="46">
        <v>50</v>
      </c>
      <c r="I1413" s="49" t="str">
        <f ca="1"/>
        <v>堀越 駿</v>
      </c>
      <c r="J1413" s="113"/>
      <c r="K1413" s="49" t="s">
        <v>50</v>
      </c>
      <c r="M1413" s="107" t="s">
        <v>52</v>
      </c>
    </row>
    <row r="1414" spans="1:13" ht="16">
      <c r="A1414" s="101" t="str">
        <f t="shared" si="0"/>
        <v>OK</v>
      </c>
      <c r="B1414" s="48">
        <v>118085</v>
      </c>
      <c r="C1414" s="49" t="s">
        <v>1553</v>
      </c>
      <c r="D1414" s="49" t="s">
        <v>5</v>
      </c>
      <c r="E1414" s="63">
        <v>8.5000000000000006E-2</v>
      </c>
      <c r="F1414" s="46">
        <v>100</v>
      </c>
      <c r="G1414" s="51">
        <v>43983</v>
      </c>
      <c r="H1414" s="46">
        <v>400</v>
      </c>
      <c r="I1414" s="49" t="str">
        <f ca="1"/>
        <v>長谷川 陸朗</v>
      </c>
      <c r="J1414" s="109" t="s">
        <v>618</v>
      </c>
      <c r="K1414" s="49" t="s">
        <v>50</v>
      </c>
      <c r="M1414" s="107" t="s">
        <v>52</v>
      </c>
    </row>
    <row r="1415" spans="1:13" ht="16">
      <c r="A1415" s="101" t="str">
        <f t="shared" si="0"/>
        <v>OK</v>
      </c>
      <c r="B1415" s="48">
        <v>139509</v>
      </c>
      <c r="C1415" s="49" t="s">
        <v>1554</v>
      </c>
      <c r="D1415" s="49" t="s">
        <v>7</v>
      </c>
      <c r="E1415" s="63">
        <v>6.5000000000000002E-2</v>
      </c>
      <c r="F1415" s="46">
        <v>200</v>
      </c>
      <c r="G1415" s="51">
        <v>43983</v>
      </c>
      <c r="H1415" s="46">
        <v>800</v>
      </c>
      <c r="I1415" s="49" t="str">
        <f ca="1"/>
        <v>長谷川 陸朗</v>
      </c>
      <c r="J1415" s="109" t="s">
        <v>618</v>
      </c>
      <c r="K1415" s="49" t="s">
        <v>50</v>
      </c>
      <c r="M1415" s="107" t="s">
        <v>52</v>
      </c>
    </row>
    <row r="1416" spans="1:13" ht="16">
      <c r="A1416" s="101" t="str">
        <f t="shared" si="0"/>
        <v>OK</v>
      </c>
      <c r="B1416" s="48">
        <v>138951</v>
      </c>
      <c r="C1416" s="53" t="s">
        <v>1555</v>
      </c>
      <c r="D1416" s="49" t="s">
        <v>7</v>
      </c>
      <c r="E1416" s="49" t="s">
        <v>1427</v>
      </c>
      <c r="F1416" s="46">
        <v>13</v>
      </c>
      <c r="G1416" s="51">
        <v>43983</v>
      </c>
      <c r="H1416" s="46">
        <v>50</v>
      </c>
      <c r="I1416" s="49" t="str">
        <f ca="1"/>
        <v>桑原 明子</v>
      </c>
      <c r="J1416" s="109" t="s">
        <v>155</v>
      </c>
      <c r="K1416" s="49" t="s">
        <v>50</v>
      </c>
      <c r="M1416" s="107" t="s">
        <v>52</v>
      </c>
    </row>
    <row r="1417" spans="1:13" ht="16">
      <c r="A1417" s="101" t="str">
        <f t="shared" si="0"/>
        <v>OK</v>
      </c>
      <c r="B1417" s="48">
        <v>122412</v>
      </c>
      <c r="C1417" s="53" t="s">
        <v>390</v>
      </c>
      <c r="D1417" s="49" t="s">
        <v>7</v>
      </c>
      <c r="E1417" s="63">
        <v>6.5000000000000002E-2</v>
      </c>
      <c r="F1417" s="46">
        <v>42</v>
      </c>
      <c r="G1417" s="51">
        <v>43983</v>
      </c>
      <c r="H1417" s="46">
        <v>50</v>
      </c>
      <c r="I1417" s="53" t="str">
        <f ca="1"/>
        <v>菅野 ぎんが</v>
      </c>
      <c r="J1417" s="113"/>
      <c r="K1417" s="49" t="s">
        <v>50</v>
      </c>
      <c r="M1417" s="107" t="s">
        <v>52</v>
      </c>
    </row>
    <row r="1418" spans="1:13" ht="16">
      <c r="A1418" s="101" t="str">
        <f t="shared" si="0"/>
        <v>OK</v>
      </c>
      <c r="B1418" s="48">
        <v>135702</v>
      </c>
      <c r="C1418" s="53" t="s">
        <v>1556</v>
      </c>
      <c r="D1418" s="49" t="s">
        <v>7</v>
      </c>
      <c r="E1418" s="63">
        <v>0.06</v>
      </c>
      <c r="F1418" s="46">
        <v>33</v>
      </c>
      <c r="G1418" s="51">
        <v>43983</v>
      </c>
      <c r="H1418" s="46">
        <v>50</v>
      </c>
      <c r="I1418" s="53" t="str">
        <f ca="1"/>
        <v>菅野 ぎんが</v>
      </c>
      <c r="J1418" s="113"/>
      <c r="K1418" s="49" t="s">
        <v>50</v>
      </c>
      <c r="M1418" s="107" t="s">
        <v>52</v>
      </c>
    </row>
    <row r="1419" spans="1:13" ht="16">
      <c r="A1419" s="101" t="str">
        <f t="shared" si="0"/>
        <v>OK</v>
      </c>
      <c r="B1419" s="48">
        <v>125484</v>
      </c>
      <c r="C1419" s="55" t="s">
        <v>1557</v>
      </c>
      <c r="D1419" s="49" t="s">
        <v>7</v>
      </c>
      <c r="E1419" s="49" t="s">
        <v>1427</v>
      </c>
      <c r="F1419" s="46">
        <v>30</v>
      </c>
      <c r="G1419" s="51">
        <v>43983</v>
      </c>
      <c r="H1419" s="46">
        <v>30</v>
      </c>
      <c r="I1419" s="53" t="str">
        <f ca="1"/>
        <v>菅野 ぎんが</v>
      </c>
      <c r="J1419" s="113"/>
      <c r="K1419" s="49" t="s">
        <v>50</v>
      </c>
      <c r="M1419" s="107" t="s">
        <v>52</v>
      </c>
    </row>
    <row r="1420" spans="1:13" ht="16">
      <c r="A1420" s="101" t="str">
        <f t="shared" si="0"/>
        <v>OK</v>
      </c>
      <c r="B1420" s="48">
        <v>115086</v>
      </c>
      <c r="C1420" s="49" t="s">
        <v>1558</v>
      </c>
      <c r="D1420" s="49" t="s">
        <v>7</v>
      </c>
      <c r="E1420" s="49" t="s">
        <v>1427</v>
      </c>
      <c r="F1420" s="46">
        <v>20</v>
      </c>
      <c r="G1420" s="51">
        <v>43952</v>
      </c>
      <c r="H1420" s="46">
        <v>20</v>
      </c>
      <c r="I1420" s="53" t="str">
        <f ca="1"/>
        <v>菅野 ぎんが</v>
      </c>
      <c r="J1420" s="113"/>
      <c r="K1420" s="49" t="s">
        <v>50</v>
      </c>
      <c r="M1420" s="107" t="s">
        <v>52</v>
      </c>
    </row>
    <row r="1421" spans="1:13" ht="16">
      <c r="A1421" s="101" t="str">
        <f t="shared" si="0"/>
        <v>OK</v>
      </c>
      <c r="B1421" s="48">
        <v>108336</v>
      </c>
      <c r="C1421" s="56" t="s">
        <v>1559</v>
      </c>
      <c r="D1421" s="49" t="s">
        <v>7</v>
      </c>
      <c r="E1421" s="64">
        <v>8.5000000000000006E-2</v>
      </c>
      <c r="F1421" s="46">
        <v>50</v>
      </c>
      <c r="G1421" s="51">
        <v>43952</v>
      </c>
      <c r="H1421" s="46">
        <v>50</v>
      </c>
      <c r="I1421" s="53" t="str">
        <f ca="1"/>
        <v>菅野 ぎんが</v>
      </c>
      <c r="J1421" s="113"/>
      <c r="K1421" s="49" t="s">
        <v>50</v>
      </c>
      <c r="M1421" s="107" t="s">
        <v>52</v>
      </c>
    </row>
    <row r="1422" spans="1:13" ht="16">
      <c r="A1422" s="101" t="str">
        <f t="shared" si="0"/>
        <v>OK</v>
      </c>
      <c r="B1422" s="48">
        <v>127984</v>
      </c>
      <c r="C1422" s="49" t="s">
        <v>1560</v>
      </c>
      <c r="D1422" s="49" t="s">
        <v>7</v>
      </c>
      <c r="E1422" s="49" t="s">
        <v>1427</v>
      </c>
      <c r="F1422" s="46">
        <v>10</v>
      </c>
      <c r="G1422" s="51">
        <v>43983</v>
      </c>
      <c r="H1422" s="46">
        <v>10</v>
      </c>
      <c r="I1422" s="53" t="str">
        <f ca="1"/>
        <v>菅野 ぎんが</v>
      </c>
      <c r="J1422" s="113"/>
      <c r="K1422" s="49" t="s">
        <v>50</v>
      </c>
      <c r="M1422" s="107" t="s">
        <v>52</v>
      </c>
    </row>
    <row r="1423" spans="1:13" ht="16">
      <c r="A1423" s="101" t="str">
        <f t="shared" si="0"/>
        <v>OK</v>
      </c>
      <c r="B1423" s="48">
        <v>124288</v>
      </c>
      <c r="C1423" s="49" t="s">
        <v>1561</v>
      </c>
      <c r="D1423" s="49" t="s">
        <v>7</v>
      </c>
      <c r="E1423" s="49" t="s">
        <v>1427</v>
      </c>
      <c r="F1423" s="46">
        <v>0</v>
      </c>
      <c r="G1423" s="51">
        <v>43952</v>
      </c>
      <c r="H1423" s="46">
        <v>30</v>
      </c>
      <c r="I1423" s="53" t="str">
        <f ca="1"/>
        <v>菅野 ぎんが</v>
      </c>
      <c r="J1423" s="113"/>
      <c r="K1423" s="49" t="s">
        <v>50</v>
      </c>
      <c r="M1423" s="107" t="s">
        <v>52</v>
      </c>
    </row>
    <row r="1424" spans="1:13" ht="16">
      <c r="A1424" s="101" t="str">
        <f t="shared" si="0"/>
        <v>OK</v>
      </c>
      <c r="B1424" s="48">
        <v>127280</v>
      </c>
      <c r="C1424" s="49" t="s">
        <v>1562</v>
      </c>
      <c r="D1424" s="49" t="s">
        <v>7</v>
      </c>
      <c r="E1424" s="49" t="s">
        <v>1427</v>
      </c>
      <c r="F1424" s="46">
        <v>20</v>
      </c>
      <c r="G1424" s="51">
        <v>43983</v>
      </c>
      <c r="H1424" s="46">
        <v>20</v>
      </c>
      <c r="I1424" s="53" t="str">
        <f ca="1"/>
        <v>菅野 ぎんが</v>
      </c>
      <c r="J1424" s="113"/>
      <c r="K1424" s="49" t="s">
        <v>50</v>
      </c>
      <c r="M1424" s="107" t="s">
        <v>52</v>
      </c>
    </row>
    <row r="1425" spans="1:13" ht="16">
      <c r="A1425" s="101" t="str">
        <f t="shared" si="0"/>
        <v>OK</v>
      </c>
      <c r="B1425" s="48">
        <v>125899</v>
      </c>
      <c r="C1425" s="49" t="s">
        <v>1563</v>
      </c>
      <c r="D1425" s="49" t="s">
        <v>7</v>
      </c>
      <c r="E1425" s="49" t="s">
        <v>1427</v>
      </c>
      <c r="F1425" s="46">
        <v>40</v>
      </c>
      <c r="G1425" s="51">
        <v>43983</v>
      </c>
      <c r="H1425" s="46">
        <v>40</v>
      </c>
      <c r="I1425" s="53" t="str">
        <f ca="1"/>
        <v>村上 浩一朗</v>
      </c>
      <c r="J1425" s="109" t="s">
        <v>70</v>
      </c>
      <c r="K1425" s="49" t="s">
        <v>50</v>
      </c>
      <c r="M1425" s="107" t="s">
        <v>52</v>
      </c>
    </row>
    <row r="1426" spans="1:13" ht="16">
      <c r="A1426" s="101" t="str">
        <f t="shared" si="0"/>
        <v>OK</v>
      </c>
      <c r="B1426" s="48">
        <v>130523</v>
      </c>
      <c r="C1426" s="49" t="s">
        <v>1564</v>
      </c>
      <c r="D1426" s="49" t="s">
        <v>7</v>
      </c>
      <c r="E1426" s="49" t="s">
        <v>1427</v>
      </c>
      <c r="F1426" s="46">
        <v>20</v>
      </c>
      <c r="G1426" s="51">
        <v>43983</v>
      </c>
      <c r="H1426" s="46">
        <v>20</v>
      </c>
      <c r="I1426" s="53" t="str">
        <f ca="1"/>
        <v>村上 浩一朗</v>
      </c>
      <c r="J1426" s="109" t="s">
        <v>70</v>
      </c>
      <c r="K1426" s="49" t="s">
        <v>50</v>
      </c>
      <c r="M1426" s="107" t="s">
        <v>52</v>
      </c>
    </row>
    <row r="1427" spans="1:13" ht="16">
      <c r="A1427" s="101" t="str">
        <f t="shared" si="0"/>
        <v>OK</v>
      </c>
      <c r="B1427" s="65">
        <v>135315</v>
      </c>
      <c r="C1427" s="49" t="s">
        <v>1565</v>
      </c>
      <c r="D1427" s="49" t="s">
        <v>7</v>
      </c>
      <c r="E1427" s="49" t="s">
        <v>1427</v>
      </c>
      <c r="F1427" s="46">
        <v>3</v>
      </c>
      <c r="G1427" s="51">
        <v>43983</v>
      </c>
      <c r="H1427" s="46">
        <v>8</v>
      </c>
      <c r="I1427" s="53" t="str">
        <f ca="1"/>
        <v>奥野 貴大</v>
      </c>
      <c r="J1427" s="109" t="s">
        <v>78</v>
      </c>
      <c r="K1427" s="49" t="s">
        <v>50</v>
      </c>
      <c r="M1427" s="107" t="s">
        <v>52</v>
      </c>
    </row>
    <row r="1428" spans="1:13" ht="16">
      <c r="A1428" s="101" t="str">
        <f t="shared" si="0"/>
        <v>OK</v>
      </c>
      <c r="B1428" s="65">
        <v>129834</v>
      </c>
      <c r="C1428" s="49" t="s">
        <v>1566</v>
      </c>
      <c r="D1428" s="49" t="s">
        <v>7</v>
      </c>
      <c r="E1428" s="49" t="s">
        <v>1427</v>
      </c>
      <c r="F1428" s="46">
        <v>30</v>
      </c>
      <c r="G1428" s="51">
        <v>43983</v>
      </c>
      <c r="H1428" s="46">
        <v>50</v>
      </c>
      <c r="I1428" s="53" t="str">
        <f ca="1"/>
        <v>奥野 貴大</v>
      </c>
      <c r="J1428" s="109" t="s">
        <v>78</v>
      </c>
      <c r="K1428" s="49" t="s">
        <v>50</v>
      </c>
      <c r="M1428" s="107" t="s">
        <v>52</v>
      </c>
    </row>
    <row r="1429" spans="1:13" ht="16">
      <c r="A1429" s="101" t="str">
        <f t="shared" si="0"/>
        <v>OK</v>
      </c>
      <c r="B1429" s="48">
        <v>140449</v>
      </c>
      <c r="C1429" s="49" t="s">
        <v>1567</v>
      </c>
      <c r="D1429" s="49" t="s">
        <v>5</v>
      </c>
      <c r="E1429" s="63">
        <v>9.2999999999999999E-2</v>
      </c>
      <c r="F1429" s="46">
        <v>160</v>
      </c>
      <c r="G1429" s="51">
        <v>43983</v>
      </c>
      <c r="H1429" s="46">
        <v>700</v>
      </c>
      <c r="I1429" s="53" t="str">
        <f ca="1"/>
        <v>村上 浩一朗</v>
      </c>
      <c r="J1429" s="109" t="s">
        <v>70</v>
      </c>
      <c r="K1429" s="49" t="s">
        <v>50</v>
      </c>
      <c r="M1429" s="107" t="s">
        <v>52</v>
      </c>
    </row>
    <row r="1430" spans="1:13" ht="16">
      <c r="A1430" s="101" t="str">
        <f t="shared" si="0"/>
        <v>OK</v>
      </c>
      <c r="B1430" s="48">
        <v>131135</v>
      </c>
      <c r="C1430" s="49" t="s">
        <v>1568</v>
      </c>
      <c r="D1430" s="49" t="s">
        <v>5</v>
      </c>
      <c r="E1430" s="63">
        <v>8.2000000000000003E-2</v>
      </c>
      <c r="F1430" s="46">
        <v>100</v>
      </c>
      <c r="G1430" s="51">
        <v>43983</v>
      </c>
      <c r="H1430" s="46">
        <v>410</v>
      </c>
      <c r="I1430" s="53" t="str">
        <f ca="1"/>
        <v>長谷川 陸朗</v>
      </c>
      <c r="J1430" s="113" t="s">
        <v>618</v>
      </c>
      <c r="K1430" s="49" t="s">
        <v>50</v>
      </c>
      <c r="M1430" s="107" t="s">
        <v>52</v>
      </c>
    </row>
    <row r="1431" spans="1:13" ht="16">
      <c r="A1431" s="101" t="str">
        <f t="shared" si="0"/>
        <v>OK</v>
      </c>
      <c r="B1431" s="48">
        <v>126248</v>
      </c>
      <c r="C1431" s="49" t="s">
        <v>1569</v>
      </c>
      <c r="D1431" s="49" t="s">
        <v>7</v>
      </c>
      <c r="E1431" s="49" t="s">
        <v>1427</v>
      </c>
      <c r="F1431" s="46">
        <v>5</v>
      </c>
      <c r="G1431" s="51">
        <v>43983</v>
      </c>
      <c r="H1431" s="46">
        <v>20</v>
      </c>
      <c r="I1431" s="53" t="str">
        <f ca="1"/>
        <v>内丸 裕子</v>
      </c>
      <c r="J1431" s="113"/>
      <c r="K1431" s="49" t="s">
        <v>50</v>
      </c>
      <c r="M1431" s="107" t="s">
        <v>52</v>
      </c>
    </row>
    <row r="1432" spans="1:13" ht="16">
      <c r="A1432" s="101" t="str">
        <f t="shared" si="0"/>
        <v>OK</v>
      </c>
      <c r="B1432" s="48">
        <v>124503</v>
      </c>
      <c r="C1432" s="49" t="s">
        <v>1570</v>
      </c>
      <c r="D1432" s="49" t="s">
        <v>7</v>
      </c>
      <c r="E1432" s="49" t="s">
        <v>1427</v>
      </c>
      <c r="F1432" s="46">
        <v>3</v>
      </c>
      <c r="G1432" s="51">
        <v>43983</v>
      </c>
      <c r="H1432" s="46">
        <v>10</v>
      </c>
      <c r="I1432" s="53" t="str">
        <f ca="1"/>
        <v>内丸 裕子</v>
      </c>
      <c r="J1432" s="113"/>
      <c r="K1432" s="49" t="s">
        <v>50</v>
      </c>
      <c r="M1432" s="107" t="s">
        <v>52</v>
      </c>
    </row>
    <row r="1433" spans="1:13" ht="16">
      <c r="A1433" s="101" t="str">
        <f t="shared" si="0"/>
        <v>OK</v>
      </c>
      <c r="B1433" s="48">
        <v>139445</v>
      </c>
      <c r="C1433" s="49" t="s">
        <v>1571</v>
      </c>
      <c r="D1433" s="49" t="s">
        <v>7</v>
      </c>
      <c r="E1433" s="49" t="s">
        <v>1427</v>
      </c>
      <c r="F1433" s="46">
        <v>5</v>
      </c>
      <c r="G1433" s="51">
        <v>43983</v>
      </c>
      <c r="H1433" s="46">
        <v>20</v>
      </c>
      <c r="I1433" s="53" t="str">
        <f ca="1"/>
        <v>内丸 裕子</v>
      </c>
      <c r="J1433" s="113"/>
      <c r="K1433" s="49" t="s">
        <v>50</v>
      </c>
      <c r="M1433" s="107" t="s">
        <v>52</v>
      </c>
    </row>
    <row r="1434" spans="1:13" ht="16">
      <c r="A1434" s="101" t="str">
        <f t="shared" si="0"/>
        <v>OK</v>
      </c>
      <c r="B1434" s="48">
        <v>136073</v>
      </c>
      <c r="C1434" s="49" t="s">
        <v>1572</v>
      </c>
      <c r="D1434" s="49" t="s">
        <v>7</v>
      </c>
      <c r="E1434" s="49" t="s">
        <v>1427</v>
      </c>
      <c r="F1434" s="46">
        <v>10</v>
      </c>
      <c r="G1434" s="51">
        <v>43983</v>
      </c>
      <c r="H1434" s="46">
        <v>15</v>
      </c>
      <c r="I1434" s="53" t="str">
        <f ca="1"/>
        <v>堀越 駿</v>
      </c>
      <c r="J1434" s="113"/>
      <c r="K1434" s="49" t="s">
        <v>50</v>
      </c>
      <c r="M1434" s="107" t="s">
        <v>52</v>
      </c>
    </row>
    <row r="1435" spans="1:13" ht="16">
      <c r="A1435" s="101" t="str">
        <f t="shared" si="0"/>
        <v>OK</v>
      </c>
      <c r="B1435" s="48">
        <v>136110</v>
      </c>
      <c r="C1435" s="49" t="s">
        <v>1573</v>
      </c>
      <c r="D1435" s="49" t="s">
        <v>7</v>
      </c>
      <c r="E1435" s="63">
        <v>0.08</v>
      </c>
      <c r="F1435" s="46">
        <v>50</v>
      </c>
      <c r="G1435" s="51">
        <v>43983</v>
      </c>
      <c r="H1435" s="46">
        <v>210</v>
      </c>
      <c r="I1435" s="53" t="str">
        <f ca="1"/>
        <v>村上 浩一朗</v>
      </c>
      <c r="J1435" s="109" t="s">
        <v>70</v>
      </c>
      <c r="K1435" s="49" t="s">
        <v>50</v>
      </c>
      <c r="M1435" s="107" t="s">
        <v>52</v>
      </c>
    </row>
    <row r="1436" spans="1:13" ht="16">
      <c r="A1436" s="101" t="str">
        <f t="shared" si="0"/>
        <v>OK</v>
      </c>
      <c r="B1436" s="48">
        <v>136140</v>
      </c>
      <c r="C1436" s="49" t="s">
        <v>1574</v>
      </c>
      <c r="D1436" s="49" t="s">
        <v>7</v>
      </c>
      <c r="E1436" s="49" t="s">
        <v>1427</v>
      </c>
      <c r="F1436" s="46">
        <v>5</v>
      </c>
      <c r="G1436" s="51">
        <v>43983</v>
      </c>
      <c r="H1436" s="46">
        <v>50</v>
      </c>
      <c r="I1436" s="53" t="str">
        <f ca="1"/>
        <v>堀越 駿</v>
      </c>
      <c r="J1436" s="113"/>
      <c r="K1436" s="49" t="s">
        <v>50</v>
      </c>
      <c r="M1436" s="107" t="s">
        <v>52</v>
      </c>
    </row>
    <row r="1437" spans="1:13" ht="16">
      <c r="A1437" s="101" t="str">
        <f t="shared" si="0"/>
        <v>OK</v>
      </c>
      <c r="B1437" s="48">
        <v>133912</v>
      </c>
      <c r="C1437" s="49" t="s">
        <v>1575</v>
      </c>
      <c r="D1437" s="49" t="s">
        <v>7</v>
      </c>
      <c r="E1437" s="63" t="s">
        <v>1427</v>
      </c>
      <c r="F1437" s="46">
        <v>20</v>
      </c>
      <c r="G1437" s="51">
        <v>43983</v>
      </c>
      <c r="H1437" s="46">
        <v>50</v>
      </c>
      <c r="I1437" s="53" t="str">
        <f ca="1"/>
        <v>堀越 駿</v>
      </c>
      <c r="J1437" s="113"/>
      <c r="K1437" s="49" t="s">
        <v>50</v>
      </c>
      <c r="M1437" s="107" t="s">
        <v>52</v>
      </c>
    </row>
    <row r="1438" spans="1:13" ht="16">
      <c r="A1438" s="101" t="str">
        <f t="shared" si="0"/>
        <v>OK</v>
      </c>
      <c r="B1438" s="48">
        <v>135948</v>
      </c>
      <c r="C1438" s="49" t="s">
        <v>1576</v>
      </c>
      <c r="D1438" s="49" t="s">
        <v>7</v>
      </c>
      <c r="E1438" s="63" t="s">
        <v>1427</v>
      </c>
      <c r="F1438" s="46">
        <v>15</v>
      </c>
      <c r="G1438" s="51">
        <v>43983</v>
      </c>
      <c r="H1438" s="46">
        <v>20</v>
      </c>
      <c r="I1438" s="53" t="str">
        <f ca="1"/>
        <v>村上 浩一朗</v>
      </c>
      <c r="J1438" s="109" t="s">
        <v>70</v>
      </c>
      <c r="K1438" s="49" t="s">
        <v>50</v>
      </c>
      <c r="M1438" s="107" t="s">
        <v>52</v>
      </c>
    </row>
    <row r="1439" spans="1:13" ht="16">
      <c r="A1439" s="101" t="str">
        <f t="shared" si="0"/>
        <v>OK</v>
      </c>
      <c r="B1439" s="48">
        <v>135052</v>
      </c>
      <c r="C1439" s="49" t="s">
        <v>1577</v>
      </c>
      <c r="D1439" s="49" t="s">
        <v>7</v>
      </c>
      <c r="E1439" s="63" t="s">
        <v>1427</v>
      </c>
      <c r="F1439" s="46">
        <v>8</v>
      </c>
      <c r="G1439" s="51">
        <v>43983</v>
      </c>
      <c r="H1439" s="46">
        <v>50</v>
      </c>
      <c r="I1439" s="53" t="str">
        <f ca="1"/>
        <v>小関 麻起</v>
      </c>
      <c r="J1439" s="113"/>
      <c r="K1439" s="49" t="s">
        <v>50</v>
      </c>
      <c r="M1439" s="107" t="s">
        <v>52</v>
      </c>
    </row>
    <row r="1440" spans="1:13" ht="16">
      <c r="A1440" s="101" t="str">
        <f t="shared" si="0"/>
        <v>OK</v>
      </c>
      <c r="B1440" s="48">
        <v>3904774</v>
      </c>
      <c r="C1440" s="49" t="s">
        <v>1578</v>
      </c>
      <c r="D1440" s="49" t="s">
        <v>7</v>
      </c>
      <c r="E1440" s="63" t="s">
        <v>1427</v>
      </c>
      <c r="F1440" s="46">
        <v>10</v>
      </c>
      <c r="G1440" s="51">
        <v>43983</v>
      </c>
      <c r="H1440" s="46">
        <v>50</v>
      </c>
      <c r="I1440" s="53" t="str">
        <f ca="1"/>
        <v>小関 麻起</v>
      </c>
      <c r="J1440" s="113"/>
      <c r="K1440" s="49" t="s">
        <v>50</v>
      </c>
      <c r="M1440" s="107" t="s">
        <v>52</v>
      </c>
    </row>
    <row r="1441" spans="1:14" ht="16">
      <c r="A1441" s="101" t="str">
        <f t="shared" si="0"/>
        <v>OK</v>
      </c>
      <c r="B1441" s="48">
        <v>140103</v>
      </c>
      <c r="C1441" s="49" t="s">
        <v>1579</v>
      </c>
      <c r="D1441" s="49" t="s">
        <v>7</v>
      </c>
      <c r="E1441" s="63" t="s">
        <v>1427</v>
      </c>
      <c r="F1441" s="46">
        <v>27</v>
      </c>
      <c r="G1441" s="51">
        <v>43983</v>
      </c>
      <c r="H1441" s="46">
        <v>50</v>
      </c>
      <c r="I1441" s="53" t="str">
        <f ca="1"/>
        <v>小関 麻起</v>
      </c>
      <c r="J1441" s="113"/>
      <c r="K1441" s="49" t="s">
        <v>50</v>
      </c>
      <c r="M1441" s="107" t="s">
        <v>52</v>
      </c>
    </row>
    <row r="1442" spans="1:14" ht="16">
      <c r="A1442" s="101" t="str">
        <f t="shared" si="0"/>
        <v>OK</v>
      </c>
      <c r="B1442" s="48">
        <v>126789</v>
      </c>
      <c r="C1442" s="49" t="s">
        <v>1580</v>
      </c>
      <c r="D1442" s="49" t="s">
        <v>7</v>
      </c>
      <c r="E1442" s="63" t="s">
        <v>1427</v>
      </c>
      <c r="F1442" s="46">
        <v>5</v>
      </c>
      <c r="G1442" s="51">
        <v>43983</v>
      </c>
      <c r="H1442" s="46">
        <v>30</v>
      </c>
      <c r="I1442" s="53" t="str">
        <f ca="1"/>
        <v>稲場 勇介</v>
      </c>
      <c r="J1442" s="113"/>
      <c r="K1442" s="49" t="s">
        <v>50</v>
      </c>
      <c r="M1442" s="107" t="s">
        <v>52</v>
      </c>
    </row>
    <row r="1443" spans="1:14" ht="16">
      <c r="A1443" s="101" t="str">
        <f t="shared" si="0"/>
        <v>OK</v>
      </c>
      <c r="B1443" s="48">
        <v>108214</v>
      </c>
      <c r="C1443" s="49" t="s">
        <v>1581</v>
      </c>
      <c r="D1443" s="49" t="s">
        <v>7</v>
      </c>
      <c r="E1443" s="63" t="s">
        <v>1427</v>
      </c>
      <c r="F1443" s="46">
        <v>0</v>
      </c>
      <c r="G1443" s="51">
        <v>43952</v>
      </c>
      <c r="H1443" s="46">
        <v>4</v>
      </c>
      <c r="I1443" s="53" t="str">
        <f ca="1"/>
        <v>稲場 勇介</v>
      </c>
      <c r="J1443" s="113"/>
      <c r="K1443" s="49" t="s">
        <v>50</v>
      </c>
      <c r="M1443" s="107" t="s">
        <v>52</v>
      </c>
    </row>
    <row r="1444" spans="1:14" ht="16">
      <c r="A1444" s="101" t="str">
        <f t="shared" si="0"/>
        <v>OK</v>
      </c>
      <c r="B1444" s="48">
        <v>138868</v>
      </c>
      <c r="C1444" s="49" t="s">
        <v>1582</v>
      </c>
      <c r="D1444" s="49" t="s">
        <v>7</v>
      </c>
      <c r="E1444" s="63" t="s">
        <v>1427</v>
      </c>
      <c r="F1444" s="46">
        <v>2</v>
      </c>
      <c r="G1444" s="51">
        <v>43952</v>
      </c>
      <c r="H1444" s="46">
        <v>20</v>
      </c>
      <c r="I1444" s="53" t="str">
        <f ca="1"/>
        <v>菅野 ぎんが</v>
      </c>
      <c r="J1444" s="113"/>
      <c r="K1444" s="49" t="s">
        <v>50</v>
      </c>
      <c r="M1444" s="107" t="s">
        <v>52</v>
      </c>
    </row>
    <row r="1445" spans="1:14" ht="16">
      <c r="A1445" s="101" t="str">
        <f t="shared" si="0"/>
        <v>OK</v>
      </c>
      <c r="B1445" s="48">
        <v>3904210</v>
      </c>
      <c r="C1445" s="49" t="s">
        <v>1583</v>
      </c>
      <c r="D1445" s="49" t="s">
        <v>7</v>
      </c>
      <c r="E1445" s="63" t="s">
        <v>1427</v>
      </c>
      <c r="F1445" s="46">
        <v>2</v>
      </c>
      <c r="G1445" s="51">
        <v>43952</v>
      </c>
      <c r="H1445" s="46">
        <v>20</v>
      </c>
      <c r="I1445" s="53" t="str">
        <f ca="1"/>
        <v>菅野 ぎんが</v>
      </c>
      <c r="J1445" s="113"/>
      <c r="K1445" s="49" t="s">
        <v>50</v>
      </c>
      <c r="M1445" s="107" t="s">
        <v>52</v>
      </c>
    </row>
    <row r="1446" spans="1:14" ht="16">
      <c r="A1446" s="101" t="str">
        <f t="shared" si="0"/>
        <v>OK</v>
      </c>
      <c r="B1446" s="48">
        <v>113415</v>
      </c>
      <c r="C1446" s="49" t="s">
        <v>1584</v>
      </c>
      <c r="D1446" s="49" t="s">
        <v>7</v>
      </c>
      <c r="E1446" s="63" t="s">
        <v>1427</v>
      </c>
      <c r="F1446" s="46">
        <v>26</v>
      </c>
      <c r="G1446" s="51">
        <v>43983</v>
      </c>
      <c r="H1446" s="46">
        <v>50</v>
      </c>
      <c r="I1446" s="53" t="str">
        <f ca="1"/>
        <v>老田 純輝</v>
      </c>
      <c r="J1446" s="113"/>
      <c r="K1446" s="49" t="s">
        <v>50</v>
      </c>
      <c r="M1446" s="107" t="s">
        <v>52</v>
      </c>
    </row>
    <row r="1447" spans="1:14" ht="16">
      <c r="A1447" s="101" t="str">
        <f t="shared" si="0"/>
        <v>OK</v>
      </c>
      <c r="B1447" s="48">
        <v>125613</v>
      </c>
      <c r="C1447" s="49" t="s">
        <v>1585</v>
      </c>
      <c r="D1447" s="49" t="s">
        <v>7</v>
      </c>
      <c r="E1447" s="63" t="s">
        <v>1427</v>
      </c>
      <c r="F1447" s="46">
        <v>2</v>
      </c>
      <c r="G1447" s="51">
        <v>43952</v>
      </c>
      <c r="H1447" s="46">
        <v>20</v>
      </c>
      <c r="I1447" s="53" t="str">
        <f ca="1"/>
        <v>菅野 ぎんが</v>
      </c>
      <c r="J1447" s="113"/>
      <c r="K1447" s="49" t="s">
        <v>50</v>
      </c>
      <c r="M1447" s="107" t="s">
        <v>52</v>
      </c>
    </row>
    <row r="1448" spans="1:14" ht="16">
      <c r="A1448" s="101" t="str">
        <f t="shared" si="0"/>
        <v>OK</v>
      </c>
      <c r="B1448" s="48">
        <v>128285</v>
      </c>
      <c r="C1448" s="49" t="s">
        <v>1586</v>
      </c>
      <c r="D1448" s="49" t="s">
        <v>7</v>
      </c>
      <c r="E1448" s="63" t="s">
        <v>1427</v>
      </c>
      <c r="F1448" s="46">
        <v>1</v>
      </c>
      <c r="G1448" s="51">
        <v>43952</v>
      </c>
      <c r="H1448" s="46">
        <v>15</v>
      </c>
      <c r="I1448" s="53" t="str">
        <f ca="1"/>
        <v>菅野 ぎんが</v>
      </c>
      <c r="J1448" s="113"/>
      <c r="K1448" s="49" t="s">
        <v>50</v>
      </c>
      <c r="M1448" s="107" t="s">
        <v>52</v>
      </c>
    </row>
    <row r="1449" spans="1:14" ht="16">
      <c r="A1449" s="101" t="str">
        <f t="shared" si="0"/>
        <v>OK</v>
      </c>
      <c r="B1449" s="48">
        <v>137857</v>
      </c>
      <c r="C1449" s="49" t="s">
        <v>1587</v>
      </c>
      <c r="D1449" s="49" t="s">
        <v>7</v>
      </c>
      <c r="E1449" s="49" t="s">
        <v>1427</v>
      </c>
      <c r="F1449" s="46">
        <v>0</v>
      </c>
      <c r="G1449" s="51">
        <v>43952</v>
      </c>
      <c r="H1449" s="46">
        <v>20</v>
      </c>
      <c r="I1449" s="53" t="str">
        <f ca="1"/>
        <v>長谷川 陸朗</v>
      </c>
      <c r="J1449" s="113"/>
      <c r="K1449" s="49" t="s">
        <v>50</v>
      </c>
      <c r="M1449" s="107" t="s">
        <v>52</v>
      </c>
      <c r="N1449" s="100" t="s">
        <v>1588</v>
      </c>
    </row>
    <row r="1450" spans="1:14" ht="16">
      <c r="A1450" s="101" t="str">
        <f t="shared" si="0"/>
        <v>OK</v>
      </c>
      <c r="B1450" s="48">
        <v>3904536</v>
      </c>
      <c r="C1450" s="49" t="s">
        <v>1589</v>
      </c>
      <c r="D1450" s="49" t="s">
        <v>7</v>
      </c>
      <c r="E1450" s="49" t="s">
        <v>1427</v>
      </c>
      <c r="F1450" s="46">
        <v>16</v>
      </c>
      <c r="G1450" s="51">
        <v>43952</v>
      </c>
      <c r="H1450" s="46">
        <v>30</v>
      </c>
      <c r="I1450" s="53" t="str">
        <f ca="1"/>
        <v>長谷川 陸朗</v>
      </c>
      <c r="J1450" s="113"/>
      <c r="K1450" s="49" t="s">
        <v>50</v>
      </c>
      <c r="M1450" s="107" t="s">
        <v>52</v>
      </c>
    </row>
    <row r="1451" spans="1:14" ht="16">
      <c r="A1451" s="101" t="str">
        <f t="shared" si="0"/>
        <v>OK</v>
      </c>
      <c r="B1451" s="48">
        <v>103432</v>
      </c>
      <c r="C1451" s="49" t="s">
        <v>1590</v>
      </c>
      <c r="D1451" s="49" t="s">
        <v>7</v>
      </c>
      <c r="E1451" s="49" t="s">
        <v>1427</v>
      </c>
      <c r="F1451" s="46">
        <v>22</v>
      </c>
      <c r="G1451" s="51">
        <v>43983</v>
      </c>
      <c r="H1451" s="46">
        <v>50</v>
      </c>
      <c r="I1451" s="53" t="str">
        <f ca="1"/>
        <v>長谷川 陸朗</v>
      </c>
      <c r="J1451" s="113"/>
      <c r="K1451" s="49" t="s">
        <v>50</v>
      </c>
      <c r="M1451" s="107" t="s">
        <v>52</v>
      </c>
    </row>
    <row r="1452" spans="1:14" ht="16">
      <c r="A1452" s="101" t="str">
        <f t="shared" si="0"/>
        <v>OK</v>
      </c>
      <c r="B1452" s="48">
        <v>111156</v>
      </c>
      <c r="C1452" s="49" t="s">
        <v>1591</v>
      </c>
      <c r="D1452" s="49" t="s">
        <v>7</v>
      </c>
      <c r="E1452" s="49" t="s">
        <v>1427</v>
      </c>
      <c r="F1452" s="46">
        <v>5</v>
      </c>
      <c r="G1452" s="51">
        <v>43983</v>
      </c>
      <c r="H1452" s="46">
        <v>40</v>
      </c>
      <c r="I1452" s="53" t="str">
        <f ca="1"/>
        <v>長谷川 陸朗</v>
      </c>
      <c r="J1452" s="113"/>
      <c r="K1452" s="49" t="s">
        <v>50</v>
      </c>
      <c r="M1452" s="107" t="s">
        <v>52</v>
      </c>
    </row>
    <row r="1453" spans="1:14" ht="16">
      <c r="A1453" s="101" t="str">
        <f t="shared" si="0"/>
        <v>OK</v>
      </c>
      <c r="B1453" s="48">
        <v>128077</v>
      </c>
      <c r="C1453" s="49" t="s">
        <v>1592</v>
      </c>
      <c r="D1453" s="49" t="s">
        <v>7</v>
      </c>
      <c r="E1453" s="49" t="s">
        <v>1427</v>
      </c>
      <c r="F1453" s="46">
        <v>3</v>
      </c>
      <c r="G1453" s="51">
        <v>43983</v>
      </c>
      <c r="H1453" s="46">
        <v>15</v>
      </c>
      <c r="I1453" s="53" t="str">
        <f ca="1"/>
        <v>長谷川 陸朗</v>
      </c>
      <c r="J1453" s="113"/>
      <c r="K1453" s="49" t="s">
        <v>50</v>
      </c>
      <c r="M1453" s="107" t="s">
        <v>52</v>
      </c>
    </row>
    <row r="1454" spans="1:14" ht="16">
      <c r="A1454" s="101" t="str">
        <f t="shared" si="0"/>
        <v>OK</v>
      </c>
      <c r="B1454" s="48">
        <v>134326</v>
      </c>
      <c r="C1454" s="49" t="s">
        <v>1593</v>
      </c>
      <c r="D1454" s="49" t="s">
        <v>7</v>
      </c>
      <c r="E1454" s="49" t="s">
        <v>1427</v>
      </c>
      <c r="F1454" s="46">
        <v>15</v>
      </c>
      <c r="G1454" s="51">
        <v>43983</v>
      </c>
      <c r="H1454" s="46">
        <v>20</v>
      </c>
      <c r="I1454" s="53" t="str">
        <f ca="1"/>
        <v>長谷川 陸朗</v>
      </c>
      <c r="J1454" s="113"/>
      <c r="K1454" s="49" t="s">
        <v>50</v>
      </c>
      <c r="M1454" s="107" t="s">
        <v>52</v>
      </c>
    </row>
    <row r="1455" spans="1:14" ht="16">
      <c r="A1455" s="101" t="str">
        <f t="shared" si="0"/>
        <v>OK</v>
      </c>
      <c r="B1455" s="48">
        <v>137115</v>
      </c>
      <c r="C1455" s="49" t="s">
        <v>1594</v>
      </c>
      <c r="D1455" s="49" t="s">
        <v>7</v>
      </c>
      <c r="E1455" s="49" t="s">
        <v>1427</v>
      </c>
      <c r="F1455" s="46">
        <v>1</v>
      </c>
      <c r="G1455" s="51">
        <v>43983</v>
      </c>
      <c r="H1455" s="46">
        <v>25</v>
      </c>
      <c r="I1455" s="53" t="str">
        <f ca="1"/>
        <v>長谷川 陸朗</v>
      </c>
      <c r="J1455" s="113"/>
      <c r="K1455" s="49" t="s">
        <v>50</v>
      </c>
      <c r="M1455" s="107" t="s">
        <v>52</v>
      </c>
    </row>
    <row r="1456" spans="1:14" ht="16">
      <c r="A1456" s="101" t="str">
        <f t="shared" si="0"/>
        <v>OK</v>
      </c>
      <c r="B1456" s="48">
        <v>140879</v>
      </c>
      <c r="C1456" s="49" t="s">
        <v>1595</v>
      </c>
      <c r="D1456" s="49" t="s">
        <v>7</v>
      </c>
      <c r="E1456" s="49" t="s">
        <v>1427</v>
      </c>
      <c r="F1456" s="46">
        <v>18</v>
      </c>
      <c r="G1456" s="51">
        <v>43983</v>
      </c>
      <c r="H1456" s="46">
        <v>15</v>
      </c>
      <c r="I1456" s="53" t="str">
        <f ca="1"/>
        <v>長谷川 陸朗</v>
      </c>
      <c r="J1456" s="113"/>
      <c r="K1456" s="49" t="s">
        <v>50</v>
      </c>
      <c r="M1456" s="107" t="s">
        <v>52</v>
      </c>
    </row>
    <row r="1457" spans="1:13" ht="16">
      <c r="A1457" s="101" t="str">
        <f t="shared" si="0"/>
        <v>OK</v>
      </c>
      <c r="B1457" s="48">
        <v>101065</v>
      </c>
      <c r="C1457" s="49" t="s">
        <v>1596</v>
      </c>
      <c r="D1457" s="49" t="s">
        <v>7</v>
      </c>
      <c r="E1457" s="49" t="s">
        <v>1427</v>
      </c>
      <c r="F1457" s="46">
        <v>2</v>
      </c>
      <c r="G1457" s="51">
        <v>43983</v>
      </c>
      <c r="H1457" s="46">
        <v>35</v>
      </c>
      <c r="I1457" s="53" t="str">
        <f ca="1"/>
        <v>長谷川 陸朗</v>
      </c>
      <c r="J1457" s="113"/>
      <c r="K1457" s="49" t="s">
        <v>50</v>
      </c>
      <c r="M1457" s="107" t="s">
        <v>52</v>
      </c>
    </row>
    <row r="1458" spans="1:13" ht="16">
      <c r="A1458" s="101" t="str">
        <f t="shared" si="0"/>
        <v>OK</v>
      </c>
      <c r="B1458" s="48">
        <v>134257</v>
      </c>
      <c r="C1458" s="49" t="s">
        <v>1597</v>
      </c>
      <c r="D1458" s="49" t="s">
        <v>7</v>
      </c>
      <c r="E1458" s="49" t="s">
        <v>1427</v>
      </c>
      <c r="F1458" s="46">
        <v>16</v>
      </c>
      <c r="G1458" s="51">
        <v>43983</v>
      </c>
      <c r="H1458" s="46">
        <v>15</v>
      </c>
      <c r="I1458" s="53" t="str">
        <f ca="1"/>
        <v>長谷川 陸朗</v>
      </c>
      <c r="J1458" s="113"/>
      <c r="K1458" s="49" t="s">
        <v>50</v>
      </c>
      <c r="M1458" s="107" t="s">
        <v>52</v>
      </c>
    </row>
    <row r="1459" spans="1:13" ht="16">
      <c r="A1459" s="101" t="str">
        <f t="shared" si="0"/>
        <v>OK</v>
      </c>
      <c r="B1459" s="48">
        <v>134079</v>
      </c>
      <c r="C1459" s="49" t="s">
        <v>1598</v>
      </c>
      <c r="D1459" s="49" t="s">
        <v>7</v>
      </c>
      <c r="E1459" s="49" t="s">
        <v>1427</v>
      </c>
      <c r="F1459" s="46">
        <v>1</v>
      </c>
      <c r="G1459" s="51">
        <v>43983</v>
      </c>
      <c r="H1459" s="46">
        <v>30</v>
      </c>
      <c r="I1459" s="53" t="str">
        <f ca="1"/>
        <v>長谷川 陸朗</v>
      </c>
      <c r="J1459" s="113"/>
      <c r="K1459" s="49" t="s">
        <v>50</v>
      </c>
      <c r="M1459" s="107" t="s">
        <v>52</v>
      </c>
    </row>
    <row r="1460" spans="1:13" ht="16">
      <c r="A1460" s="101" t="str">
        <f t="shared" si="0"/>
        <v>OK</v>
      </c>
      <c r="B1460" s="48">
        <v>3903760</v>
      </c>
      <c r="C1460" s="49" t="s">
        <v>1599</v>
      </c>
      <c r="D1460" s="49" t="s">
        <v>7</v>
      </c>
      <c r="E1460" s="49" t="s">
        <v>1427</v>
      </c>
      <c r="F1460" s="46">
        <v>4</v>
      </c>
      <c r="G1460" s="51">
        <v>43983</v>
      </c>
      <c r="H1460" s="46">
        <v>20</v>
      </c>
      <c r="I1460" s="53" t="str">
        <f ca="1"/>
        <v>長谷川 陸朗</v>
      </c>
      <c r="J1460" s="113"/>
      <c r="K1460" s="49" t="s">
        <v>50</v>
      </c>
      <c r="M1460" s="107" t="s">
        <v>52</v>
      </c>
    </row>
    <row r="1461" spans="1:13" ht="16">
      <c r="A1461" s="101" t="str">
        <f t="shared" si="0"/>
        <v>OK</v>
      </c>
      <c r="B1461" s="48">
        <v>139170</v>
      </c>
      <c r="C1461" s="49" t="s">
        <v>1600</v>
      </c>
      <c r="D1461" s="49" t="s">
        <v>7</v>
      </c>
      <c r="E1461" s="49" t="s">
        <v>1427</v>
      </c>
      <c r="F1461" s="46">
        <v>0</v>
      </c>
      <c r="G1461" s="51">
        <v>43983</v>
      </c>
      <c r="H1461" s="46">
        <v>15</v>
      </c>
      <c r="I1461" s="53" t="str">
        <f ca="1"/>
        <v>堀越 駿</v>
      </c>
      <c r="J1461" s="113"/>
      <c r="K1461" s="49" t="s">
        <v>50</v>
      </c>
      <c r="M1461" s="107" t="s">
        <v>52</v>
      </c>
    </row>
    <row r="1462" spans="1:13" ht="16">
      <c r="A1462" s="101" t="str">
        <f t="shared" si="0"/>
        <v>OK</v>
      </c>
      <c r="B1462" s="48">
        <v>3903871</v>
      </c>
      <c r="C1462" s="49" t="s">
        <v>1601</v>
      </c>
      <c r="D1462" s="49" t="s">
        <v>7</v>
      </c>
      <c r="E1462" s="49" t="s">
        <v>1427</v>
      </c>
      <c r="F1462" s="46">
        <v>0</v>
      </c>
      <c r="G1462" s="51">
        <v>43983</v>
      </c>
      <c r="H1462" s="46">
        <v>25</v>
      </c>
      <c r="I1462" s="53" t="str">
        <f ca="1"/>
        <v>老田 純輝</v>
      </c>
      <c r="J1462" s="113"/>
      <c r="K1462" s="49" t="s">
        <v>50</v>
      </c>
      <c r="M1462" s="107" t="s">
        <v>52</v>
      </c>
    </row>
    <row r="1463" spans="1:13" ht="16">
      <c r="A1463" s="101" t="str">
        <f t="shared" si="0"/>
        <v>OK</v>
      </c>
      <c r="B1463" s="48">
        <v>141087</v>
      </c>
      <c r="C1463" s="49" t="s">
        <v>1602</v>
      </c>
      <c r="D1463" s="49" t="s">
        <v>7</v>
      </c>
      <c r="E1463" s="49" t="s">
        <v>1427</v>
      </c>
      <c r="F1463" s="46">
        <v>0</v>
      </c>
      <c r="G1463" s="51">
        <v>43983</v>
      </c>
      <c r="H1463" s="46">
        <v>50</v>
      </c>
      <c r="I1463" s="53" t="str">
        <f ca="1"/>
        <v>堀越 駿</v>
      </c>
      <c r="J1463" s="113"/>
      <c r="K1463" s="49" t="s">
        <v>50</v>
      </c>
      <c r="M1463" s="107" t="s">
        <v>52</v>
      </c>
    </row>
    <row r="1464" spans="1:13" ht="16">
      <c r="A1464" s="101" t="str">
        <f t="shared" si="0"/>
        <v>OK</v>
      </c>
      <c r="B1464" s="48">
        <v>116651</v>
      </c>
      <c r="C1464" s="49" t="s">
        <v>1603</v>
      </c>
      <c r="D1464" s="49" t="s">
        <v>7</v>
      </c>
      <c r="E1464" s="49" t="s">
        <v>1427</v>
      </c>
      <c r="F1464" s="46">
        <v>0</v>
      </c>
      <c r="G1464" s="51">
        <v>43983</v>
      </c>
      <c r="H1464" s="46">
        <v>3</v>
      </c>
      <c r="I1464" s="53" t="str">
        <f ca="1"/>
        <v>川島 幹也</v>
      </c>
      <c r="J1464" s="113"/>
      <c r="K1464" s="49" t="s">
        <v>50</v>
      </c>
      <c r="M1464" s="107" t="s">
        <v>52</v>
      </c>
    </row>
    <row r="1465" spans="1:13" ht="16">
      <c r="A1465" s="101" t="str">
        <f t="shared" si="0"/>
        <v>OK</v>
      </c>
      <c r="B1465" s="48">
        <v>130487</v>
      </c>
      <c r="C1465" s="49" t="s">
        <v>1604</v>
      </c>
      <c r="D1465" s="49" t="s">
        <v>7</v>
      </c>
      <c r="E1465" s="49" t="s">
        <v>1427</v>
      </c>
      <c r="F1465" s="46">
        <v>0</v>
      </c>
      <c r="G1465" s="51">
        <v>43983</v>
      </c>
      <c r="H1465" s="46">
        <v>10</v>
      </c>
      <c r="I1465" s="53" t="str">
        <f ca="1"/>
        <v>川島 幹也</v>
      </c>
      <c r="J1465" s="113"/>
      <c r="K1465" s="49" t="s">
        <v>50</v>
      </c>
      <c r="M1465" s="107" t="s">
        <v>52</v>
      </c>
    </row>
    <row r="1466" spans="1:13" ht="16">
      <c r="A1466" s="101" t="str">
        <f t="shared" si="0"/>
        <v>OK</v>
      </c>
      <c r="B1466" s="48">
        <v>138520</v>
      </c>
      <c r="C1466" s="49" t="s">
        <v>1605</v>
      </c>
      <c r="D1466" s="49" t="s">
        <v>7</v>
      </c>
      <c r="E1466" s="49" t="s">
        <v>1427</v>
      </c>
      <c r="F1466" s="46">
        <v>1</v>
      </c>
      <c r="G1466" s="51">
        <v>43983</v>
      </c>
      <c r="H1466" s="46">
        <v>30</v>
      </c>
      <c r="I1466" s="53" t="str">
        <f ca="1"/>
        <v>川島 幹也</v>
      </c>
      <c r="J1466" s="113"/>
      <c r="K1466" s="49" t="s">
        <v>50</v>
      </c>
      <c r="M1466" s="107" t="s">
        <v>52</v>
      </c>
    </row>
    <row r="1467" spans="1:13" ht="16">
      <c r="A1467" s="101"/>
      <c r="B1467" s="48"/>
      <c r="C1467" s="49"/>
      <c r="D1467" s="49"/>
      <c r="E1467" s="49"/>
      <c r="F1467" s="46"/>
      <c r="G1467" s="51"/>
      <c r="H1467" s="46"/>
      <c r="I1467" s="53" t="str">
        <f ca="1"/>
        <v>退会済</v>
      </c>
      <c r="J1467" s="113"/>
      <c r="K1467" s="49"/>
      <c r="M1467" s="107"/>
    </row>
    <row r="1468" spans="1:13" ht="16">
      <c r="A1468" s="101" t="str">
        <f t="shared" ref="A1468:A2277" si="1">IF(B1468="","-",IF(COUNTA(B1468:H1468)=7,"OK","未記入あり"))</f>
        <v>OK</v>
      </c>
      <c r="B1468" s="48">
        <v>3905146</v>
      </c>
      <c r="C1468" s="49" t="s">
        <v>1606</v>
      </c>
      <c r="D1468" s="49" t="s">
        <v>7</v>
      </c>
      <c r="E1468" s="49" t="s">
        <v>1427</v>
      </c>
      <c r="F1468" s="46">
        <v>10</v>
      </c>
      <c r="G1468" s="51">
        <v>43983</v>
      </c>
      <c r="H1468" s="46">
        <v>20</v>
      </c>
      <c r="I1468" s="53" t="str">
        <f ca="1"/>
        <v>川島 幹也</v>
      </c>
      <c r="J1468" s="113"/>
      <c r="K1468" s="49" t="s">
        <v>50</v>
      </c>
      <c r="M1468" s="107" t="s">
        <v>52</v>
      </c>
    </row>
    <row r="1469" spans="1:13" ht="16">
      <c r="A1469" s="101" t="str">
        <f t="shared" si="1"/>
        <v>OK</v>
      </c>
      <c r="B1469" s="48">
        <v>127852</v>
      </c>
      <c r="C1469" s="49" t="s">
        <v>1607</v>
      </c>
      <c r="D1469" s="49" t="s">
        <v>7</v>
      </c>
      <c r="E1469" s="49" t="s">
        <v>1427</v>
      </c>
      <c r="F1469" s="46">
        <v>0</v>
      </c>
      <c r="G1469" s="51">
        <v>43983</v>
      </c>
      <c r="H1469" s="46">
        <v>50</v>
      </c>
      <c r="I1469" s="53" t="str">
        <f ca="1"/>
        <v>小関 麻起</v>
      </c>
      <c r="J1469" s="113"/>
      <c r="K1469" s="49" t="s">
        <v>50</v>
      </c>
      <c r="M1469" s="107" t="s">
        <v>52</v>
      </c>
    </row>
    <row r="1470" spans="1:13" ht="16">
      <c r="A1470" s="101" t="str">
        <f t="shared" si="1"/>
        <v>OK</v>
      </c>
      <c r="B1470" s="48">
        <v>124082</v>
      </c>
      <c r="C1470" s="49" t="s">
        <v>1608</v>
      </c>
      <c r="D1470" s="49" t="s">
        <v>7</v>
      </c>
      <c r="E1470" s="49" t="s">
        <v>1427</v>
      </c>
      <c r="F1470" s="46">
        <v>20</v>
      </c>
      <c r="G1470" s="51">
        <v>43983</v>
      </c>
      <c r="H1470" s="46">
        <v>50</v>
      </c>
      <c r="I1470" s="53" t="str">
        <f ca="1"/>
        <v>栗原 大武</v>
      </c>
      <c r="J1470" s="113"/>
      <c r="K1470" s="49" t="s">
        <v>50</v>
      </c>
      <c r="M1470" s="107" t="s">
        <v>52</v>
      </c>
    </row>
    <row r="1471" spans="1:13" ht="16">
      <c r="A1471" s="101" t="str">
        <f t="shared" si="1"/>
        <v>OK</v>
      </c>
      <c r="B1471" s="48">
        <v>126679</v>
      </c>
      <c r="C1471" s="49" t="s">
        <v>1609</v>
      </c>
      <c r="D1471" s="49" t="s">
        <v>7</v>
      </c>
      <c r="E1471" s="49" t="s">
        <v>1427</v>
      </c>
      <c r="F1471" s="46">
        <v>1</v>
      </c>
      <c r="G1471" s="51">
        <v>43983</v>
      </c>
      <c r="H1471" s="46">
        <v>50</v>
      </c>
      <c r="I1471" s="53" t="str">
        <f ca="1"/>
        <v>栗原 大武</v>
      </c>
      <c r="J1471" s="113"/>
      <c r="K1471" s="49" t="s">
        <v>50</v>
      </c>
      <c r="M1471" s="107" t="s">
        <v>52</v>
      </c>
    </row>
    <row r="1472" spans="1:13" ht="16">
      <c r="A1472" s="101" t="str">
        <f t="shared" si="1"/>
        <v>OK</v>
      </c>
      <c r="B1472" s="48">
        <v>135064</v>
      </c>
      <c r="C1472" s="49" t="s">
        <v>1610</v>
      </c>
      <c r="D1472" s="49" t="s">
        <v>7</v>
      </c>
      <c r="E1472" s="49" t="s">
        <v>1427</v>
      </c>
      <c r="F1472" s="46">
        <v>1</v>
      </c>
      <c r="G1472" s="51">
        <v>43983</v>
      </c>
      <c r="H1472" s="46">
        <v>50</v>
      </c>
      <c r="I1472" s="53" t="str">
        <f ca="1"/>
        <v>栗原 大武</v>
      </c>
      <c r="J1472" s="113"/>
      <c r="K1472" s="49" t="s">
        <v>50</v>
      </c>
      <c r="M1472" s="107" t="s">
        <v>52</v>
      </c>
    </row>
    <row r="1473" spans="1:13" ht="16">
      <c r="A1473" s="101" t="str">
        <f t="shared" si="1"/>
        <v>OK</v>
      </c>
      <c r="B1473" s="48">
        <v>124794</v>
      </c>
      <c r="C1473" s="49" t="s">
        <v>1611</v>
      </c>
      <c r="D1473" s="49" t="s">
        <v>7</v>
      </c>
      <c r="E1473" s="49" t="s">
        <v>1427</v>
      </c>
      <c r="F1473" s="46">
        <v>0</v>
      </c>
      <c r="G1473" s="51">
        <v>43983</v>
      </c>
      <c r="H1473" s="46">
        <v>50</v>
      </c>
      <c r="I1473" s="53" t="str">
        <f ca="1"/>
        <v>栗原 大武</v>
      </c>
      <c r="J1473" s="113"/>
      <c r="K1473" s="49" t="s">
        <v>50</v>
      </c>
      <c r="M1473" s="107" t="s">
        <v>52</v>
      </c>
    </row>
    <row r="1474" spans="1:13" ht="16">
      <c r="A1474" s="101" t="str">
        <f t="shared" si="1"/>
        <v>OK</v>
      </c>
      <c r="B1474" s="48">
        <v>141370</v>
      </c>
      <c r="C1474" s="49" t="s">
        <v>1612</v>
      </c>
      <c r="D1474" s="49" t="s">
        <v>7</v>
      </c>
      <c r="E1474" s="49" t="s">
        <v>1427</v>
      </c>
      <c r="F1474" s="46">
        <v>1</v>
      </c>
      <c r="G1474" s="51">
        <v>43983</v>
      </c>
      <c r="H1474" s="46">
        <v>10</v>
      </c>
      <c r="I1474" s="53" t="str">
        <f ca="1"/>
        <v>田嶋 将太</v>
      </c>
      <c r="J1474" s="113"/>
      <c r="K1474" s="49" t="s">
        <v>50</v>
      </c>
      <c r="M1474" s="107" t="s">
        <v>52</v>
      </c>
    </row>
    <row r="1475" spans="1:13" ht="16">
      <c r="A1475" s="101" t="str">
        <f t="shared" si="1"/>
        <v>OK</v>
      </c>
      <c r="B1475" s="48">
        <v>133213</v>
      </c>
      <c r="C1475" s="49" t="s">
        <v>1613</v>
      </c>
      <c r="D1475" s="49" t="s">
        <v>7</v>
      </c>
      <c r="E1475" s="49" t="s">
        <v>1427</v>
      </c>
      <c r="F1475" s="46">
        <v>0</v>
      </c>
      <c r="G1475" s="51">
        <v>43983</v>
      </c>
      <c r="H1475" s="46">
        <v>20</v>
      </c>
      <c r="I1475" s="53" t="str">
        <f ca="1"/>
        <v>田嶋 将太</v>
      </c>
      <c r="J1475" s="113"/>
      <c r="K1475" s="49" t="s">
        <v>50</v>
      </c>
      <c r="M1475" s="107" t="s">
        <v>52</v>
      </c>
    </row>
    <row r="1476" spans="1:13" ht="16">
      <c r="A1476" s="101" t="str">
        <f t="shared" si="1"/>
        <v>OK</v>
      </c>
      <c r="B1476" s="48">
        <v>112133</v>
      </c>
      <c r="C1476" s="49" t="s">
        <v>1614</v>
      </c>
      <c r="D1476" s="49" t="s">
        <v>7</v>
      </c>
      <c r="E1476" s="49" t="s">
        <v>1427</v>
      </c>
      <c r="F1476" s="46">
        <v>7</v>
      </c>
      <c r="G1476" s="51">
        <v>43983</v>
      </c>
      <c r="H1476" s="46">
        <v>50</v>
      </c>
      <c r="I1476" s="53" t="str">
        <f ca="1"/>
        <v>田嶋 将太</v>
      </c>
      <c r="J1476" s="113"/>
      <c r="K1476" s="49" t="s">
        <v>50</v>
      </c>
      <c r="M1476" s="107" t="s">
        <v>52</v>
      </c>
    </row>
    <row r="1477" spans="1:13" ht="16">
      <c r="A1477" s="101" t="str">
        <f t="shared" si="1"/>
        <v>OK</v>
      </c>
      <c r="B1477" s="48">
        <v>132222</v>
      </c>
      <c r="C1477" s="49" t="s">
        <v>1615</v>
      </c>
      <c r="D1477" s="49" t="s">
        <v>7</v>
      </c>
      <c r="E1477" s="49" t="s">
        <v>1427</v>
      </c>
      <c r="F1477" s="46">
        <v>3</v>
      </c>
      <c r="G1477" s="51">
        <v>43983</v>
      </c>
      <c r="H1477" s="46">
        <v>8</v>
      </c>
      <c r="I1477" s="53" t="str">
        <f ca="1"/>
        <v>田嶋 将太</v>
      </c>
      <c r="J1477" s="113"/>
      <c r="K1477" s="49" t="s">
        <v>50</v>
      </c>
      <c r="M1477" s="107" t="s">
        <v>52</v>
      </c>
    </row>
    <row r="1478" spans="1:13" ht="16">
      <c r="A1478" s="101" t="str">
        <f t="shared" si="1"/>
        <v>OK</v>
      </c>
      <c r="B1478" s="48">
        <v>130239</v>
      </c>
      <c r="C1478" s="49" t="s">
        <v>1616</v>
      </c>
      <c r="D1478" s="49" t="s">
        <v>5</v>
      </c>
      <c r="E1478" s="64">
        <v>7.9000000000000001E-2</v>
      </c>
      <c r="F1478" s="46">
        <v>50</v>
      </c>
      <c r="G1478" s="51">
        <v>43952</v>
      </c>
      <c r="H1478" s="46">
        <v>1900</v>
      </c>
      <c r="I1478" s="53" t="str">
        <f ca="1"/>
        <v>荻曽 克輝</v>
      </c>
      <c r="J1478" s="113"/>
      <c r="K1478" s="49" t="s">
        <v>50</v>
      </c>
      <c r="M1478" s="107" t="s">
        <v>52</v>
      </c>
    </row>
    <row r="1479" spans="1:13" ht="16">
      <c r="A1479" s="101" t="str">
        <f t="shared" si="1"/>
        <v>OK</v>
      </c>
      <c r="B1479" s="48">
        <v>141590</v>
      </c>
      <c r="C1479" s="49" t="s">
        <v>1617</v>
      </c>
      <c r="D1479" s="49" t="s">
        <v>5</v>
      </c>
      <c r="E1479" s="64">
        <v>7.9000000000000001E-2</v>
      </c>
      <c r="F1479" s="46">
        <v>50</v>
      </c>
      <c r="G1479" s="51">
        <v>43952</v>
      </c>
      <c r="H1479" s="46">
        <v>1800</v>
      </c>
      <c r="I1479" s="53" t="str">
        <f ca="1"/>
        <v>荻曽 克輝</v>
      </c>
      <c r="J1479" s="113"/>
      <c r="K1479" s="49" t="s">
        <v>50</v>
      </c>
      <c r="M1479" s="107" t="s">
        <v>52</v>
      </c>
    </row>
    <row r="1480" spans="1:13" ht="16">
      <c r="A1480" s="101" t="str">
        <f t="shared" si="1"/>
        <v>OK</v>
      </c>
      <c r="B1480" s="48">
        <v>132710</v>
      </c>
      <c r="C1480" s="49" t="s">
        <v>1618</v>
      </c>
      <c r="D1480" s="49" t="s">
        <v>5</v>
      </c>
      <c r="E1480" s="64">
        <v>8.5000000000000006E-2</v>
      </c>
      <c r="F1480" s="46">
        <v>30</v>
      </c>
      <c r="G1480" s="51">
        <v>43952</v>
      </c>
      <c r="H1480" s="46">
        <v>250</v>
      </c>
      <c r="I1480" s="53" t="str">
        <f ca="1"/>
        <v>栗原 大武</v>
      </c>
      <c r="J1480" s="113"/>
      <c r="K1480" s="49" t="s">
        <v>50</v>
      </c>
      <c r="M1480" s="107" t="s">
        <v>52</v>
      </c>
    </row>
    <row r="1481" spans="1:13" ht="16">
      <c r="A1481" s="101" t="str">
        <f t="shared" si="1"/>
        <v>OK</v>
      </c>
      <c r="B1481" s="48">
        <v>135450</v>
      </c>
      <c r="C1481" s="49" t="s">
        <v>1619</v>
      </c>
      <c r="D1481" s="49" t="s">
        <v>5</v>
      </c>
      <c r="E1481" s="64">
        <v>8.5000000000000006E-2</v>
      </c>
      <c r="F1481" s="46">
        <v>30</v>
      </c>
      <c r="G1481" s="51">
        <v>43952</v>
      </c>
      <c r="H1481" s="46">
        <v>400</v>
      </c>
      <c r="I1481" s="53" t="str">
        <f ca="1"/>
        <v>荻曽 克輝</v>
      </c>
      <c r="J1481" s="113"/>
      <c r="K1481" s="49" t="s">
        <v>50</v>
      </c>
      <c r="M1481" s="107" t="s">
        <v>52</v>
      </c>
    </row>
    <row r="1482" spans="1:13" ht="16">
      <c r="A1482" s="101" t="str">
        <f t="shared" si="1"/>
        <v>OK</v>
      </c>
      <c r="B1482" s="48">
        <v>126955</v>
      </c>
      <c r="C1482" s="49" t="s">
        <v>1620</v>
      </c>
      <c r="D1482" s="49" t="s">
        <v>5</v>
      </c>
      <c r="E1482" s="63">
        <v>8.2000000000000003E-2</v>
      </c>
      <c r="F1482" s="46">
        <v>70</v>
      </c>
      <c r="G1482" s="51">
        <v>43952</v>
      </c>
      <c r="H1482" s="46">
        <v>1000</v>
      </c>
      <c r="I1482" s="53" t="str">
        <f ca="1"/>
        <v>荻曽 克輝</v>
      </c>
      <c r="J1482" s="113"/>
      <c r="K1482" s="49" t="s">
        <v>50</v>
      </c>
      <c r="M1482" s="107" t="s">
        <v>52</v>
      </c>
    </row>
    <row r="1483" spans="1:13" ht="16">
      <c r="A1483" s="101" t="str">
        <f t="shared" si="1"/>
        <v>OK</v>
      </c>
      <c r="B1483" s="48">
        <v>141522</v>
      </c>
      <c r="C1483" s="49" t="s">
        <v>1621</v>
      </c>
      <c r="D1483" s="49" t="s">
        <v>7</v>
      </c>
      <c r="E1483" s="49" t="s">
        <v>1427</v>
      </c>
      <c r="F1483" s="46">
        <v>20</v>
      </c>
      <c r="G1483" s="51">
        <v>43983</v>
      </c>
      <c r="H1483" s="46">
        <v>30</v>
      </c>
      <c r="I1483" s="53" t="str">
        <f ca="1"/>
        <v>長谷川 陸朗</v>
      </c>
      <c r="J1483" s="113"/>
      <c r="K1483" s="49" t="s">
        <v>50</v>
      </c>
      <c r="M1483" s="107" t="s">
        <v>52</v>
      </c>
    </row>
    <row r="1484" spans="1:13" ht="16">
      <c r="A1484" s="101" t="str">
        <f t="shared" si="1"/>
        <v>OK</v>
      </c>
      <c r="B1484" s="48">
        <v>135165</v>
      </c>
      <c r="C1484" s="49" t="s">
        <v>1622</v>
      </c>
      <c r="D1484" s="49" t="s">
        <v>7</v>
      </c>
      <c r="E1484" s="49" t="s">
        <v>1427</v>
      </c>
      <c r="F1484" s="46">
        <v>5</v>
      </c>
      <c r="G1484" s="51">
        <v>43983</v>
      </c>
      <c r="H1484" s="46">
        <v>10</v>
      </c>
      <c r="I1484" s="53" t="str">
        <f ca="1"/>
        <v>長谷川 陸朗</v>
      </c>
      <c r="J1484" s="113"/>
      <c r="K1484" s="49" t="s">
        <v>50</v>
      </c>
      <c r="M1484" s="107" t="s">
        <v>52</v>
      </c>
    </row>
    <row r="1485" spans="1:13" ht="16">
      <c r="A1485" s="101" t="str">
        <f t="shared" si="1"/>
        <v>OK</v>
      </c>
      <c r="B1485" s="48">
        <v>133518</v>
      </c>
      <c r="C1485" s="49" t="s">
        <v>1623</v>
      </c>
      <c r="D1485" s="49" t="s">
        <v>7</v>
      </c>
      <c r="E1485" s="49" t="s">
        <v>1427</v>
      </c>
      <c r="F1485" s="46">
        <v>14</v>
      </c>
      <c r="G1485" s="51">
        <v>43983</v>
      </c>
      <c r="H1485" s="46">
        <v>50</v>
      </c>
      <c r="I1485" s="53" t="str">
        <f ca="1"/>
        <v>堀越 駿</v>
      </c>
      <c r="J1485" s="113"/>
      <c r="K1485" s="49" t="s">
        <v>50</v>
      </c>
      <c r="M1485" s="107" t="s">
        <v>52</v>
      </c>
    </row>
    <row r="1486" spans="1:13" ht="16">
      <c r="A1486" s="101" t="str">
        <f t="shared" si="1"/>
        <v>OK</v>
      </c>
      <c r="B1486" s="48">
        <v>3903879</v>
      </c>
      <c r="C1486" s="49" t="s">
        <v>1624</v>
      </c>
      <c r="D1486" s="49" t="s">
        <v>7</v>
      </c>
      <c r="E1486" s="49" t="s">
        <v>1427</v>
      </c>
      <c r="F1486" s="46">
        <v>0</v>
      </c>
      <c r="G1486" s="51">
        <v>43952</v>
      </c>
      <c r="H1486" s="46">
        <v>20</v>
      </c>
      <c r="I1486" s="53" t="str">
        <f ca="1"/>
        <v>森 光智</v>
      </c>
      <c r="J1486" s="113"/>
      <c r="K1486" s="49" t="s">
        <v>50</v>
      </c>
      <c r="M1486" s="107" t="s">
        <v>52</v>
      </c>
    </row>
    <row r="1487" spans="1:13" ht="16">
      <c r="A1487" s="101" t="str">
        <f t="shared" si="1"/>
        <v>OK</v>
      </c>
      <c r="B1487" s="48">
        <v>141340</v>
      </c>
      <c r="C1487" s="49" t="s">
        <v>1625</v>
      </c>
      <c r="D1487" s="49" t="s">
        <v>7</v>
      </c>
      <c r="E1487" s="49" t="s">
        <v>1427</v>
      </c>
      <c r="F1487" s="46">
        <v>0</v>
      </c>
      <c r="G1487" s="51">
        <v>43952</v>
      </c>
      <c r="H1487" s="46">
        <v>10</v>
      </c>
      <c r="I1487" s="53" t="str">
        <f ca="1"/>
        <v>森 光智</v>
      </c>
      <c r="J1487" s="113"/>
      <c r="K1487" s="49" t="s">
        <v>50</v>
      </c>
      <c r="M1487" s="107" t="s">
        <v>52</v>
      </c>
    </row>
    <row r="1488" spans="1:13" ht="16">
      <c r="A1488" s="101" t="str">
        <f t="shared" si="1"/>
        <v>OK</v>
      </c>
      <c r="B1488" s="48">
        <v>140539</v>
      </c>
      <c r="C1488" s="49" t="s">
        <v>1626</v>
      </c>
      <c r="D1488" s="49" t="s">
        <v>7</v>
      </c>
      <c r="E1488" s="49" t="s">
        <v>1427</v>
      </c>
      <c r="F1488" s="46">
        <v>0</v>
      </c>
      <c r="G1488" s="51">
        <v>43952</v>
      </c>
      <c r="H1488" s="46">
        <v>10</v>
      </c>
      <c r="I1488" s="53" t="str">
        <f ca="1"/>
        <v>森 光智</v>
      </c>
      <c r="J1488" s="113"/>
      <c r="K1488" s="49" t="s">
        <v>50</v>
      </c>
      <c r="M1488" s="107" t="s">
        <v>52</v>
      </c>
    </row>
    <row r="1489" spans="1:13" ht="16">
      <c r="A1489" s="101" t="str">
        <f t="shared" si="1"/>
        <v>OK</v>
      </c>
      <c r="B1489" s="48">
        <v>118565</v>
      </c>
      <c r="C1489" s="49" t="s">
        <v>1627</v>
      </c>
      <c r="D1489" s="49" t="s">
        <v>7</v>
      </c>
      <c r="E1489" s="49" t="s">
        <v>1427</v>
      </c>
      <c r="F1489" s="46">
        <v>8</v>
      </c>
      <c r="G1489" s="51">
        <v>43952</v>
      </c>
      <c r="H1489" s="46">
        <v>20</v>
      </c>
      <c r="I1489" s="53" t="str">
        <f ca="1"/>
        <v>森 光智</v>
      </c>
      <c r="J1489" s="113"/>
      <c r="K1489" s="49" t="s">
        <v>50</v>
      </c>
      <c r="M1489" s="107" t="s">
        <v>52</v>
      </c>
    </row>
    <row r="1490" spans="1:13" ht="16">
      <c r="A1490" s="101" t="str">
        <f t="shared" si="1"/>
        <v>OK</v>
      </c>
      <c r="B1490" s="48">
        <v>131813</v>
      </c>
      <c r="C1490" s="49" t="s">
        <v>1628</v>
      </c>
      <c r="D1490" s="49" t="s">
        <v>7</v>
      </c>
      <c r="E1490" s="49" t="s">
        <v>1427</v>
      </c>
      <c r="F1490" s="46">
        <v>0</v>
      </c>
      <c r="G1490" s="51">
        <v>43983</v>
      </c>
      <c r="H1490" s="46">
        <v>10</v>
      </c>
      <c r="I1490" s="53" t="str">
        <f ca="1"/>
        <v>森 光智</v>
      </c>
      <c r="J1490" s="113"/>
      <c r="K1490" s="49" t="s">
        <v>50</v>
      </c>
      <c r="M1490" s="107" t="s">
        <v>52</v>
      </c>
    </row>
    <row r="1491" spans="1:13" ht="16">
      <c r="A1491" s="101" t="str">
        <f t="shared" si="1"/>
        <v>OK</v>
      </c>
      <c r="B1491" s="48">
        <v>104079</v>
      </c>
      <c r="C1491" s="49" t="s">
        <v>1629</v>
      </c>
      <c r="D1491" s="49" t="s">
        <v>7</v>
      </c>
      <c r="E1491" s="63">
        <v>8.5000000000000006E-2</v>
      </c>
      <c r="F1491" s="46">
        <v>1</v>
      </c>
      <c r="G1491" s="51">
        <v>43983</v>
      </c>
      <c r="H1491" s="46">
        <v>10</v>
      </c>
      <c r="I1491" s="53" t="str">
        <f ca="1"/>
        <v>森 光智</v>
      </c>
      <c r="J1491" s="113"/>
      <c r="K1491" s="49" t="s">
        <v>50</v>
      </c>
      <c r="M1491" s="107" t="s">
        <v>52</v>
      </c>
    </row>
    <row r="1492" spans="1:13" ht="16">
      <c r="A1492" s="101" t="str">
        <f t="shared" si="1"/>
        <v>OK</v>
      </c>
      <c r="B1492" s="48">
        <v>138847</v>
      </c>
      <c r="C1492" s="49" t="s">
        <v>1630</v>
      </c>
      <c r="D1492" s="49" t="s">
        <v>7</v>
      </c>
      <c r="E1492" s="63">
        <v>8.5000000000000006E-2</v>
      </c>
      <c r="F1492" s="46">
        <v>8</v>
      </c>
      <c r="G1492" s="51">
        <v>43983</v>
      </c>
      <c r="H1492" s="46">
        <v>20</v>
      </c>
      <c r="I1492" s="53" t="str">
        <f ca="1"/>
        <v>森 光智</v>
      </c>
      <c r="J1492" s="113"/>
      <c r="K1492" s="49" t="s">
        <v>50</v>
      </c>
      <c r="M1492" s="107" t="s">
        <v>52</v>
      </c>
    </row>
    <row r="1493" spans="1:13" ht="16">
      <c r="A1493" s="101" t="str">
        <f t="shared" si="1"/>
        <v>OK</v>
      </c>
      <c r="B1493" s="48">
        <v>123482</v>
      </c>
      <c r="C1493" s="49" t="s">
        <v>1631</v>
      </c>
      <c r="D1493" s="49" t="s">
        <v>7</v>
      </c>
      <c r="E1493" s="63">
        <v>8.5000000000000006E-2</v>
      </c>
      <c r="F1493" s="46">
        <v>7</v>
      </c>
      <c r="G1493" s="51">
        <v>43983</v>
      </c>
      <c r="H1493" s="46">
        <v>7</v>
      </c>
      <c r="I1493" s="53" t="str">
        <f ca="1"/>
        <v>森 光智</v>
      </c>
      <c r="J1493" s="113"/>
      <c r="K1493" s="49" t="s">
        <v>50</v>
      </c>
      <c r="M1493" s="107" t="s">
        <v>52</v>
      </c>
    </row>
    <row r="1494" spans="1:13" ht="16">
      <c r="A1494" s="101" t="str">
        <f t="shared" si="1"/>
        <v>OK</v>
      </c>
      <c r="B1494" s="48">
        <v>128409</v>
      </c>
      <c r="C1494" s="49" t="s">
        <v>1632</v>
      </c>
      <c r="D1494" s="49" t="s">
        <v>7</v>
      </c>
      <c r="E1494" s="63">
        <v>8.5000000000000006E-2</v>
      </c>
      <c r="F1494" s="46">
        <v>13</v>
      </c>
      <c r="G1494" s="51">
        <v>43983</v>
      </c>
      <c r="H1494" s="46">
        <v>13</v>
      </c>
      <c r="I1494" s="53" t="str">
        <f ca="1"/>
        <v>森 光智</v>
      </c>
      <c r="J1494" s="113"/>
      <c r="K1494" s="49" t="s">
        <v>50</v>
      </c>
      <c r="M1494" s="107" t="s">
        <v>52</v>
      </c>
    </row>
    <row r="1495" spans="1:13" ht="16">
      <c r="A1495" s="101" t="str">
        <f t="shared" si="1"/>
        <v>OK</v>
      </c>
      <c r="B1495" s="48">
        <v>110515</v>
      </c>
      <c r="C1495" s="49" t="s">
        <v>1633</v>
      </c>
      <c r="D1495" s="49" t="s">
        <v>7</v>
      </c>
      <c r="E1495" s="63">
        <v>8.5000000000000006E-2</v>
      </c>
      <c r="F1495" s="46">
        <v>6</v>
      </c>
      <c r="G1495" s="51">
        <v>43983</v>
      </c>
      <c r="H1495" s="46">
        <v>6</v>
      </c>
      <c r="I1495" s="53" t="str">
        <f ca="1"/>
        <v>森 光智</v>
      </c>
      <c r="J1495" s="113"/>
      <c r="K1495" s="49" t="s">
        <v>50</v>
      </c>
      <c r="M1495" s="107" t="s">
        <v>52</v>
      </c>
    </row>
    <row r="1496" spans="1:13" ht="16">
      <c r="A1496" s="101" t="str">
        <f t="shared" si="1"/>
        <v>OK</v>
      </c>
      <c r="B1496" s="48">
        <v>110516</v>
      </c>
      <c r="C1496" s="49" t="s">
        <v>1634</v>
      </c>
      <c r="D1496" s="49" t="s">
        <v>7</v>
      </c>
      <c r="E1496" s="63">
        <v>8.5000000000000006E-2</v>
      </c>
      <c r="F1496" s="46">
        <v>7</v>
      </c>
      <c r="G1496" s="51">
        <v>43983</v>
      </c>
      <c r="H1496" s="46">
        <v>7</v>
      </c>
      <c r="I1496" s="53" t="str">
        <f ca="1"/>
        <v>森 光智</v>
      </c>
      <c r="J1496" s="113"/>
      <c r="K1496" s="49" t="s">
        <v>50</v>
      </c>
      <c r="M1496" s="107" t="s">
        <v>52</v>
      </c>
    </row>
    <row r="1497" spans="1:13" ht="16">
      <c r="A1497" s="101" t="str">
        <f t="shared" si="1"/>
        <v>OK</v>
      </c>
      <c r="B1497" s="48">
        <v>110518</v>
      </c>
      <c r="C1497" s="49" t="s">
        <v>1635</v>
      </c>
      <c r="D1497" s="49" t="s">
        <v>7</v>
      </c>
      <c r="E1497" s="63">
        <v>8.5000000000000006E-2</v>
      </c>
      <c r="F1497" s="46">
        <v>8</v>
      </c>
      <c r="G1497" s="51">
        <v>43983</v>
      </c>
      <c r="H1497" s="46">
        <v>8</v>
      </c>
      <c r="I1497" s="53" t="str">
        <f ca="1"/>
        <v>森 光智</v>
      </c>
      <c r="J1497" s="113"/>
      <c r="K1497" s="49" t="s">
        <v>50</v>
      </c>
      <c r="M1497" s="107" t="s">
        <v>52</v>
      </c>
    </row>
    <row r="1498" spans="1:13" ht="16">
      <c r="A1498" s="101" t="str">
        <f t="shared" si="1"/>
        <v>OK</v>
      </c>
      <c r="B1498" s="48">
        <v>118490</v>
      </c>
      <c r="C1498" s="49" t="s">
        <v>1636</v>
      </c>
      <c r="D1498" s="49" t="s">
        <v>7</v>
      </c>
      <c r="E1498" s="49" t="s">
        <v>1427</v>
      </c>
      <c r="F1498" s="46">
        <v>0</v>
      </c>
      <c r="G1498" s="51">
        <v>43983</v>
      </c>
      <c r="H1498" s="46">
        <v>30</v>
      </c>
      <c r="I1498" s="53" t="str">
        <f ca="1"/>
        <v>栗原 大武</v>
      </c>
      <c r="J1498" s="113"/>
      <c r="K1498" s="49" t="s">
        <v>50</v>
      </c>
      <c r="M1498" s="107" t="s">
        <v>52</v>
      </c>
    </row>
    <row r="1499" spans="1:13" ht="16">
      <c r="A1499" s="101" t="str">
        <f t="shared" si="1"/>
        <v>OK</v>
      </c>
      <c r="B1499" s="48">
        <v>3903472</v>
      </c>
      <c r="C1499" s="49" t="s">
        <v>1637</v>
      </c>
      <c r="D1499" s="49" t="s">
        <v>7</v>
      </c>
      <c r="E1499" s="49" t="s">
        <v>1427</v>
      </c>
      <c r="F1499" s="46">
        <v>0</v>
      </c>
      <c r="G1499" s="51">
        <v>43983</v>
      </c>
      <c r="H1499" s="46">
        <v>10</v>
      </c>
      <c r="I1499" s="53" t="str">
        <f ca="1"/>
        <v>菅野 ぎんが</v>
      </c>
      <c r="J1499" s="113"/>
      <c r="K1499" s="49" t="s">
        <v>50</v>
      </c>
      <c r="M1499" s="107" t="s">
        <v>52</v>
      </c>
    </row>
    <row r="1500" spans="1:13" ht="16">
      <c r="A1500" s="101" t="str">
        <f t="shared" si="1"/>
        <v>OK</v>
      </c>
      <c r="B1500" s="48">
        <v>138709</v>
      </c>
      <c r="C1500" s="49" t="s">
        <v>1638</v>
      </c>
      <c r="D1500" s="49" t="s">
        <v>7</v>
      </c>
      <c r="E1500" s="49" t="s">
        <v>1427</v>
      </c>
      <c r="F1500" s="46">
        <v>0</v>
      </c>
      <c r="G1500" s="51">
        <v>43983</v>
      </c>
      <c r="H1500" s="46">
        <v>25</v>
      </c>
      <c r="I1500" s="53" t="str">
        <f ca="1"/>
        <v>堀越 駿</v>
      </c>
      <c r="J1500" s="113"/>
      <c r="K1500" s="49" t="s">
        <v>50</v>
      </c>
      <c r="M1500" s="107" t="s">
        <v>52</v>
      </c>
    </row>
    <row r="1501" spans="1:13" ht="16">
      <c r="A1501" s="101" t="str">
        <f t="shared" si="1"/>
        <v>OK</v>
      </c>
      <c r="B1501" s="48">
        <v>110020</v>
      </c>
      <c r="C1501" s="49" t="s">
        <v>1639</v>
      </c>
      <c r="D1501" s="49" t="s">
        <v>7</v>
      </c>
      <c r="E1501" s="49" t="s">
        <v>1427</v>
      </c>
      <c r="F1501" s="46">
        <v>20</v>
      </c>
      <c r="G1501" s="51">
        <v>43983</v>
      </c>
      <c r="H1501" s="46">
        <v>20</v>
      </c>
      <c r="I1501" s="53" t="str">
        <f ca="1"/>
        <v>稲場 勇介</v>
      </c>
      <c r="J1501" s="113"/>
      <c r="K1501" s="49" t="s">
        <v>50</v>
      </c>
      <c r="M1501" s="107" t="s">
        <v>52</v>
      </c>
    </row>
    <row r="1502" spans="1:13" ht="16">
      <c r="A1502" s="101" t="str">
        <f t="shared" si="1"/>
        <v>OK</v>
      </c>
      <c r="B1502" s="48">
        <v>117042</v>
      </c>
      <c r="C1502" s="49" t="s">
        <v>1640</v>
      </c>
      <c r="D1502" s="49" t="s">
        <v>7</v>
      </c>
      <c r="E1502" s="49" t="s">
        <v>1427</v>
      </c>
      <c r="F1502" s="46">
        <v>40</v>
      </c>
      <c r="G1502" s="51">
        <v>43983</v>
      </c>
      <c r="H1502" s="46">
        <v>50</v>
      </c>
      <c r="I1502" s="53" t="str">
        <f ca="1"/>
        <v>村上 浩一朗</v>
      </c>
      <c r="J1502" s="113"/>
      <c r="K1502" s="49" t="s">
        <v>50</v>
      </c>
      <c r="M1502" s="107" t="s">
        <v>52</v>
      </c>
    </row>
    <row r="1503" spans="1:13" ht="16">
      <c r="A1503" s="101" t="str">
        <f t="shared" si="1"/>
        <v>OK</v>
      </c>
      <c r="B1503" s="48">
        <v>129098</v>
      </c>
      <c r="C1503" s="49" t="s">
        <v>1641</v>
      </c>
      <c r="D1503" s="49" t="s">
        <v>7</v>
      </c>
      <c r="E1503" s="49" t="s">
        <v>1427</v>
      </c>
      <c r="F1503" s="46">
        <v>0</v>
      </c>
      <c r="G1503" s="51">
        <v>43983</v>
      </c>
      <c r="H1503" s="46">
        <v>20</v>
      </c>
      <c r="I1503" s="53" t="str">
        <f ca="1"/>
        <v>堀越 駿</v>
      </c>
      <c r="J1503" s="113"/>
      <c r="K1503" s="49" t="s">
        <v>50</v>
      </c>
      <c r="M1503" s="107" t="s">
        <v>52</v>
      </c>
    </row>
    <row r="1504" spans="1:13" ht="16">
      <c r="A1504" s="101" t="str">
        <f t="shared" si="1"/>
        <v>OK</v>
      </c>
      <c r="B1504" s="48">
        <v>128478</v>
      </c>
      <c r="C1504" s="49" t="s">
        <v>1642</v>
      </c>
      <c r="D1504" s="49" t="s">
        <v>7</v>
      </c>
      <c r="E1504" s="49" t="s">
        <v>1427</v>
      </c>
      <c r="F1504" s="46">
        <v>5</v>
      </c>
      <c r="G1504" s="51">
        <v>43983</v>
      </c>
      <c r="H1504" s="46">
        <v>10</v>
      </c>
      <c r="I1504" s="53" t="str">
        <f ca="1"/>
        <v>田嶋 将太</v>
      </c>
      <c r="J1504" s="113"/>
      <c r="K1504" s="49" t="s">
        <v>50</v>
      </c>
      <c r="M1504" s="107" t="s">
        <v>52</v>
      </c>
    </row>
    <row r="1505" spans="1:13" ht="16">
      <c r="A1505" s="101" t="str">
        <f t="shared" si="1"/>
        <v>OK</v>
      </c>
      <c r="B1505" s="66">
        <v>131827</v>
      </c>
      <c r="C1505" s="49" t="s">
        <v>1643</v>
      </c>
      <c r="D1505" s="49" t="s">
        <v>7</v>
      </c>
      <c r="E1505" s="49" t="s">
        <v>1427</v>
      </c>
      <c r="F1505" s="46">
        <v>5</v>
      </c>
      <c r="G1505" s="51">
        <v>43983</v>
      </c>
      <c r="H1505" s="46">
        <v>10</v>
      </c>
      <c r="I1505" s="53" t="str">
        <f ca="1"/>
        <v>桐山 勝気</v>
      </c>
      <c r="J1505" s="113"/>
      <c r="K1505" s="49" t="s">
        <v>50</v>
      </c>
      <c r="M1505" s="107" t="s">
        <v>52</v>
      </c>
    </row>
    <row r="1506" spans="1:13" ht="16">
      <c r="A1506" s="101" t="str">
        <f t="shared" si="1"/>
        <v>OK</v>
      </c>
      <c r="B1506" s="48">
        <v>138329</v>
      </c>
      <c r="C1506" s="49" t="s">
        <v>1644</v>
      </c>
      <c r="D1506" s="49" t="s">
        <v>7</v>
      </c>
      <c r="E1506" s="49" t="s">
        <v>1427</v>
      </c>
      <c r="F1506" s="46">
        <v>20</v>
      </c>
      <c r="G1506" s="51">
        <v>43983</v>
      </c>
      <c r="H1506" s="46">
        <v>30</v>
      </c>
      <c r="I1506" s="53" t="str">
        <f ca="1"/>
        <v>桐山 勝気</v>
      </c>
      <c r="J1506" s="113"/>
      <c r="K1506" s="49" t="s">
        <v>50</v>
      </c>
      <c r="M1506" s="107" t="s">
        <v>52</v>
      </c>
    </row>
    <row r="1507" spans="1:13" ht="16">
      <c r="A1507" s="101" t="str">
        <f t="shared" si="1"/>
        <v>OK</v>
      </c>
      <c r="B1507" s="48">
        <v>141460</v>
      </c>
      <c r="C1507" s="49" t="s">
        <v>1645</v>
      </c>
      <c r="D1507" s="49" t="s">
        <v>7</v>
      </c>
      <c r="E1507" s="49" t="s">
        <v>1427</v>
      </c>
      <c r="F1507" s="46">
        <v>10</v>
      </c>
      <c r="G1507" s="51">
        <v>43983</v>
      </c>
      <c r="H1507" s="46">
        <v>20</v>
      </c>
      <c r="I1507" s="53" t="str">
        <f ca="1"/>
        <v>桐山 勝気</v>
      </c>
      <c r="J1507" s="113"/>
      <c r="K1507" s="49" t="s">
        <v>50</v>
      </c>
      <c r="M1507" s="107" t="s">
        <v>52</v>
      </c>
    </row>
    <row r="1508" spans="1:13" ht="16">
      <c r="A1508" s="101" t="str">
        <f t="shared" si="1"/>
        <v>OK</v>
      </c>
      <c r="B1508" s="48">
        <v>140928</v>
      </c>
      <c r="C1508" s="49" t="s">
        <v>1646</v>
      </c>
      <c r="D1508" s="49" t="s">
        <v>7</v>
      </c>
      <c r="E1508" s="49" t="s">
        <v>1427</v>
      </c>
      <c r="F1508" s="46">
        <v>30</v>
      </c>
      <c r="G1508" s="51">
        <v>43983</v>
      </c>
      <c r="H1508" s="46">
        <v>50</v>
      </c>
      <c r="I1508" s="53" t="str">
        <f ca="1"/>
        <v>桐山 勝気</v>
      </c>
      <c r="J1508" s="113"/>
      <c r="K1508" s="49" t="s">
        <v>50</v>
      </c>
      <c r="M1508" s="107" t="s">
        <v>52</v>
      </c>
    </row>
    <row r="1509" spans="1:13" ht="16">
      <c r="A1509" s="101" t="str">
        <f t="shared" si="1"/>
        <v>OK</v>
      </c>
      <c r="B1509" s="48">
        <v>138411</v>
      </c>
      <c r="C1509" s="49" t="s">
        <v>1647</v>
      </c>
      <c r="D1509" s="49" t="s">
        <v>7</v>
      </c>
      <c r="E1509" s="49" t="s">
        <v>1427</v>
      </c>
      <c r="F1509" s="46">
        <v>20</v>
      </c>
      <c r="G1509" s="51">
        <v>43983</v>
      </c>
      <c r="H1509" s="46">
        <v>50</v>
      </c>
      <c r="I1509" s="53" t="str">
        <f ca="1"/>
        <v>桐山 勝気</v>
      </c>
      <c r="J1509" s="113"/>
      <c r="K1509" s="49" t="s">
        <v>50</v>
      </c>
      <c r="M1509" s="107" t="s">
        <v>52</v>
      </c>
    </row>
    <row r="1510" spans="1:13" ht="16">
      <c r="A1510" s="101" t="str">
        <f t="shared" si="1"/>
        <v>OK</v>
      </c>
      <c r="B1510" s="48">
        <v>117184</v>
      </c>
      <c r="C1510" s="49" t="s">
        <v>1648</v>
      </c>
      <c r="D1510" s="49" t="s">
        <v>7</v>
      </c>
      <c r="E1510" s="49" t="s">
        <v>1427</v>
      </c>
      <c r="F1510" s="46">
        <v>0</v>
      </c>
      <c r="G1510" s="51">
        <v>43983</v>
      </c>
      <c r="H1510" s="46">
        <v>25</v>
      </c>
      <c r="I1510" s="53" t="str">
        <f ca="1"/>
        <v>栗原 大武</v>
      </c>
      <c r="J1510" s="113"/>
      <c r="K1510" s="49" t="s">
        <v>50</v>
      </c>
      <c r="M1510" s="107" t="s">
        <v>52</v>
      </c>
    </row>
    <row r="1511" spans="1:13" ht="16">
      <c r="A1511" s="101" t="str">
        <f t="shared" si="1"/>
        <v>OK</v>
      </c>
      <c r="B1511" s="48">
        <v>128770</v>
      </c>
      <c r="C1511" s="49" t="s">
        <v>1649</v>
      </c>
      <c r="D1511" s="49" t="s">
        <v>7</v>
      </c>
      <c r="E1511" s="49" t="s">
        <v>1427</v>
      </c>
      <c r="F1511" s="46">
        <v>0</v>
      </c>
      <c r="G1511" s="51">
        <v>43983</v>
      </c>
      <c r="H1511" s="46">
        <v>35</v>
      </c>
      <c r="I1511" s="53" t="str">
        <f ca="1"/>
        <v>栗原 大武</v>
      </c>
      <c r="J1511" s="113"/>
      <c r="K1511" s="49" t="s">
        <v>50</v>
      </c>
      <c r="M1511" s="107" t="s">
        <v>52</v>
      </c>
    </row>
    <row r="1512" spans="1:13" ht="16">
      <c r="A1512" s="101" t="str">
        <f t="shared" si="1"/>
        <v>OK</v>
      </c>
      <c r="B1512" s="48">
        <v>129705</v>
      </c>
      <c r="C1512" s="49" t="s">
        <v>1650</v>
      </c>
      <c r="D1512" s="49" t="s">
        <v>7</v>
      </c>
      <c r="E1512" s="49" t="s">
        <v>1427</v>
      </c>
      <c r="F1512" s="46">
        <v>0</v>
      </c>
      <c r="G1512" s="51">
        <v>43983</v>
      </c>
      <c r="H1512" s="46">
        <v>50</v>
      </c>
      <c r="I1512" s="53" t="str">
        <f ca="1"/>
        <v>辻村 将大</v>
      </c>
      <c r="J1512" s="113"/>
      <c r="K1512" s="49" t="s">
        <v>50</v>
      </c>
      <c r="M1512" s="107" t="s">
        <v>52</v>
      </c>
    </row>
    <row r="1513" spans="1:13" ht="16">
      <c r="A1513" s="101" t="str">
        <f t="shared" si="1"/>
        <v>OK</v>
      </c>
      <c r="B1513" s="48">
        <v>139214</v>
      </c>
      <c r="C1513" s="49" t="s">
        <v>1651</v>
      </c>
      <c r="D1513" s="49" t="s">
        <v>7</v>
      </c>
      <c r="E1513" s="49" t="s">
        <v>1427</v>
      </c>
      <c r="F1513" s="46">
        <v>14</v>
      </c>
      <c r="G1513" s="51">
        <v>43983</v>
      </c>
      <c r="H1513" s="46">
        <v>20</v>
      </c>
      <c r="I1513" s="53" t="str">
        <f ca="1"/>
        <v>老田 純輝</v>
      </c>
      <c r="J1513" s="113"/>
      <c r="K1513" s="49" t="s">
        <v>50</v>
      </c>
      <c r="M1513" s="107" t="s">
        <v>52</v>
      </c>
    </row>
    <row r="1514" spans="1:13" ht="16">
      <c r="A1514" s="101" t="str">
        <f t="shared" si="1"/>
        <v>OK</v>
      </c>
      <c r="B1514" s="48">
        <v>127925</v>
      </c>
      <c r="C1514" s="49" t="s">
        <v>1652</v>
      </c>
      <c r="D1514" s="49" t="s">
        <v>7</v>
      </c>
      <c r="E1514" s="49" t="s">
        <v>1427</v>
      </c>
      <c r="F1514" s="46">
        <v>5</v>
      </c>
      <c r="G1514" s="51">
        <v>43983</v>
      </c>
      <c r="H1514" s="46">
        <v>50</v>
      </c>
      <c r="I1514" s="53" t="str">
        <f ca="1"/>
        <v>小関 麻起</v>
      </c>
      <c r="J1514" s="113"/>
      <c r="K1514" s="49" t="s">
        <v>50</v>
      </c>
      <c r="M1514" s="107" t="s">
        <v>52</v>
      </c>
    </row>
    <row r="1515" spans="1:13" ht="16">
      <c r="A1515" s="101" t="str">
        <f t="shared" si="1"/>
        <v>OK</v>
      </c>
      <c r="B1515" s="48">
        <v>133609</v>
      </c>
      <c r="C1515" s="49" t="s">
        <v>1653</v>
      </c>
      <c r="D1515" s="49" t="s">
        <v>7</v>
      </c>
      <c r="E1515" s="49" t="s">
        <v>1427</v>
      </c>
      <c r="F1515" s="46">
        <v>0</v>
      </c>
      <c r="G1515" s="51">
        <v>43983</v>
      </c>
      <c r="H1515" s="46">
        <v>50</v>
      </c>
      <c r="I1515" s="53" t="str">
        <f ca="1"/>
        <v>小関 麻起</v>
      </c>
      <c r="J1515" s="113"/>
      <c r="K1515" s="49" t="s">
        <v>50</v>
      </c>
      <c r="M1515" s="107" t="s">
        <v>52</v>
      </c>
    </row>
    <row r="1516" spans="1:13" ht="16">
      <c r="A1516" s="101" t="str">
        <f t="shared" si="1"/>
        <v>OK</v>
      </c>
      <c r="B1516" s="48">
        <v>3903457</v>
      </c>
      <c r="C1516" s="49" t="s">
        <v>1654</v>
      </c>
      <c r="D1516" s="49" t="s">
        <v>7</v>
      </c>
      <c r="E1516" s="49" t="s">
        <v>1427</v>
      </c>
      <c r="F1516" s="46">
        <v>2</v>
      </c>
      <c r="G1516" s="51">
        <v>43983</v>
      </c>
      <c r="H1516" s="46">
        <v>10</v>
      </c>
      <c r="I1516" s="53" t="str">
        <f ca="1"/>
        <v>菅野 ぎんが</v>
      </c>
      <c r="J1516" s="113"/>
      <c r="K1516" s="49" t="s">
        <v>50</v>
      </c>
      <c r="M1516" s="107" t="s">
        <v>52</v>
      </c>
    </row>
    <row r="1517" spans="1:13" ht="16">
      <c r="A1517" s="101" t="str">
        <f t="shared" si="1"/>
        <v>OK</v>
      </c>
      <c r="B1517" s="48">
        <v>118632</v>
      </c>
      <c r="C1517" s="49" t="s">
        <v>1655</v>
      </c>
      <c r="D1517" s="49" t="s">
        <v>7</v>
      </c>
      <c r="E1517" s="63">
        <v>5.5E-2</v>
      </c>
      <c r="F1517" s="46">
        <v>39</v>
      </c>
      <c r="G1517" s="51">
        <v>43983</v>
      </c>
      <c r="H1517" s="46">
        <v>100</v>
      </c>
      <c r="I1517" s="53" t="str">
        <f ca="1"/>
        <v>堀越 駿</v>
      </c>
      <c r="J1517" s="113"/>
      <c r="K1517" s="49" t="s">
        <v>50</v>
      </c>
      <c r="M1517" s="107" t="s">
        <v>52</v>
      </c>
    </row>
    <row r="1518" spans="1:13" ht="16">
      <c r="A1518" s="101" t="str">
        <f t="shared" si="1"/>
        <v>OK</v>
      </c>
      <c r="B1518" s="48">
        <v>123415</v>
      </c>
      <c r="C1518" s="49" t="s">
        <v>1656</v>
      </c>
      <c r="D1518" s="49" t="s">
        <v>7</v>
      </c>
      <c r="E1518" s="49" t="s">
        <v>1427</v>
      </c>
      <c r="F1518" s="46">
        <v>0</v>
      </c>
      <c r="G1518" s="51">
        <v>43983</v>
      </c>
      <c r="H1518" s="46">
        <v>50</v>
      </c>
      <c r="I1518" s="53" t="str">
        <f ca="1"/>
        <v>荻曽 克輝</v>
      </c>
      <c r="J1518" s="113"/>
      <c r="K1518" s="49" t="s">
        <v>50</v>
      </c>
      <c r="M1518" s="107" t="s">
        <v>52</v>
      </c>
    </row>
    <row r="1519" spans="1:13" ht="16">
      <c r="A1519" s="101" t="str">
        <f t="shared" si="1"/>
        <v>OK</v>
      </c>
      <c r="B1519" s="48">
        <v>140554</v>
      </c>
      <c r="C1519" s="49" t="s">
        <v>1657</v>
      </c>
      <c r="D1519" s="49" t="s">
        <v>7</v>
      </c>
      <c r="E1519" s="49" t="s">
        <v>1427</v>
      </c>
      <c r="F1519" s="46">
        <v>0</v>
      </c>
      <c r="G1519" s="51">
        <v>43983</v>
      </c>
      <c r="H1519" s="46">
        <v>50</v>
      </c>
      <c r="I1519" s="53" t="str">
        <f ca="1"/>
        <v>荻曽 克輝</v>
      </c>
      <c r="J1519" s="113"/>
      <c r="K1519" s="49" t="s">
        <v>50</v>
      </c>
      <c r="M1519" s="107" t="s">
        <v>52</v>
      </c>
    </row>
    <row r="1520" spans="1:13" ht="16">
      <c r="A1520" s="101" t="str">
        <f t="shared" si="1"/>
        <v>OK</v>
      </c>
      <c r="B1520" s="48">
        <v>126252</v>
      </c>
      <c r="C1520" s="49" t="s">
        <v>1658</v>
      </c>
      <c r="D1520" s="49" t="s">
        <v>7</v>
      </c>
      <c r="E1520" s="49" t="s">
        <v>1427</v>
      </c>
      <c r="F1520" s="46">
        <v>0</v>
      </c>
      <c r="G1520" s="51">
        <v>43983</v>
      </c>
      <c r="H1520" s="46">
        <v>3</v>
      </c>
      <c r="I1520" s="53" t="str">
        <f ca="1"/>
        <v>田嶋 将太</v>
      </c>
      <c r="J1520" s="113"/>
      <c r="K1520" s="49" t="s">
        <v>50</v>
      </c>
      <c r="M1520" s="107" t="s">
        <v>52</v>
      </c>
    </row>
    <row r="1521" spans="1:13" ht="16">
      <c r="A1521" s="101" t="str">
        <f t="shared" si="1"/>
        <v>OK</v>
      </c>
      <c r="B1521" s="48">
        <v>136750</v>
      </c>
      <c r="C1521" s="49" t="s">
        <v>1659</v>
      </c>
      <c r="D1521" s="49" t="s">
        <v>7</v>
      </c>
      <c r="E1521" s="49" t="s">
        <v>1427</v>
      </c>
      <c r="F1521" s="46">
        <v>19</v>
      </c>
      <c r="G1521" s="51">
        <v>43983</v>
      </c>
      <c r="H1521" s="46">
        <v>50</v>
      </c>
      <c r="I1521" s="53" t="str">
        <f ca="1"/>
        <v>小川 純</v>
      </c>
      <c r="J1521" s="113"/>
      <c r="K1521" s="49" t="s">
        <v>50</v>
      </c>
      <c r="M1521" s="107" t="s">
        <v>52</v>
      </c>
    </row>
    <row r="1522" spans="1:13" ht="16">
      <c r="A1522" s="101" t="str">
        <f t="shared" si="1"/>
        <v>OK</v>
      </c>
      <c r="B1522" s="48">
        <v>129016</v>
      </c>
      <c r="C1522" s="49" t="s">
        <v>1660</v>
      </c>
      <c r="D1522" s="49" t="s">
        <v>7</v>
      </c>
      <c r="E1522" s="49" t="s">
        <v>1427</v>
      </c>
      <c r="F1522" s="46">
        <v>6</v>
      </c>
      <c r="G1522" s="51">
        <v>43983</v>
      </c>
      <c r="H1522" s="46">
        <v>50</v>
      </c>
      <c r="I1522" s="53" t="str">
        <f ca="1"/>
        <v>小川 純</v>
      </c>
      <c r="J1522" s="113"/>
      <c r="K1522" s="49" t="s">
        <v>50</v>
      </c>
      <c r="M1522" s="107" t="s">
        <v>52</v>
      </c>
    </row>
    <row r="1523" spans="1:13" ht="16">
      <c r="A1523" s="101" t="str">
        <f t="shared" si="1"/>
        <v>OK</v>
      </c>
      <c r="B1523" s="48">
        <v>131717</v>
      </c>
      <c r="C1523" s="49" t="s">
        <v>1661</v>
      </c>
      <c r="D1523" s="49" t="s">
        <v>7</v>
      </c>
      <c r="E1523" s="49" t="s">
        <v>1427</v>
      </c>
      <c r="F1523" s="46">
        <v>1</v>
      </c>
      <c r="G1523" s="51">
        <v>43983</v>
      </c>
      <c r="H1523" s="46">
        <v>50</v>
      </c>
      <c r="I1523" s="53" t="str">
        <f ca="1"/>
        <v>小川 純</v>
      </c>
      <c r="J1523" s="113"/>
      <c r="K1523" s="49" t="s">
        <v>50</v>
      </c>
      <c r="M1523" s="107" t="s">
        <v>52</v>
      </c>
    </row>
    <row r="1524" spans="1:13" ht="16">
      <c r="A1524" s="101" t="str">
        <f t="shared" si="1"/>
        <v>OK</v>
      </c>
      <c r="B1524" s="48">
        <v>141080</v>
      </c>
      <c r="C1524" s="49" t="s">
        <v>1662</v>
      </c>
      <c r="D1524" s="49" t="s">
        <v>7</v>
      </c>
      <c r="E1524" s="49" t="s">
        <v>1427</v>
      </c>
      <c r="F1524" s="46">
        <v>1</v>
      </c>
      <c r="G1524" s="51">
        <v>43983</v>
      </c>
      <c r="H1524" s="46">
        <v>50</v>
      </c>
      <c r="I1524" s="53" t="str">
        <f ca="1"/>
        <v>小川 純</v>
      </c>
      <c r="J1524" s="113"/>
      <c r="K1524" s="49" t="s">
        <v>50</v>
      </c>
      <c r="M1524" s="107" t="s">
        <v>52</v>
      </c>
    </row>
    <row r="1525" spans="1:13" ht="16">
      <c r="A1525" s="101" t="str">
        <f t="shared" si="1"/>
        <v>OK</v>
      </c>
      <c r="B1525" s="48">
        <v>128461</v>
      </c>
      <c r="C1525" s="49" t="s">
        <v>1663</v>
      </c>
      <c r="D1525" s="49" t="s">
        <v>7</v>
      </c>
      <c r="E1525" s="49" t="s">
        <v>1427</v>
      </c>
      <c r="F1525" s="46">
        <v>0</v>
      </c>
      <c r="G1525" s="51">
        <v>43983</v>
      </c>
      <c r="H1525" s="46">
        <v>50</v>
      </c>
      <c r="I1525" s="53" t="str">
        <f ca="1"/>
        <v>小川 純</v>
      </c>
      <c r="J1525" s="113"/>
      <c r="K1525" s="49" t="s">
        <v>50</v>
      </c>
      <c r="M1525" s="107" t="s">
        <v>52</v>
      </c>
    </row>
    <row r="1526" spans="1:13" ht="16">
      <c r="A1526" s="101" t="str">
        <f t="shared" si="1"/>
        <v>OK</v>
      </c>
      <c r="B1526" s="48">
        <v>140360</v>
      </c>
      <c r="C1526" s="49" t="s">
        <v>1664</v>
      </c>
      <c r="D1526" s="49" t="s">
        <v>7</v>
      </c>
      <c r="E1526" s="49" t="s">
        <v>1427</v>
      </c>
      <c r="F1526" s="46">
        <v>0</v>
      </c>
      <c r="G1526" s="51">
        <v>43983</v>
      </c>
      <c r="H1526" s="46">
        <v>50</v>
      </c>
      <c r="I1526" s="53" t="str">
        <f ca="1"/>
        <v>小川 純</v>
      </c>
      <c r="J1526" s="113"/>
      <c r="K1526" s="49" t="s">
        <v>50</v>
      </c>
      <c r="M1526" s="107" t="s">
        <v>52</v>
      </c>
    </row>
    <row r="1527" spans="1:13" ht="16">
      <c r="A1527" s="101" t="str">
        <f t="shared" si="1"/>
        <v>OK</v>
      </c>
      <c r="B1527" s="48">
        <v>139219</v>
      </c>
      <c r="C1527" s="49" t="s">
        <v>1665</v>
      </c>
      <c r="D1527" s="49" t="s">
        <v>7</v>
      </c>
      <c r="E1527" s="49" t="s">
        <v>1427</v>
      </c>
      <c r="F1527" s="46">
        <v>0</v>
      </c>
      <c r="G1527" s="51">
        <v>43983</v>
      </c>
      <c r="H1527" s="46">
        <v>50</v>
      </c>
      <c r="I1527" s="53" t="str">
        <f ca="1"/>
        <v>小川 純</v>
      </c>
      <c r="J1527" s="113"/>
      <c r="K1527" s="49" t="s">
        <v>50</v>
      </c>
      <c r="M1527" s="107" t="s">
        <v>52</v>
      </c>
    </row>
    <row r="1528" spans="1:13" ht="16">
      <c r="A1528" s="101" t="str">
        <f t="shared" si="1"/>
        <v>OK</v>
      </c>
      <c r="B1528" s="48">
        <v>128438</v>
      </c>
      <c r="C1528" s="49" t="s">
        <v>1666</v>
      </c>
      <c r="D1528" s="49" t="s">
        <v>7</v>
      </c>
      <c r="E1528" s="49" t="s">
        <v>1427</v>
      </c>
      <c r="F1528" s="46">
        <v>0</v>
      </c>
      <c r="G1528" s="51">
        <v>43983</v>
      </c>
      <c r="H1528" s="46">
        <v>50</v>
      </c>
      <c r="I1528" s="53" t="str">
        <f ca="1"/>
        <v>小川 純</v>
      </c>
      <c r="J1528" s="113"/>
      <c r="K1528" s="49" t="s">
        <v>50</v>
      </c>
      <c r="M1528" s="107" t="s">
        <v>52</v>
      </c>
    </row>
    <row r="1529" spans="1:13" ht="16">
      <c r="A1529" s="101" t="str">
        <f t="shared" si="1"/>
        <v>OK</v>
      </c>
      <c r="B1529" s="48">
        <v>128971</v>
      </c>
      <c r="C1529" s="49" t="s">
        <v>1667</v>
      </c>
      <c r="D1529" s="49" t="s">
        <v>7</v>
      </c>
      <c r="E1529" s="49" t="s">
        <v>1427</v>
      </c>
      <c r="F1529" s="46">
        <v>0</v>
      </c>
      <c r="G1529" s="51">
        <v>43983</v>
      </c>
      <c r="H1529" s="46">
        <v>50</v>
      </c>
      <c r="I1529" s="53" t="str">
        <f ca="1"/>
        <v>小川 純</v>
      </c>
      <c r="J1529" s="113"/>
      <c r="K1529" s="49" t="s">
        <v>50</v>
      </c>
      <c r="M1529" s="107" t="s">
        <v>52</v>
      </c>
    </row>
    <row r="1530" spans="1:13" ht="16">
      <c r="A1530" s="101" t="str">
        <f t="shared" si="1"/>
        <v>OK</v>
      </c>
      <c r="B1530" s="48">
        <v>138185</v>
      </c>
      <c r="C1530" s="49" t="s">
        <v>1668</v>
      </c>
      <c r="D1530" s="49" t="s">
        <v>7</v>
      </c>
      <c r="E1530" s="49" t="s">
        <v>1427</v>
      </c>
      <c r="F1530" s="46">
        <v>0</v>
      </c>
      <c r="G1530" s="51">
        <v>43983</v>
      </c>
      <c r="H1530" s="46">
        <v>50</v>
      </c>
      <c r="I1530" s="53" t="str">
        <f ca="1"/>
        <v>小川 純</v>
      </c>
      <c r="J1530" s="113"/>
      <c r="K1530" s="49" t="s">
        <v>50</v>
      </c>
      <c r="M1530" s="107" t="s">
        <v>52</v>
      </c>
    </row>
    <row r="1531" spans="1:13" ht="16">
      <c r="A1531" s="101" t="str">
        <f t="shared" si="1"/>
        <v>OK</v>
      </c>
      <c r="B1531" s="48">
        <v>133720</v>
      </c>
      <c r="C1531" s="49" t="s">
        <v>1669</v>
      </c>
      <c r="D1531" s="49" t="s">
        <v>7</v>
      </c>
      <c r="E1531" s="49" t="s">
        <v>1427</v>
      </c>
      <c r="F1531" s="46">
        <v>0</v>
      </c>
      <c r="G1531" s="51">
        <v>43983</v>
      </c>
      <c r="H1531" s="46">
        <v>50</v>
      </c>
      <c r="I1531" s="53" t="str">
        <f ca="1"/>
        <v>栗原 大武</v>
      </c>
      <c r="J1531" s="113"/>
      <c r="K1531" s="49" t="s">
        <v>50</v>
      </c>
      <c r="M1531" s="107" t="s">
        <v>52</v>
      </c>
    </row>
    <row r="1532" spans="1:13" ht="16">
      <c r="A1532" s="101" t="str">
        <f t="shared" si="1"/>
        <v>OK</v>
      </c>
      <c r="B1532" s="48">
        <v>141685</v>
      </c>
      <c r="C1532" s="49" t="s">
        <v>1670</v>
      </c>
      <c r="D1532" s="49" t="s">
        <v>5</v>
      </c>
      <c r="E1532" s="63">
        <v>8.5999999999999993E-2</v>
      </c>
      <c r="F1532" s="46">
        <v>63</v>
      </c>
      <c r="G1532" s="51">
        <v>43983</v>
      </c>
      <c r="H1532" s="46">
        <v>2000</v>
      </c>
      <c r="I1532" s="53" t="str">
        <f ca="1"/>
        <v>小川 純</v>
      </c>
      <c r="J1532" s="113"/>
      <c r="K1532" s="49" t="s">
        <v>50</v>
      </c>
      <c r="M1532" s="107" t="s">
        <v>52</v>
      </c>
    </row>
    <row r="1533" spans="1:13" ht="16">
      <c r="A1533" s="101" t="str">
        <f t="shared" si="1"/>
        <v>OK</v>
      </c>
      <c r="B1533" s="67">
        <v>141637</v>
      </c>
      <c r="C1533" s="68" t="s">
        <v>1671</v>
      </c>
      <c r="D1533" s="49" t="s">
        <v>7</v>
      </c>
      <c r="E1533" s="49" t="s">
        <v>1427</v>
      </c>
      <c r="F1533" s="46">
        <v>1</v>
      </c>
      <c r="G1533" s="51">
        <v>43983</v>
      </c>
      <c r="H1533" s="46">
        <v>50</v>
      </c>
      <c r="I1533" s="53" t="str">
        <f ca="1"/>
        <v>小関 麻起</v>
      </c>
      <c r="J1533" s="113"/>
      <c r="K1533" s="49" t="s">
        <v>50</v>
      </c>
      <c r="M1533" s="107" t="s">
        <v>52</v>
      </c>
    </row>
    <row r="1534" spans="1:13" ht="16">
      <c r="A1534" s="101" t="str">
        <f t="shared" si="1"/>
        <v>OK</v>
      </c>
      <c r="B1534" s="48">
        <v>139086</v>
      </c>
      <c r="C1534" s="49" t="s">
        <v>1672</v>
      </c>
      <c r="D1534" s="49" t="s">
        <v>7</v>
      </c>
      <c r="E1534" s="49" t="s">
        <v>1427</v>
      </c>
      <c r="F1534" s="46">
        <v>0</v>
      </c>
      <c r="G1534" s="51">
        <v>43983</v>
      </c>
      <c r="H1534" s="46">
        <v>50</v>
      </c>
      <c r="I1534" s="53" t="str">
        <f ca="1"/>
        <v>小関 麻起</v>
      </c>
      <c r="J1534" s="113"/>
      <c r="K1534" s="49" t="s">
        <v>50</v>
      </c>
      <c r="M1534" s="107" t="s">
        <v>52</v>
      </c>
    </row>
    <row r="1535" spans="1:13" ht="16">
      <c r="A1535" s="101" t="str">
        <f t="shared" si="1"/>
        <v>OK</v>
      </c>
      <c r="B1535" s="48">
        <v>141666</v>
      </c>
      <c r="C1535" s="49" t="s">
        <v>1673</v>
      </c>
      <c r="D1535" s="49" t="s">
        <v>7</v>
      </c>
      <c r="E1535" s="49" t="s">
        <v>1674</v>
      </c>
      <c r="F1535" s="46">
        <v>0</v>
      </c>
      <c r="G1535" s="51">
        <v>43983</v>
      </c>
      <c r="H1535" s="46">
        <v>10</v>
      </c>
      <c r="I1535" s="53" t="str">
        <f ca="1"/>
        <v>小関 麻起</v>
      </c>
      <c r="J1535" s="113"/>
      <c r="K1535" s="49" t="s">
        <v>50</v>
      </c>
      <c r="M1535" s="107" t="s">
        <v>52</v>
      </c>
    </row>
    <row r="1536" spans="1:13" ht="16">
      <c r="A1536" s="101" t="str">
        <f t="shared" si="1"/>
        <v>OK</v>
      </c>
      <c r="B1536" s="48">
        <v>139214</v>
      </c>
      <c r="C1536" s="49" t="s">
        <v>1651</v>
      </c>
      <c r="D1536" s="49" t="s">
        <v>7</v>
      </c>
      <c r="E1536" s="49" t="s">
        <v>1427</v>
      </c>
      <c r="F1536" s="46">
        <v>0</v>
      </c>
      <c r="G1536" s="51">
        <v>43983</v>
      </c>
      <c r="H1536" s="46">
        <v>50</v>
      </c>
      <c r="I1536" s="53" t="str">
        <f ca="1"/>
        <v>老田 純輝</v>
      </c>
      <c r="J1536" s="113"/>
      <c r="K1536" s="49" t="s">
        <v>50</v>
      </c>
      <c r="M1536" s="107" t="s">
        <v>52</v>
      </c>
    </row>
    <row r="1537" spans="1:13" ht="16">
      <c r="A1537" s="101" t="str">
        <f t="shared" si="1"/>
        <v>OK</v>
      </c>
      <c r="B1537" s="48">
        <v>129292</v>
      </c>
      <c r="C1537" s="49" t="s">
        <v>1675</v>
      </c>
      <c r="D1537" s="49" t="s">
        <v>7</v>
      </c>
      <c r="E1537" s="49" t="s">
        <v>1427</v>
      </c>
      <c r="F1537" s="46">
        <v>0</v>
      </c>
      <c r="G1537" s="51">
        <v>43983</v>
      </c>
      <c r="H1537" s="46">
        <v>50</v>
      </c>
      <c r="I1537" s="53" t="str">
        <f ca="1"/>
        <v>辻村 将大</v>
      </c>
      <c r="J1537" s="113"/>
      <c r="K1537" s="49" t="s">
        <v>50</v>
      </c>
      <c r="M1537" s="107" t="s">
        <v>52</v>
      </c>
    </row>
    <row r="1538" spans="1:13" ht="16">
      <c r="A1538" s="101" t="str">
        <f t="shared" si="1"/>
        <v>OK</v>
      </c>
      <c r="B1538" s="48">
        <v>3904576</v>
      </c>
      <c r="C1538" s="49" t="s">
        <v>1676</v>
      </c>
      <c r="D1538" s="49" t="s">
        <v>7</v>
      </c>
      <c r="E1538" s="49" t="s">
        <v>1427</v>
      </c>
      <c r="F1538" s="46">
        <v>0</v>
      </c>
      <c r="G1538" s="51">
        <v>43983</v>
      </c>
      <c r="H1538" s="46">
        <v>50</v>
      </c>
      <c r="I1538" s="53" t="str">
        <f ca="1"/>
        <v>辻村 将大</v>
      </c>
      <c r="J1538" s="113"/>
      <c r="K1538" s="49" t="s">
        <v>50</v>
      </c>
      <c r="M1538" s="107" t="s">
        <v>52</v>
      </c>
    </row>
    <row r="1539" spans="1:13" ht="16">
      <c r="A1539" s="101" t="str">
        <f t="shared" si="1"/>
        <v>OK</v>
      </c>
      <c r="B1539" s="48">
        <v>125928</v>
      </c>
      <c r="C1539" s="53" t="s">
        <v>1677</v>
      </c>
      <c r="D1539" s="49" t="s">
        <v>7</v>
      </c>
      <c r="E1539" s="49" t="s">
        <v>1427</v>
      </c>
      <c r="F1539" s="46">
        <v>5</v>
      </c>
      <c r="G1539" s="51">
        <v>43983</v>
      </c>
      <c r="H1539" s="46">
        <v>15</v>
      </c>
      <c r="I1539" s="53" t="str">
        <f ca="1"/>
        <v>桑原 明子</v>
      </c>
      <c r="J1539" s="113"/>
      <c r="K1539" s="49" t="s">
        <v>50</v>
      </c>
      <c r="M1539" s="107" t="s">
        <v>52</v>
      </c>
    </row>
    <row r="1540" spans="1:13" ht="16">
      <c r="A1540" s="101" t="str">
        <f t="shared" si="1"/>
        <v>OK</v>
      </c>
      <c r="B1540" s="48">
        <v>136138</v>
      </c>
      <c r="C1540" s="53" t="s">
        <v>1678</v>
      </c>
      <c r="D1540" s="49" t="s">
        <v>7</v>
      </c>
      <c r="E1540" s="49" t="s">
        <v>1427</v>
      </c>
      <c r="F1540" s="46">
        <v>0</v>
      </c>
      <c r="G1540" s="51">
        <v>43983</v>
      </c>
      <c r="H1540" s="46">
        <v>7</v>
      </c>
      <c r="I1540" s="53" t="str">
        <f ca="1"/>
        <v>桑原 明子</v>
      </c>
      <c r="J1540" s="113"/>
      <c r="K1540" s="49" t="s">
        <v>50</v>
      </c>
      <c r="M1540" s="107" t="s">
        <v>52</v>
      </c>
    </row>
    <row r="1541" spans="1:13" ht="16">
      <c r="A1541" s="101" t="str">
        <f t="shared" si="1"/>
        <v>OK</v>
      </c>
      <c r="B1541" s="48">
        <v>103795</v>
      </c>
      <c r="C1541" s="49" t="s">
        <v>1679</v>
      </c>
      <c r="D1541" s="49" t="s">
        <v>7</v>
      </c>
      <c r="E1541" s="49" t="s">
        <v>1427</v>
      </c>
      <c r="F1541" s="46">
        <v>0</v>
      </c>
      <c r="G1541" s="51">
        <v>43983</v>
      </c>
      <c r="H1541" s="46">
        <v>50</v>
      </c>
      <c r="I1541" s="53" t="str">
        <f ca="1"/>
        <v>老田 純輝</v>
      </c>
      <c r="J1541" s="113"/>
      <c r="K1541" s="49" t="s">
        <v>50</v>
      </c>
      <c r="M1541" s="107" t="s">
        <v>52</v>
      </c>
    </row>
    <row r="1542" spans="1:13" ht="16">
      <c r="A1542" s="101" t="str">
        <f t="shared" si="1"/>
        <v>OK</v>
      </c>
      <c r="B1542" s="48">
        <v>3903728</v>
      </c>
      <c r="C1542" s="69" t="s">
        <v>1759</v>
      </c>
      <c r="D1542" s="49" t="s">
        <v>7</v>
      </c>
      <c r="E1542" s="49" t="s">
        <v>1427</v>
      </c>
      <c r="F1542" s="46">
        <v>0</v>
      </c>
      <c r="G1542" s="51">
        <v>43983</v>
      </c>
      <c r="H1542" s="46">
        <v>50</v>
      </c>
      <c r="I1542" s="53" t="str">
        <f ca="1"/>
        <v>桑原 明子</v>
      </c>
      <c r="J1542" s="113"/>
      <c r="K1542" s="49" t="s">
        <v>50</v>
      </c>
      <c r="M1542" s="107" t="s">
        <v>52</v>
      </c>
    </row>
    <row r="1543" spans="1:13" ht="16">
      <c r="A1543" s="101" t="str">
        <f t="shared" si="1"/>
        <v>OK</v>
      </c>
      <c r="B1543" s="48">
        <v>114447</v>
      </c>
      <c r="C1543" s="49" t="s">
        <v>1680</v>
      </c>
      <c r="D1543" s="49" t="s">
        <v>5</v>
      </c>
      <c r="E1543" s="63">
        <v>8.4000000000000005E-2</v>
      </c>
      <c r="F1543" s="46">
        <v>26</v>
      </c>
      <c r="G1543" s="51">
        <v>43983</v>
      </c>
      <c r="H1543" s="46">
        <v>300</v>
      </c>
      <c r="I1543" s="53" t="str">
        <f ca="1"/>
        <v>老田 純輝</v>
      </c>
      <c r="J1543" s="113"/>
      <c r="K1543" s="49" t="s">
        <v>50</v>
      </c>
      <c r="M1543" s="107" t="s">
        <v>52</v>
      </c>
    </row>
    <row r="1544" spans="1:13" ht="16">
      <c r="A1544" s="101" t="str">
        <f t="shared" si="1"/>
        <v>OK</v>
      </c>
      <c r="B1544" s="48">
        <v>120958</v>
      </c>
      <c r="C1544" s="49" t="s">
        <v>1681</v>
      </c>
      <c r="D1544" s="49" t="s">
        <v>5</v>
      </c>
      <c r="E1544" s="63">
        <v>8.4000000000000005E-2</v>
      </c>
      <c r="F1544" s="46">
        <v>39</v>
      </c>
      <c r="G1544" s="51">
        <v>43983</v>
      </c>
      <c r="H1544" s="46">
        <v>400</v>
      </c>
      <c r="I1544" s="53" t="str">
        <f ca="1"/>
        <v>老田 純輝</v>
      </c>
      <c r="J1544" s="113"/>
      <c r="K1544" s="49" t="s">
        <v>50</v>
      </c>
      <c r="M1544" s="107" t="s">
        <v>52</v>
      </c>
    </row>
    <row r="1545" spans="1:13" ht="16">
      <c r="A1545" s="101" t="str">
        <f t="shared" si="1"/>
        <v>OK</v>
      </c>
      <c r="B1545" s="48">
        <v>129559</v>
      </c>
      <c r="C1545" s="49" t="s">
        <v>1682</v>
      </c>
      <c r="D1545" s="49" t="s">
        <v>5</v>
      </c>
      <c r="E1545" s="63">
        <v>8.4000000000000005E-2</v>
      </c>
      <c r="F1545" s="46">
        <v>78</v>
      </c>
      <c r="G1545" s="51">
        <v>43983</v>
      </c>
      <c r="H1545" s="46">
        <v>350</v>
      </c>
      <c r="I1545" s="53" t="str">
        <f ca="1"/>
        <v>老田 純輝</v>
      </c>
      <c r="J1545" s="113"/>
      <c r="K1545" s="49" t="s">
        <v>50</v>
      </c>
      <c r="M1545" s="107" t="s">
        <v>52</v>
      </c>
    </row>
    <row r="1546" spans="1:13" ht="16">
      <c r="A1546" s="101" t="str">
        <f t="shared" si="1"/>
        <v>OK</v>
      </c>
      <c r="B1546" s="48">
        <v>141001</v>
      </c>
      <c r="C1546" s="49" t="s">
        <v>1683</v>
      </c>
      <c r="D1546" s="49" t="s">
        <v>5</v>
      </c>
      <c r="E1546" s="63">
        <v>8.4000000000000005E-2</v>
      </c>
      <c r="F1546" s="46">
        <v>63</v>
      </c>
      <c r="G1546" s="51">
        <v>43983</v>
      </c>
      <c r="H1546" s="46">
        <v>400</v>
      </c>
      <c r="I1546" s="53" t="str">
        <f ca="1"/>
        <v>老田 純輝</v>
      </c>
      <c r="J1546" s="113"/>
      <c r="K1546" s="49" t="s">
        <v>50</v>
      </c>
      <c r="M1546" s="107" t="s">
        <v>52</v>
      </c>
    </row>
    <row r="1547" spans="1:13" ht="16">
      <c r="A1547" s="101" t="str">
        <f t="shared" si="1"/>
        <v>OK</v>
      </c>
      <c r="B1547" s="48">
        <v>117718</v>
      </c>
      <c r="C1547" s="53" t="s">
        <v>1684</v>
      </c>
      <c r="D1547" s="49" t="s">
        <v>7</v>
      </c>
      <c r="E1547" s="49" t="s">
        <v>1427</v>
      </c>
      <c r="F1547" s="46">
        <v>19</v>
      </c>
      <c r="G1547" s="51">
        <v>43983</v>
      </c>
      <c r="H1547" s="46">
        <v>50</v>
      </c>
      <c r="I1547" s="53" t="str">
        <f ca="1"/>
        <v>桑原 明子</v>
      </c>
      <c r="J1547" s="113"/>
      <c r="K1547" s="49" t="s">
        <v>50</v>
      </c>
      <c r="M1547" s="107" t="s">
        <v>52</v>
      </c>
    </row>
    <row r="1548" spans="1:13" ht="16">
      <c r="A1548" s="101" t="str">
        <f t="shared" si="1"/>
        <v>OK</v>
      </c>
      <c r="B1548" s="70">
        <v>124888</v>
      </c>
      <c r="C1548" s="53" t="s">
        <v>1685</v>
      </c>
      <c r="D1548" s="49" t="s">
        <v>7</v>
      </c>
      <c r="E1548" s="49" t="s">
        <v>1427</v>
      </c>
      <c r="F1548" s="46">
        <v>0</v>
      </c>
      <c r="G1548" s="51">
        <v>43983</v>
      </c>
      <c r="H1548" s="46">
        <v>50</v>
      </c>
      <c r="I1548" s="53" t="str">
        <f ca="1"/>
        <v>桑原 明子</v>
      </c>
      <c r="J1548" s="113"/>
      <c r="K1548" s="49" t="s">
        <v>50</v>
      </c>
      <c r="M1548" s="107" t="s">
        <v>52</v>
      </c>
    </row>
    <row r="1549" spans="1:13" ht="16">
      <c r="A1549" s="101" t="str">
        <f t="shared" si="1"/>
        <v>OK</v>
      </c>
      <c r="B1549" s="48">
        <v>137508</v>
      </c>
      <c r="C1549" s="69" t="s">
        <v>1686</v>
      </c>
      <c r="D1549" s="49" t="s">
        <v>7</v>
      </c>
      <c r="E1549" s="49" t="s">
        <v>1427</v>
      </c>
      <c r="F1549" s="46">
        <v>0</v>
      </c>
      <c r="G1549" s="51">
        <v>43983</v>
      </c>
      <c r="H1549" s="46">
        <v>7</v>
      </c>
      <c r="I1549" s="53" t="str">
        <f ca="1"/>
        <v>桑原 明子</v>
      </c>
      <c r="J1549" s="113"/>
      <c r="K1549" s="49" t="s">
        <v>50</v>
      </c>
      <c r="M1549" s="107" t="s">
        <v>52</v>
      </c>
    </row>
    <row r="1550" spans="1:13" ht="16">
      <c r="A1550" s="101" t="str">
        <f t="shared" si="1"/>
        <v>OK</v>
      </c>
      <c r="B1550" s="48">
        <v>3902975</v>
      </c>
      <c r="C1550" s="49" t="s">
        <v>1687</v>
      </c>
      <c r="D1550" s="49" t="s">
        <v>7</v>
      </c>
      <c r="E1550" s="49" t="s">
        <v>1427</v>
      </c>
      <c r="F1550" s="46">
        <v>0</v>
      </c>
      <c r="G1550" s="51">
        <v>43983</v>
      </c>
      <c r="H1550" s="46">
        <v>15</v>
      </c>
      <c r="I1550" s="53" t="str">
        <f ca="1"/>
        <v>堀越 駿</v>
      </c>
      <c r="J1550" s="113"/>
      <c r="K1550" s="49" t="s">
        <v>50</v>
      </c>
      <c r="M1550" s="107" t="s">
        <v>52</v>
      </c>
    </row>
    <row r="1551" spans="1:13" ht="16">
      <c r="A1551" s="101" t="str">
        <f t="shared" si="1"/>
        <v>-</v>
      </c>
      <c r="B1551" s="48"/>
      <c r="C1551" s="49"/>
      <c r="D1551" s="49"/>
      <c r="E1551" s="71"/>
      <c r="F1551" s="46"/>
      <c r="G1551" s="51"/>
      <c r="H1551" s="46"/>
      <c r="I1551" s="53" t="str">
        <f ca="1"/>
        <v>退会済</v>
      </c>
      <c r="J1551" s="113"/>
      <c r="K1551" s="49" t="s">
        <v>50</v>
      </c>
      <c r="M1551" s="107" t="s">
        <v>52</v>
      </c>
    </row>
    <row r="1552" spans="1:13" ht="16">
      <c r="A1552" s="101" t="str">
        <f t="shared" si="1"/>
        <v>OK</v>
      </c>
      <c r="B1552" s="48">
        <v>117431</v>
      </c>
      <c r="C1552" s="49" t="s">
        <v>1688</v>
      </c>
      <c r="D1552" s="49" t="s">
        <v>5</v>
      </c>
      <c r="E1552" s="64">
        <v>8.4000000000000005E-2</v>
      </c>
      <c r="F1552" s="46">
        <v>50</v>
      </c>
      <c r="G1552" s="51">
        <v>43983</v>
      </c>
      <c r="H1552" s="46">
        <v>100</v>
      </c>
      <c r="I1552" s="53" t="str">
        <f ca="1"/>
        <v>長谷川 陸朗</v>
      </c>
      <c r="J1552" s="113"/>
      <c r="K1552" s="49" t="s">
        <v>50</v>
      </c>
      <c r="M1552" s="107" t="s">
        <v>52</v>
      </c>
    </row>
    <row r="1553" spans="1:13" ht="16">
      <c r="A1553" s="101" t="str">
        <f t="shared" si="1"/>
        <v>OK</v>
      </c>
      <c r="B1553" s="48">
        <v>119242</v>
      </c>
      <c r="C1553" s="49" t="s">
        <v>1689</v>
      </c>
      <c r="D1553" s="49" t="s">
        <v>5</v>
      </c>
      <c r="E1553" s="64">
        <v>8.4000000000000005E-2</v>
      </c>
      <c r="F1553" s="46">
        <v>50</v>
      </c>
      <c r="G1553" s="51">
        <v>43983</v>
      </c>
      <c r="H1553" s="46">
        <v>200</v>
      </c>
      <c r="I1553" s="53" t="str">
        <f ca="1"/>
        <v>長谷川 陸朗</v>
      </c>
      <c r="J1553" s="113"/>
      <c r="K1553" s="49" t="s">
        <v>50</v>
      </c>
      <c r="M1553" s="107" t="s">
        <v>52</v>
      </c>
    </row>
    <row r="1554" spans="1:13" ht="16">
      <c r="A1554" s="101" t="str">
        <f t="shared" si="1"/>
        <v>OK</v>
      </c>
      <c r="B1554" s="48">
        <v>119249</v>
      </c>
      <c r="C1554" s="49" t="s">
        <v>1690</v>
      </c>
      <c r="D1554" s="49" t="s">
        <v>5</v>
      </c>
      <c r="E1554" s="64">
        <v>8.4000000000000005E-2</v>
      </c>
      <c r="F1554" s="46">
        <v>50</v>
      </c>
      <c r="G1554" s="51">
        <v>43983</v>
      </c>
      <c r="H1554" s="46">
        <v>150</v>
      </c>
      <c r="I1554" s="53" t="str">
        <f ca="1"/>
        <v>長谷川 陸朗</v>
      </c>
      <c r="J1554" s="113"/>
      <c r="K1554" s="49" t="s">
        <v>50</v>
      </c>
      <c r="M1554" s="107" t="s">
        <v>52</v>
      </c>
    </row>
    <row r="1555" spans="1:13" ht="16">
      <c r="A1555" s="101" t="str">
        <f t="shared" si="1"/>
        <v>OK</v>
      </c>
      <c r="B1555" s="48">
        <v>137654</v>
      </c>
      <c r="C1555" s="49" t="s">
        <v>1691</v>
      </c>
      <c r="D1555" s="49" t="s">
        <v>5</v>
      </c>
      <c r="E1555" s="63">
        <v>9.0999999999999998E-2</v>
      </c>
      <c r="F1555" s="46">
        <v>60</v>
      </c>
      <c r="G1555" s="51">
        <v>43983</v>
      </c>
      <c r="H1555" s="46">
        <v>1500</v>
      </c>
      <c r="I1555" s="53" t="str">
        <f ca="1"/>
        <v>村上 浩一朗</v>
      </c>
      <c r="J1555" s="113"/>
      <c r="K1555" s="49" t="s">
        <v>50</v>
      </c>
      <c r="M1555" s="107" t="s">
        <v>52</v>
      </c>
    </row>
    <row r="1556" spans="1:13" ht="16">
      <c r="A1556" s="101" t="str">
        <f t="shared" si="1"/>
        <v>OK</v>
      </c>
      <c r="B1556" s="48" t="s">
        <v>1692</v>
      </c>
      <c r="C1556" s="49" t="s">
        <v>1693</v>
      </c>
      <c r="D1556" s="49" t="s">
        <v>7</v>
      </c>
      <c r="E1556" s="49" t="s">
        <v>1427</v>
      </c>
      <c r="F1556" s="46">
        <v>0</v>
      </c>
      <c r="G1556" s="51">
        <v>43983</v>
      </c>
      <c r="H1556" s="46">
        <v>7</v>
      </c>
      <c r="I1556" s="53" t="str">
        <f ca="1"/>
        <v>退会済</v>
      </c>
      <c r="J1556" s="113"/>
      <c r="K1556" s="49" t="s">
        <v>50</v>
      </c>
      <c r="M1556" s="107" t="s">
        <v>52</v>
      </c>
    </row>
    <row r="1557" spans="1:13" ht="16">
      <c r="A1557" s="101" t="str">
        <f t="shared" si="1"/>
        <v>OK</v>
      </c>
      <c r="B1557" s="48">
        <v>123321</v>
      </c>
      <c r="C1557" s="49" t="s">
        <v>1694</v>
      </c>
      <c r="D1557" s="49" t="s">
        <v>5</v>
      </c>
      <c r="E1557" s="63">
        <v>8.7999999999999995E-2</v>
      </c>
      <c r="F1557" s="46">
        <v>72</v>
      </c>
      <c r="G1557" s="51">
        <v>43983</v>
      </c>
      <c r="H1557" s="46">
        <v>450</v>
      </c>
      <c r="I1557" s="53" t="str">
        <f ca="1"/>
        <v>堀越 駿</v>
      </c>
      <c r="J1557" s="113"/>
      <c r="K1557" s="49" t="s">
        <v>50</v>
      </c>
      <c r="M1557" s="107" t="s">
        <v>52</v>
      </c>
    </row>
    <row r="1558" spans="1:13" ht="16">
      <c r="A1558" s="101" t="str">
        <f t="shared" si="1"/>
        <v>OK</v>
      </c>
      <c r="B1558" s="48">
        <v>140566</v>
      </c>
      <c r="C1558" s="49" t="s">
        <v>1695</v>
      </c>
      <c r="D1558" s="49" t="s">
        <v>7</v>
      </c>
      <c r="E1558" s="49" t="s">
        <v>1427</v>
      </c>
      <c r="F1558" s="46">
        <v>0</v>
      </c>
      <c r="G1558" s="51">
        <v>43983</v>
      </c>
      <c r="H1558" s="46">
        <v>10</v>
      </c>
      <c r="I1558" s="53" t="str">
        <f ca="1"/>
        <v>小川 純</v>
      </c>
      <c r="J1558" s="113"/>
      <c r="K1558" s="49" t="s">
        <v>50</v>
      </c>
      <c r="M1558" s="107" t="s">
        <v>52</v>
      </c>
    </row>
    <row r="1559" spans="1:13" ht="16">
      <c r="A1559" s="101" t="str">
        <f t="shared" si="1"/>
        <v>OK</v>
      </c>
      <c r="B1559" s="48">
        <v>138055</v>
      </c>
      <c r="C1559" s="49" t="s">
        <v>1696</v>
      </c>
      <c r="D1559" s="49" t="s">
        <v>7</v>
      </c>
      <c r="E1559" s="49" t="s">
        <v>1427</v>
      </c>
      <c r="F1559" s="46">
        <v>0</v>
      </c>
      <c r="G1559" s="51">
        <v>43983</v>
      </c>
      <c r="H1559" s="46">
        <v>10</v>
      </c>
      <c r="I1559" s="53" t="str">
        <f ca="1"/>
        <v>小川 純</v>
      </c>
      <c r="J1559" s="113"/>
      <c r="K1559" s="49" t="s">
        <v>50</v>
      </c>
      <c r="M1559" s="107" t="s">
        <v>52</v>
      </c>
    </row>
    <row r="1560" spans="1:13" ht="16">
      <c r="A1560" s="101" t="str">
        <f t="shared" si="1"/>
        <v>OK</v>
      </c>
      <c r="B1560" s="48">
        <v>135040</v>
      </c>
      <c r="C1560" s="49" t="s">
        <v>1697</v>
      </c>
      <c r="D1560" s="49" t="s">
        <v>7</v>
      </c>
      <c r="E1560" s="49" t="s">
        <v>1427</v>
      </c>
      <c r="F1560" s="46">
        <v>0</v>
      </c>
      <c r="G1560" s="51">
        <v>43983</v>
      </c>
      <c r="H1560" s="46">
        <v>50</v>
      </c>
      <c r="I1560" s="53" t="str">
        <f ca="1"/>
        <v>栗原 大武</v>
      </c>
      <c r="J1560" s="113"/>
      <c r="K1560" s="49" t="s">
        <v>50</v>
      </c>
      <c r="M1560" s="107" t="s">
        <v>52</v>
      </c>
    </row>
    <row r="1561" spans="1:13" ht="16">
      <c r="A1561" s="101" t="str">
        <f t="shared" si="1"/>
        <v>OK</v>
      </c>
      <c r="B1561" s="48">
        <v>3903660</v>
      </c>
      <c r="C1561" s="49" t="s">
        <v>1698</v>
      </c>
      <c r="D1561" s="49" t="s">
        <v>7</v>
      </c>
      <c r="E1561" s="49" t="s">
        <v>1427</v>
      </c>
      <c r="F1561" s="46">
        <v>0</v>
      </c>
      <c r="G1561" s="51">
        <v>43983</v>
      </c>
      <c r="H1561" s="46">
        <v>50</v>
      </c>
      <c r="I1561" s="53" t="str">
        <f ca="1"/>
        <v>栗原 大武</v>
      </c>
      <c r="J1561" s="113"/>
      <c r="K1561" s="49" t="s">
        <v>50</v>
      </c>
      <c r="M1561" s="107" t="s">
        <v>52</v>
      </c>
    </row>
    <row r="1562" spans="1:13" ht="16">
      <c r="A1562" s="101" t="str">
        <f t="shared" si="1"/>
        <v>OK</v>
      </c>
      <c r="B1562" s="48">
        <v>110009</v>
      </c>
      <c r="C1562" s="49" t="s">
        <v>1699</v>
      </c>
      <c r="D1562" s="49" t="s">
        <v>7</v>
      </c>
      <c r="E1562" s="49" t="s">
        <v>1427</v>
      </c>
      <c r="F1562" s="46">
        <v>0</v>
      </c>
      <c r="G1562" s="51">
        <v>43983</v>
      </c>
      <c r="H1562" s="46">
        <v>10</v>
      </c>
      <c r="I1562" s="53" t="str">
        <f ca="1"/>
        <v>辻村 将大</v>
      </c>
      <c r="J1562" s="113"/>
      <c r="K1562" s="49" t="s">
        <v>50</v>
      </c>
      <c r="M1562" s="107" t="s">
        <v>52</v>
      </c>
    </row>
    <row r="1563" spans="1:13" ht="16">
      <c r="A1563" s="101" t="str">
        <f t="shared" si="1"/>
        <v>OK</v>
      </c>
      <c r="B1563" s="48">
        <v>128991</v>
      </c>
      <c r="C1563" s="49" t="s">
        <v>1700</v>
      </c>
      <c r="D1563" s="49" t="s">
        <v>7</v>
      </c>
      <c r="E1563" s="49" t="s">
        <v>1427</v>
      </c>
      <c r="F1563" s="46">
        <v>0</v>
      </c>
      <c r="G1563" s="51">
        <v>43983</v>
      </c>
      <c r="H1563" s="46">
        <v>30</v>
      </c>
      <c r="I1563" s="53" t="str">
        <f ca="1"/>
        <v>辻村 将大</v>
      </c>
      <c r="J1563" s="113"/>
      <c r="K1563" s="49" t="s">
        <v>50</v>
      </c>
      <c r="M1563" s="107" t="s">
        <v>52</v>
      </c>
    </row>
    <row r="1564" spans="1:13" ht="16">
      <c r="A1564" s="101" t="str">
        <f t="shared" si="1"/>
        <v>OK</v>
      </c>
      <c r="B1564" s="48">
        <v>3904539</v>
      </c>
      <c r="C1564" s="49" t="s">
        <v>1701</v>
      </c>
      <c r="D1564" s="49" t="s">
        <v>7</v>
      </c>
      <c r="E1564" s="49" t="s">
        <v>1427</v>
      </c>
      <c r="F1564" s="46">
        <v>0</v>
      </c>
      <c r="G1564" s="51">
        <v>43983</v>
      </c>
      <c r="H1564" s="46">
        <v>20</v>
      </c>
      <c r="I1564" s="53" t="str">
        <f ca="1"/>
        <v>辻村 将大</v>
      </c>
      <c r="J1564" s="113"/>
      <c r="K1564" s="49" t="s">
        <v>50</v>
      </c>
      <c r="M1564" s="107" t="s">
        <v>52</v>
      </c>
    </row>
    <row r="1565" spans="1:13" ht="16">
      <c r="A1565" s="101" t="str">
        <f t="shared" si="1"/>
        <v>OK</v>
      </c>
      <c r="B1565" s="48">
        <v>108559</v>
      </c>
      <c r="C1565" s="49" t="s">
        <v>1702</v>
      </c>
      <c r="D1565" s="49" t="s">
        <v>5</v>
      </c>
      <c r="E1565" s="63">
        <v>0.09</v>
      </c>
      <c r="F1565" s="46">
        <v>16</v>
      </c>
      <c r="G1565" s="51">
        <v>43983</v>
      </c>
      <c r="H1565" s="46">
        <v>200</v>
      </c>
      <c r="I1565" s="53" t="str">
        <f ca="1"/>
        <v>老田 純輝</v>
      </c>
      <c r="J1565" s="113"/>
      <c r="K1565" s="49" t="s">
        <v>50</v>
      </c>
      <c r="M1565" s="107" t="s">
        <v>52</v>
      </c>
    </row>
    <row r="1566" spans="1:13" ht="16">
      <c r="A1566" s="101" t="str">
        <f t="shared" si="1"/>
        <v>OK</v>
      </c>
      <c r="B1566" s="48">
        <v>125248</v>
      </c>
      <c r="C1566" s="49" t="s">
        <v>1703</v>
      </c>
      <c r="D1566" s="49" t="s">
        <v>5</v>
      </c>
      <c r="E1566" s="63">
        <v>0.09</v>
      </c>
      <c r="F1566" s="46">
        <v>14</v>
      </c>
      <c r="G1566" s="51">
        <v>43983</v>
      </c>
      <c r="H1566" s="46">
        <v>200</v>
      </c>
      <c r="I1566" s="53" t="str">
        <f ca="1"/>
        <v>老田 純輝</v>
      </c>
      <c r="J1566" s="113"/>
      <c r="K1566" s="49" t="s">
        <v>50</v>
      </c>
      <c r="M1566" s="107" t="s">
        <v>52</v>
      </c>
    </row>
    <row r="1567" spans="1:13" ht="16">
      <c r="A1567" s="101" t="str">
        <f t="shared" si="1"/>
        <v>OK</v>
      </c>
      <c r="B1567" s="48">
        <v>125249</v>
      </c>
      <c r="C1567" s="49" t="s">
        <v>1704</v>
      </c>
      <c r="D1567" s="49" t="s">
        <v>5</v>
      </c>
      <c r="E1567" s="63">
        <v>0.09</v>
      </c>
      <c r="F1567" s="46">
        <v>13</v>
      </c>
      <c r="G1567" s="51">
        <v>43983</v>
      </c>
      <c r="H1567" s="46">
        <v>200</v>
      </c>
      <c r="I1567" s="53" t="str">
        <f ca="1"/>
        <v>老田 純輝</v>
      </c>
      <c r="J1567" s="113"/>
      <c r="K1567" s="49" t="s">
        <v>50</v>
      </c>
      <c r="M1567" s="107" t="s">
        <v>52</v>
      </c>
    </row>
    <row r="1568" spans="1:13" ht="16">
      <c r="A1568" s="101" t="str">
        <f t="shared" si="1"/>
        <v>OK</v>
      </c>
      <c r="B1568" s="48">
        <v>112791</v>
      </c>
      <c r="C1568" s="49" t="s">
        <v>1705</v>
      </c>
      <c r="D1568" s="49" t="s">
        <v>7</v>
      </c>
      <c r="E1568" s="49" t="s">
        <v>1427</v>
      </c>
      <c r="F1568" s="46">
        <v>0</v>
      </c>
      <c r="G1568" s="51">
        <v>43983</v>
      </c>
      <c r="H1568" s="46">
        <v>50</v>
      </c>
      <c r="I1568" s="53" t="str">
        <f ca="1"/>
        <v>老田 純輝</v>
      </c>
      <c r="J1568" s="113"/>
      <c r="K1568" s="49" t="s">
        <v>50</v>
      </c>
      <c r="M1568" s="107" t="s">
        <v>52</v>
      </c>
    </row>
    <row r="1569" spans="1:13" ht="16">
      <c r="A1569" s="101" t="str">
        <f t="shared" si="1"/>
        <v>OK</v>
      </c>
      <c r="B1569" s="48">
        <v>126366</v>
      </c>
      <c r="C1569" s="49" t="s">
        <v>1706</v>
      </c>
      <c r="D1569" s="49" t="s">
        <v>5</v>
      </c>
      <c r="E1569" s="63">
        <v>9.4E-2</v>
      </c>
      <c r="F1569" s="46">
        <v>10</v>
      </c>
      <c r="G1569" s="51">
        <v>43983</v>
      </c>
      <c r="H1569" s="46">
        <v>367</v>
      </c>
      <c r="I1569" s="53" t="str">
        <f ca="1"/>
        <v>老田 純輝</v>
      </c>
      <c r="J1569" s="113"/>
      <c r="K1569" s="49" t="s">
        <v>50</v>
      </c>
      <c r="M1569" s="107" t="s">
        <v>52</v>
      </c>
    </row>
    <row r="1570" spans="1:13" ht="16">
      <c r="A1570" s="101" t="str">
        <f t="shared" si="1"/>
        <v>OK</v>
      </c>
      <c r="B1570" s="48">
        <v>123264</v>
      </c>
      <c r="C1570" s="49" t="s">
        <v>1707</v>
      </c>
      <c r="D1570" s="49" t="s">
        <v>7</v>
      </c>
      <c r="E1570" s="49" t="s">
        <v>1427</v>
      </c>
      <c r="F1570" s="46">
        <v>0</v>
      </c>
      <c r="G1570" s="51">
        <v>43984</v>
      </c>
      <c r="H1570" s="46">
        <v>50</v>
      </c>
      <c r="I1570" s="53" t="str">
        <f ca="1"/>
        <v>荻曽 克輝</v>
      </c>
      <c r="J1570" s="113"/>
      <c r="K1570" s="49" t="s">
        <v>50</v>
      </c>
      <c r="M1570" s="107" t="s">
        <v>52</v>
      </c>
    </row>
    <row r="1571" spans="1:13" ht="16">
      <c r="A1571" s="101" t="str">
        <f t="shared" si="1"/>
        <v>OK</v>
      </c>
      <c r="B1571" s="48">
        <v>130325</v>
      </c>
      <c r="C1571" s="49" t="s">
        <v>1708</v>
      </c>
      <c r="D1571" s="49" t="s">
        <v>7</v>
      </c>
      <c r="E1571" s="49" t="s">
        <v>1427</v>
      </c>
      <c r="F1571" s="46">
        <v>0</v>
      </c>
      <c r="G1571" s="51">
        <v>43985</v>
      </c>
      <c r="H1571" s="46">
        <v>50</v>
      </c>
      <c r="I1571" s="53" t="str">
        <f ca="1"/>
        <v>荻曽 克輝</v>
      </c>
      <c r="J1571" s="113"/>
      <c r="K1571" s="49" t="s">
        <v>50</v>
      </c>
      <c r="M1571" s="107" t="s">
        <v>52</v>
      </c>
    </row>
    <row r="1572" spans="1:13" ht="16">
      <c r="A1572" s="101" t="str">
        <f t="shared" si="1"/>
        <v>OK</v>
      </c>
      <c r="B1572" s="48">
        <v>138745</v>
      </c>
      <c r="C1572" s="49" t="s">
        <v>1709</v>
      </c>
      <c r="D1572" s="49" t="s">
        <v>7</v>
      </c>
      <c r="E1572" s="49" t="s">
        <v>1427</v>
      </c>
      <c r="F1572" s="46">
        <v>0</v>
      </c>
      <c r="G1572" s="51">
        <v>43986</v>
      </c>
      <c r="H1572" s="46">
        <v>50</v>
      </c>
      <c r="I1572" s="53" t="str">
        <f ca="1"/>
        <v>荻曽 克輝</v>
      </c>
      <c r="J1572" s="113"/>
      <c r="K1572" s="49" t="s">
        <v>50</v>
      </c>
      <c r="M1572" s="107" t="s">
        <v>52</v>
      </c>
    </row>
    <row r="1573" spans="1:13" ht="16">
      <c r="A1573" s="101" t="str">
        <f t="shared" si="1"/>
        <v>OK</v>
      </c>
      <c r="B1573" s="48">
        <v>114640</v>
      </c>
      <c r="C1573" s="49" t="s">
        <v>1710</v>
      </c>
      <c r="D1573" s="49" t="s">
        <v>7</v>
      </c>
      <c r="E1573" s="63">
        <v>8.5000000000000006E-2</v>
      </c>
      <c r="F1573" s="46">
        <v>4</v>
      </c>
      <c r="G1573" s="51">
        <v>43983</v>
      </c>
      <c r="H1573" s="46">
        <v>10</v>
      </c>
      <c r="I1573" s="53" t="str">
        <f ca="1"/>
        <v>森 光智</v>
      </c>
      <c r="J1573" s="113"/>
      <c r="K1573" s="49" t="s">
        <v>50</v>
      </c>
      <c r="M1573" s="107" t="s">
        <v>52</v>
      </c>
    </row>
    <row r="1574" spans="1:13" ht="16">
      <c r="A1574" s="101" t="str">
        <f t="shared" si="1"/>
        <v>OK</v>
      </c>
      <c r="B1574" s="48">
        <v>141640</v>
      </c>
      <c r="C1574" s="49" t="s">
        <v>1711</v>
      </c>
      <c r="D1574" s="49" t="s">
        <v>7</v>
      </c>
      <c r="E1574" s="49" t="s">
        <v>1427</v>
      </c>
      <c r="F1574" s="46">
        <v>0</v>
      </c>
      <c r="G1574" s="51">
        <v>43983</v>
      </c>
      <c r="H1574" s="46">
        <v>10</v>
      </c>
      <c r="I1574" s="53" t="str">
        <f ca="1"/>
        <v>森 光智</v>
      </c>
      <c r="J1574" s="113"/>
      <c r="K1574" s="49" t="s">
        <v>50</v>
      </c>
      <c r="M1574" s="107" t="s">
        <v>52</v>
      </c>
    </row>
    <row r="1575" spans="1:13" ht="16">
      <c r="A1575" s="101" t="str">
        <f t="shared" si="1"/>
        <v>OK</v>
      </c>
      <c r="B1575" s="48">
        <v>110519</v>
      </c>
      <c r="C1575" s="49" t="s">
        <v>1712</v>
      </c>
      <c r="D1575" s="49" t="s">
        <v>7</v>
      </c>
      <c r="E1575" s="63">
        <v>8.5000000000000006E-2</v>
      </c>
      <c r="F1575" s="46">
        <v>6</v>
      </c>
      <c r="G1575" s="51">
        <v>43983</v>
      </c>
      <c r="H1575" s="46">
        <v>6</v>
      </c>
      <c r="I1575" s="53" t="str">
        <f ca="1"/>
        <v>森 光智</v>
      </c>
      <c r="J1575" s="113"/>
      <c r="K1575" s="49" t="s">
        <v>50</v>
      </c>
      <c r="M1575" s="107" t="s">
        <v>52</v>
      </c>
    </row>
    <row r="1576" spans="1:13" ht="16">
      <c r="A1576" s="101" t="str">
        <f t="shared" si="1"/>
        <v>OK</v>
      </c>
      <c r="B1576" s="48">
        <v>110520</v>
      </c>
      <c r="C1576" s="49" t="s">
        <v>1713</v>
      </c>
      <c r="D1576" s="49" t="s">
        <v>7</v>
      </c>
      <c r="E1576" s="63">
        <v>8.5000000000000006E-2</v>
      </c>
      <c r="F1576" s="46">
        <v>5</v>
      </c>
      <c r="G1576" s="51">
        <v>43983</v>
      </c>
      <c r="H1576" s="46">
        <v>5</v>
      </c>
      <c r="I1576" s="53" t="str">
        <f ca="1"/>
        <v>森 光智</v>
      </c>
      <c r="J1576" s="113"/>
      <c r="K1576" s="49" t="s">
        <v>50</v>
      </c>
      <c r="M1576" s="107" t="s">
        <v>52</v>
      </c>
    </row>
    <row r="1577" spans="1:13" ht="16">
      <c r="A1577" s="101" t="str">
        <f t="shared" si="1"/>
        <v>OK</v>
      </c>
      <c r="B1577" s="48">
        <v>106928</v>
      </c>
      <c r="C1577" s="49" t="s">
        <v>1714</v>
      </c>
      <c r="D1577" s="49" t="s">
        <v>7</v>
      </c>
      <c r="E1577" s="49" t="s">
        <v>1427</v>
      </c>
      <c r="F1577" s="46">
        <v>0</v>
      </c>
      <c r="G1577" s="51">
        <v>43983</v>
      </c>
      <c r="H1577" s="46">
        <v>1</v>
      </c>
      <c r="I1577" s="53" t="str">
        <f ca="1"/>
        <v>森 光智</v>
      </c>
      <c r="J1577" s="113"/>
      <c r="K1577" s="49" t="s">
        <v>50</v>
      </c>
      <c r="M1577" s="107" t="s">
        <v>52</v>
      </c>
    </row>
    <row r="1578" spans="1:13" ht="16">
      <c r="A1578" s="101" t="str">
        <f t="shared" si="1"/>
        <v>OK</v>
      </c>
      <c r="B1578" s="48">
        <v>130458</v>
      </c>
      <c r="C1578" s="49" t="s">
        <v>1715</v>
      </c>
      <c r="D1578" s="49" t="s">
        <v>7</v>
      </c>
      <c r="E1578" s="49" t="s">
        <v>1427</v>
      </c>
      <c r="F1578" s="46">
        <v>6</v>
      </c>
      <c r="G1578" s="51">
        <v>43983</v>
      </c>
      <c r="H1578" s="46">
        <v>6</v>
      </c>
      <c r="I1578" s="53" t="str">
        <f ca="1"/>
        <v>森 光智</v>
      </c>
      <c r="J1578" s="113"/>
      <c r="K1578" s="49" t="s">
        <v>50</v>
      </c>
      <c r="M1578" s="107" t="s">
        <v>52</v>
      </c>
    </row>
    <row r="1579" spans="1:13" ht="16">
      <c r="A1579" s="101" t="str">
        <f t="shared" si="1"/>
        <v>OK</v>
      </c>
      <c r="B1579" s="48">
        <v>409</v>
      </c>
      <c r="C1579" s="49" t="s">
        <v>1716</v>
      </c>
      <c r="D1579" s="49" t="s">
        <v>7</v>
      </c>
      <c r="E1579" s="63">
        <v>8.5000000000000006E-2</v>
      </c>
      <c r="F1579" s="46">
        <v>15</v>
      </c>
      <c r="G1579" s="51">
        <v>43983</v>
      </c>
      <c r="H1579" s="46">
        <v>15</v>
      </c>
      <c r="I1579" s="53" t="str">
        <f ca="1"/>
        <v>森 光智</v>
      </c>
      <c r="J1579" s="113"/>
      <c r="K1579" s="49" t="s">
        <v>50</v>
      </c>
      <c r="M1579" s="107" t="s">
        <v>52</v>
      </c>
    </row>
    <row r="1580" spans="1:13" ht="16">
      <c r="A1580" s="101" t="str">
        <f t="shared" si="1"/>
        <v>OK</v>
      </c>
      <c r="B1580" s="48">
        <v>135345</v>
      </c>
      <c r="C1580" s="49" t="s">
        <v>1717</v>
      </c>
      <c r="D1580" s="49" t="s">
        <v>7</v>
      </c>
      <c r="E1580" s="49" t="s">
        <v>1427</v>
      </c>
      <c r="F1580" s="46">
        <v>0</v>
      </c>
      <c r="G1580" s="51">
        <v>43983</v>
      </c>
      <c r="H1580" s="46">
        <v>30</v>
      </c>
      <c r="I1580" s="53" t="str">
        <f ca="1"/>
        <v>森 光智</v>
      </c>
      <c r="J1580" s="113"/>
      <c r="K1580" s="49" t="s">
        <v>50</v>
      </c>
      <c r="M1580" s="107" t="s">
        <v>52</v>
      </c>
    </row>
    <row r="1581" spans="1:13" ht="16">
      <c r="A1581" s="101" t="str">
        <f t="shared" si="1"/>
        <v>OK</v>
      </c>
      <c r="B1581" s="48">
        <v>123364</v>
      </c>
      <c r="C1581" s="49" t="s">
        <v>1718</v>
      </c>
      <c r="D1581" s="49" t="s">
        <v>7</v>
      </c>
      <c r="E1581" s="49" t="s">
        <v>1427</v>
      </c>
      <c r="F1581" s="46">
        <v>0</v>
      </c>
      <c r="G1581" s="51">
        <v>43983</v>
      </c>
      <c r="H1581" s="46">
        <v>10</v>
      </c>
      <c r="I1581" s="53" t="str">
        <f ca="1"/>
        <v>堀越 駿</v>
      </c>
      <c r="J1581" s="113"/>
      <c r="K1581" s="49" t="s">
        <v>50</v>
      </c>
      <c r="M1581" s="107" t="s">
        <v>52</v>
      </c>
    </row>
    <row r="1582" spans="1:13" ht="16">
      <c r="A1582" s="101" t="str">
        <f t="shared" si="1"/>
        <v>OK</v>
      </c>
      <c r="B1582" s="48">
        <v>140555</v>
      </c>
      <c r="C1582" s="49" t="s">
        <v>1719</v>
      </c>
      <c r="D1582" s="49" t="s">
        <v>7</v>
      </c>
      <c r="E1582" s="49" t="s">
        <v>1427</v>
      </c>
      <c r="F1582" s="46">
        <v>0</v>
      </c>
      <c r="G1582" s="51">
        <v>43983</v>
      </c>
      <c r="H1582" s="46">
        <v>50</v>
      </c>
      <c r="I1582" s="53" t="str">
        <f ca="1"/>
        <v>荻曽 克輝</v>
      </c>
      <c r="J1582" s="113"/>
      <c r="K1582" s="49" t="s">
        <v>50</v>
      </c>
      <c r="M1582" s="107" t="s">
        <v>52</v>
      </c>
    </row>
    <row r="1583" spans="1:13" ht="16">
      <c r="A1583" s="101" t="str">
        <f t="shared" si="1"/>
        <v>OK</v>
      </c>
      <c r="B1583" s="48">
        <v>3905104</v>
      </c>
      <c r="C1583" s="49" t="s">
        <v>1720</v>
      </c>
      <c r="D1583" s="49" t="s">
        <v>7</v>
      </c>
      <c r="E1583" s="49" t="s">
        <v>1427</v>
      </c>
      <c r="F1583" s="46">
        <v>15</v>
      </c>
      <c r="G1583" s="51">
        <v>43983</v>
      </c>
      <c r="H1583" s="46">
        <v>50</v>
      </c>
      <c r="I1583" s="53" t="str">
        <f ca="1"/>
        <v>内丸 裕子</v>
      </c>
      <c r="J1583" s="113"/>
      <c r="K1583" s="49" t="s">
        <v>50</v>
      </c>
      <c r="M1583" s="107" t="s">
        <v>52</v>
      </c>
    </row>
    <row r="1584" spans="1:13" ht="16">
      <c r="A1584" s="101" t="str">
        <f t="shared" si="1"/>
        <v>OK</v>
      </c>
      <c r="B1584" s="48">
        <v>112558</v>
      </c>
      <c r="C1584" s="49" t="s">
        <v>1721</v>
      </c>
      <c r="D1584" s="49" t="s">
        <v>7</v>
      </c>
      <c r="E1584" s="49" t="s">
        <v>1427</v>
      </c>
      <c r="F1584" s="46">
        <v>15</v>
      </c>
      <c r="G1584" s="51">
        <v>43983</v>
      </c>
      <c r="H1584" s="46">
        <v>50</v>
      </c>
      <c r="I1584" s="53" t="str">
        <f ca="1"/>
        <v>内丸 裕子</v>
      </c>
      <c r="J1584" s="113"/>
      <c r="K1584" s="49" t="s">
        <v>50</v>
      </c>
      <c r="M1584" s="107" t="s">
        <v>52</v>
      </c>
    </row>
    <row r="1585" spans="1:13" ht="16">
      <c r="A1585" s="101" t="str">
        <f t="shared" si="1"/>
        <v>OK</v>
      </c>
      <c r="B1585" s="48">
        <v>132569</v>
      </c>
      <c r="C1585" s="49" t="s">
        <v>1722</v>
      </c>
      <c r="D1585" s="49" t="s">
        <v>7</v>
      </c>
      <c r="E1585" s="49" t="s">
        <v>1427</v>
      </c>
      <c r="F1585" s="46">
        <v>15</v>
      </c>
      <c r="G1585" s="51">
        <v>43983</v>
      </c>
      <c r="H1585" s="46">
        <v>50</v>
      </c>
      <c r="I1585" s="53" t="str">
        <f ca="1"/>
        <v>内丸 裕子</v>
      </c>
      <c r="J1585" s="113"/>
      <c r="K1585" s="49" t="s">
        <v>50</v>
      </c>
      <c r="M1585" s="107" t="s">
        <v>52</v>
      </c>
    </row>
    <row r="1586" spans="1:13" ht="16">
      <c r="A1586" s="101" t="str">
        <f t="shared" si="1"/>
        <v>OK</v>
      </c>
      <c r="B1586" s="48">
        <v>3903830</v>
      </c>
      <c r="C1586" s="49" t="s">
        <v>1723</v>
      </c>
      <c r="D1586" s="49" t="s">
        <v>7</v>
      </c>
      <c r="E1586" s="49" t="s">
        <v>1427</v>
      </c>
      <c r="F1586" s="46">
        <v>10</v>
      </c>
      <c r="G1586" s="51">
        <v>43983</v>
      </c>
      <c r="H1586" s="46">
        <v>30</v>
      </c>
      <c r="I1586" s="53" t="str">
        <f ca="1"/>
        <v>内丸 裕子</v>
      </c>
      <c r="J1586" s="113"/>
      <c r="K1586" s="49" t="s">
        <v>50</v>
      </c>
      <c r="M1586" s="107" t="s">
        <v>52</v>
      </c>
    </row>
    <row r="1587" spans="1:13" ht="16">
      <c r="A1587" s="101" t="str">
        <f t="shared" si="1"/>
        <v>OK</v>
      </c>
      <c r="B1587" s="48">
        <v>7975</v>
      </c>
      <c r="C1587" s="49" t="s">
        <v>1724</v>
      </c>
      <c r="D1587" s="49" t="s">
        <v>7</v>
      </c>
      <c r="E1587" s="49" t="s">
        <v>1427</v>
      </c>
      <c r="F1587" s="46">
        <v>15</v>
      </c>
      <c r="G1587" s="51">
        <v>43983</v>
      </c>
      <c r="H1587" s="46">
        <v>50</v>
      </c>
      <c r="I1587" s="53" t="str">
        <f ca="1"/>
        <v>内丸 裕子</v>
      </c>
      <c r="J1587" s="113"/>
      <c r="K1587" s="49" t="s">
        <v>50</v>
      </c>
      <c r="M1587" s="107" t="s">
        <v>52</v>
      </c>
    </row>
    <row r="1588" spans="1:13" ht="16">
      <c r="A1588" s="101" t="str">
        <f t="shared" si="1"/>
        <v>OK</v>
      </c>
      <c r="B1588" s="48">
        <v>141141</v>
      </c>
      <c r="C1588" s="49" t="s">
        <v>1725</v>
      </c>
      <c r="D1588" s="49" t="s">
        <v>7</v>
      </c>
      <c r="E1588" s="49" t="s">
        <v>1427</v>
      </c>
      <c r="F1588" s="46">
        <v>2</v>
      </c>
      <c r="G1588" s="51">
        <v>43983</v>
      </c>
      <c r="H1588" s="46">
        <v>10</v>
      </c>
      <c r="I1588" s="53" t="str">
        <f ca="1"/>
        <v>内丸 裕子</v>
      </c>
      <c r="J1588" s="113"/>
      <c r="K1588" s="49" t="s">
        <v>50</v>
      </c>
      <c r="M1588" s="107" t="s">
        <v>52</v>
      </c>
    </row>
    <row r="1589" spans="1:13" ht="16">
      <c r="A1589" s="101" t="str">
        <f t="shared" si="1"/>
        <v>OK</v>
      </c>
      <c r="B1589" s="48">
        <v>138901</v>
      </c>
      <c r="C1589" s="49" t="s">
        <v>1726</v>
      </c>
      <c r="D1589" s="49" t="s">
        <v>5</v>
      </c>
      <c r="E1589" s="64">
        <v>6.0999999999999999E-2</v>
      </c>
      <c r="F1589" s="46">
        <v>200</v>
      </c>
      <c r="G1589" s="51">
        <v>43983</v>
      </c>
      <c r="H1589" s="46">
        <v>200</v>
      </c>
      <c r="I1589" s="53" t="str">
        <f ca="1"/>
        <v>内丸 裕子</v>
      </c>
      <c r="J1589" s="113"/>
      <c r="K1589" s="49" t="s">
        <v>50</v>
      </c>
      <c r="M1589" s="107" t="s">
        <v>52</v>
      </c>
    </row>
    <row r="1590" spans="1:13" ht="16">
      <c r="A1590" s="101" t="str">
        <f t="shared" si="1"/>
        <v>-</v>
      </c>
      <c r="B1590" s="48"/>
      <c r="C1590" s="53"/>
      <c r="D1590" s="49"/>
      <c r="E1590" s="71"/>
      <c r="F1590" s="46"/>
      <c r="G1590" s="72"/>
      <c r="H1590" s="46"/>
      <c r="I1590" s="53" t="str">
        <f ca="1"/>
        <v>退会済</v>
      </c>
      <c r="J1590" s="113"/>
      <c r="K1590" s="49" t="s">
        <v>50</v>
      </c>
      <c r="M1590" s="107" t="s">
        <v>52</v>
      </c>
    </row>
    <row r="1591" spans="1:13" ht="16">
      <c r="A1591" s="101" t="str">
        <f t="shared" si="1"/>
        <v>OK</v>
      </c>
      <c r="B1591" s="48">
        <v>3102741</v>
      </c>
      <c r="C1591" s="49" t="s">
        <v>1727</v>
      </c>
      <c r="D1591" s="49" t="s">
        <v>7</v>
      </c>
      <c r="E1591" s="63">
        <v>0.08</v>
      </c>
      <c r="F1591" s="46">
        <v>6</v>
      </c>
      <c r="G1591" s="51">
        <v>43983</v>
      </c>
      <c r="H1591" s="46">
        <v>50</v>
      </c>
      <c r="I1591" s="53" t="str">
        <f ca="1"/>
        <v>菅野 ぎんが</v>
      </c>
      <c r="J1591" s="113"/>
      <c r="K1591" s="49" t="s">
        <v>50</v>
      </c>
      <c r="M1591" s="107" t="s">
        <v>52</v>
      </c>
    </row>
    <row r="1592" spans="1:13" ht="16">
      <c r="A1592" s="101" t="str">
        <f t="shared" si="1"/>
        <v>OK</v>
      </c>
      <c r="B1592" s="48">
        <v>138092</v>
      </c>
      <c r="C1592" s="49" t="s">
        <v>1728</v>
      </c>
      <c r="D1592" s="49" t="s">
        <v>7</v>
      </c>
      <c r="E1592" s="49" t="s">
        <v>1427</v>
      </c>
      <c r="F1592" s="46">
        <v>16</v>
      </c>
      <c r="G1592" s="51">
        <v>43983</v>
      </c>
      <c r="H1592" s="46">
        <v>30</v>
      </c>
      <c r="I1592" s="53" t="str">
        <f ca="1"/>
        <v>老田 純輝</v>
      </c>
      <c r="J1592" s="113"/>
      <c r="K1592" s="49" t="s">
        <v>50</v>
      </c>
      <c r="M1592" s="107" t="s">
        <v>52</v>
      </c>
    </row>
    <row r="1593" spans="1:13" ht="16">
      <c r="A1593" s="101" t="str">
        <f t="shared" si="1"/>
        <v>OK</v>
      </c>
      <c r="B1593" s="48">
        <v>138603</v>
      </c>
      <c r="C1593" s="49" t="s">
        <v>1729</v>
      </c>
      <c r="D1593" s="49" t="s">
        <v>7</v>
      </c>
      <c r="E1593" s="49" t="s">
        <v>1427</v>
      </c>
      <c r="F1593" s="46">
        <v>3</v>
      </c>
      <c r="G1593" s="51">
        <v>43983</v>
      </c>
      <c r="H1593" s="46">
        <v>10</v>
      </c>
      <c r="I1593" s="53" t="str">
        <f ca="1"/>
        <v>川島 幹也</v>
      </c>
      <c r="J1593" s="113"/>
      <c r="K1593" s="49" t="s">
        <v>50</v>
      </c>
      <c r="M1593" s="107" t="s">
        <v>52</v>
      </c>
    </row>
    <row r="1594" spans="1:13" ht="16">
      <c r="A1594" s="101" t="str">
        <f t="shared" si="1"/>
        <v>OK</v>
      </c>
      <c r="B1594" s="48">
        <v>3905176</v>
      </c>
      <c r="C1594" s="49" t="s">
        <v>1730</v>
      </c>
      <c r="D1594" s="49" t="s">
        <v>7</v>
      </c>
      <c r="E1594" s="49" t="s">
        <v>1427</v>
      </c>
      <c r="F1594" s="46">
        <v>10</v>
      </c>
      <c r="G1594" s="51">
        <v>43983</v>
      </c>
      <c r="H1594" s="46">
        <v>20</v>
      </c>
      <c r="I1594" s="53" t="str">
        <f ca="1"/>
        <v>川島 幹也</v>
      </c>
      <c r="J1594" s="113"/>
      <c r="K1594" s="49" t="s">
        <v>50</v>
      </c>
      <c r="M1594" s="107" t="s">
        <v>52</v>
      </c>
    </row>
    <row r="1595" spans="1:13" ht="16">
      <c r="A1595" s="101" t="str">
        <f t="shared" si="1"/>
        <v>OK</v>
      </c>
      <c r="B1595" s="48">
        <v>137964</v>
      </c>
      <c r="C1595" s="49" t="s">
        <v>1731</v>
      </c>
      <c r="D1595" s="49" t="s">
        <v>7</v>
      </c>
      <c r="E1595" s="49" t="s">
        <v>1427</v>
      </c>
      <c r="F1595" s="46">
        <v>2</v>
      </c>
      <c r="G1595" s="51">
        <v>43983</v>
      </c>
      <c r="H1595" s="46">
        <v>5</v>
      </c>
      <c r="I1595" s="53" t="str">
        <f ca="1"/>
        <v>川島 幹也</v>
      </c>
      <c r="J1595" s="113"/>
      <c r="K1595" s="49" t="s">
        <v>50</v>
      </c>
      <c r="M1595" s="107" t="s">
        <v>52</v>
      </c>
    </row>
    <row r="1596" spans="1:13" ht="16">
      <c r="A1596" s="101" t="str">
        <f t="shared" si="1"/>
        <v>OK</v>
      </c>
      <c r="B1596" s="48">
        <v>135091</v>
      </c>
      <c r="C1596" s="49" t="s">
        <v>1732</v>
      </c>
      <c r="D1596" s="49" t="s">
        <v>7</v>
      </c>
      <c r="E1596" s="49" t="s">
        <v>1427</v>
      </c>
      <c r="F1596" s="46">
        <v>0</v>
      </c>
      <c r="G1596" s="51">
        <v>43983</v>
      </c>
      <c r="H1596" s="46">
        <v>50</v>
      </c>
      <c r="I1596" s="53" t="str">
        <f ca="1"/>
        <v>荻曽 克輝</v>
      </c>
      <c r="J1596" s="113"/>
      <c r="K1596" s="49" t="s">
        <v>50</v>
      </c>
      <c r="M1596" s="107" t="s">
        <v>52</v>
      </c>
    </row>
    <row r="1597" spans="1:13" ht="16">
      <c r="A1597" s="101" t="str">
        <f t="shared" si="1"/>
        <v>OK</v>
      </c>
      <c r="B1597" s="48">
        <v>118839</v>
      </c>
      <c r="C1597" s="49" t="s">
        <v>1733</v>
      </c>
      <c r="D1597" s="49" t="s">
        <v>7</v>
      </c>
      <c r="E1597" s="63">
        <v>0.08</v>
      </c>
      <c r="F1597" s="46">
        <v>100</v>
      </c>
      <c r="G1597" s="51">
        <v>43983</v>
      </c>
      <c r="H1597" s="46">
        <v>1000</v>
      </c>
      <c r="I1597" s="53" t="str">
        <f ca="1"/>
        <v>長谷川 陸朗</v>
      </c>
      <c r="J1597" s="113"/>
      <c r="K1597" s="49" t="s">
        <v>50</v>
      </c>
      <c r="M1597" s="107" t="s">
        <v>52</v>
      </c>
    </row>
    <row r="1598" spans="1:13" ht="16">
      <c r="A1598" s="101" t="str">
        <f t="shared" si="1"/>
        <v>OK</v>
      </c>
      <c r="B1598" s="48">
        <v>123920</v>
      </c>
      <c r="C1598" s="49" t="s">
        <v>1734</v>
      </c>
      <c r="D1598" s="49" t="s">
        <v>7</v>
      </c>
      <c r="E1598" s="49" t="s">
        <v>1427</v>
      </c>
      <c r="F1598" s="46">
        <v>0</v>
      </c>
      <c r="G1598" s="51">
        <v>43983</v>
      </c>
      <c r="H1598" s="46">
        <v>40</v>
      </c>
      <c r="I1598" s="53" t="str">
        <f ca="1"/>
        <v>辻村 将大</v>
      </c>
      <c r="J1598" s="113"/>
      <c r="K1598" s="49" t="s">
        <v>50</v>
      </c>
      <c r="M1598" s="107" t="s">
        <v>52</v>
      </c>
    </row>
    <row r="1599" spans="1:13" ht="16">
      <c r="A1599" s="101" t="str">
        <f t="shared" si="1"/>
        <v>OK</v>
      </c>
      <c r="B1599" s="48">
        <v>141208</v>
      </c>
      <c r="C1599" s="49" t="s">
        <v>1735</v>
      </c>
      <c r="D1599" s="49" t="s">
        <v>7</v>
      </c>
      <c r="E1599" s="49" t="s">
        <v>1427</v>
      </c>
      <c r="F1599" s="46">
        <v>0</v>
      </c>
      <c r="G1599" s="51">
        <v>43983</v>
      </c>
      <c r="H1599" s="46">
        <v>10</v>
      </c>
      <c r="I1599" s="53" t="str">
        <f ca="1"/>
        <v>小川 純</v>
      </c>
      <c r="J1599" s="113"/>
      <c r="K1599" s="49" t="s">
        <v>50</v>
      </c>
      <c r="M1599" s="107" t="s">
        <v>52</v>
      </c>
    </row>
    <row r="1600" spans="1:13" ht="16">
      <c r="A1600" s="101" t="str">
        <f t="shared" si="1"/>
        <v>OK</v>
      </c>
      <c r="B1600" s="48">
        <v>139522</v>
      </c>
      <c r="C1600" s="49" t="s">
        <v>1736</v>
      </c>
      <c r="D1600" s="49" t="s">
        <v>7</v>
      </c>
      <c r="E1600" s="49" t="s">
        <v>1427</v>
      </c>
      <c r="F1600" s="46">
        <v>0</v>
      </c>
      <c r="G1600" s="51">
        <v>43983</v>
      </c>
      <c r="H1600" s="46">
        <v>15</v>
      </c>
      <c r="I1600" s="53" t="str">
        <f ca="1"/>
        <v>小川 純</v>
      </c>
      <c r="J1600" s="113"/>
      <c r="K1600" s="49" t="s">
        <v>50</v>
      </c>
      <c r="M1600" s="107" t="s">
        <v>52</v>
      </c>
    </row>
    <row r="1601" spans="1:13" ht="16">
      <c r="A1601" s="101" t="str">
        <f t="shared" si="1"/>
        <v>OK</v>
      </c>
      <c r="B1601" s="48">
        <v>120121</v>
      </c>
      <c r="C1601" s="49" t="s">
        <v>1737</v>
      </c>
      <c r="D1601" s="49" t="s">
        <v>7</v>
      </c>
      <c r="E1601" s="49" t="s">
        <v>1427</v>
      </c>
      <c r="F1601" s="46">
        <v>0</v>
      </c>
      <c r="G1601" s="51">
        <v>43983</v>
      </c>
      <c r="H1601" s="46">
        <v>40</v>
      </c>
      <c r="I1601" s="53" t="str">
        <f ca="1"/>
        <v>小川 純</v>
      </c>
      <c r="J1601" s="113"/>
      <c r="K1601" s="49" t="s">
        <v>50</v>
      </c>
      <c r="M1601" s="107" t="s">
        <v>52</v>
      </c>
    </row>
    <row r="1602" spans="1:13" ht="16">
      <c r="A1602" s="101" t="str">
        <f t="shared" si="1"/>
        <v>OK</v>
      </c>
      <c r="B1602" s="48">
        <v>112270</v>
      </c>
      <c r="C1602" s="49" t="s">
        <v>1738</v>
      </c>
      <c r="D1602" s="49" t="s">
        <v>7</v>
      </c>
      <c r="E1602" s="49" t="s">
        <v>1427</v>
      </c>
      <c r="F1602" s="46">
        <v>7</v>
      </c>
      <c r="G1602" s="51">
        <v>43983</v>
      </c>
      <c r="H1602" s="46">
        <v>50</v>
      </c>
      <c r="I1602" s="53" t="str">
        <f ca="1"/>
        <v>小川 純</v>
      </c>
      <c r="J1602" s="113"/>
      <c r="K1602" s="49" t="s">
        <v>50</v>
      </c>
      <c r="M1602" s="107" t="s">
        <v>52</v>
      </c>
    </row>
    <row r="1603" spans="1:13" ht="16">
      <c r="A1603" s="101" t="str">
        <f t="shared" si="1"/>
        <v>OK</v>
      </c>
      <c r="B1603" s="73">
        <v>140562</v>
      </c>
      <c r="C1603" s="74" t="s">
        <v>1739</v>
      </c>
      <c r="D1603" s="49" t="s">
        <v>5</v>
      </c>
      <c r="E1603" s="63">
        <v>9.2999999999999999E-2</v>
      </c>
      <c r="F1603" s="46">
        <v>17</v>
      </c>
      <c r="G1603" s="51">
        <v>43983</v>
      </c>
      <c r="H1603" s="46">
        <v>30</v>
      </c>
      <c r="I1603" s="53" t="str">
        <f ca="1"/>
        <v>桑原 明子</v>
      </c>
      <c r="J1603" s="113"/>
      <c r="K1603" s="49" t="s">
        <v>50</v>
      </c>
      <c r="M1603" s="107" t="s">
        <v>52</v>
      </c>
    </row>
    <row r="1604" spans="1:13" ht="16">
      <c r="A1604" s="101" t="str">
        <f t="shared" si="1"/>
        <v>OK</v>
      </c>
      <c r="B1604" s="48">
        <v>3903130</v>
      </c>
      <c r="C1604" s="49" t="s">
        <v>1740</v>
      </c>
      <c r="D1604" s="49" t="s">
        <v>7</v>
      </c>
      <c r="E1604" s="63" t="s">
        <v>1427</v>
      </c>
      <c r="F1604" s="46">
        <v>0</v>
      </c>
      <c r="G1604" s="51">
        <v>43983</v>
      </c>
      <c r="H1604" s="46">
        <v>10</v>
      </c>
      <c r="I1604" s="53" t="str">
        <f ca="1"/>
        <v>堀越 駿</v>
      </c>
      <c r="J1604" s="113"/>
      <c r="K1604" s="49" t="s">
        <v>50</v>
      </c>
      <c r="M1604" s="107" t="s">
        <v>52</v>
      </c>
    </row>
    <row r="1605" spans="1:13" ht="16">
      <c r="A1605" s="101" t="str">
        <f t="shared" si="1"/>
        <v>OK</v>
      </c>
      <c r="B1605" s="48">
        <v>8776</v>
      </c>
      <c r="C1605" s="49" t="s">
        <v>1741</v>
      </c>
      <c r="D1605" s="49" t="s">
        <v>7</v>
      </c>
      <c r="E1605" s="63" t="s">
        <v>1427</v>
      </c>
      <c r="F1605" s="46">
        <v>0</v>
      </c>
      <c r="G1605" s="51">
        <v>43983</v>
      </c>
      <c r="H1605" s="46">
        <v>50</v>
      </c>
      <c r="I1605" s="53" t="str">
        <f ca="1"/>
        <v>辻村 将大</v>
      </c>
      <c r="J1605" s="113"/>
      <c r="K1605" s="49" t="s">
        <v>50</v>
      </c>
      <c r="M1605" s="107" t="s">
        <v>52</v>
      </c>
    </row>
    <row r="1606" spans="1:13" ht="16">
      <c r="A1606" s="101" t="str">
        <f t="shared" si="1"/>
        <v>OK</v>
      </c>
      <c r="B1606" s="48">
        <v>114189</v>
      </c>
      <c r="C1606" s="49" t="s">
        <v>1742</v>
      </c>
      <c r="D1606" s="49" t="s">
        <v>7</v>
      </c>
      <c r="E1606" s="63" t="s">
        <v>1427</v>
      </c>
      <c r="F1606" s="46">
        <v>0</v>
      </c>
      <c r="G1606" s="51">
        <v>43983</v>
      </c>
      <c r="H1606" s="46">
        <v>30</v>
      </c>
      <c r="I1606" s="53" t="str">
        <f ca="1"/>
        <v>辻村 将大</v>
      </c>
      <c r="J1606" s="113"/>
      <c r="K1606" s="49" t="s">
        <v>50</v>
      </c>
      <c r="M1606" s="107" t="s">
        <v>52</v>
      </c>
    </row>
    <row r="1607" spans="1:13" ht="16">
      <c r="A1607" s="101" t="str">
        <f t="shared" si="1"/>
        <v>OK</v>
      </c>
      <c r="B1607" s="48">
        <v>135167</v>
      </c>
      <c r="C1607" s="49" t="s">
        <v>1743</v>
      </c>
      <c r="D1607" s="49" t="s">
        <v>7</v>
      </c>
      <c r="E1607" s="63" t="s">
        <v>1427</v>
      </c>
      <c r="F1607" s="46">
        <v>0</v>
      </c>
      <c r="G1607" s="51">
        <v>43983</v>
      </c>
      <c r="H1607" s="46">
        <v>40</v>
      </c>
      <c r="I1607" s="53" t="str">
        <f ca="1"/>
        <v>栗原 大武</v>
      </c>
      <c r="J1607" s="113"/>
      <c r="K1607" s="49" t="s">
        <v>50</v>
      </c>
      <c r="M1607" s="107" t="s">
        <v>52</v>
      </c>
    </row>
    <row r="1608" spans="1:13" ht="16">
      <c r="A1608" s="101" t="str">
        <f t="shared" si="1"/>
        <v>OK</v>
      </c>
      <c r="B1608" s="48">
        <v>130724</v>
      </c>
      <c r="C1608" s="49" t="s">
        <v>1744</v>
      </c>
      <c r="D1608" s="49" t="s">
        <v>7</v>
      </c>
      <c r="E1608" s="49" t="s">
        <v>1427</v>
      </c>
      <c r="F1608" s="46">
        <v>0</v>
      </c>
      <c r="G1608" s="51">
        <v>43983</v>
      </c>
      <c r="H1608" s="46">
        <v>50</v>
      </c>
      <c r="I1608" s="53" t="str">
        <f ca="1"/>
        <v>荻曽 克輝</v>
      </c>
      <c r="J1608" s="113"/>
      <c r="K1608" s="49" t="s">
        <v>50</v>
      </c>
      <c r="M1608" s="107" t="s">
        <v>52</v>
      </c>
    </row>
    <row r="1609" spans="1:13" ht="16">
      <c r="A1609" s="101" t="str">
        <f t="shared" si="1"/>
        <v>OK</v>
      </c>
      <c r="B1609" s="48">
        <v>3904588</v>
      </c>
      <c r="C1609" s="49" t="s">
        <v>1745</v>
      </c>
      <c r="D1609" s="49" t="s">
        <v>7</v>
      </c>
      <c r="E1609" s="49" t="s">
        <v>1427</v>
      </c>
      <c r="F1609" s="46">
        <v>0</v>
      </c>
      <c r="G1609" s="51">
        <v>43983</v>
      </c>
      <c r="H1609" s="46">
        <v>50</v>
      </c>
      <c r="I1609" s="53" t="str">
        <f ca="1"/>
        <v>栗原 大武</v>
      </c>
      <c r="J1609" s="113"/>
      <c r="K1609" s="49" t="s">
        <v>50</v>
      </c>
      <c r="M1609" s="107" t="s">
        <v>52</v>
      </c>
    </row>
    <row r="1610" spans="1:13" ht="16">
      <c r="A1610" s="101" t="str">
        <f t="shared" si="1"/>
        <v>OK</v>
      </c>
      <c r="B1610" s="48">
        <v>115665</v>
      </c>
      <c r="C1610" s="49" t="s">
        <v>1746</v>
      </c>
      <c r="D1610" s="49" t="s">
        <v>7</v>
      </c>
      <c r="E1610" s="49" t="s">
        <v>1427</v>
      </c>
      <c r="F1610" s="46">
        <v>0</v>
      </c>
      <c r="G1610" s="51">
        <v>43983</v>
      </c>
      <c r="H1610" s="46">
        <v>15</v>
      </c>
      <c r="I1610" s="53" t="str">
        <f ca="1"/>
        <v>栗原 大武</v>
      </c>
      <c r="J1610" s="113"/>
      <c r="K1610" s="49" t="s">
        <v>50</v>
      </c>
      <c r="M1610" s="107" t="s">
        <v>52</v>
      </c>
    </row>
    <row r="1611" spans="1:13" ht="16">
      <c r="A1611" s="101" t="str">
        <f t="shared" si="1"/>
        <v>OK</v>
      </c>
      <c r="B1611" s="48">
        <v>141013</v>
      </c>
      <c r="C1611" s="49" t="s">
        <v>1747</v>
      </c>
      <c r="D1611" s="49" t="s">
        <v>7</v>
      </c>
      <c r="E1611" s="49" t="s">
        <v>1427</v>
      </c>
      <c r="F1611" s="46">
        <v>0</v>
      </c>
      <c r="G1611" s="51">
        <v>43983</v>
      </c>
      <c r="H1611" s="46">
        <v>50</v>
      </c>
      <c r="I1611" s="53" t="str">
        <f ca="1"/>
        <v>栗原 大武</v>
      </c>
      <c r="J1611" s="113"/>
      <c r="K1611" s="49" t="s">
        <v>50</v>
      </c>
      <c r="M1611" s="107" t="s">
        <v>52</v>
      </c>
    </row>
    <row r="1612" spans="1:13" ht="16">
      <c r="A1612" s="101" t="str">
        <f t="shared" si="1"/>
        <v>OK</v>
      </c>
      <c r="B1612" s="48">
        <v>3100782</v>
      </c>
      <c r="C1612" s="49" t="s">
        <v>1748</v>
      </c>
      <c r="D1612" s="49" t="s">
        <v>7</v>
      </c>
      <c r="E1612" s="63">
        <v>0.08</v>
      </c>
      <c r="F1612" s="46">
        <v>0</v>
      </c>
      <c r="G1612" s="51">
        <v>43983</v>
      </c>
      <c r="H1612" s="46">
        <v>20</v>
      </c>
      <c r="I1612" s="53" t="str">
        <f ca="1"/>
        <v>老田 純輝</v>
      </c>
      <c r="J1612" s="113"/>
      <c r="K1612" s="49" t="s">
        <v>50</v>
      </c>
      <c r="M1612" s="107" t="s">
        <v>52</v>
      </c>
    </row>
    <row r="1613" spans="1:13" ht="16">
      <c r="A1613" s="101" t="str">
        <f t="shared" si="1"/>
        <v>OK</v>
      </c>
      <c r="B1613" s="75">
        <v>131771</v>
      </c>
      <c r="C1613" s="76" t="s">
        <v>1749</v>
      </c>
      <c r="D1613" s="49" t="s">
        <v>7</v>
      </c>
      <c r="E1613" s="49" t="s">
        <v>1427</v>
      </c>
      <c r="F1613" s="77">
        <v>0</v>
      </c>
      <c r="G1613" s="78">
        <v>43983</v>
      </c>
      <c r="H1613" s="77">
        <v>20</v>
      </c>
      <c r="I1613" s="53" t="str">
        <f ca="1"/>
        <v>小川 純</v>
      </c>
      <c r="J1613" s="113"/>
      <c r="K1613" s="49" t="s">
        <v>50</v>
      </c>
      <c r="M1613" s="107" t="s">
        <v>52</v>
      </c>
    </row>
    <row r="1614" spans="1:13" ht="16">
      <c r="A1614" s="101" t="str">
        <f t="shared" si="1"/>
        <v>OK</v>
      </c>
      <c r="B1614" s="75">
        <v>37810</v>
      </c>
      <c r="C1614" s="76" t="s">
        <v>1750</v>
      </c>
      <c r="D1614" s="49" t="s">
        <v>7</v>
      </c>
      <c r="E1614" s="48" t="s">
        <v>1427</v>
      </c>
      <c r="F1614" s="77">
        <v>2</v>
      </c>
      <c r="G1614" s="78">
        <v>43983</v>
      </c>
      <c r="H1614" s="77">
        <v>50</v>
      </c>
      <c r="I1614" s="53" t="str">
        <f ca="1"/>
        <v>退会済</v>
      </c>
      <c r="J1614" s="113"/>
      <c r="K1614" s="49" t="s">
        <v>50</v>
      </c>
      <c r="M1614" s="107" t="s">
        <v>52</v>
      </c>
    </row>
    <row r="1615" spans="1:13" ht="16">
      <c r="A1615" s="101" t="str">
        <f t="shared" si="1"/>
        <v>未記入あり</v>
      </c>
      <c r="B1615" s="75">
        <v>120754</v>
      </c>
      <c r="C1615" s="79" t="s">
        <v>1372</v>
      </c>
      <c r="D1615" s="49" t="s">
        <v>7</v>
      </c>
      <c r="E1615" s="64">
        <v>5.5E-2</v>
      </c>
      <c r="F1615" s="77">
        <v>26</v>
      </c>
      <c r="G1615" s="78">
        <v>43983</v>
      </c>
      <c r="H1615" s="46"/>
      <c r="I1615" s="53" t="str">
        <f ca="1"/>
        <v>小関 麻起</v>
      </c>
      <c r="J1615" s="113"/>
      <c r="K1615" s="49" t="s">
        <v>50</v>
      </c>
      <c r="M1615" s="107" t="s">
        <v>52</v>
      </c>
    </row>
    <row r="1616" spans="1:13" ht="16">
      <c r="A1616" s="101" t="str">
        <f t="shared" si="1"/>
        <v>未記入あり</v>
      </c>
      <c r="B1616" s="75">
        <v>122457</v>
      </c>
      <c r="C1616" s="79" t="s">
        <v>1375</v>
      </c>
      <c r="D1616" s="49" t="s">
        <v>7</v>
      </c>
      <c r="E1616" s="64">
        <v>5.5E-2</v>
      </c>
      <c r="F1616" s="77">
        <v>20</v>
      </c>
      <c r="G1616" s="78">
        <v>43983</v>
      </c>
      <c r="H1616" s="46"/>
      <c r="I1616" s="53" t="str">
        <f ca="1"/>
        <v>小関 麻起</v>
      </c>
      <c r="J1616" s="113"/>
      <c r="K1616" s="49" t="s">
        <v>50</v>
      </c>
      <c r="M1616" s="107" t="s">
        <v>52</v>
      </c>
    </row>
    <row r="1617" spans="1:13" ht="16">
      <c r="A1617" s="101" t="str">
        <f t="shared" si="1"/>
        <v>未記入あり</v>
      </c>
      <c r="B1617" s="75">
        <v>137573</v>
      </c>
      <c r="C1617" s="79" t="s">
        <v>1751</v>
      </c>
      <c r="D1617" s="49" t="s">
        <v>7</v>
      </c>
      <c r="E1617" s="64">
        <v>5.5E-2</v>
      </c>
      <c r="F1617" s="77">
        <v>0</v>
      </c>
      <c r="G1617" s="78">
        <v>43983</v>
      </c>
      <c r="H1617" s="46"/>
      <c r="I1617" s="53" t="str">
        <f ca="1"/>
        <v>小関 麻起</v>
      </c>
      <c r="J1617" s="113"/>
      <c r="K1617" s="49" t="s">
        <v>50</v>
      </c>
      <c r="M1617" s="107" t="s">
        <v>52</v>
      </c>
    </row>
    <row r="1618" spans="1:13" ht="16">
      <c r="A1618" s="101" t="str">
        <f t="shared" si="1"/>
        <v>-</v>
      </c>
      <c r="B1618" s="48"/>
      <c r="C1618" s="53"/>
      <c r="D1618" s="49"/>
      <c r="E1618" s="71"/>
      <c r="F1618" s="46"/>
      <c r="G1618" s="72"/>
      <c r="H1618" s="46"/>
      <c r="I1618" s="53" t="str">
        <f ca="1"/>
        <v>退会済</v>
      </c>
      <c r="J1618" s="113"/>
      <c r="K1618" s="49" t="s">
        <v>50</v>
      </c>
      <c r="M1618" s="107" t="s">
        <v>52</v>
      </c>
    </row>
    <row r="1619" spans="1:13" ht="16">
      <c r="A1619" s="101" t="str">
        <f t="shared" si="1"/>
        <v>-</v>
      </c>
      <c r="B1619" s="48"/>
      <c r="C1619" s="53"/>
      <c r="D1619" s="49"/>
      <c r="E1619" s="71"/>
      <c r="F1619" s="46"/>
      <c r="G1619" s="72"/>
      <c r="H1619" s="46"/>
      <c r="I1619" s="53" t="str">
        <f ca="1"/>
        <v>退会済</v>
      </c>
      <c r="J1619" s="113"/>
      <c r="K1619" s="49" t="s">
        <v>50</v>
      </c>
      <c r="M1619" s="107" t="s">
        <v>52</v>
      </c>
    </row>
    <row r="1620" spans="1:13" ht="16">
      <c r="A1620" s="101" t="str">
        <f t="shared" si="1"/>
        <v>-</v>
      </c>
      <c r="B1620" s="48"/>
      <c r="C1620" s="53"/>
      <c r="D1620" s="49"/>
      <c r="E1620" s="71"/>
      <c r="F1620" s="46"/>
      <c r="G1620" s="72"/>
      <c r="H1620" s="46"/>
      <c r="I1620" s="53" t="str">
        <f ca="1"/>
        <v>退会済</v>
      </c>
      <c r="J1620" s="113"/>
      <c r="K1620" s="49" t="s">
        <v>50</v>
      </c>
      <c r="M1620" s="107" t="s">
        <v>52</v>
      </c>
    </row>
    <row r="1621" spans="1:13" ht="16">
      <c r="A1621" s="101" t="str">
        <f t="shared" si="1"/>
        <v>-</v>
      </c>
      <c r="B1621" s="48"/>
      <c r="C1621" s="53"/>
      <c r="D1621" s="49"/>
      <c r="E1621" s="71"/>
      <c r="F1621" s="46"/>
      <c r="G1621" s="72"/>
      <c r="H1621" s="46"/>
      <c r="I1621" s="53" t="str">
        <f ca="1"/>
        <v>退会済</v>
      </c>
      <c r="J1621" s="113"/>
      <c r="K1621" s="49" t="s">
        <v>50</v>
      </c>
      <c r="M1621" s="107" t="s">
        <v>52</v>
      </c>
    </row>
    <row r="1622" spans="1:13" ht="16">
      <c r="A1622" s="101" t="str">
        <f t="shared" si="1"/>
        <v>-</v>
      </c>
      <c r="B1622" s="48"/>
      <c r="C1622" s="53"/>
      <c r="D1622" s="49"/>
      <c r="E1622" s="71"/>
      <c r="F1622" s="46"/>
      <c r="G1622" s="72"/>
      <c r="H1622" s="46"/>
      <c r="I1622" s="53" t="str">
        <f ca="1"/>
        <v>退会済</v>
      </c>
      <c r="J1622" s="113"/>
      <c r="K1622" s="49" t="s">
        <v>50</v>
      </c>
      <c r="M1622" s="107" t="s">
        <v>52</v>
      </c>
    </row>
    <row r="1623" spans="1:13" ht="16">
      <c r="A1623" s="101" t="str">
        <f t="shared" si="1"/>
        <v>-</v>
      </c>
      <c r="B1623" s="48"/>
      <c r="C1623" s="53"/>
      <c r="D1623" s="49"/>
      <c r="E1623" s="71"/>
      <c r="F1623" s="46"/>
      <c r="G1623" s="72"/>
      <c r="H1623" s="46"/>
      <c r="I1623" s="53" t="str">
        <f ca="1"/>
        <v>退会済</v>
      </c>
      <c r="J1623" s="113"/>
      <c r="K1623" s="49" t="s">
        <v>50</v>
      </c>
      <c r="M1623" s="107" t="s">
        <v>52</v>
      </c>
    </row>
    <row r="1624" spans="1:13" ht="16">
      <c r="A1624" s="101" t="str">
        <f t="shared" si="1"/>
        <v>-</v>
      </c>
      <c r="B1624" s="48"/>
      <c r="C1624" s="53"/>
      <c r="D1624" s="49"/>
      <c r="E1624" s="71"/>
      <c r="F1624" s="46"/>
      <c r="G1624" s="72"/>
      <c r="H1624" s="46"/>
      <c r="I1624" s="53" t="str">
        <f ca="1"/>
        <v>退会済</v>
      </c>
      <c r="J1624" s="113"/>
      <c r="K1624" s="49" t="s">
        <v>50</v>
      </c>
      <c r="M1624" s="107" t="s">
        <v>52</v>
      </c>
    </row>
    <row r="1625" spans="1:13" ht="16">
      <c r="A1625" s="101" t="str">
        <f t="shared" si="1"/>
        <v>-</v>
      </c>
      <c r="B1625" s="48"/>
      <c r="C1625" s="53"/>
      <c r="D1625" s="49"/>
      <c r="E1625" s="71"/>
      <c r="F1625" s="46"/>
      <c r="G1625" s="72"/>
      <c r="H1625" s="46"/>
      <c r="I1625" s="53" t="str">
        <f ca="1"/>
        <v>退会済</v>
      </c>
      <c r="J1625" s="113"/>
      <c r="K1625" s="49" t="s">
        <v>50</v>
      </c>
      <c r="M1625" s="107" t="s">
        <v>52</v>
      </c>
    </row>
    <row r="1626" spans="1:13" ht="16">
      <c r="A1626" s="101" t="str">
        <f t="shared" si="1"/>
        <v>-</v>
      </c>
      <c r="B1626" s="48"/>
      <c r="C1626" s="53"/>
      <c r="D1626" s="49"/>
      <c r="E1626" s="71"/>
      <c r="F1626" s="46"/>
      <c r="G1626" s="72"/>
      <c r="H1626" s="46"/>
      <c r="I1626" s="53" t="str">
        <f ca="1"/>
        <v>退会済</v>
      </c>
      <c r="J1626" s="113"/>
      <c r="K1626" s="49" t="s">
        <v>50</v>
      </c>
      <c r="M1626" s="107" t="s">
        <v>52</v>
      </c>
    </row>
    <row r="1627" spans="1:13" ht="16">
      <c r="A1627" s="101" t="str">
        <f t="shared" si="1"/>
        <v>-</v>
      </c>
      <c r="B1627" s="48"/>
      <c r="C1627" s="53"/>
      <c r="D1627" s="49"/>
      <c r="E1627" s="71"/>
      <c r="F1627" s="46"/>
      <c r="G1627" s="72"/>
      <c r="H1627" s="46"/>
      <c r="I1627" s="53" t="str">
        <f ca="1"/>
        <v>退会済</v>
      </c>
      <c r="J1627" s="113"/>
      <c r="K1627" s="49" t="s">
        <v>50</v>
      </c>
      <c r="M1627" s="107" t="s">
        <v>52</v>
      </c>
    </row>
    <row r="1628" spans="1:13" ht="16">
      <c r="A1628" s="101" t="str">
        <f t="shared" si="1"/>
        <v>-</v>
      </c>
      <c r="B1628" s="48"/>
      <c r="C1628" s="53"/>
      <c r="D1628" s="49"/>
      <c r="E1628" s="71"/>
      <c r="F1628" s="46"/>
      <c r="G1628" s="72"/>
      <c r="H1628" s="46"/>
      <c r="I1628" s="53" t="str">
        <f ca="1"/>
        <v>退会済</v>
      </c>
      <c r="J1628" s="113"/>
      <c r="K1628" s="49" t="s">
        <v>50</v>
      </c>
      <c r="M1628" s="107" t="s">
        <v>52</v>
      </c>
    </row>
    <row r="1629" spans="1:13" ht="16">
      <c r="A1629" s="101" t="str">
        <f t="shared" si="1"/>
        <v>-</v>
      </c>
      <c r="B1629" s="48"/>
      <c r="C1629" s="53"/>
      <c r="D1629" s="49"/>
      <c r="E1629" s="71"/>
      <c r="F1629" s="46"/>
      <c r="G1629" s="72"/>
      <c r="H1629" s="46"/>
      <c r="I1629" s="53" t="str">
        <f ca="1"/>
        <v>退会済</v>
      </c>
      <c r="J1629" s="113"/>
      <c r="K1629" s="49" t="s">
        <v>50</v>
      </c>
      <c r="M1629" s="107" t="s">
        <v>52</v>
      </c>
    </row>
    <row r="1630" spans="1:13" ht="16">
      <c r="A1630" s="101" t="str">
        <f t="shared" si="1"/>
        <v>-</v>
      </c>
      <c r="B1630" s="48"/>
      <c r="C1630" s="53"/>
      <c r="D1630" s="49"/>
      <c r="E1630" s="71"/>
      <c r="F1630" s="46"/>
      <c r="G1630" s="72"/>
      <c r="H1630" s="46"/>
      <c r="I1630" s="53" t="str">
        <f ca="1"/>
        <v>退会済</v>
      </c>
      <c r="J1630" s="113"/>
      <c r="K1630" s="49" t="s">
        <v>50</v>
      </c>
      <c r="M1630" s="107" t="s">
        <v>52</v>
      </c>
    </row>
    <row r="1631" spans="1:13" ht="16">
      <c r="A1631" s="101" t="str">
        <f t="shared" si="1"/>
        <v>-</v>
      </c>
      <c r="B1631" s="48"/>
      <c r="C1631" s="53"/>
      <c r="D1631" s="49"/>
      <c r="E1631" s="71"/>
      <c r="F1631" s="46"/>
      <c r="G1631" s="72"/>
      <c r="H1631" s="46"/>
      <c r="I1631" s="53" t="str">
        <f ca="1"/>
        <v>退会済</v>
      </c>
      <c r="J1631" s="113"/>
      <c r="K1631" s="49" t="s">
        <v>50</v>
      </c>
      <c r="M1631" s="107" t="s">
        <v>52</v>
      </c>
    </row>
    <row r="1632" spans="1:13" ht="16">
      <c r="A1632" s="101" t="str">
        <f t="shared" si="1"/>
        <v>-</v>
      </c>
      <c r="B1632" s="48"/>
      <c r="C1632" s="53"/>
      <c r="D1632" s="49"/>
      <c r="E1632" s="71"/>
      <c r="F1632" s="46"/>
      <c r="G1632" s="72"/>
      <c r="H1632" s="46"/>
      <c r="I1632" s="53" t="str">
        <f ca="1"/>
        <v>退会済</v>
      </c>
      <c r="J1632" s="113"/>
      <c r="K1632" s="49" t="s">
        <v>50</v>
      </c>
      <c r="M1632" s="107" t="s">
        <v>52</v>
      </c>
    </row>
    <row r="1633" spans="1:13" ht="16">
      <c r="A1633" s="101" t="str">
        <f t="shared" si="1"/>
        <v>-</v>
      </c>
      <c r="B1633" s="48"/>
      <c r="C1633" s="53"/>
      <c r="D1633" s="49"/>
      <c r="E1633" s="71"/>
      <c r="F1633" s="46"/>
      <c r="G1633" s="72"/>
      <c r="H1633" s="46"/>
      <c r="I1633" s="53" t="str">
        <f ca="1"/>
        <v>退会済</v>
      </c>
      <c r="J1633" s="113"/>
      <c r="K1633" s="49" t="s">
        <v>50</v>
      </c>
      <c r="M1633" s="107" t="s">
        <v>52</v>
      </c>
    </row>
    <row r="1634" spans="1:13" ht="16">
      <c r="A1634" s="101" t="str">
        <f t="shared" si="1"/>
        <v>-</v>
      </c>
      <c r="B1634" s="48"/>
      <c r="C1634" s="53"/>
      <c r="D1634" s="49"/>
      <c r="E1634" s="71"/>
      <c r="F1634" s="46"/>
      <c r="G1634" s="72"/>
      <c r="H1634" s="46"/>
      <c r="I1634" s="53" t="str">
        <f ca="1"/>
        <v>退会済</v>
      </c>
      <c r="J1634" s="113"/>
      <c r="K1634" s="49" t="s">
        <v>50</v>
      </c>
      <c r="M1634" s="107" t="s">
        <v>52</v>
      </c>
    </row>
    <row r="1635" spans="1:13" ht="16">
      <c r="A1635" s="101" t="str">
        <f t="shared" si="1"/>
        <v>-</v>
      </c>
      <c r="B1635" s="48"/>
      <c r="C1635" s="53"/>
      <c r="D1635" s="49"/>
      <c r="E1635" s="71"/>
      <c r="F1635" s="46"/>
      <c r="G1635" s="72"/>
      <c r="H1635" s="46"/>
      <c r="I1635" s="53" t="str">
        <f ca="1"/>
        <v>退会済</v>
      </c>
      <c r="J1635" s="113"/>
      <c r="K1635" s="49" t="s">
        <v>50</v>
      </c>
      <c r="M1635" s="107" t="s">
        <v>52</v>
      </c>
    </row>
    <row r="1636" spans="1:13" ht="16">
      <c r="A1636" s="101" t="str">
        <f t="shared" si="1"/>
        <v>-</v>
      </c>
      <c r="B1636" s="48"/>
      <c r="C1636" s="53"/>
      <c r="D1636" s="49"/>
      <c r="E1636" s="71"/>
      <c r="F1636" s="46"/>
      <c r="G1636" s="72"/>
      <c r="H1636" s="46"/>
      <c r="I1636" s="53" t="str">
        <f ca="1"/>
        <v>退会済</v>
      </c>
      <c r="J1636" s="113"/>
      <c r="K1636" s="49" t="s">
        <v>50</v>
      </c>
      <c r="M1636" s="107" t="s">
        <v>52</v>
      </c>
    </row>
    <row r="1637" spans="1:13" ht="16">
      <c r="A1637" s="101" t="str">
        <f t="shared" si="1"/>
        <v>-</v>
      </c>
      <c r="B1637" s="48"/>
      <c r="C1637" s="53"/>
      <c r="D1637" s="49"/>
      <c r="E1637" s="71"/>
      <c r="F1637" s="46"/>
      <c r="G1637" s="72"/>
      <c r="H1637" s="46"/>
      <c r="I1637" s="53" t="str">
        <f ca="1"/>
        <v>退会済</v>
      </c>
      <c r="J1637" s="113"/>
      <c r="K1637" s="49" t="s">
        <v>50</v>
      </c>
      <c r="M1637" s="107" t="s">
        <v>52</v>
      </c>
    </row>
    <row r="1638" spans="1:13" ht="16">
      <c r="A1638" s="101" t="str">
        <f t="shared" si="1"/>
        <v>-</v>
      </c>
      <c r="B1638" s="48"/>
      <c r="C1638" s="53"/>
      <c r="D1638" s="49"/>
      <c r="E1638" s="71"/>
      <c r="F1638" s="46"/>
      <c r="G1638" s="72"/>
      <c r="H1638" s="46"/>
      <c r="I1638" s="53" t="str">
        <f ca="1"/>
        <v>退会済</v>
      </c>
      <c r="J1638" s="113"/>
      <c r="K1638" s="49" t="s">
        <v>50</v>
      </c>
      <c r="M1638" s="107" t="s">
        <v>52</v>
      </c>
    </row>
    <row r="1639" spans="1:13" ht="16">
      <c r="A1639" s="101" t="str">
        <f t="shared" si="1"/>
        <v>-</v>
      </c>
      <c r="B1639" s="48"/>
      <c r="C1639" s="53"/>
      <c r="D1639" s="49"/>
      <c r="E1639" s="71"/>
      <c r="F1639" s="46"/>
      <c r="G1639" s="72"/>
      <c r="H1639" s="46"/>
      <c r="I1639" s="53" t="str">
        <f ca="1"/>
        <v>退会済</v>
      </c>
      <c r="J1639" s="113"/>
      <c r="K1639" s="49" t="s">
        <v>50</v>
      </c>
      <c r="M1639" s="107" t="s">
        <v>52</v>
      </c>
    </row>
    <row r="1640" spans="1:13" ht="16">
      <c r="A1640" s="101" t="str">
        <f t="shared" si="1"/>
        <v>-</v>
      </c>
      <c r="B1640" s="48"/>
      <c r="C1640" s="53"/>
      <c r="D1640" s="49"/>
      <c r="E1640" s="71"/>
      <c r="F1640" s="46"/>
      <c r="G1640" s="72"/>
      <c r="H1640" s="46"/>
      <c r="I1640" s="53" t="str">
        <f ca="1"/>
        <v>退会済</v>
      </c>
      <c r="J1640" s="113"/>
      <c r="K1640" s="49" t="s">
        <v>50</v>
      </c>
      <c r="M1640" s="107" t="s">
        <v>52</v>
      </c>
    </row>
    <row r="1641" spans="1:13" ht="16">
      <c r="A1641" s="101" t="str">
        <f t="shared" si="1"/>
        <v>-</v>
      </c>
      <c r="B1641" s="48"/>
      <c r="C1641" s="53"/>
      <c r="D1641" s="49"/>
      <c r="E1641" s="71"/>
      <c r="F1641" s="46"/>
      <c r="G1641" s="72"/>
      <c r="H1641" s="46"/>
      <c r="I1641" s="53" t="str">
        <f ca="1"/>
        <v>退会済</v>
      </c>
      <c r="J1641" s="113"/>
      <c r="K1641" s="49" t="s">
        <v>50</v>
      </c>
      <c r="M1641" s="107" t="s">
        <v>52</v>
      </c>
    </row>
    <row r="1642" spans="1:13" ht="16">
      <c r="A1642" s="101" t="str">
        <f t="shared" si="1"/>
        <v>-</v>
      </c>
      <c r="B1642" s="48"/>
      <c r="C1642" s="53"/>
      <c r="D1642" s="49"/>
      <c r="E1642" s="71"/>
      <c r="F1642" s="46"/>
      <c r="G1642" s="72"/>
      <c r="H1642" s="46"/>
      <c r="I1642" s="53" t="str">
        <f ca="1"/>
        <v>退会済</v>
      </c>
      <c r="J1642" s="113"/>
      <c r="K1642" s="49" t="s">
        <v>50</v>
      </c>
      <c r="M1642" s="107" t="s">
        <v>52</v>
      </c>
    </row>
    <row r="1643" spans="1:13" ht="16">
      <c r="A1643" s="101" t="str">
        <f t="shared" si="1"/>
        <v>-</v>
      </c>
      <c r="B1643" s="48"/>
      <c r="C1643" s="53"/>
      <c r="D1643" s="49"/>
      <c r="E1643" s="71"/>
      <c r="F1643" s="46"/>
      <c r="G1643" s="72"/>
      <c r="H1643" s="46"/>
      <c r="I1643" s="53" t="str">
        <f ca="1"/>
        <v>退会済</v>
      </c>
      <c r="J1643" s="113"/>
      <c r="K1643" s="49" t="s">
        <v>50</v>
      </c>
      <c r="M1643" s="107" t="s">
        <v>52</v>
      </c>
    </row>
    <row r="1644" spans="1:13" ht="16">
      <c r="A1644" s="101" t="str">
        <f t="shared" si="1"/>
        <v>-</v>
      </c>
      <c r="B1644" s="48"/>
      <c r="C1644" s="53"/>
      <c r="D1644" s="49"/>
      <c r="E1644" s="71"/>
      <c r="F1644" s="46"/>
      <c r="G1644" s="72"/>
      <c r="H1644" s="46"/>
      <c r="I1644" s="53" t="str">
        <f ca="1"/>
        <v>退会済</v>
      </c>
      <c r="J1644" s="113"/>
      <c r="K1644" s="49" t="s">
        <v>50</v>
      </c>
      <c r="M1644" s="107" t="s">
        <v>52</v>
      </c>
    </row>
    <row r="1645" spans="1:13" ht="16">
      <c r="A1645" s="101" t="str">
        <f t="shared" si="1"/>
        <v>-</v>
      </c>
      <c r="B1645" s="48"/>
      <c r="C1645" s="53"/>
      <c r="D1645" s="49"/>
      <c r="E1645" s="71"/>
      <c r="F1645" s="46"/>
      <c r="G1645" s="72"/>
      <c r="H1645" s="46"/>
      <c r="I1645" s="53" t="str">
        <f ca="1"/>
        <v>退会済</v>
      </c>
      <c r="J1645" s="113"/>
      <c r="K1645" s="49" t="s">
        <v>50</v>
      </c>
      <c r="M1645" s="107" t="s">
        <v>52</v>
      </c>
    </row>
    <row r="1646" spans="1:13" ht="16">
      <c r="A1646" s="101" t="str">
        <f t="shared" si="1"/>
        <v>-</v>
      </c>
      <c r="B1646" s="48"/>
      <c r="C1646" s="53"/>
      <c r="D1646" s="49"/>
      <c r="E1646" s="71"/>
      <c r="F1646" s="46"/>
      <c r="G1646" s="72"/>
      <c r="H1646" s="46"/>
      <c r="I1646" s="53" t="str">
        <f ca="1"/>
        <v>退会済</v>
      </c>
      <c r="J1646" s="113"/>
      <c r="K1646" s="49" t="s">
        <v>50</v>
      </c>
      <c r="M1646" s="107" t="s">
        <v>52</v>
      </c>
    </row>
    <row r="1647" spans="1:13" ht="16">
      <c r="A1647" s="101" t="str">
        <f t="shared" si="1"/>
        <v>-</v>
      </c>
      <c r="B1647" s="48"/>
      <c r="C1647" s="53"/>
      <c r="D1647" s="49"/>
      <c r="E1647" s="71"/>
      <c r="F1647" s="46"/>
      <c r="G1647" s="72"/>
      <c r="H1647" s="46"/>
      <c r="I1647" s="53" t="str">
        <f ca="1"/>
        <v>退会済</v>
      </c>
      <c r="J1647" s="113"/>
      <c r="K1647" s="49" t="s">
        <v>50</v>
      </c>
      <c r="M1647" s="107" t="s">
        <v>52</v>
      </c>
    </row>
    <row r="1648" spans="1:13" ht="16">
      <c r="A1648" s="101" t="str">
        <f t="shared" si="1"/>
        <v>-</v>
      </c>
      <c r="B1648" s="48"/>
      <c r="C1648" s="53"/>
      <c r="D1648" s="49"/>
      <c r="E1648" s="71"/>
      <c r="F1648" s="46"/>
      <c r="G1648" s="72"/>
      <c r="H1648" s="46"/>
      <c r="I1648" s="53" t="str">
        <f ca="1"/>
        <v>退会済</v>
      </c>
      <c r="J1648" s="113"/>
      <c r="K1648" s="49" t="s">
        <v>50</v>
      </c>
      <c r="M1648" s="107" t="s">
        <v>52</v>
      </c>
    </row>
    <row r="1649" spans="1:13" ht="16">
      <c r="A1649" s="101" t="str">
        <f t="shared" si="1"/>
        <v>-</v>
      </c>
      <c r="B1649" s="48"/>
      <c r="C1649" s="53"/>
      <c r="D1649" s="49"/>
      <c r="E1649" s="71"/>
      <c r="F1649" s="46"/>
      <c r="G1649" s="72"/>
      <c r="H1649" s="46"/>
      <c r="I1649" s="53" t="str">
        <f ca="1"/>
        <v>退会済</v>
      </c>
      <c r="J1649" s="113"/>
      <c r="K1649" s="49" t="s">
        <v>50</v>
      </c>
      <c r="M1649" s="107" t="s">
        <v>52</v>
      </c>
    </row>
    <row r="1650" spans="1:13" ht="16">
      <c r="A1650" s="101" t="str">
        <f t="shared" si="1"/>
        <v>-</v>
      </c>
      <c r="B1650" s="48"/>
      <c r="C1650" s="53"/>
      <c r="D1650" s="49"/>
      <c r="E1650" s="71"/>
      <c r="F1650" s="46"/>
      <c r="G1650" s="72"/>
      <c r="H1650" s="46"/>
      <c r="I1650" s="53" t="str">
        <f ca="1"/>
        <v>退会済</v>
      </c>
      <c r="J1650" s="113"/>
      <c r="K1650" s="49" t="s">
        <v>50</v>
      </c>
      <c r="M1650" s="107" t="s">
        <v>52</v>
      </c>
    </row>
    <row r="1651" spans="1:13" ht="16">
      <c r="A1651" s="101" t="str">
        <f t="shared" si="1"/>
        <v>-</v>
      </c>
      <c r="B1651" s="48"/>
      <c r="C1651" s="53"/>
      <c r="D1651" s="49"/>
      <c r="E1651" s="71"/>
      <c r="F1651" s="46"/>
      <c r="G1651" s="72"/>
      <c r="H1651" s="46"/>
      <c r="I1651" s="53" t="str">
        <f ca="1"/>
        <v>退会済</v>
      </c>
      <c r="J1651" s="113"/>
      <c r="K1651" s="49" t="s">
        <v>50</v>
      </c>
      <c r="M1651" s="107" t="s">
        <v>52</v>
      </c>
    </row>
    <row r="1652" spans="1:13" ht="16">
      <c r="A1652" s="101" t="str">
        <f t="shared" si="1"/>
        <v>-</v>
      </c>
      <c r="B1652" s="48"/>
      <c r="C1652" s="53"/>
      <c r="D1652" s="49"/>
      <c r="E1652" s="71"/>
      <c r="F1652" s="46"/>
      <c r="G1652" s="72"/>
      <c r="H1652" s="46"/>
      <c r="I1652" s="53" t="str">
        <f ca="1"/>
        <v>退会済</v>
      </c>
      <c r="J1652" s="113"/>
      <c r="K1652" s="49" t="s">
        <v>50</v>
      </c>
      <c r="M1652" s="107" t="s">
        <v>52</v>
      </c>
    </row>
    <row r="1653" spans="1:13" ht="16">
      <c r="A1653" s="101" t="str">
        <f t="shared" si="1"/>
        <v>-</v>
      </c>
      <c r="B1653" s="48"/>
      <c r="C1653" s="53"/>
      <c r="D1653" s="49"/>
      <c r="E1653" s="71"/>
      <c r="F1653" s="46"/>
      <c r="G1653" s="72"/>
      <c r="H1653" s="46"/>
      <c r="I1653" s="53" t="str">
        <f ca="1"/>
        <v>退会済</v>
      </c>
      <c r="J1653" s="113"/>
      <c r="K1653" s="49" t="s">
        <v>50</v>
      </c>
      <c r="M1653" s="107" t="s">
        <v>52</v>
      </c>
    </row>
    <row r="1654" spans="1:13" ht="16">
      <c r="A1654" s="101" t="str">
        <f t="shared" si="1"/>
        <v>-</v>
      </c>
      <c r="B1654" s="48"/>
      <c r="C1654" s="53"/>
      <c r="D1654" s="49"/>
      <c r="E1654" s="71"/>
      <c r="F1654" s="46"/>
      <c r="G1654" s="72"/>
      <c r="H1654" s="46"/>
      <c r="I1654" s="53" t="str">
        <f ca="1"/>
        <v>退会済</v>
      </c>
      <c r="J1654" s="113"/>
      <c r="K1654" s="49" t="s">
        <v>50</v>
      </c>
      <c r="M1654" s="107" t="s">
        <v>52</v>
      </c>
    </row>
    <row r="1655" spans="1:13" ht="16">
      <c r="A1655" s="101" t="str">
        <f t="shared" si="1"/>
        <v>-</v>
      </c>
      <c r="B1655" s="48"/>
      <c r="C1655" s="53"/>
      <c r="D1655" s="49"/>
      <c r="E1655" s="71"/>
      <c r="F1655" s="46"/>
      <c r="G1655" s="72"/>
      <c r="H1655" s="46"/>
      <c r="I1655" s="53" t="str">
        <f ca="1"/>
        <v>退会済</v>
      </c>
      <c r="J1655" s="113"/>
      <c r="K1655" s="49" t="s">
        <v>50</v>
      </c>
      <c r="M1655" s="107" t="s">
        <v>52</v>
      </c>
    </row>
    <row r="1656" spans="1:13" ht="16">
      <c r="A1656" s="101" t="str">
        <f t="shared" si="1"/>
        <v>-</v>
      </c>
      <c r="B1656" s="48"/>
      <c r="C1656" s="53"/>
      <c r="D1656" s="49"/>
      <c r="E1656" s="71"/>
      <c r="F1656" s="46"/>
      <c r="G1656" s="72"/>
      <c r="H1656" s="46"/>
      <c r="I1656" s="53" t="str">
        <f ca="1"/>
        <v>退会済</v>
      </c>
      <c r="J1656" s="113"/>
      <c r="K1656" s="49" t="s">
        <v>50</v>
      </c>
      <c r="M1656" s="107" t="s">
        <v>52</v>
      </c>
    </row>
    <row r="1657" spans="1:13" ht="16">
      <c r="A1657" s="101" t="str">
        <f t="shared" si="1"/>
        <v>-</v>
      </c>
      <c r="B1657" s="48"/>
      <c r="C1657" s="53"/>
      <c r="D1657" s="49"/>
      <c r="E1657" s="71"/>
      <c r="F1657" s="46"/>
      <c r="G1657" s="72"/>
      <c r="H1657" s="46"/>
      <c r="I1657" s="53" t="str">
        <f ca="1"/>
        <v>退会済</v>
      </c>
      <c r="J1657" s="113"/>
      <c r="K1657" s="49" t="s">
        <v>50</v>
      </c>
      <c r="M1657" s="107" t="s">
        <v>52</v>
      </c>
    </row>
    <row r="1658" spans="1:13" ht="16">
      <c r="A1658" s="101" t="str">
        <f t="shared" si="1"/>
        <v>-</v>
      </c>
      <c r="B1658" s="48"/>
      <c r="C1658" s="53"/>
      <c r="D1658" s="49"/>
      <c r="E1658" s="71"/>
      <c r="F1658" s="46"/>
      <c r="G1658" s="72"/>
      <c r="H1658" s="46"/>
      <c r="I1658" s="53" t="str">
        <f ca="1"/>
        <v>退会済</v>
      </c>
      <c r="J1658" s="113"/>
      <c r="K1658" s="49" t="s">
        <v>50</v>
      </c>
      <c r="M1658" s="107" t="s">
        <v>52</v>
      </c>
    </row>
    <row r="1659" spans="1:13" ht="16">
      <c r="A1659" s="101" t="str">
        <f t="shared" si="1"/>
        <v>-</v>
      </c>
      <c r="B1659" s="48"/>
      <c r="C1659" s="53"/>
      <c r="D1659" s="49"/>
      <c r="E1659" s="71"/>
      <c r="F1659" s="46"/>
      <c r="G1659" s="72"/>
      <c r="H1659" s="46"/>
      <c r="I1659" s="53" t="str">
        <f ca="1"/>
        <v>退会済</v>
      </c>
      <c r="J1659" s="113"/>
      <c r="K1659" s="49" t="s">
        <v>50</v>
      </c>
      <c r="M1659" s="107" t="s">
        <v>52</v>
      </c>
    </row>
    <row r="1660" spans="1:13" ht="16">
      <c r="A1660" s="101" t="str">
        <f t="shared" si="1"/>
        <v>-</v>
      </c>
      <c r="B1660" s="48"/>
      <c r="C1660" s="53"/>
      <c r="D1660" s="49"/>
      <c r="E1660" s="71"/>
      <c r="F1660" s="46"/>
      <c r="G1660" s="72"/>
      <c r="H1660" s="46"/>
      <c r="I1660" s="53" t="str">
        <f ca="1"/>
        <v>退会済</v>
      </c>
      <c r="J1660" s="113"/>
      <c r="K1660" s="49" t="s">
        <v>50</v>
      </c>
      <c r="M1660" s="107" t="s">
        <v>52</v>
      </c>
    </row>
    <row r="1661" spans="1:13" ht="16">
      <c r="A1661" s="101" t="str">
        <f t="shared" si="1"/>
        <v>-</v>
      </c>
      <c r="B1661" s="48"/>
      <c r="C1661" s="53"/>
      <c r="D1661" s="49"/>
      <c r="E1661" s="71"/>
      <c r="F1661" s="46"/>
      <c r="G1661" s="72"/>
      <c r="H1661" s="46"/>
      <c r="I1661" s="53" t="str">
        <f ca="1"/>
        <v>退会済</v>
      </c>
      <c r="J1661" s="113"/>
      <c r="K1661" s="49" t="s">
        <v>50</v>
      </c>
      <c r="M1661" s="107" t="s">
        <v>52</v>
      </c>
    </row>
    <row r="1662" spans="1:13" ht="16">
      <c r="A1662" s="101" t="str">
        <f t="shared" si="1"/>
        <v>-</v>
      </c>
      <c r="B1662" s="48"/>
      <c r="C1662" s="53"/>
      <c r="D1662" s="49"/>
      <c r="E1662" s="71"/>
      <c r="F1662" s="46"/>
      <c r="G1662" s="72"/>
      <c r="H1662" s="46"/>
      <c r="I1662" s="53" t="str">
        <f ca="1"/>
        <v>退会済</v>
      </c>
      <c r="J1662" s="113"/>
      <c r="K1662" s="49" t="s">
        <v>50</v>
      </c>
      <c r="M1662" s="107" t="s">
        <v>52</v>
      </c>
    </row>
    <row r="1663" spans="1:13" ht="16">
      <c r="A1663" s="101" t="str">
        <f t="shared" si="1"/>
        <v>-</v>
      </c>
      <c r="B1663" s="48"/>
      <c r="C1663" s="53"/>
      <c r="D1663" s="49"/>
      <c r="E1663" s="71"/>
      <c r="F1663" s="46"/>
      <c r="G1663" s="72"/>
      <c r="H1663" s="46"/>
      <c r="I1663" s="53" t="str">
        <f ca="1"/>
        <v>退会済</v>
      </c>
      <c r="J1663" s="113"/>
      <c r="K1663" s="49" t="s">
        <v>50</v>
      </c>
      <c r="M1663" s="107" t="s">
        <v>52</v>
      </c>
    </row>
    <row r="1664" spans="1:13" ht="16">
      <c r="A1664" s="101" t="str">
        <f t="shared" si="1"/>
        <v>-</v>
      </c>
      <c r="B1664" s="48"/>
      <c r="C1664" s="53"/>
      <c r="D1664" s="49"/>
      <c r="E1664" s="71"/>
      <c r="F1664" s="46"/>
      <c r="G1664" s="72"/>
      <c r="H1664" s="46"/>
      <c r="I1664" s="53" t="str">
        <f ca="1"/>
        <v>退会済</v>
      </c>
      <c r="J1664" s="113"/>
      <c r="K1664" s="49" t="s">
        <v>50</v>
      </c>
      <c r="M1664" s="107" t="s">
        <v>52</v>
      </c>
    </row>
    <row r="1665" spans="1:13" ht="16">
      <c r="A1665" s="101" t="str">
        <f t="shared" si="1"/>
        <v>-</v>
      </c>
      <c r="B1665" s="48"/>
      <c r="C1665" s="53"/>
      <c r="D1665" s="49"/>
      <c r="E1665" s="71"/>
      <c r="F1665" s="46"/>
      <c r="G1665" s="72"/>
      <c r="H1665" s="46"/>
      <c r="I1665" s="53" t="str">
        <f ca="1"/>
        <v>退会済</v>
      </c>
      <c r="J1665" s="113"/>
      <c r="K1665" s="49" t="s">
        <v>50</v>
      </c>
      <c r="M1665" s="107" t="s">
        <v>52</v>
      </c>
    </row>
    <row r="1666" spans="1:13" ht="16">
      <c r="A1666" s="101" t="str">
        <f t="shared" si="1"/>
        <v>-</v>
      </c>
      <c r="B1666" s="48"/>
      <c r="C1666" s="53"/>
      <c r="D1666" s="49"/>
      <c r="E1666" s="71"/>
      <c r="F1666" s="46"/>
      <c r="G1666" s="72"/>
      <c r="H1666" s="46"/>
      <c r="I1666" s="53" t="str">
        <f ca="1"/>
        <v>退会済</v>
      </c>
      <c r="J1666" s="113"/>
      <c r="K1666" s="49" t="s">
        <v>50</v>
      </c>
      <c r="M1666" s="107" t="s">
        <v>52</v>
      </c>
    </row>
    <row r="1667" spans="1:13" ht="16">
      <c r="A1667" s="101" t="str">
        <f t="shared" si="1"/>
        <v>-</v>
      </c>
      <c r="B1667" s="48"/>
      <c r="C1667" s="53"/>
      <c r="D1667" s="49"/>
      <c r="E1667" s="71"/>
      <c r="F1667" s="46"/>
      <c r="G1667" s="72"/>
      <c r="H1667" s="46"/>
      <c r="I1667" s="53" t="str">
        <f ca="1"/>
        <v>退会済</v>
      </c>
      <c r="J1667" s="113"/>
      <c r="K1667" s="49" t="s">
        <v>50</v>
      </c>
      <c r="M1667" s="107" t="s">
        <v>52</v>
      </c>
    </row>
    <row r="1668" spans="1:13" ht="16">
      <c r="A1668" s="101" t="str">
        <f t="shared" si="1"/>
        <v>-</v>
      </c>
      <c r="B1668" s="48"/>
      <c r="C1668" s="53"/>
      <c r="D1668" s="49"/>
      <c r="E1668" s="71"/>
      <c r="F1668" s="46"/>
      <c r="G1668" s="72"/>
      <c r="H1668" s="46"/>
      <c r="I1668" s="53" t="str">
        <f ca="1"/>
        <v>退会済</v>
      </c>
      <c r="J1668" s="113"/>
      <c r="K1668" s="49" t="s">
        <v>50</v>
      </c>
      <c r="M1668" s="107" t="s">
        <v>52</v>
      </c>
    </row>
    <row r="1669" spans="1:13" ht="16">
      <c r="A1669" s="101" t="str">
        <f t="shared" si="1"/>
        <v>-</v>
      </c>
      <c r="B1669" s="48"/>
      <c r="C1669" s="53"/>
      <c r="D1669" s="49"/>
      <c r="E1669" s="71"/>
      <c r="F1669" s="46"/>
      <c r="G1669" s="72"/>
      <c r="H1669" s="46"/>
      <c r="I1669" s="53" t="str">
        <f ca="1"/>
        <v>退会済</v>
      </c>
      <c r="J1669" s="113"/>
      <c r="K1669" s="49" t="s">
        <v>50</v>
      </c>
      <c r="M1669" s="107" t="s">
        <v>52</v>
      </c>
    </row>
    <row r="1670" spans="1:13" ht="16">
      <c r="A1670" s="101" t="str">
        <f t="shared" si="1"/>
        <v>-</v>
      </c>
      <c r="B1670" s="48"/>
      <c r="C1670" s="53"/>
      <c r="D1670" s="49"/>
      <c r="E1670" s="71"/>
      <c r="F1670" s="46"/>
      <c r="G1670" s="72"/>
      <c r="H1670" s="46"/>
      <c r="I1670" s="53" t="str">
        <f ca="1"/>
        <v>退会済</v>
      </c>
      <c r="J1670" s="113"/>
      <c r="K1670" s="49" t="s">
        <v>50</v>
      </c>
      <c r="M1670" s="107" t="s">
        <v>52</v>
      </c>
    </row>
    <row r="1671" spans="1:13" ht="16">
      <c r="A1671" s="101" t="str">
        <f t="shared" si="1"/>
        <v>-</v>
      </c>
      <c r="B1671" s="48"/>
      <c r="C1671" s="53"/>
      <c r="D1671" s="49"/>
      <c r="E1671" s="71"/>
      <c r="F1671" s="46"/>
      <c r="G1671" s="72"/>
      <c r="H1671" s="46"/>
      <c r="I1671" s="53" t="str">
        <f ca="1"/>
        <v>退会済</v>
      </c>
      <c r="J1671" s="113"/>
      <c r="K1671" s="49" t="s">
        <v>50</v>
      </c>
      <c r="M1671" s="107" t="s">
        <v>52</v>
      </c>
    </row>
    <row r="1672" spans="1:13" ht="16">
      <c r="A1672" s="101" t="str">
        <f t="shared" si="1"/>
        <v>-</v>
      </c>
      <c r="B1672" s="48"/>
      <c r="C1672" s="53"/>
      <c r="D1672" s="49"/>
      <c r="E1672" s="71"/>
      <c r="F1672" s="46"/>
      <c r="G1672" s="72"/>
      <c r="H1672" s="46"/>
      <c r="I1672" s="53" t="str">
        <f ca="1"/>
        <v>退会済</v>
      </c>
      <c r="J1672" s="113"/>
      <c r="K1672" s="49" t="s">
        <v>50</v>
      </c>
      <c r="M1672" s="107" t="s">
        <v>52</v>
      </c>
    </row>
    <row r="1673" spans="1:13" ht="16">
      <c r="A1673" s="101" t="str">
        <f t="shared" si="1"/>
        <v>-</v>
      </c>
      <c r="B1673" s="48"/>
      <c r="C1673" s="53"/>
      <c r="D1673" s="49"/>
      <c r="E1673" s="71"/>
      <c r="F1673" s="46"/>
      <c r="G1673" s="72"/>
      <c r="H1673" s="46"/>
      <c r="I1673" s="53" t="str">
        <f ca="1"/>
        <v>退会済</v>
      </c>
      <c r="J1673" s="113"/>
      <c r="K1673" s="49" t="s">
        <v>50</v>
      </c>
      <c r="M1673" s="107" t="s">
        <v>52</v>
      </c>
    </row>
    <row r="1674" spans="1:13" ht="16">
      <c r="A1674" s="101" t="str">
        <f t="shared" si="1"/>
        <v>-</v>
      </c>
      <c r="B1674" s="48"/>
      <c r="C1674" s="53"/>
      <c r="D1674" s="49"/>
      <c r="E1674" s="71"/>
      <c r="F1674" s="46"/>
      <c r="G1674" s="72"/>
      <c r="H1674" s="46"/>
      <c r="I1674" s="53" t="str">
        <f ca="1"/>
        <v>退会済</v>
      </c>
      <c r="J1674" s="113"/>
      <c r="K1674" s="49" t="s">
        <v>50</v>
      </c>
      <c r="M1674" s="107" t="s">
        <v>52</v>
      </c>
    </row>
    <row r="1675" spans="1:13" ht="16">
      <c r="A1675" s="101" t="str">
        <f t="shared" si="1"/>
        <v>-</v>
      </c>
      <c r="B1675" s="48"/>
      <c r="C1675" s="53"/>
      <c r="D1675" s="49"/>
      <c r="E1675" s="71"/>
      <c r="F1675" s="46"/>
      <c r="G1675" s="72"/>
      <c r="H1675" s="46"/>
      <c r="I1675" s="53" t="str">
        <f ca="1"/>
        <v>退会済</v>
      </c>
      <c r="J1675" s="113"/>
      <c r="K1675" s="49" t="s">
        <v>50</v>
      </c>
      <c r="M1675" s="107" t="s">
        <v>52</v>
      </c>
    </row>
    <row r="1676" spans="1:13" ht="16">
      <c r="A1676" s="101" t="str">
        <f t="shared" si="1"/>
        <v>-</v>
      </c>
      <c r="B1676" s="48"/>
      <c r="C1676" s="53"/>
      <c r="D1676" s="49"/>
      <c r="E1676" s="71"/>
      <c r="F1676" s="46"/>
      <c r="G1676" s="72"/>
      <c r="H1676" s="46"/>
      <c r="I1676" s="53" t="str">
        <f ca="1"/>
        <v>退会済</v>
      </c>
      <c r="J1676" s="113"/>
      <c r="K1676" s="49" t="s">
        <v>50</v>
      </c>
      <c r="M1676" s="107" t="s">
        <v>52</v>
      </c>
    </row>
    <row r="1677" spans="1:13" ht="16">
      <c r="A1677" s="101" t="str">
        <f t="shared" si="1"/>
        <v>-</v>
      </c>
      <c r="B1677" s="48"/>
      <c r="C1677" s="53"/>
      <c r="D1677" s="49"/>
      <c r="E1677" s="71"/>
      <c r="F1677" s="46"/>
      <c r="G1677" s="72"/>
      <c r="H1677" s="46"/>
      <c r="I1677" s="53" t="str">
        <f ca="1"/>
        <v>退会済</v>
      </c>
      <c r="J1677" s="113"/>
      <c r="K1677" s="49" t="s">
        <v>50</v>
      </c>
      <c r="M1677" s="107" t="s">
        <v>52</v>
      </c>
    </row>
    <row r="1678" spans="1:13" ht="16">
      <c r="A1678" s="101" t="str">
        <f t="shared" si="1"/>
        <v>-</v>
      </c>
      <c r="B1678" s="48"/>
      <c r="C1678" s="53"/>
      <c r="D1678" s="49"/>
      <c r="E1678" s="71"/>
      <c r="F1678" s="46"/>
      <c r="G1678" s="72"/>
      <c r="H1678" s="46"/>
      <c r="I1678" s="53" t="str">
        <f ca="1"/>
        <v>退会済</v>
      </c>
      <c r="J1678" s="113"/>
      <c r="K1678" s="49" t="s">
        <v>50</v>
      </c>
      <c r="M1678" s="107" t="s">
        <v>52</v>
      </c>
    </row>
    <row r="1679" spans="1:13" ht="16">
      <c r="A1679" s="101" t="str">
        <f t="shared" si="1"/>
        <v>-</v>
      </c>
      <c r="B1679" s="48"/>
      <c r="C1679" s="53"/>
      <c r="D1679" s="49"/>
      <c r="E1679" s="71"/>
      <c r="F1679" s="46"/>
      <c r="G1679" s="72"/>
      <c r="H1679" s="46"/>
      <c r="I1679" s="53" t="str">
        <f ca="1"/>
        <v>退会済</v>
      </c>
      <c r="J1679" s="113"/>
      <c r="K1679" s="49" t="s">
        <v>50</v>
      </c>
      <c r="M1679" s="107" t="s">
        <v>52</v>
      </c>
    </row>
    <row r="1680" spans="1:13" ht="16">
      <c r="A1680" s="101" t="str">
        <f t="shared" si="1"/>
        <v>-</v>
      </c>
      <c r="B1680" s="48"/>
      <c r="C1680" s="53"/>
      <c r="D1680" s="49"/>
      <c r="E1680" s="71"/>
      <c r="F1680" s="46"/>
      <c r="G1680" s="72"/>
      <c r="H1680" s="46"/>
      <c r="I1680" s="53" t="str">
        <f ca="1"/>
        <v>退会済</v>
      </c>
      <c r="J1680" s="113"/>
      <c r="K1680" s="49" t="s">
        <v>50</v>
      </c>
      <c r="M1680" s="107" t="s">
        <v>52</v>
      </c>
    </row>
    <row r="1681" spans="1:13" ht="16">
      <c r="A1681" s="101" t="str">
        <f t="shared" si="1"/>
        <v>-</v>
      </c>
      <c r="B1681" s="48"/>
      <c r="C1681" s="53"/>
      <c r="D1681" s="49"/>
      <c r="E1681" s="71"/>
      <c r="F1681" s="46"/>
      <c r="G1681" s="72"/>
      <c r="H1681" s="46"/>
      <c r="I1681" s="53" t="str">
        <f ca="1"/>
        <v>退会済</v>
      </c>
      <c r="J1681" s="113"/>
      <c r="K1681" s="49" t="s">
        <v>50</v>
      </c>
      <c r="M1681" s="107" t="s">
        <v>52</v>
      </c>
    </row>
    <row r="1682" spans="1:13" ht="16">
      <c r="A1682" s="101" t="str">
        <f t="shared" si="1"/>
        <v>-</v>
      </c>
      <c r="B1682" s="48"/>
      <c r="C1682" s="53"/>
      <c r="D1682" s="49"/>
      <c r="E1682" s="71"/>
      <c r="F1682" s="46"/>
      <c r="G1682" s="72"/>
      <c r="H1682" s="46"/>
      <c r="I1682" s="53" t="str">
        <f ca="1"/>
        <v>退会済</v>
      </c>
      <c r="J1682" s="113"/>
      <c r="K1682" s="49" t="s">
        <v>50</v>
      </c>
      <c r="M1682" s="107" t="s">
        <v>52</v>
      </c>
    </row>
    <row r="1683" spans="1:13" ht="16">
      <c r="A1683" s="101" t="str">
        <f t="shared" si="1"/>
        <v>-</v>
      </c>
      <c r="B1683" s="48"/>
      <c r="C1683" s="53"/>
      <c r="D1683" s="49"/>
      <c r="E1683" s="71"/>
      <c r="F1683" s="46"/>
      <c r="G1683" s="72"/>
      <c r="H1683" s="46"/>
      <c r="I1683" s="53" t="str">
        <f ca="1"/>
        <v>退会済</v>
      </c>
      <c r="J1683" s="113"/>
      <c r="K1683" s="49" t="s">
        <v>50</v>
      </c>
      <c r="M1683" s="107" t="s">
        <v>52</v>
      </c>
    </row>
    <row r="1684" spans="1:13" ht="16">
      <c r="A1684" s="101" t="str">
        <f t="shared" si="1"/>
        <v>-</v>
      </c>
      <c r="B1684" s="48"/>
      <c r="C1684" s="53"/>
      <c r="D1684" s="49"/>
      <c r="E1684" s="71"/>
      <c r="F1684" s="46"/>
      <c r="G1684" s="72"/>
      <c r="H1684" s="46"/>
      <c r="I1684" s="53" t="str">
        <f ca="1"/>
        <v>退会済</v>
      </c>
      <c r="J1684" s="113"/>
      <c r="K1684" s="49" t="s">
        <v>50</v>
      </c>
      <c r="M1684" s="107" t="s">
        <v>52</v>
      </c>
    </row>
    <row r="1685" spans="1:13" ht="16">
      <c r="A1685" s="101" t="str">
        <f t="shared" si="1"/>
        <v>-</v>
      </c>
      <c r="B1685" s="48"/>
      <c r="C1685" s="53"/>
      <c r="D1685" s="49"/>
      <c r="E1685" s="71"/>
      <c r="F1685" s="46"/>
      <c r="G1685" s="72"/>
      <c r="H1685" s="46"/>
      <c r="I1685" s="53" t="str">
        <f ca="1"/>
        <v>退会済</v>
      </c>
      <c r="J1685" s="113"/>
      <c r="K1685" s="49" t="s">
        <v>50</v>
      </c>
      <c r="M1685" s="107" t="s">
        <v>52</v>
      </c>
    </row>
    <row r="1686" spans="1:13" ht="16">
      <c r="A1686" s="101" t="str">
        <f t="shared" si="1"/>
        <v>-</v>
      </c>
      <c r="B1686" s="48"/>
      <c r="C1686" s="53"/>
      <c r="D1686" s="49"/>
      <c r="E1686" s="71"/>
      <c r="F1686" s="46"/>
      <c r="G1686" s="72"/>
      <c r="H1686" s="46"/>
      <c r="I1686" s="53" t="str">
        <f ca="1"/>
        <v>退会済</v>
      </c>
      <c r="J1686" s="113"/>
      <c r="K1686" s="49" t="s">
        <v>50</v>
      </c>
      <c r="M1686" s="107" t="s">
        <v>52</v>
      </c>
    </row>
    <row r="1687" spans="1:13" ht="16">
      <c r="A1687" s="101" t="str">
        <f t="shared" si="1"/>
        <v>-</v>
      </c>
      <c r="B1687" s="48"/>
      <c r="C1687" s="53"/>
      <c r="D1687" s="49"/>
      <c r="E1687" s="71"/>
      <c r="F1687" s="46"/>
      <c r="G1687" s="72"/>
      <c r="H1687" s="46"/>
      <c r="I1687" s="53" t="str">
        <f ca="1"/>
        <v>退会済</v>
      </c>
      <c r="J1687" s="113"/>
      <c r="K1687" s="49" t="s">
        <v>50</v>
      </c>
      <c r="M1687" s="107" t="s">
        <v>52</v>
      </c>
    </row>
    <row r="1688" spans="1:13" ht="16">
      <c r="A1688" s="101" t="str">
        <f t="shared" si="1"/>
        <v>-</v>
      </c>
      <c r="B1688" s="48"/>
      <c r="C1688" s="53"/>
      <c r="D1688" s="49"/>
      <c r="E1688" s="71"/>
      <c r="F1688" s="46"/>
      <c r="G1688" s="72"/>
      <c r="H1688" s="46"/>
      <c r="I1688" s="53" t="str">
        <f ca="1"/>
        <v>退会済</v>
      </c>
      <c r="J1688" s="113"/>
      <c r="K1688" s="49" t="s">
        <v>50</v>
      </c>
      <c r="M1688" s="107" t="s">
        <v>52</v>
      </c>
    </row>
    <row r="1689" spans="1:13" ht="16">
      <c r="A1689" s="101" t="str">
        <f t="shared" si="1"/>
        <v>-</v>
      </c>
      <c r="B1689" s="48"/>
      <c r="C1689" s="53"/>
      <c r="D1689" s="49"/>
      <c r="E1689" s="71"/>
      <c r="F1689" s="46"/>
      <c r="G1689" s="72"/>
      <c r="H1689" s="46"/>
      <c r="I1689" s="53" t="str">
        <f ca="1"/>
        <v>退会済</v>
      </c>
      <c r="J1689" s="113"/>
      <c r="K1689" s="49" t="s">
        <v>50</v>
      </c>
      <c r="M1689" s="107" t="s">
        <v>52</v>
      </c>
    </row>
    <row r="1690" spans="1:13" ht="16">
      <c r="A1690" s="101" t="str">
        <f t="shared" si="1"/>
        <v>-</v>
      </c>
      <c r="B1690" s="48"/>
      <c r="C1690" s="53"/>
      <c r="D1690" s="49"/>
      <c r="E1690" s="71"/>
      <c r="F1690" s="46"/>
      <c r="G1690" s="72"/>
      <c r="H1690" s="46"/>
      <c r="I1690" s="53" t="str">
        <f ca="1"/>
        <v>退会済</v>
      </c>
      <c r="J1690" s="113"/>
      <c r="K1690" s="49" t="s">
        <v>50</v>
      </c>
      <c r="M1690" s="107" t="s">
        <v>52</v>
      </c>
    </row>
    <row r="1691" spans="1:13" ht="16">
      <c r="A1691" s="101" t="str">
        <f t="shared" si="1"/>
        <v>-</v>
      </c>
      <c r="B1691" s="48"/>
      <c r="C1691" s="53"/>
      <c r="D1691" s="49"/>
      <c r="E1691" s="71"/>
      <c r="F1691" s="46"/>
      <c r="G1691" s="72"/>
      <c r="H1691" s="46"/>
      <c r="I1691" s="53" t="str">
        <f ca="1"/>
        <v>退会済</v>
      </c>
      <c r="J1691" s="113"/>
      <c r="K1691" s="49" t="s">
        <v>50</v>
      </c>
      <c r="M1691" s="107" t="s">
        <v>52</v>
      </c>
    </row>
    <row r="1692" spans="1:13" ht="16">
      <c r="A1692" s="101" t="str">
        <f t="shared" si="1"/>
        <v>-</v>
      </c>
      <c r="B1692" s="48"/>
      <c r="C1692" s="53"/>
      <c r="D1692" s="49"/>
      <c r="E1692" s="71"/>
      <c r="F1692" s="46"/>
      <c r="G1692" s="72"/>
      <c r="H1692" s="46"/>
      <c r="I1692" s="53" t="str">
        <f ca="1"/>
        <v>退会済</v>
      </c>
      <c r="J1692" s="113"/>
      <c r="K1692" s="49" t="s">
        <v>50</v>
      </c>
      <c r="M1692" s="107" t="s">
        <v>52</v>
      </c>
    </row>
    <row r="1693" spans="1:13" ht="16">
      <c r="A1693" s="101" t="str">
        <f t="shared" si="1"/>
        <v>-</v>
      </c>
      <c r="B1693" s="48"/>
      <c r="C1693" s="53"/>
      <c r="D1693" s="49"/>
      <c r="E1693" s="71"/>
      <c r="F1693" s="46"/>
      <c r="G1693" s="72"/>
      <c r="H1693" s="46"/>
      <c r="I1693" s="53" t="str">
        <f ca="1"/>
        <v>退会済</v>
      </c>
      <c r="J1693" s="113"/>
      <c r="K1693" s="49" t="s">
        <v>50</v>
      </c>
      <c r="M1693" s="107" t="s">
        <v>52</v>
      </c>
    </row>
    <row r="1694" spans="1:13" ht="16">
      <c r="A1694" s="101" t="str">
        <f t="shared" si="1"/>
        <v>-</v>
      </c>
      <c r="B1694" s="48"/>
      <c r="C1694" s="53"/>
      <c r="D1694" s="49"/>
      <c r="E1694" s="71"/>
      <c r="F1694" s="46"/>
      <c r="G1694" s="72"/>
      <c r="H1694" s="46"/>
      <c r="I1694" s="53" t="str">
        <f ca="1"/>
        <v>退会済</v>
      </c>
      <c r="J1694" s="113"/>
      <c r="K1694" s="49" t="s">
        <v>50</v>
      </c>
      <c r="M1694" s="107" t="s">
        <v>52</v>
      </c>
    </row>
    <row r="1695" spans="1:13" ht="16">
      <c r="A1695" s="101" t="str">
        <f t="shared" si="1"/>
        <v>-</v>
      </c>
      <c r="B1695" s="48"/>
      <c r="C1695" s="53"/>
      <c r="D1695" s="49"/>
      <c r="E1695" s="71"/>
      <c r="F1695" s="46"/>
      <c r="G1695" s="72"/>
      <c r="H1695" s="46"/>
      <c r="I1695" s="53" t="str">
        <f ca="1"/>
        <v>退会済</v>
      </c>
      <c r="J1695" s="113"/>
      <c r="K1695" s="49" t="s">
        <v>50</v>
      </c>
      <c r="M1695" s="107" t="s">
        <v>52</v>
      </c>
    </row>
    <row r="1696" spans="1:13" ht="16">
      <c r="A1696" s="101" t="str">
        <f t="shared" si="1"/>
        <v>-</v>
      </c>
      <c r="B1696" s="48"/>
      <c r="C1696" s="53"/>
      <c r="D1696" s="49"/>
      <c r="E1696" s="71"/>
      <c r="F1696" s="46"/>
      <c r="G1696" s="72"/>
      <c r="H1696" s="46"/>
      <c r="I1696" s="53" t="str">
        <f ca="1"/>
        <v>退会済</v>
      </c>
      <c r="J1696" s="113"/>
      <c r="K1696" s="49" t="s">
        <v>50</v>
      </c>
      <c r="M1696" s="107" t="s">
        <v>52</v>
      </c>
    </row>
    <row r="1697" spans="1:13" ht="16">
      <c r="A1697" s="101" t="str">
        <f t="shared" si="1"/>
        <v>-</v>
      </c>
      <c r="B1697" s="48"/>
      <c r="C1697" s="53"/>
      <c r="D1697" s="49"/>
      <c r="E1697" s="71"/>
      <c r="F1697" s="46"/>
      <c r="G1697" s="72"/>
      <c r="H1697" s="46"/>
      <c r="I1697" s="53" t="str">
        <f ca="1"/>
        <v>退会済</v>
      </c>
      <c r="J1697" s="113"/>
      <c r="K1697" s="49" t="s">
        <v>50</v>
      </c>
      <c r="M1697" s="107" t="s">
        <v>52</v>
      </c>
    </row>
    <row r="1698" spans="1:13" ht="16">
      <c r="A1698" s="101" t="str">
        <f t="shared" si="1"/>
        <v>-</v>
      </c>
      <c r="B1698" s="48"/>
      <c r="C1698" s="53"/>
      <c r="D1698" s="49"/>
      <c r="E1698" s="71"/>
      <c r="F1698" s="46"/>
      <c r="G1698" s="72"/>
      <c r="H1698" s="46"/>
      <c r="I1698" s="53" t="str">
        <f ca="1"/>
        <v>退会済</v>
      </c>
      <c r="J1698" s="113"/>
      <c r="K1698" s="49" t="s">
        <v>50</v>
      </c>
      <c r="M1698" s="107" t="s">
        <v>52</v>
      </c>
    </row>
    <row r="1699" spans="1:13" ht="16">
      <c r="A1699" s="101" t="str">
        <f t="shared" si="1"/>
        <v>-</v>
      </c>
      <c r="B1699" s="48"/>
      <c r="C1699" s="53"/>
      <c r="D1699" s="49"/>
      <c r="E1699" s="71"/>
      <c r="F1699" s="46"/>
      <c r="G1699" s="72"/>
      <c r="H1699" s="46"/>
      <c r="I1699" s="53" t="str">
        <f ca="1"/>
        <v>退会済</v>
      </c>
      <c r="J1699" s="113"/>
      <c r="K1699" s="49" t="s">
        <v>50</v>
      </c>
      <c r="M1699" s="107" t="s">
        <v>52</v>
      </c>
    </row>
    <row r="1700" spans="1:13" ht="16">
      <c r="A1700" s="101" t="str">
        <f t="shared" si="1"/>
        <v>-</v>
      </c>
      <c r="B1700" s="48"/>
      <c r="C1700" s="53"/>
      <c r="D1700" s="49"/>
      <c r="E1700" s="71"/>
      <c r="F1700" s="46"/>
      <c r="G1700" s="72"/>
      <c r="H1700" s="46"/>
      <c r="I1700" s="53" t="str">
        <f ca="1"/>
        <v>退会済</v>
      </c>
      <c r="J1700" s="113"/>
      <c r="K1700" s="49" t="s">
        <v>50</v>
      </c>
      <c r="M1700" s="107" t="s">
        <v>52</v>
      </c>
    </row>
    <row r="1701" spans="1:13" ht="16">
      <c r="A1701" s="101" t="str">
        <f t="shared" si="1"/>
        <v>-</v>
      </c>
      <c r="B1701" s="48"/>
      <c r="C1701" s="53"/>
      <c r="D1701" s="49"/>
      <c r="E1701" s="71"/>
      <c r="F1701" s="46"/>
      <c r="G1701" s="72"/>
      <c r="H1701" s="46"/>
      <c r="I1701" s="53" t="str">
        <f ca="1"/>
        <v>退会済</v>
      </c>
      <c r="J1701" s="113"/>
      <c r="K1701" s="49" t="s">
        <v>50</v>
      </c>
      <c r="M1701" s="107" t="s">
        <v>52</v>
      </c>
    </row>
    <row r="1702" spans="1:13" ht="16">
      <c r="A1702" s="101" t="str">
        <f t="shared" si="1"/>
        <v>-</v>
      </c>
      <c r="B1702" s="48"/>
      <c r="C1702" s="53"/>
      <c r="D1702" s="49"/>
      <c r="E1702" s="71"/>
      <c r="F1702" s="46"/>
      <c r="G1702" s="72"/>
      <c r="H1702" s="46"/>
      <c r="I1702" s="53" t="str">
        <f ca="1"/>
        <v>退会済</v>
      </c>
      <c r="J1702" s="113"/>
      <c r="K1702" s="49" t="s">
        <v>50</v>
      </c>
      <c r="M1702" s="107" t="s">
        <v>52</v>
      </c>
    </row>
    <row r="1703" spans="1:13" ht="16">
      <c r="A1703" s="101" t="str">
        <f t="shared" si="1"/>
        <v>-</v>
      </c>
      <c r="B1703" s="48"/>
      <c r="C1703" s="53"/>
      <c r="D1703" s="49"/>
      <c r="E1703" s="71"/>
      <c r="F1703" s="46"/>
      <c r="G1703" s="72"/>
      <c r="H1703" s="46"/>
      <c r="I1703" s="53" t="str">
        <f ca="1"/>
        <v>退会済</v>
      </c>
      <c r="J1703" s="113"/>
      <c r="K1703" s="49" t="s">
        <v>50</v>
      </c>
      <c r="M1703" s="107" t="s">
        <v>52</v>
      </c>
    </row>
    <row r="1704" spans="1:13" ht="16">
      <c r="A1704" s="101" t="str">
        <f t="shared" si="1"/>
        <v>-</v>
      </c>
      <c r="B1704" s="48"/>
      <c r="C1704" s="53"/>
      <c r="D1704" s="49"/>
      <c r="E1704" s="71"/>
      <c r="F1704" s="46"/>
      <c r="G1704" s="72"/>
      <c r="H1704" s="46"/>
      <c r="I1704" s="53" t="str">
        <f ca="1"/>
        <v>退会済</v>
      </c>
      <c r="J1704" s="113"/>
      <c r="K1704" s="49" t="s">
        <v>50</v>
      </c>
      <c r="M1704" s="107" t="s">
        <v>52</v>
      </c>
    </row>
    <row r="1705" spans="1:13" ht="16">
      <c r="A1705" s="101" t="str">
        <f t="shared" si="1"/>
        <v>-</v>
      </c>
      <c r="B1705" s="48"/>
      <c r="C1705" s="53"/>
      <c r="D1705" s="49"/>
      <c r="E1705" s="71"/>
      <c r="F1705" s="46"/>
      <c r="G1705" s="72"/>
      <c r="H1705" s="46"/>
      <c r="I1705" s="53" t="str">
        <f ca="1"/>
        <v>退会済</v>
      </c>
      <c r="J1705" s="113"/>
      <c r="K1705" s="49" t="s">
        <v>50</v>
      </c>
      <c r="M1705" s="107" t="s">
        <v>52</v>
      </c>
    </row>
    <row r="1706" spans="1:13" ht="16">
      <c r="A1706" s="101" t="str">
        <f t="shared" si="1"/>
        <v>-</v>
      </c>
      <c r="B1706" s="48"/>
      <c r="C1706" s="53"/>
      <c r="D1706" s="49"/>
      <c r="E1706" s="71"/>
      <c r="F1706" s="46"/>
      <c r="G1706" s="72"/>
      <c r="H1706" s="46"/>
      <c r="I1706" s="53" t="str">
        <f ca="1"/>
        <v>退会済</v>
      </c>
      <c r="J1706" s="113"/>
      <c r="K1706" s="49" t="s">
        <v>50</v>
      </c>
      <c r="M1706" s="107" t="s">
        <v>52</v>
      </c>
    </row>
    <row r="1707" spans="1:13" ht="16">
      <c r="A1707" s="101" t="str">
        <f t="shared" si="1"/>
        <v>-</v>
      </c>
      <c r="B1707" s="48"/>
      <c r="C1707" s="53"/>
      <c r="D1707" s="49"/>
      <c r="E1707" s="71"/>
      <c r="F1707" s="46"/>
      <c r="G1707" s="72"/>
      <c r="H1707" s="46"/>
      <c r="I1707" s="53" t="str">
        <f ca="1"/>
        <v>退会済</v>
      </c>
      <c r="J1707" s="113"/>
      <c r="K1707" s="49" t="s">
        <v>50</v>
      </c>
      <c r="M1707" s="107" t="s">
        <v>52</v>
      </c>
    </row>
    <row r="1708" spans="1:13" ht="16">
      <c r="A1708" s="101" t="str">
        <f t="shared" si="1"/>
        <v>-</v>
      </c>
      <c r="B1708" s="48"/>
      <c r="C1708" s="53"/>
      <c r="D1708" s="49"/>
      <c r="E1708" s="71"/>
      <c r="F1708" s="46"/>
      <c r="G1708" s="72"/>
      <c r="H1708" s="46"/>
      <c r="I1708" s="53" t="str">
        <f ca="1"/>
        <v>退会済</v>
      </c>
      <c r="J1708" s="113"/>
      <c r="K1708" s="49" t="s">
        <v>50</v>
      </c>
      <c r="M1708" s="107" t="s">
        <v>52</v>
      </c>
    </row>
    <row r="1709" spans="1:13" ht="16">
      <c r="A1709" s="101" t="str">
        <f t="shared" si="1"/>
        <v>-</v>
      </c>
      <c r="B1709" s="48"/>
      <c r="C1709" s="53"/>
      <c r="D1709" s="49"/>
      <c r="E1709" s="71"/>
      <c r="F1709" s="46"/>
      <c r="G1709" s="72"/>
      <c r="H1709" s="46"/>
      <c r="I1709" s="53" t="str">
        <f ca="1"/>
        <v>退会済</v>
      </c>
      <c r="J1709" s="113"/>
      <c r="K1709" s="49" t="s">
        <v>50</v>
      </c>
      <c r="M1709" s="107" t="s">
        <v>52</v>
      </c>
    </row>
    <row r="1710" spans="1:13" ht="16">
      <c r="A1710" s="101" t="str">
        <f t="shared" si="1"/>
        <v>-</v>
      </c>
      <c r="B1710" s="48"/>
      <c r="C1710" s="53"/>
      <c r="D1710" s="49"/>
      <c r="E1710" s="71"/>
      <c r="F1710" s="46"/>
      <c r="G1710" s="72"/>
      <c r="H1710" s="46"/>
      <c r="I1710" s="53" t="str">
        <f ca="1"/>
        <v>退会済</v>
      </c>
      <c r="J1710" s="113"/>
      <c r="K1710" s="49" t="s">
        <v>50</v>
      </c>
      <c r="M1710" s="107" t="s">
        <v>52</v>
      </c>
    </row>
    <row r="1711" spans="1:13" ht="16">
      <c r="A1711" s="101" t="str">
        <f t="shared" si="1"/>
        <v>-</v>
      </c>
      <c r="B1711" s="48"/>
      <c r="C1711" s="53"/>
      <c r="D1711" s="49"/>
      <c r="E1711" s="71"/>
      <c r="F1711" s="46"/>
      <c r="G1711" s="72"/>
      <c r="H1711" s="46"/>
      <c r="I1711" s="53" t="str">
        <f ca="1"/>
        <v>退会済</v>
      </c>
      <c r="J1711" s="113"/>
      <c r="K1711" s="49" t="s">
        <v>50</v>
      </c>
      <c r="M1711" s="107" t="s">
        <v>52</v>
      </c>
    </row>
    <row r="1712" spans="1:13" ht="16">
      <c r="A1712" s="101" t="str">
        <f t="shared" si="1"/>
        <v>-</v>
      </c>
      <c r="B1712" s="48"/>
      <c r="C1712" s="53"/>
      <c r="D1712" s="49"/>
      <c r="E1712" s="71"/>
      <c r="F1712" s="46"/>
      <c r="G1712" s="72"/>
      <c r="H1712" s="46"/>
      <c r="I1712" s="53" t="str">
        <f ca="1"/>
        <v>退会済</v>
      </c>
      <c r="J1712" s="113"/>
      <c r="K1712" s="49" t="s">
        <v>50</v>
      </c>
      <c r="M1712" s="107" t="s">
        <v>52</v>
      </c>
    </row>
    <row r="1713" spans="1:13" ht="16">
      <c r="A1713" s="101" t="str">
        <f t="shared" si="1"/>
        <v>-</v>
      </c>
      <c r="B1713" s="48"/>
      <c r="C1713" s="53"/>
      <c r="D1713" s="49"/>
      <c r="E1713" s="71"/>
      <c r="F1713" s="46"/>
      <c r="G1713" s="72"/>
      <c r="H1713" s="46"/>
      <c r="I1713" s="53" t="str">
        <f ca="1"/>
        <v>退会済</v>
      </c>
      <c r="J1713" s="113"/>
      <c r="K1713" s="49" t="s">
        <v>50</v>
      </c>
      <c r="M1713" s="107" t="s">
        <v>52</v>
      </c>
    </row>
    <row r="1714" spans="1:13" ht="16">
      <c r="A1714" s="101" t="str">
        <f t="shared" si="1"/>
        <v>-</v>
      </c>
      <c r="B1714" s="48"/>
      <c r="C1714" s="53"/>
      <c r="D1714" s="49"/>
      <c r="E1714" s="71"/>
      <c r="F1714" s="46"/>
      <c r="G1714" s="72"/>
      <c r="H1714" s="46"/>
      <c r="I1714" s="53" t="str">
        <f ca="1"/>
        <v>退会済</v>
      </c>
      <c r="J1714" s="113"/>
      <c r="K1714" s="49" t="s">
        <v>50</v>
      </c>
      <c r="M1714" s="107" t="s">
        <v>52</v>
      </c>
    </row>
    <row r="1715" spans="1:13" ht="16">
      <c r="A1715" s="101" t="str">
        <f t="shared" si="1"/>
        <v>-</v>
      </c>
      <c r="B1715" s="48"/>
      <c r="C1715" s="53"/>
      <c r="D1715" s="49"/>
      <c r="E1715" s="71"/>
      <c r="F1715" s="46"/>
      <c r="G1715" s="72"/>
      <c r="H1715" s="46"/>
      <c r="I1715" s="53" t="str">
        <f ca="1"/>
        <v>退会済</v>
      </c>
      <c r="J1715" s="113"/>
      <c r="K1715" s="49" t="s">
        <v>50</v>
      </c>
      <c r="M1715" s="107" t="s">
        <v>52</v>
      </c>
    </row>
    <row r="1716" spans="1:13" ht="16">
      <c r="A1716" s="101" t="str">
        <f t="shared" si="1"/>
        <v>-</v>
      </c>
      <c r="B1716" s="48"/>
      <c r="C1716" s="53"/>
      <c r="D1716" s="49"/>
      <c r="E1716" s="71"/>
      <c r="F1716" s="46"/>
      <c r="G1716" s="72"/>
      <c r="H1716" s="46"/>
      <c r="I1716" s="53" t="str">
        <f ca="1"/>
        <v>退会済</v>
      </c>
      <c r="J1716" s="113"/>
      <c r="K1716" s="49" t="s">
        <v>50</v>
      </c>
      <c r="M1716" s="107" t="s">
        <v>52</v>
      </c>
    </row>
    <row r="1717" spans="1:13" ht="16">
      <c r="A1717" s="101" t="str">
        <f t="shared" si="1"/>
        <v>-</v>
      </c>
      <c r="B1717" s="48"/>
      <c r="C1717" s="53"/>
      <c r="D1717" s="49"/>
      <c r="E1717" s="71"/>
      <c r="F1717" s="46"/>
      <c r="G1717" s="72"/>
      <c r="H1717" s="46"/>
      <c r="I1717" s="53" t="str">
        <f ca="1"/>
        <v>退会済</v>
      </c>
      <c r="J1717" s="113"/>
      <c r="K1717" s="49" t="s">
        <v>50</v>
      </c>
      <c r="M1717" s="107" t="s">
        <v>52</v>
      </c>
    </row>
    <row r="1718" spans="1:13" ht="16">
      <c r="A1718" s="101" t="str">
        <f t="shared" si="1"/>
        <v>-</v>
      </c>
      <c r="B1718" s="48"/>
      <c r="C1718" s="53"/>
      <c r="D1718" s="49"/>
      <c r="E1718" s="71"/>
      <c r="F1718" s="46"/>
      <c r="G1718" s="72"/>
      <c r="H1718" s="46"/>
      <c r="I1718" s="53" t="str">
        <f ca="1"/>
        <v>退会済</v>
      </c>
      <c r="J1718" s="113"/>
      <c r="K1718" s="49" t="s">
        <v>50</v>
      </c>
      <c r="M1718" s="107" t="s">
        <v>52</v>
      </c>
    </row>
    <row r="1719" spans="1:13" ht="16">
      <c r="A1719" s="101" t="str">
        <f t="shared" si="1"/>
        <v>-</v>
      </c>
      <c r="B1719" s="48"/>
      <c r="C1719" s="53"/>
      <c r="D1719" s="49"/>
      <c r="E1719" s="71"/>
      <c r="F1719" s="46"/>
      <c r="G1719" s="72"/>
      <c r="H1719" s="46"/>
      <c r="I1719" s="53" t="str">
        <f ca="1"/>
        <v>退会済</v>
      </c>
      <c r="J1719" s="113"/>
      <c r="K1719" s="49" t="s">
        <v>50</v>
      </c>
      <c r="M1719" s="107" t="s">
        <v>52</v>
      </c>
    </row>
    <row r="1720" spans="1:13" ht="16">
      <c r="A1720" s="101" t="str">
        <f t="shared" si="1"/>
        <v>-</v>
      </c>
      <c r="B1720" s="48"/>
      <c r="C1720" s="53"/>
      <c r="D1720" s="49"/>
      <c r="E1720" s="71"/>
      <c r="F1720" s="46"/>
      <c r="G1720" s="72"/>
      <c r="H1720" s="46"/>
      <c r="I1720" s="53" t="str">
        <f ca="1"/>
        <v>退会済</v>
      </c>
      <c r="J1720" s="113"/>
      <c r="K1720" s="49" t="s">
        <v>50</v>
      </c>
      <c r="M1720" s="107" t="s">
        <v>52</v>
      </c>
    </row>
    <row r="1721" spans="1:13" ht="16">
      <c r="A1721" s="101" t="str">
        <f t="shared" si="1"/>
        <v>-</v>
      </c>
      <c r="B1721" s="48"/>
      <c r="C1721" s="53"/>
      <c r="D1721" s="49"/>
      <c r="E1721" s="71"/>
      <c r="F1721" s="46"/>
      <c r="G1721" s="72"/>
      <c r="H1721" s="46"/>
      <c r="I1721" s="53" t="str">
        <f ca="1"/>
        <v>退会済</v>
      </c>
      <c r="J1721" s="113"/>
      <c r="K1721" s="49" t="s">
        <v>50</v>
      </c>
      <c r="M1721" s="107" t="s">
        <v>52</v>
      </c>
    </row>
    <row r="1722" spans="1:13" ht="16">
      <c r="A1722" s="101" t="str">
        <f t="shared" si="1"/>
        <v>-</v>
      </c>
      <c r="B1722" s="48"/>
      <c r="C1722" s="53"/>
      <c r="D1722" s="49"/>
      <c r="E1722" s="71"/>
      <c r="F1722" s="46"/>
      <c r="G1722" s="72"/>
      <c r="H1722" s="46"/>
      <c r="I1722" s="53" t="str">
        <f ca="1"/>
        <v>退会済</v>
      </c>
      <c r="J1722" s="113"/>
      <c r="K1722" s="49" t="s">
        <v>50</v>
      </c>
      <c r="M1722" s="107" t="s">
        <v>52</v>
      </c>
    </row>
    <row r="1723" spans="1:13" ht="16">
      <c r="A1723" s="101" t="str">
        <f t="shared" si="1"/>
        <v>-</v>
      </c>
      <c r="B1723" s="48"/>
      <c r="C1723" s="53"/>
      <c r="D1723" s="49"/>
      <c r="E1723" s="71"/>
      <c r="F1723" s="46"/>
      <c r="G1723" s="72"/>
      <c r="H1723" s="46"/>
      <c r="I1723" s="53" t="str">
        <f ca="1"/>
        <v>退会済</v>
      </c>
      <c r="J1723" s="113"/>
      <c r="K1723" s="49" t="s">
        <v>50</v>
      </c>
      <c r="M1723" s="107" t="s">
        <v>52</v>
      </c>
    </row>
    <row r="1724" spans="1:13" ht="16">
      <c r="A1724" s="101" t="str">
        <f t="shared" si="1"/>
        <v>-</v>
      </c>
      <c r="B1724" s="48"/>
      <c r="C1724" s="53"/>
      <c r="D1724" s="49"/>
      <c r="E1724" s="71"/>
      <c r="F1724" s="46"/>
      <c r="G1724" s="72"/>
      <c r="H1724" s="46"/>
      <c r="I1724" s="53" t="str">
        <f ca="1"/>
        <v>退会済</v>
      </c>
      <c r="J1724" s="113"/>
      <c r="K1724" s="49" t="s">
        <v>50</v>
      </c>
      <c r="M1724" s="107" t="s">
        <v>52</v>
      </c>
    </row>
    <row r="1725" spans="1:13" ht="16">
      <c r="A1725" s="101" t="str">
        <f t="shared" si="1"/>
        <v>-</v>
      </c>
      <c r="B1725" s="48"/>
      <c r="C1725" s="53"/>
      <c r="D1725" s="49"/>
      <c r="E1725" s="71"/>
      <c r="F1725" s="46"/>
      <c r="G1725" s="72"/>
      <c r="H1725" s="46"/>
      <c r="I1725" s="53" t="str">
        <f ca="1"/>
        <v>退会済</v>
      </c>
      <c r="J1725" s="113"/>
      <c r="K1725" s="49" t="s">
        <v>50</v>
      </c>
      <c r="M1725" s="107" t="s">
        <v>52</v>
      </c>
    </row>
    <row r="1726" spans="1:13" ht="16">
      <c r="A1726" s="101" t="str">
        <f t="shared" si="1"/>
        <v>-</v>
      </c>
      <c r="B1726" s="48"/>
      <c r="C1726" s="53"/>
      <c r="D1726" s="49"/>
      <c r="E1726" s="71"/>
      <c r="F1726" s="46"/>
      <c r="G1726" s="72"/>
      <c r="H1726" s="46"/>
      <c r="I1726" s="53" t="str">
        <f ca="1"/>
        <v>退会済</v>
      </c>
      <c r="J1726" s="113"/>
      <c r="K1726" s="49" t="s">
        <v>50</v>
      </c>
      <c r="M1726" s="107" t="s">
        <v>52</v>
      </c>
    </row>
    <row r="1727" spans="1:13" ht="16">
      <c r="A1727" s="101" t="str">
        <f t="shared" si="1"/>
        <v>-</v>
      </c>
      <c r="B1727" s="48"/>
      <c r="C1727" s="53"/>
      <c r="D1727" s="49"/>
      <c r="E1727" s="71"/>
      <c r="F1727" s="46"/>
      <c r="G1727" s="72"/>
      <c r="H1727" s="46"/>
      <c r="I1727" s="53" t="str">
        <f ca="1"/>
        <v>退会済</v>
      </c>
      <c r="J1727" s="113"/>
      <c r="K1727" s="49" t="s">
        <v>50</v>
      </c>
      <c r="M1727" s="107" t="s">
        <v>52</v>
      </c>
    </row>
    <row r="1728" spans="1:13" ht="16">
      <c r="A1728" s="101" t="str">
        <f t="shared" si="1"/>
        <v>-</v>
      </c>
      <c r="B1728" s="48"/>
      <c r="C1728" s="53"/>
      <c r="D1728" s="49"/>
      <c r="E1728" s="71"/>
      <c r="F1728" s="46"/>
      <c r="G1728" s="72"/>
      <c r="H1728" s="46"/>
      <c r="I1728" s="53" t="str">
        <f ca="1"/>
        <v>退会済</v>
      </c>
      <c r="J1728" s="113"/>
      <c r="K1728" s="49" t="s">
        <v>50</v>
      </c>
      <c r="M1728" s="107" t="s">
        <v>52</v>
      </c>
    </row>
    <row r="1729" spans="1:13" ht="16">
      <c r="A1729" s="101" t="str">
        <f t="shared" si="1"/>
        <v>-</v>
      </c>
      <c r="B1729" s="48"/>
      <c r="C1729" s="53"/>
      <c r="D1729" s="49"/>
      <c r="E1729" s="71"/>
      <c r="F1729" s="46"/>
      <c r="G1729" s="72"/>
      <c r="H1729" s="46"/>
      <c r="I1729" s="53" t="str">
        <f ca="1"/>
        <v>退会済</v>
      </c>
      <c r="J1729" s="113"/>
      <c r="K1729" s="49" t="s">
        <v>50</v>
      </c>
      <c r="M1729" s="107" t="s">
        <v>52</v>
      </c>
    </row>
    <row r="1730" spans="1:13" ht="16">
      <c r="A1730" s="101" t="str">
        <f t="shared" si="1"/>
        <v>-</v>
      </c>
      <c r="B1730" s="48"/>
      <c r="C1730" s="53"/>
      <c r="D1730" s="49"/>
      <c r="E1730" s="71"/>
      <c r="F1730" s="46"/>
      <c r="G1730" s="72"/>
      <c r="H1730" s="46"/>
      <c r="I1730" s="53" t="str">
        <f ca="1"/>
        <v>退会済</v>
      </c>
      <c r="J1730" s="113"/>
      <c r="K1730" s="49" t="s">
        <v>50</v>
      </c>
      <c r="M1730" s="107" t="s">
        <v>52</v>
      </c>
    </row>
    <row r="1731" spans="1:13" ht="16">
      <c r="A1731" s="101" t="str">
        <f t="shared" si="1"/>
        <v>-</v>
      </c>
      <c r="B1731" s="48"/>
      <c r="C1731" s="53"/>
      <c r="D1731" s="49"/>
      <c r="E1731" s="71"/>
      <c r="F1731" s="46"/>
      <c r="G1731" s="72"/>
      <c r="H1731" s="46"/>
      <c r="I1731" s="53" t="str">
        <f ca="1"/>
        <v>退会済</v>
      </c>
      <c r="J1731" s="113"/>
      <c r="K1731" s="49" t="s">
        <v>50</v>
      </c>
      <c r="M1731" s="107" t="s">
        <v>52</v>
      </c>
    </row>
    <row r="1732" spans="1:13" ht="16">
      <c r="A1732" s="101" t="str">
        <f t="shared" si="1"/>
        <v>-</v>
      </c>
      <c r="B1732" s="48"/>
      <c r="C1732" s="53"/>
      <c r="D1732" s="49"/>
      <c r="E1732" s="71"/>
      <c r="F1732" s="46"/>
      <c r="G1732" s="72"/>
      <c r="H1732" s="46"/>
      <c r="I1732" s="53" t="str">
        <f ca="1"/>
        <v>退会済</v>
      </c>
      <c r="J1732" s="113"/>
      <c r="K1732" s="49" t="s">
        <v>50</v>
      </c>
      <c r="M1732" s="107" t="s">
        <v>52</v>
      </c>
    </row>
    <row r="1733" spans="1:13" ht="16">
      <c r="A1733" s="101" t="str">
        <f t="shared" si="1"/>
        <v>-</v>
      </c>
      <c r="B1733" s="48"/>
      <c r="C1733" s="53"/>
      <c r="D1733" s="49"/>
      <c r="E1733" s="71"/>
      <c r="F1733" s="46"/>
      <c r="G1733" s="72"/>
      <c r="H1733" s="46"/>
      <c r="I1733" s="53" t="str">
        <f ca="1"/>
        <v>退会済</v>
      </c>
      <c r="J1733" s="113"/>
      <c r="K1733" s="49" t="s">
        <v>50</v>
      </c>
      <c r="M1733" s="107" t="s">
        <v>52</v>
      </c>
    </row>
    <row r="1734" spans="1:13" ht="16">
      <c r="A1734" s="101" t="str">
        <f t="shared" si="1"/>
        <v>-</v>
      </c>
      <c r="B1734" s="48"/>
      <c r="C1734" s="53"/>
      <c r="D1734" s="49"/>
      <c r="E1734" s="71"/>
      <c r="F1734" s="46"/>
      <c r="G1734" s="72"/>
      <c r="H1734" s="46"/>
      <c r="I1734" s="53" t="str">
        <f ca="1"/>
        <v>退会済</v>
      </c>
      <c r="J1734" s="113"/>
      <c r="K1734" s="49" t="s">
        <v>50</v>
      </c>
      <c r="M1734" s="107" t="s">
        <v>52</v>
      </c>
    </row>
    <row r="1735" spans="1:13" ht="16">
      <c r="A1735" s="101" t="str">
        <f t="shared" si="1"/>
        <v>-</v>
      </c>
      <c r="B1735" s="48"/>
      <c r="C1735" s="53"/>
      <c r="D1735" s="49"/>
      <c r="E1735" s="71"/>
      <c r="F1735" s="46"/>
      <c r="G1735" s="72"/>
      <c r="H1735" s="46"/>
      <c r="I1735" s="53" t="str">
        <f ca="1"/>
        <v>退会済</v>
      </c>
      <c r="J1735" s="113"/>
      <c r="K1735" s="49" t="s">
        <v>50</v>
      </c>
      <c r="M1735" s="107" t="s">
        <v>52</v>
      </c>
    </row>
    <row r="1736" spans="1:13" ht="16">
      <c r="A1736" s="101" t="str">
        <f t="shared" si="1"/>
        <v>-</v>
      </c>
      <c r="B1736" s="48"/>
      <c r="C1736" s="53"/>
      <c r="D1736" s="49"/>
      <c r="E1736" s="71"/>
      <c r="F1736" s="46"/>
      <c r="G1736" s="72"/>
      <c r="H1736" s="46"/>
      <c r="I1736" s="53" t="str">
        <f ca="1"/>
        <v>退会済</v>
      </c>
      <c r="J1736" s="113"/>
      <c r="K1736" s="49" t="s">
        <v>50</v>
      </c>
      <c r="M1736" s="107" t="s">
        <v>52</v>
      </c>
    </row>
    <row r="1737" spans="1:13" ht="16">
      <c r="A1737" s="101" t="str">
        <f t="shared" si="1"/>
        <v>-</v>
      </c>
      <c r="B1737" s="48"/>
      <c r="C1737" s="53"/>
      <c r="D1737" s="49"/>
      <c r="E1737" s="71"/>
      <c r="F1737" s="46"/>
      <c r="G1737" s="72"/>
      <c r="H1737" s="46"/>
      <c r="I1737" s="53" t="str">
        <f ca="1"/>
        <v>退会済</v>
      </c>
      <c r="J1737" s="113"/>
      <c r="K1737" s="49" t="s">
        <v>50</v>
      </c>
      <c r="M1737" s="107" t="s">
        <v>52</v>
      </c>
    </row>
    <row r="1738" spans="1:13" ht="16">
      <c r="A1738" s="101" t="str">
        <f t="shared" si="1"/>
        <v>-</v>
      </c>
      <c r="B1738" s="48"/>
      <c r="C1738" s="53"/>
      <c r="D1738" s="49"/>
      <c r="E1738" s="71"/>
      <c r="F1738" s="46"/>
      <c r="G1738" s="72"/>
      <c r="H1738" s="46"/>
      <c r="I1738" s="53" t="str">
        <f ca="1"/>
        <v>退会済</v>
      </c>
      <c r="J1738" s="113"/>
      <c r="K1738" s="49" t="s">
        <v>50</v>
      </c>
      <c r="M1738" s="107" t="s">
        <v>52</v>
      </c>
    </row>
    <row r="1739" spans="1:13" ht="16">
      <c r="A1739" s="101" t="str">
        <f t="shared" si="1"/>
        <v>-</v>
      </c>
      <c r="B1739" s="48"/>
      <c r="C1739" s="53"/>
      <c r="D1739" s="49"/>
      <c r="E1739" s="71"/>
      <c r="F1739" s="46"/>
      <c r="G1739" s="72"/>
      <c r="H1739" s="46"/>
      <c r="I1739" s="53" t="str">
        <f ca="1"/>
        <v>退会済</v>
      </c>
      <c r="J1739" s="113"/>
      <c r="K1739" s="49" t="s">
        <v>50</v>
      </c>
      <c r="M1739" s="107" t="s">
        <v>52</v>
      </c>
    </row>
    <row r="1740" spans="1:13" ht="16">
      <c r="A1740" s="101" t="str">
        <f t="shared" si="1"/>
        <v>-</v>
      </c>
      <c r="B1740" s="48"/>
      <c r="C1740" s="53"/>
      <c r="D1740" s="49"/>
      <c r="E1740" s="71"/>
      <c r="F1740" s="46"/>
      <c r="G1740" s="72"/>
      <c r="H1740" s="46"/>
      <c r="I1740" s="53" t="str">
        <f ca="1"/>
        <v>退会済</v>
      </c>
      <c r="J1740" s="113"/>
      <c r="K1740" s="49" t="s">
        <v>50</v>
      </c>
      <c r="M1740" s="107" t="s">
        <v>52</v>
      </c>
    </row>
    <row r="1741" spans="1:13" ht="16">
      <c r="A1741" s="101" t="str">
        <f t="shared" si="1"/>
        <v>-</v>
      </c>
      <c r="B1741" s="48"/>
      <c r="C1741" s="53"/>
      <c r="D1741" s="49"/>
      <c r="E1741" s="71"/>
      <c r="F1741" s="46"/>
      <c r="G1741" s="72"/>
      <c r="H1741" s="46"/>
      <c r="I1741" s="53" t="str">
        <f ca="1"/>
        <v>退会済</v>
      </c>
      <c r="J1741" s="113"/>
      <c r="K1741" s="49" t="s">
        <v>50</v>
      </c>
      <c r="M1741" s="107" t="s">
        <v>52</v>
      </c>
    </row>
    <row r="1742" spans="1:13" ht="16">
      <c r="A1742" s="101" t="str">
        <f t="shared" si="1"/>
        <v>-</v>
      </c>
      <c r="B1742" s="48"/>
      <c r="C1742" s="53"/>
      <c r="D1742" s="49"/>
      <c r="E1742" s="71"/>
      <c r="F1742" s="46"/>
      <c r="G1742" s="72"/>
      <c r="H1742" s="46"/>
      <c r="I1742" s="53" t="str">
        <f ca="1"/>
        <v>退会済</v>
      </c>
      <c r="J1742" s="113"/>
      <c r="K1742" s="49" t="s">
        <v>50</v>
      </c>
      <c r="M1742" s="107" t="s">
        <v>52</v>
      </c>
    </row>
    <row r="1743" spans="1:13" ht="16">
      <c r="A1743" s="101" t="str">
        <f t="shared" si="1"/>
        <v>-</v>
      </c>
      <c r="B1743" s="48"/>
      <c r="C1743" s="53"/>
      <c r="D1743" s="49"/>
      <c r="E1743" s="71"/>
      <c r="F1743" s="46"/>
      <c r="G1743" s="72"/>
      <c r="H1743" s="46"/>
      <c r="I1743" s="53" t="str">
        <f ca="1"/>
        <v>退会済</v>
      </c>
      <c r="J1743" s="113"/>
      <c r="K1743" s="49" t="s">
        <v>50</v>
      </c>
      <c r="M1743" s="107" t="s">
        <v>52</v>
      </c>
    </row>
    <row r="1744" spans="1:13" ht="16">
      <c r="A1744" s="101" t="str">
        <f t="shared" si="1"/>
        <v>-</v>
      </c>
      <c r="B1744" s="48"/>
      <c r="C1744" s="53"/>
      <c r="D1744" s="49"/>
      <c r="E1744" s="71"/>
      <c r="F1744" s="46"/>
      <c r="G1744" s="72"/>
      <c r="H1744" s="46"/>
      <c r="I1744" s="53" t="str">
        <f ca="1"/>
        <v>退会済</v>
      </c>
      <c r="J1744" s="113"/>
      <c r="K1744" s="49" t="s">
        <v>50</v>
      </c>
      <c r="M1744" s="107" t="s">
        <v>52</v>
      </c>
    </row>
    <row r="1745" spans="1:13" ht="16">
      <c r="A1745" s="101" t="str">
        <f t="shared" si="1"/>
        <v>-</v>
      </c>
      <c r="B1745" s="48"/>
      <c r="C1745" s="53"/>
      <c r="D1745" s="49"/>
      <c r="E1745" s="71"/>
      <c r="F1745" s="46"/>
      <c r="G1745" s="72"/>
      <c r="H1745" s="46"/>
      <c r="I1745" s="53" t="str">
        <f ca="1"/>
        <v>退会済</v>
      </c>
      <c r="J1745" s="113"/>
      <c r="K1745" s="49" t="s">
        <v>50</v>
      </c>
      <c r="M1745" s="107" t="s">
        <v>52</v>
      </c>
    </row>
    <row r="1746" spans="1:13" ht="16">
      <c r="A1746" s="101" t="str">
        <f t="shared" si="1"/>
        <v>-</v>
      </c>
      <c r="B1746" s="48"/>
      <c r="C1746" s="53"/>
      <c r="D1746" s="49"/>
      <c r="E1746" s="71"/>
      <c r="F1746" s="46"/>
      <c r="G1746" s="72"/>
      <c r="H1746" s="46"/>
      <c r="I1746" s="53" t="str">
        <f ca="1"/>
        <v>退会済</v>
      </c>
      <c r="J1746" s="113"/>
      <c r="K1746" s="49" t="s">
        <v>50</v>
      </c>
      <c r="M1746" s="107" t="s">
        <v>52</v>
      </c>
    </row>
    <row r="1747" spans="1:13" ht="16">
      <c r="A1747" s="101" t="str">
        <f t="shared" si="1"/>
        <v>-</v>
      </c>
      <c r="B1747" s="48"/>
      <c r="C1747" s="53"/>
      <c r="D1747" s="49"/>
      <c r="E1747" s="71"/>
      <c r="F1747" s="46"/>
      <c r="G1747" s="72"/>
      <c r="H1747" s="46"/>
      <c r="I1747" s="53" t="str">
        <f ca="1"/>
        <v>退会済</v>
      </c>
      <c r="J1747" s="113"/>
      <c r="K1747" s="49" t="s">
        <v>50</v>
      </c>
      <c r="M1747" s="107" t="s">
        <v>52</v>
      </c>
    </row>
    <row r="1748" spans="1:13" ht="16">
      <c r="A1748" s="101" t="str">
        <f t="shared" si="1"/>
        <v>-</v>
      </c>
      <c r="B1748" s="48"/>
      <c r="C1748" s="53"/>
      <c r="D1748" s="49"/>
      <c r="E1748" s="71"/>
      <c r="F1748" s="46"/>
      <c r="G1748" s="72"/>
      <c r="H1748" s="46"/>
      <c r="I1748" s="53" t="str">
        <f ca="1"/>
        <v>退会済</v>
      </c>
      <c r="J1748" s="113"/>
      <c r="K1748" s="49" t="s">
        <v>50</v>
      </c>
      <c r="M1748" s="107" t="s">
        <v>52</v>
      </c>
    </row>
    <row r="1749" spans="1:13" ht="16">
      <c r="A1749" s="101" t="str">
        <f t="shared" si="1"/>
        <v>-</v>
      </c>
      <c r="B1749" s="48"/>
      <c r="C1749" s="53"/>
      <c r="D1749" s="49"/>
      <c r="E1749" s="71"/>
      <c r="F1749" s="46"/>
      <c r="G1749" s="72"/>
      <c r="H1749" s="46"/>
      <c r="I1749" s="53" t="str">
        <f ca="1"/>
        <v>退会済</v>
      </c>
      <c r="J1749" s="113"/>
      <c r="K1749" s="49" t="s">
        <v>50</v>
      </c>
      <c r="M1749" s="107" t="s">
        <v>52</v>
      </c>
    </row>
    <row r="1750" spans="1:13" ht="16">
      <c r="A1750" s="101" t="str">
        <f t="shared" si="1"/>
        <v>-</v>
      </c>
      <c r="B1750" s="48"/>
      <c r="C1750" s="53"/>
      <c r="D1750" s="49"/>
      <c r="E1750" s="71"/>
      <c r="F1750" s="46"/>
      <c r="G1750" s="72"/>
      <c r="H1750" s="46"/>
      <c r="I1750" s="53" t="str">
        <f ca="1"/>
        <v>退会済</v>
      </c>
      <c r="J1750" s="113"/>
      <c r="K1750" s="49" t="s">
        <v>50</v>
      </c>
      <c r="M1750" s="107" t="s">
        <v>52</v>
      </c>
    </row>
    <row r="1751" spans="1:13" ht="16">
      <c r="A1751" s="101" t="str">
        <f t="shared" si="1"/>
        <v>-</v>
      </c>
      <c r="B1751" s="48"/>
      <c r="C1751" s="53"/>
      <c r="D1751" s="49"/>
      <c r="E1751" s="71"/>
      <c r="F1751" s="46"/>
      <c r="G1751" s="72"/>
      <c r="H1751" s="46"/>
      <c r="I1751" s="53" t="str">
        <f ca="1"/>
        <v>退会済</v>
      </c>
      <c r="J1751" s="113"/>
      <c r="K1751" s="49" t="s">
        <v>50</v>
      </c>
      <c r="M1751" s="107" t="s">
        <v>52</v>
      </c>
    </row>
    <row r="1752" spans="1:13" ht="16">
      <c r="A1752" s="101" t="str">
        <f t="shared" si="1"/>
        <v>-</v>
      </c>
      <c r="B1752" s="48"/>
      <c r="C1752" s="53"/>
      <c r="D1752" s="49"/>
      <c r="E1752" s="71"/>
      <c r="F1752" s="46"/>
      <c r="G1752" s="72"/>
      <c r="H1752" s="46"/>
      <c r="I1752" s="53" t="str">
        <f ca="1"/>
        <v>退会済</v>
      </c>
      <c r="J1752" s="113"/>
      <c r="K1752" s="49" t="s">
        <v>50</v>
      </c>
      <c r="M1752" s="107" t="s">
        <v>52</v>
      </c>
    </row>
    <row r="1753" spans="1:13" ht="16">
      <c r="A1753" s="101" t="str">
        <f t="shared" si="1"/>
        <v>-</v>
      </c>
      <c r="B1753" s="48"/>
      <c r="C1753" s="53"/>
      <c r="D1753" s="49"/>
      <c r="E1753" s="71"/>
      <c r="F1753" s="46"/>
      <c r="G1753" s="72"/>
      <c r="H1753" s="46"/>
      <c r="I1753" s="53" t="str">
        <f ca="1"/>
        <v>退会済</v>
      </c>
      <c r="J1753" s="113"/>
      <c r="K1753" s="49" t="s">
        <v>50</v>
      </c>
      <c r="M1753" s="107" t="s">
        <v>52</v>
      </c>
    </row>
    <row r="1754" spans="1:13" ht="16">
      <c r="A1754" s="101" t="str">
        <f t="shared" si="1"/>
        <v>-</v>
      </c>
      <c r="B1754" s="48"/>
      <c r="C1754" s="53"/>
      <c r="D1754" s="49"/>
      <c r="E1754" s="71"/>
      <c r="F1754" s="46"/>
      <c r="G1754" s="72"/>
      <c r="H1754" s="46"/>
      <c r="I1754" s="53" t="str">
        <f ca="1"/>
        <v>退会済</v>
      </c>
      <c r="J1754" s="113"/>
      <c r="K1754" s="49" t="s">
        <v>50</v>
      </c>
      <c r="M1754" s="107" t="s">
        <v>52</v>
      </c>
    </row>
    <row r="1755" spans="1:13" ht="16">
      <c r="A1755" s="101" t="str">
        <f t="shared" si="1"/>
        <v>-</v>
      </c>
      <c r="B1755" s="48"/>
      <c r="C1755" s="53"/>
      <c r="D1755" s="49"/>
      <c r="E1755" s="71"/>
      <c r="F1755" s="46"/>
      <c r="G1755" s="72"/>
      <c r="H1755" s="46"/>
      <c r="I1755" s="53" t="str">
        <f ca="1"/>
        <v>退会済</v>
      </c>
      <c r="J1755" s="113"/>
      <c r="K1755" s="49" t="s">
        <v>50</v>
      </c>
      <c r="M1755" s="107" t="s">
        <v>52</v>
      </c>
    </row>
    <row r="1756" spans="1:13" ht="16">
      <c r="A1756" s="101" t="str">
        <f t="shared" si="1"/>
        <v>-</v>
      </c>
      <c r="B1756" s="48"/>
      <c r="C1756" s="53"/>
      <c r="D1756" s="49"/>
      <c r="E1756" s="71"/>
      <c r="F1756" s="46"/>
      <c r="G1756" s="72"/>
      <c r="H1756" s="46"/>
      <c r="I1756" s="53" t="str">
        <f ca="1"/>
        <v>退会済</v>
      </c>
      <c r="J1756" s="113"/>
      <c r="K1756" s="49" t="s">
        <v>50</v>
      </c>
      <c r="M1756" s="107" t="s">
        <v>52</v>
      </c>
    </row>
    <row r="1757" spans="1:13" ht="16">
      <c r="A1757" s="101" t="str">
        <f t="shared" si="1"/>
        <v>-</v>
      </c>
      <c r="B1757" s="48"/>
      <c r="C1757" s="53"/>
      <c r="D1757" s="49"/>
      <c r="E1757" s="71"/>
      <c r="F1757" s="46"/>
      <c r="G1757" s="72"/>
      <c r="H1757" s="46"/>
      <c r="I1757" s="53" t="str">
        <f ca="1"/>
        <v>退会済</v>
      </c>
      <c r="J1757" s="113"/>
      <c r="K1757" s="49" t="s">
        <v>50</v>
      </c>
      <c r="M1757" s="107" t="s">
        <v>52</v>
      </c>
    </row>
    <row r="1758" spans="1:13" ht="16">
      <c r="A1758" s="101" t="str">
        <f t="shared" si="1"/>
        <v>-</v>
      </c>
      <c r="B1758" s="48"/>
      <c r="C1758" s="53"/>
      <c r="D1758" s="49"/>
      <c r="E1758" s="71"/>
      <c r="F1758" s="46"/>
      <c r="G1758" s="72"/>
      <c r="H1758" s="46"/>
      <c r="I1758" s="53" t="str">
        <f ca="1"/>
        <v>退会済</v>
      </c>
      <c r="J1758" s="113"/>
      <c r="K1758" s="49" t="s">
        <v>50</v>
      </c>
      <c r="M1758" s="107" t="s">
        <v>52</v>
      </c>
    </row>
    <row r="1759" spans="1:13" ht="16">
      <c r="A1759" s="101" t="str">
        <f t="shared" si="1"/>
        <v>-</v>
      </c>
      <c r="B1759" s="48"/>
      <c r="C1759" s="53"/>
      <c r="D1759" s="49"/>
      <c r="E1759" s="71"/>
      <c r="F1759" s="46"/>
      <c r="G1759" s="72"/>
      <c r="H1759" s="46"/>
      <c r="I1759" s="53" t="str">
        <f ca="1"/>
        <v>退会済</v>
      </c>
      <c r="J1759" s="113"/>
      <c r="K1759" s="49" t="s">
        <v>50</v>
      </c>
      <c r="M1759" s="107" t="s">
        <v>52</v>
      </c>
    </row>
    <row r="1760" spans="1:13" ht="16">
      <c r="A1760" s="101" t="str">
        <f t="shared" si="1"/>
        <v>-</v>
      </c>
      <c r="B1760" s="48"/>
      <c r="C1760" s="53"/>
      <c r="D1760" s="49"/>
      <c r="E1760" s="71"/>
      <c r="F1760" s="46"/>
      <c r="G1760" s="72"/>
      <c r="H1760" s="46"/>
      <c r="I1760" s="53" t="str">
        <f ca="1"/>
        <v>退会済</v>
      </c>
      <c r="J1760" s="113"/>
      <c r="K1760" s="49" t="s">
        <v>50</v>
      </c>
      <c r="M1760" s="107" t="s">
        <v>52</v>
      </c>
    </row>
    <row r="1761" spans="1:13" ht="16">
      <c r="A1761" s="101" t="str">
        <f t="shared" si="1"/>
        <v>-</v>
      </c>
      <c r="B1761" s="48"/>
      <c r="C1761" s="53"/>
      <c r="D1761" s="49"/>
      <c r="E1761" s="71"/>
      <c r="F1761" s="46"/>
      <c r="G1761" s="72"/>
      <c r="H1761" s="46"/>
      <c r="I1761" s="53" t="str">
        <f ca="1"/>
        <v>退会済</v>
      </c>
      <c r="J1761" s="113"/>
      <c r="K1761" s="49" t="s">
        <v>50</v>
      </c>
      <c r="M1761" s="107" t="s">
        <v>52</v>
      </c>
    </row>
    <row r="1762" spans="1:13" ht="16">
      <c r="A1762" s="101" t="str">
        <f t="shared" si="1"/>
        <v>-</v>
      </c>
      <c r="B1762" s="48"/>
      <c r="C1762" s="53"/>
      <c r="D1762" s="49"/>
      <c r="E1762" s="71"/>
      <c r="F1762" s="46"/>
      <c r="G1762" s="72"/>
      <c r="H1762" s="46"/>
      <c r="I1762" s="53" t="str">
        <f ca="1"/>
        <v>退会済</v>
      </c>
      <c r="J1762" s="113"/>
      <c r="K1762" s="49" t="s">
        <v>50</v>
      </c>
      <c r="M1762" s="107" t="s">
        <v>52</v>
      </c>
    </row>
    <row r="1763" spans="1:13" ht="16">
      <c r="A1763" s="101" t="str">
        <f t="shared" si="1"/>
        <v>-</v>
      </c>
      <c r="B1763" s="48"/>
      <c r="C1763" s="53"/>
      <c r="D1763" s="49"/>
      <c r="E1763" s="71"/>
      <c r="F1763" s="46"/>
      <c r="G1763" s="72"/>
      <c r="H1763" s="46"/>
      <c r="I1763" s="53" t="str">
        <f ca="1"/>
        <v>退会済</v>
      </c>
      <c r="J1763" s="113"/>
      <c r="K1763" s="49" t="s">
        <v>50</v>
      </c>
      <c r="M1763" s="107" t="s">
        <v>52</v>
      </c>
    </row>
    <row r="1764" spans="1:13" ht="16">
      <c r="A1764" s="101" t="str">
        <f t="shared" si="1"/>
        <v>-</v>
      </c>
      <c r="B1764" s="48"/>
      <c r="C1764" s="53"/>
      <c r="D1764" s="49"/>
      <c r="E1764" s="71"/>
      <c r="F1764" s="46"/>
      <c r="G1764" s="72"/>
      <c r="H1764" s="46"/>
      <c r="I1764" s="53" t="str">
        <f ca="1"/>
        <v>退会済</v>
      </c>
      <c r="J1764" s="113"/>
      <c r="K1764" s="49" t="s">
        <v>50</v>
      </c>
      <c r="M1764" s="107" t="s">
        <v>52</v>
      </c>
    </row>
    <row r="1765" spans="1:13" ht="16">
      <c r="A1765" s="101" t="str">
        <f t="shared" si="1"/>
        <v>-</v>
      </c>
      <c r="B1765" s="48"/>
      <c r="C1765" s="53"/>
      <c r="D1765" s="49"/>
      <c r="E1765" s="71"/>
      <c r="F1765" s="46"/>
      <c r="G1765" s="72"/>
      <c r="H1765" s="46"/>
      <c r="I1765" s="53" t="str">
        <f ca="1"/>
        <v>退会済</v>
      </c>
      <c r="J1765" s="113"/>
      <c r="K1765" s="49" t="s">
        <v>50</v>
      </c>
      <c r="M1765" s="107" t="s">
        <v>52</v>
      </c>
    </row>
    <row r="1766" spans="1:13" ht="16">
      <c r="A1766" s="101" t="str">
        <f t="shared" si="1"/>
        <v>-</v>
      </c>
      <c r="B1766" s="48"/>
      <c r="C1766" s="53"/>
      <c r="D1766" s="49"/>
      <c r="E1766" s="71"/>
      <c r="F1766" s="46"/>
      <c r="G1766" s="72"/>
      <c r="H1766" s="46"/>
      <c r="I1766" s="53" t="str">
        <f ca="1"/>
        <v>退会済</v>
      </c>
      <c r="J1766" s="113"/>
      <c r="K1766" s="49" t="s">
        <v>50</v>
      </c>
      <c r="M1766" s="107" t="s">
        <v>52</v>
      </c>
    </row>
    <row r="1767" spans="1:13" ht="16">
      <c r="A1767" s="101" t="str">
        <f t="shared" si="1"/>
        <v>-</v>
      </c>
      <c r="B1767" s="48"/>
      <c r="C1767" s="53"/>
      <c r="D1767" s="49"/>
      <c r="E1767" s="71"/>
      <c r="F1767" s="46"/>
      <c r="G1767" s="72"/>
      <c r="H1767" s="46"/>
      <c r="I1767" s="53" t="str">
        <f ca="1"/>
        <v>退会済</v>
      </c>
      <c r="J1767" s="113"/>
      <c r="K1767" s="49" t="s">
        <v>50</v>
      </c>
      <c r="M1767" s="107" t="s">
        <v>52</v>
      </c>
    </row>
    <row r="1768" spans="1:13" ht="16">
      <c r="A1768" s="101" t="str">
        <f t="shared" si="1"/>
        <v>-</v>
      </c>
      <c r="B1768" s="48"/>
      <c r="C1768" s="53"/>
      <c r="D1768" s="49"/>
      <c r="E1768" s="71"/>
      <c r="F1768" s="46"/>
      <c r="G1768" s="72"/>
      <c r="H1768" s="46"/>
      <c r="I1768" s="53" t="str">
        <f ca="1"/>
        <v>退会済</v>
      </c>
      <c r="J1768" s="113"/>
      <c r="K1768" s="49" t="s">
        <v>50</v>
      </c>
      <c r="M1768" s="107" t="s">
        <v>52</v>
      </c>
    </row>
    <row r="1769" spans="1:13" ht="16">
      <c r="A1769" s="101" t="str">
        <f t="shared" si="1"/>
        <v>-</v>
      </c>
      <c r="B1769" s="48"/>
      <c r="C1769" s="53"/>
      <c r="D1769" s="49"/>
      <c r="E1769" s="71"/>
      <c r="F1769" s="46"/>
      <c r="G1769" s="72"/>
      <c r="H1769" s="46"/>
      <c r="I1769" s="53" t="str">
        <f ca="1"/>
        <v>退会済</v>
      </c>
      <c r="J1769" s="113"/>
      <c r="K1769" s="49" t="s">
        <v>50</v>
      </c>
      <c r="M1769" s="107" t="s">
        <v>52</v>
      </c>
    </row>
    <row r="1770" spans="1:13" ht="16">
      <c r="A1770" s="101" t="str">
        <f t="shared" si="1"/>
        <v>-</v>
      </c>
      <c r="B1770" s="48"/>
      <c r="C1770" s="53"/>
      <c r="D1770" s="49"/>
      <c r="E1770" s="71"/>
      <c r="F1770" s="46"/>
      <c r="G1770" s="72"/>
      <c r="H1770" s="46"/>
      <c r="I1770" s="53" t="str">
        <f ca="1"/>
        <v>退会済</v>
      </c>
      <c r="J1770" s="113"/>
      <c r="K1770" s="49" t="s">
        <v>50</v>
      </c>
      <c r="M1770" s="107" t="s">
        <v>52</v>
      </c>
    </row>
    <row r="1771" spans="1:13" ht="16">
      <c r="A1771" s="101" t="str">
        <f t="shared" si="1"/>
        <v>-</v>
      </c>
      <c r="B1771" s="48"/>
      <c r="C1771" s="53"/>
      <c r="D1771" s="49"/>
      <c r="E1771" s="71"/>
      <c r="F1771" s="46"/>
      <c r="G1771" s="72"/>
      <c r="H1771" s="46"/>
      <c r="I1771" s="53" t="str">
        <f ca="1"/>
        <v>退会済</v>
      </c>
      <c r="J1771" s="113"/>
      <c r="K1771" s="49" t="s">
        <v>50</v>
      </c>
      <c r="M1771" s="107" t="s">
        <v>52</v>
      </c>
    </row>
    <row r="1772" spans="1:13" ht="16">
      <c r="A1772" s="101" t="str">
        <f t="shared" si="1"/>
        <v>-</v>
      </c>
      <c r="B1772" s="48"/>
      <c r="C1772" s="53"/>
      <c r="D1772" s="49"/>
      <c r="E1772" s="71"/>
      <c r="F1772" s="46"/>
      <c r="G1772" s="72"/>
      <c r="H1772" s="46"/>
      <c r="I1772" s="53" t="str">
        <f ca="1"/>
        <v>退会済</v>
      </c>
      <c r="J1772" s="113"/>
      <c r="K1772" s="49" t="s">
        <v>50</v>
      </c>
      <c r="M1772" s="107" t="s">
        <v>52</v>
      </c>
    </row>
    <row r="1773" spans="1:13" ht="16">
      <c r="A1773" s="101" t="str">
        <f t="shared" si="1"/>
        <v>-</v>
      </c>
      <c r="B1773" s="48"/>
      <c r="C1773" s="53"/>
      <c r="D1773" s="49"/>
      <c r="E1773" s="71"/>
      <c r="F1773" s="46"/>
      <c r="G1773" s="72"/>
      <c r="H1773" s="46"/>
      <c r="I1773" s="53" t="str">
        <f ca="1"/>
        <v>退会済</v>
      </c>
      <c r="J1773" s="113"/>
      <c r="K1773" s="49" t="s">
        <v>50</v>
      </c>
      <c r="M1773" s="107" t="s">
        <v>52</v>
      </c>
    </row>
    <row r="1774" spans="1:13" ht="16">
      <c r="A1774" s="101" t="str">
        <f t="shared" si="1"/>
        <v>-</v>
      </c>
      <c r="B1774" s="48"/>
      <c r="C1774" s="53"/>
      <c r="D1774" s="49"/>
      <c r="E1774" s="71"/>
      <c r="F1774" s="46"/>
      <c r="G1774" s="72"/>
      <c r="H1774" s="46"/>
      <c r="I1774" s="53" t="str">
        <f ca="1"/>
        <v>退会済</v>
      </c>
      <c r="J1774" s="113"/>
      <c r="K1774" s="49" t="s">
        <v>50</v>
      </c>
      <c r="M1774" s="107" t="s">
        <v>52</v>
      </c>
    </row>
    <row r="1775" spans="1:13" ht="16">
      <c r="A1775" s="101" t="str">
        <f t="shared" si="1"/>
        <v>-</v>
      </c>
      <c r="B1775" s="48"/>
      <c r="C1775" s="53"/>
      <c r="D1775" s="49"/>
      <c r="E1775" s="71"/>
      <c r="F1775" s="46"/>
      <c r="G1775" s="72"/>
      <c r="H1775" s="46"/>
      <c r="I1775" s="53" t="str">
        <f ca="1"/>
        <v>退会済</v>
      </c>
      <c r="J1775" s="113"/>
      <c r="K1775" s="49" t="s">
        <v>50</v>
      </c>
      <c r="M1775" s="107" t="s">
        <v>52</v>
      </c>
    </row>
    <row r="1776" spans="1:13" ht="16">
      <c r="A1776" s="101" t="str">
        <f t="shared" si="1"/>
        <v>-</v>
      </c>
      <c r="B1776" s="48"/>
      <c r="C1776" s="53"/>
      <c r="D1776" s="49"/>
      <c r="E1776" s="71"/>
      <c r="F1776" s="46"/>
      <c r="G1776" s="72"/>
      <c r="H1776" s="46"/>
      <c r="I1776" s="53" t="str">
        <f ca="1"/>
        <v>退会済</v>
      </c>
      <c r="J1776" s="113"/>
      <c r="K1776" s="49" t="s">
        <v>50</v>
      </c>
      <c r="M1776" s="107" t="s">
        <v>52</v>
      </c>
    </row>
    <row r="1777" spans="1:13" ht="16">
      <c r="A1777" s="101" t="str">
        <f t="shared" si="1"/>
        <v>-</v>
      </c>
      <c r="B1777" s="48"/>
      <c r="C1777" s="53"/>
      <c r="D1777" s="49"/>
      <c r="E1777" s="71"/>
      <c r="F1777" s="46"/>
      <c r="G1777" s="72"/>
      <c r="H1777" s="46"/>
      <c r="I1777" s="53" t="str">
        <f ca="1"/>
        <v>退会済</v>
      </c>
      <c r="J1777" s="113"/>
      <c r="K1777" s="49" t="s">
        <v>50</v>
      </c>
      <c r="M1777" s="107" t="s">
        <v>52</v>
      </c>
    </row>
    <row r="1778" spans="1:13" ht="16">
      <c r="A1778" s="101" t="str">
        <f t="shared" si="1"/>
        <v>-</v>
      </c>
      <c r="B1778" s="48"/>
      <c r="C1778" s="53"/>
      <c r="D1778" s="49"/>
      <c r="E1778" s="71"/>
      <c r="F1778" s="46"/>
      <c r="G1778" s="72"/>
      <c r="H1778" s="46"/>
      <c r="I1778" s="53" t="str">
        <f ca="1"/>
        <v>退会済</v>
      </c>
      <c r="J1778" s="113"/>
      <c r="K1778" s="49" t="s">
        <v>50</v>
      </c>
      <c r="M1778" s="107" t="s">
        <v>52</v>
      </c>
    </row>
    <row r="1779" spans="1:13" ht="16">
      <c r="A1779" s="101" t="str">
        <f t="shared" si="1"/>
        <v>-</v>
      </c>
      <c r="B1779" s="48"/>
      <c r="C1779" s="53"/>
      <c r="D1779" s="49"/>
      <c r="E1779" s="71"/>
      <c r="F1779" s="46"/>
      <c r="G1779" s="72"/>
      <c r="H1779" s="46"/>
      <c r="I1779" s="53" t="str">
        <f ca="1"/>
        <v>退会済</v>
      </c>
      <c r="J1779" s="113"/>
      <c r="K1779" s="49" t="s">
        <v>50</v>
      </c>
      <c r="M1779" s="107" t="s">
        <v>52</v>
      </c>
    </row>
    <row r="1780" spans="1:13" ht="16">
      <c r="A1780" s="101" t="str">
        <f t="shared" si="1"/>
        <v>-</v>
      </c>
      <c r="B1780" s="48"/>
      <c r="C1780" s="53"/>
      <c r="D1780" s="49"/>
      <c r="E1780" s="71"/>
      <c r="F1780" s="46"/>
      <c r="G1780" s="72"/>
      <c r="H1780" s="46"/>
      <c r="I1780" s="53" t="str">
        <f ca="1"/>
        <v>退会済</v>
      </c>
      <c r="J1780" s="113"/>
      <c r="K1780" s="49" t="s">
        <v>50</v>
      </c>
      <c r="M1780" s="107" t="s">
        <v>52</v>
      </c>
    </row>
    <row r="1781" spans="1:13" ht="16">
      <c r="A1781" s="101" t="str">
        <f t="shared" si="1"/>
        <v>-</v>
      </c>
      <c r="B1781" s="48"/>
      <c r="C1781" s="53"/>
      <c r="D1781" s="49"/>
      <c r="E1781" s="71"/>
      <c r="F1781" s="46"/>
      <c r="G1781" s="72"/>
      <c r="H1781" s="46"/>
      <c r="I1781" s="53" t="str">
        <f ca="1"/>
        <v>退会済</v>
      </c>
      <c r="J1781" s="113"/>
      <c r="K1781" s="49" t="s">
        <v>50</v>
      </c>
      <c r="M1781" s="107" t="s">
        <v>52</v>
      </c>
    </row>
    <row r="1782" spans="1:13" ht="16">
      <c r="A1782" s="101" t="str">
        <f t="shared" si="1"/>
        <v>-</v>
      </c>
      <c r="B1782" s="48"/>
      <c r="C1782" s="53"/>
      <c r="D1782" s="49"/>
      <c r="E1782" s="71"/>
      <c r="F1782" s="46"/>
      <c r="G1782" s="72"/>
      <c r="H1782" s="46"/>
      <c r="I1782" s="53" t="str">
        <f ca="1"/>
        <v>退会済</v>
      </c>
      <c r="J1782" s="113"/>
      <c r="K1782" s="49" t="s">
        <v>50</v>
      </c>
      <c r="M1782" s="107" t="s">
        <v>52</v>
      </c>
    </row>
    <row r="1783" spans="1:13" ht="16">
      <c r="A1783" s="101" t="str">
        <f t="shared" si="1"/>
        <v>-</v>
      </c>
      <c r="B1783" s="48"/>
      <c r="C1783" s="53"/>
      <c r="D1783" s="49"/>
      <c r="E1783" s="71"/>
      <c r="F1783" s="46"/>
      <c r="G1783" s="72"/>
      <c r="H1783" s="46"/>
      <c r="I1783" s="53" t="str">
        <f ca="1"/>
        <v>退会済</v>
      </c>
      <c r="J1783" s="113"/>
      <c r="K1783" s="49" t="s">
        <v>50</v>
      </c>
      <c r="M1783" s="107" t="s">
        <v>52</v>
      </c>
    </row>
    <row r="1784" spans="1:13" ht="16">
      <c r="A1784" s="101" t="str">
        <f t="shared" si="1"/>
        <v>-</v>
      </c>
      <c r="B1784" s="48"/>
      <c r="C1784" s="53"/>
      <c r="D1784" s="49"/>
      <c r="E1784" s="71"/>
      <c r="F1784" s="46"/>
      <c r="G1784" s="72"/>
      <c r="H1784" s="46"/>
      <c r="I1784" s="53" t="str">
        <f ca="1"/>
        <v>退会済</v>
      </c>
      <c r="J1784" s="113"/>
      <c r="K1784" s="49" t="s">
        <v>50</v>
      </c>
      <c r="M1784" s="107" t="s">
        <v>52</v>
      </c>
    </row>
    <row r="1785" spans="1:13" ht="16">
      <c r="A1785" s="101" t="str">
        <f t="shared" si="1"/>
        <v>-</v>
      </c>
      <c r="B1785" s="48"/>
      <c r="C1785" s="53"/>
      <c r="D1785" s="49"/>
      <c r="E1785" s="71"/>
      <c r="F1785" s="46"/>
      <c r="G1785" s="72"/>
      <c r="H1785" s="46"/>
      <c r="I1785" s="53" t="str">
        <f ca="1"/>
        <v>退会済</v>
      </c>
      <c r="J1785" s="113"/>
      <c r="K1785" s="49" t="s">
        <v>50</v>
      </c>
      <c r="M1785" s="107" t="s">
        <v>52</v>
      </c>
    </row>
    <row r="1786" spans="1:13" ht="16">
      <c r="A1786" s="101" t="str">
        <f t="shared" si="1"/>
        <v>-</v>
      </c>
      <c r="B1786" s="48"/>
      <c r="C1786" s="53"/>
      <c r="D1786" s="49"/>
      <c r="E1786" s="71"/>
      <c r="F1786" s="46"/>
      <c r="G1786" s="72"/>
      <c r="H1786" s="46"/>
      <c r="I1786" s="53" t="str">
        <f ca="1"/>
        <v>退会済</v>
      </c>
      <c r="J1786" s="113"/>
      <c r="K1786" s="49" t="s">
        <v>50</v>
      </c>
      <c r="M1786" s="107" t="s">
        <v>52</v>
      </c>
    </row>
    <row r="1787" spans="1:13" ht="16">
      <c r="A1787" s="101" t="str">
        <f t="shared" si="1"/>
        <v>-</v>
      </c>
      <c r="B1787" s="48"/>
      <c r="C1787" s="53"/>
      <c r="D1787" s="49"/>
      <c r="E1787" s="71"/>
      <c r="F1787" s="46"/>
      <c r="G1787" s="72"/>
      <c r="H1787" s="46"/>
      <c r="I1787" s="53" t="str">
        <f ca="1"/>
        <v>退会済</v>
      </c>
      <c r="J1787" s="113"/>
      <c r="K1787" s="49" t="s">
        <v>50</v>
      </c>
      <c r="M1787" s="107" t="s">
        <v>52</v>
      </c>
    </row>
    <row r="1788" spans="1:13" ht="16">
      <c r="A1788" s="101" t="str">
        <f t="shared" si="1"/>
        <v>-</v>
      </c>
      <c r="B1788" s="48"/>
      <c r="C1788" s="53"/>
      <c r="D1788" s="49"/>
      <c r="E1788" s="71"/>
      <c r="F1788" s="46"/>
      <c r="G1788" s="72"/>
      <c r="H1788" s="46"/>
      <c r="I1788" s="53" t="str">
        <f ca="1"/>
        <v>退会済</v>
      </c>
      <c r="J1788" s="113"/>
      <c r="K1788" s="49" t="s">
        <v>50</v>
      </c>
      <c r="M1788" s="107" t="s">
        <v>52</v>
      </c>
    </row>
    <row r="1789" spans="1:13" ht="16">
      <c r="A1789" s="101" t="str">
        <f t="shared" si="1"/>
        <v>-</v>
      </c>
      <c r="B1789" s="48"/>
      <c r="C1789" s="53"/>
      <c r="D1789" s="49"/>
      <c r="E1789" s="71"/>
      <c r="F1789" s="46"/>
      <c r="G1789" s="72"/>
      <c r="H1789" s="46"/>
      <c r="I1789" s="53" t="str">
        <f ca="1"/>
        <v>退会済</v>
      </c>
      <c r="J1789" s="113"/>
      <c r="K1789" s="49" t="s">
        <v>50</v>
      </c>
      <c r="M1789" s="107" t="s">
        <v>52</v>
      </c>
    </row>
    <row r="1790" spans="1:13" ht="16">
      <c r="A1790" s="101" t="str">
        <f t="shared" si="1"/>
        <v>-</v>
      </c>
      <c r="B1790" s="48"/>
      <c r="C1790" s="53"/>
      <c r="D1790" s="49"/>
      <c r="E1790" s="71"/>
      <c r="F1790" s="46"/>
      <c r="G1790" s="72"/>
      <c r="H1790" s="46"/>
      <c r="I1790" s="53" t="str">
        <f ca="1"/>
        <v>退会済</v>
      </c>
      <c r="J1790" s="113"/>
      <c r="K1790" s="49" t="s">
        <v>50</v>
      </c>
      <c r="M1790" s="107" t="s">
        <v>52</v>
      </c>
    </row>
    <row r="1791" spans="1:13" ht="16">
      <c r="A1791" s="101" t="str">
        <f t="shared" si="1"/>
        <v>-</v>
      </c>
      <c r="B1791" s="48"/>
      <c r="C1791" s="53"/>
      <c r="D1791" s="49"/>
      <c r="E1791" s="71"/>
      <c r="F1791" s="46"/>
      <c r="G1791" s="72"/>
      <c r="H1791" s="46"/>
      <c r="I1791" s="53" t="str">
        <f ca="1"/>
        <v>退会済</v>
      </c>
      <c r="J1791" s="113"/>
      <c r="K1791" s="49" t="s">
        <v>50</v>
      </c>
      <c r="M1791" s="107" t="s">
        <v>52</v>
      </c>
    </row>
    <row r="1792" spans="1:13" ht="16">
      <c r="A1792" s="101" t="str">
        <f t="shared" si="1"/>
        <v>-</v>
      </c>
      <c r="B1792" s="48"/>
      <c r="C1792" s="53"/>
      <c r="D1792" s="49"/>
      <c r="E1792" s="71"/>
      <c r="F1792" s="46"/>
      <c r="G1792" s="72"/>
      <c r="H1792" s="46"/>
      <c r="I1792" s="53" t="str">
        <f ca="1"/>
        <v>退会済</v>
      </c>
      <c r="J1792" s="113"/>
      <c r="K1792" s="49" t="s">
        <v>50</v>
      </c>
      <c r="M1792" s="107" t="s">
        <v>52</v>
      </c>
    </row>
    <row r="1793" spans="1:13" ht="16">
      <c r="A1793" s="101" t="str">
        <f t="shared" si="1"/>
        <v>-</v>
      </c>
      <c r="B1793" s="48"/>
      <c r="C1793" s="53"/>
      <c r="D1793" s="49"/>
      <c r="E1793" s="71"/>
      <c r="F1793" s="46"/>
      <c r="G1793" s="72"/>
      <c r="H1793" s="46"/>
      <c r="I1793" s="53" t="str">
        <f ca="1"/>
        <v>退会済</v>
      </c>
      <c r="J1793" s="113"/>
      <c r="K1793" s="49" t="s">
        <v>50</v>
      </c>
      <c r="M1793" s="107" t="s">
        <v>52</v>
      </c>
    </row>
    <row r="1794" spans="1:13" ht="16">
      <c r="A1794" s="101" t="str">
        <f t="shared" si="1"/>
        <v>-</v>
      </c>
      <c r="B1794" s="48"/>
      <c r="C1794" s="53"/>
      <c r="D1794" s="49"/>
      <c r="E1794" s="71"/>
      <c r="F1794" s="46"/>
      <c r="G1794" s="72"/>
      <c r="H1794" s="46"/>
      <c r="I1794" s="53" t="str">
        <f ca="1"/>
        <v>退会済</v>
      </c>
      <c r="J1794" s="113"/>
      <c r="K1794" s="49" t="s">
        <v>50</v>
      </c>
      <c r="M1794" s="107" t="s">
        <v>52</v>
      </c>
    </row>
    <row r="1795" spans="1:13" ht="16">
      <c r="A1795" s="101" t="str">
        <f t="shared" si="1"/>
        <v>-</v>
      </c>
      <c r="B1795" s="48"/>
      <c r="C1795" s="53"/>
      <c r="D1795" s="49"/>
      <c r="E1795" s="71"/>
      <c r="F1795" s="46"/>
      <c r="G1795" s="72"/>
      <c r="H1795" s="46"/>
      <c r="I1795" s="53" t="str">
        <f ca="1"/>
        <v>退会済</v>
      </c>
      <c r="J1795" s="113"/>
      <c r="K1795" s="49" t="s">
        <v>50</v>
      </c>
      <c r="M1795" s="107" t="s">
        <v>52</v>
      </c>
    </row>
    <row r="1796" spans="1:13" ht="16">
      <c r="A1796" s="101" t="str">
        <f t="shared" si="1"/>
        <v>-</v>
      </c>
      <c r="B1796" s="48"/>
      <c r="C1796" s="53"/>
      <c r="D1796" s="49"/>
      <c r="E1796" s="71"/>
      <c r="F1796" s="46"/>
      <c r="G1796" s="72"/>
      <c r="H1796" s="46"/>
      <c r="I1796" s="53" t="str">
        <f ca="1"/>
        <v>退会済</v>
      </c>
      <c r="J1796" s="113"/>
      <c r="K1796" s="49" t="s">
        <v>50</v>
      </c>
      <c r="M1796" s="107" t="s">
        <v>52</v>
      </c>
    </row>
    <row r="1797" spans="1:13" ht="16">
      <c r="A1797" s="101" t="str">
        <f t="shared" si="1"/>
        <v>-</v>
      </c>
      <c r="B1797" s="48"/>
      <c r="C1797" s="53"/>
      <c r="D1797" s="49"/>
      <c r="E1797" s="71"/>
      <c r="F1797" s="46"/>
      <c r="G1797" s="72"/>
      <c r="H1797" s="46"/>
      <c r="I1797" s="53" t="str">
        <f ca="1"/>
        <v>退会済</v>
      </c>
      <c r="J1797" s="113"/>
      <c r="K1797" s="49" t="s">
        <v>50</v>
      </c>
      <c r="M1797" s="107" t="s">
        <v>52</v>
      </c>
    </row>
    <row r="1798" spans="1:13" ht="16">
      <c r="A1798" s="101" t="str">
        <f t="shared" si="1"/>
        <v>-</v>
      </c>
      <c r="B1798" s="48"/>
      <c r="C1798" s="53"/>
      <c r="D1798" s="49"/>
      <c r="E1798" s="71"/>
      <c r="F1798" s="46"/>
      <c r="G1798" s="72"/>
      <c r="H1798" s="46"/>
      <c r="I1798" s="53" t="str">
        <f ca="1"/>
        <v>退会済</v>
      </c>
      <c r="J1798" s="113"/>
      <c r="K1798" s="49" t="s">
        <v>50</v>
      </c>
      <c r="M1798" s="107" t="s">
        <v>52</v>
      </c>
    </row>
    <row r="1799" spans="1:13" ht="16">
      <c r="A1799" s="101" t="str">
        <f t="shared" si="1"/>
        <v>-</v>
      </c>
      <c r="B1799" s="48"/>
      <c r="C1799" s="53"/>
      <c r="D1799" s="49"/>
      <c r="E1799" s="71"/>
      <c r="F1799" s="46"/>
      <c r="G1799" s="72"/>
      <c r="H1799" s="46"/>
      <c r="I1799" s="53" t="str">
        <f ca="1"/>
        <v>退会済</v>
      </c>
      <c r="J1799" s="113"/>
      <c r="K1799" s="49" t="s">
        <v>50</v>
      </c>
      <c r="M1799" s="107" t="s">
        <v>52</v>
      </c>
    </row>
    <row r="1800" spans="1:13" ht="16">
      <c r="A1800" s="101" t="str">
        <f t="shared" si="1"/>
        <v>-</v>
      </c>
      <c r="B1800" s="48"/>
      <c r="C1800" s="53"/>
      <c r="D1800" s="49"/>
      <c r="E1800" s="71"/>
      <c r="F1800" s="46"/>
      <c r="G1800" s="72"/>
      <c r="H1800" s="46"/>
      <c r="I1800" s="53" t="str">
        <f ca="1"/>
        <v>退会済</v>
      </c>
      <c r="J1800" s="113"/>
      <c r="K1800" s="49" t="s">
        <v>50</v>
      </c>
      <c r="M1800" s="107" t="s">
        <v>52</v>
      </c>
    </row>
    <row r="1801" spans="1:13" ht="16">
      <c r="A1801" s="101" t="str">
        <f t="shared" si="1"/>
        <v>-</v>
      </c>
      <c r="B1801" s="48"/>
      <c r="C1801" s="53"/>
      <c r="D1801" s="49"/>
      <c r="E1801" s="71"/>
      <c r="F1801" s="46"/>
      <c r="G1801" s="72"/>
      <c r="H1801" s="46"/>
      <c r="I1801" s="53" t="str">
        <f ca="1"/>
        <v>退会済</v>
      </c>
      <c r="J1801" s="113"/>
      <c r="K1801" s="49" t="s">
        <v>50</v>
      </c>
      <c r="M1801" s="107" t="s">
        <v>52</v>
      </c>
    </row>
    <row r="1802" spans="1:13" ht="16">
      <c r="A1802" s="101" t="str">
        <f t="shared" si="1"/>
        <v>-</v>
      </c>
      <c r="B1802" s="48"/>
      <c r="C1802" s="53"/>
      <c r="D1802" s="49"/>
      <c r="E1802" s="71"/>
      <c r="F1802" s="46"/>
      <c r="G1802" s="72"/>
      <c r="H1802" s="46"/>
      <c r="I1802" s="53" t="str">
        <f ca="1"/>
        <v>退会済</v>
      </c>
      <c r="J1802" s="113"/>
      <c r="K1802" s="49" t="s">
        <v>50</v>
      </c>
      <c r="M1802" s="107" t="s">
        <v>52</v>
      </c>
    </row>
    <row r="1803" spans="1:13" ht="16">
      <c r="A1803" s="101" t="str">
        <f t="shared" si="1"/>
        <v>-</v>
      </c>
      <c r="B1803" s="48"/>
      <c r="C1803" s="53"/>
      <c r="D1803" s="49"/>
      <c r="E1803" s="71"/>
      <c r="F1803" s="46"/>
      <c r="G1803" s="72"/>
      <c r="H1803" s="46"/>
      <c r="I1803" s="53" t="str">
        <f ca="1"/>
        <v>退会済</v>
      </c>
      <c r="J1803" s="113"/>
      <c r="K1803" s="49" t="s">
        <v>50</v>
      </c>
      <c r="M1803" s="107" t="s">
        <v>52</v>
      </c>
    </row>
    <row r="1804" spans="1:13" ht="16">
      <c r="A1804" s="101" t="str">
        <f t="shared" si="1"/>
        <v>-</v>
      </c>
      <c r="B1804" s="48"/>
      <c r="C1804" s="53"/>
      <c r="D1804" s="49"/>
      <c r="E1804" s="71"/>
      <c r="F1804" s="46"/>
      <c r="G1804" s="72"/>
      <c r="H1804" s="46"/>
      <c r="I1804" s="53" t="str">
        <f ca="1"/>
        <v>退会済</v>
      </c>
      <c r="J1804" s="113"/>
      <c r="K1804" s="49" t="s">
        <v>50</v>
      </c>
      <c r="M1804" s="107" t="s">
        <v>52</v>
      </c>
    </row>
    <row r="1805" spans="1:13" ht="16">
      <c r="A1805" s="101" t="str">
        <f t="shared" si="1"/>
        <v>-</v>
      </c>
      <c r="B1805" s="48"/>
      <c r="C1805" s="53"/>
      <c r="D1805" s="49"/>
      <c r="E1805" s="71"/>
      <c r="F1805" s="46"/>
      <c r="G1805" s="72"/>
      <c r="H1805" s="46"/>
      <c r="I1805" s="53" t="str">
        <f ca="1"/>
        <v>退会済</v>
      </c>
      <c r="J1805" s="113"/>
      <c r="K1805" s="49" t="s">
        <v>50</v>
      </c>
      <c r="M1805" s="107" t="s">
        <v>52</v>
      </c>
    </row>
    <row r="1806" spans="1:13" ht="16">
      <c r="A1806" s="101" t="str">
        <f t="shared" si="1"/>
        <v>-</v>
      </c>
      <c r="B1806" s="48"/>
      <c r="C1806" s="53"/>
      <c r="D1806" s="49"/>
      <c r="E1806" s="71"/>
      <c r="F1806" s="46"/>
      <c r="G1806" s="72"/>
      <c r="H1806" s="46"/>
      <c r="I1806" s="53" t="str">
        <f ca="1"/>
        <v>退会済</v>
      </c>
      <c r="J1806" s="113"/>
      <c r="K1806" s="49" t="s">
        <v>50</v>
      </c>
      <c r="M1806" s="107" t="s">
        <v>52</v>
      </c>
    </row>
    <row r="1807" spans="1:13" ht="16">
      <c r="A1807" s="101" t="str">
        <f t="shared" si="1"/>
        <v>-</v>
      </c>
      <c r="B1807" s="48"/>
      <c r="C1807" s="53"/>
      <c r="D1807" s="49"/>
      <c r="E1807" s="71"/>
      <c r="F1807" s="46"/>
      <c r="G1807" s="72"/>
      <c r="H1807" s="46"/>
      <c r="I1807" s="53" t="str">
        <f ca="1"/>
        <v>退会済</v>
      </c>
      <c r="J1807" s="113"/>
      <c r="K1807" s="49" t="s">
        <v>50</v>
      </c>
      <c r="M1807" s="107" t="s">
        <v>52</v>
      </c>
    </row>
    <row r="1808" spans="1:13" ht="16">
      <c r="A1808" s="101" t="str">
        <f t="shared" si="1"/>
        <v>-</v>
      </c>
      <c r="B1808" s="48"/>
      <c r="C1808" s="53"/>
      <c r="D1808" s="49"/>
      <c r="E1808" s="71"/>
      <c r="F1808" s="46"/>
      <c r="G1808" s="72"/>
      <c r="H1808" s="46"/>
      <c r="I1808" s="53" t="str">
        <f ca="1"/>
        <v>退会済</v>
      </c>
      <c r="J1808" s="113"/>
      <c r="K1808" s="49" t="s">
        <v>50</v>
      </c>
      <c r="M1808" s="107" t="s">
        <v>52</v>
      </c>
    </row>
    <row r="1809" spans="1:13" ht="16">
      <c r="A1809" s="101" t="str">
        <f t="shared" si="1"/>
        <v>-</v>
      </c>
      <c r="B1809" s="48"/>
      <c r="C1809" s="53"/>
      <c r="D1809" s="49"/>
      <c r="E1809" s="71"/>
      <c r="F1809" s="46"/>
      <c r="G1809" s="72"/>
      <c r="H1809" s="46"/>
      <c r="I1809" s="53" t="str">
        <f ca="1"/>
        <v>退会済</v>
      </c>
      <c r="J1809" s="113"/>
      <c r="K1809" s="49" t="s">
        <v>50</v>
      </c>
      <c r="M1809" s="107" t="s">
        <v>52</v>
      </c>
    </row>
    <row r="1810" spans="1:13" ht="16">
      <c r="A1810" s="101" t="str">
        <f t="shared" si="1"/>
        <v>-</v>
      </c>
      <c r="B1810" s="48"/>
      <c r="C1810" s="53"/>
      <c r="D1810" s="49"/>
      <c r="E1810" s="71"/>
      <c r="F1810" s="46"/>
      <c r="G1810" s="72"/>
      <c r="H1810" s="46"/>
      <c r="I1810" s="53" t="str">
        <f ca="1"/>
        <v>退会済</v>
      </c>
      <c r="J1810" s="113"/>
      <c r="K1810" s="49" t="s">
        <v>50</v>
      </c>
      <c r="M1810" s="107" t="s">
        <v>52</v>
      </c>
    </row>
    <row r="1811" spans="1:13" ht="16">
      <c r="A1811" s="101" t="str">
        <f t="shared" si="1"/>
        <v>-</v>
      </c>
      <c r="B1811" s="48"/>
      <c r="C1811" s="53"/>
      <c r="D1811" s="49"/>
      <c r="E1811" s="71"/>
      <c r="F1811" s="46"/>
      <c r="G1811" s="72"/>
      <c r="H1811" s="46"/>
      <c r="I1811" s="53" t="str">
        <f ca="1"/>
        <v>退会済</v>
      </c>
      <c r="J1811" s="113"/>
      <c r="K1811" s="49" t="s">
        <v>50</v>
      </c>
      <c r="M1811" s="107" t="s">
        <v>52</v>
      </c>
    </row>
    <row r="1812" spans="1:13" ht="16">
      <c r="A1812" s="101" t="str">
        <f t="shared" si="1"/>
        <v>-</v>
      </c>
      <c r="B1812" s="48"/>
      <c r="C1812" s="53"/>
      <c r="D1812" s="49"/>
      <c r="E1812" s="71"/>
      <c r="F1812" s="46"/>
      <c r="G1812" s="72"/>
      <c r="H1812" s="46"/>
      <c r="I1812" s="53" t="str">
        <f ca="1"/>
        <v>退会済</v>
      </c>
      <c r="J1812" s="113"/>
      <c r="K1812" s="49" t="s">
        <v>50</v>
      </c>
      <c r="M1812" s="107" t="s">
        <v>52</v>
      </c>
    </row>
    <row r="1813" spans="1:13" ht="16">
      <c r="A1813" s="101" t="str">
        <f t="shared" si="1"/>
        <v>-</v>
      </c>
      <c r="B1813" s="48"/>
      <c r="C1813" s="53"/>
      <c r="D1813" s="49"/>
      <c r="E1813" s="71"/>
      <c r="F1813" s="46"/>
      <c r="G1813" s="72"/>
      <c r="H1813" s="46"/>
      <c r="I1813" s="53" t="str">
        <f ca="1"/>
        <v>退会済</v>
      </c>
      <c r="J1813" s="113"/>
      <c r="K1813" s="49" t="s">
        <v>50</v>
      </c>
      <c r="M1813" s="107" t="s">
        <v>52</v>
      </c>
    </row>
    <row r="1814" spans="1:13" ht="16">
      <c r="A1814" s="101" t="str">
        <f t="shared" si="1"/>
        <v>-</v>
      </c>
      <c r="B1814" s="48"/>
      <c r="C1814" s="53"/>
      <c r="D1814" s="49"/>
      <c r="E1814" s="71"/>
      <c r="F1814" s="46"/>
      <c r="G1814" s="72"/>
      <c r="H1814" s="46"/>
      <c r="I1814" s="53" t="str">
        <f ca="1"/>
        <v>退会済</v>
      </c>
      <c r="J1814" s="113"/>
      <c r="K1814" s="49" t="s">
        <v>50</v>
      </c>
      <c r="M1814" s="107" t="s">
        <v>52</v>
      </c>
    </row>
    <row r="1815" spans="1:13" ht="16">
      <c r="A1815" s="101" t="str">
        <f t="shared" si="1"/>
        <v>-</v>
      </c>
      <c r="B1815" s="48"/>
      <c r="C1815" s="53"/>
      <c r="D1815" s="49"/>
      <c r="E1815" s="71"/>
      <c r="F1815" s="46"/>
      <c r="G1815" s="72"/>
      <c r="H1815" s="46"/>
      <c r="I1815" s="53" t="str">
        <f ca="1"/>
        <v>退会済</v>
      </c>
      <c r="J1815" s="113"/>
      <c r="K1815" s="49" t="s">
        <v>50</v>
      </c>
      <c r="M1815" s="107" t="s">
        <v>52</v>
      </c>
    </row>
    <row r="1816" spans="1:13" ht="16">
      <c r="A1816" s="101" t="str">
        <f t="shared" si="1"/>
        <v>-</v>
      </c>
      <c r="B1816" s="48"/>
      <c r="C1816" s="53"/>
      <c r="D1816" s="49"/>
      <c r="E1816" s="71"/>
      <c r="F1816" s="46"/>
      <c r="G1816" s="72"/>
      <c r="H1816" s="46"/>
      <c r="I1816" s="53" t="str">
        <f ca="1"/>
        <v>退会済</v>
      </c>
      <c r="J1816" s="113"/>
      <c r="K1816" s="49" t="s">
        <v>50</v>
      </c>
      <c r="M1816" s="107" t="s">
        <v>52</v>
      </c>
    </row>
    <row r="1817" spans="1:13" ht="16">
      <c r="A1817" s="101" t="str">
        <f t="shared" si="1"/>
        <v>-</v>
      </c>
      <c r="B1817" s="48"/>
      <c r="C1817" s="53"/>
      <c r="D1817" s="49"/>
      <c r="E1817" s="71"/>
      <c r="F1817" s="46"/>
      <c r="G1817" s="72"/>
      <c r="H1817" s="46"/>
      <c r="I1817" s="53" t="str">
        <f ca="1"/>
        <v>退会済</v>
      </c>
      <c r="J1817" s="113"/>
      <c r="K1817" s="49" t="s">
        <v>50</v>
      </c>
      <c r="M1817" s="107" t="s">
        <v>52</v>
      </c>
    </row>
    <row r="1818" spans="1:13" ht="16">
      <c r="A1818" s="101" t="str">
        <f t="shared" si="1"/>
        <v>-</v>
      </c>
      <c r="B1818" s="48"/>
      <c r="C1818" s="53"/>
      <c r="D1818" s="49"/>
      <c r="E1818" s="71"/>
      <c r="F1818" s="46"/>
      <c r="G1818" s="72"/>
      <c r="H1818" s="46"/>
      <c r="I1818" s="53" t="str">
        <f ca="1"/>
        <v>退会済</v>
      </c>
      <c r="J1818" s="113"/>
      <c r="K1818" s="49" t="s">
        <v>50</v>
      </c>
      <c r="M1818" s="107" t="s">
        <v>52</v>
      </c>
    </row>
    <row r="1819" spans="1:13" ht="16">
      <c r="A1819" s="101" t="str">
        <f t="shared" si="1"/>
        <v>-</v>
      </c>
      <c r="B1819" s="48"/>
      <c r="C1819" s="53"/>
      <c r="D1819" s="49"/>
      <c r="E1819" s="71"/>
      <c r="F1819" s="46"/>
      <c r="G1819" s="72"/>
      <c r="H1819" s="46"/>
      <c r="I1819" s="53" t="str">
        <f ca="1"/>
        <v>退会済</v>
      </c>
      <c r="J1819" s="113"/>
      <c r="K1819" s="49" t="s">
        <v>50</v>
      </c>
      <c r="M1819" s="107" t="s">
        <v>52</v>
      </c>
    </row>
    <row r="1820" spans="1:13" ht="16">
      <c r="A1820" s="101" t="str">
        <f t="shared" si="1"/>
        <v>-</v>
      </c>
      <c r="B1820" s="48"/>
      <c r="C1820" s="53"/>
      <c r="D1820" s="49"/>
      <c r="E1820" s="71"/>
      <c r="F1820" s="46"/>
      <c r="G1820" s="72"/>
      <c r="H1820" s="46"/>
      <c r="I1820" s="53" t="str">
        <f ca="1"/>
        <v>退会済</v>
      </c>
      <c r="J1820" s="113"/>
      <c r="K1820" s="49" t="s">
        <v>50</v>
      </c>
      <c r="M1820" s="107" t="s">
        <v>52</v>
      </c>
    </row>
    <row r="1821" spans="1:13" ht="16">
      <c r="A1821" s="101" t="str">
        <f t="shared" si="1"/>
        <v>-</v>
      </c>
      <c r="B1821" s="48"/>
      <c r="C1821" s="53"/>
      <c r="D1821" s="49"/>
      <c r="E1821" s="71"/>
      <c r="F1821" s="46"/>
      <c r="G1821" s="72"/>
      <c r="H1821" s="46"/>
      <c r="I1821" s="53" t="str">
        <f ca="1"/>
        <v>退会済</v>
      </c>
      <c r="J1821" s="113"/>
      <c r="K1821" s="49" t="s">
        <v>50</v>
      </c>
      <c r="M1821" s="107" t="s">
        <v>52</v>
      </c>
    </row>
    <row r="1822" spans="1:13" ht="16">
      <c r="A1822" s="101" t="str">
        <f t="shared" si="1"/>
        <v>-</v>
      </c>
      <c r="B1822" s="48"/>
      <c r="C1822" s="53"/>
      <c r="D1822" s="49"/>
      <c r="E1822" s="71"/>
      <c r="F1822" s="46"/>
      <c r="G1822" s="72"/>
      <c r="H1822" s="46"/>
      <c r="I1822" s="53" t="str">
        <f ca="1"/>
        <v>退会済</v>
      </c>
      <c r="J1822" s="113"/>
      <c r="K1822" s="49" t="s">
        <v>50</v>
      </c>
      <c r="M1822" s="107" t="s">
        <v>52</v>
      </c>
    </row>
    <row r="1823" spans="1:13" ht="16">
      <c r="A1823" s="101" t="str">
        <f t="shared" si="1"/>
        <v>-</v>
      </c>
      <c r="B1823" s="48"/>
      <c r="C1823" s="53"/>
      <c r="D1823" s="49"/>
      <c r="E1823" s="71"/>
      <c r="F1823" s="46"/>
      <c r="G1823" s="72"/>
      <c r="H1823" s="46"/>
      <c r="I1823" s="53" t="str">
        <f ca="1"/>
        <v>退会済</v>
      </c>
      <c r="J1823" s="113"/>
      <c r="K1823" s="49" t="s">
        <v>50</v>
      </c>
      <c r="M1823" s="107" t="s">
        <v>52</v>
      </c>
    </row>
    <row r="1824" spans="1:13" ht="16">
      <c r="A1824" s="101" t="str">
        <f t="shared" si="1"/>
        <v>-</v>
      </c>
      <c r="B1824" s="48"/>
      <c r="C1824" s="53"/>
      <c r="D1824" s="49"/>
      <c r="E1824" s="71"/>
      <c r="F1824" s="46"/>
      <c r="G1824" s="72"/>
      <c r="H1824" s="46"/>
      <c r="I1824" s="53" t="str">
        <f ca="1"/>
        <v>退会済</v>
      </c>
      <c r="J1824" s="113"/>
      <c r="K1824" s="49" t="s">
        <v>50</v>
      </c>
      <c r="M1824" s="107" t="s">
        <v>52</v>
      </c>
    </row>
    <row r="1825" spans="1:13" ht="16">
      <c r="A1825" s="101" t="str">
        <f t="shared" si="1"/>
        <v>-</v>
      </c>
      <c r="B1825" s="48"/>
      <c r="C1825" s="53"/>
      <c r="D1825" s="49"/>
      <c r="E1825" s="71"/>
      <c r="F1825" s="46"/>
      <c r="G1825" s="72"/>
      <c r="H1825" s="46"/>
      <c r="I1825" s="53" t="str">
        <f ca="1"/>
        <v>退会済</v>
      </c>
      <c r="J1825" s="113"/>
      <c r="K1825" s="49" t="s">
        <v>50</v>
      </c>
      <c r="M1825" s="107" t="s">
        <v>52</v>
      </c>
    </row>
    <row r="1826" spans="1:13" ht="16">
      <c r="A1826" s="101" t="str">
        <f t="shared" si="1"/>
        <v>-</v>
      </c>
      <c r="B1826" s="48"/>
      <c r="C1826" s="53"/>
      <c r="D1826" s="49"/>
      <c r="E1826" s="71"/>
      <c r="F1826" s="46"/>
      <c r="G1826" s="72"/>
      <c r="H1826" s="46"/>
      <c r="I1826" s="53" t="str">
        <f ca="1"/>
        <v>退会済</v>
      </c>
      <c r="J1826" s="113"/>
      <c r="K1826" s="49" t="s">
        <v>50</v>
      </c>
      <c r="M1826" s="107" t="s">
        <v>52</v>
      </c>
    </row>
    <row r="1827" spans="1:13" ht="16">
      <c r="A1827" s="101" t="str">
        <f t="shared" si="1"/>
        <v>-</v>
      </c>
      <c r="B1827" s="48"/>
      <c r="C1827" s="53"/>
      <c r="D1827" s="49"/>
      <c r="E1827" s="71"/>
      <c r="F1827" s="46"/>
      <c r="G1827" s="72"/>
      <c r="H1827" s="46"/>
      <c r="I1827" s="53" t="str">
        <f ca="1"/>
        <v>退会済</v>
      </c>
      <c r="J1827" s="113"/>
      <c r="K1827" s="49" t="s">
        <v>50</v>
      </c>
      <c r="M1827" s="107" t="s">
        <v>52</v>
      </c>
    </row>
    <row r="1828" spans="1:13" ht="16">
      <c r="A1828" s="101" t="str">
        <f t="shared" si="1"/>
        <v>-</v>
      </c>
      <c r="B1828" s="48"/>
      <c r="C1828" s="53"/>
      <c r="D1828" s="49"/>
      <c r="E1828" s="71"/>
      <c r="F1828" s="46"/>
      <c r="G1828" s="72"/>
      <c r="H1828" s="46"/>
      <c r="I1828" s="53" t="str">
        <f ca="1"/>
        <v>退会済</v>
      </c>
      <c r="J1828" s="113"/>
      <c r="K1828" s="49" t="s">
        <v>50</v>
      </c>
      <c r="M1828" s="107" t="s">
        <v>52</v>
      </c>
    </row>
    <row r="1829" spans="1:13" ht="16">
      <c r="A1829" s="101" t="str">
        <f t="shared" si="1"/>
        <v>-</v>
      </c>
      <c r="B1829" s="48"/>
      <c r="C1829" s="53"/>
      <c r="D1829" s="49"/>
      <c r="E1829" s="71"/>
      <c r="F1829" s="46"/>
      <c r="G1829" s="72"/>
      <c r="H1829" s="46"/>
      <c r="I1829" s="53" t="str">
        <f ca="1"/>
        <v>退会済</v>
      </c>
      <c r="J1829" s="113"/>
      <c r="K1829" s="49" t="s">
        <v>50</v>
      </c>
      <c r="M1829" s="107" t="s">
        <v>52</v>
      </c>
    </row>
    <row r="1830" spans="1:13" ht="16">
      <c r="A1830" s="101" t="str">
        <f t="shared" si="1"/>
        <v>-</v>
      </c>
      <c r="B1830" s="48"/>
      <c r="C1830" s="53"/>
      <c r="D1830" s="49"/>
      <c r="E1830" s="71"/>
      <c r="F1830" s="46"/>
      <c r="G1830" s="72"/>
      <c r="H1830" s="46"/>
      <c r="I1830" s="53" t="str">
        <f ca="1"/>
        <v>退会済</v>
      </c>
      <c r="J1830" s="113"/>
      <c r="K1830" s="49" t="s">
        <v>50</v>
      </c>
      <c r="M1830" s="107" t="s">
        <v>52</v>
      </c>
    </row>
    <row r="1831" spans="1:13" ht="16">
      <c r="A1831" s="101" t="str">
        <f t="shared" si="1"/>
        <v>-</v>
      </c>
      <c r="B1831" s="48"/>
      <c r="C1831" s="53"/>
      <c r="D1831" s="49"/>
      <c r="E1831" s="71"/>
      <c r="F1831" s="46"/>
      <c r="G1831" s="72"/>
      <c r="H1831" s="46"/>
      <c r="I1831" s="53" t="str">
        <f ca="1"/>
        <v>退会済</v>
      </c>
      <c r="J1831" s="113"/>
      <c r="K1831" s="49" t="s">
        <v>50</v>
      </c>
      <c r="M1831" s="107" t="s">
        <v>52</v>
      </c>
    </row>
    <row r="1832" spans="1:13" ht="16">
      <c r="A1832" s="101" t="str">
        <f t="shared" si="1"/>
        <v>-</v>
      </c>
      <c r="B1832" s="48"/>
      <c r="C1832" s="53"/>
      <c r="D1832" s="49"/>
      <c r="E1832" s="71"/>
      <c r="F1832" s="46"/>
      <c r="G1832" s="72"/>
      <c r="H1832" s="46"/>
      <c r="I1832" s="53" t="str">
        <f ca="1"/>
        <v>退会済</v>
      </c>
      <c r="J1832" s="113"/>
      <c r="K1832" s="49" t="s">
        <v>50</v>
      </c>
      <c r="M1832" s="107" t="s">
        <v>52</v>
      </c>
    </row>
    <row r="1833" spans="1:13" ht="16">
      <c r="A1833" s="101" t="str">
        <f t="shared" si="1"/>
        <v>-</v>
      </c>
      <c r="B1833" s="48"/>
      <c r="C1833" s="53"/>
      <c r="D1833" s="49"/>
      <c r="E1833" s="71"/>
      <c r="F1833" s="46"/>
      <c r="G1833" s="72"/>
      <c r="H1833" s="46"/>
      <c r="I1833" s="53" t="str">
        <f ca="1"/>
        <v>退会済</v>
      </c>
      <c r="J1833" s="113"/>
      <c r="K1833" s="49" t="s">
        <v>50</v>
      </c>
      <c r="M1833" s="107" t="s">
        <v>52</v>
      </c>
    </row>
    <row r="1834" spans="1:13" ht="16">
      <c r="A1834" s="101" t="str">
        <f t="shared" si="1"/>
        <v>-</v>
      </c>
      <c r="B1834" s="48"/>
      <c r="C1834" s="53"/>
      <c r="D1834" s="49"/>
      <c r="E1834" s="71"/>
      <c r="F1834" s="46"/>
      <c r="G1834" s="72"/>
      <c r="H1834" s="46"/>
      <c r="I1834" s="53" t="str">
        <f ca="1"/>
        <v>退会済</v>
      </c>
      <c r="J1834" s="113"/>
      <c r="K1834" s="49" t="s">
        <v>50</v>
      </c>
      <c r="M1834" s="107" t="s">
        <v>52</v>
      </c>
    </row>
    <row r="1835" spans="1:13" ht="16">
      <c r="A1835" s="101" t="str">
        <f t="shared" si="1"/>
        <v>-</v>
      </c>
      <c r="B1835" s="48"/>
      <c r="C1835" s="53"/>
      <c r="D1835" s="49"/>
      <c r="E1835" s="71"/>
      <c r="F1835" s="46"/>
      <c r="G1835" s="72"/>
      <c r="H1835" s="46"/>
      <c r="I1835" s="53" t="str">
        <f ca="1"/>
        <v>退会済</v>
      </c>
      <c r="J1835" s="113"/>
      <c r="K1835" s="49" t="s">
        <v>50</v>
      </c>
      <c r="M1835" s="107" t="s">
        <v>52</v>
      </c>
    </row>
    <row r="1836" spans="1:13" ht="16">
      <c r="A1836" s="101" t="str">
        <f t="shared" si="1"/>
        <v>-</v>
      </c>
      <c r="B1836" s="48"/>
      <c r="C1836" s="53"/>
      <c r="D1836" s="49"/>
      <c r="E1836" s="71"/>
      <c r="F1836" s="46"/>
      <c r="G1836" s="72"/>
      <c r="H1836" s="46"/>
      <c r="I1836" s="53" t="str">
        <f ca="1"/>
        <v>退会済</v>
      </c>
      <c r="J1836" s="113"/>
      <c r="K1836" s="49" t="s">
        <v>50</v>
      </c>
      <c r="M1836" s="107" t="s">
        <v>52</v>
      </c>
    </row>
    <row r="1837" spans="1:13" ht="16">
      <c r="A1837" s="101" t="str">
        <f t="shared" si="1"/>
        <v>-</v>
      </c>
      <c r="B1837" s="48"/>
      <c r="C1837" s="53"/>
      <c r="D1837" s="49"/>
      <c r="E1837" s="71"/>
      <c r="F1837" s="46"/>
      <c r="G1837" s="72"/>
      <c r="H1837" s="46"/>
      <c r="I1837" s="53" t="str">
        <f ca="1"/>
        <v>退会済</v>
      </c>
      <c r="J1837" s="113"/>
      <c r="K1837" s="49" t="s">
        <v>50</v>
      </c>
      <c r="M1837" s="107" t="s">
        <v>52</v>
      </c>
    </row>
    <row r="1838" spans="1:13" ht="16">
      <c r="A1838" s="101" t="str">
        <f t="shared" si="1"/>
        <v>-</v>
      </c>
      <c r="B1838" s="48"/>
      <c r="C1838" s="53"/>
      <c r="D1838" s="49"/>
      <c r="E1838" s="71"/>
      <c r="F1838" s="46"/>
      <c r="G1838" s="72"/>
      <c r="H1838" s="46"/>
      <c r="I1838" s="53" t="str">
        <f ca="1"/>
        <v>退会済</v>
      </c>
      <c r="J1838" s="113"/>
      <c r="K1838" s="49" t="s">
        <v>50</v>
      </c>
      <c r="M1838" s="107" t="s">
        <v>52</v>
      </c>
    </row>
    <row r="1839" spans="1:13" ht="16">
      <c r="A1839" s="101" t="str">
        <f t="shared" si="1"/>
        <v>-</v>
      </c>
      <c r="B1839" s="48"/>
      <c r="C1839" s="53"/>
      <c r="D1839" s="49"/>
      <c r="E1839" s="71"/>
      <c r="F1839" s="46"/>
      <c r="G1839" s="72"/>
      <c r="H1839" s="46"/>
      <c r="I1839" s="53" t="str">
        <f ca="1"/>
        <v>退会済</v>
      </c>
      <c r="J1839" s="113"/>
      <c r="K1839" s="49" t="s">
        <v>50</v>
      </c>
      <c r="M1839" s="107" t="s">
        <v>52</v>
      </c>
    </row>
    <row r="1840" spans="1:13" ht="16">
      <c r="A1840" s="101" t="str">
        <f t="shared" si="1"/>
        <v>-</v>
      </c>
      <c r="B1840" s="48"/>
      <c r="C1840" s="53"/>
      <c r="D1840" s="49"/>
      <c r="E1840" s="71"/>
      <c r="F1840" s="46"/>
      <c r="G1840" s="72"/>
      <c r="H1840" s="46"/>
      <c r="I1840" s="53" t="str">
        <f ca="1"/>
        <v>退会済</v>
      </c>
      <c r="J1840" s="113"/>
      <c r="K1840" s="49" t="s">
        <v>50</v>
      </c>
      <c r="M1840" s="107" t="s">
        <v>52</v>
      </c>
    </row>
    <row r="1841" spans="1:13" ht="16">
      <c r="A1841" s="101" t="str">
        <f t="shared" si="1"/>
        <v>-</v>
      </c>
      <c r="B1841" s="48"/>
      <c r="C1841" s="53"/>
      <c r="D1841" s="49"/>
      <c r="E1841" s="71"/>
      <c r="F1841" s="46"/>
      <c r="G1841" s="72"/>
      <c r="H1841" s="46"/>
      <c r="I1841" s="53" t="str">
        <f ca="1"/>
        <v>退会済</v>
      </c>
      <c r="J1841" s="113"/>
      <c r="K1841" s="49" t="s">
        <v>50</v>
      </c>
      <c r="M1841" s="107" t="s">
        <v>52</v>
      </c>
    </row>
    <row r="1842" spans="1:13" ht="16">
      <c r="A1842" s="101" t="str">
        <f t="shared" si="1"/>
        <v>-</v>
      </c>
      <c r="B1842" s="48"/>
      <c r="C1842" s="53"/>
      <c r="D1842" s="49"/>
      <c r="E1842" s="71"/>
      <c r="F1842" s="46"/>
      <c r="G1842" s="72"/>
      <c r="H1842" s="46"/>
      <c r="I1842" s="53" t="str">
        <f ca="1"/>
        <v>退会済</v>
      </c>
      <c r="J1842" s="113"/>
      <c r="K1842" s="49" t="s">
        <v>50</v>
      </c>
      <c r="M1842" s="107" t="s">
        <v>52</v>
      </c>
    </row>
    <row r="1843" spans="1:13" ht="16">
      <c r="A1843" s="101" t="str">
        <f t="shared" si="1"/>
        <v>-</v>
      </c>
      <c r="B1843" s="48"/>
      <c r="C1843" s="53"/>
      <c r="D1843" s="49"/>
      <c r="E1843" s="71"/>
      <c r="F1843" s="46"/>
      <c r="G1843" s="72"/>
      <c r="H1843" s="46"/>
      <c r="I1843" s="53" t="str">
        <f ca="1"/>
        <v>退会済</v>
      </c>
      <c r="J1843" s="113"/>
      <c r="K1843" s="49" t="s">
        <v>50</v>
      </c>
      <c r="M1843" s="107" t="s">
        <v>52</v>
      </c>
    </row>
    <row r="1844" spans="1:13" ht="16">
      <c r="A1844" s="101" t="str">
        <f t="shared" si="1"/>
        <v>-</v>
      </c>
      <c r="B1844" s="48"/>
      <c r="C1844" s="53"/>
      <c r="D1844" s="49"/>
      <c r="E1844" s="71"/>
      <c r="F1844" s="46"/>
      <c r="G1844" s="72"/>
      <c r="H1844" s="46"/>
      <c r="I1844" s="53" t="str">
        <f ca="1"/>
        <v>退会済</v>
      </c>
      <c r="J1844" s="113"/>
      <c r="K1844" s="49" t="s">
        <v>50</v>
      </c>
      <c r="M1844" s="107" t="s">
        <v>52</v>
      </c>
    </row>
    <row r="1845" spans="1:13" ht="16">
      <c r="A1845" s="101" t="str">
        <f t="shared" si="1"/>
        <v>-</v>
      </c>
      <c r="B1845" s="48"/>
      <c r="C1845" s="53"/>
      <c r="D1845" s="49"/>
      <c r="E1845" s="71"/>
      <c r="F1845" s="46"/>
      <c r="G1845" s="72"/>
      <c r="H1845" s="46"/>
      <c r="I1845" s="53" t="str">
        <f ca="1"/>
        <v>退会済</v>
      </c>
      <c r="J1845" s="113"/>
      <c r="K1845" s="49" t="s">
        <v>50</v>
      </c>
      <c r="M1845" s="107" t="s">
        <v>52</v>
      </c>
    </row>
    <row r="1846" spans="1:13" ht="16">
      <c r="A1846" s="101" t="str">
        <f t="shared" si="1"/>
        <v>-</v>
      </c>
      <c r="B1846" s="48"/>
      <c r="C1846" s="53"/>
      <c r="D1846" s="49"/>
      <c r="E1846" s="71"/>
      <c r="F1846" s="46"/>
      <c r="G1846" s="72"/>
      <c r="H1846" s="46"/>
      <c r="I1846" s="53" t="str">
        <f ca="1"/>
        <v>退会済</v>
      </c>
      <c r="J1846" s="113"/>
      <c r="K1846" s="49" t="s">
        <v>50</v>
      </c>
      <c r="M1846" s="107" t="s">
        <v>52</v>
      </c>
    </row>
    <row r="1847" spans="1:13" ht="16">
      <c r="A1847" s="101" t="str">
        <f t="shared" si="1"/>
        <v>-</v>
      </c>
      <c r="B1847" s="48"/>
      <c r="C1847" s="53"/>
      <c r="D1847" s="49"/>
      <c r="E1847" s="71"/>
      <c r="F1847" s="46"/>
      <c r="G1847" s="72"/>
      <c r="H1847" s="46"/>
      <c r="I1847" s="53" t="str">
        <f ca="1"/>
        <v>退会済</v>
      </c>
      <c r="J1847" s="113"/>
      <c r="K1847" s="49" t="s">
        <v>50</v>
      </c>
      <c r="M1847" s="107" t="s">
        <v>52</v>
      </c>
    </row>
    <row r="1848" spans="1:13" ht="16">
      <c r="A1848" s="101" t="str">
        <f t="shared" si="1"/>
        <v>-</v>
      </c>
      <c r="B1848" s="48"/>
      <c r="C1848" s="53"/>
      <c r="D1848" s="49"/>
      <c r="E1848" s="71"/>
      <c r="F1848" s="46"/>
      <c r="G1848" s="72"/>
      <c r="H1848" s="46"/>
      <c r="I1848" s="53" t="str">
        <f ca="1"/>
        <v>退会済</v>
      </c>
      <c r="J1848" s="113"/>
      <c r="K1848" s="49" t="s">
        <v>50</v>
      </c>
      <c r="M1848" s="107" t="s">
        <v>52</v>
      </c>
    </row>
    <row r="1849" spans="1:13" ht="16">
      <c r="A1849" s="101" t="str">
        <f t="shared" si="1"/>
        <v>-</v>
      </c>
      <c r="B1849" s="48"/>
      <c r="C1849" s="53"/>
      <c r="D1849" s="49"/>
      <c r="E1849" s="71"/>
      <c r="F1849" s="46"/>
      <c r="G1849" s="72"/>
      <c r="H1849" s="46"/>
      <c r="I1849" s="53" t="str">
        <f ca="1"/>
        <v>退会済</v>
      </c>
      <c r="J1849" s="113"/>
      <c r="K1849" s="49" t="s">
        <v>50</v>
      </c>
      <c r="M1849" s="107" t="s">
        <v>52</v>
      </c>
    </row>
    <row r="1850" spans="1:13" ht="16">
      <c r="A1850" s="101" t="str">
        <f t="shared" si="1"/>
        <v>-</v>
      </c>
      <c r="B1850" s="48"/>
      <c r="C1850" s="53"/>
      <c r="D1850" s="49"/>
      <c r="E1850" s="71"/>
      <c r="F1850" s="46"/>
      <c r="G1850" s="72"/>
      <c r="H1850" s="46"/>
      <c r="I1850" s="53" t="str">
        <f ca="1"/>
        <v>退会済</v>
      </c>
      <c r="J1850" s="113"/>
      <c r="K1850" s="49" t="s">
        <v>50</v>
      </c>
      <c r="M1850" s="107" t="s">
        <v>52</v>
      </c>
    </row>
    <row r="1851" spans="1:13" ht="16">
      <c r="A1851" s="101" t="str">
        <f t="shared" si="1"/>
        <v>-</v>
      </c>
      <c r="B1851" s="48"/>
      <c r="C1851" s="53"/>
      <c r="D1851" s="49"/>
      <c r="E1851" s="71"/>
      <c r="F1851" s="46"/>
      <c r="G1851" s="72"/>
      <c r="H1851" s="46"/>
      <c r="I1851" s="53" t="str">
        <f ca="1"/>
        <v>退会済</v>
      </c>
      <c r="J1851" s="113"/>
      <c r="K1851" s="49" t="s">
        <v>50</v>
      </c>
      <c r="M1851" s="107" t="s">
        <v>52</v>
      </c>
    </row>
    <row r="1852" spans="1:13" ht="16">
      <c r="A1852" s="101" t="str">
        <f t="shared" si="1"/>
        <v>-</v>
      </c>
      <c r="B1852" s="48"/>
      <c r="C1852" s="53"/>
      <c r="D1852" s="49"/>
      <c r="E1852" s="71"/>
      <c r="F1852" s="46"/>
      <c r="G1852" s="72"/>
      <c r="H1852" s="46"/>
      <c r="I1852" s="53" t="str">
        <f ca="1"/>
        <v>退会済</v>
      </c>
      <c r="J1852" s="113"/>
      <c r="K1852" s="49" t="s">
        <v>50</v>
      </c>
      <c r="M1852" s="107" t="s">
        <v>52</v>
      </c>
    </row>
    <row r="1853" spans="1:13" ht="16">
      <c r="A1853" s="101" t="str">
        <f t="shared" si="1"/>
        <v>-</v>
      </c>
      <c r="B1853" s="48"/>
      <c r="C1853" s="53"/>
      <c r="D1853" s="49"/>
      <c r="E1853" s="71"/>
      <c r="F1853" s="46"/>
      <c r="G1853" s="72"/>
      <c r="H1853" s="46"/>
      <c r="I1853" s="53" t="str">
        <f ca="1"/>
        <v>退会済</v>
      </c>
      <c r="J1853" s="113"/>
      <c r="K1853" s="49" t="s">
        <v>50</v>
      </c>
      <c r="M1853" s="107" t="s">
        <v>52</v>
      </c>
    </row>
    <row r="1854" spans="1:13" ht="16">
      <c r="A1854" s="101" t="str">
        <f t="shared" si="1"/>
        <v>-</v>
      </c>
      <c r="B1854" s="48"/>
      <c r="C1854" s="53"/>
      <c r="D1854" s="49"/>
      <c r="E1854" s="71"/>
      <c r="F1854" s="46"/>
      <c r="G1854" s="72"/>
      <c r="H1854" s="46"/>
      <c r="I1854" s="53" t="str">
        <f ca="1"/>
        <v>退会済</v>
      </c>
      <c r="J1854" s="113"/>
      <c r="K1854" s="49" t="s">
        <v>50</v>
      </c>
      <c r="M1854" s="107" t="s">
        <v>52</v>
      </c>
    </row>
    <row r="1855" spans="1:13" ht="16">
      <c r="A1855" s="101" t="str">
        <f t="shared" si="1"/>
        <v>-</v>
      </c>
      <c r="B1855" s="48"/>
      <c r="C1855" s="53"/>
      <c r="D1855" s="49"/>
      <c r="E1855" s="71"/>
      <c r="F1855" s="46"/>
      <c r="G1855" s="72"/>
      <c r="H1855" s="46"/>
      <c r="I1855" s="53" t="str">
        <f ca="1"/>
        <v>退会済</v>
      </c>
      <c r="J1855" s="113"/>
      <c r="K1855" s="49" t="s">
        <v>50</v>
      </c>
      <c r="M1855" s="107" t="s">
        <v>52</v>
      </c>
    </row>
    <row r="1856" spans="1:13" ht="16">
      <c r="A1856" s="101" t="str">
        <f t="shared" si="1"/>
        <v>-</v>
      </c>
      <c r="B1856" s="48"/>
      <c r="C1856" s="53"/>
      <c r="D1856" s="49"/>
      <c r="E1856" s="71"/>
      <c r="F1856" s="46"/>
      <c r="G1856" s="72"/>
      <c r="H1856" s="46"/>
      <c r="I1856" s="53" t="str">
        <f ca="1"/>
        <v>退会済</v>
      </c>
      <c r="J1856" s="113"/>
      <c r="K1856" s="49" t="s">
        <v>50</v>
      </c>
      <c r="M1856" s="107" t="s">
        <v>52</v>
      </c>
    </row>
    <row r="1857" spans="1:13" ht="16">
      <c r="A1857" s="101" t="str">
        <f t="shared" si="1"/>
        <v>-</v>
      </c>
      <c r="B1857" s="48"/>
      <c r="C1857" s="53"/>
      <c r="D1857" s="49"/>
      <c r="E1857" s="71"/>
      <c r="F1857" s="46"/>
      <c r="G1857" s="72"/>
      <c r="H1857" s="46"/>
      <c r="I1857" s="53" t="str">
        <f ca="1"/>
        <v>退会済</v>
      </c>
      <c r="J1857" s="113"/>
      <c r="K1857" s="49" t="s">
        <v>50</v>
      </c>
      <c r="M1857" s="107" t="s">
        <v>52</v>
      </c>
    </row>
    <row r="1858" spans="1:13" ht="16">
      <c r="A1858" s="101" t="str">
        <f t="shared" si="1"/>
        <v>-</v>
      </c>
      <c r="B1858" s="48"/>
      <c r="C1858" s="53"/>
      <c r="D1858" s="49"/>
      <c r="E1858" s="71"/>
      <c r="F1858" s="46"/>
      <c r="G1858" s="72"/>
      <c r="H1858" s="46"/>
      <c r="I1858" s="53" t="str">
        <f ca="1"/>
        <v>退会済</v>
      </c>
      <c r="J1858" s="113"/>
      <c r="K1858" s="49" t="s">
        <v>50</v>
      </c>
      <c r="M1858" s="107" t="s">
        <v>52</v>
      </c>
    </row>
    <row r="1859" spans="1:13" ht="16">
      <c r="A1859" s="101" t="str">
        <f t="shared" si="1"/>
        <v>-</v>
      </c>
      <c r="B1859" s="48"/>
      <c r="C1859" s="53"/>
      <c r="D1859" s="49"/>
      <c r="E1859" s="71"/>
      <c r="F1859" s="46"/>
      <c r="G1859" s="72"/>
      <c r="H1859" s="46"/>
      <c r="I1859" s="53" t="str">
        <f ca="1"/>
        <v>退会済</v>
      </c>
      <c r="J1859" s="113"/>
      <c r="K1859" s="49" t="s">
        <v>50</v>
      </c>
      <c r="M1859" s="107" t="s">
        <v>52</v>
      </c>
    </row>
    <row r="1860" spans="1:13" ht="16">
      <c r="A1860" s="101" t="str">
        <f t="shared" si="1"/>
        <v>-</v>
      </c>
      <c r="B1860" s="48"/>
      <c r="C1860" s="53"/>
      <c r="D1860" s="49"/>
      <c r="E1860" s="71"/>
      <c r="F1860" s="46"/>
      <c r="G1860" s="72"/>
      <c r="H1860" s="46"/>
      <c r="I1860" s="53" t="str">
        <f ca="1"/>
        <v>退会済</v>
      </c>
      <c r="J1860" s="113"/>
      <c r="K1860" s="49" t="s">
        <v>50</v>
      </c>
      <c r="M1860" s="107" t="s">
        <v>52</v>
      </c>
    </row>
    <row r="1861" spans="1:13" ht="16">
      <c r="A1861" s="101" t="str">
        <f t="shared" si="1"/>
        <v>-</v>
      </c>
      <c r="B1861" s="48"/>
      <c r="C1861" s="53"/>
      <c r="D1861" s="49"/>
      <c r="E1861" s="71"/>
      <c r="F1861" s="46"/>
      <c r="G1861" s="72"/>
      <c r="H1861" s="46"/>
      <c r="I1861" s="53" t="str">
        <f ca="1"/>
        <v>退会済</v>
      </c>
      <c r="J1861" s="113"/>
      <c r="K1861" s="49" t="s">
        <v>50</v>
      </c>
      <c r="M1861" s="107" t="s">
        <v>52</v>
      </c>
    </row>
    <row r="1862" spans="1:13" ht="16">
      <c r="A1862" s="101" t="str">
        <f t="shared" si="1"/>
        <v>-</v>
      </c>
      <c r="B1862" s="48"/>
      <c r="C1862" s="53"/>
      <c r="D1862" s="49"/>
      <c r="E1862" s="71"/>
      <c r="F1862" s="46"/>
      <c r="G1862" s="72"/>
      <c r="H1862" s="46"/>
      <c r="I1862" s="53" t="str">
        <f ca="1"/>
        <v>退会済</v>
      </c>
      <c r="J1862" s="113"/>
      <c r="K1862" s="49" t="s">
        <v>50</v>
      </c>
      <c r="M1862" s="107" t="s">
        <v>52</v>
      </c>
    </row>
    <row r="1863" spans="1:13" ht="16">
      <c r="A1863" s="101" t="str">
        <f t="shared" si="1"/>
        <v>-</v>
      </c>
      <c r="B1863" s="48"/>
      <c r="C1863" s="53"/>
      <c r="D1863" s="49"/>
      <c r="E1863" s="71"/>
      <c r="F1863" s="46"/>
      <c r="G1863" s="72"/>
      <c r="H1863" s="46"/>
      <c r="I1863" s="53" t="str">
        <f ca="1"/>
        <v>退会済</v>
      </c>
      <c r="J1863" s="113"/>
      <c r="K1863" s="49" t="s">
        <v>50</v>
      </c>
      <c r="M1863" s="107" t="s">
        <v>52</v>
      </c>
    </row>
    <row r="1864" spans="1:13" ht="16">
      <c r="A1864" s="101" t="str">
        <f t="shared" si="1"/>
        <v>-</v>
      </c>
      <c r="B1864" s="48"/>
      <c r="C1864" s="53"/>
      <c r="D1864" s="49"/>
      <c r="E1864" s="71"/>
      <c r="F1864" s="46"/>
      <c r="G1864" s="72"/>
      <c r="H1864" s="46"/>
      <c r="I1864" s="53" t="str">
        <f ca="1"/>
        <v>退会済</v>
      </c>
      <c r="J1864" s="113"/>
      <c r="K1864" s="49" t="s">
        <v>50</v>
      </c>
      <c r="M1864" s="107" t="s">
        <v>52</v>
      </c>
    </row>
    <row r="1865" spans="1:13" ht="16">
      <c r="A1865" s="101" t="str">
        <f t="shared" si="1"/>
        <v>-</v>
      </c>
      <c r="B1865" s="48"/>
      <c r="C1865" s="53"/>
      <c r="D1865" s="49"/>
      <c r="E1865" s="71"/>
      <c r="F1865" s="46"/>
      <c r="G1865" s="72"/>
      <c r="H1865" s="46"/>
      <c r="I1865" s="53" t="str">
        <f ca="1"/>
        <v>退会済</v>
      </c>
      <c r="J1865" s="113"/>
      <c r="K1865" s="49" t="s">
        <v>50</v>
      </c>
      <c r="M1865" s="107" t="s">
        <v>52</v>
      </c>
    </row>
    <row r="1866" spans="1:13" ht="16">
      <c r="A1866" s="101" t="str">
        <f t="shared" si="1"/>
        <v>-</v>
      </c>
      <c r="B1866" s="48"/>
      <c r="C1866" s="53"/>
      <c r="D1866" s="49"/>
      <c r="E1866" s="71"/>
      <c r="F1866" s="46"/>
      <c r="G1866" s="72"/>
      <c r="H1866" s="46"/>
      <c r="I1866" s="53" t="str">
        <f ca="1"/>
        <v>退会済</v>
      </c>
      <c r="J1866" s="113"/>
      <c r="K1866" s="49" t="s">
        <v>50</v>
      </c>
      <c r="M1866" s="107" t="s">
        <v>52</v>
      </c>
    </row>
    <row r="1867" spans="1:13" ht="16">
      <c r="A1867" s="101" t="str">
        <f t="shared" si="1"/>
        <v>-</v>
      </c>
      <c r="B1867" s="48"/>
      <c r="C1867" s="53"/>
      <c r="D1867" s="49"/>
      <c r="E1867" s="71"/>
      <c r="F1867" s="46"/>
      <c r="G1867" s="72"/>
      <c r="H1867" s="46"/>
      <c r="I1867" s="53" t="str">
        <f ca="1"/>
        <v>退会済</v>
      </c>
      <c r="J1867" s="113"/>
      <c r="K1867" s="49" t="s">
        <v>50</v>
      </c>
      <c r="M1867" s="107" t="s">
        <v>52</v>
      </c>
    </row>
    <row r="1868" spans="1:13" ht="16">
      <c r="A1868" s="101" t="str">
        <f t="shared" si="1"/>
        <v>-</v>
      </c>
      <c r="B1868" s="48"/>
      <c r="C1868" s="53"/>
      <c r="D1868" s="49"/>
      <c r="E1868" s="71"/>
      <c r="F1868" s="46"/>
      <c r="G1868" s="72"/>
      <c r="H1868" s="46"/>
      <c r="I1868" s="53" t="str">
        <f ca="1"/>
        <v>退会済</v>
      </c>
      <c r="J1868" s="113"/>
      <c r="K1868" s="49" t="s">
        <v>50</v>
      </c>
      <c r="M1868" s="107" t="s">
        <v>52</v>
      </c>
    </row>
    <row r="1869" spans="1:13" ht="16">
      <c r="A1869" s="101" t="str">
        <f t="shared" si="1"/>
        <v>-</v>
      </c>
      <c r="B1869" s="48"/>
      <c r="C1869" s="53"/>
      <c r="D1869" s="49"/>
      <c r="E1869" s="71"/>
      <c r="F1869" s="46"/>
      <c r="G1869" s="72"/>
      <c r="H1869" s="46"/>
      <c r="I1869" s="53" t="str">
        <f ca="1"/>
        <v>退会済</v>
      </c>
      <c r="J1869" s="113"/>
      <c r="K1869" s="49" t="s">
        <v>50</v>
      </c>
      <c r="M1869" s="107" t="s">
        <v>52</v>
      </c>
    </row>
    <row r="1870" spans="1:13" ht="16">
      <c r="A1870" s="101" t="str">
        <f t="shared" si="1"/>
        <v>-</v>
      </c>
      <c r="B1870" s="48"/>
      <c r="C1870" s="53"/>
      <c r="D1870" s="49"/>
      <c r="E1870" s="71"/>
      <c r="F1870" s="46"/>
      <c r="G1870" s="72"/>
      <c r="H1870" s="46"/>
      <c r="I1870" s="53" t="str">
        <f ca="1"/>
        <v>退会済</v>
      </c>
      <c r="J1870" s="113"/>
      <c r="K1870" s="49" t="s">
        <v>50</v>
      </c>
      <c r="M1870" s="107" t="s">
        <v>52</v>
      </c>
    </row>
    <row r="1871" spans="1:13" ht="16">
      <c r="A1871" s="101" t="str">
        <f t="shared" si="1"/>
        <v>-</v>
      </c>
      <c r="B1871" s="48"/>
      <c r="C1871" s="53"/>
      <c r="D1871" s="49"/>
      <c r="E1871" s="71"/>
      <c r="F1871" s="46"/>
      <c r="G1871" s="72"/>
      <c r="H1871" s="46"/>
      <c r="I1871" s="53" t="str">
        <f ca="1"/>
        <v>退会済</v>
      </c>
      <c r="J1871" s="113"/>
      <c r="K1871" s="49" t="s">
        <v>50</v>
      </c>
      <c r="M1871" s="107" t="s">
        <v>52</v>
      </c>
    </row>
    <row r="1872" spans="1:13" ht="16">
      <c r="A1872" s="101" t="str">
        <f t="shared" si="1"/>
        <v>-</v>
      </c>
      <c r="B1872" s="48"/>
      <c r="C1872" s="53"/>
      <c r="D1872" s="49"/>
      <c r="E1872" s="71"/>
      <c r="F1872" s="46"/>
      <c r="G1872" s="72"/>
      <c r="H1872" s="46"/>
      <c r="I1872" s="53" t="str">
        <f ca="1"/>
        <v>退会済</v>
      </c>
      <c r="J1872" s="113"/>
      <c r="K1872" s="49" t="s">
        <v>50</v>
      </c>
      <c r="M1872" s="107" t="s">
        <v>52</v>
      </c>
    </row>
    <row r="1873" spans="1:13" ht="16">
      <c r="A1873" s="101" t="str">
        <f t="shared" si="1"/>
        <v>-</v>
      </c>
      <c r="B1873" s="48"/>
      <c r="C1873" s="53"/>
      <c r="D1873" s="49"/>
      <c r="E1873" s="71"/>
      <c r="F1873" s="46"/>
      <c r="G1873" s="72"/>
      <c r="H1873" s="46"/>
      <c r="I1873" s="53" t="str">
        <f ca="1"/>
        <v>退会済</v>
      </c>
      <c r="J1873" s="113"/>
      <c r="K1873" s="49" t="s">
        <v>50</v>
      </c>
      <c r="M1873" s="107" t="s">
        <v>52</v>
      </c>
    </row>
    <row r="1874" spans="1:13" ht="16">
      <c r="A1874" s="101" t="str">
        <f t="shared" si="1"/>
        <v>-</v>
      </c>
      <c r="B1874" s="48"/>
      <c r="C1874" s="53"/>
      <c r="D1874" s="49"/>
      <c r="E1874" s="71"/>
      <c r="F1874" s="46"/>
      <c r="G1874" s="72"/>
      <c r="H1874" s="46"/>
      <c r="I1874" s="53" t="str">
        <f ca="1"/>
        <v>退会済</v>
      </c>
      <c r="J1874" s="113"/>
      <c r="K1874" s="49" t="s">
        <v>50</v>
      </c>
      <c r="M1874" s="107" t="s">
        <v>52</v>
      </c>
    </row>
    <row r="1875" spans="1:13" ht="16">
      <c r="A1875" s="101" t="str">
        <f t="shared" si="1"/>
        <v>-</v>
      </c>
      <c r="B1875" s="48"/>
      <c r="C1875" s="53"/>
      <c r="D1875" s="49"/>
      <c r="E1875" s="71"/>
      <c r="F1875" s="46"/>
      <c r="G1875" s="72"/>
      <c r="H1875" s="46"/>
      <c r="I1875" s="53" t="str">
        <f ca="1"/>
        <v>退会済</v>
      </c>
      <c r="J1875" s="113"/>
      <c r="K1875" s="49" t="s">
        <v>50</v>
      </c>
      <c r="M1875" s="107" t="s">
        <v>52</v>
      </c>
    </row>
    <row r="1876" spans="1:13" ht="16">
      <c r="A1876" s="101" t="str">
        <f t="shared" si="1"/>
        <v>-</v>
      </c>
      <c r="B1876" s="48"/>
      <c r="C1876" s="53"/>
      <c r="D1876" s="49"/>
      <c r="E1876" s="71"/>
      <c r="F1876" s="46"/>
      <c r="G1876" s="72"/>
      <c r="H1876" s="46"/>
      <c r="I1876" s="53" t="str">
        <f ca="1"/>
        <v>退会済</v>
      </c>
      <c r="J1876" s="113"/>
      <c r="K1876" s="49" t="s">
        <v>50</v>
      </c>
      <c r="M1876" s="107" t="s">
        <v>52</v>
      </c>
    </row>
    <row r="1877" spans="1:13" ht="16">
      <c r="A1877" s="101" t="str">
        <f t="shared" si="1"/>
        <v>-</v>
      </c>
      <c r="B1877" s="48"/>
      <c r="C1877" s="53"/>
      <c r="D1877" s="49"/>
      <c r="E1877" s="71"/>
      <c r="F1877" s="46"/>
      <c r="G1877" s="72"/>
      <c r="H1877" s="46"/>
      <c r="I1877" s="53" t="str">
        <f ca="1"/>
        <v>退会済</v>
      </c>
      <c r="J1877" s="113"/>
      <c r="K1877" s="49" t="s">
        <v>50</v>
      </c>
      <c r="M1877" s="107" t="s">
        <v>52</v>
      </c>
    </row>
    <row r="1878" spans="1:13" ht="16">
      <c r="A1878" s="101" t="str">
        <f t="shared" si="1"/>
        <v>-</v>
      </c>
      <c r="B1878" s="48"/>
      <c r="C1878" s="53"/>
      <c r="D1878" s="49"/>
      <c r="E1878" s="71"/>
      <c r="F1878" s="46"/>
      <c r="G1878" s="72"/>
      <c r="H1878" s="46"/>
      <c r="I1878" s="53" t="str">
        <f ca="1"/>
        <v>退会済</v>
      </c>
      <c r="J1878" s="113"/>
      <c r="K1878" s="49" t="s">
        <v>50</v>
      </c>
      <c r="M1878" s="107" t="s">
        <v>52</v>
      </c>
    </row>
    <row r="1879" spans="1:13" ht="16">
      <c r="A1879" s="101" t="str">
        <f t="shared" si="1"/>
        <v>-</v>
      </c>
      <c r="B1879" s="48"/>
      <c r="C1879" s="53"/>
      <c r="D1879" s="49"/>
      <c r="E1879" s="71"/>
      <c r="F1879" s="46"/>
      <c r="G1879" s="72"/>
      <c r="H1879" s="46"/>
      <c r="I1879" s="53" t="str">
        <f ca="1"/>
        <v>退会済</v>
      </c>
      <c r="J1879" s="113"/>
      <c r="K1879" s="49" t="s">
        <v>50</v>
      </c>
      <c r="M1879" s="107" t="s">
        <v>52</v>
      </c>
    </row>
    <row r="1880" spans="1:13" ht="16">
      <c r="A1880" s="101" t="str">
        <f t="shared" si="1"/>
        <v>-</v>
      </c>
      <c r="B1880" s="48"/>
      <c r="C1880" s="53"/>
      <c r="D1880" s="49"/>
      <c r="E1880" s="71"/>
      <c r="F1880" s="46"/>
      <c r="G1880" s="72"/>
      <c r="H1880" s="46"/>
      <c r="I1880" s="53" t="str">
        <f ca="1"/>
        <v>退会済</v>
      </c>
      <c r="J1880" s="113"/>
      <c r="K1880" s="49" t="s">
        <v>50</v>
      </c>
      <c r="M1880" s="107" t="s">
        <v>52</v>
      </c>
    </row>
    <row r="1881" spans="1:13" ht="16">
      <c r="A1881" s="101" t="str">
        <f t="shared" si="1"/>
        <v>-</v>
      </c>
      <c r="B1881" s="48"/>
      <c r="C1881" s="53"/>
      <c r="D1881" s="49"/>
      <c r="E1881" s="71"/>
      <c r="F1881" s="46"/>
      <c r="G1881" s="72"/>
      <c r="H1881" s="46"/>
      <c r="I1881" s="53" t="str">
        <f ca="1"/>
        <v>退会済</v>
      </c>
      <c r="J1881" s="113"/>
      <c r="K1881" s="49" t="s">
        <v>50</v>
      </c>
      <c r="M1881" s="107" t="s">
        <v>52</v>
      </c>
    </row>
    <row r="1882" spans="1:13" ht="16">
      <c r="A1882" s="101" t="str">
        <f t="shared" si="1"/>
        <v>-</v>
      </c>
      <c r="B1882" s="48"/>
      <c r="C1882" s="53"/>
      <c r="D1882" s="49"/>
      <c r="E1882" s="71"/>
      <c r="F1882" s="46"/>
      <c r="G1882" s="72"/>
      <c r="H1882" s="46"/>
      <c r="I1882" s="53" t="str">
        <f ca="1"/>
        <v>退会済</v>
      </c>
      <c r="J1882" s="113"/>
      <c r="K1882" s="49" t="s">
        <v>50</v>
      </c>
      <c r="M1882" s="107" t="s">
        <v>52</v>
      </c>
    </row>
    <row r="1883" spans="1:13" ht="16">
      <c r="A1883" s="101" t="str">
        <f t="shared" si="1"/>
        <v>-</v>
      </c>
      <c r="B1883" s="48"/>
      <c r="C1883" s="53"/>
      <c r="D1883" s="49"/>
      <c r="E1883" s="71"/>
      <c r="F1883" s="46"/>
      <c r="G1883" s="72"/>
      <c r="H1883" s="46"/>
      <c r="I1883" s="53" t="str">
        <f ca="1"/>
        <v>退会済</v>
      </c>
      <c r="J1883" s="113"/>
      <c r="K1883" s="49" t="s">
        <v>50</v>
      </c>
      <c r="M1883" s="107" t="s">
        <v>52</v>
      </c>
    </row>
    <row r="1884" spans="1:13" ht="16">
      <c r="A1884" s="101" t="str">
        <f t="shared" si="1"/>
        <v>-</v>
      </c>
      <c r="B1884" s="48"/>
      <c r="C1884" s="53"/>
      <c r="D1884" s="49"/>
      <c r="E1884" s="71"/>
      <c r="F1884" s="46"/>
      <c r="G1884" s="72"/>
      <c r="H1884" s="46"/>
      <c r="I1884" s="53" t="str">
        <f ca="1"/>
        <v>退会済</v>
      </c>
      <c r="J1884" s="113"/>
      <c r="K1884" s="49" t="s">
        <v>50</v>
      </c>
      <c r="M1884" s="107" t="s">
        <v>52</v>
      </c>
    </row>
    <row r="1885" spans="1:13" ht="16">
      <c r="A1885" s="101" t="str">
        <f t="shared" si="1"/>
        <v>-</v>
      </c>
      <c r="B1885" s="48"/>
      <c r="C1885" s="53"/>
      <c r="D1885" s="49"/>
      <c r="E1885" s="71"/>
      <c r="F1885" s="46"/>
      <c r="G1885" s="72"/>
      <c r="H1885" s="46"/>
      <c r="I1885" s="53" t="str">
        <f ca="1"/>
        <v>退会済</v>
      </c>
      <c r="J1885" s="113"/>
      <c r="K1885" s="49" t="s">
        <v>50</v>
      </c>
      <c r="M1885" s="107" t="s">
        <v>52</v>
      </c>
    </row>
    <row r="1886" spans="1:13" ht="16">
      <c r="A1886" s="101" t="str">
        <f t="shared" si="1"/>
        <v>-</v>
      </c>
      <c r="B1886" s="48"/>
      <c r="C1886" s="53"/>
      <c r="D1886" s="49"/>
      <c r="E1886" s="71"/>
      <c r="F1886" s="46"/>
      <c r="G1886" s="72"/>
      <c r="H1886" s="46"/>
      <c r="I1886" s="53" t="str">
        <f ca="1"/>
        <v>退会済</v>
      </c>
      <c r="J1886" s="113"/>
      <c r="K1886" s="49" t="s">
        <v>50</v>
      </c>
      <c r="M1886" s="107" t="s">
        <v>52</v>
      </c>
    </row>
    <row r="1887" spans="1:13" ht="16">
      <c r="A1887" s="101" t="str">
        <f t="shared" si="1"/>
        <v>-</v>
      </c>
      <c r="B1887" s="48"/>
      <c r="C1887" s="53"/>
      <c r="D1887" s="49"/>
      <c r="E1887" s="71"/>
      <c r="F1887" s="46"/>
      <c r="G1887" s="72"/>
      <c r="H1887" s="46"/>
      <c r="I1887" s="53" t="str">
        <f ca="1"/>
        <v>退会済</v>
      </c>
      <c r="J1887" s="113"/>
      <c r="K1887" s="49" t="s">
        <v>50</v>
      </c>
      <c r="M1887" s="107" t="s">
        <v>52</v>
      </c>
    </row>
    <row r="1888" spans="1:13" ht="16">
      <c r="A1888" s="101" t="str">
        <f t="shared" si="1"/>
        <v>-</v>
      </c>
      <c r="B1888" s="48"/>
      <c r="C1888" s="53"/>
      <c r="D1888" s="49"/>
      <c r="E1888" s="71"/>
      <c r="F1888" s="46"/>
      <c r="G1888" s="72"/>
      <c r="H1888" s="46"/>
      <c r="I1888" s="53" t="str">
        <f ca="1"/>
        <v>退会済</v>
      </c>
      <c r="J1888" s="113"/>
      <c r="K1888" s="49" t="s">
        <v>50</v>
      </c>
      <c r="M1888" s="107" t="s">
        <v>52</v>
      </c>
    </row>
    <row r="1889" spans="1:13" ht="16">
      <c r="A1889" s="101" t="str">
        <f t="shared" si="1"/>
        <v>-</v>
      </c>
      <c r="B1889" s="48"/>
      <c r="C1889" s="53"/>
      <c r="D1889" s="49"/>
      <c r="E1889" s="71"/>
      <c r="F1889" s="46"/>
      <c r="G1889" s="72"/>
      <c r="H1889" s="46"/>
      <c r="I1889" s="53" t="str">
        <f ca="1"/>
        <v>退会済</v>
      </c>
      <c r="J1889" s="113"/>
      <c r="K1889" s="49" t="s">
        <v>50</v>
      </c>
      <c r="M1889" s="107" t="s">
        <v>52</v>
      </c>
    </row>
    <row r="1890" spans="1:13" ht="16">
      <c r="A1890" s="101" t="str">
        <f t="shared" si="1"/>
        <v>-</v>
      </c>
      <c r="B1890" s="48"/>
      <c r="C1890" s="53"/>
      <c r="D1890" s="49"/>
      <c r="E1890" s="71"/>
      <c r="F1890" s="46"/>
      <c r="G1890" s="72"/>
      <c r="H1890" s="46"/>
      <c r="I1890" s="53" t="str">
        <f ca="1"/>
        <v>退会済</v>
      </c>
      <c r="J1890" s="113"/>
      <c r="K1890" s="49" t="s">
        <v>50</v>
      </c>
      <c r="M1890" s="107" t="s">
        <v>52</v>
      </c>
    </row>
    <row r="1891" spans="1:13" ht="16">
      <c r="A1891" s="101" t="str">
        <f t="shared" si="1"/>
        <v>-</v>
      </c>
      <c r="B1891" s="48"/>
      <c r="C1891" s="53"/>
      <c r="D1891" s="49"/>
      <c r="E1891" s="71"/>
      <c r="F1891" s="46"/>
      <c r="G1891" s="72"/>
      <c r="H1891" s="46"/>
      <c r="I1891" s="53" t="str">
        <f ca="1"/>
        <v>退会済</v>
      </c>
      <c r="J1891" s="113"/>
      <c r="K1891" s="49" t="s">
        <v>50</v>
      </c>
      <c r="M1891" s="107" t="s">
        <v>52</v>
      </c>
    </row>
    <row r="1892" spans="1:13" ht="16">
      <c r="A1892" s="101" t="str">
        <f t="shared" si="1"/>
        <v>-</v>
      </c>
      <c r="B1892" s="48"/>
      <c r="C1892" s="53"/>
      <c r="D1892" s="49"/>
      <c r="E1892" s="71"/>
      <c r="F1892" s="46"/>
      <c r="G1892" s="72"/>
      <c r="H1892" s="46"/>
      <c r="I1892" s="53" t="str">
        <f ca="1"/>
        <v>退会済</v>
      </c>
      <c r="J1892" s="113"/>
      <c r="K1892" s="49" t="s">
        <v>50</v>
      </c>
      <c r="M1892" s="107" t="s">
        <v>52</v>
      </c>
    </row>
    <row r="1893" spans="1:13" ht="16">
      <c r="A1893" s="101" t="str">
        <f t="shared" si="1"/>
        <v>-</v>
      </c>
      <c r="B1893" s="48"/>
      <c r="C1893" s="53"/>
      <c r="D1893" s="49"/>
      <c r="E1893" s="71"/>
      <c r="F1893" s="46"/>
      <c r="G1893" s="72"/>
      <c r="H1893" s="46"/>
      <c r="I1893" s="53" t="str">
        <f ca="1"/>
        <v>退会済</v>
      </c>
      <c r="J1893" s="113"/>
      <c r="K1893" s="49" t="s">
        <v>50</v>
      </c>
      <c r="M1893" s="107" t="s">
        <v>52</v>
      </c>
    </row>
    <row r="1894" spans="1:13" ht="16">
      <c r="A1894" s="101" t="str">
        <f t="shared" si="1"/>
        <v>-</v>
      </c>
      <c r="B1894" s="48"/>
      <c r="C1894" s="53"/>
      <c r="D1894" s="49"/>
      <c r="E1894" s="71"/>
      <c r="F1894" s="46"/>
      <c r="G1894" s="72"/>
      <c r="H1894" s="46"/>
      <c r="I1894" s="53" t="str">
        <f ca="1"/>
        <v>退会済</v>
      </c>
      <c r="J1894" s="113"/>
      <c r="K1894" s="49" t="s">
        <v>50</v>
      </c>
      <c r="M1894" s="107" t="s">
        <v>52</v>
      </c>
    </row>
    <row r="1895" spans="1:13" ht="16">
      <c r="A1895" s="101" t="str">
        <f t="shared" si="1"/>
        <v>-</v>
      </c>
      <c r="B1895" s="48"/>
      <c r="C1895" s="53"/>
      <c r="D1895" s="49"/>
      <c r="E1895" s="71"/>
      <c r="F1895" s="46"/>
      <c r="G1895" s="72"/>
      <c r="H1895" s="46"/>
      <c r="I1895" s="53" t="str">
        <f ca="1"/>
        <v>退会済</v>
      </c>
      <c r="J1895" s="113"/>
      <c r="K1895" s="49" t="s">
        <v>50</v>
      </c>
      <c r="M1895" s="107" t="s">
        <v>52</v>
      </c>
    </row>
    <row r="1896" spans="1:13" ht="16">
      <c r="A1896" s="101" t="str">
        <f t="shared" si="1"/>
        <v>-</v>
      </c>
      <c r="B1896" s="48"/>
      <c r="C1896" s="53"/>
      <c r="D1896" s="49"/>
      <c r="E1896" s="71"/>
      <c r="F1896" s="46"/>
      <c r="G1896" s="72"/>
      <c r="H1896" s="46"/>
      <c r="I1896" s="53" t="str">
        <f ca="1"/>
        <v>退会済</v>
      </c>
      <c r="J1896" s="113"/>
      <c r="K1896" s="49" t="s">
        <v>50</v>
      </c>
      <c r="M1896" s="107" t="s">
        <v>52</v>
      </c>
    </row>
    <row r="1897" spans="1:13" ht="16">
      <c r="A1897" s="101" t="str">
        <f t="shared" si="1"/>
        <v>-</v>
      </c>
      <c r="B1897" s="48"/>
      <c r="C1897" s="53"/>
      <c r="D1897" s="49"/>
      <c r="E1897" s="71"/>
      <c r="F1897" s="46"/>
      <c r="G1897" s="72"/>
      <c r="H1897" s="46"/>
      <c r="I1897" s="53" t="str">
        <f ca="1"/>
        <v>退会済</v>
      </c>
      <c r="J1897" s="113"/>
      <c r="K1897" s="49" t="s">
        <v>50</v>
      </c>
      <c r="M1897" s="107" t="s">
        <v>52</v>
      </c>
    </row>
    <row r="1898" spans="1:13" ht="16">
      <c r="A1898" s="101" t="str">
        <f t="shared" si="1"/>
        <v>-</v>
      </c>
      <c r="B1898" s="48"/>
      <c r="C1898" s="53"/>
      <c r="D1898" s="49"/>
      <c r="E1898" s="71"/>
      <c r="F1898" s="46"/>
      <c r="G1898" s="72"/>
      <c r="H1898" s="46"/>
      <c r="I1898" s="53" t="str">
        <f ca="1"/>
        <v>退会済</v>
      </c>
      <c r="J1898" s="113"/>
      <c r="K1898" s="49" t="s">
        <v>50</v>
      </c>
      <c r="M1898" s="107" t="s">
        <v>52</v>
      </c>
    </row>
    <row r="1899" spans="1:13" ht="16">
      <c r="A1899" s="101" t="str">
        <f t="shared" si="1"/>
        <v>-</v>
      </c>
      <c r="B1899" s="48"/>
      <c r="C1899" s="53"/>
      <c r="D1899" s="49"/>
      <c r="E1899" s="71"/>
      <c r="F1899" s="46"/>
      <c r="G1899" s="72"/>
      <c r="H1899" s="46"/>
      <c r="I1899" s="53" t="str">
        <f ca="1"/>
        <v>退会済</v>
      </c>
      <c r="J1899" s="113"/>
      <c r="K1899" s="49" t="s">
        <v>50</v>
      </c>
      <c r="M1899" s="107" t="s">
        <v>52</v>
      </c>
    </row>
    <row r="1900" spans="1:13" ht="16">
      <c r="A1900" s="101" t="str">
        <f t="shared" si="1"/>
        <v>-</v>
      </c>
      <c r="B1900" s="48"/>
      <c r="C1900" s="53"/>
      <c r="D1900" s="49"/>
      <c r="E1900" s="71"/>
      <c r="F1900" s="46"/>
      <c r="G1900" s="72"/>
      <c r="H1900" s="46"/>
      <c r="I1900" s="53" t="str">
        <f ca="1"/>
        <v>退会済</v>
      </c>
      <c r="J1900" s="113"/>
      <c r="K1900" s="49" t="s">
        <v>50</v>
      </c>
      <c r="M1900" s="107" t="s">
        <v>52</v>
      </c>
    </row>
    <row r="1901" spans="1:13" ht="16">
      <c r="A1901" s="101" t="str">
        <f t="shared" si="1"/>
        <v>-</v>
      </c>
      <c r="B1901" s="48"/>
      <c r="C1901" s="53"/>
      <c r="D1901" s="49"/>
      <c r="E1901" s="71"/>
      <c r="F1901" s="46"/>
      <c r="G1901" s="72"/>
      <c r="H1901" s="46"/>
      <c r="I1901" s="53" t="str">
        <f ca="1"/>
        <v>退会済</v>
      </c>
      <c r="J1901" s="113"/>
      <c r="K1901" s="49" t="s">
        <v>50</v>
      </c>
      <c r="M1901" s="107" t="s">
        <v>52</v>
      </c>
    </row>
    <row r="1902" spans="1:13" ht="16">
      <c r="A1902" s="101" t="str">
        <f t="shared" si="1"/>
        <v>-</v>
      </c>
      <c r="B1902" s="48"/>
      <c r="C1902" s="53"/>
      <c r="D1902" s="49"/>
      <c r="E1902" s="71"/>
      <c r="F1902" s="46"/>
      <c r="G1902" s="72"/>
      <c r="H1902" s="46"/>
      <c r="I1902" s="53" t="str">
        <f ca="1"/>
        <v>退会済</v>
      </c>
      <c r="J1902" s="113"/>
      <c r="K1902" s="49" t="s">
        <v>50</v>
      </c>
      <c r="M1902" s="107" t="s">
        <v>52</v>
      </c>
    </row>
    <row r="1903" spans="1:13" ht="16">
      <c r="A1903" s="101" t="str">
        <f t="shared" si="1"/>
        <v>-</v>
      </c>
      <c r="B1903" s="48"/>
      <c r="C1903" s="53"/>
      <c r="D1903" s="49"/>
      <c r="E1903" s="71"/>
      <c r="F1903" s="46"/>
      <c r="G1903" s="72"/>
      <c r="H1903" s="46"/>
      <c r="I1903" s="53" t="str">
        <f ca="1"/>
        <v>退会済</v>
      </c>
      <c r="J1903" s="113"/>
      <c r="K1903" s="49" t="s">
        <v>50</v>
      </c>
      <c r="M1903" s="107" t="s">
        <v>52</v>
      </c>
    </row>
    <row r="1904" spans="1:13" ht="16">
      <c r="A1904" s="101" t="str">
        <f t="shared" si="1"/>
        <v>-</v>
      </c>
      <c r="B1904" s="48"/>
      <c r="C1904" s="53"/>
      <c r="D1904" s="49"/>
      <c r="E1904" s="71"/>
      <c r="F1904" s="46"/>
      <c r="G1904" s="72"/>
      <c r="H1904" s="46"/>
      <c r="I1904" s="53" t="str">
        <f ca="1"/>
        <v>退会済</v>
      </c>
      <c r="J1904" s="113"/>
      <c r="K1904" s="49" t="s">
        <v>50</v>
      </c>
      <c r="M1904" s="107" t="s">
        <v>52</v>
      </c>
    </row>
    <row r="1905" spans="1:13" ht="16">
      <c r="A1905" s="101" t="str">
        <f t="shared" si="1"/>
        <v>-</v>
      </c>
      <c r="B1905" s="48"/>
      <c r="C1905" s="53"/>
      <c r="D1905" s="49"/>
      <c r="E1905" s="71"/>
      <c r="F1905" s="46"/>
      <c r="G1905" s="72"/>
      <c r="H1905" s="46"/>
      <c r="I1905" s="53" t="str">
        <f ca="1"/>
        <v>退会済</v>
      </c>
      <c r="J1905" s="113"/>
      <c r="K1905" s="49" t="s">
        <v>50</v>
      </c>
      <c r="M1905" s="107" t="s">
        <v>52</v>
      </c>
    </row>
    <row r="1906" spans="1:13" ht="16">
      <c r="A1906" s="101" t="str">
        <f t="shared" si="1"/>
        <v>-</v>
      </c>
      <c r="B1906" s="48"/>
      <c r="C1906" s="53"/>
      <c r="D1906" s="49"/>
      <c r="E1906" s="71"/>
      <c r="F1906" s="46"/>
      <c r="G1906" s="72"/>
      <c r="H1906" s="46"/>
      <c r="I1906" s="53" t="str">
        <f ca="1"/>
        <v>退会済</v>
      </c>
      <c r="J1906" s="113"/>
      <c r="K1906" s="49" t="s">
        <v>50</v>
      </c>
      <c r="M1906" s="107" t="s">
        <v>52</v>
      </c>
    </row>
    <row r="1907" spans="1:13" ht="16">
      <c r="A1907" s="101" t="str">
        <f t="shared" si="1"/>
        <v>-</v>
      </c>
      <c r="B1907" s="48"/>
      <c r="C1907" s="53"/>
      <c r="D1907" s="49"/>
      <c r="E1907" s="71"/>
      <c r="F1907" s="46"/>
      <c r="G1907" s="72"/>
      <c r="H1907" s="46"/>
      <c r="I1907" s="53" t="str">
        <f ca="1"/>
        <v>退会済</v>
      </c>
      <c r="J1907" s="113"/>
      <c r="K1907" s="49" t="s">
        <v>50</v>
      </c>
      <c r="M1907" s="107" t="s">
        <v>52</v>
      </c>
    </row>
    <row r="1908" spans="1:13" ht="16">
      <c r="A1908" s="101" t="str">
        <f t="shared" si="1"/>
        <v>-</v>
      </c>
      <c r="B1908" s="48"/>
      <c r="C1908" s="53"/>
      <c r="D1908" s="49"/>
      <c r="E1908" s="71"/>
      <c r="F1908" s="46"/>
      <c r="G1908" s="72"/>
      <c r="H1908" s="46"/>
      <c r="I1908" s="53" t="str">
        <f ca="1"/>
        <v>退会済</v>
      </c>
      <c r="J1908" s="113"/>
      <c r="K1908" s="49" t="s">
        <v>50</v>
      </c>
      <c r="M1908" s="107" t="s">
        <v>52</v>
      </c>
    </row>
    <row r="1909" spans="1:13" ht="16">
      <c r="A1909" s="101" t="str">
        <f t="shared" si="1"/>
        <v>-</v>
      </c>
      <c r="B1909" s="48"/>
      <c r="C1909" s="53"/>
      <c r="D1909" s="49"/>
      <c r="E1909" s="71"/>
      <c r="F1909" s="46"/>
      <c r="G1909" s="72"/>
      <c r="H1909" s="46"/>
      <c r="I1909" s="53" t="str">
        <f ca="1"/>
        <v>退会済</v>
      </c>
      <c r="J1909" s="113"/>
      <c r="K1909" s="49" t="s">
        <v>50</v>
      </c>
      <c r="M1909" s="107" t="s">
        <v>52</v>
      </c>
    </row>
    <row r="1910" spans="1:13" ht="16">
      <c r="A1910" s="101" t="str">
        <f t="shared" si="1"/>
        <v>-</v>
      </c>
      <c r="B1910" s="48"/>
      <c r="C1910" s="53"/>
      <c r="D1910" s="49"/>
      <c r="E1910" s="71"/>
      <c r="F1910" s="46"/>
      <c r="G1910" s="72"/>
      <c r="H1910" s="46"/>
      <c r="I1910" s="53" t="str">
        <f ca="1"/>
        <v>退会済</v>
      </c>
      <c r="J1910" s="113"/>
      <c r="K1910" s="49" t="s">
        <v>50</v>
      </c>
      <c r="M1910" s="107" t="s">
        <v>52</v>
      </c>
    </row>
    <row r="1911" spans="1:13" ht="16">
      <c r="A1911" s="101" t="str">
        <f t="shared" si="1"/>
        <v>-</v>
      </c>
      <c r="B1911" s="48"/>
      <c r="C1911" s="53"/>
      <c r="D1911" s="49"/>
      <c r="E1911" s="71"/>
      <c r="F1911" s="46"/>
      <c r="G1911" s="72"/>
      <c r="H1911" s="46"/>
      <c r="I1911" s="53" t="str">
        <f ca="1"/>
        <v>退会済</v>
      </c>
      <c r="J1911" s="113"/>
      <c r="K1911" s="49" t="s">
        <v>50</v>
      </c>
      <c r="M1911" s="107" t="s">
        <v>52</v>
      </c>
    </row>
    <row r="1912" spans="1:13" ht="16">
      <c r="A1912" s="101" t="str">
        <f t="shared" si="1"/>
        <v>-</v>
      </c>
      <c r="B1912" s="48"/>
      <c r="C1912" s="53"/>
      <c r="D1912" s="49"/>
      <c r="E1912" s="71"/>
      <c r="F1912" s="46"/>
      <c r="G1912" s="72"/>
      <c r="H1912" s="46"/>
      <c r="I1912" s="53" t="str">
        <f ca="1"/>
        <v>退会済</v>
      </c>
      <c r="J1912" s="113"/>
      <c r="K1912" s="49" t="s">
        <v>50</v>
      </c>
      <c r="M1912" s="107" t="s">
        <v>52</v>
      </c>
    </row>
    <row r="1913" spans="1:13" ht="16">
      <c r="A1913" s="101" t="str">
        <f t="shared" si="1"/>
        <v>-</v>
      </c>
      <c r="B1913" s="48"/>
      <c r="C1913" s="53"/>
      <c r="D1913" s="49"/>
      <c r="E1913" s="71"/>
      <c r="F1913" s="46"/>
      <c r="G1913" s="72"/>
      <c r="H1913" s="46"/>
      <c r="I1913" s="53" t="str">
        <f ca="1"/>
        <v>退会済</v>
      </c>
      <c r="J1913" s="113"/>
      <c r="K1913" s="49" t="s">
        <v>50</v>
      </c>
      <c r="M1913" s="107" t="s">
        <v>52</v>
      </c>
    </row>
    <row r="1914" spans="1:13" ht="16">
      <c r="A1914" s="101" t="str">
        <f t="shared" si="1"/>
        <v>-</v>
      </c>
      <c r="B1914" s="48"/>
      <c r="C1914" s="53"/>
      <c r="D1914" s="49"/>
      <c r="E1914" s="71"/>
      <c r="F1914" s="46"/>
      <c r="G1914" s="72"/>
      <c r="H1914" s="46"/>
      <c r="I1914" s="53" t="str">
        <f ca="1"/>
        <v>退会済</v>
      </c>
      <c r="J1914" s="113"/>
      <c r="K1914" s="49" t="s">
        <v>50</v>
      </c>
      <c r="M1914" s="107" t="s">
        <v>52</v>
      </c>
    </row>
    <row r="1915" spans="1:13" ht="16">
      <c r="A1915" s="101" t="str">
        <f t="shared" si="1"/>
        <v>-</v>
      </c>
      <c r="B1915" s="48"/>
      <c r="C1915" s="53"/>
      <c r="D1915" s="49"/>
      <c r="E1915" s="71"/>
      <c r="F1915" s="46"/>
      <c r="G1915" s="72"/>
      <c r="H1915" s="46"/>
      <c r="I1915" s="53" t="str">
        <f ca="1"/>
        <v>退会済</v>
      </c>
      <c r="J1915" s="113"/>
      <c r="K1915" s="49" t="s">
        <v>50</v>
      </c>
      <c r="M1915" s="107" t="s">
        <v>52</v>
      </c>
    </row>
    <row r="1916" spans="1:13" ht="16">
      <c r="A1916" s="101" t="str">
        <f t="shared" si="1"/>
        <v>-</v>
      </c>
      <c r="B1916" s="48"/>
      <c r="C1916" s="53"/>
      <c r="D1916" s="49"/>
      <c r="E1916" s="71"/>
      <c r="F1916" s="46"/>
      <c r="G1916" s="72"/>
      <c r="H1916" s="46"/>
      <c r="I1916" s="53" t="str">
        <f ca="1"/>
        <v>退会済</v>
      </c>
      <c r="J1916" s="113"/>
      <c r="K1916" s="49" t="s">
        <v>50</v>
      </c>
      <c r="M1916" s="107" t="s">
        <v>52</v>
      </c>
    </row>
    <row r="1917" spans="1:13" ht="16">
      <c r="A1917" s="101" t="str">
        <f t="shared" si="1"/>
        <v>-</v>
      </c>
      <c r="B1917" s="48"/>
      <c r="C1917" s="53"/>
      <c r="D1917" s="49"/>
      <c r="E1917" s="71"/>
      <c r="F1917" s="46"/>
      <c r="G1917" s="72"/>
      <c r="H1917" s="46"/>
      <c r="I1917" s="53" t="str">
        <f ca="1"/>
        <v>退会済</v>
      </c>
      <c r="J1917" s="113"/>
      <c r="K1917" s="49" t="s">
        <v>50</v>
      </c>
      <c r="M1917" s="107" t="s">
        <v>52</v>
      </c>
    </row>
    <row r="1918" spans="1:13" ht="16">
      <c r="A1918" s="101" t="str">
        <f t="shared" si="1"/>
        <v>-</v>
      </c>
      <c r="B1918" s="48"/>
      <c r="C1918" s="53"/>
      <c r="D1918" s="49"/>
      <c r="E1918" s="71"/>
      <c r="F1918" s="46"/>
      <c r="G1918" s="72"/>
      <c r="H1918" s="46"/>
      <c r="I1918" s="53" t="str">
        <f ca="1"/>
        <v>退会済</v>
      </c>
      <c r="J1918" s="113"/>
      <c r="K1918" s="49" t="s">
        <v>50</v>
      </c>
      <c r="M1918" s="107" t="s">
        <v>52</v>
      </c>
    </row>
    <row r="1919" spans="1:13" ht="16">
      <c r="A1919" s="101" t="str">
        <f t="shared" si="1"/>
        <v>-</v>
      </c>
      <c r="B1919" s="48"/>
      <c r="C1919" s="53"/>
      <c r="D1919" s="49"/>
      <c r="E1919" s="71"/>
      <c r="F1919" s="46"/>
      <c r="G1919" s="72"/>
      <c r="H1919" s="46"/>
      <c r="I1919" s="53" t="str">
        <f ca="1"/>
        <v>退会済</v>
      </c>
      <c r="J1919" s="113"/>
      <c r="K1919" s="49" t="s">
        <v>50</v>
      </c>
      <c r="M1919" s="107" t="s">
        <v>52</v>
      </c>
    </row>
    <row r="1920" spans="1:13" ht="16">
      <c r="A1920" s="101" t="str">
        <f t="shared" si="1"/>
        <v>-</v>
      </c>
      <c r="B1920" s="48"/>
      <c r="C1920" s="53"/>
      <c r="D1920" s="49"/>
      <c r="E1920" s="71"/>
      <c r="F1920" s="46"/>
      <c r="G1920" s="72"/>
      <c r="H1920" s="46"/>
      <c r="I1920" s="53" t="str">
        <f ca="1"/>
        <v>退会済</v>
      </c>
      <c r="J1920" s="113"/>
      <c r="K1920" s="49" t="s">
        <v>50</v>
      </c>
      <c r="M1920" s="107" t="s">
        <v>52</v>
      </c>
    </row>
    <row r="1921" spans="1:13" ht="16">
      <c r="A1921" s="101" t="str">
        <f t="shared" si="1"/>
        <v>-</v>
      </c>
      <c r="B1921" s="48"/>
      <c r="C1921" s="53"/>
      <c r="D1921" s="49"/>
      <c r="E1921" s="71"/>
      <c r="F1921" s="46"/>
      <c r="G1921" s="72"/>
      <c r="H1921" s="46"/>
      <c r="I1921" s="53" t="str">
        <f ca="1"/>
        <v>退会済</v>
      </c>
      <c r="J1921" s="113"/>
      <c r="K1921" s="49" t="s">
        <v>50</v>
      </c>
      <c r="M1921" s="107" t="s">
        <v>52</v>
      </c>
    </row>
    <row r="1922" spans="1:13" ht="16">
      <c r="A1922" s="101" t="str">
        <f t="shared" si="1"/>
        <v>-</v>
      </c>
      <c r="B1922" s="48"/>
      <c r="C1922" s="53"/>
      <c r="D1922" s="49"/>
      <c r="E1922" s="71"/>
      <c r="F1922" s="46"/>
      <c r="G1922" s="72"/>
      <c r="H1922" s="46"/>
      <c r="I1922" s="53" t="str">
        <f ca="1"/>
        <v>退会済</v>
      </c>
      <c r="J1922" s="113"/>
      <c r="K1922" s="49" t="s">
        <v>50</v>
      </c>
      <c r="M1922" s="107" t="s">
        <v>52</v>
      </c>
    </row>
    <row r="1923" spans="1:13" ht="16">
      <c r="A1923" s="101" t="str">
        <f t="shared" si="1"/>
        <v>-</v>
      </c>
      <c r="B1923" s="48"/>
      <c r="C1923" s="53"/>
      <c r="D1923" s="49"/>
      <c r="E1923" s="71"/>
      <c r="F1923" s="46"/>
      <c r="G1923" s="72"/>
      <c r="H1923" s="46"/>
      <c r="I1923" s="53" t="str">
        <f ca="1"/>
        <v>退会済</v>
      </c>
      <c r="J1923" s="113"/>
      <c r="K1923" s="49" t="s">
        <v>50</v>
      </c>
      <c r="M1923" s="107" t="s">
        <v>52</v>
      </c>
    </row>
    <row r="1924" spans="1:13" ht="16">
      <c r="A1924" s="101" t="str">
        <f t="shared" si="1"/>
        <v>-</v>
      </c>
      <c r="B1924" s="48"/>
      <c r="C1924" s="53"/>
      <c r="D1924" s="49"/>
      <c r="E1924" s="71"/>
      <c r="F1924" s="46"/>
      <c r="G1924" s="72"/>
      <c r="H1924" s="46"/>
      <c r="I1924" s="53" t="str">
        <f ca="1"/>
        <v>退会済</v>
      </c>
      <c r="J1924" s="113"/>
      <c r="K1924" s="49" t="s">
        <v>50</v>
      </c>
      <c r="M1924" s="107" t="s">
        <v>52</v>
      </c>
    </row>
    <row r="1925" spans="1:13" ht="16">
      <c r="A1925" s="101" t="str">
        <f t="shared" si="1"/>
        <v>-</v>
      </c>
      <c r="B1925" s="48"/>
      <c r="C1925" s="53"/>
      <c r="D1925" s="49"/>
      <c r="E1925" s="71"/>
      <c r="F1925" s="46"/>
      <c r="G1925" s="72"/>
      <c r="H1925" s="46"/>
      <c r="I1925" s="53" t="str">
        <f ca="1"/>
        <v>退会済</v>
      </c>
      <c r="J1925" s="113"/>
      <c r="K1925" s="49" t="s">
        <v>50</v>
      </c>
      <c r="M1925" s="107" t="s">
        <v>52</v>
      </c>
    </row>
    <row r="1926" spans="1:13" ht="16">
      <c r="A1926" s="101" t="str">
        <f t="shared" si="1"/>
        <v>-</v>
      </c>
      <c r="B1926" s="48"/>
      <c r="C1926" s="53"/>
      <c r="D1926" s="49"/>
      <c r="E1926" s="71"/>
      <c r="F1926" s="46"/>
      <c r="G1926" s="72"/>
      <c r="H1926" s="46"/>
      <c r="I1926" s="53" t="str">
        <f ca="1"/>
        <v>退会済</v>
      </c>
      <c r="J1926" s="113"/>
      <c r="K1926" s="49" t="s">
        <v>50</v>
      </c>
      <c r="M1926" s="107" t="s">
        <v>52</v>
      </c>
    </row>
    <row r="1927" spans="1:13" ht="16">
      <c r="A1927" s="101" t="str">
        <f t="shared" si="1"/>
        <v>-</v>
      </c>
      <c r="B1927" s="48"/>
      <c r="C1927" s="53"/>
      <c r="D1927" s="49"/>
      <c r="E1927" s="71"/>
      <c r="F1927" s="46"/>
      <c r="G1927" s="72"/>
      <c r="H1927" s="46"/>
      <c r="I1927" s="53" t="str">
        <f ca="1"/>
        <v>退会済</v>
      </c>
      <c r="J1927" s="113"/>
      <c r="K1927" s="49" t="s">
        <v>50</v>
      </c>
      <c r="M1927" s="107" t="s">
        <v>52</v>
      </c>
    </row>
    <row r="1928" spans="1:13" ht="16">
      <c r="A1928" s="101" t="str">
        <f t="shared" si="1"/>
        <v>-</v>
      </c>
      <c r="B1928" s="48"/>
      <c r="C1928" s="53"/>
      <c r="D1928" s="49"/>
      <c r="E1928" s="71"/>
      <c r="F1928" s="46"/>
      <c r="G1928" s="72"/>
      <c r="H1928" s="46"/>
      <c r="I1928" s="53" t="str">
        <f ca="1"/>
        <v>退会済</v>
      </c>
      <c r="J1928" s="113"/>
      <c r="K1928" s="49" t="s">
        <v>50</v>
      </c>
      <c r="M1928" s="107" t="s">
        <v>52</v>
      </c>
    </row>
    <row r="1929" spans="1:13" ht="16">
      <c r="A1929" s="101" t="str">
        <f t="shared" si="1"/>
        <v>-</v>
      </c>
      <c r="B1929" s="48"/>
      <c r="C1929" s="53"/>
      <c r="D1929" s="49"/>
      <c r="E1929" s="71"/>
      <c r="F1929" s="46"/>
      <c r="G1929" s="72"/>
      <c r="H1929" s="46"/>
      <c r="I1929" s="53" t="str">
        <f ca="1"/>
        <v>退会済</v>
      </c>
      <c r="J1929" s="113"/>
      <c r="K1929" s="49" t="s">
        <v>50</v>
      </c>
      <c r="M1929" s="107" t="s">
        <v>52</v>
      </c>
    </row>
    <row r="1930" spans="1:13" ht="16">
      <c r="A1930" s="101" t="str">
        <f t="shared" si="1"/>
        <v>-</v>
      </c>
      <c r="B1930" s="48"/>
      <c r="C1930" s="53"/>
      <c r="D1930" s="49"/>
      <c r="E1930" s="71"/>
      <c r="F1930" s="46"/>
      <c r="G1930" s="72"/>
      <c r="H1930" s="46"/>
      <c r="I1930" s="53" t="str">
        <f ca="1"/>
        <v>退会済</v>
      </c>
      <c r="J1930" s="113"/>
      <c r="K1930" s="49" t="s">
        <v>50</v>
      </c>
      <c r="M1930" s="107" t="s">
        <v>52</v>
      </c>
    </row>
    <row r="1931" spans="1:13" ht="16">
      <c r="A1931" s="101" t="str">
        <f t="shared" si="1"/>
        <v>-</v>
      </c>
      <c r="B1931" s="48"/>
      <c r="C1931" s="53"/>
      <c r="D1931" s="49"/>
      <c r="E1931" s="71"/>
      <c r="F1931" s="46"/>
      <c r="G1931" s="72"/>
      <c r="H1931" s="46"/>
      <c r="I1931" s="53" t="str">
        <f ca="1"/>
        <v>退会済</v>
      </c>
      <c r="J1931" s="113"/>
      <c r="K1931" s="49" t="s">
        <v>50</v>
      </c>
      <c r="M1931" s="107" t="s">
        <v>52</v>
      </c>
    </row>
    <row r="1932" spans="1:13" ht="16">
      <c r="A1932" s="101" t="str">
        <f t="shared" si="1"/>
        <v>-</v>
      </c>
      <c r="B1932" s="48"/>
      <c r="C1932" s="53"/>
      <c r="D1932" s="49"/>
      <c r="E1932" s="71"/>
      <c r="F1932" s="46"/>
      <c r="G1932" s="72"/>
      <c r="H1932" s="46"/>
      <c r="I1932" s="53" t="str">
        <f ca="1"/>
        <v>退会済</v>
      </c>
      <c r="J1932" s="113"/>
      <c r="K1932" s="49" t="s">
        <v>50</v>
      </c>
      <c r="M1932" s="107" t="s">
        <v>52</v>
      </c>
    </row>
    <row r="1933" spans="1:13" ht="16">
      <c r="A1933" s="101" t="str">
        <f t="shared" si="1"/>
        <v>-</v>
      </c>
      <c r="B1933" s="48"/>
      <c r="C1933" s="53"/>
      <c r="D1933" s="49"/>
      <c r="E1933" s="71"/>
      <c r="F1933" s="46"/>
      <c r="G1933" s="72"/>
      <c r="H1933" s="46"/>
      <c r="I1933" s="53" t="str">
        <f ca="1"/>
        <v>退会済</v>
      </c>
      <c r="J1933" s="113"/>
      <c r="K1933" s="49" t="s">
        <v>50</v>
      </c>
      <c r="M1933" s="107" t="s">
        <v>52</v>
      </c>
    </row>
    <row r="1934" spans="1:13" ht="16">
      <c r="A1934" s="101" t="str">
        <f t="shared" si="1"/>
        <v>-</v>
      </c>
      <c r="B1934" s="48"/>
      <c r="C1934" s="53"/>
      <c r="D1934" s="49"/>
      <c r="E1934" s="71"/>
      <c r="F1934" s="46"/>
      <c r="G1934" s="72"/>
      <c r="H1934" s="46"/>
      <c r="I1934" s="53" t="str">
        <f ca="1"/>
        <v>退会済</v>
      </c>
      <c r="J1934" s="113"/>
      <c r="K1934" s="49" t="s">
        <v>50</v>
      </c>
      <c r="M1934" s="107" t="s">
        <v>52</v>
      </c>
    </row>
    <row r="1935" spans="1:13" ht="16">
      <c r="A1935" s="101" t="str">
        <f t="shared" si="1"/>
        <v>-</v>
      </c>
      <c r="B1935" s="48"/>
      <c r="C1935" s="53"/>
      <c r="D1935" s="49"/>
      <c r="E1935" s="71"/>
      <c r="F1935" s="46"/>
      <c r="G1935" s="72"/>
      <c r="H1935" s="46"/>
      <c r="I1935" s="53" t="str">
        <f ca="1"/>
        <v>退会済</v>
      </c>
      <c r="J1935" s="113"/>
      <c r="K1935" s="49" t="s">
        <v>50</v>
      </c>
      <c r="M1935" s="107" t="s">
        <v>52</v>
      </c>
    </row>
    <row r="1936" spans="1:13" ht="16">
      <c r="A1936" s="101" t="str">
        <f t="shared" si="1"/>
        <v>-</v>
      </c>
      <c r="B1936" s="48"/>
      <c r="C1936" s="53"/>
      <c r="D1936" s="49"/>
      <c r="E1936" s="71"/>
      <c r="F1936" s="46"/>
      <c r="G1936" s="72"/>
      <c r="H1936" s="46"/>
      <c r="I1936" s="53" t="str">
        <f ca="1"/>
        <v>退会済</v>
      </c>
      <c r="J1936" s="113"/>
      <c r="K1936" s="49" t="s">
        <v>50</v>
      </c>
      <c r="M1936" s="107" t="s">
        <v>52</v>
      </c>
    </row>
    <row r="1937" spans="1:13" ht="16">
      <c r="A1937" s="101" t="str">
        <f t="shared" si="1"/>
        <v>-</v>
      </c>
      <c r="B1937" s="48"/>
      <c r="C1937" s="53"/>
      <c r="D1937" s="49"/>
      <c r="E1937" s="71"/>
      <c r="F1937" s="46"/>
      <c r="G1937" s="72"/>
      <c r="H1937" s="46"/>
      <c r="I1937" s="53" t="str">
        <f ca="1"/>
        <v>退会済</v>
      </c>
      <c r="J1937" s="113"/>
      <c r="K1937" s="49" t="s">
        <v>50</v>
      </c>
      <c r="M1937" s="107" t="s">
        <v>52</v>
      </c>
    </row>
    <row r="1938" spans="1:13" ht="16">
      <c r="A1938" s="101" t="str">
        <f t="shared" si="1"/>
        <v>-</v>
      </c>
      <c r="B1938" s="48"/>
      <c r="C1938" s="53"/>
      <c r="D1938" s="49"/>
      <c r="E1938" s="71"/>
      <c r="F1938" s="46"/>
      <c r="G1938" s="72"/>
      <c r="H1938" s="46"/>
      <c r="I1938" s="53" t="str">
        <f ca="1"/>
        <v>退会済</v>
      </c>
      <c r="J1938" s="113"/>
      <c r="K1938" s="49" t="s">
        <v>50</v>
      </c>
      <c r="M1938" s="107" t="s">
        <v>52</v>
      </c>
    </row>
    <row r="1939" spans="1:13" ht="16">
      <c r="A1939" s="101" t="str">
        <f t="shared" si="1"/>
        <v>-</v>
      </c>
      <c r="B1939" s="48"/>
      <c r="C1939" s="53"/>
      <c r="D1939" s="49"/>
      <c r="E1939" s="71"/>
      <c r="F1939" s="46"/>
      <c r="G1939" s="72"/>
      <c r="H1939" s="46"/>
      <c r="I1939" s="53" t="str">
        <f ca="1"/>
        <v>退会済</v>
      </c>
      <c r="J1939" s="113"/>
      <c r="K1939" s="49" t="s">
        <v>50</v>
      </c>
      <c r="M1939" s="107" t="s">
        <v>52</v>
      </c>
    </row>
    <row r="1940" spans="1:13" ht="16">
      <c r="A1940" s="101" t="str">
        <f t="shared" si="1"/>
        <v>-</v>
      </c>
      <c r="B1940" s="48"/>
      <c r="C1940" s="53"/>
      <c r="D1940" s="49"/>
      <c r="E1940" s="71"/>
      <c r="F1940" s="46"/>
      <c r="G1940" s="72"/>
      <c r="H1940" s="46"/>
      <c r="I1940" s="53" t="str">
        <f ca="1"/>
        <v>退会済</v>
      </c>
      <c r="J1940" s="113"/>
      <c r="K1940" s="49" t="s">
        <v>50</v>
      </c>
      <c r="M1940" s="107" t="s">
        <v>52</v>
      </c>
    </row>
    <row r="1941" spans="1:13" ht="16">
      <c r="A1941" s="101" t="str">
        <f t="shared" si="1"/>
        <v>-</v>
      </c>
      <c r="B1941" s="48"/>
      <c r="C1941" s="53"/>
      <c r="D1941" s="49"/>
      <c r="E1941" s="71"/>
      <c r="F1941" s="46"/>
      <c r="G1941" s="72"/>
      <c r="H1941" s="46"/>
      <c r="I1941" s="53" t="str">
        <f ca="1"/>
        <v>退会済</v>
      </c>
      <c r="J1941" s="113"/>
      <c r="K1941" s="49" t="s">
        <v>50</v>
      </c>
      <c r="M1941" s="107" t="s">
        <v>52</v>
      </c>
    </row>
    <row r="1942" spans="1:13" ht="16">
      <c r="A1942" s="101" t="str">
        <f t="shared" si="1"/>
        <v>-</v>
      </c>
      <c r="B1942" s="48"/>
      <c r="C1942" s="53"/>
      <c r="D1942" s="49"/>
      <c r="E1942" s="71"/>
      <c r="F1942" s="46"/>
      <c r="G1942" s="72"/>
      <c r="H1942" s="46"/>
      <c r="I1942" s="53" t="str">
        <f ca="1"/>
        <v>退会済</v>
      </c>
      <c r="J1942" s="113"/>
      <c r="K1942" s="49" t="s">
        <v>50</v>
      </c>
      <c r="M1942" s="107" t="s">
        <v>52</v>
      </c>
    </row>
    <row r="1943" spans="1:13" ht="16">
      <c r="A1943" s="101" t="str">
        <f t="shared" si="1"/>
        <v>-</v>
      </c>
      <c r="B1943" s="48"/>
      <c r="C1943" s="53"/>
      <c r="D1943" s="49"/>
      <c r="E1943" s="71"/>
      <c r="F1943" s="46"/>
      <c r="G1943" s="72"/>
      <c r="H1943" s="46"/>
      <c r="I1943" s="53" t="str">
        <f ca="1"/>
        <v>退会済</v>
      </c>
      <c r="J1943" s="113"/>
      <c r="K1943" s="49" t="s">
        <v>50</v>
      </c>
      <c r="M1943" s="107" t="s">
        <v>52</v>
      </c>
    </row>
    <row r="1944" spans="1:13" ht="16">
      <c r="A1944" s="101" t="str">
        <f t="shared" si="1"/>
        <v>-</v>
      </c>
      <c r="B1944" s="48"/>
      <c r="C1944" s="53"/>
      <c r="D1944" s="49"/>
      <c r="E1944" s="71"/>
      <c r="F1944" s="46"/>
      <c r="G1944" s="72"/>
      <c r="H1944" s="46"/>
      <c r="I1944" s="53" t="str">
        <f ca="1"/>
        <v>退会済</v>
      </c>
      <c r="J1944" s="113"/>
      <c r="K1944" s="49" t="s">
        <v>50</v>
      </c>
      <c r="M1944" s="107" t="s">
        <v>52</v>
      </c>
    </row>
    <row r="1945" spans="1:13" ht="16">
      <c r="A1945" s="101" t="str">
        <f t="shared" si="1"/>
        <v>-</v>
      </c>
      <c r="B1945" s="48"/>
      <c r="C1945" s="53"/>
      <c r="D1945" s="49"/>
      <c r="E1945" s="71"/>
      <c r="F1945" s="46"/>
      <c r="G1945" s="72"/>
      <c r="H1945" s="46"/>
      <c r="I1945" s="53" t="str">
        <f ca="1"/>
        <v>退会済</v>
      </c>
      <c r="J1945" s="113"/>
      <c r="K1945" s="49" t="s">
        <v>50</v>
      </c>
      <c r="M1945" s="107" t="s">
        <v>52</v>
      </c>
    </row>
    <row r="1946" spans="1:13" ht="16">
      <c r="A1946" s="101" t="str">
        <f t="shared" si="1"/>
        <v>-</v>
      </c>
      <c r="B1946" s="48"/>
      <c r="C1946" s="53"/>
      <c r="D1946" s="49"/>
      <c r="E1946" s="71"/>
      <c r="F1946" s="46"/>
      <c r="G1946" s="72"/>
      <c r="H1946" s="46"/>
      <c r="I1946" s="53" t="str">
        <f ca="1"/>
        <v>退会済</v>
      </c>
      <c r="J1946" s="113"/>
      <c r="K1946" s="49" t="s">
        <v>50</v>
      </c>
      <c r="M1946" s="107" t="s">
        <v>52</v>
      </c>
    </row>
    <row r="1947" spans="1:13" ht="16">
      <c r="A1947" s="101" t="str">
        <f t="shared" si="1"/>
        <v>-</v>
      </c>
      <c r="B1947" s="48"/>
      <c r="C1947" s="53"/>
      <c r="D1947" s="49"/>
      <c r="E1947" s="71"/>
      <c r="F1947" s="46"/>
      <c r="G1947" s="72"/>
      <c r="H1947" s="46"/>
      <c r="I1947" s="53" t="str">
        <f ca="1"/>
        <v>退会済</v>
      </c>
      <c r="J1947" s="113"/>
      <c r="K1947" s="49" t="s">
        <v>50</v>
      </c>
      <c r="M1947" s="107" t="s">
        <v>52</v>
      </c>
    </row>
    <row r="1948" spans="1:13" ht="16">
      <c r="A1948" s="101" t="str">
        <f t="shared" si="1"/>
        <v>-</v>
      </c>
      <c r="B1948" s="48"/>
      <c r="C1948" s="53"/>
      <c r="D1948" s="49"/>
      <c r="E1948" s="71"/>
      <c r="F1948" s="46"/>
      <c r="G1948" s="72"/>
      <c r="H1948" s="46"/>
      <c r="I1948" s="53" t="str">
        <f ca="1"/>
        <v>退会済</v>
      </c>
      <c r="J1948" s="113"/>
      <c r="K1948" s="49" t="s">
        <v>50</v>
      </c>
      <c r="M1948" s="107" t="s">
        <v>52</v>
      </c>
    </row>
    <row r="1949" spans="1:13" ht="16">
      <c r="A1949" s="101" t="str">
        <f t="shared" si="1"/>
        <v>-</v>
      </c>
      <c r="B1949" s="48"/>
      <c r="C1949" s="53"/>
      <c r="D1949" s="49"/>
      <c r="E1949" s="71"/>
      <c r="F1949" s="46"/>
      <c r="G1949" s="72"/>
      <c r="H1949" s="46"/>
      <c r="I1949" s="53" t="str">
        <f ca="1"/>
        <v>退会済</v>
      </c>
      <c r="J1949" s="113"/>
      <c r="K1949" s="49" t="s">
        <v>50</v>
      </c>
      <c r="M1949" s="107" t="s">
        <v>52</v>
      </c>
    </row>
    <row r="1950" spans="1:13" ht="16">
      <c r="A1950" s="101" t="str">
        <f t="shared" si="1"/>
        <v>-</v>
      </c>
      <c r="B1950" s="48"/>
      <c r="C1950" s="53"/>
      <c r="D1950" s="49"/>
      <c r="E1950" s="71"/>
      <c r="F1950" s="46"/>
      <c r="G1950" s="72"/>
      <c r="H1950" s="46"/>
      <c r="I1950" s="53" t="str">
        <f ca="1"/>
        <v>退会済</v>
      </c>
      <c r="J1950" s="113"/>
      <c r="K1950" s="49" t="s">
        <v>50</v>
      </c>
      <c r="M1950" s="107" t="s">
        <v>52</v>
      </c>
    </row>
    <row r="1951" spans="1:13" ht="16">
      <c r="A1951" s="101" t="str">
        <f t="shared" si="1"/>
        <v>-</v>
      </c>
      <c r="B1951" s="48"/>
      <c r="C1951" s="53"/>
      <c r="D1951" s="49"/>
      <c r="E1951" s="71"/>
      <c r="F1951" s="46"/>
      <c r="G1951" s="72"/>
      <c r="H1951" s="46"/>
      <c r="I1951" s="53" t="str">
        <f ca="1"/>
        <v>退会済</v>
      </c>
      <c r="J1951" s="113"/>
      <c r="K1951" s="49" t="s">
        <v>50</v>
      </c>
      <c r="M1951" s="107" t="s">
        <v>52</v>
      </c>
    </row>
    <row r="1952" spans="1:13" ht="16">
      <c r="A1952" s="101" t="str">
        <f t="shared" si="1"/>
        <v>-</v>
      </c>
      <c r="B1952" s="48"/>
      <c r="C1952" s="53"/>
      <c r="D1952" s="49"/>
      <c r="E1952" s="71"/>
      <c r="F1952" s="46"/>
      <c r="G1952" s="72"/>
      <c r="H1952" s="46"/>
      <c r="I1952" s="53" t="str">
        <f ca="1"/>
        <v>退会済</v>
      </c>
      <c r="J1952" s="113"/>
      <c r="K1952" s="49" t="s">
        <v>50</v>
      </c>
      <c r="M1952" s="107" t="s">
        <v>52</v>
      </c>
    </row>
    <row r="1953" spans="1:13" ht="16">
      <c r="A1953" s="101" t="str">
        <f t="shared" si="1"/>
        <v>-</v>
      </c>
      <c r="B1953" s="48"/>
      <c r="C1953" s="53"/>
      <c r="D1953" s="49"/>
      <c r="E1953" s="71"/>
      <c r="F1953" s="46"/>
      <c r="G1953" s="72"/>
      <c r="H1953" s="46"/>
      <c r="I1953" s="53" t="str">
        <f ca="1"/>
        <v>退会済</v>
      </c>
      <c r="J1953" s="113"/>
      <c r="K1953" s="49" t="s">
        <v>50</v>
      </c>
      <c r="M1953" s="107" t="s">
        <v>52</v>
      </c>
    </row>
    <row r="1954" spans="1:13" ht="16">
      <c r="A1954" s="101" t="str">
        <f t="shared" si="1"/>
        <v>-</v>
      </c>
      <c r="B1954" s="48"/>
      <c r="C1954" s="53"/>
      <c r="D1954" s="49"/>
      <c r="E1954" s="71"/>
      <c r="F1954" s="46"/>
      <c r="G1954" s="72"/>
      <c r="H1954" s="46"/>
      <c r="I1954" s="53" t="str">
        <f ca="1"/>
        <v>退会済</v>
      </c>
      <c r="J1954" s="113"/>
      <c r="K1954" s="49" t="s">
        <v>50</v>
      </c>
      <c r="M1954" s="107" t="s">
        <v>52</v>
      </c>
    </row>
    <row r="1955" spans="1:13" ht="16">
      <c r="A1955" s="101" t="str">
        <f t="shared" si="1"/>
        <v>-</v>
      </c>
      <c r="B1955" s="48"/>
      <c r="C1955" s="53"/>
      <c r="D1955" s="49"/>
      <c r="E1955" s="71"/>
      <c r="F1955" s="46"/>
      <c r="G1955" s="72"/>
      <c r="H1955" s="46"/>
      <c r="I1955" s="53" t="str">
        <f ca="1"/>
        <v>退会済</v>
      </c>
      <c r="J1955" s="113"/>
      <c r="K1955" s="49" t="s">
        <v>50</v>
      </c>
      <c r="M1955" s="107" t="s">
        <v>52</v>
      </c>
    </row>
    <row r="1956" spans="1:13" ht="16">
      <c r="A1956" s="101" t="str">
        <f t="shared" si="1"/>
        <v>-</v>
      </c>
      <c r="B1956" s="48"/>
      <c r="C1956" s="53"/>
      <c r="D1956" s="49"/>
      <c r="E1956" s="71"/>
      <c r="F1956" s="46"/>
      <c r="G1956" s="72"/>
      <c r="H1956" s="46"/>
      <c r="I1956" s="53" t="str">
        <f ca="1"/>
        <v>退会済</v>
      </c>
      <c r="J1956" s="113"/>
      <c r="K1956" s="49" t="s">
        <v>50</v>
      </c>
      <c r="M1956" s="107" t="s">
        <v>52</v>
      </c>
    </row>
    <row r="1957" spans="1:13" ht="16">
      <c r="A1957" s="101" t="str">
        <f t="shared" si="1"/>
        <v>-</v>
      </c>
      <c r="B1957" s="48"/>
      <c r="C1957" s="53"/>
      <c r="D1957" s="49"/>
      <c r="E1957" s="71"/>
      <c r="F1957" s="46"/>
      <c r="G1957" s="72"/>
      <c r="H1957" s="46"/>
      <c r="I1957" s="53" t="str">
        <f ca="1"/>
        <v>退会済</v>
      </c>
      <c r="J1957" s="113"/>
      <c r="K1957" s="49" t="s">
        <v>50</v>
      </c>
      <c r="M1957" s="107" t="s">
        <v>52</v>
      </c>
    </row>
    <row r="1958" spans="1:13" ht="16">
      <c r="A1958" s="101" t="str">
        <f t="shared" si="1"/>
        <v>-</v>
      </c>
      <c r="B1958" s="48"/>
      <c r="C1958" s="53"/>
      <c r="D1958" s="49"/>
      <c r="E1958" s="71"/>
      <c r="F1958" s="46"/>
      <c r="G1958" s="72"/>
      <c r="H1958" s="46"/>
      <c r="I1958" s="53" t="str">
        <f ca="1"/>
        <v>退会済</v>
      </c>
      <c r="J1958" s="113"/>
      <c r="K1958" s="49" t="s">
        <v>50</v>
      </c>
      <c r="M1958" s="107" t="s">
        <v>52</v>
      </c>
    </row>
    <row r="1959" spans="1:13" ht="16">
      <c r="A1959" s="101" t="str">
        <f t="shared" si="1"/>
        <v>-</v>
      </c>
      <c r="B1959" s="48"/>
      <c r="C1959" s="53"/>
      <c r="D1959" s="49"/>
      <c r="E1959" s="71"/>
      <c r="F1959" s="46"/>
      <c r="G1959" s="72"/>
      <c r="H1959" s="46"/>
      <c r="I1959" s="53" t="str">
        <f ca="1"/>
        <v>退会済</v>
      </c>
      <c r="J1959" s="113"/>
      <c r="K1959" s="49" t="s">
        <v>50</v>
      </c>
      <c r="M1959" s="107" t="s">
        <v>52</v>
      </c>
    </row>
    <row r="1960" spans="1:13" ht="16">
      <c r="A1960" s="101" t="str">
        <f t="shared" si="1"/>
        <v>-</v>
      </c>
      <c r="B1960" s="48"/>
      <c r="C1960" s="53"/>
      <c r="D1960" s="49"/>
      <c r="E1960" s="71"/>
      <c r="F1960" s="46"/>
      <c r="G1960" s="72"/>
      <c r="H1960" s="46"/>
      <c r="I1960" s="53" t="str">
        <f ca="1"/>
        <v>退会済</v>
      </c>
      <c r="J1960" s="113"/>
      <c r="K1960" s="49" t="s">
        <v>50</v>
      </c>
      <c r="M1960" s="107" t="s">
        <v>52</v>
      </c>
    </row>
    <row r="1961" spans="1:13" ht="16">
      <c r="A1961" s="101" t="str">
        <f t="shared" si="1"/>
        <v>-</v>
      </c>
      <c r="B1961" s="48"/>
      <c r="C1961" s="53"/>
      <c r="D1961" s="49"/>
      <c r="E1961" s="71"/>
      <c r="F1961" s="46"/>
      <c r="G1961" s="72"/>
      <c r="H1961" s="46"/>
      <c r="I1961" s="53" t="str">
        <f ca="1"/>
        <v>退会済</v>
      </c>
      <c r="J1961" s="113"/>
      <c r="K1961" s="49" t="s">
        <v>50</v>
      </c>
      <c r="M1961" s="107" t="s">
        <v>52</v>
      </c>
    </row>
    <row r="1962" spans="1:13" ht="16">
      <c r="A1962" s="101" t="str">
        <f t="shared" si="1"/>
        <v>-</v>
      </c>
      <c r="B1962" s="48"/>
      <c r="C1962" s="53"/>
      <c r="D1962" s="49"/>
      <c r="E1962" s="71"/>
      <c r="F1962" s="46"/>
      <c r="G1962" s="72"/>
      <c r="H1962" s="46"/>
      <c r="I1962" s="53" t="str">
        <f ca="1"/>
        <v>退会済</v>
      </c>
      <c r="J1962" s="113"/>
      <c r="K1962" s="49" t="s">
        <v>50</v>
      </c>
      <c r="M1962" s="107" t="s">
        <v>52</v>
      </c>
    </row>
    <row r="1963" spans="1:13" ht="16">
      <c r="A1963" s="101" t="str">
        <f t="shared" si="1"/>
        <v>-</v>
      </c>
      <c r="B1963" s="48"/>
      <c r="C1963" s="53"/>
      <c r="D1963" s="49"/>
      <c r="E1963" s="71"/>
      <c r="F1963" s="46"/>
      <c r="G1963" s="72"/>
      <c r="H1963" s="46"/>
      <c r="I1963" s="53" t="str">
        <f ca="1"/>
        <v>退会済</v>
      </c>
      <c r="J1963" s="113"/>
      <c r="K1963" s="49" t="s">
        <v>50</v>
      </c>
      <c r="M1963" s="107" t="s">
        <v>52</v>
      </c>
    </row>
    <row r="1964" spans="1:13" ht="16">
      <c r="A1964" s="101" t="str">
        <f t="shared" si="1"/>
        <v>-</v>
      </c>
      <c r="B1964" s="48"/>
      <c r="C1964" s="53"/>
      <c r="D1964" s="49"/>
      <c r="E1964" s="71"/>
      <c r="F1964" s="46"/>
      <c r="G1964" s="72"/>
      <c r="H1964" s="46"/>
      <c r="I1964" s="53" t="str">
        <f ca="1"/>
        <v>退会済</v>
      </c>
      <c r="J1964" s="113"/>
      <c r="K1964" s="49" t="s">
        <v>50</v>
      </c>
      <c r="M1964" s="107" t="s">
        <v>52</v>
      </c>
    </row>
    <row r="1965" spans="1:13" ht="16">
      <c r="A1965" s="101" t="str">
        <f t="shared" si="1"/>
        <v>-</v>
      </c>
      <c r="B1965" s="48"/>
      <c r="C1965" s="53"/>
      <c r="D1965" s="49"/>
      <c r="E1965" s="71"/>
      <c r="F1965" s="46"/>
      <c r="G1965" s="72"/>
      <c r="H1965" s="46"/>
      <c r="I1965" s="53" t="str">
        <f ca="1"/>
        <v>退会済</v>
      </c>
      <c r="J1965" s="113"/>
      <c r="K1965" s="49" t="s">
        <v>50</v>
      </c>
      <c r="M1965" s="107" t="s">
        <v>52</v>
      </c>
    </row>
    <row r="1966" spans="1:13" ht="16">
      <c r="A1966" s="101" t="str">
        <f t="shared" si="1"/>
        <v>-</v>
      </c>
      <c r="B1966" s="48"/>
      <c r="C1966" s="53"/>
      <c r="D1966" s="49"/>
      <c r="E1966" s="71"/>
      <c r="F1966" s="46"/>
      <c r="G1966" s="72"/>
      <c r="H1966" s="46"/>
      <c r="I1966" s="53" t="str">
        <f ca="1"/>
        <v>退会済</v>
      </c>
      <c r="J1966" s="113"/>
      <c r="K1966" s="49" t="s">
        <v>50</v>
      </c>
      <c r="M1966" s="107" t="s">
        <v>52</v>
      </c>
    </row>
    <row r="1967" spans="1:13" ht="16">
      <c r="A1967" s="101" t="str">
        <f t="shared" si="1"/>
        <v>-</v>
      </c>
      <c r="B1967" s="48"/>
      <c r="C1967" s="53"/>
      <c r="D1967" s="49"/>
      <c r="E1967" s="71"/>
      <c r="F1967" s="46"/>
      <c r="G1967" s="72"/>
      <c r="H1967" s="46"/>
      <c r="I1967" s="53" t="str">
        <f ca="1"/>
        <v>退会済</v>
      </c>
      <c r="J1967" s="113"/>
      <c r="K1967" s="49" t="s">
        <v>50</v>
      </c>
      <c r="M1967" s="107" t="s">
        <v>52</v>
      </c>
    </row>
    <row r="1968" spans="1:13" ht="16">
      <c r="A1968" s="101" t="str">
        <f t="shared" si="1"/>
        <v>-</v>
      </c>
      <c r="B1968" s="48"/>
      <c r="C1968" s="53"/>
      <c r="D1968" s="49"/>
      <c r="E1968" s="71"/>
      <c r="F1968" s="46"/>
      <c r="G1968" s="72"/>
      <c r="H1968" s="46"/>
      <c r="I1968" s="53" t="str">
        <f ca="1"/>
        <v>退会済</v>
      </c>
      <c r="J1968" s="113"/>
      <c r="K1968" s="49" t="s">
        <v>50</v>
      </c>
      <c r="M1968" s="107" t="s">
        <v>52</v>
      </c>
    </row>
    <row r="1969" spans="1:13" ht="16">
      <c r="A1969" s="101" t="str">
        <f t="shared" si="1"/>
        <v>-</v>
      </c>
      <c r="B1969" s="48"/>
      <c r="C1969" s="53"/>
      <c r="D1969" s="49"/>
      <c r="E1969" s="71"/>
      <c r="F1969" s="46"/>
      <c r="G1969" s="72"/>
      <c r="H1969" s="46"/>
      <c r="I1969" s="53" t="str">
        <f ca="1"/>
        <v>退会済</v>
      </c>
      <c r="J1969" s="113"/>
      <c r="K1969" s="49" t="s">
        <v>50</v>
      </c>
      <c r="M1969" s="107" t="s">
        <v>52</v>
      </c>
    </row>
    <row r="1970" spans="1:13" ht="16">
      <c r="A1970" s="101" t="str">
        <f t="shared" si="1"/>
        <v>-</v>
      </c>
      <c r="B1970" s="48"/>
      <c r="C1970" s="53"/>
      <c r="D1970" s="49"/>
      <c r="E1970" s="71"/>
      <c r="F1970" s="46"/>
      <c r="G1970" s="72"/>
      <c r="H1970" s="46"/>
      <c r="I1970" s="53" t="str">
        <f ca="1"/>
        <v>退会済</v>
      </c>
      <c r="J1970" s="113"/>
      <c r="K1970" s="49" t="s">
        <v>50</v>
      </c>
      <c r="M1970" s="107" t="s">
        <v>52</v>
      </c>
    </row>
    <row r="1971" spans="1:13" ht="16">
      <c r="A1971" s="101" t="str">
        <f t="shared" si="1"/>
        <v>-</v>
      </c>
      <c r="B1971" s="48"/>
      <c r="C1971" s="53"/>
      <c r="D1971" s="49"/>
      <c r="E1971" s="71"/>
      <c r="F1971" s="46"/>
      <c r="G1971" s="72"/>
      <c r="H1971" s="46"/>
      <c r="I1971" s="53" t="str">
        <f ca="1"/>
        <v>退会済</v>
      </c>
      <c r="J1971" s="113"/>
      <c r="K1971" s="49" t="s">
        <v>50</v>
      </c>
      <c r="M1971" s="107" t="s">
        <v>52</v>
      </c>
    </row>
    <row r="1972" spans="1:13" ht="16">
      <c r="A1972" s="101" t="str">
        <f t="shared" si="1"/>
        <v>-</v>
      </c>
      <c r="B1972" s="48"/>
      <c r="C1972" s="53"/>
      <c r="D1972" s="49"/>
      <c r="E1972" s="71"/>
      <c r="F1972" s="46"/>
      <c r="G1972" s="72"/>
      <c r="H1972" s="46"/>
      <c r="I1972" s="53" t="str">
        <f ca="1"/>
        <v>退会済</v>
      </c>
      <c r="J1972" s="113"/>
      <c r="K1972" s="49" t="s">
        <v>50</v>
      </c>
      <c r="M1972" s="107" t="s">
        <v>52</v>
      </c>
    </row>
    <row r="1973" spans="1:13" ht="16">
      <c r="A1973" s="101" t="str">
        <f t="shared" si="1"/>
        <v>-</v>
      </c>
      <c r="B1973" s="48"/>
      <c r="C1973" s="53"/>
      <c r="D1973" s="49"/>
      <c r="E1973" s="71"/>
      <c r="F1973" s="46"/>
      <c r="G1973" s="72"/>
      <c r="H1973" s="46"/>
      <c r="I1973" s="53" t="str">
        <f ca="1"/>
        <v>退会済</v>
      </c>
      <c r="J1973" s="113"/>
      <c r="K1973" s="49" t="s">
        <v>50</v>
      </c>
      <c r="M1973" s="107" t="s">
        <v>52</v>
      </c>
    </row>
    <row r="1974" spans="1:13" ht="16">
      <c r="A1974" s="101" t="str">
        <f t="shared" si="1"/>
        <v>-</v>
      </c>
      <c r="B1974" s="48"/>
      <c r="C1974" s="53"/>
      <c r="D1974" s="49"/>
      <c r="E1974" s="71"/>
      <c r="F1974" s="46"/>
      <c r="G1974" s="72"/>
      <c r="H1974" s="46"/>
      <c r="I1974" s="53" t="str">
        <f ca="1"/>
        <v>退会済</v>
      </c>
      <c r="J1974" s="113"/>
      <c r="K1974" s="49" t="s">
        <v>50</v>
      </c>
      <c r="M1974" s="107" t="s">
        <v>52</v>
      </c>
    </row>
    <row r="1975" spans="1:13" ht="16">
      <c r="A1975" s="101" t="str">
        <f t="shared" si="1"/>
        <v>-</v>
      </c>
      <c r="B1975" s="48"/>
      <c r="C1975" s="53"/>
      <c r="D1975" s="49"/>
      <c r="E1975" s="71"/>
      <c r="F1975" s="46"/>
      <c r="G1975" s="72"/>
      <c r="H1975" s="46"/>
      <c r="I1975" s="53" t="str">
        <f ca="1"/>
        <v>退会済</v>
      </c>
      <c r="J1975" s="113"/>
      <c r="K1975" s="49" t="s">
        <v>50</v>
      </c>
      <c r="M1975" s="107" t="s">
        <v>52</v>
      </c>
    </row>
    <row r="1976" spans="1:13" ht="16">
      <c r="A1976" s="101" t="str">
        <f t="shared" si="1"/>
        <v>-</v>
      </c>
      <c r="B1976" s="48"/>
      <c r="C1976" s="53"/>
      <c r="D1976" s="49"/>
      <c r="E1976" s="71"/>
      <c r="F1976" s="46"/>
      <c r="G1976" s="72"/>
      <c r="H1976" s="46"/>
      <c r="I1976" s="53" t="str">
        <f ca="1"/>
        <v>退会済</v>
      </c>
      <c r="J1976" s="113"/>
      <c r="K1976" s="49" t="s">
        <v>50</v>
      </c>
      <c r="M1976" s="107" t="s">
        <v>52</v>
      </c>
    </row>
    <row r="1977" spans="1:13" ht="16">
      <c r="A1977" s="101" t="str">
        <f t="shared" si="1"/>
        <v>-</v>
      </c>
      <c r="B1977" s="48"/>
      <c r="C1977" s="53"/>
      <c r="D1977" s="49"/>
      <c r="E1977" s="71"/>
      <c r="F1977" s="46"/>
      <c r="G1977" s="72"/>
      <c r="H1977" s="46"/>
      <c r="I1977" s="53" t="str">
        <f ca="1"/>
        <v>退会済</v>
      </c>
      <c r="J1977" s="113"/>
      <c r="K1977" s="49" t="s">
        <v>50</v>
      </c>
      <c r="M1977" s="107" t="s">
        <v>52</v>
      </c>
    </row>
    <row r="1978" spans="1:13" ht="16">
      <c r="A1978" s="101" t="str">
        <f t="shared" si="1"/>
        <v>-</v>
      </c>
      <c r="B1978" s="48"/>
      <c r="C1978" s="53"/>
      <c r="D1978" s="49"/>
      <c r="E1978" s="71"/>
      <c r="F1978" s="46"/>
      <c r="G1978" s="72"/>
      <c r="H1978" s="46"/>
      <c r="I1978" s="53" t="str">
        <f ca="1"/>
        <v>退会済</v>
      </c>
      <c r="J1978" s="113"/>
      <c r="K1978" s="49" t="s">
        <v>50</v>
      </c>
      <c r="M1978" s="107" t="s">
        <v>52</v>
      </c>
    </row>
    <row r="1979" spans="1:13" ht="16">
      <c r="A1979" s="101" t="str">
        <f t="shared" si="1"/>
        <v>-</v>
      </c>
      <c r="B1979" s="48"/>
      <c r="C1979" s="53"/>
      <c r="D1979" s="49"/>
      <c r="E1979" s="71"/>
      <c r="F1979" s="46"/>
      <c r="G1979" s="72"/>
      <c r="H1979" s="46"/>
      <c r="I1979" s="53" t="str">
        <f ca="1"/>
        <v>退会済</v>
      </c>
      <c r="J1979" s="113"/>
      <c r="K1979" s="49" t="s">
        <v>50</v>
      </c>
      <c r="M1979" s="107" t="s">
        <v>52</v>
      </c>
    </row>
    <row r="1980" spans="1:13" ht="16">
      <c r="A1980" s="101" t="str">
        <f t="shared" si="1"/>
        <v>-</v>
      </c>
      <c r="B1980" s="48"/>
      <c r="C1980" s="53"/>
      <c r="D1980" s="49"/>
      <c r="E1980" s="71"/>
      <c r="F1980" s="46"/>
      <c r="G1980" s="72"/>
      <c r="H1980" s="46"/>
      <c r="I1980" s="53" t="str">
        <f ca="1"/>
        <v>退会済</v>
      </c>
      <c r="J1980" s="113"/>
      <c r="K1980" s="49" t="s">
        <v>50</v>
      </c>
      <c r="M1980" s="107" t="s">
        <v>52</v>
      </c>
    </row>
    <row r="1981" spans="1:13" ht="16">
      <c r="A1981" s="101" t="str">
        <f t="shared" si="1"/>
        <v>-</v>
      </c>
      <c r="B1981" s="48"/>
      <c r="C1981" s="53"/>
      <c r="D1981" s="49"/>
      <c r="E1981" s="71"/>
      <c r="F1981" s="46"/>
      <c r="G1981" s="72"/>
      <c r="H1981" s="46"/>
      <c r="I1981" s="53" t="str">
        <f ca="1"/>
        <v>退会済</v>
      </c>
      <c r="J1981" s="113"/>
      <c r="K1981" s="49" t="s">
        <v>50</v>
      </c>
      <c r="M1981" s="107" t="s">
        <v>52</v>
      </c>
    </row>
    <row r="1982" spans="1:13" ht="16">
      <c r="A1982" s="101" t="str">
        <f t="shared" si="1"/>
        <v>-</v>
      </c>
      <c r="B1982" s="48"/>
      <c r="C1982" s="53"/>
      <c r="D1982" s="49"/>
      <c r="E1982" s="71"/>
      <c r="F1982" s="46"/>
      <c r="G1982" s="72"/>
      <c r="H1982" s="46"/>
      <c r="I1982" s="53" t="str">
        <f ca="1"/>
        <v>退会済</v>
      </c>
      <c r="J1982" s="113"/>
      <c r="K1982" s="49" t="s">
        <v>50</v>
      </c>
      <c r="M1982" s="107" t="s">
        <v>52</v>
      </c>
    </row>
    <row r="1983" spans="1:13" ht="16">
      <c r="A1983" s="101" t="str">
        <f t="shared" si="1"/>
        <v>-</v>
      </c>
      <c r="B1983" s="48"/>
      <c r="C1983" s="53"/>
      <c r="D1983" s="49"/>
      <c r="E1983" s="71"/>
      <c r="F1983" s="46"/>
      <c r="G1983" s="72"/>
      <c r="H1983" s="46"/>
      <c r="I1983" s="53" t="str">
        <f ca="1"/>
        <v>退会済</v>
      </c>
      <c r="J1983" s="113"/>
      <c r="K1983" s="49" t="s">
        <v>50</v>
      </c>
      <c r="M1983" s="107" t="s">
        <v>52</v>
      </c>
    </row>
    <row r="1984" spans="1:13" ht="16">
      <c r="A1984" s="101" t="str">
        <f t="shared" si="1"/>
        <v>-</v>
      </c>
      <c r="B1984" s="48"/>
      <c r="C1984" s="53"/>
      <c r="D1984" s="49"/>
      <c r="E1984" s="71"/>
      <c r="F1984" s="46"/>
      <c r="G1984" s="72"/>
      <c r="H1984" s="46"/>
      <c r="I1984" s="53" t="str">
        <f ca="1"/>
        <v>退会済</v>
      </c>
      <c r="J1984" s="113"/>
      <c r="K1984" s="49" t="s">
        <v>50</v>
      </c>
      <c r="M1984" s="107" t="s">
        <v>52</v>
      </c>
    </row>
    <row r="1985" spans="1:13" ht="16">
      <c r="A1985" s="101" t="str">
        <f t="shared" si="1"/>
        <v>-</v>
      </c>
      <c r="B1985" s="48"/>
      <c r="C1985" s="53"/>
      <c r="D1985" s="49"/>
      <c r="E1985" s="71"/>
      <c r="F1985" s="46"/>
      <c r="G1985" s="72"/>
      <c r="H1985" s="46"/>
      <c r="I1985" s="53" t="str">
        <f ca="1"/>
        <v>退会済</v>
      </c>
      <c r="J1985" s="113"/>
      <c r="K1985" s="49" t="s">
        <v>50</v>
      </c>
      <c r="M1985" s="107" t="s">
        <v>52</v>
      </c>
    </row>
    <row r="1986" spans="1:13" ht="16">
      <c r="A1986" s="101" t="str">
        <f t="shared" si="1"/>
        <v>-</v>
      </c>
      <c r="B1986" s="48"/>
      <c r="C1986" s="53"/>
      <c r="D1986" s="49"/>
      <c r="E1986" s="71"/>
      <c r="F1986" s="46"/>
      <c r="G1986" s="72"/>
      <c r="H1986" s="46"/>
      <c r="I1986" s="53" t="str">
        <f ca="1"/>
        <v>退会済</v>
      </c>
      <c r="J1986" s="113"/>
      <c r="K1986" s="49" t="s">
        <v>50</v>
      </c>
      <c r="M1986" s="107" t="s">
        <v>52</v>
      </c>
    </row>
    <row r="1987" spans="1:13" ht="16">
      <c r="A1987" s="101" t="str">
        <f t="shared" si="1"/>
        <v>-</v>
      </c>
      <c r="B1987" s="48"/>
      <c r="C1987" s="53"/>
      <c r="D1987" s="49"/>
      <c r="E1987" s="71"/>
      <c r="F1987" s="46"/>
      <c r="G1987" s="72"/>
      <c r="H1987" s="46"/>
      <c r="I1987" s="53" t="str">
        <f ca="1"/>
        <v>退会済</v>
      </c>
      <c r="J1987" s="113"/>
      <c r="K1987" s="49" t="s">
        <v>50</v>
      </c>
      <c r="M1987" s="107" t="s">
        <v>52</v>
      </c>
    </row>
    <row r="1988" spans="1:13" ht="16">
      <c r="A1988" s="101" t="str">
        <f t="shared" si="1"/>
        <v>-</v>
      </c>
      <c r="B1988" s="48"/>
      <c r="C1988" s="53"/>
      <c r="D1988" s="49"/>
      <c r="E1988" s="71"/>
      <c r="F1988" s="46"/>
      <c r="G1988" s="72"/>
      <c r="H1988" s="46"/>
      <c r="I1988" s="53" t="str">
        <f ca="1"/>
        <v>退会済</v>
      </c>
      <c r="J1988" s="113"/>
      <c r="K1988" s="49" t="s">
        <v>50</v>
      </c>
      <c r="M1988" s="107" t="s">
        <v>52</v>
      </c>
    </row>
    <row r="1989" spans="1:13" ht="16">
      <c r="A1989" s="101" t="str">
        <f t="shared" si="1"/>
        <v>-</v>
      </c>
      <c r="B1989" s="48"/>
      <c r="C1989" s="53"/>
      <c r="D1989" s="49"/>
      <c r="E1989" s="71"/>
      <c r="F1989" s="46"/>
      <c r="G1989" s="72"/>
      <c r="H1989" s="46"/>
      <c r="I1989" s="53" t="str">
        <f ca="1"/>
        <v>退会済</v>
      </c>
      <c r="J1989" s="113"/>
      <c r="K1989" s="49" t="s">
        <v>50</v>
      </c>
      <c r="M1989" s="107" t="s">
        <v>52</v>
      </c>
    </row>
    <row r="1990" spans="1:13" ht="16">
      <c r="A1990" s="101" t="str">
        <f t="shared" si="1"/>
        <v>-</v>
      </c>
      <c r="B1990" s="48"/>
      <c r="C1990" s="53"/>
      <c r="D1990" s="49"/>
      <c r="E1990" s="71"/>
      <c r="F1990" s="46"/>
      <c r="G1990" s="72"/>
      <c r="H1990" s="46"/>
      <c r="I1990" s="53" t="str">
        <f ca="1"/>
        <v>退会済</v>
      </c>
      <c r="J1990" s="113"/>
      <c r="K1990" s="49" t="s">
        <v>50</v>
      </c>
      <c r="M1990" s="107" t="s">
        <v>52</v>
      </c>
    </row>
    <row r="1991" spans="1:13" ht="16">
      <c r="A1991" s="101" t="str">
        <f t="shared" si="1"/>
        <v>-</v>
      </c>
      <c r="B1991" s="48"/>
      <c r="C1991" s="53"/>
      <c r="D1991" s="49"/>
      <c r="E1991" s="71"/>
      <c r="F1991" s="46"/>
      <c r="G1991" s="72"/>
      <c r="H1991" s="46"/>
      <c r="I1991" s="53" t="str">
        <f ca="1"/>
        <v>退会済</v>
      </c>
      <c r="J1991" s="113"/>
      <c r="K1991" s="49" t="s">
        <v>50</v>
      </c>
      <c r="M1991" s="107" t="s">
        <v>52</v>
      </c>
    </row>
    <row r="1992" spans="1:13" ht="16">
      <c r="A1992" s="101" t="str">
        <f t="shared" si="1"/>
        <v>-</v>
      </c>
      <c r="B1992" s="48"/>
      <c r="C1992" s="53"/>
      <c r="D1992" s="49"/>
      <c r="E1992" s="71"/>
      <c r="F1992" s="46"/>
      <c r="G1992" s="72"/>
      <c r="H1992" s="46"/>
      <c r="I1992" s="53" t="str">
        <f ca="1"/>
        <v>退会済</v>
      </c>
      <c r="J1992" s="113"/>
      <c r="K1992" s="49" t="s">
        <v>50</v>
      </c>
      <c r="M1992" s="107" t="s">
        <v>52</v>
      </c>
    </row>
    <row r="1993" spans="1:13" ht="16">
      <c r="A1993" s="101" t="str">
        <f t="shared" si="1"/>
        <v>-</v>
      </c>
      <c r="B1993" s="48"/>
      <c r="C1993" s="53"/>
      <c r="D1993" s="49"/>
      <c r="E1993" s="71"/>
      <c r="F1993" s="46"/>
      <c r="G1993" s="72"/>
      <c r="H1993" s="46"/>
      <c r="I1993" s="53" t="str">
        <f ca="1"/>
        <v>退会済</v>
      </c>
      <c r="J1993" s="113"/>
      <c r="K1993" s="49" t="s">
        <v>50</v>
      </c>
      <c r="M1993" s="107" t="s">
        <v>52</v>
      </c>
    </row>
    <row r="1994" spans="1:13" ht="16">
      <c r="A1994" s="101" t="str">
        <f t="shared" si="1"/>
        <v>-</v>
      </c>
      <c r="B1994" s="48"/>
      <c r="C1994" s="53"/>
      <c r="D1994" s="49"/>
      <c r="E1994" s="71"/>
      <c r="F1994" s="46"/>
      <c r="G1994" s="72"/>
      <c r="H1994" s="46"/>
      <c r="I1994" s="53" t="str">
        <f ca="1"/>
        <v>退会済</v>
      </c>
      <c r="J1994" s="113"/>
      <c r="K1994" s="49" t="s">
        <v>50</v>
      </c>
      <c r="M1994" s="107" t="s">
        <v>52</v>
      </c>
    </row>
    <row r="1995" spans="1:13" ht="16">
      <c r="A1995" s="101" t="str">
        <f t="shared" si="1"/>
        <v>-</v>
      </c>
      <c r="B1995" s="48"/>
      <c r="C1995" s="53"/>
      <c r="D1995" s="49"/>
      <c r="E1995" s="71"/>
      <c r="F1995" s="46"/>
      <c r="G1995" s="72"/>
      <c r="H1995" s="46"/>
      <c r="I1995" s="53" t="str">
        <f ca="1"/>
        <v>退会済</v>
      </c>
      <c r="J1995" s="113"/>
      <c r="K1995" s="49" t="s">
        <v>50</v>
      </c>
      <c r="M1995" s="107" t="s">
        <v>52</v>
      </c>
    </row>
    <row r="1996" spans="1:13" ht="16">
      <c r="A1996" s="101" t="str">
        <f t="shared" si="1"/>
        <v>-</v>
      </c>
      <c r="B1996" s="48"/>
      <c r="C1996" s="53"/>
      <c r="D1996" s="49"/>
      <c r="E1996" s="71"/>
      <c r="F1996" s="46"/>
      <c r="G1996" s="72"/>
      <c r="H1996" s="46"/>
      <c r="I1996" s="53" t="str">
        <f ca="1"/>
        <v>退会済</v>
      </c>
      <c r="J1996" s="113"/>
      <c r="K1996" s="49" t="s">
        <v>50</v>
      </c>
      <c r="M1996" s="107" t="s">
        <v>52</v>
      </c>
    </row>
    <row r="1997" spans="1:13" ht="16">
      <c r="A1997" s="101" t="str">
        <f t="shared" si="1"/>
        <v>-</v>
      </c>
      <c r="B1997" s="48"/>
      <c r="C1997" s="53"/>
      <c r="D1997" s="49"/>
      <c r="E1997" s="71"/>
      <c r="F1997" s="46"/>
      <c r="G1997" s="72"/>
      <c r="H1997" s="46"/>
      <c r="I1997" s="53" t="str">
        <f ca="1"/>
        <v>退会済</v>
      </c>
      <c r="J1997" s="113"/>
      <c r="K1997" s="49" t="s">
        <v>50</v>
      </c>
      <c r="M1997" s="107" t="s">
        <v>52</v>
      </c>
    </row>
    <row r="1998" spans="1:13" ht="16">
      <c r="A1998" s="101" t="str">
        <f t="shared" si="1"/>
        <v>-</v>
      </c>
      <c r="B1998" s="48"/>
      <c r="C1998" s="53"/>
      <c r="D1998" s="49"/>
      <c r="E1998" s="71"/>
      <c r="F1998" s="46"/>
      <c r="G1998" s="72"/>
      <c r="H1998" s="46"/>
      <c r="I1998" s="53" t="str">
        <f ca="1"/>
        <v>退会済</v>
      </c>
      <c r="J1998" s="113"/>
      <c r="K1998" s="49" t="s">
        <v>50</v>
      </c>
      <c r="M1998" s="107" t="s">
        <v>52</v>
      </c>
    </row>
    <row r="1999" spans="1:13" ht="16">
      <c r="A1999" s="101" t="str">
        <f t="shared" si="1"/>
        <v>-</v>
      </c>
      <c r="B1999" s="48"/>
      <c r="C1999" s="53"/>
      <c r="D1999" s="49"/>
      <c r="E1999" s="71"/>
      <c r="F1999" s="46"/>
      <c r="G1999" s="72"/>
      <c r="H1999" s="46"/>
      <c r="I1999" s="53" t="str">
        <f ca="1"/>
        <v>退会済</v>
      </c>
      <c r="J1999" s="113"/>
      <c r="K1999" s="49" t="s">
        <v>50</v>
      </c>
      <c r="M1999" s="107" t="s">
        <v>52</v>
      </c>
    </row>
    <row r="2000" spans="1:13" ht="16">
      <c r="A2000" s="101" t="str">
        <f t="shared" si="1"/>
        <v>-</v>
      </c>
      <c r="B2000" s="48"/>
      <c r="C2000" s="53"/>
      <c r="D2000" s="49"/>
      <c r="E2000" s="71"/>
      <c r="F2000" s="46"/>
      <c r="G2000" s="72"/>
      <c r="H2000" s="46"/>
      <c r="I2000" s="53" t="str">
        <f ca="1"/>
        <v>退会済</v>
      </c>
      <c r="J2000" s="113"/>
      <c r="K2000" s="49" t="s">
        <v>50</v>
      </c>
      <c r="M2000" s="107" t="s">
        <v>52</v>
      </c>
    </row>
    <row r="2001" spans="1:13" ht="16">
      <c r="A2001" s="101" t="str">
        <f t="shared" si="1"/>
        <v>-</v>
      </c>
      <c r="B2001" s="48"/>
      <c r="C2001" s="53"/>
      <c r="D2001" s="49"/>
      <c r="E2001" s="71"/>
      <c r="F2001" s="46"/>
      <c r="G2001" s="72"/>
      <c r="H2001" s="46"/>
      <c r="I2001" s="53" t="str">
        <f ca="1"/>
        <v>退会済</v>
      </c>
      <c r="J2001" s="113"/>
      <c r="K2001" s="49" t="s">
        <v>50</v>
      </c>
      <c r="M2001" s="107" t="s">
        <v>52</v>
      </c>
    </row>
    <row r="2002" spans="1:13" ht="16">
      <c r="A2002" s="101" t="str">
        <f t="shared" si="1"/>
        <v>-</v>
      </c>
      <c r="B2002" s="48"/>
      <c r="C2002" s="53"/>
      <c r="D2002" s="49"/>
      <c r="E2002" s="71"/>
      <c r="F2002" s="46"/>
      <c r="G2002" s="72"/>
      <c r="H2002" s="46"/>
      <c r="I2002" s="53" t="str">
        <f ca="1"/>
        <v>退会済</v>
      </c>
      <c r="J2002" s="113"/>
      <c r="K2002" s="49" t="s">
        <v>50</v>
      </c>
      <c r="M2002" s="107" t="s">
        <v>52</v>
      </c>
    </row>
    <row r="2003" spans="1:13" ht="16">
      <c r="A2003" s="101" t="str">
        <f t="shared" si="1"/>
        <v>-</v>
      </c>
      <c r="B2003" s="48"/>
      <c r="C2003" s="53"/>
      <c r="D2003" s="49"/>
      <c r="E2003" s="71"/>
      <c r="F2003" s="46"/>
      <c r="G2003" s="72"/>
      <c r="H2003" s="46"/>
      <c r="I2003" s="53" t="str">
        <f ca="1"/>
        <v>退会済</v>
      </c>
      <c r="J2003" s="113"/>
      <c r="K2003" s="49" t="s">
        <v>50</v>
      </c>
      <c r="M2003" s="107" t="s">
        <v>52</v>
      </c>
    </row>
    <row r="2004" spans="1:13" ht="16">
      <c r="A2004" s="101" t="str">
        <f t="shared" si="1"/>
        <v>-</v>
      </c>
      <c r="B2004" s="48"/>
      <c r="C2004" s="53"/>
      <c r="D2004" s="49"/>
      <c r="E2004" s="71"/>
      <c r="F2004" s="46"/>
      <c r="G2004" s="72"/>
      <c r="H2004" s="46"/>
      <c r="I2004" s="53" t="str">
        <f ca="1"/>
        <v>退会済</v>
      </c>
      <c r="J2004" s="113"/>
      <c r="K2004" s="49" t="s">
        <v>50</v>
      </c>
      <c r="M2004" s="107" t="s">
        <v>52</v>
      </c>
    </row>
    <row r="2005" spans="1:13" ht="16">
      <c r="A2005" s="101" t="str">
        <f t="shared" si="1"/>
        <v>-</v>
      </c>
      <c r="B2005" s="48"/>
      <c r="C2005" s="53"/>
      <c r="D2005" s="49"/>
      <c r="E2005" s="71"/>
      <c r="F2005" s="46"/>
      <c r="G2005" s="72"/>
      <c r="H2005" s="46"/>
      <c r="I2005" s="53" t="str">
        <f ca="1"/>
        <v>退会済</v>
      </c>
      <c r="J2005" s="113"/>
      <c r="K2005" s="49" t="s">
        <v>50</v>
      </c>
      <c r="M2005" s="107" t="s">
        <v>52</v>
      </c>
    </row>
    <row r="2006" spans="1:13" ht="16">
      <c r="A2006" s="101" t="str">
        <f t="shared" si="1"/>
        <v>-</v>
      </c>
      <c r="B2006" s="48"/>
      <c r="C2006" s="53"/>
      <c r="D2006" s="49"/>
      <c r="E2006" s="71"/>
      <c r="F2006" s="46"/>
      <c r="G2006" s="72"/>
      <c r="H2006" s="46"/>
      <c r="I2006" s="53" t="str">
        <f ca="1"/>
        <v>退会済</v>
      </c>
      <c r="J2006" s="113"/>
      <c r="K2006" s="49" t="s">
        <v>50</v>
      </c>
      <c r="M2006" s="107" t="s">
        <v>52</v>
      </c>
    </row>
    <row r="2007" spans="1:13" ht="16">
      <c r="A2007" s="101" t="str">
        <f t="shared" si="1"/>
        <v>-</v>
      </c>
      <c r="B2007" s="48"/>
      <c r="C2007" s="53"/>
      <c r="D2007" s="49"/>
      <c r="E2007" s="71"/>
      <c r="F2007" s="46"/>
      <c r="G2007" s="72"/>
      <c r="H2007" s="46"/>
      <c r="I2007" s="53" t="str">
        <f ca="1"/>
        <v>退会済</v>
      </c>
      <c r="J2007" s="113"/>
      <c r="K2007" s="49" t="s">
        <v>50</v>
      </c>
      <c r="M2007" s="107" t="s">
        <v>52</v>
      </c>
    </row>
    <row r="2008" spans="1:13" ht="16">
      <c r="A2008" s="101" t="str">
        <f t="shared" si="1"/>
        <v>-</v>
      </c>
      <c r="B2008" s="48"/>
      <c r="C2008" s="53"/>
      <c r="D2008" s="49"/>
      <c r="E2008" s="71"/>
      <c r="F2008" s="46"/>
      <c r="G2008" s="72"/>
      <c r="H2008" s="46"/>
      <c r="I2008" s="53" t="str">
        <f ca="1"/>
        <v>退会済</v>
      </c>
      <c r="J2008" s="113"/>
      <c r="K2008" s="49" t="s">
        <v>50</v>
      </c>
      <c r="M2008" s="107" t="s">
        <v>52</v>
      </c>
    </row>
    <row r="2009" spans="1:13" ht="16">
      <c r="A2009" s="101" t="str">
        <f t="shared" si="1"/>
        <v>-</v>
      </c>
      <c r="B2009" s="48"/>
      <c r="C2009" s="53"/>
      <c r="D2009" s="49"/>
      <c r="E2009" s="71"/>
      <c r="F2009" s="46"/>
      <c r="G2009" s="72"/>
      <c r="H2009" s="46"/>
      <c r="I2009" s="53" t="str">
        <f ca="1"/>
        <v>退会済</v>
      </c>
      <c r="J2009" s="113"/>
      <c r="K2009" s="49" t="s">
        <v>50</v>
      </c>
      <c r="M2009" s="107" t="s">
        <v>52</v>
      </c>
    </row>
    <row r="2010" spans="1:13" ht="16">
      <c r="A2010" s="101" t="str">
        <f t="shared" si="1"/>
        <v>-</v>
      </c>
      <c r="B2010" s="48"/>
      <c r="C2010" s="53"/>
      <c r="D2010" s="49"/>
      <c r="E2010" s="71"/>
      <c r="F2010" s="46"/>
      <c r="G2010" s="72"/>
      <c r="H2010" s="46"/>
      <c r="I2010" s="53" t="str">
        <f ca="1"/>
        <v>退会済</v>
      </c>
      <c r="J2010" s="113"/>
      <c r="K2010" s="49" t="s">
        <v>50</v>
      </c>
      <c r="M2010" s="107" t="s">
        <v>52</v>
      </c>
    </row>
    <row r="2011" spans="1:13" ht="16">
      <c r="A2011" s="101" t="str">
        <f t="shared" si="1"/>
        <v>-</v>
      </c>
      <c r="B2011" s="48"/>
      <c r="C2011" s="53"/>
      <c r="D2011" s="49"/>
      <c r="E2011" s="71"/>
      <c r="F2011" s="46"/>
      <c r="G2011" s="72"/>
      <c r="H2011" s="46"/>
      <c r="I2011" s="53" t="str">
        <f ca="1"/>
        <v>退会済</v>
      </c>
      <c r="J2011" s="113"/>
      <c r="K2011" s="49" t="s">
        <v>50</v>
      </c>
      <c r="M2011" s="107" t="s">
        <v>52</v>
      </c>
    </row>
    <row r="2012" spans="1:13" ht="16">
      <c r="A2012" s="101" t="str">
        <f t="shared" si="1"/>
        <v>-</v>
      </c>
      <c r="B2012" s="48"/>
      <c r="C2012" s="53"/>
      <c r="D2012" s="49"/>
      <c r="E2012" s="71"/>
      <c r="F2012" s="46"/>
      <c r="G2012" s="72"/>
      <c r="H2012" s="46"/>
      <c r="I2012" s="53" t="str">
        <f ca="1"/>
        <v>退会済</v>
      </c>
      <c r="J2012" s="113"/>
      <c r="K2012" s="49" t="s">
        <v>50</v>
      </c>
      <c r="M2012" s="107" t="s">
        <v>52</v>
      </c>
    </row>
    <row r="2013" spans="1:13" ht="16">
      <c r="A2013" s="101" t="str">
        <f t="shared" si="1"/>
        <v>-</v>
      </c>
      <c r="B2013" s="48"/>
      <c r="C2013" s="53"/>
      <c r="D2013" s="49"/>
      <c r="E2013" s="71"/>
      <c r="F2013" s="46"/>
      <c r="G2013" s="72"/>
      <c r="H2013" s="46"/>
      <c r="I2013" s="53" t="str">
        <f ca="1"/>
        <v>退会済</v>
      </c>
      <c r="J2013" s="113"/>
      <c r="K2013" s="49" t="s">
        <v>50</v>
      </c>
      <c r="M2013" s="107" t="s">
        <v>52</v>
      </c>
    </row>
    <row r="2014" spans="1:13" ht="16">
      <c r="A2014" s="101" t="str">
        <f t="shared" si="1"/>
        <v>-</v>
      </c>
      <c r="B2014" s="48"/>
      <c r="C2014" s="53"/>
      <c r="D2014" s="49"/>
      <c r="E2014" s="71"/>
      <c r="F2014" s="46"/>
      <c r="G2014" s="72"/>
      <c r="H2014" s="46"/>
      <c r="I2014" s="53" t="str">
        <f ca="1"/>
        <v>退会済</v>
      </c>
      <c r="J2014" s="113"/>
      <c r="K2014" s="49" t="s">
        <v>50</v>
      </c>
      <c r="M2014" s="107" t="s">
        <v>52</v>
      </c>
    </row>
    <row r="2015" spans="1:13" ht="16">
      <c r="A2015" s="101" t="str">
        <f t="shared" si="1"/>
        <v>-</v>
      </c>
      <c r="B2015" s="48"/>
      <c r="C2015" s="53"/>
      <c r="D2015" s="49"/>
      <c r="E2015" s="71"/>
      <c r="F2015" s="46"/>
      <c r="G2015" s="72"/>
      <c r="H2015" s="46"/>
      <c r="I2015" s="53" t="str">
        <f ca="1"/>
        <v>退会済</v>
      </c>
      <c r="J2015" s="113"/>
      <c r="K2015" s="49" t="s">
        <v>50</v>
      </c>
      <c r="M2015" s="107" t="s">
        <v>52</v>
      </c>
    </row>
    <row r="2016" spans="1:13" ht="16">
      <c r="A2016" s="101" t="str">
        <f t="shared" si="1"/>
        <v>-</v>
      </c>
      <c r="B2016" s="48"/>
      <c r="C2016" s="53"/>
      <c r="D2016" s="49"/>
      <c r="E2016" s="71"/>
      <c r="F2016" s="46"/>
      <c r="G2016" s="72"/>
      <c r="H2016" s="46"/>
      <c r="I2016" s="53" t="str">
        <f ca="1"/>
        <v>退会済</v>
      </c>
      <c r="J2016" s="113"/>
      <c r="K2016" s="49" t="s">
        <v>50</v>
      </c>
      <c r="M2016" s="107" t="s">
        <v>52</v>
      </c>
    </row>
    <row r="2017" spans="1:13" ht="16">
      <c r="A2017" s="101" t="str">
        <f t="shared" si="1"/>
        <v>-</v>
      </c>
      <c r="B2017" s="48"/>
      <c r="C2017" s="53"/>
      <c r="D2017" s="49"/>
      <c r="E2017" s="71"/>
      <c r="F2017" s="46"/>
      <c r="G2017" s="72"/>
      <c r="H2017" s="46"/>
      <c r="I2017" s="53" t="str">
        <f ca="1"/>
        <v>退会済</v>
      </c>
      <c r="J2017" s="113"/>
      <c r="K2017" s="49" t="s">
        <v>50</v>
      </c>
      <c r="M2017" s="107" t="s">
        <v>52</v>
      </c>
    </row>
    <row r="2018" spans="1:13" ht="16">
      <c r="A2018" s="101" t="str">
        <f t="shared" si="1"/>
        <v>-</v>
      </c>
      <c r="B2018" s="48"/>
      <c r="C2018" s="53"/>
      <c r="D2018" s="49"/>
      <c r="E2018" s="71"/>
      <c r="F2018" s="46"/>
      <c r="G2018" s="72"/>
      <c r="H2018" s="46"/>
      <c r="I2018" s="53" t="str">
        <f ca="1"/>
        <v>退会済</v>
      </c>
      <c r="J2018" s="113"/>
      <c r="K2018" s="49" t="s">
        <v>50</v>
      </c>
      <c r="M2018" s="107" t="s">
        <v>52</v>
      </c>
    </row>
    <row r="2019" spans="1:13" ht="16">
      <c r="A2019" s="101" t="str">
        <f t="shared" si="1"/>
        <v>-</v>
      </c>
      <c r="B2019" s="48"/>
      <c r="C2019" s="53"/>
      <c r="D2019" s="49"/>
      <c r="E2019" s="71"/>
      <c r="F2019" s="46"/>
      <c r="G2019" s="72"/>
      <c r="H2019" s="46"/>
      <c r="I2019" s="53" t="str">
        <f ca="1"/>
        <v>退会済</v>
      </c>
      <c r="J2019" s="113"/>
      <c r="K2019" s="49" t="s">
        <v>50</v>
      </c>
      <c r="M2019" s="107" t="s">
        <v>52</v>
      </c>
    </row>
    <row r="2020" spans="1:13" ht="16">
      <c r="A2020" s="101" t="str">
        <f t="shared" si="1"/>
        <v>-</v>
      </c>
      <c r="B2020" s="48"/>
      <c r="C2020" s="53"/>
      <c r="D2020" s="49"/>
      <c r="E2020" s="71"/>
      <c r="F2020" s="46"/>
      <c r="G2020" s="72"/>
      <c r="H2020" s="46"/>
      <c r="I2020" s="53" t="str">
        <f ca="1"/>
        <v>退会済</v>
      </c>
      <c r="J2020" s="113"/>
      <c r="K2020" s="49" t="s">
        <v>50</v>
      </c>
      <c r="M2020" s="107" t="s">
        <v>52</v>
      </c>
    </row>
    <row r="2021" spans="1:13" ht="16">
      <c r="A2021" s="101" t="str">
        <f t="shared" si="1"/>
        <v>-</v>
      </c>
      <c r="B2021" s="48"/>
      <c r="C2021" s="53"/>
      <c r="D2021" s="49"/>
      <c r="E2021" s="71"/>
      <c r="F2021" s="46"/>
      <c r="G2021" s="72"/>
      <c r="H2021" s="46"/>
      <c r="I2021" s="53" t="str">
        <f ca="1"/>
        <v>退会済</v>
      </c>
      <c r="J2021" s="113"/>
      <c r="K2021" s="49" t="s">
        <v>50</v>
      </c>
      <c r="M2021" s="107" t="s">
        <v>52</v>
      </c>
    </row>
    <row r="2022" spans="1:13" ht="16">
      <c r="A2022" s="101" t="str">
        <f t="shared" si="1"/>
        <v>-</v>
      </c>
      <c r="B2022" s="48"/>
      <c r="C2022" s="53"/>
      <c r="D2022" s="49"/>
      <c r="E2022" s="71"/>
      <c r="F2022" s="46"/>
      <c r="G2022" s="72"/>
      <c r="H2022" s="46"/>
      <c r="I2022" s="53" t="str">
        <f ca="1"/>
        <v>退会済</v>
      </c>
      <c r="J2022" s="113"/>
      <c r="K2022" s="49" t="s">
        <v>50</v>
      </c>
      <c r="M2022" s="107" t="s">
        <v>52</v>
      </c>
    </row>
    <row r="2023" spans="1:13" ht="16">
      <c r="A2023" s="101" t="str">
        <f t="shared" si="1"/>
        <v>-</v>
      </c>
      <c r="B2023" s="48"/>
      <c r="C2023" s="53"/>
      <c r="D2023" s="49"/>
      <c r="E2023" s="71"/>
      <c r="F2023" s="46"/>
      <c r="G2023" s="72"/>
      <c r="H2023" s="46"/>
      <c r="I2023" s="53" t="str">
        <f ca="1"/>
        <v>退会済</v>
      </c>
      <c r="J2023" s="113"/>
      <c r="K2023" s="49" t="s">
        <v>50</v>
      </c>
      <c r="M2023" s="107" t="s">
        <v>52</v>
      </c>
    </row>
    <row r="2024" spans="1:13" ht="16">
      <c r="A2024" s="101" t="str">
        <f t="shared" si="1"/>
        <v>-</v>
      </c>
      <c r="B2024" s="48"/>
      <c r="C2024" s="53"/>
      <c r="D2024" s="49"/>
      <c r="E2024" s="71"/>
      <c r="F2024" s="46"/>
      <c r="G2024" s="72"/>
      <c r="H2024" s="46"/>
      <c r="I2024" s="53" t="str">
        <f ca="1"/>
        <v>退会済</v>
      </c>
      <c r="J2024" s="113"/>
      <c r="K2024" s="49" t="s">
        <v>50</v>
      </c>
      <c r="M2024" s="107" t="s">
        <v>52</v>
      </c>
    </row>
    <row r="2025" spans="1:13" ht="16">
      <c r="A2025" s="101" t="str">
        <f t="shared" si="1"/>
        <v>-</v>
      </c>
      <c r="B2025" s="48"/>
      <c r="C2025" s="53"/>
      <c r="D2025" s="49"/>
      <c r="E2025" s="71"/>
      <c r="F2025" s="46"/>
      <c r="G2025" s="72"/>
      <c r="H2025" s="46"/>
      <c r="I2025" s="53" t="str">
        <f ca="1"/>
        <v>退会済</v>
      </c>
      <c r="J2025" s="113"/>
      <c r="K2025" s="49" t="s">
        <v>50</v>
      </c>
      <c r="M2025" s="107" t="s">
        <v>52</v>
      </c>
    </row>
    <row r="2026" spans="1:13" ht="16">
      <c r="A2026" s="101" t="str">
        <f t="shared" si="1"/>
        <v>-</v>
      </c>
      <c r="B2026" s="48"/>
      <c r="C2026" s="53"/>
      <c r="D2026" s="49"/>
      <c r="E2026" s="71"/>
      <c r="F2026" s="46"/>
      <c r="G2026" s="72"/>
      <c r="H2026" s="46"/>
      <c r="I2026" s="53" t="str">
        <f ca="1"/>
        <v>退会済</v>
      </c>
      <c r="J2026" s="113"/>
      <c r="K2026" s="49" t="s">
        <v>50</v>
      </c>
      <c r="M2026" s="107" t="s">
        <v>52</v>
      </c>
    </row>
    <row r="2027" spans="1:13" ht="16">
      <c r="A2027" s="101" t="str">
        <f t="shared" si="1"/>
        <v>-</v>
      </c>
      <c r="B2027" s="48"/>
      <c r="C2027" s="53"/>
      <c r="D2027" s="49"/>
      <c r="E2027" s="71"/>
      <c r="F2027" s="46"/>
      <c r="G2027" s="72"/>
      <c r="H2027" s="46"/>
      <c r="I2027" s="53" t="str">
        <f ca="1"/>
        <v>退会済</v>
      </c>
      <c r="J2027" s="113"/>
      <c r="K2027" s="49" t="s">
        <v>50</v>
      </c>
      <c r="M2027" s="107" t="s">
        <v>52</v>
      </c>
    </row>
    <row r="2028" spans="1:13" ht="16">
      <c r="A2028" s="101" t="str">
        <f t="shared" si="1"/>
        <v>-</v>
      </c>
      <c r="B2028" s="48"/>
      <c r="C2028" s="53"/>
      <c r="D2028" s="49"/>
      <c r="E2028" s="71"/>
      <c r="F2028" s="46"/>
      <c r="G2028" s="72"/>
      <c r="H2028" s="46"/>
      <c r="I2028" s="53" t="str">
        <f ca="1"/>
        <v>退会済</v>
      </c>
      <c r="J2028" s="113"/>
      <c r="K2028" s="49" t="s">
        <v>50</v>
      </c>
      <c r="M2028" s="107" t="s">
        <v>52</v>
      </c>
    </row>
    <row r="2029" spans="1:13" ht="16">
      <c r="A2029" s="101" t="str">
        <f t="shared" si="1"/>
        <v>-</v>
      </c>
      <c r="B2029" s="48"/>
      <c r="C2029" s="53"/>
      <c r="D2029" s="49"/>
      <c r="E2029" s="71"/>
      <c r="F2029" s="46"/>
      <c r="G2029" s="72"/>
      <c r="H2029" s="46"/>
      <c r="I2029" s="53" t="str">
        <f ca="1"/>
        <v>退会済</v>
      </c>
      <c r="J2029" s="113"/>
      <c r="K2029" s="49" t="s">
        <v>50</v>
      </c>
      <c r="M2029" s="107" t="s">
        <v>52</v>
      </c>
    </row>
    <row r="2030" spans="1:13" ht="16">
      <c r="A2030" s="101" t="str">
        <f t="shared" si="1"/>
        <v>-</v>
      </c>
      <c r="B2030" s="48"/>
      <c r="C2030" s="53"/>
      <c r="D2030" s="49"/>
      <c r="E2030" s="71"/>
      <c r="F2030" s="46"/>
      <c r="G2030" s="72"/>
      <c r="H2030" s="46"/>
      <c r="I2030" s="53" t="str">
        <f ca="1"/>
        <v>退会済</v>
      </c>
      <c r="J2030" s="113"/>
      <c r="K2030" s="49" t="s">
        <v>50</v>
      </c>
      <c r="M2030" s="107" t="s">
        <v>52</v>
      </c>
    </row>
    <row r="2031" spans="1:13" ht="16">
      <c r="A2031" s="101" t="str">
        <f t="shared" si="1"/>
        <v>-</v>
      </c>
      <c r="B2031" s="48"/>
      <c r="C2031" s="53"/>
      <c r="D2031" s="49"/>
      <c r="E2031" s="71"/>
      <c r="F2031" s="46"/>
      <c r="G2031" s="72"/>
      <c r="H2031" s="46"/>
      <c r="I2031" s="53" t="str">
        <f ca="1"/>
        <v>退会済</v>
      </c>
      <c r="J2031" s="113"/>
      <c r="K2031" s="49" t="s">
        <v>50</v>
      </c>
      <c r="M2031" s="107" t="s">
        <v>52</v>
      </c>
    </row>
    <row r="2032" spans="1:13" ht="16">
      <c r="A2032" s="101" t="str">
        <f t="shared" si="1"/>
        <v>-</v>
      </c>
      <c r="B2032" s="48"/>
      <c r="C2032" s="53"/>
      <c r="D2032" s="49"/>
      <c r="E2032" s="71"/>
      <c r="F2032" s="46"/>
      <c r="G2032" s="72"/>
      <c r="H2032" s="46"/>
      <c r="I2032" s="53" t="str">
        <f ca="1"/>
        <v>退会済</v>
      </c>
      <c r="J2032" s="113"/>
      <c r="K2032" s="49" t="s">
        <v>50</v>
      </c>
      <c r="M2032" s="107" t="s">
        <v>52</v>
      </c>
    </row>
    <row r="2033" spans="1:13" ht="16">
      <c r="A2033" s="101" t="str">
        <f t="shared" si="1"/>
        <v>-</v>
      </c>
      <c r="B2033" s="48"/>
      <c r="C2033" s="53"/>
      <c r="D2033" s="49"/>
      <c r="E2033" s="71"/>
      <c r="F2033" s="46"/>
      <c r="G2033" s="72"/>
      <c r="H2033" s="46"/>
      <c r="I2033" s="53" t="str">
        <f ca="1"/>
        <v>退会済</v>
      </c>
      <c r="J2033" s="113"/>
      <c r="K2033" s="49" t="s">
        <v>50</v>
      </c>
      <c r="M2033" s="107" t="s">
        <v>52</v>
      </c>
    </row>
    <row r="2034" spans="1:13" ht="16">
      <c r="A2034" s="101" t="str">
        <f t="shared" si="1"/>
        <v>-</v>
      </c>
      <c r="B2034" s="48"/>
      <c r="C2034" s="53"/>
      <c r="D2034" s="49"/>
      <c r="E2034" s="71"/>
      <c r="F2034" s="46"/>
      <c r="G2034" s="72"/>
      <c r="H2034" s="46"/>
      <c r="I2034" s="53" t="str">
        <f ca="1"/>
        <v>退会済</v>
      </c>
      <c r="J2034" s="113"/>
      <c r="K2034" s="49" t="s">
        <v>50</v>
      </c>
      <c r="M2034" s="107" t="s">
        <v>52</v>
      </c>
    </row>
    <row r="2035" spans="1:13" ht="16">
      <c r="A2035" s="101" t="str">
        <f t="shared" si="1"/>
        <v>-</v>
      </c>
      <c r="B2035" s="48"/>
      <c r="C2035" s="53"/>
      <c r="D2035" s="49"/>
      <c r="E2035" s="71"/>
      <c r="F2035" s="46"/>
      <c r="G2035" s="72"/>
      <c r="H2035" s="46"/>
      <c r="I2035" s="53" t="str">
        <f ca="1"/>
        <v>退会済</v>
      </c>
      <c r="J2035" s="113"/>
      <c r="K2035" s="49" t="s">
        <v>50</v>
      </c>
      <c r="M2035" s="107" t="s">
        <v>52</v>
      </c>
    </row>
    <row r="2036" spans="1:13" ht="16">
      <c r="A2036" s="101" t="str">
        <f t="shared" si="1"/>
        <v>-</v>
      </c>
      <c r="B2036" s="48"/>
      <c r="C2036" s="53"/>
      <c r="D2036" s="49"/>
      <c r="E2036" s="71"/>
      <c r="F2036" s="46"/>
      <c r="G2036" s="72"/>
      <c r="H2036" s="46"/>
      <c r="I2036" s="53" t="str">
        <f ca="1"/>
        <v>退会済</v>
      </c>
      <c r="J2036" s="113"/>
      <c r="K2036" s="49" t="s">
        <v>50</v>
      </c>
      <c r="M2036" s="107" t="s">
        <v>52</v>
      </c>
    </row>
    <row r="2037" spans="1:13" ht="16">
      <c r="A2037" s="101" t="str">
        <f t="shared" si="1"/>
        <v>-</v>
      </c>
      <c r="B2037" s="48"/>
      <c r="C2037" s="53"/>
      <c r="D2037" s="49"/>
      <c r="E2037" s="71"/>
      <c r="F2037" s="46"/>
      <c r="G2037" s="72"/>
      <c r="H2037" s="46"/>
      <c r="I2037" s="53" t="str">
        <f ca="1"/>
        <v>退会済</v>
      </c>
      <c r="J2037" s="113"/>
      <c r="K2037" s="49" t="s">
        <v>50</v>
      </c>
      <c r="M2037" s="107" t="s">
        <v>52</v>
      </c>
    </row>
    <row r="2038" spans="1:13" ht="16">
      <c r="A2038" s="101" t="str">
        <f t="shared" si="1"/>
        <v>-</v>
      </c>
      <c r="B2038" s="48"/>
      <c r="C2038" s="53"/>
      <c r="D2038" s="49"/>
      <c r="E2038" s="71"/>
      <c r="F2038" s="46"/>
      <c r="G2038" s="72"/>
      <c r="H2038" s="46"/>
      <c r="I2038" s="53" t="str">
        <f ca="1"/>
        <v>退会済</v>
      </c>
      <c r="J2038" s="113"/>
      <c r="K2038" s="49" t="s">
        <v>50</v>
      </c>
      <c r="M2038" s="107" t="s">
        <v>52</v>
      </c>
    </row>
    <row r="2039" spans="1:13" ht="16">
      <c r="A2039" s="101" t="str">
        <f t="shared" si="1"/>
        <v>-</v>
      </c>
      <c r="B2039" s="48"/>
      <c r="C2039" s="53"/>
      <c r="D2039" s="49"/>
      <c r="E2039" s="71"/>
      <c r="F2039" s="46"/>
      <c r="G2039" s="72"/>
      <c r="H2039" s="46"/>
      <c r="I2039" s="53" t="str">
        <f ca="1"/>
        <v>退会済</v>
      </c>
      <c r="J2039" s="113"/>
      <c r="K2039" s="49" t="s">
        <v>50</v>
      </c>
      <c r="M2039" s="107" t="s">
        <v>52</v>
      </c>
    </row>
    <row r="2040" spans="1:13" ht="16">
      <c r="A2040" s="101" t="str">
        <f t="shared" si="1"/>
        <v>-</v>
      </c>
      <c r="B2040" s="48"/>
      <c r="C2040" s="53"/>
      <c r="D2040" s="49"/>
      <c r="E2040" s="71"/>
      <c r="F2040" s="46"/>
      <c r="G2040" s="72"/>
      <c r="H2040" s="46"/>
      <c r="I2040" s="53" t="str">
        <f ca="1"/>
        <v>退会済</v>
      </c>
      <c r="J2040" s="113"/>
      <c r="K2040" s="49" t="s">
        <v>50</v>
      </c>
      <c r="M2040" s="107" t="s">
        <v>52</v>
      </c>
    </row>
    <row r="2041" spans="1:13" ht="16">
      <c r="A2041" s="101" t="str">
        <f t="shared" si="1"/>
        <v>-</v>
      </c>
      <c r="B2041" s="48"/>
      <c r="C2041" s="53"/>
      <c r="D2041" s="49"/>
      <c r="E2041" s="71"/>
      <c r="F2041" s="46"/>
      <c r="G2041" s="72"/>
      <c r="H2041" s="46"/>
      <c r="I2041" s="53" t="str">
        <f ca="1"/>
        <v>退会済</v>
      </c>
      <c r="J2041" s="113"/>
      <c r="K2041" s="49" t="s">
        <v>50</v>
      </c>
      <c r="M2041" s="107" t="s">
        <v>52</v>
      </c>
    </row>
    <row r="2042" spans="1:13" ht="16">
      <c r="A2042" s="101" t="str">
        <f t="shared" si="1"/>
        <v>-</v>
      </c>
      <c r="B2042" s="48"/>
      <c r="C2042" s="53"/>
      <c r="D2042" s="49"/>
      <c r="E2042" s="71"/>
      <c r="F2042" s="46"/>
      <c r="G2042" s="72"/>
      <c r="H2042" s="46"/>
      <c r="I2042" s="53" t="str">
        <f ca="1"/>
        <v>退会済</v>
      </c>
      <c r="J2042" s="113"/>
      <c r="K2042" s="49" t="s">
        <v>50</v>
      </c>
      <c r="M2042" s="107" t="s">
        <v>52</v>
      </c>
    </row>
    <row r="2043" spans="1:13" ht="16">
      <c r="A2043" s="101" t="str">
        <f t="shared" si="1"/>
        <v>-</v>
      </c>
      <c r="B2043" s="48"/>
      <c r="C2043" s="53"/>
      <c r="D2043" s="49"/>
      <c r="E2043" s="71"/>
      <c r="F2043" s="46"/>
      <c r="G2043" s="72"/>
      <c r="H2043" s="46"/>
      <c r="I2043" s="53" t="str">
        <f ca="1"/>
        <v>退会済</v>
      </c>
      <c r="J2043" s="113"/>
      <c r="K2043" s="49" t="s">
        <v>50</v>
      </c>
      <c r="M2043" s="107" t="s">
        <v>52</v>
      </c>
    </row>
    <row r="2044" spans="1:13" ht="16">
      <c r="A2044" s="101" t="str">
        <f t="shared" si="1"/>
        <v>-</v>
      </c>
      <c r="B2044" s="48"/>
      <c r="C2044" s="53"/>
      <c r="D2044" s="49"/>
      <c r="E2044" s="71"/>
      <c r="F2044" s="46"/>
      <c r="G2044" s="72"/>
      <c r="H2044" s="46"/>
      <c r="I2044" s="53" t="str">
        <f ca="1"/>
        <v>退会済</v>
      </c>
      <c r="J2044" s="113"/>
      <c r="K2044" s="49" t="s">
        <v>50</v>
      </c>
      <c r="M2044" s="107" t="s">
        <v>52</v>
      </c>
    </row>
    <row r="2045" spans="1:13" ht="16">
      <c r="A2045" s="101" t="str">
        <f t="shared" si="1"/>
        <v>-</v>
      </c>
      <c r="B2045" s="48"/>
      <c r="C2045" s="53"/>
      <c r="D2045" s="49"/>
      <c r="E2045" s="71"/>
      <c r="F2045" s="46"/>
      <c r="G2045" s="72"/>
      <c r="H2045" s="46"/>
      <c r="I2045" s="53" t="str">
        <f ca="1"/>
        <v>退会済</v>
      </c>
      <c r="J2045" s="113"/>
      <c r="K2045" s="49" t="s">
        <v>50</v>
      </c>
      <c r="M2045" s="107" t="s">
        <v>52</v>
      </c>
    </row>
    <row r="2046" spans="1:13" ht="16">
      <c r="A2046" s="101" t="str">
        <f t="shared" si="1"/>
        <v>-</v>
      </c>
      <c r="B2046" s="48"/>
      <c r="C2046" s="53"/>
      <c r="D2046" s="49"/>
      <c r="E2046" s="71"/>
      <c r="F2046" s="46"/>
      <c r="G2046" s="72"/>
      <c r="H2046" s="46"/>
      <c r="I2046" s="53" t="str">
        <f ca="1"/>
        <v>退会済</v>
      </c>
      <c r="J2046" s="113"/>
      <c r="K2046" s="49" t="s">
        <v>50</v>
      </c>
      <c r="M2046" s="107" t="s">
        <v>52</v>
      </c>
    </row>
    <row r="2047" spans="1:13" ht="16">
      <c r="A2047" s="101" t="str">
        <f t="shared" si="1"/>
        <v>-</v>
      </c>
      <c r="B2047" s="48"/>
      <c r="C2047" s="53"/>
      <c r="D2047" s="49"/>
      <c r="E2047" s="71"/>
      <c r="F2047" s="46"/>
      <c r="G2047" s="72"/>
      <c r="H2047" s="46"/>
      <c r="I2047" s="53" t="str">
        <f ca="1"/>
        <v>退会済</v>
      </c>
      <c r="J2047" s="113"/>
      <c r="K2047" s="49" t="s">
        <v>50</v>
      </c>
      <c r="M2047" s="107" t="s">
        <v>52</v>
      </c>
    </row>
    <row r="2048" spans="1:13" ht="16">
      <c r="A2048" s="101" t="str">
        <f t="shared" si="1"/>
        <v>-</v>
      </c>
      <c r="B2048" s="48"/>
      <c r="C2048" s="53"/>
      <c r="D2048" s="49"/>
      <c r="E2048" s="71"/>
      <c r="F2048" s="46"/>
      <c r="G2048" s="72"/>
      <c r="H2048" s="46"/>
      <c r="I2048" s="53" t="str">
        <f ca="1"/>
        <v>退会済</v>
      </c>
      <c r="J2048" s="113"/>
      <c r="K2048" s="49" t="s">
        <v>50</v>
      </c>
      <c r="M2048" s="107" t="s">
        <v>52</v>
      </c>
    </row>
    <row r="2049" spans="1:13" ht="16">
      <c r="A2049" s="101" t="str">
        <f t="shared" si="1"/>
        <v>-</v>
      </c>
      <c r="B2049" s="48"/>
      <c r="C2049" s="53"/>
      <c r="D2049" s="49"/>
      <c r="E2049" s="71"/>
      <c r="F2049" s="46"/>
      <c r="G2049" s="72"/>
      <c r="H2049" s="46"/>
      <c r="I2049" s="53" t="str">
        <f ca="1"/>
        <v>退会済</v>
      </c>
      <c r="J2049" s="113"/>
      <c r="K2049" s="49" t="s">
        <v>50</v>
      </c>
      <c r="M2049" s="107" t="s">
        <v>52</v>
      </c>
    </row>
    <row r="2050" spans="1:13" ht="16">
      <c r="A2050" s="101" t="str">
        <f t="shared" si="1"/>
        <v>-</v>
      </c>
      <c r="B2050" s="48"/>
      <c r="C2050" s="53"/>
      <c r="D2050" s="49"/>
      <c r="E2050" s="71"/>
      <c r="F2050" s="46"/>
      <c r="G2050" s="72"/>
      <c r="H2050" s="46"/>
      <c r="I2050" s="53" t="str">
        <f ca="1"/>
        <v>退会済</v>
      </c>
      <c r="J2050" s="113"/>
      <c r="K2050" s="49" t="s">
        <v>50</v>
      </c>
      <c r="M2050" s="107" t="s">
        <v>52</v>
      </c>
    </row>
    <row r="2051" spans="1:13" ht="16">
      <c r="A2051" s="101" t="str">
        <f t="shared" si="1"/>
        <v>-</v>
      </c>
      <c r="B2051" s="48"/>
      <c r="C2051" s="53"/>
      <c r="D2051" s="49"/>
      <c r="E2051" s="71"/>
      <c r="F2051" s="46"/>
      <c r="G2051" s="72"/>
      <c r="H2051" s="46"/>
      <c r="I2051" s="53" t="str">
        <f ca="1"/>
        <v>退会済</v>
      </c>
      <c r="J2051" s="113"/>
      <c r="K2051" s="49" t="s">
        <v>50</v>
      </c>
      <c r="M2051" s="107" t="s">
        <v>52</v>
      </c>
    </row>
    <row r="2052" spans="1:13" ht="16">
      <c r="A2052" s="101" t="str">
        <f t="shared" si="1"/>
        <v>-</v>
      </c>
      <c r="B2052" s="48"/>
      <c r="C2052" s="53"/>
      <c r="D2052" s="49"/>
      <c r="E2052" s="71"/>
      <c r="F2052" s="46"/>
      <c r="G2052" s="72"/>
      <c r="H2052" s="46"/>
      <c r="I2052" s="53" t="str">
        <f ca="1"/>
        <v>退会済</v>
      </c>
      <c r="J2052" s="113"/>
      <c r="K2052" s="49" t="s">
        <v>50</v>
      </c>
      <c r="M2052" s="107" t="s">
        <v>52</v>
      </c>
    </row>
    <row r="2053" spans="1:13" ht="16">
      <c r="A2053" s="101" t="str">
        <f t="shared" si="1"/>
        <v>-</v>
      </c>
      <c r="B2053" s="48"/>
      <c r="C2053" s="53"/>
      <c r="D2053" s="49"/>
      <c r="E2053" s="71"/>
      <c r="F2053" s="46"/>
      <c r="G2053" s="72"/>
      <c r="H2053" s="46"/>
      <c r="I2053" s="53" t="str">
        <f ca="1"/>
        <v>退会済</v>
      </c>
      <c r="J2053" s="113"/>
      <c r="K2053" s="49" t="s">
        <v>50</v>
      </c>
      <c r="M2053" s="107" t="s">
        <v>52</v>
      </c>
    </row>
    <row r="2054" spans="1:13" ht="16">
      <c r="A2054" s="101" t="str">
        <f t="shared" si="1"/>
        <v>-</v>
      </c>
      <c r="B2054" s="48"/>
      <c r="C2054" s="53"/>
      <c r="D2054" s="49"/>
      <c r="E2054" s="71"/>
      <c r="F2054" s="46"/>
      <c r="G2054" s="72"/>
      <c r="H2054" s="46"/>
      <c r="I2054" s="53" t="str">
        <f ca="1"/>
        <v>退会済</v>
      </c>
      <c r="J2054" s="113"/>
      <c r="K2054" s="49" t="s">
        <v>50</v>
      </c>
      <c r="M2054" s="107" t="s">
        <v>52</v>
      </c>
    </row>
    <row r="2055" spans="1:13" ht="16">
      <c r="A2055" s="101" t="str">
        <f t="shared" si="1"/>
        <v>-</v>
      </c>
      <c r="B2055" s="48"/>
      <c r="C2055" s="53"/>
      <c r="D2055" s="49"/>
      <c r="E2055" s="71"/>
      <c r="F2055" s="46"/>
      <c r="G2055" s="72"/>
      <c r="H2055" s="46"/>
      <c r="I2055" s="53" t="str">
        <f ca="1"/>
        <v>退会済</v>
      </c>
      <c r="J2055" s="113"/>
      <c r="K2055" s="49" t="s">
        <v>50</v>
      </c>
      <c r="M2055" s="107" t="s">
        <v>52</v>
      </c>
    </row>
    <row r="2056" spans="1:13" ht="16">
      <c r="A2056" s="101" t="str">
        <f t="shared" si="1"/>
        <v>-</v>
      </c>
      <c r="B2056" s="48"/>
      <c r="C2056" s="53"/>
      <c r="D2056" s="49"/>
      <c r="E2056" s="71"/>
      <c r="F2056" s="46"/>
      <c r="G2056" s="72"/>
      <c r="H2056" s="46"/>
      <c r="I2056" s="53" t="str">
        <f ca="1"/>
        <v>退会済</v>
      </c>
      <c r="J2056" s="113"/>
      <c r="K2056" s="49" t="s">
        <v>50</v>
      </c>
      <c r="M2056" s="107" t="s">
        <v>52</v>
      </c>
    </row>
    <row r="2057" spans="1:13" ht="16">
      <c r="A2057" s="101" t="str">
        <f t="shared" si="1"/>
        <v>-</v>
      </c>
      <c r="B2057" s="48"/>
      <c r="C2057" s="53"/>
      <c r="D2057" s="49"/>
      <c r="E2057" s="71"/>
      <c r="F2057" s="46"/>
      <c r="G2057" s="72"/>
      <c r="H2057" s="46"/>
      <c r="I2057" s="53" t="str">
        <f ca="1"/>
        <v>退会済</v>
      </c>
      <c r="J2057" s="113"/>
      <c r="K2057" s="49" t="s">
        <v>50</v>
      </c>
      <c r="M2057" s="107" t="s">
        <v>52</v>
      </c>
    </row>
    <row r="2058" spans="1:13" ht="16">
      <c r="A2058" s="101" t="str">
        <f t="shared" si="1"/>
        <v>-</v>
      </c>
      <c r="B2058" s="48"/>
      <c r="C2058" s="53"/>
      <c r="D2058" s="49"/>
      <c r="E2058" s="71"/>
      <c r="F2058" s="46"/>
      <c r="G2058" s="72"/>
      <c r="H2058" s="46"/>
      <c r="I2058" s="53" t="str">
        <f ca="1"/>
        <v>退会済</v>
      </c>
      <c r="J2058" s="113"/>
      <c r="K2058" s="49" t="s">
        <v>50</v>
      </c>
      <c r="M2058" s="107" t="s">
        <v>52</v>
      </c>
    </row>
    <row r="2059" spans="1:13" ht="16">
      <c r="A2059" s="101" t="str">
        <f t="shared" si="1"/>
        <v>-</v>
      </c>
      <c r="B2059" s="48"/>
      <c r="C2059" s="53"/>
      <c r="D2059" s="49"/>
      <c r="E2059" s="71"/>
      <c r="F2059" s="46"/>
      <c r="G2059" s="72"/>
      <c r="H2059" s="46"/>
      <c r="I2059" s="53" t="str">
        <f ca="1"/>
        <v>退会済</v>
      </c>
      <c r="J2059" s="113"/>
      <c r="K2059" s="49" t="s">
        <v>50</v>
      </c>
      <c r="M2059" s="107" t="s">
        <v>52</v>
      </c>
    </row>
    <row r="2060" spans="1:13" ht="16">
      <c r="A2060" s="101" t="str">
        <f t="shared" si="1"/>
        <v>-</v>
      </c>
      <c r="B2060" s="48"/>
      <c r="C2060" s="53"/>
      <c r="D2060" s="49"/>
      <c r="E2060" s="71"/>
      <c r="F2060" s="46"/>
      <c r="G2060" s="72"/>
      <c r="H2060" s="46"/>
      <c r="I2060" s="53" t="str">
        <f ca="1"/>
        <v>退会済</v>
      </c>
      <c r="J2060" s="113"/>
      <c r="K2060" s="49" t="s">
        <v>50</v>
      </c>
      <c r="M2060" s="107" t="s">
        <v>52</v>
      </c>
    </row>
    <row r="2061" spans="1:13" ht="16">
      <c r="A2061" s="101" t="str">
        <f t="shared" si="1"/>
        <v>-</v>
      </c>
      <c r="B2061" s="48"/>
      <c r="C2061" s="53"/>
      <c r="D2061" s="49"/>
      <c r="E2061" s="71"/>
      <c r="F2061" s="46"/>
      <c r="G2061" s="72"/>
      <c r="H2061" s="46"/>
      <c r="I2061" s="53" t="str">
        <f ca="1"/>
        <v>退会済</v>
      </c>
      <c r="J2061" s="113"/>
      <c r="K2061" s="49" t="s">
        <v>50</v>
      </c>
      <c r="M2061" s="107" t="s">
        <v>52</v>
      </c>
    </row>
    <row r="2062" spans="1:13" ht="16">
      <c r="A2062" s="101" t="str">
        <f t="shared" si="1"/>
        <v>-</v>
      </c>
      <c r="B2062" s="48"/>
      <c r="C2062" s="53"/>
      <c r="D2062" s="49"/>
      <c r="E2062" s="71"/>
      <c r="F2062" s="46"/>
      <c r="G2062" s="72"/>
      <c r="H2062" s="46"/>
      <c r="I2062" s="53" t="str">
        <f ca="1"/>
        <v>退会済</v>
      </c>
      <c r="J2062" s="113"/>
      <c r="K2062" s="49" t="s">
        <v>50</v>
      </c>
      <c r="M2062" s="107" t="s">
        <v>52</v>
      </c>
    </row>
    <row r="2063" spans="1:13" ht="16">
      <c r="A2063" s="101" t="str">
        <f t="shared" si="1"/>
        <v>-</v>
      </c>
      <c r="B2063" s="48"/>
      <c r="C2063" s="53"/>
      <c r="D2063" s="49"/>
      <c r="E2063" s="71"/>
      <c r="F2063" s="46"/>
      <c r="G2063" s="72"/>
      <c r="H2063" s="46"/>
      <c r="I2063" s="53" t="str">
        <f ca="1"/>
        <v>退会済</v>
      </c>
      <c r="J2063" s="113"/>
      <c r="K2063" s="49" t="s">
        <v>50</v>
      </c>
      <c r="M2063" s="107" t="s">
        <v>52</v>
      </c>
    </row>
    <row r="2064" spans="1:13" ht="16">
      <c r="A2064" s="101" t="str">
        <f t="shared" si="1"/>
        <v>-</v>
      </c>
      <c r="B2064" s="48"/>
      <c r="C2064" s="53"/>
      <c r="D2064" s="49"/>
      <c r="E2064" s="71"/>
      <c r="F2064" s="46"/>
      <c r="G2064" s="72"/>
      <c r="H2064" s="46"/>
      <c r="I2064" s="53" t="str">
        <f ca="1"/>
        <v>退会済</v>
      </c>
      <c r="J2064" s="113"/>
      <c r="K2064" s="49" t="s">
        <v>50</v>
      </c>
      <c r="M2064" s="107" t="s">
        <v>52</v>
      </c>
    </row>
    <row r="2065" spans="1:13" ht="16">
      <c r="A2065" s="101" t="str">
        <f t="shared" si="1"/>
        <v>-</v>
      </c>
      <c r="B2065" s="48"/>
      <c r="C2065" s="53"/>
      <c r="D2065" s="49"/>
      <c r="E2065" s="71"/>
      <c r="F2065" s="46"/>
      <c r="G2065" s="72"/>
      <c r="H2065" s="46"/>
      <c r="I2065" s="53" t="str">
        <f ca="1"/>
        <v>退会済</v>
      </c>
      <c r="J2065" s="113"/>
      <c r="K2065" s="49" t="s">
        <v>50</v>
      </c>
      <c r="M2065" s="107" t="s">
        <v>52</v>
      </c>
    </row>
    <row r="2066" spans="1:13" ht="16">
      <c r="A2066" s="101" t="str">
        <f t="shared" si="1"/>
        <v>-</v>
      </c>
      <c r="B2066" s="48"/>
      <c r="C2066" s="53"/>
      <c r="D2066" s="49"/>
      <c r="E2066" s="71"/>
      <c r="F2066" s="46"/>
      <c r="G2066" s="72"/>
      <c r="H2066" s="46"/>
      <c r="I2066" s="53" t="str">
        <f ca="1"/>
        <v>退会済</v>
      </c>
      <c r="J2066" s="113"/>
      <c r="K2066" s="49" t="s">
        <v>50</v>
      </c>
      <c r="M2066" s="107" t="s">
        <v>52</v>
      </c>
    </row>
    <row r="2067" spans="1:13" ht="16">
      <c r="A2067" s="101" t="str">
        <f t="shared" si="1"/>
        <v>-</v>
      </c>
      <c r="B2067" s="48"/>
      <c r="C2067" s="53"/>
      <c r="D2067" s="49"/>
      <c r="E2067" s="71"/>
      <c r="F2067" s="46"/>
      <c r="G2067" s="72"/>
      <c r="H2067" s="46"/>
      <c r="I2067" s="53" t="str">
        <f ca="1"/>
        <v>退会済</v>
      </c>
      <c r="J2067" s="113"/>
      <c r="K2067" s="49" t="s">
        <v>50</v>
      </c>
      <c r="M2067" s="107" t="s">
        <v>52</v>
      </c>
    </row>
    <row r="2068" spans="1:13" ht="16">
      <c r="A2068" s="101" t="str">
        <f t="shared" si="1"/>
        <v>-</v>
      </c>
      <c r="B2068" s="48"/>
      <c r="C2068" s="53"/>
      <c r="D2068" s="49"/>
      <c r="E2068" s="71"/>
      <c r="F2068" s="46"/>
      <c r="G2068" s="72"/>
      <c r="H2068" s="46"/>
      <c r="I2068" s="53" t="str">
        <f ca="1"/>
        <v>退会済</v>
      </c>
      <c r="J2068" s="113"/>
      <c r="K2068" s="49" t="s">
        <v>50</v>
      </c>
      <c r="M2068" s="107" t="s">
        <v>52</v>
      </c>
    </row>
    <row r="2069" spans="1:13" ht="16">
      <c r="A2069" s="101" t="str">
        <f t="shared" si="1"/>
        <v>-</v>
      </c>
      <c r="B2069" s="48"/>
      <c r="C2069" s="53"/>
      <c r="D2069" s="49"/>
      <c r="E2069" s="71"/>
      <c r="F2069" s="46"/>
      <c r="G2069" s="72"/>
      <c r="H2069" s="46"/>
      <c r="I2069" s="53" t="str">
        <f ca="1"/>
        <v>退会済</v>
      </c>
      <c r="J2069" s="113"/>
      <c r="K2069" s="49" t="s">
        <v>50</v>
      </c>
      <c r="M2069" s="107" t="s">
        <v>52</v>
      </c>
    </row>
    <row r="2070" spans="1:13" ht="16">
      <c r="A2070" s="101" t="str">
        <f t="shared" si="1"/>
        <v>-</v>
      </c>
      <c r="B2070" s="48"/>
      <c r="C2070" s="53"/>
      <c r="D2070" s="49"/>
      <c r="E2070" s="71"/>
      <c r="F2070" s="46"/>
      <c r="G2070" s="72"/>
      <c r="H2070" s="46"/>
      <c r="I2070" s="53" t="str">
        <f ca="1"/>
        <v>退会済</v>
      </c>
      <c r="J2070" s="113"/>
      <c r="K2070" s="49" t="s">
        <v>50</v>
      </c>
      <c r="M2070" s="107" t="s">
        <v>52</v>
      </c>
    </row>
    <row r="2071" spans="1:13" ht="16">
      <c r="A2071" s="101" t="str">
        <f t="shared" si="1"/>
        <v>-</v>
      </c>
      <c r="B2071" s="48"/>
      <c r="C2071" s="53"/>
      <c r="D2071" s="49"/>
      <c r="E2071" s="71"/>
      <c r="F2071" s="46"/>
      <c r="G2071" s="72"/>
      <c r="H2071" s="46"/>
      <c r="I2071" s="53" t="str">
        <f ca="1"/>
        <v>退会済</v>
      </c>
      <c r="J2071" s="113"/>
      <c r="K2071" s="49" t="s">
        <v>50</v>
      </c>
      <c r="M2071" s="107" t="s">
        <v>52</v>
      </c>
    </row>
    <row r="2072" spans="1:13" ht="16">
      <c r="A2072" s="101" t="str">
        <f t="shared" si="1"/>
        <v>-</v>
      </c>
      <c r="B2072" s="48"/>
      <c r="C2072" s="53"/>
      <c r="D2072" s="49"/>
      <c r="E2072" s="71"/>
      <c r="F2072" s="46"/>
      <c r="G2072" s="72"/>
      <c r="H2072" s="46"/>
      <c r="I2072" s="53" t="str">
        <f ca="1"/>
        <v>退会済</v>
      </c>
      <c r="J2072" s="113"/>
      <c r="K2072" s="49" t="s">
        <v>50</v>
      </c>
      <c r="M2072" s="107" t="s">
        <v>52</v>
      </c>
    </row>
    <row r="2073" spans="1:13" ht="16">
      <c r="A2073" s="101" t="str">
        <f t="shared" si="1"/>
        <v>-</v>
      </c>
      <c r="B2073" s="48"/>
      <c r="C2073" s="53"/>
      <c r="D2073" s="49"/>
      <c r="E2073" s="71"/>
      <c r="F2073" s="46"/>
      <c r="G2073" s="72"/>
      <c r="H2073" s="46"/>
      <c r="I2073" s="53" t="str">
        <f ca="1"/>
        <v>退会済</v>
      </c>
      <c r="J2073" s="113"/>
      <c r="K2073" s="49" t="s">
        <v>50</v>
      </c>
      <c r="M2073" s="107" t="s">
        <v>52</v>
      </c>
    </row>
    <row r="2074" spans="1:13" ht="16">
      <c r="A2074" s="101" t="str">
        <f t="shared" si="1"/>
        <v>-</v>
      </c>
      <c r="B2074" s="48"/>
      <c r="C2074" s="53"/>
      <c r="D2074" s="49"/>
      <c r="E2074" s="71"/>
      <c r="F2074" s="46"/>
      <c r="G2074" s="72"/>
      <c r="H2074" s="46"/>
      <c r="I2074" s="53" t="str">
        <f ca="1"/>
        <v>退会済</v>
      </c>
      <c r="J2074" s="113"/>
      <c r="K2074" s="49" t="s">
        <v>50</v>
      </c>
      <c r="M2074" s="107" t="s">
        <v>52</v>
      </c>
    </row>
    <row r="2075" spans="1:13" ht="16">
      <c r="A2075" s="101" t="str">
        <f t="shared" si="1"/>
        <v>-</v>
      </c>
      <c r="B2075" s="48"/>
      <c r="C2075" s="53"/>
      <c r="D2075" s="49"/>
      <c r="E2075" s="71"/>
      <c r="F2075" s="46"/>
      <c r="G2075" s="72"/>
      <c r="H2075" s="46"/>
      <c r="I2075" s="53" t="str">
        <f ca="1"/>
        <v>退会済</v>
      </c>
      <c r="J2075" s="113"/>
      <c r="K2075" s="49" t="s">
        <v>50</v>
      </c>
      <c r="M2075" s="107" t="s">
        <v>52</v>
      </c>
    </row>
    <row r="2076" spans="1:13" ht="16">
      <c r="A2076" s="101" t="str">
        <f t="shared" si="1"/>
        <v>-</v>
      </c>
      <c r="B2076" s="48"/>
      <c r="C2076" s="53"/>
      <c r="D2076" s="49"/>
      <c r="E2076" s="71"/>
      <c r="F2076" s="46"/>
      <c r="G2076" s="72"/>
      <c r="H2076" s="46"/>
      <c r="I2076" s="53" t="str">
        <f ca="1"/>
        <v>退会済</v>
      </c>
      <c r="J2076" s="113"/>
      <c r="K2076" s="49" t="s">
        <v>50</v>
      </c>
      <c r="M2076" s="107" t="s">
        <v>52</v>
      </c>
    </row>
    <row r="2077" spans="1:13" ht="16">
      <c r="A2077" s="101" t="str">
        <f t="shared" si="1"/>
        <v>-</v>
      </c>
      <c r="B2077" s="48"/>
      <c r="C2077" s="53"/>
      <c r="D2077" s="49"/>
      <c r="E2077" s="71"/>
      <c r="F2077" s="46"/>
      <c r="G2077" s="72"/>
      <c r="H2077" s="46"/>
      <c r="I2077" s="53" t="str">
        <f ca="1"/>
        <v>退会済</v>
      </c>
      <c r="J2077" s="113"/>
      <c r="K2077" s="49" t="s">
        <v>50</v>
      </c>
      <c r="M2077" s="107" t="s">
        <v>52</v>
      </c>
    </row>
    <row r="2078" spans="1:13" ht="16">
      <c r="A2078" s="101" t="str">
        <f t="shared" si="1"/>
        <v>-</v>
      </c>
      <c r="B2078" s="48"/>
      <c r="C2078" s="53"/>
      <c r="D2078" s="49"/>
      <c r="E2078" s="71"/>
      <c r="F2078" s="46"/>
      <c r="G2078" s="72"/>
      <c r="H2078" s="46"/>
      <c r="I2078" s="53" t="str">
        <f ca="1"/>
        <v>退会済</v>
      </c>
      <c r="J2078" s="113"/>
      <c r="K2078" s="49" t="s">
        <v>50</v>
      </c>
      <c r="M2078" s="107" t="s">
        <v>52</v>
      </c>
    </row>
    <row r="2079" spans="1:13" ht="16">
      <c r="A2079" s="101" t="str">
        <f t="shared" si="1"/>
        <v>-</v>
      </c>
      <c r="B2079" s="48"/>
      <c r="C2079" s="53"/>
      <c r="D2079" s="49"/>
      <c r="E2079" s="71"/>
      <c r="F2079" s="46"/>
      <c r="G2079" s="72"/>
      <c r="H2079" s="46"/>
      <c r="I2079" s="53" t="str">
        <f ca="1"/>
        <v>退会済</v>
      </c>
      <c r="J2079" s="113"/>
      <c r="K2079" s="49" t="s">
        <v>50</v>
      </c>
      <c r="M2079" s="107" t="s">
        <v>52</v>
      </c>
    </row>
    <row r="2080" spans="1:13" ht="16">
      <c r="A2080" s="101" t="str">
        <f t="shared" si="1"/>
        <v>-</v>
      </c>
      <c r="B2080" s="48"/>
      <c r="C2080" s="53"/>
      <c r="D2080" s="49"/>
      <c r="E2080" s="71"/>
      <c r="F2080" s="46"/>
      <c r="G2080" s="72"/>
      <c r="H2080" s="46"/>
      <c r="I2080" s="53" t="str">
        <f ca="1"/>
        <v>退会済</v>
      </c>
      <c r="J2080" s="113"/>
      <c r="K2080" s="49" t="s">
        <v>50</v>
      </c>
      <c r="M2080" s="107" t="s">
        <v>52</v>
      </c>
    </row>
    <row r="2081" spans="1:13" ht="16">
      <c r="A2081" s="101" t="str">
        <f t="shared" si="1"/>
        <v>-</v>
      </c>
      <c r="B2081" s="48"/>
      <c r="C2081" s="53"/>
      <c r="D2081" s="49"/>
      <c r="E2081" s="71"/>
      <c r="F2081" s="46"/>
      <c r="G2081" s="72"/>
      <c r="H2081" s="46"/>
      <c r="I2081" s="53" t="str">
        <f ca="1"/>
        <v>退会済</v>
      </c>
      <c r="J2081" s="113"/>
      <c r="K2081" s="49" t="s">
        <v>50</v>
      </c>
      <c r="M2081" s="107" t="s">
        <v>52</v>
      </c>
    </row>
    <row r="2082" spans="1:13" ht="16">
      <c r="A2082" s="101" t="str">
        <f t="shared" si="1"/>
        <v>-</v>
      </c>
      <c r="B2082" s="48"/>
      <c r="C2082" s="53"/>
      <c r="D2082" s="49"/>
      <c r="E2082" s="71"/>
      <c r="F2082" s="46"/>
      <c r="G2082" s="72"/>
      <c r="H2082" s="46"/>
      <c r="I2082" s="53" t="str">
        <f ca="1"/>
        <v>退会済</v>
      </c>
      <c r="J2082" s="113"/>
      <c r="K2082" s="49" t="s">
        <v>50</v>
      </c>
      <c r="M2082" s="107" t="s">
        <v>52</v>
      </c>
    </row>
    <row r="2083" spans="1:13" ht="16">
      <c r="A2083" s="101" t="str">
        <f t="shared" si="1"/>
        <v>-</v>
      </c>
      <c r="B2083" s="48"/>
      <c r="C2083" s="53"/>
      <c r="D2083" s="49"/>
      <c r="E2083" s="71"/>
      <c r="F2083" s="46"/>
      <c r="G2083" s="72"/>
      <c r="H2083" s="46"/>
      <c r="I2083" s="53" t="str">
        <f ca="1"/>
        <v>退会済</v>
      </c>
      <c r="J2083" s="113"/>
      <c r="K2083" s="49" t="s">
        <v>50</v>
      </c>
      <c r="M2083" s="107" t="s">
        <v>52</v>
      </c>
    </row>
    <row r="2084" spans="1:13" ht="16">
      <c r="A2084" s="101" t="str">
        <f t="shared" si="1"/>
        <v>-</v>
      </c>
      <c r="B2084" s="48"/>
      <c r="C2084" s="53"/>
      <c r="D2084" s="49"/>
      <c r="E2084" s="71"/>
      <c r="F2084" s="46"/>
      <c r="G2084" s="72"/>
      <c r="H2084" s="46"/>
      <c r="I2084" s="53" t="str">
        <f ca="1"/>
        <v>退会済</v>
      </c>
      <c r="J2084" s="113"/>
      <c r="K2084" s="49" t="s">
        <v>50</v>
      </c>
      <c r="M2084" s="107" t="s">
        <v>52</v>
      </c>
    </row>
    <row r="2085" spans="1:13" ht="16">
      <c r="A2085" s="101" t="str">
        <f t="shared" si="1"/>
        <v>-</v>
      </c>
      <c r="B2085" s="48"/>
      <c r="C2085" s="53"/>
      <c r="D2085" s="49"/>
      <c r="E2085" s="71"/>
      <c r="F2085" s="46"/>
      <c r="G2085" s="72"/>
      <c r="H2085" s="46"/>
      <c r="I2085" s="53" t="str">
        <f ca="1"/>
        <v>退会済</v>
      </c>
      <c r="J2085" s="113"/>
      <c r="K2085" s="49" t="s">
        <v>50</v>
      </c>
      <c r="M2085" s="107" t="s">
        <v>52</v>
      </c>
    </row>
    <row r="2086" spans="1:13" ht="16">
      <c r="A2086" s="101" t="str">
        <f t="shared" si="1"/>
        <v>-</v>
      </c>
      <c r="B2086" s="48"/>
      <c r="C2086" s="53"/>
      <c r="D2086" s="49"/>
      <c r="E2086" s="71"/>
      <c r="F2086" s="46"/>
      <c r="G2086" s="72"/>
      <c r="H2086" s="46"/>
      <c r="I2086" s="53" t="str">
        <f ca="1"/>
        <v>退会済</v>
      </c>
      <c r="J2086" s="113"/>
      <c r="K2086" s="49" t="s">
        <v>50</v>
      </c>
      <c r="M2086" s="107" t="s">
        <v>52</v>
      </c>
    </row>
    <row r="2087" spans="1:13" ht="16">
      <c r="A2087" s="101" t="str">
        <f t="shared" si="1"/>
        <v>-</v>
      </c>
      <c r="B2087" s="48"/>
      <c r="C2087" s="53"/>
      <c r="D2087" s="49"/>
      <c r="E2087" s="71"/>
      <c r="F2087" s="46"/>
      <c r="G2087" s="72"/>
      <c r="H2087" s="46"/>
      <c r="I2087" s="53" t="str">
        <f ca="1"/>
        <v>退会済</v>
      </c>
      <c r="J2087" s="113"/>
      <c r="K2087" s="49" t="s">
        <v>50</v>
      </c>
      <c r="M2087" s="107" t="s">
        <v>52</v>
      </c>
    </row>
    <row r="2088" spans="1:13" ht="16">
      <c r="A2088" s="101" t="str">
        <f t="shared" si="1"/>
        <v>-</v>
      </c>
      <c r="B2088" s="48"/>
      <c r="C2088" s="53"/>
      <c r="D2088" s="49"/>
      <c r="E2088" s="71"/>
      <c r="F2088" s="46"/>
      <c r="G2088" s="72"/>
      <c r="H2088" s="46"/>
      <c r="I2088" s="53" t="str">
        <f ca="1"/>
        <v>退会済</v>
      </c>
      <c r="J2088" s="113"/>
      <c r="K2088" s="49" t="s">
        <v>50</v>
      </c>
      <c r="M2088" s="107" t="s">
        <v>52</v>
      </c>
    </row>
    <row r="2089" spans="1:13" ht="16">
      <c r="A2089" s="101" t="str">
        <f t="shared" si="1"/>
        <v>-</v>
      </c>
      <c r="B2089" s="48"/>
      <c r="C2089" s="53"/>
      <c r="D2089" s="49"/>
      <c r="E2089" s="71"/>
      <c r="F2089" s="46"/>
      <c r="G2089" s="72"/>
      <c r="H2089" s="46"/>
      <c r="I2089" s="53" t="str">
        <f ca="1"/>
        <v>退会済</v>
      </c>
      <c r="J2089" s="113"/>
      <c r="K2089" s="49" t="s">
        <v>50</v>
      </c>
      <c r="M2089" s="107" t="s">
        <v>52</v>
      </c>
    </row>
    <row r="2090" spans="1:13" ht="16">
      <c r="A2090" s="101" t="str">
        <f t="shared" si="1"/>
        <v>-</v>
      </c>
      <c r="B2090" s="48"/>
      <c r="C2090" s="53"/>
      <c r="D2090" s="49"/>
      <c r="E2090" s="71"/>
      <c r="F2090" s="46"/>
      <c r="G2090" s="72"/>
      <c r="H2090" s="46"/>
      <c r="I2090" s="53" t="str">
        <f ca="1"/>
        <v>退会済</v>
      </c>
      <c r="J2090" s="113"/>
      <c r="K2090" s="49" t="s">
        <v>50</v>
      </c>
      <c r="M2090" s="107" t="s">
        <v>52</v>
      </c>
    </row>
    <row r="2091" spans="1:13" ht="16">
      <c r="A2091" s="101" t="str">
        <f t="shared" si="1"/>
        <v>-</v>
      </c>
      <c r="B2091" s="48"/>
      <c r="C2091" s="53"/>
      <c r="D2091" s="49"/>
      <c r="E2091" s="71"/>
      <c r="F2091" s="46"/>
      <c r="G2091" s="72"/>
      <c r="H2091" s="46"/>
      <c r="I2091" s="53" t="str">
        <f ca="1"/>
        <v>退会済</v>
      </c>
      <c r="J2091" s="113"/>
      <c r="K2091" s="49" t="s">
        <v>50</v>
      </c>
      <c r="M2091" s="107" t="s">
        <v>52</v>
      </c>
    </row>
    <row r="2092" spans="1:13" ht="16">
      <c r="A2092" s="101" t="str">
        <f t="shared" si="1"/>
        <v>-</v>
      </c>
      <c r="B2092" s="48"/>
      <c r="C2092" s="53"/>
      <c r="D2092" s="49"/>
      <c r="E2092" s="71"/>
      <c r="F2092" s="46"/>
      <c r="G2092" s="72"/>
      <c r="H2092" s="46"/>
      <c r="I2092" s="53" t="str">
        <f ca="1"/>
        <v>退会済</v>
      </c>
      <c r="J2092" s="113"/>
      <c r="K2092" s="49" t="s">
        <v>50</v>
      </c>
      <c r="M2092" s="107" t="s">
        <v>52</v>
      </c>
    </row>
    <row r="2093" spans="1:13" ht="16">
      <c r="A2093" s="101" t="str">
        <f t="shared" si="1"/>
        <v>-</v>
      </c>
      <c r="B2093" s="48"/>
      <c r="C2093" s="53"/>
      <c r="D2093" s="49"/>
      <c r="E2093" s="71"/>
      <c r="F2093" s="46"/>
      <c r="G2093" s="72"/>
      <c r="H2093" s="46"/>
      <c r="I2093" s="53" t="str">
        <f ca="1"/>
        <v>退会済</v>
      </c>
      <c r="J2093" s="113"/>
      <c r="K2093" s="49" t="s">
        <v>50</v>
      </c>
      <c r="M2093" s="107" t="s">
        <v>52</v>
      </c>
    </row>
    <row r="2094" spans="1:13" ht="16">
      <c r="A2094" s="101" t="str">
        <f t="shared" si="1"/>
        <v>-</v>
      </c>
      <c r="B2094" s="48"/>
      <c r="C2094" s="53"/>
      <c r="D2094" s="49"/>
      <c r="E2094" s="71"/>
      <c r="F2094" s="46"/>
      <c r="G2094" s="72"/>
      <c r="H2094" s="46"/>
      <c r="I2094" s="53" t="str">
        <f ca="1"/>
        <v>退会済</v>
      </c>
      <c r="J2094" s="113"/>
      <c r="K2094" s="49" t="s">
        <v>50</v>
      </c>
      <c r="M2094" s="107" t="s">
        <v>52</v>
      </c>
    </row>
    <row r="2095" spans="1:13" ht="16">
      <c r="A2095" s="101" t="str">
        <f t="shared" si="1"/>
        <v>-</v>
      </c>
      <c r="B2095" s="48"/>
      <c r="C2095" s="53"/>
      <c r="D2095" s="49"/>
      <c r="E2095" s="71"/>
      <c r="F2095" s="46"/>
      <c r="G2095" s="72"/>
      <c r="H2095" s="46"/>
      <c r="I2095" s="53" t="str">
        <f ca="1"/>
        <v>退会済</v>
      </c>
      <c r="J2095" s="113"/>
      <c r="K2095" s="49" t="s">
        <v>50</v>
      </c>
      <c r="M2095" s="107" t="s">
        <v>52</v>
      </c>
    </row>
    <row r="2096" spans="1:13" ht="16">
      <c r="A2096" s="101" t="str">
        <f t="shared" si="1"/>
        <v>-</v>
      </c>
      <c r="B2096" s="48"/>
      <c r="C2096" s="53"/>
      <c r="D2096" s="49"/>
      <c r="E2096" s="71"/>
      <c r="F2096" s="46"/>
      <c r="G2096" s="72"/>
      <c r="H2096" s="46"/>
      <c r="I2096" s="53" t="str">
        <f ca="1"/>
        <v>退会済</v>
      </c>
      <c r="J2096" s="113"/>
      <c r="K2096" s="49" t="s">
        <v>50</v>
      </c>
      <c r="M2096" s="107" t="s">
        <v>52</v>
      </c>
    </row>
    <row r="2097" spans="1:13" ht="16">
      <c r="A2097" s="101" t="str">
        <f t="shared" si="1"/>
        <v>-</v>
      </c>
      <c r="B2097" s="48"/>
      <c r="C2097" s="53"/>
      <c r="D2097" s="49"/>
      <c r="E2097" s="71"/>
      <c r="F2097" s="46"/>
      <c r="G2097" s="72"/>
      <c r="H2097" s="46"/>
      <c r="I2097" s="53" t="str">
        <f ca="1"/>
        <v>退会済</v>
      </c>
      <c r="J2097" s="113"/>
      <c r="K2097" s="49" t="s">
        <v>50</v>
      </c>
      <c r="M2097" s="107" t="s">
        <v>52</v>
      </c>
    </row>
    <row r="2098" spans="1:13" ht="16">
      <c r="A2098" s="101" t="str">
        <f t="shared" si="1"/>
        <v>-</v>
      </c>
      <c r="B2098" s="48"/>
      <c r="C2098" s="53"/>
      <c r="D2098" s="49"/>
      <c r="E2098" s="71"/>
      <c r="F2098" s="46"/>
      <c r="G2098" s="72"/>
      <c r="H2098" s="46"/>
      <c r="I2098" s="53" t="str">
        <f ca="1"/>
        <v>退会済</v>
      </c>
      <c r="J2098" s="113"/>
      <c r="K2098" s="49" t="s">
        <v>50</v>
      </c>
      <c r="M2098" s="107" t="s">
        <v>52</v>
      </c>
    </row>
    <row r="2099" spans="1:13" ht="16">
      <c r="A2099" s="101" t="str">
        <f t="shared" si="1"/>
        <v>-</v>
      </c>
      <c r="B2099" s="48"/>
      <c r="C2099" s="53"/>
      <c r="D2099" s="49"/>
      <c r="E2099" s="71"/>
      <c r="F2099" s="46"/>
      <c r="G2099" s="72"/>
      <c r="H2099" s="46"/>
      <c r="I2099" s="53" t="str">
        <f ca="1"/>
        <v>退会済</v>
      </c>
      <c r="J2099" s="113"/>
      <c r="K2099" s="49" t="s">
        <v>50</v>
      </c>
      <c r="M2099" s="107" t="s">
        <v>52</v>
      </c>
    </row>
    <row r="2100" spans="1:13" ht="16">
      <c r="A2100" s="101" t="str">
        <f t="shared" si="1"/>
        <v>-</v>
      </c>
      <c r="B2100" s="48"/>
      <c r="C2100" s="53"/>
      <c r="D2100" s="49"/>
      <c r="E2100" s="71"/>
      <c r="F2100" s="46"/>
      <c r="G2100" s="72"/>
      <c r="H2100" s="46"/>
      <c r="I2100" s="53" t="str">
        <f ca="1"/>
        <v>退会済</v>
      </c>
      <c r="J2100" s="113"/>
      <c r="K2100" s="49" t="s">
        <v>50</v>
      </c>
      <c r="M2100" s="107" t="s">
        <v>52</v>
      </c>
    </row>
    <row r="2101" spans="1:13" ht="16">
      <c r="A2101" s="101" t="str">
        <f t="shared" si="1"/>
        <v>-</v>
      </c>
      <c r="B2101" s="48"/>
      <c r="C2101" s="53"/>
      <c r="D2101" s="49"/>
      <c r="E2101" s="71"/>
      <c r="F2101" s="46"/>
      <c r="G2101" s="72"/>
      <c r="H2101" s="46"/>
      <c r="I2101" s="53" t="str">
        <f ca="1"/>
        <v>退会済</v>
      </c>
      <c r="J2101" s="113"/>
      <c r="K2101" s="49" t="s">
        <v>50</v>
      </c>
      <c r="M2101" s="107" t="s">
        <v>52</v>
      </c>
    </row>
    <row r="2102" spans="1:13" ht="16">
      <c r="A2102" s="101" t="str">
        <f t="shared" si="1"/>
        <v>-</v>
      </c>
      <c r="B2102" s="48"/>
      <c r="C2102" s="53"/>
      <c r="D2102" s="49"/>
      <c r="E2102" s="71"/>
      <c r="F2102" s="46"/>
      <c r="G2102" s="72"/>
      <c r="H2102" s="46"/>
      <c r="I2102" s="53" t="str">
        <f ca="1"/>
        <v>退会済</v>
      </c>
      <c r="J2102" s="113"/>
      <c r="K2102" s="49" t="s">
        <v>50</v>
      </c>
      <c r="M2102" s="107" t="s">
        <v>52</v>
      </c>
    </row>
    <row r="2103" spans="1:13" ht="16">
      <c r="A2103" s="101" t="str">
        <f t="shared" si="1"/>
        <v>-</v>
      </c>
      <c r="B2103" s="48"/>
      <c r="C2103" s="53"/>
      <c r="D2103" s="49"/>
      <c r="E2103" s="71"/>
      <c r="F2103" s="46"/>
      <c r="G2103" s="72"/>
      <c r="H2103" s="46"/>
      <c r="I2103" s="53" t="str">
        <f ca="1"/>
        <v>退会済</v>
      </c>
      <c r="J2103" s="113"/>
      <c r="K2103" s="49" t="s">
        <v>50</v>
      </c>
      <c r="M2103" s="107" t="s">
        <v>52</v>
      </c>
    </row>
    <row r="2104" spans="1:13" ht="16">
      <c r="A2104" s="101" t="str">
        <f t="shared" si="1"/>
        <v>-</v>
      </c>
      <c r="B2104" s="48"/>
      <c r="C2104" s="53"/>
      <c r="D2104" s="49"/>
      <c r="E2104" s="71"/>
      <c r="F2104" s="46"/>
      <c r="G2104" s="72"/>
      <c r="H2104" s="46"/>
      <c r="I2104" s="53" t="str">
        <f ca="1"/>
        <v>退会済</v>
      </c>
      <c r="J2104" s="113"/>
      <c r="K2104" s="49" t="s">
        <v>50</v>
      </c>
      <c r="M2104" s="107" t="s">
        <v>52</v>
      </c>
    </row>
    <row r="2105" spans="1:13" ht="16">
      <c r="A2105" s="101" t="str">
        <f t="shared" si="1"/>
        <v>-</v>
      </c>
      <c r="B2105" s="48"/>
      <c r="C2105" s="53"/>
      <c r="D2105" s="49"/>
      <c r="E2105" s="71"/>
      <c r="F2105" s="46"/>
      <c r="G2105" s="72"/>
      <c r="H2105" s="46"/>
      <c r="I2105" s="53" t="str">
        <f ca="1"/>
        <v>退会済</v>
      </c>
      <c r="J2105" s="113"/>
      <c r="K2105" s="49" t="s">
        <v>50</v>
      </c>
      <c r="M2105" s="107" t="s">
        <v>52</v>
      </c>
    </row>
    <row r="2106" spans="1:13" ht="16">
      <c r="A2106" s="101" t="str">
        <f t="shared" si="1"/>
        <v>-</v>
      </c>
      <c r="B2106" s="48"/>
      <c r="C2106" s="53"/>
      <c r="D2106" s="49"/>
      <c r="E2106" s="71"/>
      <c r="F2106" s="46"/>
      <c r="G2106" s="72"/>
      <c r="H2106" s="46"/>
      <c r="I2106" s="53" t="str">
        <f ca="1"/>
        <v>退会済</v>
      </c>
      <c r="J2106" s="113"/>
      <c r="K2106" s="49" t="s">
        <v>50</v>
      </c>
      <c r="M2106" s="107" t="s">
        <v>52</v>
      </c>
    </row>
    <row r="2107" spans="1:13" ht="16">
      <c r="A2107" s="101" t="str">
        <f t="shared" si="1"/>
        <v>-</v>
      </c>
      <c r="B2107" s="48"/>
      <c r="C2107" s="53"/>
      <c r="D2107" s="49"/>
      <c r="E2107" s="71"/>
      <c r="F2107" s="46"/>
      <c r="G2107" s="72"/>
      <c r="H2107" s="46"/>
      <c r="I2107" s="53" t="str">
        <f ca="1"/>
        <v>退会済</v>
      </c>
      <c r="J2107" s="113"/>
      <c r="K2107" s="49" t="s">
        <v>50</v>
      </c>
      <c r="M2107" s="107" t="s">
        <v>52</v>
      </c>
    </row>
    <row r="2108" spans="1:13" ht="16">
      <c r="A2108" s="101" t="str">
        <f t="shared" si="1"/>
        <v>-</v>
      </c>
      <c r="B2108" s="48"/>
      <c r="C2108" s="53"/>
      <c r="D2108" s="49"/>
      <c r="E2108" s="71"/>
      <c r="F2108" s="46"/>
      <c r="G2108" s="72"/>
      <c r="H2108" s="46"/>
      <c r="I2108" s="53" t="str">
        <f ca="1"/>
        <v>退会済</v>
      </c>
      <c r="J2108" s="113"/>
      <c r="K2108" s="49" t="s">
        <v>50</v>
      </c>
      <c r="M2108" s="107" t="s">
        <v>52</v>
      </c>
    </row>
    <row r="2109" spans="1:13" ht="16">
      <c r="A2109" s="101" t="str">
        <f t="shared" si="1"/>
        <v>-</v>
      </c>
      <c r="B2109" s="48"/>
      <c r="C2109" s="53"/>
      <c r="D2109" s="49"/>
      <c r="E2109" s="71"/>
      <c r="F2109" s="46"/>
      <c r="G2109" s="72"/>
      <c r="H2109" s="46"/>
      <c r="I2109" s="53" t="str">
        <f ca="1"/>
        <v>退会済</v>
      </c>
      <c r="J2109" s="113"/>
      <c r="K2109" s="49" t="s">
        <v>50</v>
      </c>
      <c r="M2109" s="107" t="s">
        <v>52</v>
      </c>
    </row>
    <row r="2110" spans="1:13" ht="16">
      <c r="A2110" s="101" t="str">
        <f t="shared" si="1"/>
        <v>-</v>
      </c>
      <c r="B2110" s="48"/>
      <c r="C2110" s="53"/>
      <c r="D2110" s="49"/>
      <c r="E2110" s="71"/>
      <c r="F2110" s="46"/>
      <c r="G2110" s="72"/>
      <c r="H2110" s="46"/>
      <c r="I2110" s="53" t="str">
        <f ca="1"/>
        <v>退会済</v>
      </c>
      <c r="J2110" s="113"/>
      <c r="K2110" s="49" t="s">
        <v>50</v>
      </c>
      <c r="M2110" s="107" t="s">
        <v>52</v>
      </c>
    </row>
    <row r="2111" spans="1:13" ht="16">
      <c r="A2111" s="101" t="str">
        <f t="shared" si="1"/>
        <v>-</v>
      </c>
      <c r="B2111" s="48"/>
      <c r="C2111" s="53"/>
      <c r="D2111" s="49"/>
      <c r="E2111" s="71"/>
      <c r="F2111" s="46"/>
      <c r="G2111" s="72"/>
      <c r="H2111" s="46"/>
      <c r="I2111" s="53" t="str">
        <f ca="1"/>
        <v>退会済</v>
      </c>
      <c r="J2111" s="113"/>
      <c r="K2111" s="49" t="s">
        <v>50</v>
      </c>
      <c r="M2111" s="107" t="s">
        <v>52</v>
      </c>
    </row>
    <row r="2112" spans="1:13" ht="16">
      <c r="A2112" s="101" t="str">
        <f t="shared" si="1"/>
        <v>-</v>
      </c>
      <c r="B2112" s="48"/>
      <c r="C2112" s="53"/>
      <c r="D2112" s="49"/>
      <c r="E2112" s="71"/>
      <c r="F2112" s="46"/>
      <c r="G2112" s="72"/>
      <c r="H2112" s="46"/>
      <c r="I2112" s="53" t="str">
        <f ca="1"/>
        <v>退会済</v>
      </c>
      <c r="J2112" s="113"/>
      <c r="K2112" s="49" t="s">
        <v>50</v>
      </c>
      <c r="M2112" s="107" t="s">
        <v>52</v>
      </c>
    </row>
    <row r="2113" spans="1:13" ht="16">
      <c r="A2113" s="101" t="str">
        <f t="shared" si="1"/>
        <v>-</v>
      </c>
      <c r="B2113" s="48"/>
      <c r="C2113" s="53"/>
      <c r="D2113" s="49"/>
      <c r="E2113" s="71"/>
      <c r="F2113" s="46"/>
      <c r="G2113" s="72"/>
      <c r="H2113" s="46"/>
      <c r="I2113" s="53" t="str">
        <f ca="1"/>
        <v>退会済</v>
      </c>
      <c r="J2113" s="113"/>
      <c r="K2113" s="49" t="s">
        <v>50</v>
      </c>
      <c r="M2113" s="107" t="s">
        <v>52</v>
      </c>
    </row>
    <row r="2114" spans="1:13" ht="16">
      <c r="A2114" s="101" t="str">
        <f t="shared" si="1"/>
        <v>-</v>
      </c>
      <c r="B2114" s="48"/>
      <c r="C2114" s="53"/>
      <c r="D2114" s="49"/>
      <c r="E2114" s="71"/>
      <c r="F2114" s="46"/>
      <c r="G2114" s="72"/>
      <c r="H2114" s="46"/>
      <c r="I2114" s="53" t="str">
        <f ca="1"/>
        <v>退会済</v>
      </c>
      <c r="J2114" s="113"/>
      <c r="K2114" s="49" t="s">
        <v>50</v>
      </c>
      <c r="M2114" s="107" t="s">
        <v>52</v>
      </c>
    </row>
    <row r="2115" spans="1:13" ht="16">
      <c r="A2115" s="101" t="str">
        <f t="shared" si="1"/>
        <v>-</v>
      </c>
      <c r="B2115" s="48"/>
      <c r="C2115" s="53"/>
      <c r="D2115" s="49"/>
      <c r="E2115" s="71"/>
      <c r="F2115" s="46"/>
      <c r="G2115" s="72"/>
      <c r="H2115" s="46"/>
      <c r="I2115" s="53" t="str">
        <f ca="1"/>
        <v>退会済</v>
      </c>
      <c r="J2115" s="113"/>
      <c r="K2115" s="49" t="s">
        <v>50</v>
      </c>
      <c r="M2115" s="107" t="s">
        <v>52</v>
      </c>
    </row>
    <row r="2116" spans="1:13" ht="16">
      <c r="A2116" s="101" t="str">
        <f t="shared" si="1"/>
        <v>-</v>
      </c>
      <c r="B2116" s="48"/>
      <c r="C2116" s="53"/>
      <c r="D2116" s="49"/>
      <c r="E2116" s="71"/>
      <c r="F2116" s="46"/>
      <c r="G2116" s="72"/>
      <c r="H2116" s="46"/>
      <c r="I2116" s="53" t="str">
        <f ca="1"/>
        <v>退会済</v>
      </c>
      <c r="J2116" s="113"/>
      <c r="K2116" s="49" t="s">
        <v>50</v>
      </c>
      <c r="M2116" s="107" t="s">
        <v>52</v>
      </c>
    </row>
    <row r="2117" spans="1:13" ht="16">
      <c r="A2117" s="101" t="str">
        <f t="shared" si="1"/>
        <v>-</v>
      </c>
      <c r="B2117" s="48"/>
      <c r="C2117" s="53"/>
      <c r="D2117" s="49"/>
      <c r="E2117" s="71"/>
      <c r="F2117" s="46"/>
      <c r="G2117" s="72"/>
      <c r="H2117" s="46"/>
      <c r="I2117" s="53" t="str">
        <f ca="1"/>
        <v>退会済</v>
      </c>
      <c r="J2117" s="113"/>
      <c r="K2117" s="49" t="s">
        <v>50</v>
      </c>
      <c r="M2117" s="107" t="s">
        <v>52</v>
      </c>
    </row>
    <row r="2118" spans="1:13" ht="16">
      <c r="A2118" s="101" t="str">
        <f t="shared" si="1"/>
        <v>-</v>
      </c>
      <c r="B2118" s="48"/>
      <c r="C2118" s="53"/>
      <c r="D2118" s="49"/>
      <c r="E2118" s="71"/>
      <c r="F2118" s="46"/>
      <c r="G2118" s="72"/>
      <c r="H2118" s="46"/>
      <c r="I2118" s="53" t="str">
        <f ca="1"/>
        <v>退会済</v>
      </c>
      <c r="J2118" s="113"/>
      <c r="K2118" s="49" t="s">
        <v>50</v>
      </c>
      <c r="M2118" s="107" t="s">
        <v>52</v>
      </c>
    </row>
    <row r="2119" spans="1:13" ht="16">
      <c r="A2119" s="101" t="str">
        <f t="shared" si="1"/>
        <v>-</v>
      </c>
      <c r="B2119" s="48"/>
      <c r="C2119" s="53"/>
      <c r="D2119" s="49"/>
      <c r="E2119" s="71"/>
      <c r="F2119" s="46"/>
      <c r="G2119" s="72"/>
      <c r="H2119" s="46"/>
      <c r="I2119" s="53" t="str">
        <f ca="1"/>
        <v>退会済</v>
      </c>
      <c r="J2119" s="113"/>
      <c r="K2119" s="49" t="s">
        <v>50</v>
      </c>
      <c r="M2119" s="107" t="s">
        <v>52</v>
      </c>
    </row>
    <row r="2120" spans="1:13" ht="16">
      <c r="A2120" s="101" t="str">
        <f t="shared" si="1"/>
        <v>-</v>
      </c>
      <c r="B2120" s="48"/>
      <c r="C2120" s="53"/>
      <c r="D2120" s="49"/>
      <c r="E2120" s="71"/>
      <c r="F2120" s="46"/>
      <c r="G2120" s="72"/>
      <c r="H2120" s="46"/>
      <c r="I2120" s="53" t="str">
        <f ca="1"/>
        <v>退会済</v>
      </c>
      <c r="J2120" s="113"/>
      <c r="K2120" s="49" t="s">
        <v>50</v>
      </c>
      <c r="M2120" s="107" t="s">
        <v>52</v>
      </c>
    </row>
    <row r="2121" spans="1:13" ht="16">
      <c r="A2121" s="101" t="str">
        <f t="shared" si="1"/>
        <v>-</v>
      </c>
      <c r="B2121" s="48"/>
      <c r="C2121" s="53"/>
      <c r="D2121" s="49"/>
      <c r="E2121" s="71"/>
      <c r="F2121" s="46"/>
      <c r="G2121" s="72"/>
      <c r="H2121" s="46"/>
      <c r="I2121" s="53" t="str">
        <f ca="1"/>
        <v>退会済</v>
      </c>
      <c r="J2121" s="113"/>
      <c r="K2121" s="49" t="s">
        <v>50</v>
      </c>
      <c r="M2121" s="107" t="s">
        <v>52</v>
      </c>
    </row>
    <row r="2122" spans="1:13" ht="16">
      <c r="A2122" s="101" t="str">
        <f t="shared" si="1"/>
        <v>-</v>
      </c>
      <c r="B2122" s="48"/>
      <c r="C2122" s="53"/>
      <c r="D2122" s="49"/>
      <c r="E2122" s="71"/>
      <c r="F2122" s="46"/>
      <c r="G2122" s="72"/>
      <c r="H2122" s="46"/>
      <c r="I2122" s="53" t="str">
        <f ca="1"/>
        <v>退会済</v>
      </c>
      <c r="J2122" s="113"/>
      <c r="K2122" s="49" t="s">
        <v>50</v>
      </c>
      <c r="M2122" s="107" t="s">
        <v>52</v>
      </c>
    </row>
    <row r="2123" spans="1:13" ht="16">
      <c r="A2123" s="101" t="str">
        <f t="shared" si="1"/>
        <v>-</v>
      </c>
      <c r="B2123" s="48"/>
      <c r="C2123" s="53"/>
      <c r="D2123" s="49"/>
      <c r="E2123" s="71"/>
      <c r="F2123" s="46"/>
      <c r="G2123" s="72"/>
      <c r="H2123" s="46"/>
      <c r="I2123" s="53" t="str">
        <f ca="1"/>
        <v>退会済</v>
      </c>
      <c r="J2123" s="113"/>
      <c r="K2123" s="49" t="s">
        <v>50</v>
      </c>
      <c r="M2123" s="107" t="s">
        <v>52</v>
      </c>
    </row>
    <row r="2124" spans="1:13" ht="16">
      <c r="A2124" s="101" t="str">
        <f t="shared" si="1"/>
        <v>-</v>
      </c>
      <c r="B2124" s="48"/>
      <c r="C2124" s="53"/>
      <c r="D2124" s="49"/>
      <c r="E2124" s="71"/>
      <c r="F2124" s="46"/>
      <c r="G2124" s="72"/>
      <c r="H2124" s="46"/>
      <c r="I2124" s="53" t="str">
        <f ca="1"/>
        <v>退会済</v>
      </c>
      <c r="J2124" s="113"/>
      <c r="K2124" s="49" t="s">
        <v>50</v>
      </c>
      <c r="M2124" s="107" t="s">
        <v>52</v>
      </c>
    </row>
    <row r="2125" spans="1:13" ht="16">
      <c r="A2125" s="101" t="str">
        <f t="shared" si="1"/>
        <v>-</v>
      </c>
      <c r="B2125" s="48"/>
      <c r="C2125" s="53"/>
      <c r="D2125" s="49"/>
      <c r="E2125" s="71"/>
      <c r="F2125" s="46"/>
      <c r="G2125" s="72"/>
      <c r="H2125" s="46"/>
      <c r="I2125" s="53" t="str">
        <f ca="1"/>
        <v>退会済</v>
      </c>
      <c r="J2125" s="113"/>
      <c r="K2125" s="49" t="s">
        <v>50</v>
      </c>
      <c r="M2125" s="107" t="s">
        <v>52</v>
      </c>
    </row>
    <row r="2126" spans="1:13" ht="16">
      <c r="A2126" s="101" t="str">
        <f t="shared" si="1"/>
        <v>-</v>
      </c>
      <c r="B2126" s="48"/>
      <c r="C2126" s="53"/>
      <c r="D2126" s="49"/>
      <c r="E2126" s="71"/>
      <c r="F2126" s="46"/>
      <c r="G2126" s="72"/>
      <c r="H2126" s="46"/>
      <c r="I2126" s="53" t="str">
        <f ca="1"/>
        <v>退会済</v>
      </c>
      <c r="J2126" s="113"/>
      <c r="K2126" s="49" t="s">
        <v>50</v>
      </c>
      <c r="M2126" s="107" t="s">
        <v>52</v>
      </c>
    </row>
    <row r="2127" spans="1:13" ht="16">
      <c r="A2127" s="101" t="str">
        <f t="shared" si="1"/>
        <v>-</v>
      </c>
      <c r="B2127" s="48"/>
      <c r="C2127" s="53"/>
      <c r="D2127" s="49"/>
      <c r="E2127" s="71"/>
      <c r="F2127" s="46"/>
      <c r="G2127" s="72"/>
      <c r="H2127" s="46"/>
      <c r="I2127" s="53" t="str">
        <f ca="1"/>
        <v>退会済</v>
      </c>
      <c r="J2127" s="113"/>
      <c r="K2127" s="49" t="s">
        <v>50</v>
      </c>
      <c r="M2127" s="107" t="s">
        <v>52</v>
      </c>
    </row>
    <row r="2128" spans="1:13" ht="16">
      <c r="A2128" s="101" t="str">
        <f t="shared" si="1"/>
        <v>-</v>
      </c>
      <c r="B2128" s="48"/>
      <c r="C2128" s="53"/>
      <c r="D2128" s="49"/>
      <c r="E2128" s="71"/>
      <c r="F2128" s="46"/>
      <c r="G2128" s="72"/>
      <c r="H2128" s="46"/>
      <c r="I2128" s="53" t="str">
        <f ca="1"/>
        <v>退会済</v>
      </c>
      <c r="J2128" s="113"/>
      <c r="K2128" s="49" t="s">
        <v>50</v>
      </c>
      <c r="M2128" s="107" t="s">
        <v>52</v>
      </c>
    </row>
    <row r="2129" spans="1:13" ht="16">
      <c r="A2129" s="101" t="str">
        <f t="shared" si="1"/>
        <v>-</v>
      </c>
      <c r="B2129" s="48"/>
      <c r="C2129" s="53"/>
      <c r="D2129" s="49"/>
      <c r="E2129" s="71"/>
      <c r="F2129" s="46"/>
      <c r="G2129" s="72"/>
      <c r="H2129" s="46"/>
      <c r="I2129" s="53" t="str">
        <f ca="1"/>
        <v>退会済</v>
      </c>
      <c r="J2129" s="113"/>
      <c r="K2129" s="49" t="s">
        <v>50</v>
      </c>
      <c r="M2129" s="107" t="s">
        <v>52</v>
      </c>
    </row>
    <row r="2130" spans="1:13" ht="16">
      <c r="A2130" s="101" t="str">
        <f t="shared" si="1"/>
        <v>-</v>
      </c>
      <c r="B2130" s="48"/>
      <c r="C2130" s="53"/>
      <c r="D2130" s="49"/>
      <c r="E2130" s="71"/>
      <c r="F2130" s="46"/>
      <c r="G2130" s="72"/>
      <c r="H2130" s="46"/>
      <c r="I2130" s="53" t="str">
        <f ca="1"/>
        <v>退会済</v>
      </c>
      <c r="J2130" s="113"/>
      <c r="K2130" s="49" t="s">
        <v>50</v>
      </c>
      <c r="M2130" s="107" t="s">
        <v>52</v>
      </c>
    </row>
    <row r="2131" spans="1:13" ht="16">
      <c r="A2131" s="101" t="str">
        <f t="shared" si="1"/>
        <v>-</v>
      </c>
      <c r="B2131" s="48"/>
      <c r="C2131" s="53"/>
      <c r="D2131" s="49"/>
      <c r="E2131" s="71"/>
      <c r="F2131" s="46"/>
      <c r="G2131" s="72"/>
      <c r="H2131" s="46"/>
      <c r="I2131" s="53" t="str">
        <f ca="1"/>
        <v>退会済</v>
      </c>
      <c r="J2131" s="113"/>
      <c r="K2131" s="49" t="s">
        <v>50</v>
      </c>
      <c r="M2131" s="107" t="s">
        <v>52</v>
      </c>
    </row>
    <row r="2132" spans="1:13" ht="16">
      <c r="A2132" s="101" t="str">
        <f t="shared" si="1"/>
        <v>-</v>
      </c>
      <c r="B2132" s="48"/>
      <c r="C2132" s="53"/>
      <c r="D2132" s="49"/>
      <c r="E2132" s="71"/>
      <c r="F2132" s="46"/>
      <c r="G2132" s="72"/>
      <c r="H2132" s="46"/>
      <c r="I2132" s="53" t="str">
        <f ca="1"/>
        <v>退会済</v>
      </c>
      <c r="J2132" s="113"/>
      <c r="K2132" s="49" t="s">
        <v>50</v>
      </c>
      <c r="M2132" s="107" t="s">
        <v>52</v>
      </c>
    </row>
    <row r="2133" spans="1:13" ht="16">
      <c r="A2133" s="101" t="str">
        <f t="shared" si="1"/>
        <v>-</v>
      </c>
      <c r="B2133" s="48"/>
      <c r="C2133" s="53"/>
      <c r="D2133" s="49"/>
      <c r="E2133" s="71"/>
      <c r="F2133" s="46"/>
      <c r="G2133" s="72"/>
      <c r="H2133" s="46"/>
      <c r="I2133" s="53" t="str">
        <f ca="1"/>
        <v>退会済</v>
      </c>
      <c r="J2133" s="113"/>
      <c r="K2133" s="49" t="s">
        <v>50</v>
      </c>
      <c r="M2133" s="107" t="s">
        <v>52</v>
      </c>
    </row>
    <row r="2134" spans="1:13" ht="16">
      <c r="A2134" s="101" t="str">
        <f t="shared" si="1"/>
        <v>-</v>
      </c>
      <c r="B2134" s="48"/>
      <c r="C2134" s="53"/>
      <c r="D2134" s="49"/>
      <c r="E2134" s="71"/>
      <c r="F2134" s="46"/>
      <c r="G2134" s="72"/>
      <c r="H2134" s="46"/>
      <c r="I2134" s="53" t="str">
        <f ca="1"/>
        <v>退会済</v>
      </c>
      <c r="J2134" s="113"/>
      <c r="K2134" s="49" t="s">
        <v>50</v>
      </c>
      <c r="M2134" s="107" t="s">
        <v>52</v>
      </c>
    </row>
    <row r="2135" spans="1:13" ht="16">
      <c r="A2135" s="101" t="str">
        <f t="shared" si="1"/>
        <v>-</v>
      </c>
      <c r="B2135" s="48"/>
      <c r="C2135" s="53"/>
      <c r="D2135" s="49"/>
      <c r="E2135" s="71"/>
      <c r="F2135" s="46"/>
      <c r="G2135" s="72"/>
      <c r="H2135" s="46"/>
      <c r="I2135" s="53" t="str">
        <f ca="1"/>
        <v>退会済</v>
      </c>
      <c r="J2135" s="113"/>
      <c r="K2135" s="49" t="s">
        <v>50</v>
      </c>
      <c r="M2135" s="107" t="s">
        <v>52</v>
      </c>
    </row>
    <row r="2136" spans="1:13" ht="16">
      <c r="A2136" s="101" t="str">
        <f t="shared" si="1"/>
        <v>-</v>
      </c>
      <c r="B2136" s="48"/>
      <c r="C2136" s="53"/>
      <c r="D2136" s="49"/>
      <c r="E2136" s="71"/>
      <c r="F2136" s="46"/>
      <c r="G2136" s="72"/>
      <c r="H2136" s="46"/>
      <c r="I2136" s="53" t="str">
        <f ca="1"/>
        <v>退会済</v>
      </c>
      <c r="J2136" s="113"/>
      <c r="K2136" s="49" t="s">
        <v>50</v>
      </c>
      <c r="M2136" s="107" t="s">
        <v>52</v>
      </c>
    </row>
    <row r="2137" spans="1:13" ht="16">
      <c r="A2137" s="101" t="str">
        <f t="shared" si="1"/>
        <v>-</v>
      </c>
      <c r="B2137" s="48"/>
      <c r="C2137" s="53"/>
      <c r="D2137" s="49"/>
      <c r="E2137" s="71"/>
      <c r="F2137" s="46"/>
      <c r="G2137" s="72"/>
      <c r="H2137" s="46"/>
      <c r="I2137" s="53" t="str">
        <f ca="1"/>
        <v>退会済</v>
      </c>
      <c r="J2137" s="113"/>
      <c r="K2137" s="49" t="s">
        <v>50</v>
      </c>
      <c r="M2137" s="107" t="s">
        <v>52</v>
      </c>
    </row>
    <row r="2138" spans="1:13" ht="16">
      <c r="A2138" s="101" t="str">
        <f t="shared" si="1"/>
        <v>-</v>
      </c>
      <c r="B2138" s="48"/>
      <c r="C2138" s="53"/>
      <c r="D2138" s="49"/>
      <c r="E2138" s="71"/>
      <c r="F2138" s="46"/>
      <c r="G2138" s="72"/>
      <c r="H2138" s="46"/>
      <c r="I2138" s="53" t="str">
        <f ca="1"/>
        <v>退会済</v>
      </c>
      <c r="J2138" s="113"/>
      <c r="K2138" s="49" t="s">
        <v>50</v>
      </c>
      <c r="M2138" s="107" t="s">
        <v>52</v>
      </c>
    </row>
    <row r="2139" spans="1:13" ht="16">
      <c r="A2139" s="101" t="str">
        <f t="shared" si="1"/>
        <v>-</v>
      </c>
      <c r="B2139" s="48"/>
      <c r="C2139" s="53"/>
      <c r="D2139" s="49"/>
      <c r="E2139" s="71"/>
      <c r="F2139" s="46"/>
      <c r="G2139" s="72"/>
      <c r="H2139" s="46"/>
      <c r="I2139" s="53" t="str">
        <f ca="1"/>
        <v>退会済</v>
      </c>
      <c r="J2139" s="113"/>
      <c r="K2139" s="49" t="s">
        <v>50</v>
      </c>
      <c r="M2139" s="107" t="s">
        <v>52</v>
      </c>
    </row>
    <row r="2140" spans="1:13" ht="16">
      <c r="A2140" s="101" t="str">
        <f t="shared" si="1"/>
        <v>-</v>
      </c>
      <c r="B2140" s="48"/>
      <c r="C2140" s="53"/>
      <c r="D2140" s="49"/>
      <c r="E2140" s="71"/>
      <c r="F2140" s="46"/>
      <c r="G2140" s="72"/>
      <c r="H2140" s="46"/>
      <c r="I2140" s="53" t="str">
        <f ca="1"/>
        <v>退会済</v>
      </c>
      <c r="J2140" s="113"/>
      <c r="K2140" s="49" t="s">
        <v>50</v>
      </c>
      <c r="M2140" s="107" t="s">
        <v>52</v>
      </c>
    </row>
    <row r="2141" spans="1:13" ht="16">
      <c r="A2141" s="101" t="str">
        <f t="shared" si="1"/>
        <v>-</v>
      </c>
      <c r="B2141" s="48"/>
      <c r="C2141" s="53"/>
      <c r="D2141" s="49"/>
      <c r="E2141" s="71"/>
      <c r="F2141" s="46"/>
      <c r="G2141" s="72"/>
      <c r="H2141" s="46"/>
      <c r="I2141" s="53" t="str">
        <f ca="1"/>
        <v>退会済</v>
      </c>
      <c r="J2141" s="113"/>
      <c r="K2141" s="49" t="s">
        <v>50</v>
      </c>
      <c r="M2141" s="107" t="s">
        <v>52</v>
      </c>
    </row>
    <row r="2142" spans="1:13" ht="16">
      <c r="A2142" s="101" t="str">
        <f t="shared" si="1"/>
        <v>-</v>
      </c>
      <c r="B2142" s="48"/>
      <c r="C2142" s="53"/>
      <c r="D2142" s="49"/>
      <c r="E2142" s="71"/>
      <c r="F2142" s="46"/>
      <c r="G2142" s="72"/>
      <c r="H2142" s="46"/>
      <c r="I2142" s="53" t="str">
        <f ca="1"/>
        <v>退会済</v>
      </c>
      <c r="J2142" s="113"/>
      <c r="K2142" s="49" t="s">
        <v>50</v>
      </c>
      <c r="M2142" s="107" t="s">
        <v>52</v>
      </c>
    </row>
    <row r="2143" spans="1:13" ht="16">
      <c r="A2143" s="101" t="str">
        <f t="shared" si="1"/>
        <v>-</v>
      </c>
      <c r="B2143" s="48"/>
      <c r="C2143" s="53"/>
      <c r="D2143" s="49"/>
      <c r="E2143" s="71"/>
      <c r="F2143" s="46"/>
      <c r="G2143" s="72"/>
      <c r="H2143" s="46"/>
      <c r="I2143" s="53" t="str">
        <f ca="1"/>
        <v>退会済</v>
      </c>
      <c r="J2143" s="113"/>
      <c r="K2143" s="49" t="s">
        <v>50</v>
      </c>
      <c r="M2143" s="107" t="s">
        <v>52</v>
      </c>
    </row>
    <row r="2144" spans="1:13" ht="16">
      <c r="A2144" s="101" t="str">
        <f t="shared" si="1"/>
        <v>-</v>
      </c>
      <c r="B2144" s="48"/>
      <c r="C2144" s="53"/>
      <c r="D2144" s="49"/>
      <c r="E2144" s="71"/>
      <c r="F2144" s="46"/>
      <c r="G2144" s="72"/>
      <c r="H2144" s="46"/>
      <c r="I2144" s="53" t="str">
        <f ca="1"/>
        <v>退会済</v>
      </c>
      <c r="J2144" s="113"/>
      <c r="K2144" s="49" t="s">
        <v>50</v>
      </c>
      <c r="M2144" s="107" t="s">
        <v>52</v>
      </c>
    </row>
    <row r="2145" spans="1:13" ht="16">
      <c r="A2145" s="101" t="str">
        <f t="shared" si="1"/>
        <v>-</v>
      </c>
      <c r="B2145" s="48"/>
      <c r="C2145" s="53"/>
      <c r="D2145" s="49"/>
      <c r="E2145" s="71"/>
      <c r="F2145" s="46"/>
      <c r="G2145" s="72"/>
      <c r="H2145" s="46"/>
      <c r="I2145" s="53" t="str">
        <f ca="1"/>
        <v>退会済</v>
      </c>
      <c r="J2145" s="113"/>
      <c r="K2145" s="49" t="s">
        <v>50</v>
      </c>
      <c r="M2145" s="107" t="s">
        <v>52</v>
      </c>
    </row>
    <row r="2146" spans="1:13" ht="16">
      <c r="A2146" s="101" t="str">
        <f t="shared" si="1"/>
        <v>-</v>
      </c>
      <c r="B2146" s="48"/>
      <c r="C2146" s="53"/>
      <c r="D2146" s="49"/>
      <c r="E2146" s="71"/>
      <c r="F2146" s="46"/>
      <c r="G2146" s="72"/>
      <c r="H2146" s="46"/>
      <c r="I2146" s="53" t="str">
        <f ca="1"/>
        <v>退会済</v>
      </c>
      <c r="J2146" s="113"/>
      <c r="K2146" s="49" t="s">
        <v>50</v>
      </c>
      <c r="M2146" s="107" t="s">
        <v>52</v>
      </c>
    </row>
    <row r="2147" spans="1:13" ht="16">
      <c r="A2147" s="101" t="str">
        <f t="shared" si="1"/>
        <v>-</v>
      </c>
      <c r="B2147" s="48"/>
      <c r="C2147" s="53"/>
      <c r="D2147" s="49"/>
      <c r="E2147" s="71"/>
      <c r="F2147" s="46"/>
      <c r="G2147" s="72"/>
      <c r="H2147" s="46"/>
      <c r="I2147" s="53" t="str">
        <f ca="1"/>
        <v>退会済</v>
      </c>
      <c r="J2147" s="113"/>
      <c r="K2147" s="49" t="s">
        <v>50</v>
      </c>
      <c r="M2147" s="107" t="s">
        <v>52</v>
      </c>
    </row>
    <row r="2148" spans="1:13" ht="16">
      <c r="A2148" s="101" t="str">
        <f t="shared" si="1"/>
        <v>-</v>
      </c>
      <c r="B2148" s="48"/>
      <c r="C2148" s="53"/>
      <c r="D2148" s="49"/>
      <c r="E2148" s="71"/>
      <c r="F2148" s="46"/>
      <c r="G2148" s="72"/>
      <c r="H2148" s="46"/>
      <c r="I2148" s="53" t="str">
        <f ca="1"/>
        <v>退会済</v>
      </c>
      <c r="J2148" s="113"/>
      <c r="K2148" s="49" t="s">
        <v>50</v>
      </c>
      <c r="M2148" s="107" t="s">
        <v>52</v>
      </c>
    </row>
    <row r="2149" spans="1:13" ht="16">
      <c r="A2149" s="101" t="str">
        <f t="shared" si="1"/>
        <v>-</v>
      </c>
      <c r="B2149" s="48"/>
      <c r="C2149" s="53"/>
      <c r="D2149" s="49"/>
      <c r="E2149" s="71"/>
      <c r="F2149" s="46"/>
      <c r="G2149" s="72"/>
      <c r="H2149" s="46"/>
      <c r="I2149" s="53" t="str">
        <f ca="1"/>
        <v>退会済</v>
      </c>
      <c r="J2149" s="113"/>
      <c r="K2149" s="49" t="s">
        <v>50</v>
      </c>
      <c r="M2149" s="107" t="s">
        <v>52</v>
      </c>
    </row>
    <row r="2150" spans="1:13" ht="16">
      <c r="A2150" s="101" t="str">
        <f t="shared" si="1"/>
        <v>-</v>
      </c>
      <c r="B2150" s="48"/>
      <c r="C2150" s="53"/>
      <c r="D2150" s="49"/>
      <c r="E2150" s="71"/>
      <c r="F2150" s="46"/>
      <c r="G2150" s="72"/>
      <c r="H2150" s="46"/>
      <c r="I2150" s="53" t="str">
        <f ca="1"/>
        <v>退会済</v>
      </c>
      <c r="J2150" s="113"/>
      <c r="K2150" s="49" t="s">
        <v>50</v>
      </c>
      <c r="M2150" s="107" t="s">
        <v>52</v>
      </c>
    </row>
    <row r="2151" spans="1:13" ht="16">
      <c r="A2151" s="101" t="str">
        <f t="shared" si="1"/>
        <v>-</v>
      </c>
      <c r="B2151" s="48"/>
      <c r="C2151" s="53"/>
      <c r="D2151" s="49"/>
      <c r="E2151" s="71"/>
      <c r="F2151" s="46"/>
      <c r="G2151" s="72"/>
      <c r="H2151" s="46"/>
      <c r="I2151" s="53" t="str">
        <f ca="1"/>
        <v>退会済</v>
      </c>
      <c r="J2151" s="113"/>
      <c r="K2151" s="49" t="s">
        <v>50</v>
      </c>
      <c r="M2151" s="107" t="s">
        <v>52</v>
      </c>
    </row>
    <row r="2152" spans="1:13" ht="16">
      <c r="A2152" s="101" t="str">
        <f t="shared" si="1"/>
        <v>-</v>
      </c>
      <c r="B2152" s="48"/>
      <c r="C2152" s="53"/>
      <c r="D2152" s="49"/>
      <c r="E2152" s="71"/>
      <c r="F2152" s="46"/>
      <c r="G2152" s="72"/>
      <c r="H2152" s="46"/>
      <c r="I2152" s="53" t="str">
        <f ca="1"/>
        <v>退会済</v>
      </c>
      <c r="J2152" s="113"/>
      <c r="K2152" s="49" t="s">
        <v>50</v>
      </c>
      <c r="M2152" s="107" t="s">
        <v>52</v>
      </c>
    </row>
    <row r="2153" spans="1:13" ht="16">
      <c r="A2153" s="101" t="str">
        <f t="shared" si="1"/>
        <v>-</v>
      </c>
      <c r="B2153" s="48"/>
      <c r="C2153" s="53"/>
      <c r="D2153" s="49"/>
      <c r="E2153" s="71"/>
      <c r="F2153" s="46"/>
      <c r="G2153" s="72"/>
      <c r="H2153" s="46"/>
      <c r="I2153" s="53" t="str">
        <f ca="1"/>
        <v>退会済</v>
      </c>
      <c r="J2153" s="113"/>
      <c r="K2153" s="49" t="s">
        <v>50</v>
      </c>
      <c r="M2153" s="107" t="s">
        <v>52</v>
      </c>
    </row>
    <row r="2154" spans="1:13" ht="16">
      <c r="A2154" s="101" t="str">
        <f t="shared" si="1"/>
        <v>-</v>
      </c>
      <c r="B2154" s="48"/>
      <c r="C2154" s="53"/>
      <c r="D2154" s="49"/>
      <c r="E2154" s="71"/>
      <c r="F2154" s="46"/>
      <c r="G2154" s="72"/>
      <c r="H2154" s="46"/>
      <c r="I2154" s="53" t="str">
        <f ca="1"/>
        <v>退会済</v>
      </c>
      <c r="J2154" s="113"/>
      <c r="K2154" s="49" t="s">
        <v>50</v>
      </c>
      <c r="M2154" s="107" t="s">
        <v>52</v>
      </c>
    </row>
    <row r="2155" spans="1:13" ht="16">
      <c r="A2155" s="101" t="str">
        <f t="shared" si="1"/>
        <v>-</v>
      </c>
      <c r="B2155" s="48"/>
      <c r="C2155" s="53"/>
      <c r="D2155" s="49"/>
      <c r="E2155" s="71"/>
      <c r="F2155" s="46"/>
      <c r="G2155" s="72"/>
      <c r="H2155" s="46"/>
      <c r="I2155" s="53" t="str">
        <f ca="1"/>
        <v>退会済</v>
      </c>
      <c r="J2155" s="113"/>
      <c r="K2155" s="49" t="s">
        <v>50</v>
      </c>
      <c r="M2155" s="107" t="s">
        <v>52</v>
      </c>
    </row>
    <row r="2156" spans="1:13" ht="16">
      <c r="A2156" s="101" t="str">
        <f t="shared" si="1"/>
        <v>-</v>
      </c>
      <c r="B2156" s="48"/>
      <c r="C2156" s="53"/>
      <c r="D2156" s="49"/>
      <c r="E2156" s="71"/>
      <c r="F2156" s="46"/>
      <c r="G2156" s="72"/>
      <c r="H2156" s="46"/>
      <c r="I2156" s="53" t="str">
        <f ca="1"/>
        <v>退会済</v>
      </c>
      <c r="J2156" s="113"/>
      <c r="K2156" s="49" t="s">
        <v>50</v>
      </c>
      <c r="M2156" s="107" t="s">
        <v>52</v>
      </c>
    </row>
    <row r="2157" spans="1:13" ht="16">
      <c r="A2157" s="101" t="str">
        <f t="shared" si="1"/>
        <v>-</v>
      </c>
      <c r="B2157" s="48"/>
      <c r="C2157" s="53"/>
      <c r="D2157" s="49"/>
      <c r="E2157" s="71"/>
      <c r="F2157" s="46"/>
      <c r="G2157" s="72"/>
      <c r="H2157" s="46"/>
      <c r="I2157" s="53" t="str">
        <f ca="1"/>
        <v>退会済</v>
      </c>
      <c r="J2157" s="113"/>
      <c r="K2157" s="49" t="s">
        <v>50</v>
      </c>
      <c r="M2157" s="107" t="s">
        <v>52</v>
      </c>
    </row>
    <row r="2158" spans="1:13" ht="16">
      <c r="A2158" s="101" t="str">
        <f t="shared" si="1"/>
        <v>-</v>
      </c>
      <c r="B2158" s="48"/>
      <c r="C2158" s="53"/>
      <c r="D2158" s="49"/>
      <c r="E2158" s="71"/>
      <c r="F2158" s="46"/>
      <c r="G2158" s="72"/>
      <c r="H2158" s="46"/>
      <c r="I2158" s="53" t="str">
        <f ca="1"/>
        <v>退会済</v>
      </c>
      <c r="J2158" s="113"/>
      <c r="K2158" s="49" t="s">
        <v>50</v>
      </c>
      <c r="M2158" s="107" t="s">
        <v>52</v>
      </c>
    </row>
    <row r="2159" spans="1:13" ht="16">
      <c r="A2159" s="101" t="str">
        <f t="shared" si="1"/>
        <v>-</v>
      </c>
      <c r="B2159" s="48"/>
      <c r="C2159" s="53"/>
      <c r="D2159" s="49"/>
      <c r="E2159" s="71"/>
      <c r="F2159" s="46"/>
      <c r="G2159" s="72"/>
      <c r="H2159" s="46"/>
      <c r="I2159" s="53" t="str">
        <f ca="1"/>
        <v>退会済</v>
      </c>
      <c r="J2159" s="113"/>
      <c r="K2159" s="49" t="s">
        <v>50</v>
      </c>
      <c r="M2159" s="107" t="s">
        <v>52</v>
      </c>
    </row>
    <row r="2160" spans="1:13" ht="16">
      <c r="A2160" s="101" t="str">
        <f t="shared" si="1"/>
        <v>-</v>
      </c>
      <c r="B2160" s="48"/>
      <c r="C2160" s="53"/>
      <c r="D2160" s="49"/>
      <c r="E2160" s="71"/>
      <c r="F2160" s="46"/>
      <c r="G2160" s="72"/>
      <c r="H2160" s="46"/>
      <c r="I2160" s="53" t="str">
        <f ca="1"/>
        <v>退会済</v>
      </c>
      <c r="J2160" s="113"/>
      <c r="K2160" s="49" t="s">
        <v>50</v>
      </c>
      <c r="M2160" s="107" t="s">
        <v>52</v>
      </c>
    </row>
    <row r="2161" spans="1:13" ht="16">
      <c r="A2161" s="101" t="str">
        <f t="shared" si="1"/>
        <v>-</v>
      </c>
      <c r="B2161" s="48"/>
      <c r="C2161" s="53"/>
      <c r="D2161" s="49"/>
      <c r="E2161" s="71"/>
      <c r="F2161" s="46"/>
      <c r="G2161" s="72"/>
      <c r="H2161" s="46"/>
      <c r="I2161" s="53" t="str">
        <f ca="1"/>
        <v>退会済</v>
      </c>
      <c r="J2161" s="113"/>
      <c r="K2161" s="49" t="s">
        <v>50</v>
      </c>
      <c r="M2161" s="107" t="s">
        <v>52</v>
      </c>
    </row>
    <row r="2162" spans="1:13" ht="16">
      <c r="A2162" s="101" t="str">
        <f t="shared" si="1"/>
        <v>-</v>
      </c>
      <c r="B2162" s="48"/>
      <c r="C2162" s="53"/>
      <c r="D2162" s="49"/>
      <c r="E2162" s="71"/>
      <c r="F2162" s="46"/>
      <c r="G2162" s="72"/>
      <c r="H2162" s="46"/>
      <c r="I2162" s="53" t="str">
        <f ca="1"/>
        <v>退会済</v>
      </c>
      <c r="J2162" s="113"/>
      <c r="K2162" s="49" t="s">
        <v>50</v>
      </c>
      <c r="M2162" s="107" t="s">
        <v>52</v>
      </c>
    </row>
    <row r="2163" spans="1:13" ht="16">
      <c r="A2163" s="101" t="str">
        <f t="shared" si="1"/>
        <v>-</v>
      </c>
      <c r="B2163" s="48"/>
      <c r="C2163" s="53"/>
      <c r="D2163" s="49"/>
      <c r="E2163" s="71"/>
      <c r="F2163" s="46"/>
      <c r="G2163" s="72"/>
      <c r="H2163" s="46"/>
      <c r="I2163" s="53" t="str">
        <f ca="1"/>
        <v>退会済</v>
      </c>
      <c r="J2163" s="113"/>
      <c r="K2163" s="49" t="s">
        <v>50</v>
      </c>
      <c r="M2163" s="107" t="s">
        <v>52</v>
      </c>
    </row>
    <row r="2164" spans="1:13" ht="16">
      <c r="A2164" s="101" t="str">
        <f t="shared" si="1"/>
        <v>-</v>
      </c>
      <c r="B2164" s="48"/>
      <c r="C2164" s="53"/>
      <c r="D2164" s="49"/>
      <c r="E2164" s="71"/>
      <c r="F2164" s="46"/>
      <c r="G2164" s="72"/>
      <c r="H2164" s="46"/>
      <c r="I2164" s="53" t="str">
        <f ca="1"/>
        <v>退会済</v>
      </c>
      <c r="J2164" s="113"/>
      <c r="K2164" s="49" t="s">
        <v>50</v>
      </c>
      <c r="M2164" s="107" t="s">
        <v>52</v>
      </c>
    </row>
    <row r="2165" spans="1:13" ht="16">
      <c r="A2165" s="101" t="str">
        <f t="shared" si="1"/>
        <v>-</v>
      </c>
      <c r="B2165" s="48"/>
      <c r="C2165" s="53"/>
      <c r="D2165" s="49"/>
      <c r="E2165" s="71"/>
      <c r="F2165" s="46"/>
      <c r="G2165" s="72"/>
      <c r="H2165" s="46"/>
      <c r="I2165" s="53" t="str">
        <f ca="1"/>
        <v>退会済</v>
      </c>
      <c r="J2165" s="113"/>
      <c r="K2165" s="49" t="s">
        <v>50</v>
      </c>
      <c r="M2165" s="107" t="s">
        <v>52</v>
      </c>
    </row>
    <row r="2166" spans="1:13" ht="16">
      <c r="A2166" s="101" t="str">
        <f t="shared" si="1"/>
        <v>-</v>
      </c>
      <c r="B2166" s="48"/>
      <c r="C2166" s="53"/>
      <c r="D2166" s="49"/>
      <c r="E2166" s="71"/>
      <c r="F2166" s="46"/>
      <c r="G2166" s="72"/>
      <c r="H2166" s="46"/>
      <c r="I2166" s="53" t="str">
        <f ca="1"/>
        <v>退会済</v>
      </c>
      <c r="J2166" s="113"/>
      <c r="K2166" s="49" t="s">
        <v>50</v>
      </c>
      <c r="M2166" s="107" t="s">
        <v>52</v>
      </c>
    </row>
    <row r="2167" spans="1:13" ht="16">
      <c r="A2167" s="101" t="str">
        <f t="shared" si="1"/>
        <v>-</v>
      </c>
      <c r="B2167" s="48"/>
      <c r="C2167" s="53"/>
      <c r="D2167" s="49"/>
      <c r="E2167" s="71"/>
      <c r="F2167" s="46"/>
      <c r="G2167" s="72"/>
      <c r="H2167" s="46"/>
      <c r="I2167" s="53" t="str">
        <f ca="1"/>
        <v>退会済</v>
      </c>
      <c r="J2167" s="113"/>
      <c r="K2167" s="49" t="s">
        <v>50</v>
      </c>
      <c r="M2167" s="107" t="s">
        <v>52</v>
      </c>
    </row>
    <row r="2168" spans="1:13" ht="16">
      <c r="A2168" s="101" t="str">
        <f t="shared" si="1"/>
        <v>-</v>
      </c>
      <c r="B2168" s="48"/>
      <c r="C2168" s="53"/>
      <c r="D2168" s="49"/>
      <c r="E2168" s="71"/>
      <c r="F2168" s="46"/>
      <c r="G2168" s="72"/>
      <c r="H2168" s="46"/>
      <c r="I2168" s="53" t="str">
        <f ca="1"/>
        <v>退会済</v>
      </c>
      <c r="J2168" s="113"/>
      <c r="K2168" s="49" t="s">
        <v>50</v>
      </c>
      <c r="M2168" s="107" t="s">
        <v>52</v>
      </c>
    </row>
    <row r="2169" spans="1:13" ht="16">
      <c r="A2169" s="101" t="str">
        <f t="shared" si="1"/>
        <v>-</v>
      </c>
      <c r="B2169" s="48"/>
      <c r="C2169" s="53"/>
      <c r="D2169" s="49"/>
      <c r="E2169" s="71"/>
      <c r="F2169" s="46"/>
      <c r="G2169" s="72"/>
      <c r="H2169" s="46"/>
      <c r="I2169" s="53" t="str">
        <f ca="1"/>
        <v>退会済</v>
      </c>
      <c r="J2169" s="113"/>
      <c r="K2169" s="49" t="s">
        <v>50</v>
      </c>
      <c r="M2169" s="107" t="s">
        <v>52</v>
      </c>
    </row>
    <row r="2170" spans="1:13" ht="16">
      <c r="A2170" s="101" t="str">
        <f t="shared" si="1"/>
        <v>-</v>
      </c>
      <c r="B2170" s="48"/>
      <c r="C2170" s="53"/>
      <c r="D2170" s="49"/>
      <c r="E2170" s="71"/>
      <c r="F2170" s="46"/>
      <c r="G2170" s="72"/>
      <c r="H2170" s="46"/>
      <c r="I2170" s="53" t="str">
        <f ca="1"/>
        <v>退会済</v>
      </c>
      <c r="J2170" s="113"/>
      <c r="K2170" s="49" t="s">
        <v>50</v>
      </c>
      <c r="M2170" s="107" t="s">
        <v>52</v>
      </c>
    </row>
    <row r="2171" spans="1:13" ht="16">
      <c r="A2171" s="101" t="str">
        <f t="shared" si="1"/>
        <v>-</v>
      </c>
      <c r="B2171" s="48"/>
      <c r="C2171" s="53"/>
      <c r="D2171" s="49"/>
      <c r="E2171" s="71"/>
      <c r="F2171" s="46"/>
      <c r="G2171" s="72"/>
      <c r="H2171" s="46"/>
      <c r="I2171" s="53" t="str">
        <f ca="1"/>
        <v>退会済</v>
      </c>
      <c r="J2171" s="113"/>
      <c r="K2171" s="49" t="s">
        <v>50</v>
      </c>
      <c r="M2171" s="107" t="s">
        <v>52</v>
      </c>
    </row>
    <row r="2172" spans="1:13" ht="16">
      <c r="A2172" s="101" t="str">
        <f t="shared" si="1"/>
        <v>-</v>
      </c>
      <c r="B2172" s="48"/>
      <c r="C2172" s="53"/>
      <c r="D2172" s="49"/>
      <c r="E2172" s="71"/>
      <c r="F2172" s="46"/>
      <c r="G2172" s="72"/>
      <c r="H2172" s="46"/>
      <c r="I2172" s="53" t="str">
        <f ca="1"/>
        <v>退会済</v>
      </c>
      <c r="J2172" s="113"/>
      <c r="K2172" s="49" t="s">
        <v>50</v>
      </c>
      <c r="M2172" s="107" t="s">
        <v>52</v>
      </c>
    </row>
    <row r="2173" spans="1:13" ht="16">
      <c r="A2173" s="101" t="str">
        <f t="shared" si="1"/>
        <v>-</v>
      </c>
      <c r="B2173" s="48"/>
      <c r="C2173" s="53"/>
      <c r="D2173" s="49"/>
      <c r="E2173" s="71"/>
      <c r="F2173" s="46"/>
      <c r="G2173" s="72"/>
      <c r="H2173" s="46"/>
      <c r="I2173" s="53" t="str">
        <f ca="1"/>
        <v>退会済</v>
      </c>
      <c r="J2173" s="113"/>
      <c r="K2173" s="49" t="s">
        <v>50</v>
      </c>
      <c r="M2173" s="107" t="s">
        <v>52</v>
      </c>
    </row>
    <row r="2174" spans="1:13" ht="16">
      <c r="A2174" s="101" t="str">
        <f t="shared" si="1"/>
        <v>-</v>
      </c>
      <c r="B2174" s="48"/>
      <c r="C2174" s="53"/>
      <c r="D2174" s="49"/>
      <c r="E2174" s="71"/>
      <c r="F2174" s="46"/>
      <c r="G2174" s="72"/>
      <c r="H2174" s="46"/>
      <c r="I2174" s="53" t="str">
        <f ca="1"/>
        <v>退会済</v>
      </c>
      <c r="J2174" s="113"/>
      <c r="K2174" s="49" t="s">
        <v>50</v>
      </c>
      <c r="M2174" s="107" t="s">
        <v>52</v>
      </c>
    </row>
    <row r="2175" spans="1:13" ht="16">
      <c r="A2175" s="101" t="str">
        <f t="shared" si="1"/>
        <v>-</v>
      </c>
      <c r="B2175" s="48"/>
      <c r="C2175" s="53"/>
      <c r="D2175" s="49"/>
      <c r="E2175" s="71"/>
      <c r="F2175" s="46"/>
      <c r="G2175" s="72"/>
      <c r="H2175" s="46"/>
      <c r="I2175" s="53" t="str">
        <f ca="1"/>
        <v>退会済</v>
      </c>
      <c r="J2175" s="113"/>
      <c r="K2175" s="49" t="s">
        <v>50</v>
      </c>
      <c r="M2175" s="107" t="s">
        <v>52</v>
      </c>
    </row>
    <row r="2176" spans="1:13" ht="16">
      <c r="A2176" s="101" t="str">
        <f t="shared" si="1"/>
        <v>-</v>
      </c>
      <c r="B2176" s="48"/>
      <c r="C2176" s="53"/>
      <c r="D2176" s="49"/>
      <c r="E2176" s="71"/>
      <c r="F2176" s="46"/>
      <c r="G2176" s="72"/>
      <c r="H2176" s="46"/>
      <c r="I2176" s="53" t="str">
        <f ca="1"/>
        <v>退会済</v>
      </c>
      <c r="J2176" s="113"/>
      <c r="K2176" s="49" t="s">
        <v>50</v>
      </c>
      <c r="M2176" s="107" t="s">
        <v>52</v>
      </c>
    </row>
    <row r="2177" spans="1:13" ht="16">
      <c r="A2177" s="101" t="str">
        <f t="shared" si="1"/>
        <v>-</v>
      </c>
      <c r="B2177" s="48"/>
      <c r="C2177" s="53"/>
      <c r="D2177" s="49"/>
      <c r="E2177" s="71"/>
      <c r="F2177" s="46"/>
      <c r="G2177" s="72"/>
      <c r="H2177" s="46"/>
      <c r="I2177" s="53" t="str">
        <f ca="1"/>
        <v>退会済</v>
      </c>
      <c r="J2177" s="113"/>
      <c r="K2177" s="49" t="s">
        <v>50</v>
      </c>
      <c r="M2177" s="107" t="s">
        <v>52</v>
      </c>
    </row>
    <row r="2178" spans="1:13" ht="16">
      <c r="A2178" s="101" t="str">
        <f t="shared" si="1"/>
        <v>-</v>
      </c>
      <c r="B2178" s="48"/>
      <c r="C2178" s="53"/>
      <c r="D2178" s="49"/>
      <c r="E2178" s="71"/>
      <c r="F2178" s="46"/>
      <c r="G2178" s="72"/>
      <c r="H2178" s="46"/>
      <c r="I2178" s="53" t="str">
        <f ca="1"/>
        <v>退会済</v>
      </c>
      <c r="J2178" s="113"/>
      <c r="K2178" s="49" t="s">
        <v>50</v>
      </c>
      <c r="M2178" s="107" t="s">
        <v>52</v>
      </c>
    </row>
    <row r="2179" spans="1:13" ht="16">
      <c r="A2179" s="101" t="str">
        <f t="shared" si="1"/>
        <v>-</v>
      </c>
      <c r="B2179" s="48"/>
      <c r="C2179" s="53"/>
      <c r="D2179" s="49"/>
      <c r="E2179" s="71"/>
      <c r="F2179" s="46"/>
      <c r="G2179" s="72"/>
      <c r="H2179" s="46"/>
      <c r="I2179" s="53" t="str">
        <f ca="1"/>
        <v>退会済</v>
      </c>
      <c r="J2179" s="113"/>
      <c r="K2179" s="49" t="s">
        <v>50</v>
      </c>
      <c r="M2179" s="107" t="s">
        <v>52</v>
      </c>
    </row>
    <row r="2180" spans="1:13" ht="16">
      <c r="A2180" s="101" t="str">
        <f t="shared" si="1"/>
        <v>-</v>
      </c>
      <c r="B2180" s="48"/>
      <c r="C2180" s="53"/>
      <c r="D2180" s="49"/>
      <c r="E2180" s="71"/>
      <c r="F2180" s="46"/>
      <c r="G2180" s="72"/>
      <c r="H2180" s="46"/>
      <c r="I2180" s="53" t="str">
        <f ca="1"/>
        <v>退会済</v>
      </c>
      <c r="J2180" s="113"/>
      <c r="K2180" s="49" t="s">
        <v>50</v>
      </c>
      <c r="M2180" s="107" t="s">
        <v>52</v>
      </c>
    </row>
    <row r="2181" spans="1:13" ht="16">
      <c r="A2181" s="101" t="str">
        <f t="shared" si="1"/>
        <v>-</v>
      </c>
      <c r="B2181" s="48"/>
      <c r="C2181" s="53"/>
      <c r="D2181" s="49"/>
      <c r="E2181" s="71"/>
      <c r="F2181" s="46"/>
      <c r="G2181" s="72"/>
      <c r="H2181" s="46"/>
      <c r="I2181" s="53" t="str">
        <f ca="1"/>
        <v>退会済</v>
      </c>
      <c r="J2181" s="113"/>
      <c r="K2181" s="49" t="s">
        <v>50</v>
      </c>
      <c r="M2181" s="107" t="s">
        <v>52</v>
      </c>
    </row>
    <row r="2182" spans="1:13" ht="16">
      <c r="A2182" s="101" t="str">
        <f t="shared" si="1"/>
        <v>-</v>
      </c>
      <c r="B2182" s="48"/>
      <c r="C2182" s="53"/>
      <c r="D2182" s="49"/>
      <c r="E2182" s="71"/>
      <c r="F2182" s="46"/>
      <c r="G2182" s="72"/>
      <c r="H2182" s="46"/>
      <c r="I2182" s="53" t="str">
        <f ca="1"/>
        <v>退会済</v>
      </c>
      <c r="J2182" s="113"/>
      <c r="K2182" s="49" t="s">
        <v>50</v>
      </c>
      <c r="M2182" s="107" t="s">
        <v>52</v>
      </c>
    </row>
    <row r="2183" spans="1:13" ht="16">
      <c r="A2183" s="101" t="str">
        <f t="shared" si="1"/>
        <v>-</v>
      </c>
      <c r="B2183" s="48"/>
      <c r="C2183" s="53"/>
      <c r="D2183" s="49"/>
      <c r="E2183" s="71"/>
      <c r="F2183" s="46"/>
      <c r="G2183" s="72"/>
      <c r="H2183" s="46"/>
      <c r="I2183" s="53" t="str">
        <f ca="1"/>
        <v>退会済</v>
      </c>
      <c r="J2183" s="113"/>
      <c r="K2183" s="49" t="s">
        <v>50</v>
      </c>
      <c r="M2183" s="107" t="s">
        <v>52</v>
      </c>
    </row>
    <row r="2184" spans="1:13" ht="16">
      <c r="A2184" s="101" t="str">
        <f t="shared" si="1"/>
        <v>-</v>
      </c>
      <c r="B2184" s="48"/>
      <c r="C2184" s="53"/>
      <c r="D2184" s="49"/>
      <c r="E2184" s="71"/>
      <c r="F2184" s="46"/>
      <c r="G2184" s="72"/>
      <c r="H2184" s="46"/>
      <c r="I2184" s="53" t="str">
        <f ca="1"/>
        <v>退会済</v>
      </c>
      <c r="J2184" s="113"/>
      <c r="K2184" s="49" t="s">
        <v>50</v>
      </c>
      <c r="M2184" s="107" t="s">
        <v>52</v>
      </c>
    </row>
    <row r="2185" spans="1:13" ht="16">
      <c r="A2185" s="101" t="str">
        <f t="shared" si="1"/>
        <v>-</v>
      </c>
      <c r="B2185" s="48"/>
      <c r="C2185" s="53"/>
      <c r="D2185" s="49"/>
      <c r="E2185" s="71"/>
      <c r="F2185" s="46"/>
      <c r="G2185" s="72"/>
      <c r="H2185" s="46"/>
      <c r="I2185" s="53" t="str">
        <f ca="1"/>
        <v>退会済</v>
      </c>
      <c r="J2185" s="113"/>
      <c r="K2185" s="49" t="s">
        <v>50</v>
      </c>
      <c r="M2185" s="107" t="s">
        <v>52</v>
      </c>
    </row>
    <row r="2186" spans="1:13" ht="16">
      <c r="A2186" s="101" t="str">
        <f t="shared" si="1"/>
        <v>-</v>
      </c>
      <c r="B2186" s="48"/>
      <c r="C2186" s="53"/>
      <c r="D2186" s="49"/>
      <c r="E2186" s="71"/>
      <c r="F2186" s="46"/>
      <c r="G2186" s="72"/>
      <c r="H2186" s="46"/>
      <c r="I2186" s="53" t="str">
        <f ca="1"/>
        <v>退会済</v>
      </c>
      <c r="J2186" s="113"/>
      <c r="K2186" s="49" t="s">
        <v>50</v>
      </c>
      <c r="M2186" s="107" t="s">
        <v>52</v>
      </c>
    </row>
    <row r="2187" spans="1:13" ht="16">
      <c r="A2187" s="101" t="str">
        <f t="shared" si="1"/>
        <v>-</v>
      </c>
      <c r="B2187" s="48"/>
      <c r="C2187" s="53"/>
      <c r="D2187" s="49"/>
      <c r="E2187" s="71"/>
      <c r="F2187" s="46"/>
      <c r="G2187" s="72"/>
      <c r="H2187" s="46"/>
      <c r="I2187" s="53" t="str">
        <f ca="1"/>
        <v>退会済</v>
      </c>
      <c r="J2187" s="113"/>
      <c r="K2187" s="49" t="s">
        <v>50</v>
      </c>
      <c r="M2187" s="107" t="s">
        <v>52</v>
      </c>
    </row>
    <row r="2188" spans="1:13" ht="16">
      <c r="A2188" s="101" t="str">
        <f t="shared" si="1"/>
        <v>-</v>
      </c>
      <c r="B2188" s="48"/>
      <c r="C2188" s="53"/>
      <c r="D2188" s="49"/>
      <c r="E2188" s="71"/>
      <c r="F2188" s="46"/>
      <c r="G2188" s="72"/>
      <c r="H2188" s="46"/>
      <c r="I2188" s="53" t="str">
        <f ca="1"/>
        <v>退会済</v>
      </c>
      <c r="J2188" s="113"/>
      <c r="K2188" s="49" t="s">
        <v>50</v>
      </c>
      <c r="M2188" s="107" t="s">
        <v>52</v>
      </c>
    </row>
    <row r="2189" spans="1:13" ht="16">
      <c r="A2189" s="101" t="str">
        <f t="shared" si="1"/>
        <v>-</v>
      </c>
      <c r="B2189" s="48"/>
      <c r="C2189" s="53"/>
      <c r="D2189" s="49"/>
      <c r="E2189" s="71"/>
      <c r="F2189" s="46"/>
      <c r="G2189" s="72"/>
      <c r="H2189" s="46"/>
      <c r="I2189" s="53" t="str">
        <f ca="1"/>
        <v>退会済</v>
      </c>
      <c r="J2189" s="113"/>
      <c r="K2189" s="49" t="s">
        <v>50</v>
      </c>
      <c r="M2189" s="107" t="s">
        <v>52</v>
      </c>
    </row>
    <row r="2190" spans="1:13" ht="16">
      <c r="A2190" s="101" t="str">
        <f t="shared" si="1"/>
        <v>-</v>
      </c>
      <c r="B2190" s="48"/>
      <c r="C2190" s="53"/>
      <c r="D2190" s="49"/>
      <c r="E2190" s="71"/>
      <c r="F2190" s="46"/>
      <c r="G2190" s="72"/>
      <c r="H2190" s="46"/>
      <c r="I2190" s="53" t="str">
        <f ca="1"/>
        <v>退会済</v>
      </c>
      <c r="J2190" s="113"/>
      <c r="K2190" s="49" t="s">
        <v>50</v>
      </c>
      <c r="M2190" s="107" t="s">
        <v>52</v>
      </c>
    </row>
    <row r="2191" spans="1:13" ht="16">
      <c r="A2191" s="101" t="str">
        <f t="shared" si="1"/>
        <v>-</v>
      </c>
      <c r="B2191" s="48"/>
      <c r="C2191" s="53"/>
      <c r="D2191" s="49"/>
      <c r="E2191" s="71"/>
      <c r="F2191" s="46"/>
      <c r="G2191" s="72"/>
      <c r="H2191" s="46"/>
      <c r="I2191" s="53" t="str">
        <f ca="1"/>
        <v>退会済</v>
      </c>
      <c r="J2191" s="113"/>
      <c r="K2191" s="49" t="s">
        <v>50</v>
      </c>
      <c r="M2191" s="107" t="s">
        <v>52</v>
      </c>
    </row>
    <row r="2192" spans="1:13" ht="16">
      <c r="A2192" s="101" t="str">
        <f t="shared" si="1"/>
        <v>-</v>
      </c>
      <c r="B2192" s="48"/>
      <c r="C2192" s="53"/>
      <c r="D2192" s="49"/>
      <c r="E2192" s="71"/>
      <c r="F2192" s="46"/>
      <c r="G2192" s="72"/>
      <c r="H2192" s="46"/>
      <c r="I2192" s="53" t="str">
        <f ca="1"/>
        <v>退会済</v>
      </c>
      <c r="J2192" s="113"/>
      <c r="K2192" s="49" t="s">
        <v>50</v>
      </c>
      <c r="M2192" s="107" t="s">
        <v>52</v>
      </c>
    </row>
    <row r="2193" spans="1:13" ht="16">
      <c r="A2193" s="101" t="str">
        <f t="shared" si="1"/>
        <v>-</v>
      </c>
      <c r="B2193" s="48"/>
      <c r="C2193" s="53"/>
      <c r="D2193" s="49"/>
      <c r="E2193" s="71"/>
      <c r="F2193" s="46"/>
      <c r="G2193" s="72"/>
      <c r="H2193" s="46"/>
      <c r="I2193" s="53" t="str">
        <f ca="1"/>
        <v>退会済</v>
      </c>
      <c r="J2193" s="113"/>
      <c r="K2193" s="49" t="s">
        <v>50</v>
      </c>
      <c r="M2193" s="107" t="s">
        <v>52</v>
      </c>
    </row>
    <row r="2194" spans="1:13" ht="16">
      <c r="A2194" s="101" t="str">
        <f t="shared" si="1"/>
        <v>-</v>
      </c>
      <c r="B2194" s="48"/>
      <c r="C2194" s="53"/>
      <c r="D2194" s="49"/>
      <c r="E2194" s="71"/>
      <c r="F2194" s="46"/>
      <c r="G2194" s="72"/>
      <c r="H2194" s="46"/>
      <c r="I2194" s="53" t="str">
        <f ca="1"/>
        <v>退会済</v>
      </c>
      <c r="J2194" s="113"/>
      <c r="K2194" s="49" t="s">
        <v>50</v>
      </c>
      <c r="M2194" s="107" t="s">
        <v>52</v>
      </c>
    </row>
    <row r="2195" spans="1:13" ht="16">
      <c r="A2195" s="101" t="str">
        <f t="shared" si="1"/>
        <v>-</v>
      </c>
      <c r="B2195" s="48"/>
      <c r="C2195" s="53"/>
      <c r="D2195" s="49"/>
      <c r="E2195" s="71"/>
      <c r="F2195" s="46"/>
      <c r="G2195" s="72"/>
      <c r="H2195" s="46"/>
      <c r="I2195" s="53" t="str">
        <f ca="1"/>
        <v>退会済</v>
      </c>
      <c r="J2195" s="113"/>
      <c r="K2195" s="49" t="s">
        <v>50</v>
      </c>
      <c r="M2195" s="107" t="s">
        <v>52</v>
      </c>
    </row>
    <row r="2196" spans="1:13" ht="16">
      <c r="A2196" s="101" t="str">
        <f t="shared" si="1"/>
        <v>-</v>
      </c>
      <c r="B2196" s="48"/>
      <c r="C2196" s="53"/>
      <c r="D2196" s="49"/>
      <c r="E2196" s="71"/>
      <c r="F2196" s="46"/>
      <c r="G2196" s="72"/>
      <c r="H2196" s="46"/>
      <c r="I2196" s="53" t="str">
        <f ca="1"/>
        <v>退会済</v>
      </c>
      <c r="J2196" s="113"/>
      <c r="K2196" s="49" t="s">
        <v>50</v>
      </c>
      <c r="M2196" s="107" t="s">
        <v>52</v>
      </c>
    </row>
    <row r="2197" spans="1:13" ht="16">
      <c r="A2197" s="101" t="str">
        <f t="shared" si="1"/>
        <v>-</v>
      </c>
      <c r="B2197" s="48"/>
      <c r="C2197" s="53"/>
      <c r="D2197" s="49"/>
      <c r="E2197" s="71"/>
      <c r="F2197" s="46"/>
      <c r="G2197" s="72"/>
      <c r="H2197" s="46"/>
      <c r="I2197" s="53" t="str">
        <f ca="1"/>
        <v>退会済</v>
      </c>
      <c r="J2197" s="113"/>
      <c r="K2197" s="49" t="s">
        <v>50</v>
      </c>
      <c r="M2197" s="107" t="s">
        <v>52</v>
      </c>
    </row>
    <row r="2198" spans="1:13" ht="16">
      <c r="A2198" s="101" t="str">
        <f t="shared" si="1"/>
        <v>-</v>
      </c>
      <c r="B2198" s="48"/>
      <c r="C2198" s="53"/>
      <c r="D2198" s="49"/>
      <c r="E2198" s="71"/>
      <c r="F2198" s="46"/>
      <c r="G2198" s="72"/>
      <c r="H2198" s="46"/>
      <c r="I2198" s="53" t="str">
        <f ca="1"/>
        <v>退会済</v>
      </c>
      <c r="J2198" s="113"/>
      <c r="K2198" s="49" t="s">
        <v>50</v>
      </c>
      <c r="M2198" s="107" t="s">
        <v>52</v>
      </c>
    </row>
    <row r="2199" spans="1:13" ht="16">
      <c r="A2199" s="101" t="str">
        <f t="shared" si="1"/>
        <v>-</v>
      </c>
      <c r="B2199" s="48"/>
      <c r="C2199" s="53"/>
      <c r="D2199" s="49"/>
      <c r="E2199" s="71"/>
      <c r="F2199" s="46"/>
      <c r="G2199" s="72"/>
      <c r="H2199" s="46"/>
      <c r="I2199" s="53" t="str">
        <f ca="1"/>
        <v>退会済</v>
      </c>
      <c r="J2199" s="113"/>
      <c r="K2199" s="49" t="s">
        <v>50</v>
      </c>
      <c r="M2199" s="107" t="s">
        <v>52</v>
      </c>
    </row>
    <row r="2200" spans="1:13" ht="16">
      <c r="A2200" s="101" t="str">
        <f t="shared" si="1"/>
        <v>-</v>
      </c>
      <c r="B2200" s="48"/>
      <c r="C2200" s="53"/>
      <c r="D2200" s="49"/>
      <c r="E2200" s="71"/>
      <c r="F2200" s="46"/>
      <c r="G2200" s="72"/>
      <c r="H2200" s="46"/>
      <c r="I2200" s="53" t="str">
        <f ca="1"/>
        <v>退会済</v>
      </c>
      <c r="J2200" s="113"/>
      <c r="K2200" s="49" t="s">
        <v>50</v>
      </c>
      <c r="M2200" s="107" t="s">
        <v>52</v>
      </c>
    </row>
    <row r="2201" spans="1:13" ht="16">
      <c r="A2201" s="101" t="str">
        <f t="shared" si="1"/>
        <v>-</v>
      </c>
      <c r="B2201" s="48"/>
      <c r="C2201" s="53"/>
      <c r="D2201" s="49"/>
      <c r="E2201" s="71"/>
      <c r="F2201" s="46"/>
      <c r="G2201" s="72"/>
      <c r="H2201" s="46"/>
      <c r="I2201" s="53" t="str">
        <f ca="1"/>
        <v>退会済</v>
      </c>
      <c r="J2201" s="113"/>
      <c r="K2201" s="49" t="s">
        <v>50</v>
      </c>
      <c r="M2201" s="107" t="s">
        <v>52</v>
      </c>
    </row>
    <row r="2202" spans="1:13" ht="16">
      <c r="A2202" s="101" t="str">
        <f t="shared" si="1"/>
        <v>-</v>
      </c>
      <c r="B2202" s="48"/>
      <c r="C2202" s="53"/>
      <c r="D2202" s="49"/>
      <c r="E2202" s="71"/>
      <c r="F2202" s="46"/>
      <c r="G2202" s="72"/>
      <c r="H2202" s="46"/>
      <c r="I2202" s="53" t="str">
        <f ca="1"/>
        <v>退会済</v>
      </c>
      <c r="J2202" s="113"/>
      <c r="K2202" s="49" t="s">
        <v>50</v>
      </c>
      <c r="M2202" s="107" t="s">
        <v>52</v>
      </c>
    </row>
    <row r="2203" spans="1:13" ht="16">
      <c r="A2203" s="101" t="str">
        <f t="shared" si="1"/>
        <v>-</v>
      </c>
      <c r="B2203" s="48"/>
      <c r="C2203" s="53"/>
      <c r="D2203" s="49"/>
      <c r="E2203" s="71"/>
      <c r="F2203" s="46"/>
      <c r="G2203" s="72"/>
      <c r="H2203" s="46"/>
      <c r="I2203" s="53" t="str">
        <f ca="1"/>
        <v>退会済</v>
      </c>
      <c r="J2203" s="113"/>
      <c r="K2203" s="49" t="s">
        <v>50</v>
      </c>
      <c r="M2203" s="107" t="s">
        <v>52</v>
      </c>
    </row>
    <row r="2204" spans="1:13" ht="16">
      <c r="A2204" s="101" t="str">
        <f t="shared" si="1"/>
        <v>-</v>
      </c>
      <c r="B2204" s="48"/>
      <c r="C2204" s="53"/>
      <c r="D2204" s="49"/>
      <c r="E2204" s="71"/>
      <c r="F2204" s="46"/>
      <c r="G2204" s="72"/>
      <c r="H2204" s="46"/>
      <c r="I2204" s="53" t="str">
        <f ca="1"/>
        <v>退会済</v>
      </c>
      <c r="J2204" s="113"/>
      <c r="K2204" s="49" t="s">
        <v>50</v>
      </c>
      <c r="M2204" s="107" t="s">
        <v>52</v>
      </c>
    </row>
    <row r="2205" spans="1:13" ht="16">
      <c r="A2205" s="101" t="str">
        <f t="shared" si="1"/>
        <v>-</v>
      </c>
      <c r="B2205" s="48"/>
      <c r="C2205" s="53"/>
      <c r="D2205" s="49"/>
      <c r="E2205" s="71"/>
      <c r="F2205" s="46"/>
      <c r="G2205" s="72"/>
      <c r="H2205" s="46"/>
      <c r="I2205" s="53" t="str">
        <f ca="1"/>
        <v>退会済</v>
      </c>
      <c r="J2205" s="113"/>
      <c r="K2205" s="49" t="s">
        <v>50</v>
      </c>
      <c r="M2205" s="107" t="s">
        <v>52</v>
      </c>
    </row>
    <row r="2206" spans="1:13" ht="16">
      <c r="A2206" s="101" t="str">
        <f t="shared" si="1"/>
        <v>-</v>
      </c>
      <c r="B2206" s="48"/>
      <c r="C2206" s="53"/>
      <c r="D2206" s="49"/>
      <c r="E2206" s="71"/>
      <c r="F2206" s="46"/>
      <c r="G2206" s="72"/>
      <c r="H2206" s="46"/>
      <c r="I2206" s="53" t="str">
        <f ca="1"/>
        <v>退会済</v>
      </c>
      <c r="J2206" s="113"/>
      <c r="K2206" s="49" t="s">
        <v>50</v>
      </c>
      <c r="M2206" s="107" t="s">
        <v>52</v>
      </c>
    </row>
    <row r="2207" spans="1:13" ht="16">
      <c r="A2207" s="101" t="str">
        <f t="shared" si="1"/>
        <v>-</v>
      </c>
      <c r="B2207" s="48"/>
      <c r="C2207" s="53"/>
      <c r="D2207" s="49"/>
      <c r="E2207" s="71"/>
      <c r="F2207" s="46"/>
      <c r="G2207" s="72"/>
      <c r="H2207" s="46"/>
      <c r="I2207" s="53" t="str">
        <f ca="1"/>
        <v>退会済</v>
      </c>
      <c r="J2207" s="113"/>
      <c r="K2207" s="49" t="s">
        <v>50</v>
      </c>
      <c r="M2207" s="107" t="s">
        <v>52</v>
      </c>
    </row>
    <row r="2208" spans="1:13" ht="16">
      <c r="A2208" s="101" t="str">
        <f t="shared" si="1"/>
        <v>-</v>
      </c>
      <c r="B2208" s="48"/>
      <c r="C2208" s="53"/>
      <c r="D2208" s="49"/>
      <c r="E2208" s="71"/>
      <c r="F2208" s="46"/>
      <c r="G2208" s="72"/>
      <c r="H2208" s="46"/>
      <c r="I2208" s="53" t="str">
        <f ca="1"/>
        <v>退会済</v>
      </c>
      <c r="J2208" s="113"/>
      <c r="K2208" s="49" t="s">
        <v>50</v>
      </c>
      <c r="M2208" s="107" t="s">
        <v>52</v>
      </c>
    </row>
    <row r="2209" spans="1:13" ht="16">
      <c r="A2209" s="101" t="str">
        <f t="shared" si="1"/>
        <v>-</v>
      </c>
      <c r="B2209" s="48"/>
      <c r="C2209" s="53"/>
      <c r="D2209" s="49"/>
      <c r="E2209" s="71"/>
      <c r="F2209" s="46"/>
      <c r="G2209" s="72"/>
      <c r="H2209" s="46"/>
      <c r="I2209" s="53" t="str">
        <f ca="1"/>
        <v>退会済</v>
      </c>
      <c r="J2209" s="113"/>
      <c r="K2209" s="49" t="s">
        <v>50</v>
      </c>
      <c r="M2209" s="107" t="s">
        <v>52</v>
      </c>
    </row>
    <row r="2210" spans="1:13" ht="16">
      <c r="A2210" s="101" t="str">
        <f t="shared" si="1"/>
        <v>-</v>
      </c>
      <c r="B2210" s="48"/>
      <c r="C2210" s="53"/>
      <c r="D2210" s="49"/>
      <c r="E2210" s="71"/>
      <c r="F2210" s="46"/>
      <c r="G2210" s="72"/>
      <c r="H2210" s="46"/>
      <c r="I2210" s="53" t="str">
        <f ca="1"/>
        <v>退会済</v>
      </c>
      <c r="J2210" s="113"/>
      <c r="K2210" s="49" t="s">
        <v>50</v>
      </c>
      <c r="M2210" s="107" t="s">
        <v>52</v>
      </c>
    </row>
    <row r="2211" spans="1:13" ht="16">
      <c r="A2211" s="101" t="str">
        <f t="shared" si="1"/>
        <v>-</v>
      </c>
      <c r="B2211" s="48"/>
      <c r="C2211" s="53"/>
      <c r="D2211" s="49"/>
      <c r="E2211" s="71"/>
      <c r="F2211" s="46"/>
      <c r="G2211" s="72"/>
      <c r="H2211" s="46"/>
      <c r="I2211" s="53" t="str">
        <f ca="1"/>
        <v>退会済</v>
      </c>
      <c r="J2211" s="113"/>
      <c r="K2211" s="49" t="s">
        <v>50</v>
      </c>
      <c r="M2211" s="107" t="s">
        <v>52</v>
      </c>
    </row>
    <row r="2212" spans="1:13" ht="16">
      <c r="A2212" s="101" t="str">
        <f t="shared" si="1"/>
        <v>-</v>
      </c>
      <c r="B2212" s="48"/>
      <c r="C2212" s="53"/>
      <c r="D2212" s="49"/>
      <c r="E2212" s="71"/>
      <c r="F2212" s="46"/>
      <c r="G2212" s="72"/>
      <c r="H2212" s="46"/>
      <c r="I2212" s="53" t="str">
        <f ca="1"/>
        <v>退会済</v>
      </c>
      <c r="J2212" s="113"/>
      <c r="K2212" s="49" t="s">
        <v>50</v>
      </c>
      <c r="M2212" s="107" t="s">
        <v>52</v>
      </c>
    </row>
    <row r="2213" spans="1:13" ht="16">
      <c r="A2213" s="101" t="str">
        <f t="shared" si="1"/>
        <v>-</v>
      </c>
      <c r="B2213" s="48"/>
      <c r="C2213" s="53"/>
      <c r="D2213" s="49"/>
      <c r="E2213" s="71"/>
      <c r="F2213" s="46"/>
      <c r="G2213" s="72"/>
      <c r="H2213" s="46"/>
      <c r="I2213" s="53" t="str">
        <f ca="1"/>
        <v>退会済</v>
      </c>
      <c r="J2213" s="113"/>
      <c r="K2213" s="49" t="s">
        <v>50</v>
      </c>
      <c r="M2213" s="107" t="s">
        <v>52</v>
      </c>
    </row>
    <row r="2214" spans="1:13" ht="16">
      <c r="A2214" s="101" t="str">
        <f t="shared" si="1"/>
        <v>-</v>
      </c>
      <c r="B2214" s="48"/>
      <c r="C2214" s="53"/>
      <c r="D2214" s="49"/>
      <c r="E2214" s="71"/>
      <c r="F2214" s="46"/>
      <c r="G2214" s="72"/>
      <c r="H2214" s="46"/>
      <c r="I2214" s="53" t="str">
        <f ca="1"/>
        <v>退会済</v>
      </c>
      <c r="J2214" s="113"/>
      <c r="K2214" s="49" t="s">
        <v>50</v>
      </c>
      <c r="M2214" s="107" t="s">
        <v>52</v>
      </c>
    </row>
    <row r="2215" spans="1:13" ht="16">
      <c r="A2215" s="101" t="str">
        <f t="shared" si="1"/>
        <v>-</v>
      </c>
      <c r="B2215" s="48"/>
      <c r="C2215" s="53"/>
      <c r="D2215" s="49"/>
      <c r="E2215" s="71"/>
      <c r="F2215" s="46"/>
      <c r="G2215" s="72"/>
      <c r="H2215" s="46"/>
      <c r="I2215" s="53" t="str">
        <f ca="1"/>
        <v>退会済</v>
      </c>
      <c r="J2215" s="113"/>
      <c r="K2215" s="49" t="s">
        <v>50</v>
      </c>
      <c r="M2215" s="107" t="s">
        <v>52</v>
      </c>
    </row>
    <row r="2216" spans="1:13" ht="16">
      <c r="A2216" s="101" t="str">
        <f t="shared" si="1"/>
        <v>-</v>
      </c>
      <c r="B2216" s="48"/>
      <c r="C2216" s="53"/>
      <c r="D2216" s="49"/>
      <c r="E2216" s="71"/>
      <c r="F2216" s="46"/>
      <c r="G2216" s="72"/>
      <c r="H2216" s="46"/>
      <c r="I2216" s="53" t="str">
        <f ca="1"/>
        <v>退会済</v>
      </c>
      <c r="J2216" s="113"/>
      <c r="K2216" s="49" t="s">
        <v>50</v>
      </c>
      <c r="M2216" s="107" t="s">
        <v>52</v>
      </c>
    </row>
    <row r="2217" spans="1:13" ht="16">
      <c r="A2217" s="101" t="str">
        <f t="shared" si="1"/>
        <v>-</v>
      </c>
      <c r="B2217" s="48"/>
      <c r="C2217" s="53"/>
      <c r="D2217" s="49"/>
      <c r="E2217" s="71"/>
      <c r="F2217" s="46"/>
      <c r="G2217" s="72"/>
      <c r="H2217" s="46"/>
      <c r="I2217" s="53" t="str">
        <f ca="1"/>
        <v>退会済</v>
      </c>
      <c r="J2217" s="113"/>
      <c r="K2217" s="49" t="s">
        <v>50</v>
      </c>
      <c r="M2217" s="107" t="s">
        <v>52</v>
      </c>
    </row>
    <row r="2218" spans="1:13" ht="16">
      <c r="A2218" s="101" t="str">
        <f t="shared" si="1"/>
        <v>-</v>
      </c>
      <c r="B2218" s="48"/>
      <c r="C2218" s="53"/>
      <c r="D2218" s="49"/>
      <c r="E2218" s="71"/>
      <c r="F2218" s="46"/>
      <c r="G2218" s="72"/>
      <c r="H2218" s="46"/>
      <c r="I2218" s="53" t="str">
        <f ca="1"/>
        <v>退会済</v>
      </c>
      <c r="J2218" s="113"/>
      <c r="K2218" s="49" t="s">
        <v>50</v>
      </c>
      <c r="M2218" s="107" t="s">
        <v>52</v>
      </c>
    </row>
    <row r="2219" spans="1:13" ht="16">
      <c r="A2219" s="101" t="str">
        <f t="shared" si="1"/>
        <v>-</v>
      </c>
      <c r="B2219" s="48"/>
      <c r="C2219" s="53"/>
      <c r="D2219" s="49"/>
      <c r="E2219" s="71"/>
      <c r="F2219" s="46"/>
      <c r="G2219" s="72"/>
      <c r="H2219" s="46"/>
      <c r="I2219" s="53" t="str">
        <f ca="1"/>
        <v>退会済</v>
      </c>
      <c r="J2219" s="113"/>
      <c r="K2219" s="49" t="s">
        <v>50</v>
      </c>
      <c r="M2219" s="107" t="s">
        <v>52</v>
      </c>
    </row>
    <row r="2220" spans="1:13" ht="16">
      <c r="A2220" s="101" t="str">
        <f t="shared" si="1"/>
        <v>-</v>
      </c>
      <c r="B2220" s="48"/>
      <c r="C2220" s="53"/>
      <c r="D2220" s="49"/>
      <c r="E2220" s="71"/>
      <c r="F2220" s="46"/>
      <c r="G2220" s="72"/>
      <c r="H2220" s="46"/>
      <c r="I2220" s="53" t="str">
        <f ca="1"/>
        <v>退会済</v>
      </c>
      <c r="J2220" s="113"/>
      <c r="K2220" s="49" t="s">
        <v>50</v>
      </c>
      <c r="M2220" s="107" t="s">
        <v>52</v>
      </c>
    </row>
    <row r="2221" spans="1:13" ht="16">
      <c r="A2221" s="101" t="str">
        <f t="shared" si="1"/>
        <v>-</v>
      </c>
      <c r="B2221" s="48"/>
      <c r="C2221" s="53"/>
      <c r="D2221" s="49"/>
      <c r="E2221" s="71"/>
      <c r="F2221" s="46"/>
      <c r="G2221" s="72"/>
      <c r="H2221" s="46"/>
      <c r="I2221" s="53" t="str">
        <f ca="1"/>
        <v>退会済</v>
      </c>
      <c r="J2221" s="113"/>
      <c r="K2221" s="49" t="s">
        <v>50</v>
      </c>
      <c r="M2221" s="107" t="s">
        <v>52</v>
      </c>
    </row>
    <row r="2222" spans="1:13" ht="16">
      <c r="A2222" s="101" t="str">
        <f t="shared" si="1"/>
        <v>-</v>
      </c>
      <c r="B2222" s="48"/>
      <c r="C2222" s="53"/>
      <c r="D2222" s="49"/>
      <c r="E2222" s="71"/>
      <c r="F2222" s="46"/>
      <c r="G2222" s="72"/>
      <c r="H2222" s="46"/>
      <c r="I2222" s="53" t="str">
        <f ca="1"/>
        <v>退会済</v>
      </c>
      <c r="J2222" s="113"/>
      <c r="K2222" s="49" t="s">
        <v>50</v>
      </c>
      <c r="M2222" s="107" t="s">
        <v>52</v>
      </c>
    </row>
    <row r="2223" spans="1:13" ht="16">
      <c r="A2223" s="101" t="str">
        <f t="shared" si="1"/>
        <v>-</v>
      </c>
      <c r="B2223" s="48"/>
      <c r="C2223" s="53"/>
      <c r="D2223" s="49"/>
      <c r="E2223" s="71"/>
      <c r="F2223" s="46"/>
      <c r="G2223" s="72"/>
      <c r="H2223" s="46"/>
      <c r="I2223" s="53" t="str">
        <f ca="1"/>
        <v>退会済</v>
      </c>
      <c r="J2223" s="113"/>
      <c r="K2223" s="49" t="s">
        <v>50</v>
      </c>
      <c r="M2223" s="107" t="s">
        <v>52</v>
      </c>
    </row>
    <row r="2224" spans="1:13" ht="16">
      <c r="A2224" s="101" t="str">
        <f t="shared" si="1"/>
        <v>-</v>
      </c>
      <c r="B2224" s="48"/>
      <c r="C2224" s="53"/>
      <c r="D2224" s="49"/>
      <c r="E2224" s="71"/>
      <c r="F2224" s="46"/>
      <c r="G2224" s="72"/>
      <c r="H2224" s="46"/>
      <c r="I2224" s="53" t="str">
        <f ca="1"/>
        <v>退会済</v>
      </c>
      <c r="J2224" s="113"/>
      <c r="K2224" s="49" t="s">
        <v>50</v>
      </c>
      <c r="M2224" s="107" t="s">
        <v>52</v>
      </c>
    </row>
    <row r="2225" spans="1:13" ht="16">
      <c r="A2225" s="101" t="str">
        <f t="shared" si="1"/>
        <v>-</v>
      </c>
      <c r="B2225" s="48"/>
      <c r="C2225" s="53"/>
      <c r="D2225" s="49"/>
      <c r="E2225" s="71"/>
      <c r="F2225" s="46"/>
      <c r="G2225" s="72"/>
      <c r="H2225" s="46"/>
      <c r="I2225" s="53" t="str">
        <f ca="1"/>
        <v>退会済</v>
      </c>
      <c r="J2225" s="113"/>
      <c r="K2225" s="49" t="s">
        <v>50</v>
      </c>
      <c r="M2225" s="107" t="s">
        <v>52</v>
      </c>
    </row>
    <row r="2226" spans="1:13" ht="16">
      <c r="A2226" s="101" t="str">
        <f t="shared" si="1"/>
        <v>-</v>
      </c>
      <c r="B2226" s="48"/>
      <c r="C2226" s="53"/>
      <c r="D2226" s="49"/>
      <c r="E2226" s="71"/>
      <c r="F2226" s="46"/>
      <c r="G2226" s="72"/>
      <c r="H2226" s="46"/>
      <c r="I2226" s="53" t="str">
        <f ca="1"/>
        <v>退会済</v>
      </c>
      <c r="J2226" s="113"/>
      <c r="K2226" s="49" t="s">
        <v>50</v>
      </c>
      <c r="M2226" s="107" t="s">
        <v>52</v>
      </c>
    </row>
    <row r="2227" spans="1:13" ht="16">
      <c r="A2227" s="101" t="str">
        <f t="shared" si="1"/>
        <v>-</v>
      </c>
      <c r="B2227" s="48"/>
      <c r="C2227" s="53"/>
      <c r="D2227" s="49"/>
      <c r="E2227" s="71"/>
      <c r="F2227" s="46"/>
      <c r="G2227" s="72"/>
      <c r="H2227" s="46"/>
      <c r="I2227" s="53" t="str">
        <f ca="1"/>
        <v>退会済</v>
      </c>
      <c r="J2227" s="113"/>
      <c r="K2227" s="49" t="s">
        <v>50</v>
      </c>
      <c r="M2227" s="107" t="s">
        <v>52</v>
      </c>
    </row>
    <row r="2228" spans="1:13" ht="16">
      <c r="A2228" s="101" t="str">
        <f t="shared" si="1"/>
        <v>-</v>
      </c>
      <c r="B2228" s="48"/>
      <c r="C2228" s="53"/>
      <c r="D2228" s="49"/>
      <c r="E2228" s="71"/>
      <c r="F2228" s="46"/>
      <c r="G2228" s="72"/>
      <c r="H2228" s="46"/>
      <c r="I2228" s="53" t="str">
        <f ca="1"/>
        <v>退会済</v>
      </c>
      <c r="J2228" s="113"/>
      <c r="K2228" s="49" t="s">
        <v>50</v>
      </c>
      <c r="M2228" s="107" t="s">
        <v>52</v>
      </c>
    </row>
    <row r="2229" spans="1:13" ht="16">
      <c r="A2229" s="101" t="str">
        <f t="shared" si="1"/>
        <v>-</v>
      </c>
      <c r="B2229" s="48"/>
      <c r="C2229" s="53"/>
      <c r="D2229" s="49"/>
      <c r="E2229" s="71"/>
      <c r="F2229" s="46"/>
      <c r="G2229" s="72"/>
      <c r="H2229" s="46"/>
      <c r="I2229" s="53" t="str">
        <f ca="1"/>
        <v>退会済</v>
      </c>
      <c r="J2229" s="113"/>
      <c r="K2229" s="49" t="s">
        <v>50</v>
      </c>
      <c r="M2229" s="107" t="s">
        <v>52</v>
      </c>
    </row>
    <row r="2230" spans="1:13" ht="16">
      <c r="A2230" s="101" t="str">
        <f t="shared" si="1"/>
        <v>-</v>
      </c>
      <c r="B2230" s="48"/>
      <c r="C2230" s="53"/>
      <c r="D2230" s="49"/>
      <c r="E2230" s="71"/>
      <c r="F2230" s="46"/>
      <c r="G2230" s="72"/>
      <c r="H2230" s="46"/>
      <c r="I2230" s="53" t="str">
        <f ca="1"/>
        <v>退会済</v>
      </c>
      <c r="J2230" s="113"/>
      <c r="K2230" s="49" t="s">
        <v>50</v>
      </c>
      <c r="M2230" s="107" t="s">
        <v>52</v>
      </c>
    </row>
    <row r="2231" spans="1:13" ht="16">
      <c r="A2231" s="101" t="str">
        <f t="shared" si="1"/>
        <v>-</v>
      </c>
      <c r="B2231" s="48"/>
      <c r="C2231" s="53"/>
      <c r="D2231" s="49"/>
      <c r="E2231" s="71"/>
      <c r="F2231" s="46"/>
      <c r="G2231" s="72"/>
      <c r="H2231" s="46"/>
      <c r="I2231" s="53" t="str">
        <f ca="1"/>
        <v>退会済</v>
      </c>
      <c r="J2231" s="113"/>
      <c r="K2231" s="49" t="s">
        <v>50</v>
      </c>
      <c r="M2231" s="107" t="s">
        <v>52</v>
      </c>
    </row>
    <row r="2232" spans="1:13" ht="16">
      <c r="A2232" s="101" t="str">
        <f t="shared" si="1"/>
        <v>-</v>
      </c>
      <c r="B2232" s="48"/>
      <c r="C2232" s="53"/>
      <c r="D2232" s="49"/>
      <c r="E2232" s="71"/>
      <c r="F2232" s="46"/>
      <c r="G2232" s="72"/>
      <c r="H2232" s="46"/>
      <c r="I2232" s="53" t="str">
        <f ca="1"/>
        <v>退会済</v>
      </c>
      <c r="J2232" s="113"/>
      <c r="K2232" s="49" t="s">
        <v>50</v>
      </c>
      <c r="M2232" s="107" t="s">
        <v>52</v>
      </c>
    </row>
    <row r="2233" spans="1:13" ht="16">
      <c r="A2233" s="101" t="str">
        <f t="shared" si="1"/>
        <v>-</v>
      </c>
      <c r="B2233" s="48"/>
      <c r="C2233" s="53"/>
      <c r="D2233" s="49"/>
      <c r="E2233" s="71"/>
      <c r="F2233" s="46"/>
      <c r="G2233" s="72"/>
      <c r="H2233" s="46"/>
      <c r="I2233" s="53" t="str">
        <f ca="1"/>
        <v>退会済</v>
      </c>
      <c r="J2233" s="113"/>
      <c r="K2233" s="49" t="s">
        <v>50</v>
      </c>
      <c r="M2233" s="107" t="s">
        <v>52</v>
      </c>
    </row>
    <row r="2234" spans="1:13" ht="16">
      <c r="A2234" s="101" t="str">
        <f t="shared" si="1"/>
        <v>-</v>
      </c>
      <c r="B2234" s="48"/>
      <c r="C2234" s="53"/>
      <c r="D2234" s="49"/>
      <c r="E2234" s="71"/>
      <c r="F2234" s="46"/>
      <c r="G2234" s="72"/>
      <c r="H2234" s="46"/>
      <c r="I2234" s="53" t="str">
        <f ca="1"/>
        <v>退会済</v>
      </c>
      <c r="J2234" s="113"/>
      <c r="K2234" s="49" t="s">
        <v>50</v>
      </c>
      <c r="M2234" s="107" t="s">
        <v>52</v>
      </c>
    </row>
    <row r="2235" spans="1:13" ht="16">
      <c r="A2235" s="101" t="str">
        <f t="shared" si="1"/>
        <v>-</v>
      </c>
      <c r="B2235" s="48"/>
      <c r="C2235" s="53"/>
      <c r="D2235" s="49"/>
      <c r="E2235" s="71"/>
      <c r="F2235" s="46"/>
      <c r="G2235" s="72"/>
      <c r="H2235" s="46"/>
      <c r="I2235" s="53" t="str">
        <f ca="1"/>
        <v>退会済</v>
      </c>
      <c r="J2235" s="113"/>
      <c r="K2235" s="49" t="s">
        <v>50</v>
      </c>
      <c r="M2235" s="107" t="s">
        <v>52</v>
      </c>
    </row>
    <row r="2236" spans="1:13" ht="16">
      <c r="A2236" s="101" t="str">
        <f t="shared" si="1"/>
        <v>-</v>
      </c>
      <c r="B2236" s="48"/>
      <c r="C2236" s="53"/>
      <c r="D2236" s="49"/>
      <c r="E2236" s="71"/>
      <c r="F2236" s="46"/>
      <c r="G2236" s="72"/>
      <c r="H2236" s="46"/>
      <c r="I2236" s="53" t="str">
        <f ca="1"/>
        <v>退会済</v>
      </c>
      <c r="J2236" s="113"/>
      <c r="K2236" s="49" t="s">
        <v>50</v>
      </c>
      <c r="M2236" s="107" t="s">
        <v>52</v>
      </c>
    </row>
    <row r="2237" spans="1:13" ht="16">
      <c r="A2237" s="101" t="str">
        <f t="shared" si="1"/>
        <v>-</v>
      </c>
      <c r="B2237" s="48"/>
      <c r="C2237" s="53"/>
      <c r="D2237" s="49"/>
      <c r="E2237" s="71"/>
      <c r="F2237" s="46"/>
      <c r="G2237" s="72"/>
      <c r="H2237" s="46"/>
      <c r="I2237" s="53" t="str">
        <f ca="1"/>
        <v>退会済</v>
      </c>
      <c r="J2237" s="113"/>
      <c r="K2237" s="49" t="s">
        <v>50</v>
      </c>
      <c r="M2237" s="107" t="s">
        <v>52</v>
      </c>
    </row>
    <row r="2238" spans="1:13" ht="16">
      <c r="A2238" s="101" t="str">
        <f t="shared" si="1"/>
        <v>-</v>
      </c>
      <c r="B2238" s="48"/>
      <c r="C2238" s="53"/>
      <c r="D2238" s="49"/>
      <c r="E2238" s="71"/>
      <c r="F2238" s="46"/>
      <c r="G2238" s="72"/>
      <c r="H2238" s="46"/>
      <c r="I2238" s="53" t="str">
        <f ca="1"/>
        <v>退会済</v>
      </c>
      <c r="J2238" s="113"/>
      <c r="K2238" s="49" t="s">
        <v>50</v>
      </c>
      <c r="M2238" s="107" t="s">
        <v>52</v>
      </c>
    </row>
    <row r="2239" spans="1:13" ht="16">
      <c r="A2239" s="101" t="str">
        <f t="shared" si="1"/>
        <v>-</v>
      </c>
      <c r="B2239" s="48"/>
      <c r="C2239" s="53"/>
      <c r="D2239" s="49"/>
      <c r="E2239" s="71"/>
      <c r="F2239" s="46"/>
      <c r="G2239" s="72"/>
      <c r="H2239" s="46"/>
      <c r="I2239" s="53" t="str">
        <f ca="1"/>
        <v>退会済</v>
      </c>
      <c r="J2239" s="113"/>
      <c r="K2239" s="49" t="s">
        <v>50</v>
      </c>
      <c r="M2239" s="107" t="s">
        <v>52</v>
      </c>
    </row>
    <row r="2240" spans="1:13" ht="16">
      <c r="A2240" s="101" t="str">
        <f t="shared" si="1"/>
        <v>-</v>
      </c>
      <c r="B2240" s="48"/>
      <c r="C2240" s="53"/>
      <c r="D2240" s="49"/>
      <c r="E2240" s="71"/>
      <c r="F2240" s="46"/>
      <c r="G2240" s="72"/>
      <c r="H2240" s="46"/>
      <c r="I2240" s="53" t="str">
        <f ca="1"/>
        <v>退会済</v>
      </c>
      <c r="J2240" s="113"/>
      <c r="K2240" s="49" t="s">
        <v>50</v>
      </c>
      <c r="M2240" s="107" t="s">
        <v>52</v>
      </c>
    </row>
    <row r="2241" spans="1:13" ht="16">
      <c r="A2241" s="101" t="str">
        <f t="shared" si="1"/>
        <v>-</v>
      </c>
      <c r="B2241" s="48"/>
      <c r="C2241" s="53"/>
      <c r="D2241" s="49"/>
      <c r="E2241" s="71"/>
      <c r="F2241" s="46"/>
      <c r="G2241" s="72"/>
      <c r="H2241" s="46"/>
      <c r="I2241" s="53" t="str">
        <f ca="1"/>
        <v>退会済</v>
      </c>
      <c r="J2241" s="113"/>
      <c r="K2241" s="49" t="s">
        <v>50</v>
      </c>
      <c r="M2241" s="107" t="s">
        <v>52</v>
      </c>
    </row>
    <row r="2242" spans="1:13" ht="16">
      <c r="A2242" s="101" t="str">
        <f t="shared" si="1"/>
        <v>-</v>
      </c>
      <c r="B2242" s="48"/>
      <c r="C2242" s="53"/>
      <c r="D2242" s="49"/>
      <c r="E2242" s="71"/>
      <c r="F2242" s="46"/>
      <c r="G2242" s="72"/>
      <c r="H2242" s="46"/>
      <c r="I2242" s="53" t="str">
        <f ca="1"/>
        <v>退会済</v>
      </c>
      <c r="J2242" s="113"/>
      <c r="K2242" s="49" t="s">
        <v>50</v>
      </c>
      <c r="M2242" s="107" t="s">
        <v>52</v>
      </c>
    </row>
    <row r="2243" spans="1:13" ht="16">
      <c r="A2243" s="101" t="str">
        <f t="shared" si="1"/>
        <v>-</v>
      </c>
      <c r="B2243" s="48"/>
      <c r="C2243" s="53"/>
      <c r="D2243" s="49"/>
      <c r="E2243" s="71"/>
      <c r="F2243" s="46"/>
      <c r="G2243" s="72"/>
      <c r="H2243" s="46"/>
      <c r="I2243" s="53" t="str">
        <f ca="1"/>
        <v>退会済</v>
      </c>
      <c r="J2243" s="113"/>
      <c r="K2243" s="49" t="s">
        <v>50</v>
      </c>
      <c r="M2243" s="107" t="s">
        <v>52</v>
      </c>
    </row>
    <row r="2244" spans="1:13" ht="16">
      <c r="A2244" s="101" t="str">
        <f t="shared" si="1"/>
        <v>-</v>
      </c>
      <c r="B2244" s="48"/>
      <c r="C2244" s="53"/>
      <c r="D2244" s="49"/>
      <c r="E2244" s="71"/>
      <c r="F2244" s="46"/>
      <c r="G2244" s="72"/>
      <c r="H2244" s="46"/>
      <c r="I2244" s="53" t="str">
        <f ca="1"/>
        <v>退会済</v>
      </c>
      <c r="J2244" s="113"/>
      <c r="K2244" s="49" t="s">
        <v>50</v>
      </c>
      <c r="M2244" s="107" t="s">
        <v>52</v>
      </c>
    </row>
    <row r="2245" spans="1:13" ht="16">
      <c r="A2245" s="101" t="str">
        <f t="shared" si="1"/>
        <v>-</v>
      </c>
      <c r="B2245" s="48"/>
      <c r="C2245" s="53"/>
      <c r="D2245" s="49"/>
      <c r="E2245" s="71"/>
      <c r="F2245" s="46"/>
      <c r="G2245" s="72"/>
      <c r="H2245" s="46"/>
      <c r="I2245" s="53" t="str">
        <f ca="1"/>
        <v>退会済</v>
      </c>
      <c r="J2245" s="113"/>
      <c r="K2245" s="49" t="s">
        <v>50</v>
      </c>
      <c r="M2245" s="107" t="s">
        <v>52</v>
      </c>
    </row>
    <row r="2246" spans="1:13" ht="16">
      <c r="A2246" s="101" t="str">
        <f t="shared" si="1"/>
        <v>-</v>
      </c>
      <c r="B2246" s="48"/>
      <c r="C2246" s="53"/>
      <c r="D2246" s="49"/>
      <c r="E2246" s="71"/>
      <c r="F2246" s="46"/>
      <c r="G2246" s="72"/>
      <c r="H2246" s="46"/>
      <c r="I2246" s="53" t="str">
        <f ca="1"/>
        <v>退会済</v>
      </c>
      <c r="J2246" s="113"/>
      <c r="K2246" s="49" t="s">
        <v>50</v>
      </c>
      <c r="M2246" s="107" t="s">
        <v>52</v>
      </c>
    </row>
    <row r="2247" spans="1:13" ht="16">
      <c r="A2247" s="101" t="str">
        <f t="shared" si="1"/>
        <v>-</v>
      </c>
      <c r="B2247" s="48"/>
      <c r="C2247" s="53"/>
      <c r="D2247" s="49"/>
      <c r="E2247" s="71"/>
      <c r="F2247" s="46"/>
      <c r="G2247" s="72"/>
      <c r="H2247" s="46"/>
      <c r="I2247" s="53" t="str">
        <f ca="1"/>
        <v>退会済</v>
      </c>
      <c r="J2247" s="113"/>
      <c r="K2247" s="49" t="s">
        <v>50</v>
      </c>
      <c r="M2247" s="107" t="s">
        <v>52</v>
      </c>
    </row>
    <row r="2248" spans="1:13" ht="16">
      <c r="A2248" s="101" t="str">
        <f t="shared" si="1"/>
        <v>-</v>
      </c>
      <c r="B2248" s="48"/>
      <c r="C2248" s="53"/>
      <c r="D2248" s="49"/>
      <c r="E2248" s="71"/>
      <c r="F2248" s="46"/>
      <c r="G2248" s="72"/>
      <c r="H2248" s="46"/>
      <c r="I2248" s="53" t="str">
        <f ca="1"/>
        <v>退会済</v>
      </c>
      <c r="J2248" s="113"/>
      <c r="K2248" s="49" t="s">
        <v>50</v>
      </c>
      <c r="M2248" s="107" t="s">
        <v>52</v>
      </c>
    </row>
    <row r="2249" spans="1:13" ht="16">
      <c r="A2249" s="101" t="str">
        <f t="shared" si="1"/>
        <v>-</v>
      </c>
      <c r="B2249" s="48"/>
      <c r="C2249" s="53"/>
      <c r="D2249" s="49"/>
      <c r="E2249" s="71"/>
      <c r="F2249" s="46"/>
      <c r="G2249" s="72"/>
      <c r="H2249" s="46"/>
      <c r="I2249" s="53" t="str">
        <f ca="1"/>
        <v>退会済</v>
      </c>
      <c r="J2249" s="113"/>
      <c r="K2249" s="49" t="s">
        <v>50</v>
      </c>
      <c r="M2249" s="107" t="s">
        <v>52</v>
      </c>
    </row>
    <row r="2250" spans="1:13" ht="16">
      <c r="A2250" s="101" t="str">
        <f t="shared" si="1"/>
        <v>-</v>
      </c>
      <c r="B2250" s="48"/>
      <c r="C2250" s="53"/>
      <c r="D2250" s="49"/>
      <c r="E2250" s="71"/>
      <c r="F2250" s="46"/>
      <c r="G2250" s="72"/>
      <c r="H2250" s="46"/>
      <c r="I2250" s="53" t="str">
        <f ca="1"/>
        <v>退会済</v>
      </c>
      <c r="J2250" s="113"/>
      <c r="K2250" s="49" t="s">
        <v>50</v>
      </c>
      <c r="M2250" s="107" t="s">
        <v>52</v>
      </c>
    </row>
    <row r="2251" spans="1:13" ht="16">
      <c r="A2251" s="101" t="str">
        <f t="shared" si="1"/>
        <v>-</v>
      </c>
      <c r="B2251" s="48"/>
      <c r="C2251" s="53"/>
      <c r="D2251" s="49"/>
      <c r="E2251" s="71"/>
      <c r="F2251" s="46"/>
      <c r="G2251" s="72"/>
      <c r="H2251" s="46"/>
      <c r="I2251" s="53" t="str">
        <f ca="1"/>
        <v>退会済</v>
      </c>
      <c r="J2251" s="113"/>
      <c r="K2251" s="49" t="s">
        <v>50</v>
      </c>
      <c r="M2251" s="107" t="s">
        <v>52</v>
      </c>
    </row>
    <row r="2252" spans="1:13" ht="16">
      <c r="A2252" s="101" t="str">
        <f t="shared" si="1"/>
        <v>-</v>
      </c>
      <c r="B2252" s="48"/>
      <c r="C2252" s="53"/>
      <c r="D2252" s="49"/>
      <c r="E2252" s="71"/>
      <c r="F2252" s="46"/>
      <c r="G2252" s="72"/>
      <c r="H2252" s="46"/>
      <c r="I2252" s="53" t="str">
        <f ca="1"/>
        <v>退会済</v>
      </c>
      <c r="J2252" s="113"/>
      <c r="K2252" s="49" t="s">
        <v>50</v>
      </c>
      <c r="M2252" s="107" t="s">
        <v>52</v>
      </c>
    </row>
    <row r="2253" spans="1:13" ht="16">
      <c r="A2253" s="101" t="str">
        <f t="shared" si="1"/>
        <v>-</v>
      </c>
      <c r="B2253" s="48"/>
      <c r="C2253" s="53"/>
      <c r="D2253" s="49"/>
      <c r="E2253" s="71"/>
      <c r="F2253" s="46"/>
      <c r="G2253" s="72"/>
      <c r="H2253" s="46"/>
      <c r="I2253" s="53" t="str">
        <f ca="1"/>
        <v>退会済</v>
      </c>
      <c r="J2253" s="113"/>
      <c r="K2253" s="49" t="s">
        <v>50</v>
      </c>
      <c r="M2253" s="107" t="s">
        <v>52</v>
      </c>
    </row>
    <row r="2254" spans="1:13" ht="16">
      <c r="A2254" s="101" t="str">
        <f t="shared" si="1"/>
        <v>-</v>
      </c>
      <c r="B2254" s="48"/>
      <c r="C2254" s="53"/>
      <c r="D2254" s="49"/>
      <c r="E2254" s="71"/>
      <c r="F2254" s="46"/>
      <c r="G2254" s="72"/>
      <c r="H2254" s="46"/>
      <c r="I2254" s="53" t="str">
        <f ca="1"/>
        <v>退会済</v>
      </c>
      <c r="J2254" s="113"/>
      <c r="K2254" s="49" t="s">
        <v>50</v>
      </c>
      <c r="M2254" s="107" t="s">
        <v>52</v>
      </c>
    </row>
    <row r="2255" spans="1:13" ht="16">
      <c r="A2255" s="101" t="str">
        <f t="shared" si="1"/>
        <v>-</v>
      </c>
      <c r="B2255" s="48"/>
      <c r="C2255" s="53"/>
      <c r="D2255" s="49"/>
      <c r="E2255" s="71"/>
      <c r="F2255" s="46"/>
      <c r="G2255" s="72"/>
      <c r="H2255" s="46"/>
      <c r="I2255" s="53" t="str">
        <f ca="1"/>
        <v>退会済</v>
      </c>
      <c r="J2255" s="113"/>
      <c r="K2255" s="49" t="s">
        <v>50</v>
      </c>
      <c r="M2255" s="107" t="s">
        <v>52</v>
      </c>
    </row>
    <row r="2256" spans="1:13" ht="16">
      <c r="A2256" s="101" t="str">
        <f t="shared" si="1"/>
        <v>-</v>
      </c>
      <c r="B2256" s="48"/>
      <c r="C2256" s="53"/>
      <c r="D2256" s="49"/>
      <c r="E2256" s="71"/>
      <c r="F2256" s="46"/>
      <c r="G2256" s="72"/>
      <c r="H2256" s="46"/>
      <c r="I2256" s="53" t="str">
        <f ca="1"/>
        <v>退会済</v>
      </c>
      <c r="J2256" s="113"/>
      <c r="K2256" s="49" t="s">
        <v>50</v>
      </c>
      <c r="M2256" s="107" t="s">
        <v>52</v>
      </c>
    </row>
    <row r="2257" spans="1:13" ht="16">
      <c r="A2257" s="101" t="str">
        <f t="shared" si="1"/>
        <v>-</v>
      </c>
      <c r="B2257" s="48"/>
      <c r="C2257" s="53"/>
      <c r="D2257" s="49"/>
      <c r="E2257" s="71"/>
      <c r="F2257" s="46"/>
      <c r="G2257" s="72"/>
      <c r="H2257" s="46"/>
      <c r="I2257" s="53" t="str">
        <f ca="1"/>
        <v>退会済</v>
      </c>
      <c r="J2257" s="113"/>
      <c r="K2257" s="49" t="s">
        <v>50</v>
      </c>
      <c r="M2257" s="107" t="s">
        <v>52</v>
      </c>
    </row>
    <row r="2258" spans="1:13" ht="16">
      <c r="A2258" s="101" t="str">
        <f t="shared" si="1"/>
        <v>-</v>
      </c>
      <c r="B2258" s="48"/>
      <c r="C2258" s="53"/>
      <c r="D2258" s="49"/>
      <c r="E2258" s="71"/>
      <c r="F2258" s="46"/>
      <c r="G2258" s="72"/>
      <c r="H2258" s="46"/>
      <c r="I2258" s="53" t="str">
        <f ca="1"/>
        <v>退会済</v>
      </c>
      <c r="J2258" s="113"/>
      <c r="K2258" s="49" t="s">
        <v>50</v>
      </c>
      <c r="M2258" s="107" t="s">
        <v>52</v>
      </c>
    </row>
    <row r="2259" spans="1:13" ht="16">
      <c r="A2259" s="101" t="str">
        <f t="shared" si="1"/>
        <v>-</v>
      </c>
      <c r="B2259" s="48"/>
      <c r="C2259" s="53"/>
      <c r="D2259" s="49"/>
      <c r="E2259" s="71"/>
      <c r="F2259" s="46"/>
      <c r="G2259" s="72"/>
      <c r="H2259" s="46"/>
      <c r="I2259" s="53" t="str">
        <f ca="1"/>
        <v>退会済</v>
      </c>
      <c r="J2259" s="113"/>
      <c r="K2259" s="49" t="s">
        <v>50</v>
      </c>
      <c r="M2259" s="107" t="s">
        <v>52</v>
      </c>
    </row>
    <row r="2260" spans="1:13" ht="16">
      <c r="A2260" s="101" t="str">
        <f t="shared" si="1"/>
        <v>-</v>
      </c>
      <c r="B2260" s="48"/>
      <c r="C2260" s="53"/>
      <c r="D2260" s="49"/>
      <c r="E2260" s="71"/>
      <c r="F2260" s="46"/>
      <c r="G2260" s="72"/>
      <c r="H2260" s="46"/>
      <c r="I2260" s="53" t="str">
        <f ca="1"/>
        <v>退会済</v>
      </c>
      <c r="J2260" s="113"/>
      <c r="K2260" s="49" t="s">
        <v>50</v>
      </c>
      <c r="M2260" s="107" t="s">
        <v>52</v>
      </c>
    </row>
    <row r="2261" spans="1:13" ht="16">
      <c r="A2261" s="101" t="str">
        <f t="shared" si="1"/>
        <v>-</v>
      </c>
      <c r="B2261" s="48"/>
      <c r="C2261" s="53"/>
      <c r="D2261" s="49"/>
      <c r="E2261" s="71"/>
      <c r="F2261" s="46"/>
      <c r="G2261" s="72"/>
      <c r="H2261" s="46"/>
      <c r="I2261" s="53" t="str">
        <f ca="1"/>
        <v>退会済</v>
      </c>
      <c r="J2261" s="113"/>
      <c r="K2261" s="49" t="s">
        <v>50</v>
      </c>
      <c r="M2261" s="107" t="s">
        <v>52</v>
      </c>
    </row>
    <row r="2262" spans="1:13" ht="16">
      <c r="A2262" s="101" t="str">
        <f t="shared" si="1"/>
        <v>-</v>
      </c>
      <c r="B2262" s="48"/>
      <c r="C2262" s="53"/>
      <c r="D2262" s="49"/>
      <c r="E2262" s="71"/>
      <c r="F2262" s="46"/>
      <c r="G2262" s="72"/>
      <c r="H2262" s="46"/>
      <c r="I2262" s="53" t="str">
        <f ca="1"/>
        <v>退会済</v>
      </c>
      <c r="J2262" s="113"/>
      <c r="K2262" s="49" t="s">
        <v>50</v>
      </c>
      <c r="M2262" s="107" t="s">
        <v>52</v>
      </c>
    </row>
    <row r="2263" spans="1:13" ht="16">
      <c r="A2263" s="101" t="str">
        <f t="shared" si="1"/>
        <v>-</v>
      </c>
      <c r="B2263" s="48"/>
      <c r="C2263" s="53"/>
      <c r="D2263" s="49"/>
      <c r="E2263" s="71"/>
      <c r="F2263" s="46"/>
      <c r="G2263" s="72"/>
      <c r="H2263" s="46"/>
      <c r="I2263" s="53" t="str">
        <f ca="1"/>
        <v>退会済</v>
      </c>
      <c r="J2263" s="113"/>
      <c r="K2263" s="49" t="s">
        <v>50</v>
      </c>
      <c r="M2263" s="107" t="s">
        <v>52</v>
      </c>
    </row>
    <row r="2264" spans="1:13" ht="16">
      <c r="A2264" s="101" t="str">
        <f t="shared" si="1"/>
        <v>-</v>
      </c>
      <c r="B2264" s="48"/>
      <c r="C2264" s="53"/>
      <c r="D2264" s="49"/>
      <c r="E2264" s="71"/>
      <c r="F2264" s="46"/>
      <c r="G2264" s="72"/>
      <c r="H2264" s="46"/>
      <c r="I2264" s="53" t="str">
        <f ca="1"/>
        <v>退会済</v>
      </c>
      <c r="J2264" s="113"/>
      <c r="K2264" s="49" t="s">
        <v>50</v>
      </c>
      <c r="M2264" s="107" t="s">
        <v>52</v>
      </c>
    </row>
    <row r="2265" spans="1:13" ht="16">
      <c r="A2265" s="101" t="str">
        <f t="shared" si="1"/>
        <v>-</v>
      </c>
      <c r="B2265" s="48"/>
      <c r="C2265" s="53"/>
      <c r="D2265" s="49"/>
      <c r="E2265" s="71"/>
      <c r="F2265" s="46"/>
      <c r="G2265" s="72"/>
      <c r="H2265" s="46"/>
      <c r="I2265" s="53" t="str">
        <f ca="1"/>
        <v>退会済</v>
      </c>
      <c r="J2265" s="113"/>
      <c r="K2265" s="49" t="s">
        <v>50</v>
      </c>
      <c r="M2265" s="107" t="s">
        <v>52</v>
      </c>
    </row>
    <row r="2266" spans="1:13" ht="16">
      <c r="A2266" s="101" t="str">
        <f t="shared" si="1"/>
        <v>-</v>
      </c>
      <c r="B2266" s="48"/>
      <c r="C2266" s="53"/>
      <c r="D2266" s="49"/>
      <c r="E2266" s="71"/>
      <c r="F2266" s="46"/>
      <c r="G2266" s="72"/>
      <c r="H2266" s="46"/>
      <c r="I2266" s="53" t="str">
        <f ca="1"/>
        <v>退会済</v>
      </c>
      <c r="J2266" s="113"/>
      <c r="K2266" s="49" t="s">
        <v>50</v>
      </c>
      <c r="M2266" s="107" t="s">
        <v>52</v>
      </c>
    </row>
    <row r="2267" spans="1:13" ht="16">
      <c r="A2267" s="101" t="str">
        <f t="shared" si="1"/>
        <v>-</v>
      </c>
      <c r="B2267" s="48"/>
      <c r="C2267" s="53"/>
      <c r="D2267" s="49"/>
      <c r="E2267" s="71"/>
      <c r="F2267" s="46"/>
      <c r="G2267" s="72"/>
      <c r="H2267" s="46"/>
      <c r="I2267" s="53" t="str">
        <f ca="1"/>
        <v>退会済</v>
      </c>
      <c r="J2267" s="113"/>
      <c r="K2267" s="49" t="s">
        <v>50</v>
      </c>
      <c r="M2267" s="107" t="s">
        <v>52</v>
      </c>
    </row>
    <row r="2268" spans="1:13" ht="16">
      <c r="A2268" s="101" t="str">
        <f t="shared" si="1"/>
        <v>-</v>
      </c>
      <c r="B2268" s="48"/>
      <c r="C2268" s="53"/>
      <c r="D2268" s="49"/>
      <c r="E2268" s="71"/>
      <c r="F2268" s="46"/>
      <c r="G2268" s="72"/>
      <c r="H2268" s="46"/>
      <c r="I2268" s="53" t="str">
        <f ca="1"/>
        <v>退会済</v>
      </c>
      <c r="J2268" s="113"/>
      <c r="K2268" s="49" t="s">
        <v>50</v>
      </c>
      <c r="M2268" s="107" t="s">
        <v>52</v>
      </c>
    </row>
    <row r="2269" spans="1:13" ht="16">
      <c r="A2269" s="101" t="str">
        <f t="shared" si="1"/>
        <v>-</v>
      </c>
      <c r="B2269" s="48"/>
      <c r="C2269" s="53"/>
      <c r="D2269" s="49"/>
      <c r="E2269" s="71"/>
      <c r="F2269" s="46"/>
      <c r="G2269" s="72"/>
      <c r="H2269" s="46"/>
      <c r="I2269" s="53" t="str">
        <f ca="1"/>
        <v>退会済</v>
      </c>
      <c r="J2269" s="113"/>
      <c r="K2269" s="49" t="s">
        <v>50</v>
      </c>
      <c r="M2269" s="107" t="s">
        <v>52</v>
      </c>
    </row>
    <row r="2270" spans="1:13" ht="16">
      <c r="A2270" s="101" t="str">
        <f t="shared" si="1"/>
        <v>-</v>
      </c>
      <c r="B2270" s="48"/>
      <c r="C2270" s="53"/>
      <c r="D2270" s="49"/>
      <c r="E2270" s="71"/>
      <c r="F2270" s="46"/>
      <c r="G2270" s="72"/>
      <c r="H2270" s="46"/>
      <c r="I2270" s="53" t="str">
        <f ca="1"/>
        <v>退会済</v>
      </c>
      <c r="J2270" s="113"/>
      <c r="K2270" s="49" t="s">
        <v>50</v>
      </c>
      <c r="M2270" s="107" t="s">
        <v>52</v>
      </c>
    </row>
    <row r="2271" spans="1:13" ht="17">
      <c r="A2271" s="101" t="str">
        <f t="shared" si="1"/>
        <v>OK</v>
      </c>
      <c r="B2271" s="48">
        <v>125822</v>
      </c>
      <c r="C2271" s="52" t="s">
        <v>1752</v>
      </c>
      <c r="D2271" s="49" t="s">
        <v>7</v>
      </c>
      <c r="E2271" s="49" t="s">
        <v>1427</v>
      </c>
      <c r="F2271" s="46">
        <v>6</v>
      </c>
      <c r="G2271" s="51">
        <v>43983</v>
      </c>
      <c r="H2271" s="46">
        <v>40</v>
      </c>
      <c r="I2271" s="53" t="str">
        <f ca="1"/>
        <v>菅野 ぎんが</v>
      </c>
      <c r="J2271" s="113"/>
      <c r="K2271" s="49" t="s">
        <v>50</v>
      </c>
      <c r="M2271" s="107" t="s">
        <v>52</v>
      </c>
    </row>
    <row r="2272" spans="1:13" ht="17">
      <c r="A2272" s="101" t="str">
        <f t="shared" si="1"/>
        <v>OK</v>
      </c>
      <c r="B2272" s="48">
        <v>125771</v>
      </c>
      <c r="C2272" s="52" t="s">
        <v>1753</v>
      </c>
      <c r="D2272" s="49" t="s">
        <v>7</v>
      </c>
      <c r="E2272" s="49" t="s">
        <v>1427</v>
      </c>
      <c r="F2272" s="46">
        <v>0</v>
      </c>
      <c r="G2272" s="51">
        <v>43983</v>
      </c>
      <c r="H2272" s="46">
        <v>15</v>
      </c>
      <c r="I2272" s="53" t="str">
        <f ca="1"/>
        <v>菅野 ぎんが</v>
      </c>
      <c r="J2272" s="113"/>
      <c r="K2272" s="49" t="s">
        <v>50</v>
      </c>
      <c r="M2272" s="107" t="s">
        <v>52</v>
      </c>
    </row>
    <row r="2273" spans="1:13" ht="16">
      <c r="A2273" s="101" t="str">
        <f t="shared" si="1"/>
        <v>OK</v>
      </c>
      <c r="B2273" s="48">
        <v>133930</v>
      </c>
      <c r="C2273" s="49" t="s">
        <v>1754</v>
      </c>
      <c r="D2273" s="49" t="s">
        <v>7</v>
      </c>
      <c r="E2273" s="48" t="s">
        <v>1427</v>
      </c>
      <c r="F2273" s="46">
        <v>9</v>
      </c>
      <c r="G2273" s="51">
        <v>43983</v>
      </c>
      <c r="H2273" s="46">
        <v>14</v>
      </c>
      <c r="I2273" s="49" t="str">
        <f ca="1"/>
        <v>松尾 尚樹</v>
      </c>
      <c r="J2273" s="113"/>
      <c r="K2273" s="49" t="s">
        <v>50</v>
      </c>
      <c r="M2273" s="107"/>
    </row>
    <row r="2274" spans="1:13" ht="16">
      <c r="A2274" s="101" t="str">
        <f t="shared" si="1"/>
        <v>OK</v>
      </c>
      <c r="B2274" s="48">
        <v>101044</v>
      </c>
      <c r="C2274" s="49" t="s">
        <v>1755</v>
      </c>
      <c r="D2274" s="49" t="s">
        <v>7</v>
      </c>
      <c r="E2274" s="48" t="s">
        <v>1427</v>
      </c>
      <c r="F2274" s="46">
        <v>5</v>
      </c>
      <c r="G2274" s="51">
        <v>43983</v>
      </c>
      <c r="H2274" s="46">
        <v>10</v>
      </c>
      <c r="I2274" s="49" t="str">
        <f ca="1"/>
        <v>松尾 尚樹</v>
      </c>
      <c r="J2274" s="113"/>
      <c r="K2274" s="49" t="s">
        <v>50</v>
      </c>
      <c r="M2274" s="107"/>
    </row>
    <row r="2275" spans="1:13" ht="16">
      <c r="A2275" s="101" t="str">
        <f t="shared" si="1"/>
        <v>OK</v>
      </c>
      <c r="B2275" s="48">
        <v>3904639</v>
      </c>
      <c r="C2275" s="49" t="s">
        <v>1756</v>
      </c>
      <c r="D2275" s="49" t="s">
        <v>7</v>
      </c>
      <c r="E2275" s="48" t="s">
        <v>1427</v>
      </c>
      <c r="F2275" s="46">
        <v>10</v>
      </c>
      <c r="G2275" s="51">
        <v>43983</v>
      </c>
      <c r="H2275" s="46">
        <v>15</v>
      </c>
      <c r="I2275" s="49" t="str">
        <f ca="1"/>
        <v>松尾 尚樹</v>
      </c>
      <c r="J2275" s="113"/>
      <c r="K2275" s="49" t="s">
        <v>50</v>
      </c>
      <c r="M2275" s="107"/>
    </row>
    <row r="2276" spans="1:13" ht="16">
      <c r="A2276" s="101" t="str">
        <f t="shared" si="1"/>
        <v>OK</v>
      </c>
      <c r="B2276" s="48">
        <v>139258</v>
      </c>
      <c r="C2276" s="49" t="s">
        <v>1757</v>
      </c>
      <c r="D2276" s="49" t="s">
        <v>7</v>
      </c>
      <c r="E2276" s="48" t="s">
        <v>1427</v>
      </c>
      <c r="F2276" s="46">
        <v>10</v>
      </c>
      <c r="G2276" s="51">
        <v>43983</v>
      </c>
      <c r="H2276" s="46">
        <v>50</v>
      </c>
      <c r="I2276" s="49" t="str">
        <f ca="1"/>
        <v>松尾 尚樹</v>
      </c>
      <c r="J2276" s="113"/>
      <c r="K2276" s="49" t="s">
        <v>50</v>
      </c>
      <c r="M2276" s="107"/>
    </row>
    <row r="2277" spans="1:13" ht="16">
      <c r="A2277" s="101" t="str">
        <f t="shared" si="1"/>
        <v>OK</v>
      </c>
      <c r="B2277" s="48">
        <v>139183</v>
      </c>
      <c r="C2277" s="49" t="s">
        <v>1758</v>
      </c>
      <c r="D2277" s="49" t="s">
        <v>7</v>
      </c>
      <c r="E2277" s="48" t="s">
        <v>1427</v>
      </c>
      <c r="F2277" s="46">
        <v>5</v>
      </c>
      <c r="G2277" s="51">
        <v>43983</v>
      </c>
      <c r="H2277" s="46">
        <v>15</v>
      </c>
      <c r="I2277" s="53" t="str">
        <f ca="1"/>
        <v>松尾 尚樹</v>
      </c>
      <c r="J2277" s="113"/>
      <c r="K2277" s="49" t="s">
        <v>50</v>
      </c>
      <c r="M2277" s="107"/>
    </row>
    <row r="2278" spans="1:13" ht="16">
      <c r="A2278" s="101"/>
      <c r="B2278" s="75"/>
      <c r="C2278" s="76"/>
      <c r="D2278" s="49"/>
      <c r="E2278" s="48"/>
      <c r="F2278" s="77"/>
      <c r="G2278" s="78"/>
      <c r="H2278" s="77"/>
      <c r="I2278" s="53" t="str">
        <f ca="1"/>
        <v>退会済</v>
      </c>
      <c r="J2278" s="113"/>
      <c r="K2278" s="49" t="s">
        <v>50</v>
      </c>
      <c r="M2278" s="107"/>
    </row>
    <row r="2279" spans="1:13" ht="16">
      <c r="A2279" s="101"/>
      <c r="B2279" s="48"/>
      <c r="C2279" s="53"/>
      <c r="D2279" s="49"/>
      <c r="E2279" s="71"/>
      <c r="F2279" s="46"/>
      <c r="G2279" s="80"/>
      <c r="H2279" s="46"/>
      <c r="I2279" s="53" t="str">
        <f ca="1"/>
        <v>退会済</v>
      </c>
      <c r="J2279" s="113"/>
      <c r="K2279" s="49" t="s">
        <v>50</v>
      </c>
      <c r="M2279" s="107"/>
    </row>
    <row r="2280" spans="1:13" ht="16">
      <c r="A2280" s="101"/>
      <c r="B2280" s="48"/>
      <c r="C2280" s="53"/>
      <c r="D2280" s="49"/>
      <c r="E2280" s="71"/>
      <c r="F2280" s="46"/>
      <c r="G2280" s="72"/>
      <c r="H2280" s="46"/>
      <c r="I2280" s="53" t="str">
        <f ca="1"/>
        <v>退会済</v>
      </c>
      <c r="J2280" s="113"/>
      <c r="K2280" s="49" t="s">
        <v>50</v>
      </c>
      <c r="M2280" s="107"/>
    </row>
    <row r="2281" spans="1:13" ht="16">
      <c r="A2281" s="101"/>
      <c r="B2281" s="48"/>
      <c r="C2281" s="53"/>
      <c r="D2281" s="49"/>
      <c r="E2281" s="71"/>
      <c r="F2281" s="46"/>
      <c r="G2281" s="72"/>
      <c r="H2281" s="46"/>
      <c r="I2281" s="53" t="str">
        <f ca="1"/>
        <v>退会済</v>
      </c>
      <c r="J2281" s="113"/>
      <c r="K2281" s="49" t="s">
        <v>50</v>
      </c>
      <c r="M2281" s="107"/>
    </row>
    <row r="2282" spans="1:13" ht="16">
      <c r="A2282" s="101"/>
      <c r="B2282" s="48"/>
      <c r="C2282" s="53"/>
      <c r="D2282" s="49"/>
      <c r="E2282" s="71"/>
      <c r="F2282" s="46"/>
      <c r="G2282" s="72"/>
      <c r="H2282" s="46"/>
      <c r="I2282" s="53" t="str">
        <f ca="1"/>
        <v>退会済</v>
      </c>
      <c r="J2282" s="113"/>
      <c r="K2282" s="49" t="s">
        <v>50</v>
      </c>
      <c r="M2282" s="107"/>
    </row>
    <row r="2283" spans="1:13" ht="16">
      <c r="A2283" s="101"/>
      <c r="B2283" s="48"/>
      <c r="C2283" s="53"/>
      <c r="D2283" s="49"/>
      <c r="E2283" s="71"/>
      <c r="F2283" s="46"/>
      <c r="G2283" s="72"/>
      <c r="H2283" s="46"/>
      <c r="I2283" s="53" t="str">
        <f ca="1"/>
        <v>退会済</v>
      </c>
      <c r="J2283" s="113"/>
      <c r="K2283" s="49" t="s">
        <v>50</v>
      </c>
      <c r="M2283" s="107"/>
    </row>
    <row r="2284" spans="1:13" ht="16">
      <c r="A2284" s="101"/>
      <c r="B2284" s="48"/>
      <c r="C2284" s="53"/>
      <c r="D2284" s="49"/>
      <c r="E2284" s="71"/>
      <c r="F2284" s="46"/>
      <c r="G2284" s="72"/>
      <c r="H2284" s="46"/>
      <c r="I2284" s="53" t="str">
        <f ca="1"/>
        <v>退会済</v>
      </c>
      <c r="J2284" s="113"/>
      <c r="K2284" s="49" t="s">
        <v>50</v>
      </c>
      <c r="M2284" s="107"/>
    </row>
    <row r="2285" spans="1:13" ht="16">
      <c r="A2285" s="101"/>
      <c r="B2285" s="48"/>
      <c r="C2285" s="53"/>
      <c r="D2285" s="49"/>
      <c r="E2285" s="71"/>
      <c r="F2285" s="46"/>
      <c r="G2285" s="72"/>
      <c r="H2285" s="46"/>
      <c r="I2285" s="53" t="str">
        <f ca="1"/>
        <v>退会済</v>
      </c>
      <c r="J2285" s="113"/>
      <c r="K2285" s="49" t="s">
        <v>50</v>
      </c>
      <c r="M2285" s="107"/>
    </row>
    <row r="2286" spans="1:13" ht="16">
      <c r="A2286" s="101"/>
      <c r="B2286" s="48"/>
      <c r="C2286" s="53"/>
      <c r="D2286" s="49"/>
      <c r="E2286" s="71"/>
      <c r="F2286" s="46"/>
      <c r="G2286" s="72"/>
      <c r="H2286" s="46"/>
      <c r="I2286" s="53" t="str">
        <f ca="1"/>
        <v>退会済</v>
      </c>
      <c r="J2286" s="113"/>
      <c r="K2286" s="49" t="s">
        <v>50</v>
      </c>
      <c r="M2286" s="107"/>
    </row>
    <row r="2287" spans="1:13" ht="16">
      <c r="A2287" s="101"/>
      <c r="B2287" s="48"/>
      <c r="C2287" s="53"/>
      <c r="D2287" s="49"/>
      <c r="E2287" s="71"/>
      <c r="F2287" s="46"/>
      <c r="G2287" s="72"/>
      <c r="H2287" s="46"/>
      <c r="I2287" s="53" t="str">
        <f ca="1"/>
        <v>退会済</v>
      </c>
      <c r="J2287" s="113"/>
      <c r="K2287" s="49" t="s">
        <v>50</v>
      </c>
      <c r="M2287" s="107"/>
    </row>
    <row r="2288" spans="1:13" ht="16">
      <c r="A2288" s="101"/>
      <c r="B2288" s="48"/>
      <c r="C2288" s="53"/>
      <c r="D2288" s="49"/>
      <c r="E2288" s="71"/>
      <c r="F2288" s="46"/>
      <c r="G2288" s="72"/>
      <c r="H2288" s="46"/>
      <c r="I2288" s="53" t="str">
        <f ca="1"/>
        <v>退会済</v>
      </c>
      <c r="J2288" s="113"/>
      <c r="K2288" s="49" t="s">
        <v>50</v>
      </c>
      <c r="M2288" s="107"/>
    </row>
    <row r="2289" spans="1:13" ht="16">
      <c r="A2289" s="101"/>
      <c r="B2289" s="48"/>
      <c r="C2289" s="53"/>
      <c r="D2289" s="49"/>
      <c r="E2289" s="71"/>
      <c r="F2289" s="46"/>
      <c r="G2289" s="72"/>
      <c r="H2289" s="46"/>
      <c r="I2289" s="53" t="str">
        <f ca="1"/>
        <v>退会済</v>
      </c>
      <c r="J2289" s="113"/>
      <c r="K2289" s="49" t="s">
        <v>50</v>
      </c>
      <c r="M2289" s="107"/>
    </row>
    <row r="2290" spans="1:13" ht="16">
      <c r="A2290" s="101"/>
      <c r="B2290" s="48"/>
      <c r="C2290" s="53"/>
      <c r="D2290" s="49"/>
      <c r="E2290" s="71"/>
      <c r="F2290" s="46"/>
      <c r="G2290" s="72"/>
      <c r="H2290" s="46"/>
      <c r="I2290" s="53" t="str">
        <f ca="1"/>
        <v>退会済</v>
      </c>
      <c r="J2290" s="113"/>
      <c r="K2290" s="49" t="s">
        <v>50</v>
      </c>
      <c r="M2290" s="107"/>
    </row>
    <row r="2291" spans="1:13" ht="16">
      <c r="A2291" s="101"/>
      <c r="B2291" s="48"/>
      <c r="C2291" s="53"/>
      <c r="D2291" s="49"/>
      <c r="E2291" s="71"/>
      <c r="F2291" s="46"/>
      <c r="G2291" s="72"/>
      <c r="H2291" s="46"/>
      <c r="I2291" s="53" t="str">
        <f ca="1"/>
        <v>退会済</v>
      </c>
      <c r="J2291" s="113"/>
      <c r="K2291" s="49" t="s">
        <v>50</v>
      </c>
      <c r="M2291" s="107"/>
    </row>
    <row r="2292" spans="1:13" ht="16">
      <c r="A2292" s="101"/>
      <c r="B2292" s="48"/>
      <c r="C2292" s="53"/>
      <c r="D2292" s="49"/>
      <c r="E2292" s="71"/>
      <c r="F2292" s="46"/>
      <c r="G2292" s="72"/>
      <c r="H2292" s="46"/>
      <c r="I2292" s="53" t="str">
        <f ca="1"/>
        <v>退会済</v>
      </c>
      <c r="J2292" s="113"/>
      <c r="K2292" s="49" t="s">
        <v>50</v>
      </c>
      <c r="M2292" s="107"/>
    </row>
    <row r="2293" spans="1:13" ht="16">
      <c r="A2293" s="101"/>
      <c r="B2293" s="48"/>
      <c r="C2293" s="53"/>
      <c r="D2293" s="49"/>
      <c r="E2293" s="71"/>
      <c r="F2293" s="46"/>
      <c r="G2293" s="72"/>
      <c r="H2293" s="46"/>
      <c r="I2293" s="53" t="str">
        <f ca="1"/>
        <v>退会済</v>
      </c>
      <c r="J2293" s="113"/>
      <c r="K2293" s="49" t="s">
        <v>50</v>
      </c>
      <c r="M2293" s="107"/>
    </row>
    <row r="2294" spans="1:13" ht="16">
      <c r="A2294" s="101"/>
      <c r="B2294" s="48"/>
      <c r="C2294" s="53"/>
      <c r="D2294" s="49"/>
      <c r="E2294" s="71"/>
      <c r="F2294" s="46"/>
      <c r="G2294" s="72"/>
      <c r="H2294" s="46"/>
      <c r="I2294" s="53" t="str">
        <f ca="1"/>
        <v>退会済</v>
      </c>
      <c r="J2294" s="113"/>
      <c r="K2294" s="49" t="s">
        <v>50</v>
      </c>
      <c r="M2294" s="107"/>
    </row>
    <row r="2295" spans="1:13" ht="16">
      <c r="A2295" s="101"/>
      <c r="B2295" s="48"/>
      <c r="C2295" s="53"/>
      <c r="D2295" s="49"/>
      <c r="E2295" s="71"/>
      <c r="F2295" s="46"/>
      <c r="G2295" s="72"/>
      <c r="H2295" s="46"/>
      <c r="I2295" s="53" t="str">
        <f ca="1"/>
        <v>退会済</v>
      </c>
      <c r="J2295" s="113"/>
      <c r="K2295" s="49" t="s">
        <v>50</v>
      </c>
      <c r="M2295" s="107"/>
    </row>
    <row r="2296" spans="1:13" ht="16">
      <c r="A2296" s="101"/>
      <c r="B2296" s="48"/>
      <c r="C2296" s="53"/>
      <c r="D2296" s="49"/>
      <c r="E2296" s="71"/>
      <c r="F2296" s="46"/>
      <c r="G2296" s="72"/>
      <c r="H2296" s="46"/>
      <c r="I2296" s="53" t="str">
        <f ca="1"/>
        <v>退会済</v>
      </c>
      <c r="J2296" s="113"/>
      <c r="K2296" s="49" t="s">
        <v>50</v>
      </c>
      <c r="M2296" s="107"/>
    </row>
    <row r="2297" spans="1:13" ht="16">
      <c r="A2297" s="101"/>
      <c r="B2297" s="48"/>
      <c r="C2297" s="53"/>
      <c r="D2297" s="49"/>
      <c r="E2297" s="71"/>
      <c r="F2297" s="46"/>
      <c r="G2297" s="72"/>
      <c r="H2297" s="46"/>
      <c r="I2297" s="53" t="str">
        <f ca="1"/>
        <v>退会済</v>
      </c>
      <c r="J2297" s="113"/>
      <c r="K2297" s="49" t="s">
        <v>50</v>
      </c>
      <c r="M2297" s="107"/>
    </row>
    <row r="2298" spans="1:13" ht="16">
      <c r="A2298" s="101"/>
      <c r="B2298" s="48"/>
      <c r="C2298" s="53"/>
      <c r="D2298" s="49"/>
      <c r="E2298" s="71"/>
      <c r="F2298" s="46"/>
      <c r="G2298" s="72"/>
      <c r="H2298" s="46"/>
      <c r="I2298" s="53" t="str">
        <f ca="1"/>
        <v>退会済</v>
      </c>
      <c r="J2298" s="113"/>
      <c r="K2298" s="49" t="s">
        <v>50</v>
      </c>
      <c r="M2298" s="107"/>
    </row>
    <row r="2299" spans="1:13" ht="16">
      <c r="A2299" s="101"/>
      <c r="B2299" s="48"/>
      <c r="C2299" s="53"/>
      <c r="D2299" s="49"/>
      <c r="E2299" s="71"/>
      <c r="F2299" s="46"/>
      <c r="G2299" s="72"/>
      <c r="H2299" s="46"/>
      <c r="I2299" s="53" t="str">
        <f ca="1"/>
        <v>退会済</v>
      </c>
      <c r="J2299" s="113"/>
      <c r="K2299" s="49" t="s">
        <v>50</v>
      </c>
      <c r="M2299" s="107"/>
    </row>
    <row r="2300" spans="1:13" ht="16">
      <c r="A2300" s="101"/>
      <c r="B2300" s="48"/>
      <c r="C2300" s="53"/>
      <c r="D2300" s="49"/>
      <c r="E2300" s="71"/>
      <c r="F2300" s="46"/>
      <c r="G2300" s="72"/>
      <c r="H2300" s="46"/>
      <c r="I2300" s="53" t="str">
        <f ca="1"/>
        <v>退会済</v>
      </c>
      <c r="J2300" s="113"/>
      <c r="K2300" s="49" t="s">
        <v>50</v>
      </c>
      <c r="M2300" s="107"/>
    </row>
    <row r="2301" spans="1:13" ht="16">
      <c r="A2301" s="101"/>
      <c r="B2301" s="48"/>
      <c r="C2301" s="53"/>
      <c r="D2301" s="49"/>
      <c r="E2301" s="71"/>
      <c r="F2301" s="46"/>
      <c r="G2301" s="72"/>
      <c r="H2301" s="46"/>
      <c r="I2301" s="53" t="str">
        <f ca="1"/>
        <v>退会済</v>
      </c>
      <c r="J2301" s="113"/>
      <c r="K2301" s="49" t="s">
        <v>50</v>
      </c>
      <c r="M2301" s="107"/>
    </row>
    <row r="2302" spans="1:13" ht="16">
      <c r="A2302" s="101"/>
      <c r="B2302" s="48"/>
      <c r="C2302" s="53"/>
      <c r="D2302" s="49"/>
      <c r="E2302" s="71"/>
      <c r="F2302" s="46"/>
      <c r="G2302" s="72"/>
      <c r="H2302" s="46"/>
      <c r="I2302" s="53" t="str">
        <f ca="1"/>
        <v>退会済</v>
      </c>
      <c r="J2302" s="113"/>
      <c r="K2302" s="49" t="s">
        <v>50</v>
      </c>
      <c r="M2302" s="107"/>
    </row>
    <row r="2303" spans="1:13" ht="16">
      <c r="A2303" s="101"/>
      <c r="B2303" s="48"/>
      <c r="C2303" s="53"/>
      <c r="D2303" s="49"/>
      <c r="E2303" s="71"/>
      <c r="F2303" s="46"/>
      <c r="G2303" s="72"/>
      <c r="H2303" s="46"/>
      <c r="I2303" s="53" t="str">
        <f ca="1"/>
        <v>退会済</v>
      </c>
      <c r="J2303" s="113"/>
      <c r="K2303" s="49" t="s">
        <v>50</v>
      </c>
      <c r="M2303" s="107"/>
    </row>
    <row r="2304" spans="1:13" ht="16">
      <c r="A2304" s="101"/>
      <c r="B2304" s="48"/>
      <c r="C2304" s="53"/>
      <c r="D2304" s="49"/>
      <c r="E2304" s="71"/>
      <c r="F2304" s="46"/>
      <c r="G2304" s="72"/>
      <c r="H2304" s="46"/>
      <c r="I2304" s="53" t="str">
        <f ca="1"/>
        <v>退会済</v>
      </c>
      <c r="J2304" s="113"/>
      <c r="K2304" s="49" t="s">
        <v>50</v>
      </c>
      <c r="M2304" s="107"/>
    </row>
    <row r="2305" spans="1:13" ht="16">
      <c r="A2305" s="101"/>
      <c r="B2305" s="48"/>
      <c r="C2305" s="53"/>
      <c r="D2305" s="49"/>
      <c r="E2305" s="71"/>
      <c r="F2305" s="46"/>
      <c r="G2305" s="72"/>
      <c r="H2305" s="46"/>
      <c r="I2305" s="53" t="str">
        <f ca="1"/>
        <v>退会済</v>
      </c>
      <c r="J2305" s="113"/>
      <c r="K2305" s="49" t="s">
        <v>50</v>
      </c>
      <c r="M2305" s="107"/>
    </row>
    <row r="2306" spans="1:13" ht="16">
      <c r="A2306" s="101"/>
      <c r="B2306" s="48"/>
      <c r="C2306" s="53"/>
      <c r="D2306" s="49"/>
      <c r="E2306" s="71"/>
      <c r="F2306" s="46"/>
      <c r="G2306" s="72"/>
      <c r="H2306" s="46"/>
      <c r="I2306" s="53" t="str">
        <f ca="1"/>
        <v>退会済</v>
      </c>
      <c r="J2306" s="113"/>
      <c r="K2306" s="49" t="s">
        <v>50</v>
      </c>
      <c r="M2306" s="107"/>
    </row>
    <row r="2307" spans="1:13" ht="16">
      <c r="A2307" s="101"/>
      <c r="B2307" s="48"/>
      <c r="C2307" s="53"/>
      <c r="D2307" s="49"/>
      <c r="E2307" s="71"/>
      <c r="F2307" s="46"/>
      <c r="G2307" s="72"/>
      <c r="H2307" s="46"/>
      <c r="I2307" s="53" t="str">
        <f ca="1"/>
        <v>退会済</v>
      </c>
      <c r="J2307" s="113"/>
      <c r="K2307" s="49" t="s">
        <v>50</v>
      </c>
      <c r="M2307" s="107"/>
    </row>
    <row r="2308" spans="1:13" ht="16">
      <c r="A2308" s="101"/>
      <c r="B2308" s="48"/>
      <c r="C2308" s="53"/>
      <c r="D2308" s="49"/>
      <c r="E2308" s="71"/>
      <c r="F2308" s="46"/>
      <c r="G2308" s="72"/>
      <c r="H2308" s="46"/>
      <c r="I2308" s="53" t="str">
        <f ca="1"/>
        <v>退会済</v>
      </c>
      <c r="J2308" s="113"/>
      <c r="K2308" s="49" t="s">
        <v>50</v>
      </c>
      <c r="M2308" s="107"/>
    </row>
    <row r="2309" spans="1:13" ht="16">
      <c r="A2309" s="101"/>
      <c r="B2309" s="48"/>
      <c r="C2309" s="53"/>
      <c r="D2309" s="49"/>
      <c r="E2309" s="71"/>
      <c r="F2309" s="46"/>
      <c r="G2309" s="72"/>
      <c r="H2309" s="46"/>
      <c r="I2309" s="53" t="str">
        <f ca="1"/>
        <v>退会済</v>
      </c>
      <c r="J2309" s="113"/>
      <c r="K2309" s="49" t="s">
        <v>50</v>
      </c>
      <c r="M2309" s="107"/>
    </row>
    <row r="2310" spans="1:13" ht="16">
      <c r="A2310" s="101"/>
      <c r="B2310" s="48"/>
      <c r="C2310" s="53"/>
      <c r="D2310" s="49"/>
      <c r="E2310" s="71"/>
      <c r="F2310" s="46"/>
      <c r="G2310" s="72"/>
      <c r="H2310" s="46"/>
      <c r="I2310" s="53" t="str">
        <f ca="1"/>
        <v>退会済</v>
      </c>
      <c r="J2310" s="113"/>
      <c r="K2310" s="49" t="s">
        <v>50</v>
      </c>
      <c r="M2310" s="107"/>
    </row>
    <row r="2311" spans="1:13" ht="16">
      <c r="A2311" s="101"/>
      <c r="B2311" s="48"/>
      <c r="C2311" s="53"/>
      <c r="D2311" s="49"/>
      <c r="E2311" s="71"/>
      <c r="F2311" s="46"/>
      <c r="G2311" s="72"/>
      <c r="H2311" s="46"/>
      <c r="I2311" s="53" t="str">
        <f ca="1"/>
        <v>退会済</v>
      </c>
      <c r="J2311" s="113"/>
      <c r="K2311" s="49" t="s">
        <v>50</v>
      </c>
      <c r="M2311" s="107"/>
    </row>
    <row r="2312" spans="1:13" ht="16">
      <c r="A2312" s="101"/>
      <c r="B2312" s="48"/>
      <c r="C2312" s="53"/>
      <c r="D2312" s="49"/>
      <c r="E2312" s="71"/>
      <c r="F2312" s="46"/>
      <c r="G2312" s="72"/>
      <c r="H2312" s="46"/>
      <c r="I2312" s="53" t="str">
        <f ca="1"/>
        <v>退会済</v>
      </c>
      <c r="J2312" s="113"/>
      <c r="K2312" s="49" t="s">
        <v>50</v>
      </c>
      <c r="M2312" s="107"/>
    </row>
    <row r="2313" spans="1:13" ht="16">
      <c r="A2313" s="101"/>
      <c r="B2313" s="48"/>
      <c r="C2313" s="53"/>
      <c r="D2313" s="49"/>
      <c r="E2313" s="71"/>
      <c r="F2313" s="46"/>
      <c r="G2313" s="72"/>
      <c r="H2313" s="46"/>
      <c r="I2313" s="53" t="str">
        <f ca="1"/>
        <v>退会済</v>
      </c>
      <c r="J2313" s="113"/>
      <c r="K2313" s="49" t="s">
        <v>50</v>
      </c>
      <c r="M2313" s="107"/>
    </row>
    <row r="2314" spans="1:13" ht="16">
      <c r="A2314" s="101"/>
      <c r="B2314" s="48"/>
      <c r="C2314" s="53"/>
      <c r="D2314" s="49"/>
      <c r="E2314" s="71"/>
      <c r="F2314" s="46"/>
      <c r="G2314" s="72"/>
      <c r="H2314" s="46"/>
      <c r="I2314" s="53" t="str">
        <f ca="1"/>
        <v>退会済</v>
      </c>
      <c r="J2314" s="113"/>
      <c r="K2314" s="49" t="s">
        <v>50</v>
      </c>
      <c r="M2314" s="107"/>
    </row>
    <row r="2315" spans="1:13" ht="16">
      <c r="A2315" s="101"/>
      <c r="B2315" s="48"/>
      <c r="C2315" s="53"/>
      <c r="D2315" s="49"/>
      <c r="E2315" s="71"/>
      <c r="F2315" s="46"/>
      <c r="G2315" s="72"/>
      <c r="H2315" s="46"/>
      <c r="I2315" s="53" t="str">
        <f ca="1"/>
        <v>退会済</v>
      </c>
      <c r="J2315" s="113"/>
      <c r="K2315" s="49" t="s">
        <v>50</v>
      </c>
      <c r="M2315" s="107"/>
    </row>
    <row r="2316" spans="1:13" ht="16">
      <c r="A2316" s="101"/>
      <c r="B2316" s="48"/>
      <c r="C2316" s="53"/>
      <c r="D2316" s="49"/>
      <c r="E2316" s="71"/>
      <c r="F2316" s="46"/>
      <c r="G2316" s="72"/>
      <c r="H2316" s="46"/>
      <c r="I2316" s="53" t="str">
        <f ca="1"/>
        <v>退会済</v>
      </c>
      <c r="J2316" s="113"/>
      <c r="K2316" s="49" t="s">
        <v>50</v>
      </c>
      <c r="M2316" s="107"/>
    </row>
    <row r="2317" spans="1:13" ht="16">
      <c r="A2317" s="101"/>
      <c r="B2317" s="48"/>
      <c r="C2317" s="53"/>
      <c r="D2317" s="49"/>
      <c r="E2317" s="71"/>
      <c r="F2317" s="46"/>
      <c r="G2317" s="72"/>
      <c r="H2317" s="46"/>
      <c r="I2317" s="53" t="str">
        <f ca="1"/>
        <v>退会済</v>
      </c>
      <c r="J2317" s="113"/>
      <c r="K2317" s="49" t="s">
        <v>50</v>
      </c>
      <c r="M2317" s="107"/>
    </row>
    <row r="2318" spans="1:13" ht="16">
      <c r="A2318" s="101"/>
      <c r="B2318" s="48"/>
      <c r="C2318" s="53"/>
      <c r="D2318" s="49"/>
      <c r="E2318" s="71"/>
      <c r="F2318" s="46"/>
      <c r="G2318" s="72"/>
      <c r="H2318" s="46"/>
      <c r="I2318" s="53" t="str">
        <f ca="1"/>
        <v>退会済</v>
      </c>
      <c r="J2318" s="113"/>
      <c r="K2318" s="49" t="s">
        <v>50</v>
      </c>
      <c r="M2318" s="107"/>
    </row>
    <row r="2319" spans="1:13" ht="16">
      <c r="A2319" s="101"/>
      <c r="B2319" s="48"/>
      <c r="C2319" s="53"/>
      <c r="D2319" s="49"/>
      <c r="E2319" s="71"/>
      <c r="F2319" s="46"/>
      <c r="G2319" s="72"/>
      <c r="H2319" s="46"/>
      <c r="I2319" s="53" t="str">
        <f ca="1"/>
        <v>退会済</v>
      </c>
      <c r="J2319" s="113"/>
      <c r="K2319" s="49" t="s">
        <v>50</v>
      </c>
      <c r="M2319" s="107"/>
    </row>
    <row r="2320" spans="1:13" ht="16">
      <c r="A2320" s="101"/>
      <c r="B2320" s="48"/>
      <c r="C2320" s="53"/>
      <c r="D2320" s="49"/>
      <c r="E2320" s="71"/>
      <c r="F2320" s="46"/>
      <c r="G2320" s="72"/>
      <c r="H2320" s="46"/>
      <c r="I2320" s="53" t="str">
        <f ca="1"/>
        <v>退会済</v>
      </c>
      <c r="J2320" s="113"/>
      <c r="K2320" s="49" t="s">
        <v>50</v>
      </c>
      <c r="M2320" s="107"/>
    </row>
    <row r="2321" spans="1:13" ht="16">
      <c r="A2321" s="101"/>
      <c r="B2321" s="48"/>
      <c r="C2321" s="53"/>
      <c r="D2321" s="49"/>
      <c r="E2321" s="71"/>
      <c r="F2321" s="46"/>
      <c r="G2321" s="72"/>
      <c r="H2321" s="46"/>
      <c r="I2321" s="53" t="str">
        <f ca="1"/>
        <v>退会済</v>
      </c>
      <c r="J2321" s="113"/>
      <c r="K2321" s="49" t="s">
        <v>50</v>
      </c>
      <c r="M2321" s="107"/>
    </row>
    <row r="2322" spans="1:13" ht="16">
      <c r="A2322" s="101"/>
      <c r="B2322" s="48"/>
      <c r="C2322" s="53"/>
      <c r="D2322" s="49"/>
      <c r="E2322" s="71"/>
      <c r="F2322" s="46"/>
      <c r="G2322" s="72"/>
      <c r="H2322" s="46"/>
      <c r="I2322" s="53" t="str">
        <f ca="1"/>
        <v>退会済</v>
      </c>
      <c r="J2322" s="113"/>
      <c r="K2322" s="49" t="s">
        <v>50</v>
      </c>
      <c r="M2322" s="107"/>
    </row>
    <row r="2323" spans="1:13" ht="16">
      <c r="A2323" s="101"/>
      <c r="B2323" s="48"/>
      <c r="C2323" s="53"/>
      <c r="D2323" s="49"/>
      <c r="E2323" s="71"/>
      <c r="F2323" s="46"/>
      <c r="G2323" s="72"/>
      <c r="H2323" s="46"/>
      <c r="I2323" s="53" t="str">
        <f ca="1"/>
        <v>退会済</v>
      </c>
      <c r="J2323" s="113"/>
      <c r="K2323" s="49" t="s">
        <v>50</v>
      </c>
      <c r="M2323" s="107"/>
    </row>
    <row r="2324" spans="1:13" ht="16">
      <c r="A2324" s="101"/>
      <c r="B2324" s="48"/>
      <c r="C2324" s="53"/>
      <c r="D2324" s="49"/>
      <c r="E2324" s="71"/>
      <c r="F2324" s="46"/>
      <c r="G2324" s="72"/>
      <c r="H2324" s="46"/>
      <c r="I2324" s="53" t="str">
        <f ca="1"/>
        <v>退会済</v>
      </c>
      <c r="J2324" s="113"/>
      <c r="K2324" s="49" t="s">
        <v>50</v>
      </c>
      <c r="M2324" s="107"/>
    </row>
    <row r="2325" spans="1:13" ht="16">
      <c r="A2325" s="101"/>
      <c r="B2325" s="48"/>
      <c r="C2325" s="53"/>
      <c r="D2325" s="49"/>
      <c r="E2325" s="71"/>
      <c r="F2325" s="46"/>
      <c r="G2325" s="72"/>
      <c r="H2325" s="46"/>
      <c r="I2325" s="53" t="str">
        <f ca="1"/>
        <v>退会済</v>
      </c>
      <c r="J2325" s="113"/>
      <c r="K2325" s="49" t="s">
        <v>50</v>
      </c>
      <c r="M2325" s="107"/>
    </row>
    <row r="2326" spans="1:13" ht="16">
      <c r="A2326" s="101"/>
      <c r="B2326" s="48"/>
      <c r="C2326" s="53"/>
      <c r="D2326" s="49"/>
      <c r="E2326" s="71"/>
      <c r="F2326" s="46"/>
      <c r="G2326" s="72"/>
      <c r="H2326" s="46"/>
      <c r="I2326" s="53" t="str">
        <f ca="1"/>
        <v>退会済</v>
      </c>
      <c r="J2326" s="113"/>
      <c r="K2326" s="49" t="s">
        <v>50</v>
      </c>
      <c r="M2326" s="107"/>
    </row>
    <row r="2327" spans="1:13" ht="16">
      <c r="A2327" s="101"/>
      <c r="B2327" s="48"/>
      <c r="C2327" s="53"/>
      <c r="D2327" s="49"/>
      <c r="E2327" s="71"/>
      <c r="F2327" s="46"/>
      <c r="G2327" s="72"/>
      <c r="H2327" s="46"/>
      <c r="I2327" s="53" t="str">
        <f ca="1"/>
        <v>退会済</v>
      </c>
      <c r="J2327" s="113"/>
      <c r="K2327" s="49" t="s">
        <v>50</v>
      </c>
      <c r="M2327" s="107"/>
    </row>
    <row r="2328" spans="1:13" ht="16">
      <c r="A2328" s="101"/>
      <c r="B2328" s="48"/>
      <c r="C2328" s="53"/>
      <c r="D2328" s="49"/>
      <c r="E2328" s="71"/>
      <c r="F2328" s="46"/>
      <c r="G2328" s="72"/>
      <c r="H2328" s="46"/>
      <c r="I2328" s="53" t="str">
        <f ca="1"/>
        <v>退会済</v>
      </c>
      <c r="J2328" s="113"/>
      <c r="K2328" s="49" t="s">
        <v>50</v>
      </c>
      <c r="M2328" s="107"/>
    </row>
    <row r="2329" spans="1:13" ht="16">
      <c r="A2329" s="101"/>
      <c r="B2329" s="48"/>
      <c r="C2329" s="53"/>
      <c r="D2329" s="49"/>
      <c r="E2329" s="71"/>
      <c r="F2329" s="46"/>
      <c r="G2329" s="72"/>
      <c r="H2329" s="46"/>
      <c r="I2329" s="53" t="str">
        <f ca="1"/>
        <v>退会済</v>
      </c>
      <c r="J2329" s="113"/>
      <c r="K2329" s="49" t="s">
        <v>50</v>
      </c>
      <c r="M2329" s="107"/>
    </row>
    <row r="2330" spans="1:13" ht="16">
      <c r="A2330" s="101"/>
      <c r="B2330" s="48"/>
      <c r="C2330" s="53"/>
      <c r="D2330" s="49"/>
      <c r="E2330" s="71"/>
      <c r="F2330" s="46"/>
      <c r="G2330" s="72"/>
      <c r="H2330" s="46"/>
      <c r="I2330" s="53" t="str">
        <f ca="1"/>
        <v>退会済</v>
      </c>
      <c r="J2330" s="113"/>
      <c r="K2330" s="49" t="s">
        <v>50</v>
      </c>
      <c r="M2330" s="107"/>
    </row>
    <row r="2331" spans="1:13" ht="16">
      <c r="A2331" s="101"/>
      <c r="B2331" s="48"/>
      <c r="C2331" s="53"/>
      <c r="D2331" s="49"/>
      <c r="E2331" s="71"/>
      <c r="F2331" s="46"/>
      <c r="G2331" s="72"/>
      <c r="H2331" s="46"/>
      <c r="I2331" s="53" t="str">
        <f ca="1"/>
        <v>退会済</v>
      </c>
      <c r="J2331" s="113"/>
      <c r="K2331" s="49" t="s">
        <v>50</v>
      </c>
      <c r="M2331" s="107"/>
    </row>
    <row r="2332" spans="1:13" ht="16">
      <c r="A2332" s="101"/>
      <c r="B2332" s="48"/>
      <c r="C2332" s="53"/>
      <c r="D2332" s="49"/>
      <c r="E2332" s="71"/>
      <c r="F2332" s="46"/>
      <c r="G2332" s="72"/>
      <c r="H2332" s="46"/>
      <c r="I2332" s="53" t="str">
        <f ca="1"/>
        <v>退会済</v>
      </c>
      <c r="J2332" s="113"/>
      <c r="K2332" s="49" t="s">
        <v>50</v>
      </c>
      <c r="M2332" s="107"/>
    </row>
    <row r="2333" spans="1:13" ht="16">
      <c r="A2333" s="101"/>
      <c r="B2333" s="48"/>
      <c r="C2333" s="53"/>
      <c r="D2333" s="49"/>
      <c r="E2333" s="71"/>
      <c r="F2333" s="46"/>
      <c r="G2333" s="72"/>
      <c r="H2333" s="46"/>
      <c r="I2333" s="53" t="str">
        <f ca="1"/>
        <v>退会済</v>
      </c>
      <c r="J2333" s="113"/>
      <c r="K2333" s="49" t="s">
        <v>50</v>
      </c>
      <c r="M2333" s="107"/>
    </row>
    <row r="2334" spans="1:13" ht="16">
      <c r="A2334" s="101"/>
      <c r="B2334" s="48"/>
      <c r="C2334" s="53"/>
      <c r="D2334" s="49"/>
      <c r="E2334" s="71"/>
      <c r="F2334" s="46"/>
      <c r="G2334" s="72"/>
      <c r="H2334" s="46"/>
      <c r="I2334" s="53" t="str">
        <f ca="1"/>
        <v>退会済</v>
      </c>
      <c r="J2334" s="113"/>
      <c r="K2334" s="49" t="s">
        <v>50</v>
      </c>
      <c r="M2334" s="107"/>
    </row>
    <row r="2335" spans="1:13" ht="16">
      <c r="A2335" s="101"/>
      <c r="B2335" s="48"/>
      <c r="C2335" s="53"/>
      <c r="D2335" s="49"/>
      <c r="E2335" s="71"/>
      <c r="F2335" s="46"/>
      <c r="G2335" s="72"/>
      <c r="H2335" s="46"/>
      <c r="I2335" s="53" t="str">
        <f ca="1"/>
        <v>退会済</v>
      </c>
      <c r="J2335" s="113"/>
      <c r="K2335" s="49" t="s">
        <v>50</v>
      </c>
      <c r="M2335" s="107"/>
    </row>
    <row r="2336" spans="1:13" ht="16">
      <c r="A2336" s="101"/>
      <c r="B2336" s="48"/>
      <c r="C2336" s="53"/>
      <c r="D2336" s="49"/>
      <c r="E2336" s="71"/>
      <c r="F2336" s="46"/>
      <c r="G2336" s="72"/>
      <c r="H2336" s="46"/>
      <c r="I2336" s="53" t="str">
        <f ca="1"/>
        <v>退会済</v>
      </c>
      <c r="J2336" s="113"/>
      <c r="K2336" s="49" t="s">
        <v>50</v>
      </c>
      <c r="M2336" s="107"/>
    </row>
    <row r="2337" spans="1:13" ht="16">
      <c r="A2337" s="101"/>
      <c r="B2337" s="48"/>
      <c r="C2337" s="53"/>
      <c r="D2337" s="49"/>
      <c r="E2337" s="71"/>
      <c r="F2337" s="46"/>
      <c r="G2337" s="72"/>
      <c r="H2337" s="46"/>
      <c r="I2337" s="53" t="str">
        <f ca="1"/>
        <v>退会済</v>
      </c>
      <c r="J2337" s="113"/>
      <c r="K2337" s="49" t="s">
        <v>50</v>
      </c>
      <c r="M2337" s="107"/>
    </row>
    <row r="2338" spans="1:13" ht="16">
      <c r="A2338" s="101"/>
      <c r="B2338" s="48"/>
      <c r="C2338" s="53"/>
      <c r="D2338" s="49"/>
      <c r="E2338" s="71"/>
      <c r="F2338" s="46"/>
      <c r="G2338" s="72"/>
      <c r="H2338" s="46"/>
      <c r="I2338" s="53" t="str">
        <f ca="1"/>
        <v>退会済</v>
      </c>
      <c r="J2338" s="113"/>
      <c r="K2338" s="49" t="s">
        <v>50</v>
      </c>
      <c r="M2338" s="107"/>
    </row>
    <row r="2339" spans="1:13" ht="16">
      <c r="A2339" s="101"/>
      <c r="B2339" s="48"/>
      <c r="C2339" s="53"/>
      <c r="D2339" s="49"/>
      <c r="E2339" s="71"/>
      <c r="F2339" s="46"/>
      <c r="G2339" s="72"/>
      <c r="H2339" s="46"/>
      <c r="I2339" s="53" t="str">
        <f ca="1"/>
        <v>退会済</v>
      </c>
      <c r="J2339" s="113"/>
      <c r="K2339" s="49" t="s">
        <v>50</v>
      </c>
      <c r="M2339" s="107"/>
    </row>
    <row r="2340" spans="1:13" ht="16">
      <c r="A2340" s="101"/>
      <c r="B2340" s="48"/>
      <c r="C2340" s="53"/>
      <c r="D2340" s="49"/>
      <c r="E2340" s="71"/>
      <c r="F2340" s="46"/>
      <c r="G2340" s="72"/>
      <c r="H2340" s="46"/>
      <c r="I2340" s="53" t="str">
        <f ca="1"/>
        <v>退会済</v>
      </c>
      <c r="J2340" s="113"/>
      <c r="K2340" s="49" t="s">
        <v>50</v>
      </c>
      <c r="M2340" s="107"/>
    </row>
    <row r="2341" spans="1:13" ht="16">
      <c r="A2341" s="101"/>
      <c r="B2341" s="48"/>
      <c r="C2341" s="53"/>
      <c r="D2341" s="49"/>
      <c r="E2341" s="71"/>
      <c r="F2341" s="46"/>
      <c r="G2341" s="72"/>
      <c r="H2341" s="46"/>
      <c r="I2341" s="53" t="str">
        <f ca="1"/>
        <v>退会済</v>
      </c>
      <c r="J2341" s="113"/>
      <c r="K2341" s="49" t="s">
        <v>50</v>
      </c>
      <c r="M2341" s="107"/>
    </row>
    <row r="2342" spans="1:13" ht="16">
      <c r="A2342" s="101"/>
      <c r="B2342" s="48"/>
      <c r="C2342" s="53"/>
      <c r="D2342" s="49"/>
      <c r="E2342" s="71"/>
      <c r="F2342" s="46"/>
      <c r="G2342" s="72"/>
      <c r="H2342" s="46"/>
      <c r="I2342" s="53" t="str">
        <f ca="1"/>
        <v>退会済</v>
      </c>
      <c r="J2342" s="113"/>
      <c r="K2342" s="49" t="s">
        <v>50</v>
      </c>
      <c r="M2342" s="107"/>
    </row>
    <row r="2343" spans="1:13" ht="16">
      <c r="A2343" s="101"/>
      <c r="B2343" s="48"/>
      <c r="C2343" s="53"/>
      <c r="D2343" s="49"/>
      <c r="E2343" s="71"/>
      <c r="F2343" s="46"/>
      <c r="G2343" s="72"/>
      <c r="H2343" s="46"/>
      <c r="I2343" s="53" t="str">
        <f ca="1"/>
        <v>退会済</v>
      </c>
      <c r="J2343" s="113"/>
      <c r="K2343" s="49" t="s">
        <v>50</v>
      </c>
      <c r="M2343" s="107"/>
    </row>
    <row r="2344" spans="1:13" ht="16">
      <c r="A2344" s="101"/>
      <c r="B2344" s="48"/>
      <c r="C2344" s="53"/>
      <c r="D2344" s="49"/>
      <c r="E2344" s="71"/>
      <c r="F2344" s="46"/>
      <c r="G2344" s="72"/>
      <c r="H2344" s="46"/>
      <c r="I2344" s="53" t="str">
        <f ca="1"/>
        <v>退会済</v>
      </c>
      <c r="J2344" s="113"/>
      <c r="K2344" s="49" t="s">
        <v>50</v>
      </c>
      <c r="M2344" s="107"/>
    </row>
    <row r="2345" spans="1:13" ht="16">
      <c r="A2345" s="101"/>
      <c r="B2345" s="48"/>
      <c r="C2345" s="53"/>
      <c r="D2345" s="49"/>
      <c r="E2345" s="71"/>
      <c r="F2345" s="46"/>
      <c r="G2345" s="72"/>
      <c r="H2345" s="46"/>
      <c r="I2345" s="53" t="str">
        <f ca="1"/>
        <v>退会済</v>
      </c>
      <c r="J2345" s="113"/>
      <c r="K2345" s="49" t="s">
        <v>50</v>
      </c>
      <c r="M2345" s="107"/>
    </row>
    <row r="2346" spans="1:13" ht="16">
      <c r="A2346" s="101"/>
      <c r="B2346" s="48"/>
      <c r="C2346" s="53"/>
      <c r="D2346" s="49"/>
      <c r="E2346" s="71"/>
      <c r="F2346" s="46"/>
      <c r="G2346" s="72"/>
      <c r="H2346" s="46"/>
      <c r="I2346" s="53" t="str">
        <f ca="1"/>
        <v>退会済</v>
      </c>
      <c r="J2346" s="113"/>
      <c r="K2346" s="49" t="s">
        <v>50</v>
      </c>
      <c r="M2346" s="107"/>
    </row>
    <row r="2347" spans="1:13" ht="16">
      <c r="A2347" s="101"/>
      <c r="B2347" s="48"/>
      <c r="C2347" s="53"/>
      <c r="D2347" s="49"/>
      <c r="E2347" s="71"/>
      <c r="F2347" s="46"/>
      <c r="G2347" s="72"/>
      <c r="H2347" s="46"/>
      <c r="I2347" s="53" t="str">
        <f ca="1"/>
        <v>退会済</v>
      </c>
      <c r="J2347" s="113"/>
      <c r="K2347" s="49" t="s">
        <v>50</v>
      </c>
      <c r="M2347" s="107"/>
    </row>
    <row r="2348" spans="1:13" ht="16">
      <c r="A2348" s="101"/>
      <c r="B2348" s="48"/>
      <c r="C2348" s="53"/>
      <c r="D2348" s="49"/>
      <c r="E2348" s="71"/>
      <c r="F2348" s="46"/>
      <c r="G2348" s="72"/>
      <c r="H2348" s="46"/>
      <c r="I2348" s="53" t="str">
        <f ca="1"/>
        <v>退会済</v>
      </c>
      <c r="J2348" s="113"/>
      <c r="K2348" s="49" t="s">
        <v>50</v>
      </c>
      <c r="M2348" s="107"/>
    </row>
    <row r="2349" spans="1:13" ht="16">
      <c r="A2349" s="101"/>
      <c r="B2349" s="48"/>
      <c r="C2349" s="53"/>
      <c r="D2349" s="49"/>
      <c r="E2349" s="71"/>
      <c r="F2349" s="46"/>
      <c r="G2349" s="72"/>
      <c r="H2349" s="46"/>
      <c r="I2349" s="53" t="str">
        <f ca="1"/>
        <v>退会済</v>
      </c>
      <c r="J2349" s="113"/>
      <c r="K2349" s="49" t="s">
        <v>50</v>
      </c>
      <c r="M2349" s="107"/>
    </row>
    <row r="2350" spans="1:13" ht="16">
      <c r="A2350" s="101"/>
      <c r="B2350" s="48"/>
      <c r="C2350" s="53"/>
      <c r="D2350" s="49"/>
      <c r="E2350" s="71"/>
      <c r="F2350" s="46"/>
      <c r="G2350" s="72"/>
      <c r="H2350" s="46"/>
      <c r="I2350" s="53" t="str">
        <f ca="1"/>
        <v>退会済</v>
      </c>
      <c r="J2350" s="113"/>
      <c r="K2350" s="49" t="s">
        <v>50</v>
      </c>
      <c r="M2350" s="107"/>
    </row>
    <row r="2351" spans="1:13" ht="16">
      <c r="A2351" s="101"/>
      <c r="B2351" s="48"/>
      <c r="C2351" s="53"/>
      <c r="D2351" s="49"/>
      <c r="E2351" s="71"/>
      <c r="F2351" s="46"/>
      <c r="G2351" s="72"/>
      <c r="H2351" s="46"/>
      <c r="I2351" s="53" t="str">
        <f ca="1"/>
        <v>退会済</v>
      </c>
      <c r="J2351" s="113"/>
      <c r="K2351" s="49" t="s">
        <v>50</v>
      </c>
      <c r="M2351" s="107"/>
    </row>
    <row r="2352" spans="1:13" ht="16">
      <c r="A2352" s="101"/>
      <c r="B2352" s="48"/>
      <c r="C2352" s="53"/>
      <c r="D2352" s="49"/>
      <c r="E2352" s="71"/>
      <c r="F2352" s="46"/>
      <c r="G2352" s="72"/>
      <c r="H2352" s="46"/>
      <c r="I2352" s="53" t="str">
        <f ca="1"/>
        <v>退会済</v>
      </c>
      <c r="J2352" s="113"/>
      <c r="K2352" s="49" t="s">
        <v>50</v>
      </c>
      <c r="M2352" s="107"/>
    </row>
    <row r="2353" spans="1:13" ht="16">
      <c r="A2353" s="101"/>
      <c r="B2353" s="48"/>
      <c r="C2353" s="53"/>
      <c r="D2353" s="49"/>
      <c r="E2353" s="71"/>
      <c r="F2353" s="46"/>
      <c r="G2353" s="72"/>
      <c r="H2353" s="46"/>
      <c r="I2353" s="53" t="str">
        <f ca="1"/>
        <v>退会済</v>
      </c>
      <c r="J2353" s="113"/>
      <c r="K2353" s="49" t="s">
        <v>50</v>
      </c>
      <c r="M2353" s="107"/>
    </row>
    <row r="2354" spans="1:13" ht="16">
      <c r="A2354" s="101"/>
      <c r="B2354" s="48"/>
      <c r="C2354" s="53"/>
      <c r="D2354" s="49"/>
      <c r="E2354" s="71"/>
      <c r="F2354" s="46"/>
      <c r="G2354" s="72"/>
      <c r="H2354" s="46"/>
      <c r="I2354" s="53" t="str">
        <f ca="1"/>
        <v>退会済</v>
      </c>
      <c r="J2354" s="113"/>
      <c r="K2354" s="49" t="s">
        <v>50</v>
      </c>
      <c r="M2354" s="107"/>
    </row>
    <row r="2355" spans="1:13" ht="16">
      <c r="A2355" s="101"/>
      <c r="B2355" s="48"/>
      <c r="C2355" s="53"/>
      <c r="D2355" s="49"/>
      <c r="E2355" s="71"/>
      <c r="F2355" s="46"/>
      <c r="G2355" s="72"/>
      <c r="H2355" s="46"/>
      <c r="I2355" s="53" t="str">
        <f ca="1"/>
        <v>退会済</v>
      </c>
      <c r="J2355" s="113"/>
      <c r="K2355" s="49" t="s">
        <v>50</v>
      </c>
      <c r="M2355" s="107"/>
    </row>
    <row r="2356" spans="1:13" ht="16">
      <c r="A2356" s="101"/>
      <c r="B2356" s="48"/>
      <c r="C2356" s="53"/>
      <c r="D2356" s="49"/>
      <c r="E2356" s="71"/>
      <c r="F2356" s="46"/>
      <c r="G2356" s="72"/>
      <c r="H2356" s="46"/>
      <c r="I2356" s="53" t="str">
        <f ca="1"/>
        <v>退会済</v>
      </c>
      <c r="J2356" s="113"/>
      <c r="K2356" s="49" t="s">
        <v>50</v>
      </c>
      <c r="M2356" s="107"/>
    </row>
    <row r="2357" spans="1:13" ht="16">
      <c r="A2357" s="101"/>
      <c r="B2357" s="48"/>
      <c r="C2357" s="53"/>
      <c r="D2357" s="49"/>
      <c r="E2357" s="71"/>
      <c r="F2357" s="46"/>
      <c r="G2357" s="72"/>
      <c r="H2357" s="46"/>
      <c r="I2357" s="53" t="str">
        <f ca="1"/>
        <v>退会済</v>
      </c>
      <c r="J2357" s="113"/>
      <c r="K2357" s="49" t="s">
        <v>50</v>
      </c>
      <c r="M2357" s="107"/>
    </row>
    <row r="2358" spans="1:13" ht="16">
      <c r="A2358" s="101"/>
      <c r="B2358" s="48"/>
      <c r="C2358" s="53"/>
      <c r="D2358" s="49"/>
      <c r="E2358" s="71"/>
      <c r="F2358" s="46"/>
      <c r="G2358" s="72"/>
      <c r="H2358" s="46"/>
      <c r="I2358" s="53" t="str">
        <f ca="1"/>
        <v>退会済</v>
      </c>
      <c r="J2358" s="113"/>
      <c r="K2358" s="49" t="s">
        <v>50</v>
      </c>
      <c r="M2358" s="107"/>
    </row>
    <row r="2359" spans="1:13" ht="16">
      <c r="A2359" s="101"/>
      <c r="B2359" s="48"/>
      <c r="C2359" s="53"/>
      <c r="D2359" s="49"/>
      <c r="E2359" s="71"/>
      <c r="F2359" s="46"/>
      <c r="G2359" s="72"/>
      <c r="H2359" s="46"/>
      <c r="I2359" s="53" t="str">
        <f ca="1"/>
        <v>退会済</v>
      </c>
      <c r="J2359" s="113"/>
      <c r="K2359" s="49" t="s">
        <v>50</v>
      </c>
      <c r="M2359" s="107"/>
    </row>
    <row r="2360" spans="1:13" ht="16">
      <c r="A2360" s="101"/>
      <c r="B2360" s="48"/>
      <c r="C2360" s="53"/>
      <c r="D2360" s="49"/>
      <c r="E2360" s="71"/>
      <c r="F2360" s="46"/>
      <c r="G2360" s="72"/>
      <c r="H2360" s="46"/>
      <c r="I2360" s="53" t="str">
        <f ca="1"/>
        <v>退会済</v>
      </c>
      <c r="J2360" s="113"/>
      <c r="K2360" s="49" t="s">
        <v>50</v>
      </c>
      <c r="M2360" s="107"/>
    </row>
    <row r="2361" spans="1:13" ht="16">
      <c r="A2361" s="101"/>
      <c r="B2361" s="48"/>
      <c r="C2361" s="53"/>
      <c r="D2361" s="49"/>
      <c r="E2361" s="71"/>
      <c r="F2361" s="46"/>
      <c r="G2361" s="72"/>
      <c r="H2361" s="46"/>
      <c r="I2361" s="53" t="str">
        <f ca="1"/>
        <v>退会済</v>
      </c>
      <c r="J2361" s="113"/>
      <c r="K2361" s="49" t="s">
        <v>50</v>
      </c>
      <c r="M2361" s="107"/>
    </row>
    <row r="2362" spans="1:13" ht="16">
      <c r="A2362" s="101"/>
      <c r="B2362" s="48"/>
      <c r="C2362" s="53"/>
      <c r="D2362" s="49"/>
      <c r="E2362" s="71"/>
      <c r="F2362" s="46"/>
      <c r="G2362" s="72"/>
      <c r="H2362" s="46"/>
      <c r="I2362" s="53" t="str">
        <f ca="1"/>
        <v>退会済</v>
      </c>
      <c r="J2362" s="113"/>
      <c r="K2362" s="49" t="s">
        <v>50</v>
      </c>
      <c r="M2362" s="107"/>
    </row>
    <row r="2363" spans="1:13" ht="16">
      <c r="A2363" s="101"/>
      <c r="B2363" s="48"/>
      <c r="C2363" s="53"/>
      <c r="D2363" s="49"/>
      <c r="E2363" s="71"/>
      <c r="F2363" s="46"/>
      <c r="G2363" s="72"/>
      <c r="H2363" s="46"/>
      <c r="I2363" s="53" t="str">
        <f ca="1"/>
        <v>退会済</v>
      </c>
      <c r="J2363" s="113"/>
      <c r="K2363" s="49" t="s">
        <v>50</v>
      </c>
      <c r="M2363" s="107"/>
    </row>
    <row r="2364" spans="1:13" ht="16">
      <c r="A2364" s="101"/>
      <c r="B2364" s="48"/>
      <c r="C2364" s="53"/>
      <c r="D2364" s="49"/>
      <c r="E2364" s="71"/>
      <c r="F2364" s="46"/>
      <c r="G2364" s="72"/>
      <c r="H2364" s="46"/>
      <c r="I2364" s="53" t="str">
        <f ca="1"/>
        <v>退会済</v>
      </c>
      <c r="J2364" s="113"/>
      <c r="K2364" s="49" t="s">
        <v>50</v>
      </c>
      <c r="M2364" s="107"/>
    </row>
    <row r="2365" spans="1:13" ht="16">
      <c r="A2365" s="101"/>
      <c r="B2365" s="48"/>
      <c r="C2365" s="53"/>
      <c r="D2365" s="49"/>
      <c r="E2365" s="71"/>
      <c r="F2365" s="46"/>
      <c r="G2365" s="72"/>
      <c r="H2365" s="46"/>
      <c r="I2365" s="53" t="str">
        <f ca="1"/>
        <v>退会済</v>
      </c>
      <c r="J2365" s="113"/>
      <c r="K2365" s="49" t="s">
        <v>50</v>
      </c>
      <c r="M2365" s="107"/>
    </row>
    <row r="2366" spans="1:13" ht="16">
      <c r="A2366" s="101"/>
      <c r="B2366" s="48"/>
      <c r="C2366" s="53"/>
      <c r="D2366" s="49"/>
      <c r="E2366" s="71"/>
      <c r="F2366" s="46"/>
      <c r="G2366" s="72"/>
      <c r="H2366" s="46"/>
      <c r="I2366" s="53" t="str">
        <f ca="1"/>
        <v>退会済</v>
      </c>
      <c r="J2366" s="113"/>
      <c r="K2366" s="49" t="s">
        <v>50</v>
      </c>
      <c r="M2366" s="107"/>
    </row>
    <row r="2367" spans="1:13" ht="16">
      <c r="A2367" s="101"/>
      <c r="B2367" s="48"/>
      <c r="C2367" s="53"/>
      <c r="D2367" s="49"/>
      <c r="E2367" s="71"/>
      <c r="F2367" s="46"/>
      <c r="G2367" s="72"/>
      <c r="H2367" s="46"/>
      <c r="I2367" s="53" t="str">
        <f ca="1"/>
        <v>退会済</v>
      </c>
      <c r="J2367" s="113"/>
      <c r="K2367" s="49" t="s">
        <v>50</v>
      </c>
      <c r="M2367" s="107"/>
    </row>
    <row r="2368" spans="1:13" ht="16">
      <c r="A2368" s="101"/>
      <c r="B2368" s="48"/>
      <c r="C2368" s="53"/>
      <c r="D2368" s="49"/>
      <c r="E2368" s="71"/>
      <c r="F2368" s="46"/>
      <c r="G2368" s="72"/>
      <c r="H2368" s="46"/>
      <c r="I2368" s="53" t="str">
        <f ca="1"/>
        <v>退会済</v>
      </c>
      <c r="J2368" s="113"/>
      <c r="K2368" s="49" t="s">
        <v>50</v>
      </c>
      <c r="M2368" s="107"/>
    </row>
    <row r="2369" spans="1:13" ht="16">
      <c r="A2369" s="101"/>
      <c r="B2369" s="48"/>
      <c r="C2369" s="53"/>
      <c r="D2369" s="49"/>
      <c r="E2369" s="71"/>
      <c r="F2369" s="46"/>
      <c r="G2369" s="72"/>
      <c r="H2369" s="46"/>
      <c r="I2369" s="53" t="str">
        <f ca="1"/>
        <v>退会済</v>
      </c>
      <c r="J2369" s="113"/>
      <c r="K2369" s="49" t="s">
        <v>50</v>
      </c>
      <c r="M2369" s="107"/>
    </row>
    <row r="2370" spans="1:13" ht="16">
      <c r="A2370" s="101"/>
      <c r="B2370" s="48"/>
      <c r="C2370" s="53"/>
      <c r="D2370" s="49"/>
      <c r="E2370" s="71"/>
      <c r="F2370" s="46"/>
      <c r="G2370" s="72"/>
      <c r="H2370" s="46"/>
      <c r="I2370" s="53" t="str">
        <f ca="1"/>
        <v>退会済</v>
      </c>
      <c r="J2370" s="113"/>
      <c r="K2370" s="49" t="s">
        <v>50</v>
      </c>
      <c r="M2370" s="107"/>
    </row>
    <row r="2371" spans="1:13" ht="16">
      <c r="A2371" s="101"/>
      <c r="B2371" s="48"/>
      <c r="C2371" s="53"/>
      <c r="D2371" s="49"/>
      <c r="E2371" s="71"/>
      <c r="F2371" s="46"/>
      <c r="G2371" s="72"/>
      <c r="H2371" s="46"/>
      <c r="I2371" s="53" t="str">
        <f ca="1"/>
        <v>退会済</v>
      </c>
      <c r="J2371" s="113"/>
      <c r="K2371" s="49" t="s">
        <v>50</v>
      </c>
      <c r="M2371" s="107"/>
    </row>
    <row r="2372" spans="1:13" ht="16">
      <c r="A2372" s="101"/>
      <c r="B2372" s="48"/>
      <c r="C2372" s="53"/>
      <c r="D2372" s="49"/>
      <c r="E2372" s="71"/>
      <c r="F2372" s="46"/>
      <c r="G2372" s="72"/>
      <c r="H2372" s="46"/>
      <c r="I2372" s="53" t="str">
        <f ca="1"/>
        <v>退会済</v>
      </c>
      <c r="J2372" s="113"/>
      <c r="K2372" s="49" t="s">
        <v>50</v>
      </c>
      <c r="M2372" s="107"/>
    </row>
    <row r="2373" spans="1:13" ht="16">
      <c r="A2373" s="101"/>
      <c r="B2373" s="48"/>
      <c r="C2373" s="53"/>
      <c r="D2373" s="49"/>
      <c r="E2373" s="71"/>
      <c r="F2373" s="46"/>
      <c r="G2373" s="72"/>
      <c r="H2373" s="46"/>
      <c r="I2373" s="53" t="str">
        <f ca="1"/>
        <v>退会済</v>
      </c>
      <c r="J2373" s="113"/>
      <c r="K2373" s="49" t="s">
        <v>50</v>
      </c>
      <c r="M2373" s="107"/>
    </row>
    <row r="2374" spans="1:13" ht="16">
      <c r="A2374" s="101"/>
      <c r="B2374" s="48"/>
      <c r="C2374" s="53"/>
      <c r="D2374" s="49"/>
      <c r="E2374" s="71"/>
      <c r="F2374" s="46"/>
      <c r="G2374" s="72"/>
      <c r="H2374" s="46"/>
      <c r="I2374" s="53" t="str">
        <f ca="1"/>
        <v>退会済</v>
      </c>
      <c r="J2374" s="113"/>
      <c r="K2374" s="49" t="s">
        <v>50</v>
      </c>
      <c r="M2374" s="107"/>
    </row>
    <row r="2375" spans="1:13" ht="16">
      <c r="A2375" s="101"/>
      <c r="B2375" s="48"/>
      <c r="C2375" s="53"/>
      <c r="D2375" s="49"/>
      <c r="E2375" s="71"/>
      <c r="F2375" s="46"/>
      <c r="G2375" s="72"/>
      <c r="H2375" s="46"/>
      <c r="I2375" s="53" t="str">
        <f ca="1"/>
        <v>退会済</v>
      </c>
      <c r="J2375" s="113"/>
      <c r="K2375" s="49" t="s">
        <v>50</v>
      </c>
      <c r="M2375" s="107"/>
    </row>
    <row r="2376" spans="1:13" ht="16">
      <c r="A2376" s="101"/>
      <c r="B2376" s="48"/>
      <c r="C2376" s="53"/>
      <c r="D2376" s="49"/>
      <c r="E2376" s="71"/>
      <c r="F2376" s="46"/>
      <c r="G2376" s="72"/>
      <c r="H2376" s="46"/>
      <c r="I2376" s="53" t="str">
        <f ca="1"/>
        <v>退会済</v>
      </c>
      <c r="J2376" s="113"/>
      <c r="K2376" s="49" t="s">
        <v>50</v>
      </c>
      <c r="M2376" s="107"/>
    </row>
    <row r="2377" spans="1:13" ht="16">
      <c r="A2377" s="101"/>
      <c r="B2377" s="48"/>
      <c r="C2377" s="53"/>
      <c r="D2377" s="49"/>
      <c r="E2377" s="71"/>
      <c r="F2377" s="46"/>
      <c r="G2377" s="72"/>
      <c r="H2377" s="46"/>
      <c r="I2377" s="53" t="str">
        <f ca="1"/>
        <v>退会済</v>
      </c>
      <c r="J2377" s="113"/>
      <c r="K2377" s="49" t="s">
        <v>50</v>
      </c>
      <c r="M2377" s="107"/>
    </row>
    <row r="2378" spans="1:13" ht="16">
      <c r="A2378" s="101"/>
      <c r="B2378" s="48"/>
      <c r="C2378" s="53"/>
      <c r="D2378" s="49"/>
      <c r="E2378" s="71"/>
      <c r="F2378" s="46"/>
      <c r="G2378" s="72"/>
      <c r="H2378" s="46"/>
      <c r="I2378" s="53" t="str">
        <f ca="1"/>
        <v>退会済</v>
      </c>
      <c r="J2378" s="113"/>
      <c r="K2378" s="49" t="s">
        <v>50</v>
      </c>
      <c r="M2378" s="107"/>
    </row>
    <row r="2379" spans="1:13" ht="16">
      <c r="A2379" s="101"/>
      <c r="B2379" s="48"/>
      <c r="C2379" s="53"/>
      <c r="D2379" s="49"/>
      <c r="E2379" s="71"/>
      <c r="F2379" s="46"/>
      <c r="G2379" s="72"/>
      <c r="H2379" s="46"/>
      <c r="I2379" s="53" t="str">
        <f ca="1"/>
        <v>退会済</v>
      </c>
      <c r="J2379" s="113"/>
      <c r="K2379" s="49" t="s">
        <v>50</v>
      </c>
      <c r="M2379" s="107"/>
    </row>
    <row r="2380" spans="1:13" ht="16">
      <c r="A2380" s="101"/>
      <c r="B2380" s="48"/>
      <c r="C2380" s="53"/>
      <c r="D2380" s="49"/>
      <c r="E2380" s="71"/>
      <c r="F2380" s="46"/>
      <c r="G2380" s="72"/>
      <c r="H2380" s="46"/>
      <c r="I2380" s="53" t="str">
        <f ca="1"/>
        <v>退会済</v>
      </c>
      <c r="J2380" s="113"/>
      <c r="K2380" s="49" t="s">
        <v>50</v>
      </c>
      <c r="M2380" s="107"/>
    </row>
    <row r="2381" spans="1:13" ht="16">
      <c r="A2381" s="101"/>
      <c r="B2381" s="81"/>
      <c r="C2381" s="82"/>
      <c r="D2381" s="115"/>
      <c r="E2381" s="83"/>
      <c r="F2381" s="84"/>
      <c r="G2381" s="85"/>
      <c r="H2381" s="84"/>
      <c r="I2381" s="82" t="str">
        <f ca="1"/>
        <v>退会済</v>
      </c>
      <c r="J2381" s="116"/>
      <c r="K2381" s="115" t="s">
        <v>50</v>
      </c>
      <c r="M2381" s="107"/>
    </row>
  </sheetData>
  <customSheetViews>
    <customSheetView guid="{30128F4C-6E53-4628-99DA-BCD0C5878C0D}" filter="1" showAutoFilter="1">
      <pageMargins left="0.7" right="0.7" top="0.75" bottom="0.75" header="0.3" footer="0.3"/>
      <autoFilter ref="A6:M2381" xr:uid="{00000000-0000-0000-0000-000000000000}">
        <filterColumn colId="6">
          <filters>
            <filter val="6/1"/>
          </filters>
        </filterColumn>
        <filterColumn colId="8">
          <filters>
            <filter val="渋谷 雄大"/>
            <filter val="成嶋 夏未"/>
            <filter val="川島 幹也"/>
            <filter val="大木 優香"/>
            <filter val="内丸 裕子"/>
            <filter val="芳賀 亮輔"/>
          </filters>
        </filterColumn>
      </autoFilter>
    </customSheetView>
    <customSheetView guid="{A9C7EBE6-8457-4DA7-9917-93FE66352F67}" filter="1" showAutoFilter="1">
      <pageMargins left="0.7" right="0.7" top="0.75" bottom="0.75" header="0.3" footer="0.3"/>
      <autoFilter ref="A6:AF1979" xr:uid="{00000000-0000-0000-0000-000000000000}"/>
    </customSheetView>
    <customSheetView guid="{EF6682A6-CC1A-41AB-ADC8-FA86ED68654F}" filter="1" showAutoFilter="1">
      <pageMargins left="0.7" right="0.7" top="0.75" bottom="0.75" header="0.3" footer="0.3"/>
      <autoFilter ref="A1:T2381" xr:uid="{00000000-0000-0000-0000-000000000000}"/>
    </customSheetView>
    <customSheetView guid="{A2B391B8-E0F8-46E8-9499-9F3C96955CD8}" filter="1" showAutoFilter="1">
      <pageMargins left="0.7" right="0.7" top="0.75" bottom="0.75" header="0.3" footer="0.3"/>
      <autoFilter ref="A1:T2381" xr:uid="{00000000-0000-0000-0000-000000000000}">
        <filterColumn colId="9">
          <filters>
            <filter val="村上 浩一朗"/>
            <filter val="上期Ace担当"/>
          </filters>
        </filterColumn>
      </autoFilter>
    </customSheetView>
    <customSheetView guid="{581B1818-0B7F-41C8-8C70-65F0AC471CE3}" filter="1" showAutoFilter="1">
      <pageMargins left="0.7" right="0.7" top="0.75" bottom="0.75" header="0.3" footer="0.3"/>
      <autoFilter ref="A6:S2381" xr:uid="{00000000-0000-0000-0000-000000000000}">
        <filterColumn colId="0">
          <filters blank="1">
            <filter val="-"/>
            <filter val="未記入あり"/>
          </filters>
        </filterColumn>
      </autoFilter>
    </customSheetView>
    <customSheetView guid="{90AE177F-2220-4BFE-9E87-94A7EAFA9894}" filter="1" showAutoFilter="1">
      <pageMargins left="0.7" right="0.7" top="0.75" bottom="0.75" header="0.3" footer="0.3"/>
      <autoFilter ref="A6:AF1415" xr:uid="{00000000-0000-0000-0000-000000000000}">
        <filterColumn colId="8">
          <filters>
            <filter val="大木 優香"/>
          </filters>
        </filterColumn>
      </autoFilter>
    </customSheetView>
    <customSheetView guid="{8EC43FA3-2CD2-4DC0-8BF6-36B8405B5936}" filter="1" showAutoFilter="1">
      <pageMargins left="0.7" right="0.7" top="0.75" bottom="0.75" header="0.3" footer="0.3"/>
      <autoFilter ref="A1" xr:uid="{00000000-0000-0000-0000-000000000000}"/>
    </customSheetView>
    <customSheetView guid="{74B73AD7-6AD0-4F76-91A3-62B368CE602A}" filter="1" showAutoFilter="1">
      <pageMargins left="0.7" right="0.7" top="0.75" bottom="0.75" header="0.3" footer="0.3"/>
      <autoFilter ref="A6:J1429" xr:uid="{00000000-0000-0000-0000-000000000000}">
        <filterColumn colId="9">
          <filters>
            <filter val="稲場 勇介"/>
            <filter val="荻曽 克輝"/>
            <filter val="桐山 勝気"/>
            <filter val="栗原 大武"/>
            <filter val="桑原　明子"/>
            <filter val="村上 浩一朗"/>
            <filter val="田嶋"/>
            <filter val="堀越"/>
          </filters>
        </filterColumn>
      </autoFilter>
    </customSheetView>
    <customSheetView guid="{D7980260-FD91-45CD-9566-68E91FFD9751}" filter="1" showAutoFilter="1">
      <pageMargins left="0.7" right="0.7" top="0.75" bottom="0.75" header="0.3" footer="0.3"/>
      <autoFilter ref="A6:AF2381" xr:uid="{00000000-0000-0000-0000-000000000000}">
        <filterColumn colId="9">
          <filters>
            <filter val="栗原 大武"/>
            <filter val="桑原　明子"/>
            <filter val="田嶋"/>
            <filter val="堀越"/>
          </filters>
        </filterColumn>
      </autoFilter>
    </customSheetView>
    <customSheetView guid="{8636AB95-2261-423A-8B7A-0C09D833E125}" filter="1" showAutoFilter="1">
      <pageMargins left="0.7" right="0.7" top="0.75" bottom="0.75" header="0.3" footer="0.3"/>
      <autoFilter ref="A6:AF2381" xr:uid="{00000000-0000-0000-0000-000000000000}"/>
    </customSheetView>
    <customSheetView guid="{860866E9-6DE3-4F30-B720-CB62CEC5779F}" filter="1" showAutoFilter="1">
      <pageMargins left="0.7" right="0.7" top="0.75" bottom="0.75" header="0.3" footer="0.3"/>
      <autoFilter ref="A6:AF2381" xr:uid="{00000000-0000-0000-0000-000000000000}">
        <filterColumn colId="8">
          <filters>
            <filter val="荻曽 克輝"/>
            <filter val="栗原 大武"/>
            <filter val="小川 純"/>
            <filter val="森 光智"/>
            <filter val="辻村 将大"/>
          </filters>
        </filterColumn>
      </autoFilter>
    </customSheetView>
    <customSheetView guid="{2A83487C-E9A2-4553-8F71-6EB5DAA7839A}" filter="1" showAutoFilter="1">
      <pageMargins left="0.7" right="0.7" top="0.75" bottom="0.75" header="0.3" footer="0.3"/>
      <autoFilter ref="A6:AF2381" xr:uid="{00000000-0000-0000-0000-000000000000}">
        <filterColumn colId="8">
          <filters>
            <filter val="村上 浩一朗"/>
            <filter val="森 光智"/>
          </filters>
        </filterColumn>
      </autoFilter>
    </customSheetView>
    <customSheetView guid="{D7980260-FD91-45CD-9566-68E91FFD9751}" filter="1" showAutoFilter="1">
      <pageMargins left="0.7" right="0.7" top="0.75" bottom="0.75" header="0.3" footer="0.3"/>
      <autoFilter ref="A6:AF2381" xr:uid="{00000000-0000-0000-0000-000000000000}">
        <filterColumn colId="8">
          <filters>
            <filter val="栗原 大武"/>
          </filters>
        </filterColumn>
      </autoFilter>
    </customSheetView>
    <customSheetView guid="{663F1E66-ED4F-4887-A46B-B04FB241E9AE}" filter="1" showAutoFilter="1">
      <pageMargins left="0.7" right="0.7" top="0.75" bottom="0.75" header="0.3" footer="0.3"/>
      <autoFilter ref="A6:AF2381" xr:uid="{00000000-0000-0000-0000-000000000000}">
        <filterColumn colId="9">
          <customFilters>
            <customFilter val="*柳井*"/>
          </customFilters>
        </filterColumn>
      </autoFilter>
    </customSheetView>
    <customSheetView guid="{F6634E3B-E82A-47A5-8A03-3E4643B43EC3}" filter="1" showAutoFilter="1">
      <pageMargins left="0.7" right="0.7" top="0.75" bottom="0.75" header="0.3" footer="0.3"/>
      <autoFilter ref="A6:AF2381" xr:uid="{00000000-0000-0000-0000-000000000000}">
        <filterColumn colId="8">
          <filters>
            <filter val="桑原 明子"/>
          </filters>
        </filterColumn>
      </autoFilter>
    </customSheetView>
    <customSheetView guid="{EE508814-A1C4-48AF-8DF4-A79E51C43E8B}" filter="1" showAutoFilter="1">
      <pageMargins left="0.7" right="0.7" top="0.75" bottom="0.75" header="0.3" footer="0.3"/>
      <autoFilter ref="A6:AF2381" xr:uid="{00000000-0000-0000-0000-000000000000}">
        <filterColumn colId="9">
          <filters>
            <filter val="荻曽 克輝"/>
            <filter val="栗原 大武"/>
            <filter val="小川 純"/>
            <filter val="辻村 将大"/>
            <filter val="柳井 優一"/>
          </filters>
        </filterColumn>
      </autoFilter>
    </customSheetView>
    <customSheetView guid="{AD355DC0-FD6E-4952-B80E-C3A5C2674E04}" filter="1" showAutoFilter="1">
      <pageMargins left="0.7" right="0.7" top="0.75" bottom="0.75" header="0.3" footer="0.3"/>
      <autoFilter ref="A6:AF2381" xr:uid="{00000000-0000-0000-0000-000000000000}">
        <filterColumn colId="8">
          <filters>
            <filter val="小関 麻起"/>
          </filters>
        </filterColumn>
      </autoFilter>
    </customSheetView>
    <customSheetView guid="{12CBE8CD-D396-4247-8578-B4B776D1EB8A}" filter="1" showAutoFilter="1">
      <pageMargins left="0.7" right="0.7" top="0.75" bottom="0.75" header="0.3" footer="0.3"/>
      <autoFilter ref="A6:AF2381" xr:uid="{00000000-0000-0000-0000-000000000000}">
        <filterColumn colId="8">
          <filters>
            <filter val="芳賀 亮輔"/>
          </filters>
        </filterColumn>
      </autoFilter>
    </customSheetView>
    <customSheetView guid="{854F60C9-1AFD-48A0-B014-3AB46927456F}" filter="1" showAutoFilter="1">
      <pageMargins left="0.7" right="0.7" top="0.75" bottom="0.75" header="0.3" footer="0.3"/>
      <autoFilter ref="A6:AF2381" xr:uid="{00000000-0000-0000-0000-000000000000}">
        <filterColumn colId="8">
          <filters>
            <filter val="芳賀 亮輔"/>
            <filter val="森 光智"/>
          </filters>
        </filterColumn>
      </autoFilter>
    </customSheetView>
    <customSheetView guid="{CD15E21E-006A-4781-B005-547293224C98}" filter="1" showAutoFilter="1">
      <pageMargins left="0.7" right="0.7" top="0.75" bottom="0.75" header="0.3" footer="0.3"/>
      <autoFilter ref="A6:AF2381" xr:uid="{00000000-0000-0000-0000-000000000000}">
        <filterColumn colId="8">
          <filters>
            <filter val="栗原 大武"/>
          </filters>
        </filterColumn>
      </autoFilter>
    </customSheetView>
    <customSheetView guid="{04ABBFFC-4789-4733-ADD7-5EB6358E600B}" filter="1" showAutoFilter="1">
      <pageMargins left="0.7" right="0.7" top="0.75" bottom="0.75" header="0.3" footer="0.3"/>
      <autoFilter ref="A6:AF2381" xr:uid="{00000000-0000-0000-0000-000000000000}">
        <filterColumn colId="8">
          <filters>
            <filter val="成嶋 夏未"/>
          </filters>
        </filterColumn>
      </autoFilter>
    </customSheetView>
    <customSheetView guid="{41B8FF29-11BB-423C-ABE9-E9C08DE8B6D9}" filter="1" showAutoFilter="1">
      <pageMargins left="0.7" right="0.7" top="0.75" bottom="0.75" header="0.3" footer="0.3"/>
      <autoFilter ref="A6:AF2381" xr:uid="{00000000-0000-0000-0000-000000000000}">
        <filterColumn colId="8">
          <filters>
            <filter val="稲場 勇介"/>
          </filters>
        </filterColumn>
      </autoFilter>
    </customSheetView>
    <customSheetView guid="{48EA4D9F-C5F4-4E22-8B8F-CA94D9BABB66}" filter="1" showAutoFilter="1">
      <pageMargins left="0.7" right="0.7" top="0.75" bottom="0.75" header="0.3" footer="0.3"/>
      <autoFilter ref="A6:AF2381" xr:uid="{00000000-0000-0000-0000-000000000000}">
        <filterColumn colId="8">
          <filters>
            <filter val="松尾 尚樹"/>
          </filters>
        </filterColumn>
      </autoFilter>
    </customSheetView>
    <customSheetView guid="{72042A9A-1D92-4DBF-9687-F152E88DC5A3}" filter="1" showAutoFilter="1">
      <pageMargins left="0.7" right="0.7" top="0.75" bottom="0.75" header="0.3" footer="0.3"/>
      <autoFilter ref="A6:AF2381" xr:uid="{00000000-0000-0000-0000-000000000000}"/>
    </customSheetView>
    <customSheetView guid="{CB6501F0-D330-434A-B2A3-7078257C3F72}" filter="1" showAutoFilter="1">
      <pageMargins left="0.7" right="0.7" top="0.75" bottom="0.75" header="0.3" footer="0.3"/>
      <autoFilter ref="A6:AF2381" xr:uid="{00000000-0000-0000-0000-000000000000}">
        <filterColumn colId="8">
          <filters>
            <filter val="長谷川 陸朗"/>
          </filters>
        </filterColumn>
      </autoFilter>
    </customSheetView>
    <customSheetView guid="{D167BC6F-AFE1-47E2-9969-CB7AF0E607B0}" filter="1" showAutoFilter="1">
      <pageMargins left="0.7" right="0.7" top="0.75" bottom="0.75" header="0.3" footer="0.3"/>
      <autoFilter ref="A6:AF2381" xr:uid="{00000000-0000-0000-0000-000000000000}"/>
    </customSheetView>
    <customSheetView guid="{997F3B0A-0DEB-46AC-990C-D47DB78CDC14}" filter="1" showAutoFilter="1">
      <pageMargins left="0.7" right="0.7" top="0.75" bottom="0.75" header="0.3" footer="0.3"/>
      <autoFilter ref="A6:AF2381" xr:uid="{00000000-0000-0000-0000-000000000000}">
        <filterColumn colId="9">
          <filters>
            <filter val="奥野 貴大"/>
          </filters>
        </filterColumn>
      </autoFilter>
    </customSheetView>
    <customSheetView guid="{44933AF3-7F4A-4FE5-B775-70507980EDB9}" filter="1" showAutoFilter="1">
      <pageMargins left="0.7" right="0.7" top="0.75" bottom="0.75" header="0.3" footer="0.3"/>
      <autoFilter ref="A6:AF2381" xr:uid="{00000000-0000-0000-0000-000000000000}"/>
    </customSheetView>
    <customSheetView guid="{75B890F1-DE67-455F-8E39-38461F3DA242}" filter="1" showAutoFilter="1">
      <pageMargins left="0.7" right="0.7" top="0.75" bottom="0.75" header="0.3" footer="0.3"/>
      <autoFilter ref="A6:AF2381" xr:uid="{00000000-0000-0000-0000-000000000000}">
        <filterColumn colId="8">
          <filters>
            <filter val="栗原 大武"/>
          </filters>
        </filterColumn>
      </autoFilter>
    </customSheetView>
    <customSheetView guid="{3CC63D3F-E4E3-4E1E-BB1C-AEF38C947216}" filter="1" showAutoFilter="1">
      <pageMargins left="0.7" right="0.7" top="0.75" bottom="0.75" header="0.3" footer="0.3"/>
      <autoFilter ref="A6:AF2381" xr:uid="{00000000-0000-0000-0000-000000000000}"/>
    </customSheetView>
    <customSheetView guid="{B8DA77DD-2322-4443-8D3F-69F6AEA81130}" filter="1" showAutoFilter="1">
      <pageMargins left="0.7" right="0.7" top="0.75" bottom="0.75" header="0.3" footer="0.3"/>
      <autoFilter ref="A6:AF2381" xr:uid="{00000000-0000-0000-0000-000000000000}"/>
    </customSheetView>
    <customSheetView guid="{8A41D51C-BF7C-4590-83E1-09277B7D998B}" filter="1" showAutoFilter="1">
      <pageMargins left="0.7" right="0.7" top="0.75" bottom="0.75" header="0.3" footer="0.3"/>
      <autoFilter ref="A6:AF2381" xr:uid="{00000000-0000-0000-0000-000000000000}">
        <filterColumn colId="6">
          <filters blank="1">
            <filter val="1/23"/>
            <filter val="1/29"/>
            <filter val="1/9"/>
            <filter val="2/14"/>
            <filter val="2/18"/>
            <filter val="2/20"/>
            <filter val="2/25"/>
            <filter val="3/15"/>
            <filter val="3/20"/>
            <filter val="4/15"/>
            <filter val="6/1"/>
            <filter val="6/2"/>
            <filter val="6/3"/>
            <filter val="6/4"/>
            <filter val="7/1"/>
          </filters>
        </filterColumn>
        <filterColumn colId="8">
          <filters>
            <filter val="稲場 勇介"/>
            <filter val="小関 麻起"/>
            <filter val="松尾 尚樹"/>
            <filter val="成嶋 夏未"/>
          </filters>
        </filterColumn>
      </autoFilter>
    </customSheetView>
    <customSheetView guid="{C51AA086-4568-423F-8390-B132AE294A8F}" filter="1" showAutoFilter="1">
      <pageMargins left="0.7" right="0.7" top="0.75" bottom="0.75" header="0.3" footer="0.3"/>
      <autoFilter ref="A6:AF2381" xr:uid="{00000000-0000-0000-0000-000000000000}">
        <filterColumn colId="8">
          <filters>
            <filter val="桐山 勝気"/>
            <filter val="森 光智"/>
          </filters>
        </filterColumn>
      </autoFilter>
    </customSheetView>
    <customSheetView guid="{05A03F09-7A4F-42B9-9B92-F3C19FC0FA89}" filter="1" showAutoFilter="1">
      <pageMargins left="0.7" right="0.7" top="0.75" bottom="0.75" header="0.3" footer="0.3"/>
      <autoFilter ref="A6:AF2381" xr:uid="{00000000-0000-0000-0000-000000000000}">
        <filterColumn colId="6">
          <filters blank="1">
            <filter val="1/1"/>
            <filter val="1/23"/>
            <filter val="1/29"/>
            <filter val="1/9"/>
            <filter val="2/1"/>
            <filter val="2/14"/>
            <filter val="2/17"/>
            <filter val="2/18"/>
            <filter val="2/20"/>
            <filter val="2/25"/>
            <filter val="3/1"/>
            <filter val="3/10"/>
            <filter val="3/15"/>
            <filter val="3/20"/>
            <filter val="4/1"/>
            <filter val="4/15"/>
            <filter val="4/17"/>
            <filter val="5/1"/>
            <filter val="6/2"/>
            <filter val="6/3"/>
            <filter val="6/4"/>
          </filters>
        </filterColumn>
        <filterColumn colId="8">
          <filters>
            <filter val="菅野 ぎんが"/>
            <filter val="長谷川 陸朗"/>
            <filter val="老田 純輝"/>
          </filters>
        </filterColumn>
      </autoFilter>
    </customSheetView>
    <customSheetView guid="{3664E1BC-AB98-4C58-984C-7B09747EC4AC}" filter="1" showAutoFilter="1">
      <pageMargins left="0.7" right="0.7" top="0.75" bottom="0.75" header="0.3" footer="0.3"/>
      <autoFilter ref="A6:AF2381" xr:uid="{00000000-0000-0000-0000-000000000000}"/>
    </customSheetView>
    <customSheetView guid="{FFBED692-B24E-470B-80B5-585C55DE90E2}" filter="1" showAutoFilter="1">
      <pageMargins left="0.7" right="0.7" top="0.75" bottom="0.75" header="0.3" footer="0.3"/>
      <autoFilter ref="A6:AF2381" xr:uid="{00000000-0000-0000-0000-000000000000}"/>
    </customSheetView>
    <customSheetView guid="{5EFC1763-94F5-418C-BFD2-AE86701462EB}" filter="1" showAutoFilter="1">
      <pageMargins left="0.7" right="0.7" top="0.75" bottom="0.75" header="0.3" footer="0.3"/>
      <autoFilter ref="A6:AF2381" xr:uid="{00000000-0000-0000-0000-000000000000}">
        <filterColumn colId="8">
          <filters>
            <filter val="桑原 明子"/>
          </filters>
        </filterColumn>
      </autoFilter>
    </customSheetView>
    <customSheetView guid="{479340DD-ED64-4B01-B8FF-A9FB4223527C}" filter="1" showAutoFilter="1">
      <pageMargins left="0.7" right="0.7" top="0.75" bottom="0.75" header="0.3" footer="0.3"/>
      <autoFilter ref="A6:AF2381" xr:uid="{00000000-0000-0000-0000-000000000000}">
        <filterColumn colId="8">
          <filters>
            <filter val="小川 純"/>
          </filters>
        </filterColumn>
      </autoFilter>
    </customSheetView>
    <customSheetView guid="{3E7694CB-B55E-406A-9337-BA7A45E2A2E4}" filter="1" showAutoFilter="1">
      <pageMargins left="0.7" right="0.7" top="0.75" bottom="0.75" header="0.3" footer="0.3"/>
      <autoFilter ref="A6:AF2381" xr:uid="{00000000-0000-0000-0000-000000000000}">
        <filterColumn colId="8">
          <filters>
            <filter val="桑原 明子"/>
            <filter val="森 光智"/>
            <filter val="田嶋 将太"/>
            <filter val="堀越 駿"/>
          </filters>
        </filterColumn>
      </autoFilter>
    </customSheetView>
  </customSheetViews>
  <phoneticPr fontId="6"/>
  <conditionalFormatting sqref="C7:H2381">
    <cfRule type="expression" dxfId="4" priority="1">
      <formula>AND($B7&lt;&gt;"",C7="")</formula>
    </cfRule>
  </conditionalFormatting>
  <conditionalFormatting sqref="A7:A2381">
    <cfRule type="cellIs" dxfId="3" priority="2" operator="equal">
      <formula>"未記入あり"</formula>
    </cfRule>
  </conditionalFormatting>
  <dataValidations count="3">
    <dataValidation type="list" allowBlank="1" sqref="K7:K2381" xr:uid="{00000000-0002-0000-0000-000000000000}">
      <formula1>"AP,-"</formula1>
    </dataValidation>
    <dataValidation type="decimal" allowBlank="1" showDropDown="1" sqref="E7:E2381" xr:uid="{00000000-0002-0000-0000-000001000000}">
      <formula1>0</formula1>
      <formula2>1.5</formula2>
    </dataValidation>
    <dataValidation type="list" allowBlank="1" showErrorMessage="1" sqref="D7:D1416 C1417:D1418 D1419:D2381" xr:uid="{00000000-0002-0000-0000-000002000000}">
      <formula1>$N$1:$T$1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2:M988"/>
  <sheetViews>
    <sheetView showGridLines="0" tabSelected="1" workbookViewId="0">
      <pane xSplit="2" ySplit="4" topLeftCell="C5" activePane="bottomRight" state="frozen"/>
      <selection pane="topRight" activeCell="C1" sqref="C1"/>
      <selection pane="bottomLeft" activeCell="A5" sqref="A5"/>
      <selection pane="bottomRight" activeCell="C5" sqref="C5"/>
    </sheetView>
  </sheetViews>
  <sheetFormatPr baseColWidth="10" defaultColWidth="14.5" defaultRowHeight="15.75" customHeight="1"/>
  <cols>
    <col min="5" max="5" width="39.1640625" customWidth="1"/>
    <col min="8" max="8" width="75.6640625" customWidth="1"/>
  </cols>
  <sheetData>
    <row r="2" spans="1:13" ht="15.75" customHeight="1">
      <c r="B2" s="1"/>
      <c r="C2" s="1"/>
      <c r="D2" s="1" t="s">
        <v>2</v>
      </c>
      <c r="E2" s="2"/>
      <c r="F2" s="2"/>
      <c r="G2" s="2"/>
      <c r="H2" s="2"/>
    </row>
    <row r="4" spans="1:13" ht="15.75" customHeight="1">
      <c r="B4" s="3" t="s">
        <v>11</v>
      </c>
      <c r="C4" s="4" t="s">
        <v>12</v>
      </c>
      <c r="D4" s="5" t="s">
        <v>13</v>
      </c>
      <c r="E4" s="5" t="s">
        <v>14</v>
      </c>
      <c r="F4" s="5" t="s">
        <v>15</v>
      </c>
      <c r="G4" s="5" t="s">
        <v>16</v>
      </c>
      <c r="H4" s="5" t="s">
        <v>17</v>
      </c>
      <c r="I4" s="5" t="s">
        <v>18</v>
      </c>
      <c r="J4" s="5" t="s">
        <v>19</v>
      </c>
      <c r="K4" s="6" t="s">
        <v>20</v>
      </c>
      <c r="M4" s="1" t="s">
        <v>16</v>
      </c>
    </row>
    <row r="5" spans="1:13" ht="15.75" customHeight="1">
      <c r="A5" s="8" t="str">
        <f t="shared" ref="A5:A988" si="0">IF(D5="","-",IF(COUNTA(D5:I5)&lt;6,"未記入あり",IF(J5="OK","OK",IF(J5="未","未承認","NG"))))</f>
        <v>OK</v>
      </c>
      <c r="B5" s="9" t="s">
        <v>24</v>
      </c>
      <c r="C5" s="10">
        <v>43983</v>
      </c>
      <c r="D5" s="11" t="s">
        <v>29</v>
      </c>
      <c r="E5" s="11" t="s">
        <v>31</v>
      </c>
      <c r="F5" s="13">
        <v>43923</v>
      </c>
      <c r="G5" s="11" t="s">
        <v>32</v>
      </c>
      <c r="H5" s="11" t="s">
        <v>34</v>
      </c>
      <c r="I5" s="15" t="s">
        <v>36</v>
      </c>
      <c r="J5" s="15" t="s">
        <v>40</v>
      </c>
      <c r="M5" s="1" t="s">
        <v>32</v>
      </c>
    </row>
    <row r="6" spans="1:13" ht="15.75" customHeight="1">
      <c r="A6" s="8" t="str">
        <f t="shared" si="0"/>
        <v>OK</v>
      </c>
      <c r="B6" s="16" t="s">
        <v>41</v>
      </c>
      <c r="C6" s="17"/>
      <c r="D6" s="18">
        <v>141802</v>
      </c>
      <c r="E6" s="18" t="s">
        <v>43</v>
      </c>
      <c r="F6" s="20">
        <v>43929</v>
      </c>
      <c r="G6" s="21" t="s">
        <v>44</v>
      </c>
      <c r="H6" s="21" t="s">
        <v>45</v>
      </c>
      <c r="I6" s="21" t="s">
        <v>46</v>
      </c>
      <c r="J6" s="21" t="s">
        <v>40</v>
      </c>
      <c r="K6" s="12">
        <f t="array" aca="1" ref="K6:K988" ca="1">IFERROR(VLOOKUP($D6:$D988,Sのみ物件数_Data!$B:$C,2,FALSE),0)</f>
        <v>0</v>
      </c>
      <c r="M6" s="1" t="s">
        <v>48</v>
      </c>
    </row>
    <row r="7" spans="1:13" ht="15.75" customHeight="1">
      <c r="A7" s="8" t="str">
        <f t="shared" si="0"/>
        <v>OK</v>
      </c>
      <c r="B7" s="16" t="s">
        <v>41</v>
      </c>
      <c r="C7" s="17"/>
      <c r="D7" s="22">
        <v>126885</v>
      </c>
      <c r="E7" s="22" t="s">
        <v>55</v>
      </c>
      <c r="F7" s="20">
        <v>43929</v>
      </c>
      <c r="G7" s="21" t="s">
        <v>44</v>
      </c>
      <c r="H7" s="21" t="s">
        <v>45</v>
      </c>
      <c r="I7" s="21" t="s">
        <v>46</v>
      </c>
      <c r="J7" s="21" t="s">
        <v>40</v>
      </c>
      <c r="K7" s="12">
        <f ca="1"/>
        <v>0</v>
      </c>
      <c r="M7" s="1" t="s">
        <v>56</v>
      </c>
    </row>
    <row r="8" spans="1:13" ht="15.75" customHeight="1">
      <c r="A8" s="8" t="str">
        <f t="shared" si="0"/>
        <v>OK</v>
      </c>
      <c r="B8" s="16" t="s">
        <v>41</v>
      </c>
      <c r="C8" s="17"/>
      <c r="D8" s="22">
        <v>109275</v>
      </c>
      <c r="E8" s="22" t="s">
        <v>58</v>
      </c>
      <c r="F8" s="20">
        <v>43929</v>
      </c>
      <c r="G8" s="21" t="s">
        <v>44</v>
      </c>
      <c r="H8" s="21" t="s">
        <v>45</v>
      </c>
      <c r="I8" s="21" t="s">
        <v>46</v>
      </c>
      <c r="J8" s="21" t="s">
        <v>40</v>
      </c>
      <c r="K8" s="12">
        <f ca="1"/>
        <v>0</v>
      </c>
      <c r="M8" s="1" t="s">
        <v>44</v>
      </c>
    </row>
    <row r="9" spans="1:13" ht="15.75" customHeight="1">
      <c r="A9" s="8" t="str">
        <f t="shared" si="0"/>
        <v>OK</v>
      </c>
      <c r="B9" s="16" t="s">
        <v>41</v>
      </c>
      <c r="C9" s="17"/>
      <c r="D9" s="22">
        <v>111479</v>
      </c>
      <c r="E9" s="22" t="s">
        <v>59</v>
      </c>
      <c r="F9" s="20">
        <v>43929</v>
      </c>
      <c r="G9" s="21" t="s">
        <v>44</v>
      </c>
      <c r="H9" s="21" t="s">
        <v>45</v>
      </c>
      <c r="I9" s="21" t="s">
        <v>46</v>
      </c>
      <c r="J9" s="21" t="s">
        <v>40</v>
      </c>
      <c r="K9" s="12">
        <f ca="1"/>
        <v>0</v>
      </c>
      <c r="M9" s="1" t="s">
        <v>7</v>
      </c>
    </row>
    <row r="10" spans="1:13" ht="15.75" customHeight="1">
      <c r="A10" s="8" t="str">
        <f t="shared" si="0"/>
        <v>OK</v>
      </c>
      <c r="B10" s="16" t="s">
        <v>41</v>
      </c>
      <c r="C10" s="17"/>
      <c r="D10" s="22">
        <v>109274</v>
      </c>
      <c r="E10" s="22" t="s">
        <v>60</v>
      </c>
      <c r="F10" s="20">
        <v>43929</v>
      </c>
      <c r="G10" s="21" t="s">
        <v>44</v>
      </c>
      <c r="H10" s="21" t="s">
        <v>45</v>
      </c>
      <c r="I10" s="21" t="s">
        <v>46</v>
      </c>
      <c r="J10" s="21" t="s">
        <v>40</v>
      </c>
      <c r="K10" s="12">
        <f ca="1"/>
        <v>0</v>
      </c>
      <c r="M10" s="1" t="s">
        <v>61</v>
      </c>
    </row>
    <row r="11" spans="1:13" ht="15.75" customHeight="1">
      <c r="A11" s="8" t="str">
        <f t="shared" si="0"/>
        <v>OK</v>
      </c>
      <c r="B11" s="16" t="s">
        <v>41</v>
      </c>
      <c r="C11" s="17"/>
      <c r="D11" s="22">
        <v>110953</v>
      </c>
      <c r="E11" s="22" t="s">
        <v>62</v>
      </c>
      <c r="F11" s="20">
        <v>43929</v>
      </c>
      <c r="G11" s="21" t="s">
        <v>44</v>
      </c>
      <c r="H11" s="21" t="s">
        <v>45</v>
      </c>
      <c r="I11" s="21" t="s">
        <v>46</v>
      </c>
      <c r="J11" s="21" t="s">
        <v>40</v>
      </c>
      <c r="K11" s="12">
        <f ca="1"/>
        <v>0</v>
      </c>
      <c r="M11" s="1" t="s">
        <v>64</v>
      </c>
    </row>
    <row r="12" spans="1:13" ht="15.75" customHeight="1">
      <c r="A12" s="8" t="str">
        <f t="shared" si="0"/>
        <v>OK</v>
      </c>
      <c r="B12" s="16" t="s">
        <v>41</v>
      </c>
      <c r="C12" s="17"/>
      <c r="D12" s="22">
        <v>138581</v>
      </c>
      <c r="E12" s="22" t="s">
        <v>65</v>
      </c>
      <c r="F12" s="20">
        <v>43929</v>
      </c>
      <c r="G12" s="21" t="s">
        <v>44</v>
      </c>
      <c r="H12" s="21" t="s">
        <v>45</v>
      </c>
      <c r="I12" s="21" t="s">
        <v>46</v>
      </c>
      <c r="J12" s="21" t="s">
        <v>40</v>
      </c>
      <c r="K12" s="12">
        <f ca="1"/>
        <v>0</v>
      </c>
      <c r="M12" s="1"/>
    </row>
    <row r="13" spans="1:13" ht="15.75" customHeight="1">
      <c r="A13" s="8" t="str">
        <f t="shared" si="0"/>
        <v>OK</v>
      </c>
      <c r="B13" s="16" t="s">
        <v>41</v>
      </c>
      <c r="C13" s="17"/>
      <c r="D13" s="22">
        <v>124897</v>
      </c>
      <c r="E13" s="23" t="s">
        <v>66</v>
      </c>
      <c r="F13" s="24">
        <v>43929</v>
      </c>
      <c r="G13" s="21" t="s">
        <v>44</v>
      </c>
      <c r="H13" s="21" t="s">
        <v>45</v>
      </c>
      <c r="I13" s="21" t="s">
        <v>46</v>
      </c>
      <c r="J13" s="21" t="s">
        <v>40</v>
      </c>
      <c r="K13" s="12">
        <f ca="1"/>
        <v>0</v>
      </c>
    </row>
    <row r="14" spans="1:13" ht="15.75" customHeight="1">
      <c r="A14" s="8" t="str">
        <f t="shared" si="0"/>
        <v>OK</v>
      </c>
      <c r="B14" s="16" t="s">
        <v>41</v>
      </c>
      <c r="C14" s="25"/>
      <c r="D14" s="21">
        <v>122865</v>
      </c>
      <c r="E14" s="21" t="s">
        <v>68</v>
      </c>
      <c r="F14" s="20">
        <v>43934</v>
      </c>
      <c r="G14" s="21" t="s">
        <v>32</v>
      </c>
      <c r="H14" s="21" t="s">
        <v>69</v>
      </c>
      <c r="I14" s="21" t="s">
        <v>70</v>
      </c>
      <c r="J14" s="21" t="s">
        <v>40</v>
      </c>
      <c r="K14" s="12">
        <f ca="1"/>
        <v>1</v>
      </c>
    </row>
    <row r="15" spans="1:13" ht="15.75" customHeight="1">
      <c r="A15" s="8" t="str">
        <f t="shared" si="0"/>
        <v>OK</v>
      </c>
      <c r="B15" s="16" t="s">
        <v>41</v>
      </c>
      <c r="C15" s="25"/>
      <c r="D15" s="21">
        <v>139662</v>
      </c>
      <c r="E15" s="21" t="s">
        <v>72</v>
      </c>
      <c r="F15" s="20">
        <v>43935</v>
      </c>
      <c r="G15" s="21" t="s">
        <v>44</v>
      </c>
      <c r="H15" s="21" t="s">
        <v>73</v>
      </c>
      <c r="I15" s="21" t="s">
        <v>74</v>
      </c>
      <c r="J15" s="21" t="s">
        <v>40</v>
      </c>
      <c r="K15" s="12">
        <f ca="1"/>
        <v>0</v>
      </c>
    </row>
    <row r="16" spans="1:13" ht="15.75" customHeight="1">
      <c r="A16" s="8" t="str">
        <f t="shared" si="0"/>
        <v>OK</v>
      </c>
      <c r="B16" s="16" t="s">
        <v>41</v>
      </c>
      <c r="C16" s="25"/>
      <c r="D16" s="21">
        <v>125857</v>
      </c>
      <c r="E16" s="21" t="s">
        <v>76</v>
      </c>
      <c r="F16" s="20">
        <v>43938</v>
      </c>
      <c r="G16" s="21" t="s">
        <v>44</v>
      </c>
      <c r="H16" s="21" t="s">
        <v>77</v>
      </c>
      <c r="I16" s="21" t="s">
        <v>78</v>
      </c>
      <c r="J16" s="21" t="s">
        <v>40</v>
      </c>
      <c r="K16" s="12">
        <f ca="1"/>
        <v>0</v>
      </c>
    </row>
    <row r="17" spans="1:11" ht="15.75" customHeight="1">
      <c r="A17" s="8" t="str">
        <f t="shared" si="0"/>
        <v>OK</v>
      </c>
      <c r="B17" s="16" t="s">
        <v>41</v>
      </c>
      <c r="C17" s="25"/>
      <c r="D17" s="21">
        <v>119185</v>
      </c>
      <c r="E17" s="21" t="s">
        <v>80</v>
      </c>
      <c r="F17" s="20">
        <v>43942</v>
      </c>
      <c r="G17" s="21" t="s">
        <v>56</v>
      </c>
      <c r="H17" s="21" t="s">
        <v>81</v>
      </c>
      <c r="I17" s="21" t="s">
        <v>82</v>
      </c>
      <c r="J17" s="21" t="s">
        <v>40</v>
      </c>
      <c r="K17" s="12">
        <f ca="1"/>
        <v>2</v>
      </c>
    </row>
    <row r="18" spans="1:11" ht="15.75" customHeight="1">
      <c r="A18" s="8" t="str">
        <f t="shared" si="0"/>
        <v>OK</v>
      </c>
      <c r="B18" s="16" t="s">
        <v>41</v>
      </c>
      <c r="C18" s="25"/>
      <c r="D18" s="21">
        <v>119646</v>
      </c>
      <c r="E18" s="21" t="s">
        <v>84</v>
      </c>
      <c r="F18" s="20">
        <v>43941</v>
      </c>
      <c r="G18" s="21" t="s">
        <v>44</v>
      </c>
      <c r="H18" s="21" t="s">
        <v>73</v>
      </c>
      <c r="I18" s="21" t="s">
        <v>74</v>
      </c>
      <c r="J18" s="21" t="s">
        <v>40</v>
      </c>
      <c r="K18" s="12">
        <f ca="1"/>
        <v>0</v>
      </c>
    </row>
    <row r="19" spans="1:11" ht="15.75" customHeight="1">
      <c r="A19" s="8" t="str">
        <f t="shared" si="0"/>
        <v>OK</v>
      </c>
      <c r="B19" s="16" t="s">
        <v>41</v>
      </c>
      <c r="C19" s="25"/>
      <c r="D19" s="21">
        <v>122510</v>
      </c>
      <c r="E19" s="21" t="s">
        <v>86</v>
      </c>
      <c r="F19" s="20">
        <v>43941</v>
      </c>
      <c r="G19" s="21" t="s">
        <v>44</v>
      </c>
      <c r="H19" s="21" t="s">
        <v>73</v>
      </c>
      <c r="I19" s="21" t="s">
        <v>74</v>
      </c>
      <c r="J19" s="21" t="s">
        <v>40</v>
      </c>
      <c r="K19" s="12">
        <f ca="1"/>
        <v>0</v>
      </c>
    </row>
    <row r="20" spans="1:11" ht="15.75" customHeight="1">
      <c r="A20" s="8" t="str">
        <f t="shared" si="0"/>
        <v>OK</v>
      </c>
      <c r="B20" s="16" t="s">
        <v>41</v>
      </c>
      <c r="C20" s="17"/>
      <c r="D20" s="22">
        <v>107925</v>
      </c>
      <c r="E20" s="21" t="s">
        <v>88</v>
      </c>
      <c r="F20" s="20">
        <v>43941</v>
      </c>
      <c r="G20" s="21" t="s">
        <v>44</v>
      </c>
      <c r="H20" s="21" t="s">
        <v>45</v>
      </c>
      <c r="I20" s="21" t="s">
        <v>46</v>
      </c>
      <c r="J20" s="21" t="s">
        <v>40</v>
      </c>
      <c r="K20" s="12">
        <f ca="1"/>
        <v>11</v>
      </c>
    </row>
    <row r="21" spans="1:11" ht="15.75" customHeight="1">
      <c r="A21" s="8" t="str">
        <f t="shared" si="0"/>
        <v>OK</v>
      </c>
      <c r="B21" s="16" t="s">
        <v>41</v>
      </c>
      <c r="C21" s="17"/>
      <c r="D21" s="22">
        <v>113057</v>
      </c>
      <c r="E21" s="22" t="s">
        <v>90</v>
      </c>
      <c r="F21" s="20">
        <v>43941</v>
      </c>
      <c r="G21" s="21" t="s">
        <v>44</v>
      </c>
      <c r="H21" s="21" t="s">
        <v>92</v>
      </c>
      <c r="I21" s="21" t="s">
        <v>46</v>
      </c>
      <c r="J21" s="21" t="s">
        <v>40</v>
      </c>
      <c r="K21" s="12">
        <f ca="1"/>
        <v>7</v>
      </c>
    </row>
    <row r="22" spans="1:11" ht="15.75" customHeight="1">
      <c r="A22" s="8" t="str">
        <f t="shared" si="0"/>
        <v>OK</v>
      </c>
      <c r="B22" s="16" t="s">
        <v>41</v>
      </c>
      <c r="C22" s="17"/>
      <c r="D22" s="22">
        <v>124975</v>
      </c>
      <c r="E22" s="22" t="s">
        <v>93</v>
      </c>
      <c r="F22" s="20">
        <v>43944</v>
      </c>
      <c r="G22" s="21" t="s">
        <v>44</v>
      </c>
      <c r="H22" s="21" t="s">
        <v>94</v>
      </c>
      <c r="I22" s="21" t="s">
        <v>46</v>
      </c>
      <c r="J22" s="21" t="s">
        <v>40</v>
      </c>
      <c r="K22" s="12">
        <f ca="1"/>
        <v>15</v>
      </c>
    </row>
    <row r="23" spans="1:11" ht="15.75" customHeight="1">
      <c r="A23" s="8" t="str">
        <f t="shared" si="0"/>
        <v>OK</v>
      </c>
      <c r="B23" s="16" t="s">
        <v>41</v>
      </c>
      <c r="C23" s="17"/>
      <c r="D23" s="22">
        <v>127547</v>
      </c>
      <c r="E23" s="21" t="s">
        <v>96</v>
      </c>
      <c r="F23" s="20">
        <v>43941</v>
      </c>
      <c r="G23" s="21" t="s">
        <v>44</v>
      </c>
      <c r="H23" s="21" t="s">
        <v>45</v>
      </c>
      <c r="I23" s="21" t="s">
        <v>46</v>
      </c>
      <c r="J23" s="21" t="s">
        <v>40</v>
      </c>
      <c r="K23" s="12">
        <f ca="1"/>
        <v>0</v>
      </c>
    </row>
    <row r="24" spans="1:11" ht="15.75" customHeight="1">
      <c r="A24" s="8" t="str">
        <f t="shared" si="0"/>
        <v>OK</v>
      </c>
      <c r="B24" s="16" t="s">
        <v>41</v>
      </c>
      <c r="C24" s="17"/>
      <c r="D24" s="22">
        <v>139455</v>
      </c>
      <c r="E24" s="21" t="s">
        <v>98</v>
      </c>
      <c r="F24" s="20">
        <v>43941</v>
      </c>
      <c r="G24" s="21" t="s">
        <v>44</v>
      </c>
      <c r="H24" s="21" t="s">
        <v>45</v>
      </c>
      <c r="I24" s="21" t="s">
        <v>46</v>
      </c>
      <c r="J24" s="21" t="s">
        <v>40</v>
      </c>
      <c r="K24" s="12">
        <f ca="1"/>
        <v>0</v>
      </c>
    </row>
    <row r="25" spans="1:11" ht="15.75" customHeight="1">
      <c r="A25" s="8" t="str">
        <f t="shared" si="0"/>
        <v>OK</v>
      </c>
      <c r="B25" s="16" t="s">
        <v>41</v>
      </c>
      <c r="C25" s="17"/>
      <c r="D25" s="22">
        <v>122112</v>
      </c>
      <c r="E25" s="21" t="s">
        <v>99</v>
      </c>
      <c r="F25" s="20">
        <v>43941</v>
      </c>
      <c r="G25" s="21" t="s">
        <v>44</v>
      </c>
      <c r="H25" s="21" t="s">
        <v>45</v>
      </c>
      <c r="I25" s="21" t="s">
        <v>46</v>
      </c>
      <c r="J25" s="21" t="s">
        <v>40</v>
      </c>
      <c r="K25" s="12">
        <f ca="1"/>
        <v>0</v>
      </c>
    </row>
    <row r="26" spans="1:11" ht="15.75" customHeight="1">
      <c r="A26" s="8" t="str">
        <f t="shared" si="0"/>
        <v>OK</v>
      </c>
      <c r="B26" s="16" t="s">
        <v>41</v>
      </c>
      <c r="C26" s="17"/>
      <c r="D26" s="22">
        <v>126587</v>
      </c>
      <c r="E26" s="22" t="s">
        <v>100</v>
      </c>
      <c r="F26" s="20">
        <v>43941</v>
      </c>
      <c r="G26" s="21" t="s">
        <v>44</v>
      </c>
      <c r="H26" s="21" t="s">
        <v>92</v>
      </c>
      <c r="I26" s="21" t="s">
        <v>46</v>
      </c>
      <c r="J26" s="21" t="s">
        <v>40</v>
      </c>
      <c r="K26" s="12">
        <f ca="1"/>
        <v>0</v>
      </c>
    </row>
    <row r="27" spans="1:11" ht="15.75" customHeight="1">
      <c r="A27" s="8" t="str">
        <f t="shared" si="0"/>
        <v>OK</v>
      </c>
      <c r="B27" s="16" t="s">
        <v>41</v>
      </c>
      <c r="C27" s="17"/>
      <c r="D27" s="22">
        <v>134355</v>
      </c>
      <c r="E27" s="21" t="s">
        <v>101</v>
      </c>
      <c r="F27" s="20">
        <v>43941</v>
      </c>
      <c r="G27" s="21" t="s">
        <v>44</v>
      </c>
      <c r="H27" s="21" t="s">
        <v>45</v>
      </c>
      <c r="I27" s="21" t="s">
        <v>46</v>
      </c>
      <c r="J27" s="21" t="s">
        <v>40</v>
      </c>
      <c r="K27" s="12">
        <f ca="1"/>
        <v>0</v>
      </c>
    </row>
    <row r="28" spans="1:11" ht="15.75" customHeight="1">
      <c r="A28" s="8" t="str">
        <f t="shared" si="0"/>
        <v>OK</v>
      </c>
      <c r="B28" s="16" t="s">
        <v>41</v>
      </c>
      <c r="C28" s="17"/>
      <c r="D28" s="22">
        <v>141269</v>
      </c>
      <c r="E28" s="21" t="s">
        <v>103</v>
      </c>
      <c r="F28" s="20">
        <v>43941</v>
      </c>
      <c r="G28" s="21" t="s">
        <v>44</v>
      </c>
      <c r="H28" s="21" t="s">
        <v>45</v>
      </c>
      <c r="I28" s="21" t="s">
        <v>46</v>
      </c>
      <c r="J28" s="21" t="s">
        <v>40</v>
      </c>
      <c r="K28" s="12">
        <f ca="1"/>
        <v>0</v>
      </c>
    </row>
    <row r="29" spans="1:11" ht="15.75" customHeight="1">
      <c r="A29" s="8" t="str">
        <f t="shared" si="0"/>
        <v>OK</v>
      </c>
      <c r="B29" s="16" t="s">
        <v>41</v>
      </c>
      <c r="C29" s="25"/>
      <c r="D29" s="26">
        <v>3904102</v>
      </c>
      <c r="E29" s="21" t="s">
        <v>105</v>
      </c>
      <c r="F29" s="20">
        <v>43944</v>
      </c>
      <c r="G29" s="21" t="s">
        <v>44</v>
      </c>
      <c r="H29" s="21" t="s">
        <v>106</v>
      </c>
      <c r="I29" s="21" t="s">
        <v>46</v>
      </c>
      <c r="J29" s="21" t="s">
        <v>40</v>
      </c>
      <c r="K29" s="12">
        <f ca="1"/>
        <v>0</v>
      </c>
    </row>
    <row r="30" spans="1:11" ht="15.75" customHeight="1">
      <c r="A30" s="8" t="str">
        <f t="shared" si="0"/>
        <v>OK</v>
      </c>
      <c r="B30" s="16" t="s">
        <v>41</v>
      </c>
      <c r="C30" s="25"/>
      <c r="D30" s="26">
        <v>134749</v>
      </c>
      <c r="E30" s="21" t="s">
        <v>107</v>
      </c>
      <c r="F30" s="20">
        <v>43944</v>
      </c>
      <c r="G30" s="21" t="s">
        <v>44</v>
      </c>
      <c r="H30" s="21" t="s">
        <v>106</v>
      </c>
      <c r="I30" s="21" t="s">
        <v>46</v>
      </c>
      <c r="J30" s="21" t="s">
        <v>40</v>
      </c>
      <c r="K30" s="12">
        <f ca="1"/>
        <v>0</v>
      </c>
    </row>
    <row r="31" spans="1:11" ht="15.75" customHeight="1">
      <c r="A31" s="8" t="str">
        <f t="shared" si="0"/>
        <v>OK</v>
      </c>
      <c r="B31" s="16" t="s">
        <v>41</v>
      </c>
      <c r="C31" s="25"/>
      <c r="D31" s="21">
        <v>128308</v>
      </c>
      <c r="E31" s="21" t="s">
        <v>109</v>
      </c>
      <c r="F31" s="20">
        <v>43948</v>
      </c>
      <c r="G31" s="21" t="s">
        <v>44</v>
      </c>
      <c r="H31" s="21" t="s">
        <v>45</v>
      </c>
      <c r="I31" s="21" t="s">
        <v>110</v>
      </c>
      <c r="J31" s="21" t="s">
        <v>40</v>
      </c>
      <c r="K31" s="12">
        <f ca="1"/>
        <v>0</v>
      </c>
    </row>
    <row r="32" spans="1:11" ht="15.75" customHeight="1">
      <c r="A32" s="8" t="str">
        <f t="shared" si="0"/>
        <v>OK</v>
      </c>
      <c r="B32" s="16" t="s">
        <v>41</v>
      </c>
      <c r="C32" s="25"/>
      <c r="D32" s="21">
        <v>128345</v>
      </c>
      <c r="E32" s="21" t="s">
        <v>112</v>
      </c>
      <c r="F32" s="20">
        <v>43948</v>
      </c>
      <c r="G32" s="21" t="s">
        <v>44</v>
      </c>
      <c r="H32" s="21" t="s">
        <v>45</v>
      </c>
      <c r="I32" s="21" t="s">
        <v>110</v>
      </c>
      <c r="J32" s="21" t="s">
        <v>40</v>
      </c>
      <c r="K32" s="12">
        <f ca="1"/>
        <v>2</v>
      </c>
    </row>
    <row r="33" spans="1:11" ht="15.75" customHeight="1">
      <c r="A33" s="8" t="str">
        <f t="shared" si="0"/>
        <v>OK</v>
      </c>
      <c r="B33" s="16" t="s">
        <v>41</v>
      </c>
      <c r="C33" s="25"/>
      <c r="D33" s="21">
        <v>130917</v>
      </c>
      <c r="E33" s="21" t="s">
        <v>113</v>
      </c>
      <c r="F33" s="20">
        <v>43948</v>
      </c>
      <c r="G33" s="21" t="s">
        <v>44</v>
      </c>
      <c r="H33" s="21" t="s">
        <v>115</v>
      </c>
      <c r="I33" s="21" t="s">
        <v>110</v>
      </c>
      <c r="J33" s="21" t="s">
        <v>40</v>
      </c>
      <c r="K33" s="12">
        <f ca="1"/>
        <v>0</v>
      </c>
    </row>
    <row r="34" spans="1:11" ht="15.75" customHeight="1">
      <c r="A34" s="8" t="str">
        <f t="shared" si="0"/>
        <v>OK</v>
      </c>
      <c r="B34" s="16" t="s">
        <v>41</v>
      </c>
      <c r="C34" s="25"/>
      <c r="D34" s="21">
        <v>135492</v>
      </c>
      <c r="E34" s="21" t="s">
        <v>116</v>
      </c>
      <c r="F34" s="20">
        <v>43948</v>
      </c>
      <c r="G34" s="21" t="s">
        <v>44</v>
      </c>
      <c r="H34" s="21" t="s">
        <v>92</v>
      </c>
      <c r="I34" s="21" t="s">
        <v>110</v>
      </c>
      <c r="J34" s="21" t="s">
        <v>40</v>
      </c>
      <c r="K34" s="12">
        <f ca="1"/>
        <v>1</v>
      </c>
    </row>
    <row r="35" spans="1:11" ht="15.75" customHeight="1">
      <c r="A35" s="8" t="str">
        <f t="shared" si="0"/>
        <v>OK</v>
      </c>
      <c r="B35" s="16" t="s">
        <v>41</v>
      </c>
      <c r="C35" s="25"/>
      <c r="D35" s="21">
        <v>135508</v>
      </c>
      <c r="E35" s="21" t="s">
        <v>118</v>
      </c>
      <c r="F35" s="20">
        <v>43948</v>
      </c>
      <c r="G35" s="21" t="s">
        <v>44</v>
      </c>
      <c r="H35" s="21" t="s">
        <v>119</v>
      </c>
      <c r="I35" s="21" t="s">
        <v>110</v>
      </c>
      <c r="J35" s="21" t="s">
        <v>40</v>
      </c>
      <c r="K35" s="12">
        <f ca="1"/>
        <v>0</v>
      </c>
    </row>
    <row r="36" spans="1:11" ht="15.75" customHeight="1">
      <c r="A36" s="8" t="str">
        <f t="shared" si="0"/>
        <v>OK</v>
      </c>
      <c r="B36" s="16" t="s">
        <v>41</v>
      </c>
      <c r="C36" s="25"/>
      <c r="D36" s="21">
        <v>141303</v>
      </c>
      <c r="E36" s="21" t="s">
        <v>121</v>
      </c>
      <c r="F36" s="20">
        <v>43948</v>
      </c>
      <c r="G36" s="21" t="s">
        <v>44</v>
      </c>
      <c r="H36" s="21" t="s">
        <v>92</v>
      </c>
      <c r="I36" s="21" t="s">
        <v>110</v>
      </c>
      <c r="J36" s="21" t="s">
        <v>40</v>
      </c>
      <c r="K36" s="12">
        <f ca="1"/>
        <v>1</v>
      </c>
    </row>
    <row r="37" spans="1:11" ht="15.75" customHeight="1">
      <c r="A37" s="8" t="str">
        <f t="shared" si="0"/>
        <v>OK</v>
      </c>
      <c r="B37" s="16" t="s">
        <v>41</v>
      </c>
      <c r="C37" s="25"/>
      <c r="D37" s="21">
        <v>3905157</v>
      </c>
      <c r="E37" s="21" t="s">
        <v>122</v>
      </c>
      <c r="F37" s="20">
        <v>43948</v>
      </c>
      <c r="G37" s="21" t="s">
        <v>44</v>
      </c>
      <c r="H37" s="21" t="s">
        <v>45</v>
      </c>
      <c r="I37" s="21" t="s">
        <v>110</v>
      </c>
      <c r="J37" s="21" t="s">
        <v>40</v>
      </c>
      <c r="K37" s="12">
        <f ca="1"/>
        <v>0</v>
      </c>
    </row>
    <row r="38" spans="1:11" ht="15.75" customHeight="1">
      <c r="A38" s="8" t="str">
        <f t="shared" si="0"/>
        <v>OK</v>
      </c>
      <c r="B38" s="16" t="s">
        <v>41</v>
      </c>
      <c r="C38" s="25"/>
      <c r="D38" s="21">
        <v>121239</v>
      </c>
      <c r="E38" s="21" t="s">
        <v>124</v>
      </c>
      <c r="F38" s="20">
        <v>43948</v>
      </c>
      <c r="G38" s="21" t="s">
        <v>44</v>
      </c>
      <c r="H38" s="21" t="s">
        <v>125</v>
      </c>
      <c r="I38" s="21" t="s">
        <v>74</v>
      </c>
      <c r="J38" s="21" t="s">
        <v>40</v>
      </c>
      <c r="K38" s="12">
        <f ca="1"/>
        <v>36</v>
      </c>
    </row>
    <row r="39" spans="1:11" ht="15.75" customHeight="1">
      <c r="A39" s="8" t="str">
        <f t="shared" si="0"/>
        <v>NG</v>
      </c>
      <c r="B39" s="16" t="s">
        <v>41</v>
      </c>
      <c r="C39" s="25"/>
      <c r="D39" s="26">
        <v>141023</v>
      </c>
      <c r="E39" s="21" t="s">
        <v>127</v>
      </c>
      <c r="F39" s="20">
        <v>43948</v>
      </c>
      <c r="G39" s="21" t="s">
        <v>44</v>
      </c>
      <c r="H39" s="21" t="s">
        <v>128</v>
      </c>
      <c r="I39" s="21" t="s">
        <v>46</v>
      </c>
      <c r="J39" s="22"/>
      <c r="K39" s="12">
        <f ca="1"/>
        <v>0</v>
      </c>
    </row>
    <row r="40" spans="1:11" ht="15.75" customHeight="1">
      <c r="A40" s="8" t="str">
        <f t="shared" si="0"/>
        <v>NG</v>
      </c>
      <c r="B40" s="16" t="s">
        <v>41</v>
      </c>
      <c r="C40" s="17"/>
      <c r="D40" s="22">
        <v>126950</v>
      </c>
      <c r="E40" s="23" t="s">
        <v>129</v>
      </c>
      <c r="F40" s="24">
        <v>43948</v>
      </c>
      <c r="G40" s="21" t="s">
        <v>44</v>
      </c>
      <c r="H40" s="21" t="s">
        <v>130</v>
      </c>
      <c r="I40" s="21" t="s">
        <v>46</v>
      </c>
      <c r="J40" s="22"/>
      <c r="K40" s="12">
        <f ca="1"/>
        <v>89</v>
      </c>
    </row>
    <row r="41" spans="1:11" ht="15.75" customHeight="1">
      <c r="A41" s="8" t="str">
        <f t="shared" si="0"/>
        <v>NG</v>
      </c>
      <c r="B41" s="16" t="s">
        <v>41</v>
      </c>
      <c r="C41" s="17"/>
      <c r="D41" s="22">
        <v>138188</v>
      </c>
      <c r="E41" s="23" t="s">
        <v>132</v>
      </c>
      <c r="F41" s="24">
        <v>43948</v>
      </c>
      <c r="G41" s="21" t="s">
        <v>44</v>
      </c>
      <c r="H41" s="21" t="s">
        <v>130</v>
      </c>
      <c r="I41" s="21" t="s">
        <v>46</v>
      </c>
      <c r="J41" s="22"/>
      <c r="K41" s="12">
        <f ca="1"/>
        <v>69</v>
      </c>
    </row>
    <row r="42" spans="1:11" ht="15.75" customHeight="1">
      <c r="A42" s="8" t="str">
        <f t="shared" si="0"/>
        <v>NG</v>
      </c>
      <c r="B42" s="16" t="s">
        <v>41</v>
      </c>
      <c r="C42" s="17"/>
      <c r="D42" s="22">
        <v>124644</v>
      </c>
      <c r="E42" s="23" t="s">
        <v>134</v>
      </c>
      <c r="F42" s="24">
        <v>43948</v>
      </c>
      <c r="G42" s="21" t="s">
        <v>44</v>
      </c>
      <c r="H42" s="21" t="s">
        <v>130</v>
      </c>
      <c r="I42" s="21" t="s">
        <v>46</v>
      </c>
      <c r="J42" s="22"/>
      <c r="K42" s="12">
        <f ca="1"/>
        <v>49</v>
      </c>
    </row>
    <row r="43" spans="1:11" ht="15.75" customHeight="1">
      <c r="A43" s="8" t="str">
        <f t="shared" si="0"/>
        <v>NG</v>
      </c>
      <c r="B43" s="16" t="s">
        <v>41</v>
      </c>
      <c r="C43" s="17"/>
      <c r="D43" s="22">
        <v>128570</v>
      </c>
      <c r="E43" s="23" t="s">
        <v>136</v>
      </c>
      <c r="F43" s="24">
        <v>43948</v>
      </c>
      <c r="G43" s="21" t="s">
        <v>44</v>
      </c>
      <c r="H43" s="21" t="s">
        <v>130</v>
      </c>
      <c r="I43" s="21" t="s">
        <v>46</v>
      </c>
      <c r="J43" s="22"/>
      <c r="K43" s="12">
        <f ca="1"/>
        <v>57</v>
      </c>
    </row>
    <row r="44" spans="1:11" ht="15.75" customHeight="1">
      <c r="A44" s="8" t="str">
        <f t="shared" si="0"/>
        <v>NG</v>
      </c>
      <c r="B44" s="16" t="s">
        <v>41</v>
      </c>
      <c r="C44" s="17"/>
      <c r="D44" s="22">
        <v>131742</v>
      </c>
      <c r="E44" s="23" t="s">
        <v>137</v>
      </c>
      <c r="F44" s="24">
        <v>43948</v>
      </c>
      <c r="G44" s="21" t="s">
        <v>44</v>
      </c>
      <c r="H44" s="21" t="s">
        <v>130</v>
      </c>
      <c r="I44" s="21" t="s">
        <v>46</v>
      </c>
      <c r="J44" s="22"/>
      <c r="K44" s="12">
        <f ca="1"/>
        <v>78</v>
      </c>
    </row>
    <row r="45" spans="1:11" ht="15.75" customHeight="1">
      <c r="A45" s="8" t="str">
        <f t="shared" si="0"/>
        <v>NG</v>
      </c>
      <c r="B45" s="16" t="s">
        <v>41</v>
      </c>
      <c r="C45" s="17"/>
      <c r="D45" s="22">
        <v>133234</v>
      </c>
      <c r="E45" s="23" t="s">
        <v>139</v>
      </c>
      <c r="F45" s="24">
        <v>43948</v>
      </c>
      <c r="G45" s="21" t="s">
        <v>44</v>
      </c>
      <c r="H45" s="21" t="s">
        <v>130</v>
      </c>
      <c r="I45" s="21" t="s">
        <v>46</v>
      </c>
      <c r="J45" s="22"/>
      <c r="K45" s="12">
        <f ca="1"/>
        <v>63</v>
      </c>
    </row>
    <row r="46" spans="1:11" ht="15.75" customHeight="1">
      <c r="A46" s="8" t="str">
        <f t="shared" si="0"/>
        <v>NG</v>
      </c>
      <c r="B46" s="16" t="s">
        <v>41</v>
      </c>
      <c r="C46" s="17"/>
      <c r="D46" s="22">
        <v>123576</v>
      </c>
      <c r="E46" s="23" t="s">
        <v>141</v>
      </c>
      <c r="F46" s="24">
        <v>43948</v>
      </c>
      <c r="G46" s="21" t="s">
        <v>44</v>
      </c>
      <c r="H46" s="21" t="s">
        <v>130</v>
      </c>
      <c r="I46" s="21" t="s">
        <v>46</v>
      </c>
      <c r="J46" s="22"/>
      <c r="K46" s="12">
        <f ca="1"/>
        <v>101</v>
      </c>
    </row>
    <row r="47" spans="1:11" ht="15.75" customHeight="1">
      <c r="A47" s="8" t="str">
        <f t="shared" si="0"/>
        <v>NG</v>
      </c>
      <c r="B47" s="16" t="s">
        <v>41</v>
      </c>
      <c r="C47" s="17"/>
      <c r="D47" s="22">
        <v>141601</v>
      </c>
      <c r="E47" s="26" t="s">
        <v>142</v>
      </c>
      <c r="F47" s="20">
        <v>43922</v>
      </c>
      <c r="G47" s="21" t="s">
        <v>44</v>
      </c>
      <c r="H47" s="21" t="s">
        <v>45</v>
      </c>
      <c r="I47" s="21" t="s">
        <v>46</v>
      </c>
      <c r="J47" s="22"/>
      <c r="K47" s="12">
        <f ca="1"/>
        <v>0</v>
      </c>
    </row>
    <row r="48" spans="1:11" ht="15.75" customHeight="1">
      <c r="A48" s="8" t="str">
        <f t="shared" si="0"/>
        <v>NG</v>
      </c>
      <c r="B48" s="16" t="s">
        <v>41</v>
      </c>
      <c r="C48" s="17"/>
      <c r="D48" s="22">
        <v>141459</v>
      </c>
      <c r="E48" s="21" t="s">
        <v>144</v>
      </c>
      <c r="F48" s="24">
        <v>43949</v>
      </c>
      <c r="G48" s="21" t="s">
        <v>7</v>
      </c>
      <c r="H48" s="21" t="s">
        <v>145</v>
      </c>
      <c r="I48" s="21" t="s">
        <v>46</v>
      </c>
      <c r="J48" s="22"/>
      <c r="K48" s="12">
        <f ca="1"/>
        <v>0</v>
      </c>
    </row>
    <row r="49" spans="1:11" ht="15.75" customHeight="1">
      <c r="A49" s="8" t="str">
        <f t="shared" si="0"/>
        <v>NG</v>
      </c>
      <c r="B49" s="16" t="s">
        <v>41</v>
      </c>
      <c r="C49" s="27"/>
      <c r="D49" s="19">
        <v>141368</v>
      </c>
      <c r="E49" s="21" t="s">
        <v>147</v>
      </c>
      <c r="F49" s="20">
        <v>43949</v>
      </c>
      <c r="G49" s="21" t="s">
        <v>7</v>
      </c>
      <c r="H49" s="21" t="s">
        <v>145</v>
      </c>
      <c r="I49" s="21" t="s">
        <v>46</v>
      </c>
      <c r="J49" s="22"/>
      <c r="K49" s="12">
        <f ca="1"/>
        <v>0</v>
      </c>
    </row>
    <row r="50" spans="1:11" ht="15.75" customHeight="1">
      <c r="A50" s="8" t="str">
        <f t="shared" si="0"/>
        <v>NG</v>
      </c>
      <c r="B50" s="16" t="s">
        <v>41</v>
      </c>
      <c r="C50" s="25"/>
      <c r="D50" s="21">
        <v>3101834</v>
      </c>
      <c r="E50" s="21" t="s">
        <v>148</v>
      </c>
      <c r="F50" s="20">
        <v>43951</v>
      </c>
      <c r="G50" s="21" t="s">
        <v>44</v>
      </c>
      <c r="H50" s="21" t="s">
        <v>149</v>
      </c>
      <c r="I50" s="21" t="s">
        <v>46</v>
      </c>
      <c r="J50" s="22"/>
      <c r="K50" s="12">
        <f ca="1"/>
        <v>77</v>
      </c>
    </row>
    <row r="51" spans="1:11" ht="15.75" customHeight="1">
      <c r="A51" s="8" t="str">
        <f t="shared" si="0"/>
        <v>NG</v>
      </c>
      <c r="B51" s="16" t="s">
        <v>41</v>
      </c>
      <c r="C51" s="25"/>
      <c r="D51" s="21">
        <v>3103909</v>
      </c>
      <c r="E51" s="21" t="s">
        <v>150</v>
      </c>
      <c r="F51" s="20">
        <v>43951</v>
      </c>
      <c r="G51" s="21" t="s">
        <v>44</v>
      </c>
      <c r="H51" s="21" t="s">
        <v>149</v>
      </c>
      <c r="I51" s="21" t="s">
        <v>46</v>
      </c>
      <c r="J51" s="22"/>
      <c r="K51" s="12">
        <f ca="1"/>
        <v>153</v>
      </c>
    </row>
    <row r="52" spans="1:11" ht="15.75" customHeight="1">
      <c r="A52" s="8" t="str">
        <f t="shared" si="0"/>
        <v>NG</v>
      </c>
      <c r="B52" s="16" t="s">
        <v>41</v>
      </c>
      <c r="C52" s="25"/>
      <c r="D52" s="21">
        <v>3103936</v>
      </c>
      <c r="E52" s="21" t="s">
        <v>151</v>
      </c>
      <c r="F52" s="20">
        <v>43951</v>
      </c>
      <c r="G52" s="21" t="s">
        <v>44</v>
      </c>
      <c r="H52" s="21" t="s">
        <v>149</v>
      </c>
      <c r="I52" s="21" t="s">
        <v>46</v>
      </c>
      <c r="J52" s="22"/>
      <c r="K52" s="12">
        <f ca="1"/>
        <v>90</v>
      </c>
    </row>
    <row r="53" spans="1:11" ht="15.75" customHeight="1">
      <c r="A53" s="8" t="str">
        <f t="shared" si="0"/>
        <v>NG</v>
      </c>
      <c r="B53" s="16" t="s">
        <v>41</v>
      </c>
      <c r="C53" s="25"/>
      <c r="D53" s="21">
        <v>3104052</v>
      </c>
      <c r="E53" s="21" t="s">
        <v>152</v>
      </c>
      <c r="F53" s="20">
        <v>43951</v>
      </c>
      <c r="G53" s="21" t="s">
        <v>44</v>
      </c>
      <c r="H53" s="21" t="s">
        <v>149</v>
      </c>
      <c r="I53" s="21" t="s">
        <v>46</v>
      </c>
      <c r="J53" s="22"/>
      <c r="K53" s="12">
        <f ca="1"/>
        <v>57</v>
      </c>
    </row>
    <row r="54" spans="1:11" ht="15.75" customHeight="1">
      <c r="A54" s="8" t="str">
        <f t="shared" si="0"/>
        <v>NG</v>
      </c>
      <c r="B54" s="16" t="s">
        <v>41</v>
      </c>
      <c r="C54" s="28"/>
      <c r="D54" s="29">
        <v>118519</v>
      </c>
      <c r="E54" s="30" t="s">
        <v>153</v>
      </c>
      <c r="F54" s="20">
        <v>43951</v>
      </c>
      <c r="G54" s="21" t="s">
        <v>44</v>
      </c>
      <c r="H54" s="21" t="s">
        <v>149</v>
      </c>
      <c r="I54" s="21" t="s">
        <v>155</v>
      </c>
      <c r="J54" s="22"/>
      <c r="K54" s="12">
        <f ca="1"/>
        <v>0</v>
      </c>
    </row>
    <row r="55" spans="1:11" ht="15.75" customHeight="1">
      <c r="A55" s="8" t="str">
        <f t="shared" si="0"/>
        <v>OK</v>
      </c>
      <c r="B55" s="16" t="s">
        <v>41</v>
      </c>
      <c r="C55" s="25"/>
      <c r="D55" s="21">
        <v>132018</v>
      </c>
      <c r="E55" s="21" t="s">
        <v>157</v>
      </c>
      <c r="F55" s="20">
        <v>43951</v>
      </c>
      <c r="G55" s="21" t="s">
        <v>44</v>
      </c>
      <c r="H55" s="21" t="s">
        <v>158</v>
      </c>
      <c r="I55" s="21" t="s">
        <v>159</v>
      </c>
      <c r="J55" s="21" t="s">
        <v>40</v>
      </c>
      <c r="K55" s="12">
        <f ca="1"/>
        <v>43</v>
      </c>
    </row>
    <row r="56" spans="1:11" ht="15.75" customHeight="1">
      <c r="A56" s="8" t="str">
        <f t="shared" si="0"/>
        <v>OK</v>
      </c>
      <c r="B56" s="16" t="s">
        <v>41</v>
      </c>
      <c r="C56" s="25"/>
      <c r="D56" s="21">
        <v>141496</v>
      </c>
      <c r="E56" s="21" t="s">
        <v>160</v>
      </c>
      <c r="F56" s="20">
        <v>43951</v>
      </c>
      <c r="G56" s="21" t="s">
        <v>44</v>
      </c>
      <c r="H56" s="21" t="s">
        <v>158</v>
      </c>
      <c r="I56" s="21" t="s">
        <v>159</v>
      </c>
      <c r="J56" s="21" t="s">
        <v>40</v>
      </c>
      <c r="K56" s="12">
        <f ca="1"/>
        <v>0</v>
      </c>
    </row>
    <row r="57" spans="1:11" ht="15.75" customHeight="1">
      <c r="A57" s="8" t="str">
        <f t="shared" si="0"/>
        <v>OK</v>
      </c>
      <c r="B57" s="16" t="s">
        <v>41</v>
      </c>
      <c r="C57" s="25"/>
      <c r="D57" s="21">
        <v>127288</v>
      </c>
      <c r="E57" s="21" t="s">
        <v>162</v>
      </c>
      <c r="F57" s="20">
        <v>43951</v>
      </c>
      <c r="G57" s="21" t="s">
        <v>44</v>
      </c>
      <c r="H57" s="21" t="s">
        <v>158</v>
      </c>
      <c r="I57" s="21" t="s">
        <v>163</v>
      </c>
      <c r="J57" s="21" t="s">
        <v>40</v>
      </c>
      <c r="K57" s="12">
        <f ca="1"/>
        <v>0</v>
      </c>
    </row>
    <row r="58" spans="1:11" ht="14">
      <c r="A58" s="8" t="str">
        <f t="shared" si="0"/>
        <v>NG</v>
      </c>
      <c r="B58" s="16" t="s">
        <v>41</v>
      </c>
      <c r="C58" s="31"/>
      <c r="D58" s="32">
        <v>118519</v>
      </c>
      <c r="E58" s="33" t="s">
        <v>153</v>
      </c>
      <c r="F58" s="20">
        <v>43937</v>
      </c>
      <c r="G58" s="21" t="s">
        <v>44</v>
      </c>
      <c r="H58" s="21" t="s">
        <v>149</v>
      </c>
      <c r="I58" s="21" t="s">
        <v>155</v>
      </c>
      <c r="J58" s="22"/>
      <c r="K58" s="12">
        <f ca="1"/>
        <v>0</v>
      </c>
    </row>
    <row r="59" spans="1:11" ht="14">
      <c r="A59" s="8" t="str">
        <f t="shared" si="0"/>
        <v>NG</v>
      </c>
      <c r="B59" s="16" t="s">
        <v>41</v>
      </c>
      <c r="C59" s="34"/>
      <c r="D59" s="35">
        <v>120886</v>
      </c>
      <c r="E59" s="36" t="s">
        <v>166</v>
      </c>
      <c r="F59" s="20">
        <v>43937</v>
      </c>
      <c r="G59" s="21" t="s">
        <v>44</v>
      </c>
      <c r="H59" s="21" t="s">
        <v>168</v>
      </c>
      <c r="I59" s="21" t="s">
        <v>155</v>
      </c>
      <c r="J59" s="22"/>
      <c r="K59" s="12">
        <f ca="1"/>
        <v>32</v>
      </c>
    </row>
    <row r="60" spans="1:11" ht="14">
      <c r="A60" s="8" t="str">
        <f t="shared" si="0"/>
        <v>NG</v>
      </c>
      <c r="B60" s="16" t="s">
        <v>41</v>
      </c>
      <c r="C60" s="34"/>
      <c r="D60" s="35">
        <v>124743</v>
      </c>
      <c r="E60" s="36" t="s">
        <v>169</v>
      </c>
      <c r="F60" s="20">
        <v>43962</v>
      </c>
      <c r="G60" s="21" t="s">
        <v>44</v>
      </c>
      <c r="H60" s="21" t="s">
        <v>170</v>
      </c>
      <c r="I60" s="21" t="s">
        <v>155</v>
      </c>
      <c r="J60" s="22"/>
      <c r="K60" s="12">
        <f ca="1"/>
        <v>44</v>
      </c>
    </row>
    <row r="61" spans="1:11" ht="14">
      <c r="A61" s="8" t="str">
        <f t="shared" si="0"/>
        <v>NG</v>
      </c>
      <c r="B61" s="16" t="s">
        <v>41</v>
      </c>
      <c r="C61" s="34"/>
      <c r="D61" s="35">
        <v>127750</v>
      </c>
      <c r="E61" s="37" t="s">
        <v>172</v>
      </c>
      <c r="F61" s="20">
        <v>43931</v>
      </c>
      <c r="G61" s="21" t="s">
        <v>44</v>
      </c>
      <c r="H61" s="21" t="s">
        <v>173</v>
      </c>
      <c r="I61" s="21" t="s">
        <v>155</v>
      </c>
      <c r="J61" s="22"/>
      <c r="K61" s="12">
        <f ca="1"/>
        <v>0</v>
      </c>
    </row>
    <row r="62" spans="1:11" ht="14">
      <c r="A62" s="8" t="str">
        <f t="shared" si="0"/>
        <v>NG</v>
      </c>
      <c r="B62" s="16" t="s">
        <v>41</v>
      </c>
      <c r="C62" s="34"/>
      <c r="D62" s="35">
        <v>140966</v>
      </c>
      <c r="E62" s="36" t="s">
        <v>176</v>
      </c>
      <c r="F62" s="20">
        <v>43934</v>
      </c>
      <c r="G62" s="21" t="s">
        <v>44</v>
      </c>
      <c r="H62" s="21" t="s">
        <v>168</v>
      </c>
      <c r="I62" s="21" t="s">
        <v>155</v>
      </c>
      <c r="J62" s="22"/>
      <c r="K62" s="12">
        <f ca="1"/>
        <v>0</v>
      </c>
    </row>
    <row r="63" spans="1:11" ht="14">
      <c r="A63" s="8" t="str">
        <f t="shared" si="0"/>
        <v>NG</v>
      </c>
      <c r="B63" s="16" t="s">
        <v>41</v>
      </c>
      <c r="C63" s="38"/>
      <c r="D63" s="39">
        <v>3101928</v>
      </c>
      <c r="E63" s="40" t="s">
        <v>178</v>
      </c>
      <c r="F63" s="20">
        <v>43941</v>
      </c>
      <c r="G63" s="21" t="s">
        <v>44</v>
      </c>
      <c r="H63" s="21" t="s">
        <v>180</v>
      </c>
      <c r="I63" s="21" t="s">
        <v>155</v>
      </c>
      <c r="J63" s="22"/>
      <c r="K63" s="12">
        <f ca="1"/>
        <v>62</v>
      </c>
    </row>
    <row r="64" spans="1:11" ht="13">
      <c r="A64" s="8" t="str">
        <f t="shared" si="0"/>
        <v>-</v>
      </c>
      <c r="B64" s="16"/>
      <c r="C64" s="17"/>
      <c r="D64" s="22"/>
      <c r="E64" s="22"/>
      <c r="F64" s="23"/>
      <c r="G64" s="22"/>
      <c r="H64" s="22"/>
      <c r="I64" s="22"/>
      <c r="J64" s="22"/>
      <c r="K64" s="12">
        <f ca="1"/>
        <v>0</v>
      </c>
    </row>
    <row r="65" spans="1:11" ht="13">
      <c r="A65" s="8" t="str">
        <f t="shared" si="0"/>
        <v>-</v>
      </c>
      <c r="B65" s="16"/>
      <c r="C65" s="17"/>
      <c r="D65" s="22"/>
      <c r="E65" s="22"/>
      <c r="F65" s="23"/>
      <c r="G65" s="22"/>
      <c r="H65" s="22"/>
      <c r="I65" s="22"/>
      <c r="J65" s="22"/>
      <c r="K65" s="12">
        <f ca="1"/>
        <v>0</v>
      </c>
    </row>
    <row r="66" spans="1:11" ht="13">
      <c r="A66" s="8" t="str">
        <f t="shared" si="0"/>
        <v>-</v>
      </c>
      <c r="B66" s="16"/>
      <c r="C66" s="17"/>
      <c r="D66" s="22"/>
      <c r="E66" s="22"/>
      <c r="F66" s="23"/>
      <c r="G66" s="22"/>
      <c r="H66" s="22"/>
      <c r="I66" s="22"/>
      <c r="J66" s="22"/>
      <c r="K66" s="12">
        <f ca="1"/>
        <v>0</v>
      </c>
    </row>
    <row r="67" spans="1:11" ht="13">
      <c r="A67" s="8" t="str">
        <f t="shared" si="0"/>
        <v>-</v>
      </c>
      <c r="B67" s="16"/>
      <c r="C67" s="17"/>
      <c r="D67" s="22"/>
      <c r="E67" s="22"/>
      <c r="F67" s="23"/>
      <c r="G67" s="22"/>
      <c r="H67" s="22"/>
      <c r="I67" s="22"/>
      <c r="J67" s="22"/>
      <c r="K67" s="12">
        <f ca="1"/>
        <v>0</v>
      </c>
    </row>
    <row r="68" spans="1:11" ht="13">
      <c r="A68" s="8" t="str">
        <f t="shared" si="0"/>
        <v>-</v>
      </c>
      <c r="B68" s="16"/>
      <c r="C68" s="17"/>
      <c r="D68" s="22"/>
      <c r="E68" s="22"/>
      <c r="F68" s="23"/>
      <c r="G68" s="22"/>
      <c r="H68" s="22"/>
      <c r="I68" s="22"/>
      <c r="J68" s="22"/>
      <c r="K68" s="12">
        <f ca="1"/>
        <v>0</v>
      </c>
    </row>
    <row r="69" spans="1:11" ht="13">
      <c r="A69" s="8" t="str">
        <f t="shared" si="0"/>
        <v>-</v>
      </c>
      <c r="B69" s="16"/>
      <c r="C69" s="17"/>
      <c r="D69" s="22"/>
      <c r="E69" s="22"/>
      <c r="F69" s="23"/>
      <c r="G69" s="22"/>
      <c r="H69" s="22"/>
      <c r="I69" s="22"/>
      <c r="J69" s="22"/>
      <c r="K69" s="12">
        <f ca="1"/>
        <v>0</v>
      </c>
    </row>
    <row r="70" spans="1:11" ht="13">
      <c r="A70" s="8" t="str">
        <f t="shared" si="0"/>
        <v>-</v>
      </c>
      <c r="B70" s="16"/>
      <c r="C70" s="17"/>
      <c r="D70" s="22"/>
      <c r="E70" s="22"/>
      <c r="F70" s="23"/>
      <c r="G70" s="22"/>
      <c r="H70" s="22"/>
      <c r="I70" s="22"/>
      <c r="J70" s="22"/>
      <c r="K70" s="12">
        <f ca="1"/>
        <v>0</v>
      </c>
    </row>
    <row r="71" spans="1:11" ht="13">
      <c r="A71" s="8" t="str">
        <f t="shared" si="0"/>
        <v>-</v>
      </c>
      <c r="B71" s="16"/>
      <c r="C71" s="17"/>
      <c r="D71" s="22"/>
      <c r="E71" s="22"/>
      <c r="F71" s="23"/>
      <c r="G71" s="22"/>
      <c r="H71" s="22"/>
      <c r="I71" s="22"/>
      <c r="J71" s="22"/>
      <c r="K71" s="12">
        <f ca="1"/>
        <v>0</v>
      </c>
    </row>
    <row r="72" spans="1:11" ht="13">
      <c r="A72" s="8" t="str">
        <f t="shared" si="0"/>
        <v>-</v>
      </c>
      <c r="B72" s="16"/>
      <c r="C72" s="17"/>
      <c r="D72" s="22"/>
      <c r="E72" s="22"/>
      <c r="F72" s="23"/>
      <c r="G72" s="22"/>
      <c r="H72" s="22"/>
      <c r="I72" s="22"/>
      <c r="J72" s="22"/>
      <c r="K72" s="12">
        <f ca="1"/>
        <v>0</v>
      </c>
    </row>
    <row r="73" spans="1:11" ht="13">
      <c r="A73" s="8" t="str">
        <f t="shared" si="0"/>
        <v>-</v>
      </c>
      <c r="B73" s="16"/>
      <c r="C73" s="17"/>
      <c r="D73" s="22"/>
      <c r="E73" s="22"/>
      <c r="F73" s="23"/>
      <c r="G73" s="22"/>
      <c r="H73" s="22"/>
      <c r="I73" s="22"/>
      <c r="J73" s="22"/>
      <c r="K73" s="12">
        <f ca="1"/>
        <v>0</v>
      </c>
    </row>
    <row r="74" spans="1:11" ht="13">
      <c r="A74" s="8" t="str">
        <f t="shared" si="0"/>
        <v>-</v>
      </c>
      <c r="B74" s="16"/>
      <c r="C74" s="17"/>
      <c r="D74" s="22"/>
      <c r="E74" s="22"/>
      <c r="F74" s="23"/>
      <c r="G74" s="22"/>
      <c r="H74" s="22"/>
      <c r="I74" s="22"/>
      <c r="J74" s="22"/>
      <c r="K74" s="12">
        <f ca="1"/>
        <v>0</v>
      </c>
    </row>
    <row r="75" spans="1:11" ht="13">
      <c r="A75" s="8" t="str">
        <f t="shared" si="0"/>
        <v>-</v>
      </c>
      <c r="B75" s="16"/>
      <c r="C75" s="17"/>
      <c r="D75" s="22"/>
      <c r="E75" s="22"/>
      <c r="F75" s="23"/>
      <c r="G75" s="22"/>
      <c r="H75" s="22"/>
      <c r="I75" s="22"/>
      <c r="J75" s="22"/>
      <c r="K75" s="12">
        <f ca="1"/>
        <v>0</v>
      </c>
    </row>
    <row r="76" spans="1:11" ht="13">
      <c r="A76" s="8" t="str">
        <f t="shared" si="0"/>
        <v>-</v>
      </c>
      <c r="B76" s="16"/>
      <c r="C76" s="17"/>
      <c r="D76" s="22"/>
      <c r="E76" s="22"/>
      <c r="F76" s="23"/>
      <c r="G76" s="22"/>
      <c r="H76" s="22"/>
      <c r="I76" s="22"/>
      <c r="J76" s="22"/>
      <c r="K76" s="12">
        <f ca="1"/>
        <v>0</v>
      </c>
    </row>
    <row r="77" spans="1:11" ht="13">
      <c r="A77" s="8" t="str">
        <f t="shared" si="0"/>
        <v>-</v>
      </c>
      <c r="B77" s="16"/>
      <c r="C77" s="17"/>
      <c r="D77" s="22"/>
      <c r="E77" s="22"/>
      <c r="F77" s="23"/>
      <c r="G77" s="22"/>
      <c r="H77" s="22"/>
      <c r="I77" s="22"/>
      <c r="J77" s="22"/>
      <c r="K77" s="12">
        <f ca="1"/>
        <v>0</v>
      </c>
    </row>
    <row r="78" spans="1:11" ht="13">
      <c r="A78" s="8" t="str">
        <f t="shared" si="0"/>
        <v>-</v>
      </c>
      <c r="B78" s="16"/>
      <c r="C78" s="17"/>
      <c r="D78" s="22"/>
      <c r="E78" s="22"/>
      <c r="F78" s="23"/>
      <c r="G78" s="22"/>
      <c r="H78" s="22"/>
      <c r="I78" s="22"/>
      <c r="J78" s="22"/>
      <c r="K78" s="12">
        <f ca="1"/>
        <v>0</v>
      </c>
    </row>
    <row r="79" spans="1:11" ht="13">
      <c r="A79" s="8" t="str">
        <f t="shared" si="0"/>
        <v>-</v>
      </c>
      <c r="B79" s="16"/>
      <c r="C79" s="17"/>
      <c r="D79" s="22"/>
      <c r="E79" s="22"/>
      <c r="F79" s="23"/>
      <c r="G79" s="22"/>
      <c r="H79" s="22"/>
      <c r="I79" s="22"/>
      <c r="J79" s="22"/>
      <c r="K79" s="12">
        <f ca="1"/>
        <v>0</v>
      </c>
    </row>
    <row r="80" spans="1:11" ht="13">
      <c r="A80" s="8" t="str">
        <f t="shared" si="0"/>
        <v>-</v>
      </c>
      <c r="B80" s="16"/>
      <c r="C80" s="17"/>
      <c r="D80" s="22"/>
      <c r="E80" s="22"/>
      <c r="F80" s="23"/>
      <c r="G80" s="22"/>
      <c r="H80" s="22"/>
      <c r="I80" s="22"/>
      <c r="J80" s="22"/>
      <c r="K80" s="12">
        <f ca="1"/>
        <v>0</v>
      </c>
    </row>
    <row r="81" spans="1:11" ht="13">
      <c r="A81" s="8" t="str">
        <f t="shared" si="0"/>
        <v>-</v>
      </c>
      <c r="B81" s="16"/>
      <c r="C81" s="17"/>
      <c r="D81" s="22"/>
      <c r="E81" s="22"/>
      <c r="F81" s="23"/>
      <c r="G81" s="22"/>
      <c r="H81" s="22"/>
      <c r="I81" s="22"/>
      <c r="J81" s="22"/>
      <c r="K81" s="12">
        <f ca="1"/>
        <v>0</v>
      </c>
    </row>
    <row r="82" spans="1:11" ht="13">
      <c r="A82" s="8" t="str">
        <f t="shared" si="0"/>
        <v>-</v>
      </c>
      <c r="B82" s="16"/>
      <c r="C82" s="17"/>
      <c r="D82" s="22"/>
      <c r="E82" s="22"/>
      <c r="F82" s="23"/>
      <c r="G82" s="22"/>
      <c r="H82" s="22"/>
      <c r="I82" s="22"/>
      <c r="J82" s="22"/>
      <c r="K82" s="12">
        <f ca="1"/>
        <v>0</v>
      </c>
    </row>
    <row r="83" spans="1:11" ht="13">
      <c r="A83" s="8" t="str">
        <f t="shared" si="0"/>
        <v>-</v>
      </c>
      <c r="B83" s="16"/>
      <c r="C83" s="17"/>
      <c r="D83" s="22"/>
      <c r="E83" s="22"/>
      <c r="F83" s="23"/>
      <c r="G83" s="22"/>
      <c r="H83" s="22"/>
      <c r="I83" s="22"/>
      <c r="J83" s="22"/>
      <c r="K83" s="12">
        <f ca="1"/>
        <v>0</v>
      </c>
    </row>
    <row r="84" spans="1:11" ht="13">
      <c r="A84" s="8" t="str">
        <f t="shared" si="0"/>
        <v>-</v>
      </c>
      <c r="B84" s="16"/>
      <c r="C84" s="17"/>
      <c r="D84" s="22"/>
      <c r="E84" s="22"/>
      <c r="F84" s="23"/>
      <c r="G84" s="22"/>
      <c r="H84" s="22"/>
      <c r="I84" s="22"/>
      <c r="J84" s="22"/>
      <c r="K84" s="12">
        <f ca="1"/>
        <v>0</v>
      </c>
    </row>
    <row r="85" spans="1:11" ht="13">
      <c r="A85" s="8" t="str">
        <f t="shared" si="0"/>
        <v>-</v>
      </c>
      <c r="B85" s="16"/>
      <c r="C85" s="17"/>
      <c r="D85" s="22"/>
      <c r="E85" s="22"/>
      <c r="F85" s="23"/>
      <c r="G85" s="22"/>
      <c r="H85" s="22"/>
      <c r="I85" s="22"/>
      <c r="J85" s="22"/>
      <c r="K85" s="12">
        <f ca="1"/>
        <v>0</v>
      </c>
    </row>
    <row r="86" spans="1:11" ht="13">
      <c r="A86" s="8" t="str">
        <f t="shared" si="0"/>
        <v>-</v>
      </c>
      <c r="B86" s="16"/>
      <c r="C86" s="17"/>
      <c r="D86" s="22"/>
      <c r="E86" s="22"/>
      <c r="F86" s="23"/>
      <c r="G86" s="22"/>
      <c r="H86" s="22"/>
      <c r="I86" s="22"/>
      <c r="J86" s="22"/>
      <c r="K86" s="12">
        <f ca="1"/>
        <v>0</v>
      </c>
    </row>
    <row r="87" spans="1:11" ht="13">
      <c r="A87" s="8" t="str">
        <f t="shared" si="0"/>
        <v>-</v>
      </c>
      <c r="B87" s="16"/>
      <c r="C87" s="17"/>
      <c r="D87" s="22"/>
      <c r="E87" s="22"/>
      <c r="F87" s="23"/>
      <c r="G87" s="22"/>
      <c r="H87" s="22"/>
      <c r="I87" s="22"/>
      <c r="J87" s="22"/>
      <c r="K87" s="12">
        <f ca="1"/>
        <v>0</v>
      </c>
    </row>
    <row r="88" spans="1:11" ht="13">
      <c r="A88" s="8" t="str">
        <f t="shared" si="0"/>
        <v>-</v>
      </c>
      <c r="B88" s="16"/>
      <c r="C88" s="17"/>
      <c r="D88" s="22"/>
      <c r="E88" s="22"/>
      <c r="F88" s="23"/>
      <c r="G88" s="22"/>
      <c r="H88" s="22"/>
      <c r="I88" s="22"/>
      <c r="J88" s="22"/>
      <c r="K88" s="12">
        <f ca="1"/>
        <v>0</v>
      </c>
    </row>
    <row r="89" spans="1:11" ht="13">
      <c r="A89" s="8" t="str">
        <f t="shared" si="0"/>
        <v>-</v>
      </c>
      <c r="B89" s="16"/>
      <c r="C89" s="17"/>
      <c r="D89" s="22"/>
      <c r="E89" s="22"/>
      <c r="F89" s="23"/>
      <c r="G89" s="22"/>
      <c r="H89" s="22"/>
      <c r="I89" s="22"/>
      <c r="J89" s="22"/>
      <c r="K89" s="12">
        <f ca="1"/>
        <v>0</v>
      </c>
    </row>
    <row r="90" spans="1:11" ht="13">
      <c r="A90" s="8" t="str">
        <f t="shared" si="0"/>
        <v>-</v>
      </c>
      <c r="B90" s="16"/>
      <c r="C90" s="17"/>
      <c r="D90" s="22"/>
      <c r="E90" s="22"/>
      <c r="F90" s="23"/>
      <c r="G90" s="22"/>
      <c r="H90" s="22"/>
      <c r="I90" s="22"/>
      <c r="J90" s="22"/>
      <c r="K90" s="12">
        <f ca="1"/>
        <v>0</v>
      </c>
    </row>
    <row r="91" spans="1:11" ht="13">
      <c r="A91" s="8" t="str">
        <f t="shared" si="0"/>
        <v>-</v>
      </c>
      <c r="B91" s="16"/>
      <c r="C91" s="17"/>
      <c r="D91" s="22"/>
      <c r="E91" s="22"/>
      <c r="F91" s="23"/>
      <c r="G91" s="22"/>
      <c r="H91" s="22"/>
      <c r="I91" s="22"/>
      <c r="J91" s="22"/>
      <c r="K91" s="12">
        <f ca="1"/>
        <v>0</v>
      </c>
    </row>
    <row r="92" spans="1:11" ht="13">
      <c r="A92" s="8" t="str">
        <f t="shared" si="0"/>
        <v>-</v>
      </c>
      <c r="B92" s="16"/>
      <c r="C92" s="17"/>
      <c r="D92" s="22"/>
      <c r="E92" s="22"/>
      <c r="F92" s="23"/>
      <c r="G92" s="22"/>
      <c r="H92" s="22"/>
      <c r="I92" s="22"/>
      <c r="J92" s="22"/>
      <c r="K92" s="12">
        <f ca="1"/>
        <v>0</v>
      </c>
    </row>
    <row r="93" spans="1:11" ht="13">
      <c r="A93" s="8" t="str">
        <f t="shared" si="0"/>
        <v>-</v>
      </c>
      <c r="B93" s="16"/>
      <c r="C93" s="17"/>
      <c r="D93" s="22"/>
      <c r="E93" s="22"/>
      <c r="F93" s="23"/>
      <c r="G93" s="22"/>
      <c r="H93" s="22"/>
      <c r="I93" s="22"/>
      <c r="J93" s="22"/>
      <c r="K93" s="12">
        <f ca="1"/>
        <v>0</v>
      </c>
    </row>
    <row r="94" spans="1:11" ht="13">
      <c r="A94" s="8" t="str">
        <f t="shared" si="0"/>
        <v>-</v>
      </c>
      <c r="B94" s="16"/>
      <c r="C94" s="17"/>
      <c r="D94" s="22"/>
      <c r="E94" s="22"/>
      <c r="F94" s="23"/>
      <c r="G94" s="22"/>
      <c r="H94" s="22"/>
      <c r="I94" s="22"/>
      <c r="J94" s="22"/>
      <c r="K94" s="12">
        <f ca="1"/>
        <v>0</v>
      </c>
    </row>
    <row r="95" spans="1:11" ht="13">
      <c r="A95" s="8" t="str">
        <f t="shared" si="0"/>
        <v>-</v>
      </c>
      <c r="B95" s="16"/>
      <c r="C95" s="17"/>
      <c r="D95" s="22"/>
      <c r="E95" s="22"/>
      <c r="F95" s="23"/>
      <c r="G95" s="22"/>
      <c r="H95" s="22"/>
      <c r="I95" s="22"/>
      <c r="J95" s="22"/>
      <c r="K95" s="12">
        <f ca="1"/>
        <v>0</v>
      </c>
    </row>
    <row r="96" spans="1:11" ht="13">
      <c r="A96" s="8" t="str">
        <f t="shared" si="0"/>
        <v>-</v>
      </c>
      <c r="B96" s="16"/>
      <c r="C96" s="17"/>
      <c r="D96" s="22"/>
      <c r="E96" s="22"/>
      <c r="F96" s="23"/>
      <c r="G96" s="22"/>
      <c r="H96" s="22"/>
      <c r="I96" s="22"/>
      <c r="J96" s="22"/>
      <c r="K96" s="12">
        <f ca="1"/>
        <v>0</v>
      </c>
    </row>
    <row r="97" spans="1:11" ht="13">
      <c r="A97" s="8" t="str">
        <f t="shared" si="0"/>
        <v>-</v>
      </c>
      <c r="B97" s="16"/>
      <c r="C97" s="17"/>
      <c r="D97" s="22"/>
      <c r="E97" s="22"/>
      <c r="F97" s="23"/>
      <c r="G97" s="22"/>
      <c r="H97" s="22"/>
      <c r="I97" s="22"/>
      <c r="J97" s="22"/>
      <c r="K97" s="12">
        <f ca="1"/>
        <v>0</v>
      </c>
    </row>
    <row r="98" spans="1:11" ht="13">
      <c r="A98" s="8" t="str">
        <f t="shared" si="0"/>
        <v>-</v>
      </c>
      <c r="B98" s="16"/>
      <c r="C98" s="17"/>
      <c r="D98" s="22"/>
      <c r="E98" s="22"/>
      <c r="F98" s="23"/>
      <c r="G98" s="22"/>
      <c r="H98" s="22"/>
      <c r="I98" s="22"/>
      <c r="J98" s="22"/>
      <c r="K98" s="12">
        <f ca="1"/>
        <v>0</v>
      </c>
    </row>
    <row r="99" spans="1:11" ht="13">
      <c r="A99" s="8" t="str">
        <f t="shared" si="0"/>
        <v>-</v>
      </c>
      <c r="B99" s="16"/>
      <c r="C99" s="17"/>
      <c r="D99" s="22"/>
      <c r="E99" s="22"/>
      <c r="F99" s="23"/>
      <c r="G99" s="22"/>
      <c r="H99" s="22"/>
      <c r="I99" s="22"/>
      <c r="J99" s="22"/>
      <c r="K99" s="12">
        <f ca="1"/>
        <v>0</v>
      </c>
    </row>
    <row r="100" spans="1:11" ht="13">
      <c r="A100" s="8" t="str">
        <f t="shared" si="0"/>
        <v>-</v>
      </c>
      <c r="B100" s="16"/>
      <c r="C100" s="17"/>
      <c r="D100" s="22"/>
      <c r="E100" s="22"/>
      <c r="F100" s="23"/>
      <c r="G100" s="22"/>
      <c r="H100" s="22"/>
      <c r="I100" s="22"/>
      <c r="J100" s="22"/>
      <c r="K100" s="12">
        <f ca="1"/>
        <v>0</v>
      </c>
    </row>
    <row r="101" spans="1:11" ht="13">
      <c r="A101" s="8" t="str">
        <f t="shared" si="0"/>
        <v>-</v>
      </c>
      <c r="B101" s="16"/>
      <c r="C101" s="17"/>
      <c r="D101" s="22"/>
      <c r="E101" s="22"/>
      <c r="F101" s="23"/>
      <c r="G101" s="22"/>
      <c r="H101" s="22"/>
      <c r="I101" s="22"/>
      <c r="J101" s="22"/>
      <c r="K101" s="12">
        <f ca="1"/>
        <v>0</v>
      </c>
    </row>
    <row r="102" spans="1:11" ht="13">
      <c r="A102" s="8" t="str">
        <f t="shared" si="0"/>
        <v>-</v>
      </c>
      <c r="B102" s="16"/>
      <c r="C102" s="17"/>
      <c r="D102" s="22"/>
      <c r="E102" s="22"/>
      <c r="F102" s="23"/>
      <c r="G102" s="22"/>
      <c r="H102" s="22"/>
      <c r="I102" s="22"/>
      <c r="J102" s="22"/>
      <c r="K102" s="12">
        <f ca="1"/>
        <v>0</v>
      </c>
    </row>
    <row r="103" spans="1:11" ht="13">
      <c r="A103" s="8" t="str">
        <f t="shared" si="0"/>
        <v>-</v>
      </c>
      <c r="B103" s="16"/>
      <c r="C103" s="17"/>
      <c r="D103" s="22"/>
      <c r="E103" s="22"/>
      <c r="F103" s="23"/>
      <c r="G103" s="22"/>
      <c r="H103" s="22"/>
      <c r="I103" s="22"/>
      <c r="J103" s="22"/>
      <c r="K103" s="12">
        <f ca="1"/>
        <v>0</v>
      </c>
    </row>
    <row r="104" spans="1:11" ht="13">
      <c r="A104" s="8" t="str">
        <f t="shared" si="0"/>
        <v>-</v>
      </c>
      <c r="B104" s="16"/>
      <c r="C104" s="17"/>
      <c r="D104" s="22"/>
      <c r="E104" s="22"/>
      <c r="F104" s="23"/>
      <c r="G104" s="22"/>
      <c r="H104" s="22"/>
      <c r="I104" s="22"/>
      <c r="J104" s="22"/>
      <c r="K104" s="12">
        <f ca="1"/>
        <v>0</v>
      </c>
    </row>
    <row r="105" spans="1:11" ht="13">
      <c r="A105" s="8" t="str">
        <f t="shared" si="0"/>
        <v>-</v>
      </c>
      <c r="B105" s="16"/>
      <c r="C105" s="17"/>
      <c r="D105" s="22"/>
      <c r="E105" s="22"/>
      <c r="F105" s="23"/>
      <c r="G105" s="22"/>
      <c r="H105" s="22"/>
      <c r="I105" s="22"/>
      <c r="J105" s="22"/>
      <c r="K105" s="12">
        <f ca="1"/>
        <v>0</v>
      </c>
    </row>
    <row r="106" spans="1:11" ht="13">
      <c r="A106" s="8" t="str">
        <f t="shared" si="0"/>
        <v>-</v>
      </c>
      <c r="B106" s="16"/>
      <c r="C106" s="17"/>
      <c r="D106" s="22"/>
      <c r="E106" s="22"/>
      <c r="F106" s="23"/>
      <c r="G106" s="22"/>
      <c r="H106" s="22"/>
      <c r="I106" s="22"/>
      <c r="J106" s="22"/>
      <c r="K106" s="12">
        <f ca="1"/>
        <v>0</v>
      </c>
    </row>
    <row r="107" spans="1:11" ht="13">
      <c r="A107" s="8" t="str">
        <f t="shared" si="0"/>
        <v>-</v>
      </c>
      <c r="B107" s="16"/>
      <c r="C107" s="17"/>
      <c r="D107" s="22"/>
      <c r="E107" s="22"/>
      <c r="F107" s="23"/>
      <c r="G107" s="22"/>
      <c r="H107" s="22"/>
      <c r="I107" s="22"/>
      <c r="J107" s="22"/>
      <c r="K107" s="12">
        <f ca="1"/>
        <v>0</v>
      </c>
    </row>
    <row r="108" spans="1:11" ht="13">
      <c r="A108" s="8" t="str">
        <f t="shared" si="0"/>
        <v>-</v>
      </c>
      <c r="B108" s="16"/>
      <c r="C108" s="17"/>
      <c r="D108" s="22"/>
      <c r="E108" s="22"/>
      <c r="F108" s="23"/>
      <c r="G108" s="22"/>
      <c r="H108" s="22"/>
      <c r="I108" s="22"/>
      <c r="J108" s="22"/>
      <c r="K108" s="12">
        <f ca="1"/>
        <v>0</v>
      </c>
    </row>
    <row r="109" spans="1:11" ht="13">
      <c r="A109" s="8" t="str">
        <f t="shared" si="0"/>
        <v>-</v>
      </c>
      <c r="B109" s="16"/>
      <c r="C109" s="17"/>
      <c r="D109" s="22"/>
      <c r="E109" s="22"/>
      <c r="F109" s="23"/>
      <c r="G109" s="22"/>
      <c r="H109" s="22"/>
      <c r="I109" s="22"/>
      <c r="J109" s="22"/>
      <c r="K109" s="12">
        <f ca="1"/>
        <v>0</v>
      </c>
    </row>
    <row r="110" spans="1:11" ht="13">
      <c r="A110" s="8" t="str">
        <f t="shared" si="0"/>
        <v>-</v>
      </c>
      <c r="B110" s="16"/>
      <c r="C110" s="17"/>
      <c r="D110" s="22"/>
      <c r="E110" s="22"/>
      <c r="F110" s="23"/>
      <c r="G110" s="22"/>
      <c r="H110" s="22"/>
      <c r="I110" s="22"/>
      <c r="J110" s="22"/>
      <c r="K110" s="12">
        <f ca="1"/>
        <v>0</v>
      </c>
    </row>
    <row r="111" spans="1:11" ht="13">
      <c r="A111" s="8" t="str">
        <f t="shared" si="0"/>
        <v>-</v>
      </c>
      <c r="B111" s="16"/>
      <c r="C111" s="17"/>
      <c r="D111" s="22"/>
      <c r="E111" s="22"/>
      <c r="F111" s="23"/>
      <c r="G111" s="22"/>
      <c r="H111" s="22"/>
      <c r="I111" s="22"/>
      <c r="J111" s="22"/>
      <c r="K111" s="12">
        <f ca="1"/>
        <v>0</v>
      </c>
    </row>
    <row r="112" spans="1:11" ht="13">
      <c r="A112" s="8" t="str">
        <f t="shared" si="0"/>
        <v>-</v>
      </c>
      <c r="B112" s="16"/>
      <c r="C112" s="17"/>
      <c r="D112" s="22"/>
      <c r="E112" s="22"/>
      <c r="F112" s="23"/>
      <c r="G112" s="22"/>
      <c r="H112" s="22"/>
      <c r="I112" s="22"/>
      <c r="J112" s="22"/>
      <c r="K112" s="12">
        <f ca="1"/>
        <v>0</v>
      </c>
    </row>
    <row r="113" spans="1:11" ht="13">
      <c r="A113" s="8" t="str">
        <f t="shared" si="0"/>
        <v>-</v>
      </c>
      <c r="B113" s="16"/>
      <c r="C113" s="17"/>
      <c r="D113" s="22"/>
      <c r="E113" s="22"/>
      <c r="F113" s="23"/>
      <c r="G113" s="22"/>
      <c r="H113" s="22"/>
      <c r="I113" s="22"/>
      <c r="J113" s="22"/>
      <c r="K113" s="12">
        <f ca="1"/>
        <v>0</v>
      </c>
    </row>
    <row r="114" spans="1:11" ht="13">
      <c r="A114" s="8" t="str">
        <f t="shared" si="0"/>
        <v>-</v>
      </c>
      <c r="B114" s="16"/>
      <c r="C114" s="17"/>
      <c r="D114" s="22"/>
      <c r="E114" s="22"/>
      <c r="F114" s="23"/>
      <c r="G114" s="22"/>
      <c r="H114" s="22"/>
      <c r="I114" s="22"/>
      <c r="J114" s="22"/>
      <c r="K114" s="12">
        <f ca="1"/>
        <v>0</v>
      </c>
    </row>
    <row r="115" spans="1:11" ht="13">
      <c r="A115" s="8" t="str">
        <f t="shared" si="0"/>
        <v>-</v>
      </c>
      <c r="B115" s="16"/>
      <c r="C115" s="17"/>
      <c r="D115" s="22"/>
      <c r="E115" s="22"/>
      <c r="F115" s="23"/>
      <c r="G115" s="22"/>
      <c r="H115" s="22"/>
      <c r="I115" s="22"/>
      <c r="J115" s="22"/>
      <c r="K115" s="12">
        <f ca="1"/>
        <v>0</v>
      </c>
    </row>
    <row r="116" spans="1:11" ht="13">
      <c r="A116" s="8" t="str">
        <f t="shared" si="0"/>
        <v>-</v>
      </c>
      <c r="B116" s="16"/>
      <c r="C116" s="17"/>
      <c r="D116" s="22"/>
      <c r="E116" s="22"/>
      <c r="F116" s="23"/>
      <c r="G116" s="22"/>
      <c r="H116" s="22"/>
      <c r="I116" s="22"/>
      <c r="J116" s="22"/>
      <c r="K116" s="12">
        <f ca="1"/>
        <v>0</v>
      </c>
    </row>
    <row r="117" spans="1:11" ht="13">
      <c r="A117" s="8" t="str">
        <f t="shared" si="0"/>
        <v>-</v>
      </c>
      <c r="B117" s="16"/>
      <c r="C117" s="17"/>
      <c r="D117" s="22"/>
      <c r="E117" s="22"/>
      <c r="F117" s="23"/>
      <c r="G117" s="22"/>
      <c r="H117" s="22"/>
      <c r="I117" s="22"/>
      <c r="J117" s="22"/>
      <c r="K117" s="12">
        <f ca="1"/>
        <v>0</v>
      </c>
    </row>
    <row r="118" spans="1:11" ht="13">
      <c r="A118" s="8" t="str">
        <f t="shared" si="0"/>
        <v>-</v>
      </c>
      <c r="B118" s="16"/>
      <c r="C118" s="17"/>
      <c r="D118" s="22"/>
      <c r="E118" s="22"/>
      <c r="F118" s="23"/>
      <c r="G118" s="22"/>
      <c r="H118" s="22"/>
      <c r="I118" s="22"/>
      <c r="J118" s="22"/>
      <c r="K118" s="12">
        <f ca="1"/>
        <v>0</v>
      </c>
    </row>
    <row r="119" spans="1:11" ht="13">
      <c r="A119" s="8" t="str">
        <f t="shared" si="0"/>
        <v>-</v>
      </c>
      <c r="B119" s="16"/>
      <c r="C119" s="17"/>
      <c r="D119" s="22"/>
      <c r="E119" s="22"/>
      <c r="F119" s="23"/>
      <c r="G119" s="22"/>
      <c r="H119" s="22"/>
      <c r="I119" s="22"/>
      <c r="J119" s="22"/>
      <c r="K119" s="12">
        <f ca="1"/>
        <v>0</v>
      </c>
    </row>
    <row r="120" spans="1:11" ht="13">
      <c r="A120" s="8" t="str">
        <f t="shared" si="0"/>
        <v>-</v>
      </c>
      <c r="B120" s="16"/>
      <c r="C120" s="17"/>
      <c r="D120" s="22"/>
      <c r="E120" s="22"/>
      <c r="F120" s="23"/>
      <c r="G120" s="22"/>
      <c r="H120" s="22"/>
      <c r="I120" s="22"/>
      <c r="J120" s="22"/>
      <c r="K120" s="12">
        <f ca="1"/>
        <v>0</v>
      </c>
    </row>
    <row r="121" spans="1:11" ht="13">
      <c r="A121" s="8" t="str">
        <f t="shared" si="0"/>
        <v>-</v>
      </c>
      <c r="B121" s="16"/>
      <c r="C121" s="17"/>
      <c r="D121" s="22"/>
      <c r="E121" s="22"/>
      <c r="F121" s="23"/>
      <c r="G121" s="22"/>
      <c r="H121" s="22"/>
      <c r="I121" s="22"/>
      <c r="J121" s="22"/>
      <c r="K121" s="12">
        <f ca="1"/>
        <v>0</v>
      </c>
    </row>
    <row r="122" spans="1:11" ht="13">
      <c r="A122" s="8" t="str">
        <f t="shared" si="0"/>
        <v>-</v>
      </c>
      <c r="B122" s="16"/>
      <c r="C122" s="17"/>
      <c r="D122" s="22"/>
      <c r="E122" s="22"/>
      <c r="F122" s="23"/>
      <c r="G122" s="22"/>
      <c r="H122" s="22"/>
      <c r="I122" s="22"/>
      <c r="J122" s="22"/>
      <c r="K122" s="12">
        <f ca="1"/>
        <v>0</v>
      </c>
    </row>
    <row r="123" spans="1:11" ht="13">
      <c r="A123" s="8" t="str">
        <f t="shared" si="0"/>
        <v>-</v>
      </c>
      <c r="B123" s="16"/>
      <c r="C123" s="17"/>
      <c r="D123" s="22"/>
      <c r="E123" s="22"/>
      <c r="F123" s="23"/>
      <c r="G123" s="22"/>
      <c r="H123" s="22"/>
      <c r="I123" s="22"/>
      <c r="J123" s="22"/>
      <c r="K123" s="12">
        <f ca="1"/>
        <v>0</v>
      </c>
    </row>
    <row r="124" spans="1:11" ht="13">
      <c r="A124" s="8" t="str">
        <f t="shared" si="0"/>
        <v>-</v>
      </c>
      <c r="B124" s="16"/>
      <c r="C124" s="17"/>
      <c r="D124" s="22"/>
      <c r="E124" s="22"/>
      <c r="F124" s="23"/>
      <c r="G124" s="22"/>
      <c r="H124" s="22"/>
      <c r="I124" s="22"/>
      <c r="J124" s="22"/>
      <c r="K124" s="12">
        <f ca="1"/>
        <v>0</v>
      </c>
    </row>
    <row r="125" spans="1:11" ht="13">
      <c r="A125" s="8" t="str">
        <f t="shared" si="0"/>
        <v>-</v>
      </c>
      <c r="B125" s="16"/>
      <c r="C125" s="17"/>
      <c r="D125" s="22"/>
      <c r="E125" s="22"/>
      <c r="F125" s="23"/>
      <c r="G125" s="22"/>
      <c r="H125" s="22"/>
      <c r="I125" s="22"/>
      <c r="J125" s="22"/>
      <c r="K125" s="12">
        <f ca="1"/>
        <v>0</v>
      </c>
    </row>
    <row r="126" spans="1:11" ht="13">
      <c r="A126" s="8" t="str">
        <f t="shared" si="0"/>
        <v>-</v>
      </c>
      <c r="B126" s="16"/>
      <c r="C126" s="17"/>
      <c r="D126" s="22"/>
      <c r="E126" s="22"/>
      <c r="F126" s="23"/>
      <c r="G126" s="22"/>
      <c r="H126" s="22"/>
      <c r="I126" s="22"/>
      <c r="J126" s="22"/>
      <c r="K126" s="12">
        <f ca="1"/>
        <v>0</v>
      </c>
    </row>
    <row r="127" spans="1:11" ht="13">
      <c r="A127" s="8" t="str">
        <f t="shared" si="0"/>
        <v>-</v>
      </c>
      <c r="B127" s="16"/>
      <c r="C127" s="17"/>
      <c r="D127" s="22"/>
      <c r="E127" s="22"/>
      <c r="F127" s="23"/>
      <c r="G127" s="22"/>
      <c r="H127" s="22"/>
      <c r="I127" s="22"/>
      <c r="J127" s="22"/>
      <c r="K127" s="12">
        <f ca="1"/>
        <v>0</v>
      </c>
    </row>
    <row r="128" spans="1:11" ht="13">
      <c r="A128" s="8" t="str">
        <f t="shared" si="0"/>
        <v>-</v>
      </c>
      <c r="B128" s="16"/>
      <c r="C128" s="17"/>
      <c r="D128" s="22"/>
      <c r="E128" s="22"/>
      <c r="F128" s="23"/>
      <c r="G128" s="22"/>
      <c r="H128" s="22"/>
      <c r="I128" s="22"/>
      <c r="J128" s="22"/>
      <c r="K128" s="12">
        <f ca="1"/>
        <v>0</v>
      </c>
    </row>
    <row r="129" spans="1:11" ht="13">
      <c r="A129" s="8" t="str">
        <f t="shared" si="0"/>
        <v>-</v>
      </c>
      <c r="B129" s="16"/>
      <c r="C129" s="17"/>
      <c r="D129" s="22"/>
      <c r="E129" s="22"/>
      <c r="F129" s="23"/>
      <c r="G129" s="22"/>
      <c r="H129" s="22"/>
      <c r="I129" s="22"/>
      <c r="J129" s="22"/>
      <c r="K129" s="12">
        <f ca="1"/>
        <v>0</v>
      </c>
    </row>
    <row r="130" spans="1:11" ht="13">
      <c r="A130" s="8" t="str">
        <f t="shared" si="0"/>
        <v>-</v>
      </c>
      <c r="B130" s="16"/>
      <c r="C130" s="17"/>
      <c r="D130" s="22"/>
      <c r="E130" s="22"/>
      <c r="F130" s="23"/>
      <c r="G130" s="22"/>
      <c r="H130" s="22"/>
      <c r="I130" s="22"/>
      <c r="J130" s="22"/>
      <c r="K130" s="12">
        <f ca="1"/>
        <v>0</v>
      </c>
    </row>
    <row r="131" spans="1:11" ht="13">
      <c r="A131" s="8" t="str">
        <f t="shared" si="0"/>
        <v>-</v>
      </c>
      <c r="B131" s="16"/>
      <c r="C131" s="17"/>
      <c r="D131" s="22"/>
      <c r="E131" s="22"/>
      <c r="F131" s="23"/>
      <c r="G131" s="22"/>
      <c r="H131" s="22"/>
      <c r="I131" s="22"/>
      <c r="J131" s="22"/>
      <c r="K131" s="12">
        <f ca="1"/>
        <v>0</v>
      </c>
    </row>
    <row r="132" spans="1:11" ht="13">
      <c r="A132" s="8" t="str">
        <f t="shared" si="0"/>
        <v>-</v>
      </c>
      <c r="B132" s="16"/>
      <c r="C132" s="17"/>
      <c r="D132" s="22"/>
      <c r="E132" s="22"/>
      <c r="F132" s="23"/>
      <c r="G132" s="22"/>
      <c r="H132" s="22"/>
      <c r="I132" s="22"/>
      <c r="J132" s="22"/>
      <c r="K132" s="12">
        <f ca="1"/>
        <v>0</v>
      </c>
    </row>
    <row r="133" spans="1:11" ht="13">
      <c r="A133" s="8" t="str">
        <f t="shared" si="0"/>
        <v>-</v>
      </c>
      <c r="B133" s="16"/>
      <c r="C133" s="17"/>
      <c r="D133" s="22"/>
      <c r="E133" s="22"/>
      <c r="F133" s="23"/>
      <c r="G133" s="22"/>
      <c r="H133" s="22"/>
      <c r="I133" s="22"/>
      <c r="J133" s="22"/>
      <c r="K133" s="12">
        <f ca="1"/>
        <v>0</v>
      </c>
    </row>
    <row r="134" spans="1:11" ht="13">
      <c r="A134" s="8" t="str">
        <f t="shared" si="0"/>
        <v>-</v>
      </c>
      <c r="B134" s="16"/>
      <c r="C134" s="17"/>
      <c r="D134" s="22"/>
      <c r="E134" s="22"/>
      <c r="F134" s="23"/>
      <c r="G134" s="22"/>
      <c r="H134" s="22"/>
      <c r="I134" s="22"/>
      <c r="J134" s="22"/>
      <c r="K134" s="12">
        <f ca="1"/>
        <v>0</v>
      </c>
    </row>
    <row r="135" spans="1:11" ht="13">
      <c r="A135" s="8" t="str">
        <f t="shared" si="0"/>
        <v>-</v>
      </c>
      <c r="B135" s="16"/>
      <c r="C135" s="17"/>
      <c r="D135" s="22"/>
      <c r="E135" s="22"/>
      <c r="F135" s="23"/>
      <c r="G135" s="22"/>
      <c r="H135" s="22"/>
      <c r="I135" s="22"/>
      <c r="J135" s="22"/>
      <c r="K135" s="12">
        <f ca="1"/>
        <v>0</v>
      </c>
    </row>
    <row r="136" spans="1:11" ht="13">
      <c r="A136" s="8" t="str">
        <f t="shared" si="0"/>
        <v>-</v>
      </c>
      <c r="B136" s="16"/>
      <c r="C136" s="17"/>
      <c r="D136" s="22"/>
      <c r="E136" s="22"/>
      <c r="F136" s="23"/>
      <c r="G136" s="22"/>
      <c r="H136" s="22"/>
      <c r="I136" s="22"/>
      <c r="J136" s="22"/>
      <c r="K136" s="12">
        <f ca="1"/>
        <v>0</v>
      </c>
    </row>
    <row r="137" spans="1:11" ht="13">
      <c r="A137" s="8" t="str">
        <f t="shared" si="0"/>
        <v>-</v>
      </c>
      <c r="B137" s="16"/>
      <c r="C137" s="17"/>
      <c r="D137" s="22"/>
      <c r="E137" s="22"/>
      <c r="F137" s="23"/>
      <c r="G137" s="22"/>
      <c r="H137" s="22"/>
      <c r="I137" s="22"/>
      <c r="J137" s="22"/>
      <c r="K137" s="12">
        <f ca="1"/>
        <v>0</v>
      </c>
    </row>
    <row r="138" spans="1:11" ht="13">
      <c r="A138" s="8" t="str">
        <f t="shared" si="0"/>
        <v>-</v>
      </c>
      <c r="B138" s="16"/>
      <c r="C138" s="17"/>
      <c r="D138" s="22"/>
      <c r="E138" s="22"/>
      <c r="F138" s="23"/>
      <c r="G138" s="22"/>
      <c r="H138" s="22"/>
      <c r="I138" s="22"/>
      <c r="J138" s="22"/>
      <c r="K138" s="12">
        <f ca="1"/>
        <v>0</v>
      </c>
    </row>
    <row r="139" spans="1:11" ht="13">
      <c r="A139" s="8" t="str">
        <f t="shared" si="0"/>
        <v>-</v>
      </c>
      <c r="B139" s="16"/>
      <c r="C139" s="17"/>
      <c r="D139" s="22"/>
      <c r="E139" s="22"/>
      <c r="F139" s="23"/>
      <c r="G139" s="22"/>
      <c r="H139" s="22"/>
      <c r="I139" s="22"/>
      <c r="J139" s="22"/>
      <c r="K139" s="12">
        <f ca="1"/>
        <v>0</v>
      </c>
    </row>
    <row r="140" spans="1:11" ht="13">
      <c r="A140" s="8" t="str">
        <f t="shared" si="0"/>
        <v>-</v>
      </c>
      <c r="B140" s="16"/>
      <c r="C140" s="17"/>
      <c r="D140" s="22"/>
      <c r="E140" s="22"/>
      <c r="F140" s="23"/>
      <c r="G140" s="22"/>
      <c r="H140" s="22"/>
      <c r="I140" s="22"/>
      <c r="J140" s="22"/>
      <c r="K140" s="12">
        <f ca="1"/>
        <v>0</v>
      </c>
    </row>
    <row r="141" spans="1:11" ht="13">
      <c r="A141" s="8" t="str">
        <f t="shared" si="0"/>
        <v>-</v>
      </c>
      <c r="B141" s="16"/>
      <c r="C141" s="17"/>
      <c r="D141" s="22"/>
      <c r="E141" s="22"/>
      <c r="F141" s="23"/>
      <c r="G141" s="22"/>
      <c r="H141" s="22"/>
      <c r="I141" s="22"/>
      <c r="J141" s="22"/>
      <c r="K141" s="12">
        <f ca="1"/>
        <v>0</v>
      </c>
    </row>
    <row r="142" spans="1:11" ht="13">
      <c r="A142" s="8" t="str">
        <f t="shared" si="0"/>
        <v>-</v>
      </c>
      <c r="B142" s="16"/>
      <c r="C142" s="17"/>
      <c r="D142" s="22"/>
      <c r="E142" s="22"/>
      <c r="F142" s="23"/>
      <c r="G142" s="22"/>
      <c r="H142" s="22"/>
      <c r="I142" s="22"/>
      <c r="J142" s="22"/>
      <c r="K142" s="12">
        <f ca="1"/>
        <v>0</v>
      </c>
    </row>
    <row r="143" spans="1:11" ht="13">
      <c r="A143" s="8" t="str">
        <f t="shared" si="0"/>
        <v>-</v>
      </c>
      <c r="B143" s="16"/>
      <c r="C143" s="17"/>
      <c r="D143" s="22"/>
      <c r="E143" s="22"/>
      <c r="F143" s="23"/>
      <c r="G143" s="22"/>
      <c r="H143" s="22"/>
      <c r="I143" s="22"/>
      <c r="J143" s="22"/>
      <c r="K143" s="12">
        <f ca="1"/>
        <v>0</v>
      </c>
    </row>
    <row r="144" spans="1:11" ht="13">
      <c r="A144" s="8" t="str">
        <f t="shared" si="0"/>
        <v>-</v>
      </c>
      <c r="B144" s="16"/>
      <c r="C144" s="17"/>
      <c r="D144" s="22"/>
      <c r="E144" s="22"/>
      <c r="F144" s="23"/>
      <c r="G144" s="22"/>
      <c r="H144" s="22"/>
      <c r="I144" s="22"/>
      <c r="J144" s="22"/>
      <c r="K144" s="12">
        <f ca="1"/>
        <v>0</v>
      </c>
    </row>
    <row r="145" spans="1:11" ht="13">
      <c r="A145" s="8" t="str">
        <f t="shared" si="0"/>
        <v>-</v>
      </c>
      <c r="B145" s="16"/>
      <c r="C145" s="17"/>
      <c r="D145" s="22"/>
      <c r="E145" s="22"/>
      <c r="F145" s="23"/>
      <c r="G145" s="22"/>
      <c r="H145" s="22"/>
      <c r="I145" s="22"/>
      <c r="J145" s="22"/>
      <c r="K145" s="12">
        <f ca="1"/>
        <v>0</v>
      </c>
    </row>
    <row r="146" spans="1:11" ht="13">
      <c r="A146" s="8" t="str">
        <f t="shared" si="0"/>
        <v>-</v>
      </c>
      <c r="B146" s="16"/>
      <c r="C146" s="17"/>
      <c r="D146" s="22"/>
      <c r="E146" s="22"/>
      <c r="F146" s="23"/>
      <c r="G146" s="22"/>
      <c r="H146" s="22"/>
      <c r="I146" s="22"/>
      <c r="J146" s="22"/>
      <c r="K146" s="12">
        <f ca="1"/>
        <v>0</v>
      </c>
    </row>
    <row r="147" spans="1:11" ht="13">
      <c r="A147" s="8" t="str">
        <f t="shared" si="0"/>
        <v>-</v>
      </c>
      <c r="B147" s="16"/>
      <c r="C147" s="17"/>
      <c r="D147" s="22"/>
      <c r="E147" s="22"/>
      <c r="F147" s="23"/>
      <c r="G147" s="22"/>
      <c r="H147" s="22"/>
      <c r="I147" s="22"/>
      <c r="J147" s="22"/>
      <c r="K147" s="12">
        <f ca="1"/>
        <v>0</v>
      </c>
    </row>
    <row r="148" spans="1:11" ht="13">
      <c r="A148" s="8" t="str">
        <f t="shared" si="0"/>
        <v>-</v>
      </c>
      <c r="B148" s="16"/>
      <c r="C148" s="17"/>
      <c r="D148" s="22"/>
      <c r="E148" s="22"/>
      <c r="F148" s="23"/>
      <c r="G148" s="22"/>
      <c r="H148" s="22"/>
      <c r="I148" s="22"/>
      <c r="J148" s="22"/>
      <c r="K148" s="12">
        <f ca="1"/>
        <v>0</v>
      </c>
    </row>
    <row r="149" spans="1:11" ht="13">
      <c r="A149" s="8" t="str">
        <f t="shared" si="0"/>
        <v>-</v>
      </c>
      <c r="B149" s="16"/>
      <c r="C149" s="17"/>
      <c r="D149" s="22"/>
      <c r="E149" s="22"/>
      <c r="F149" s="23"/>
      <c r="G149" s="22"/>
      <c r="H149" s="22"/>
      <c r="I149" s="22"/>
      <c r="J149" s="22"/>
      <c r="K149" s="12">
        <f ca="1"/>
        <v>0</v>
      </c>
    </row>
    <row r="150" spans="1:11" ht="13">
      <c r="A150" s="8" t="str">
        <f t="shared" si="0"/>
        <v>-</v>
      </c>
      <c r="B150" s="16"/>
      <c r="C150" s="17"/>
      <c r="D150" s="22"/>
      <c r="E150" s="22"/>
      <c r="F150" s="23"/>
      <c r="G150" s="22"/>
      <c r="H150" s="22"/>
      <c r="I150" s="22"/>
      <c r="J150" s="22"/>
      <c r="K150" s="12">
        <f ca="1"/>
        <v>0</v>
      </c>
    </row>
    <row r="151" spans="1:11" ht="13">
      <c r="A151" s="8" t="str">
        <f t="shared" si="0"/>
        <v>-</v>
      </c>
      <c r="B151" s="16"/>
      <c r="C151" s="17"/>
      <c r="D151" s="22"/>
      <c r="E151" s="22"/>
      <c r="F151" s="23"/>
      <c r="G151" s="22"/>
      <c r="H151" s="22"/>
      <c r="I151" s="22"/>
      <c r="J151" s="22"/>
      <c r="K151" s="12">
        <f ca="1"/>
        <v>0</v>
      </c>
    </row>
    <row r="152" spans="1:11" ht="13">
      <c r="A152" s="8" t="str">
        <f t="shared" si="0"/>
        <v>-</v>
      </c>
      <c r="B152" s="16"/>
      <c r="C152" s="17"/>
      <c r="D152" s="22"/>
      <c r="E152" s="22"/>
      <c r="F152" s="23"/>
      <c r="G152" s="22"/>
      <c r="H152" s="22"/>
      <c r="I152" s="22"/>
      <c r="J152" s="22"/>
      <c r="K152" s="12">
        <f ca="1"/>
        <v>0</v>
      </c>
    </row>
    <row r="153" spans="1:11" ht="13">
      <c r="A153" s="8" t="str">
        <f t="shared" si="0"/>
        <v>-</v>
      </c>
      <c r="B153" s="16"/>
      <c r="C153" s="17"/>
      <c r="D153" s="22"/>
      <c r="E153" s="22"/>
      <c r="F153" s="23"/>
      <c r="G153" s="22"/>
      <c r="H153" s="22"/>
      <c r="I153" s="22"/>
      <c r="J153" s="22"/>
      <c r="K153" s="12">
        <f ca="1"/>
        <v>0</v>
      </c>
    </row>
    <row r="154" spans="1:11" ht="13">
      <c r="A154" s="8" t="str">
        <f t="shared" si="0"/>
        <v>-</v>
      </c>
      <c r="B154" s="16"/>
      <c r="C154" s="17"/>
      <c r="D154" s="22"/>
      <c r="E154" s="22"/>
      <c r="F154" s="23"/>
      <c r="G154" s="22"/>
      <c r="H154" s="22"/>
      <c r="I154" s="22"/>
      <c r="J154" s="22"/>
      <c r="K154" s="12">
        <f ca="1"/>
        <v>0</v>
      </c>
    </row>
    <row r="155" spans="1:11" ht="13">
      <c r="A155" s="8" t="str">
        <f t="shared" si="0"/>
        <v>-</v>
      </c>
      <c r="B155" s="16"/>
      <c r="C155" s="17"/>
      <c r="D155" s="22"/>
      <c r="E155" s="22"/>
      <c r="F155" s="23"/>
      <c r="G155" s="22"/>
      <c r="H155" s="22"/>
      <c r="I155" s="22"/>
      <c r="J155" s="22"/>
      <c r="K155" s="12">
        <f ca="1"/>
        <v>0</v>
      </c>
    </row>
    <row r="156" spans="1:11" ht="13">
      <c r="A156" s="8" t="str">
        <f t="shared" si="0"/>
        <v>-</v>
      </c>
      <c r="B156" s="16"/>
      <c r="C156" s="17"/>
      <c r="D156" s="22"/>
      <c r="E156" s="22"/>
      <c r="F156" s="23"/>
      <c r="G156" s="22"/>
      <c r="H156" s="22"/>
      <c r="I156" s="22"/>
      <c r="J156" s="22"/>
      <c r="K156" s="12">
        <f ca="1"/>
        <v>0</v>
      </c>
    </row>
    <row r="157" spans="1:11" ht="13">
      <c r="A157" s="8" t="str">
        <f t="shared" si="0"/>
        <v>-</v>
      </c>
      <c r="B157" s="16"/>
      <c r="C157" s="17"/>
      <c r="D157" s="22"/>
      <c r="E157" s="22"/>
      <c r="F157" s="23"/>
      <c r="G157" s="22"/>
      <c r="H157" s="22"/>
      <c r="I157" s="22"/>
      <c r="J157" s="22"/>
      <c r="K157" s="12">
        <f ca="1"/>
        <v>0</v>
      </c>
    </row>
    <row r="158" spans="1:11" ht="13">
      <c r="A158" s="8" t="str">
        <f t="shared" si="0"/>
        <v>-</v>
      </c>
      <c r="B158" s="16"/>
      <c r="C158" s="17"/>
      <c r="D158" s="22"/>
      <c r="E158" s="22"/>
      <c r="F158" s="23"/>
      <c r="G158" s="22"/>
      <c r="H158" s="22"/>
      <c r="I158" s="22"/>
      <c r="J158" s="22"/>
      <c r="K158" s="12">
        <f ca="1"/>
        <v>0</v>
      </c>
    </row>
    <row r="159" spans="1:11" ht="13">
      <c r="A159" s="8" t="str">
        <f t="shared" si="0"/>
        <v>-</v>
      </c>
      <c r="B159" s="16"/>
      <c r="C159" s="17"/>
      <c r="D159" s="22"/>
      <c r="E159" s="22"/>
      <c r="F159" s="23"/>
      <c r="G159" s="22"/>
      <c r="H159" s="22"/>
      <c r="I159" s="22"/>
      <c r="J159" s="22"/>
      <c r="K159" s="12">
        <f ca="1"/>
        <v>0</v>
      </c>
    </row>
    <row r="160" spans="1:11" ht="13">
      <c r="A160" s="8" t="str">
        <f t="shared" si="0"/>
        <v>-</v>
      </c>
      <c r="B160" s="16"/>
      <c r="C160" s="17"/>
      <c r="D160" s="22"/>
      <c r="E160" s="22"/>
      <c r="F160" s="23"/>
      <c r="G160" s="22"/>
      <c r="H160" s="22"/>
      <c r="I160" s="22"/>
      <c r="J160" s="22"/>
      <c r="K160" s="12">
        <f ca="1"/>
        <v>0</v>
      </c>
    </row>
    <row r="161" spans="1:11" ht="13">
      <c r="A161" s="8" t="str">
        <f t="shared" si="0"/>
        <v>-</v>
      </c>
      <c r="B161" s="16"/>
      <c r="C161" s="17"/>
      <c r="D161" s="22"/>
      <c r="E161" s="22"/>
      <c r="F161" s="23"/>
      <c r="G161" s="22"/>
      <c r="H161" s="22"/>
      <c r="I161" s="22"/>
      <c r="J161" s="22"/>
      <c r="K161" s="12">
        <f ca="1"/>
        <v>0</v>
      </c>
    </row>
    <row r="162" spans="1:11" ht="13">
      <c r="A162" s="8" t="str">
        <f t="shared" si="0"/>
        <v>-</v>
      </c>
      <c r="B162" s="16"/>
      <c r="C162" s="17"/>
      <c r="D162" s="22"/>
      <c r="E162" s="22"/>
      <c r="F162" s="23"/>
      <c r="G162" s="22"/>
      <c r="H162" s="22"/>
      <c r="I162" s="22"/>
      <c r="J162" s="22"/>
      <c r="K162" s="12">
        <f ca="1"/>
        <v>0</v>
      </c>
    </row>
    <row r="163" spans="1:11" ht="13">
      <c r="A163" s="8" t="str">
        <f t="shared" si="0"/>
        <v>-</v>
      </c>
      <c r="B163" s="16"/>
      <c r="C163" s="17"/>
      <c r="D163" s="22"/>
      <c r="E163" s="22"/>
      <c r="F163" s="23"/>
      <c r="G163" s="22"/>
      <c r="H163" s="22"/>
      <c r="I163" s="22"/>
      <c r="J163" s="22"/>
      <c r="K163" s="12">
        <f ca="1"/>
        <v>0</v>
      </c>
    </row>
    <row r="164" spans="1:11" ht="13">
      <c r="A164" s="8" t="str">
        <f t="shared" si="0"/>
        <v>-</v>
      </c>
      <c r="B164" s="16"/>
      <c r="C164" s="17"/>
      <c r="D164" s="22"/>
      <c r="E164" s="22"/>
      <c r="F164" s="23"/>
      <c r="G164" s="22"/>
      <c r="H164" s="22"/>
      <c r="I164" s="22"/>
      <c r="J164" s="22"/>
      <c r="K164" s="12">
        <f ca="1"/>
        <v>0</v>
      </c>
    </row>
    <row r="165" spans="1:11" ht="13">
      <c r="A165" s="8" t="str">
        <f t="shared" si="0"/>
        <v>-</v>
      </c>
      <c r="B165" s="16"/>
      <c r="C165" s="17"/>
      <c r="D165" s="22"/>
      <c r="E165" s="22"/>
      <c r="F165" s="23"/>
      <c r="G165" s="22"/>
      <c r="H165" s="22"/>
      <c r="I165" s="22"/>
      <c r="J165" s="22"/>
      <c r="K165" s="12">
        <f ca="1"/>
        <v>0</v>
      </c>
    </row>
    <row r="166" spans="1:11" ht="13">
      <c r="A166" s="8" t="str">
        <f t="shared" si="0"/>
        <v>-</v>
      </c>
      <c r="B166" s="16"/>
      <c r="C166" s="17"/>
      <c r="D166" s="22"/>
      <c r="E166" s="22"/>
      <c r="F166" s="23"/>
      <c r="G166" s="22"/>
      <c r="H166" s="22"/>
      <c r="I166" s="22"/>
      <c r="J166" s="22"/>
      <c r="K166" s="12">
        <f ca="1"/>
        <v>0</v>
      </c>
    </row>
    <row r="167" spans="1:11" ht="13">
      <c r="A167" s="8" t="str">
        <f t="shared" si="0"/>
        <v>-</v>
      </c>
      <c r="B167" s="16"/>
      <c r="C167" s="17"/>
      <c r="D167" s="22"/>
      <c r="E167" s="22"/>
      <c r="F167" s="23"/>
      <c r="G167" s="22"/>
      <c r="H167" s="22"/>
      <c r="I167" s="22"/>
      <c r="J167" s="22"/>
      <c r="K167" s="12">
        <f ca="1"/>
        <v>0</v>
      </c>
    </row>
    <row r="168" spans="1:11" ht="13">
      <c r="A168" s="8" t="str">
        <f t="shared" si="0"/>
        <v>-</v>
      </c>
      <c r="B168" s="16"/>
      <c r="C168" s="17"/>
      <c r="D168" s="22"/>
      <c r="E168" s="22"/>
      <c r="F168" s="23"/>
      <c r="G168" s="22"/>
      <c r="H168" s="22"/>
      <c r="I168" s="22"/>
      <c r="J168" s="22"/>
      <c r="K168" s="12">
        <f ca="1"/>
        <v>0</v>
      </c>
    </row>
    <row r="169" spans="1:11" ht="13">
      <c r="A169" s="8" t="str">
        <f t="shared" si="0"/>
        <v>-</v>
      </c>
      <c r="B169" s="16"/>
      <c r="C169" s="17"/>
      <c r="D169" s="22"/>
      <c r="E169" s="22"/>
      <c r="F169" s="23"/>
      <c r="G169" s="22"/>
      <c r="H169" s="22"/>
      <c r="I169" s="22"/>
      <c r="J169" s="22"/>
      <c r="K169" s="12">
        <f ca="1"/>
        <v>0</v>
      </c>
    </row>
    <row r="170" spans="1:11" ht="13">
      <c r="A170" s="8" t="str">
        <f t="shared" si="0"/>
        <v>-</v>
      </c>
      <c r="B170" s="16"/>
      <c r="C170" s="17"/>
      <c r="D170" s="22"/>
      <c r="E170" s="22"/>
      <c r="F170" s="23"/>
      <c r="G170" s="22"/>
      <c r="H170" s="22"/>
      <c r="I170" s="22"/>
      <c r="J170" s="22"/>
      <c r="K170" s="12">
        <f ca="1"/>
        <v>0</v>
      </c>
    </row>
    <row r="171" spans="1:11" ht="13">
      <c r="A171" s="8" t="str">
        <f t="shared" si="0"/>
        <v>-</v>
      </c>
      <c r="B171" s="16"/>
      <c r="C171" s="17"/>
      <c r="D171" s="22"/>
      <c r="E171" s="22"/>
      <c r="F171" s="23"/>
      <c r="G171" s="22"/>
      <c r="H171" s="22"/>
      <c r="I171" s="22"/>
      <c r="J171" s="22"/>
      <c r="K171" s="12">
        <f ca="1"/>
        <v>0</v>
      </c>
    </row>
    <row r="172" spans="1:11" ht="13">
      <c r="A172" s="8" t="str">
        <f t="shared" si="0"/>
        <v>-</v>
      </c>
      <c r="B172" s="16"/>
      <c r="C172" s="17"/>
      <c r="D172" s="22"/>
      <c r="E172" s="22"/>
      <c r="F172" s="23"/>
      <c r="G172" s="22"/>
      <c r="H172" s="22"/>
      <c r="I172" s="22"/>
      <c r="J172" s="22"/>
      <c r="K172" s="12">
        <f ca="1"/>
        <v>0</v>
      </c>
    </row>
    <row r="173" spans="1:11" ht="13">
      <c r="A173" s="8" t="str">
        <f t="shared" si="0"/>
        <v>-</v>
      </c>
      <c r="B173" s="16"/>
      <c r="C173" s="17"/>
      <c r="D173" s="22"/>
      <c r="E173" s="22"/>
      <c r="F173" s="23"/>
      <c r="G173" s="22"/>
      <c r="H173" s="22"/>
      <c r="I173" s="22"/>
      <c r="J173" s="22"/>
      <c r="K173" s="12">
        <f ca="1"/>
        <v>0</v>
      </c>
    </row>
    <row r="174" spans="1:11" ht="13">
      <c r="A174" s="8" t="str">
        <f t="shared" si="0"/>
        <v>-</v>
      </c>
      <c r="B174" s="16"/>
      <c r="C174" s="17"/>
      <c r="D174" s="22"/>
      <c r="E174" s="22"/>
      <c r="F174" s="23"/>
      <c r="G174" s="22"/>
      <c r="H174" s="22"/>
      <c r="I174" s="22"/>
      <c r="J174" s="22"/>
      <c r="K174" s="12">
        <f ca="1"/>
        <v>0</v>
      </c>
    </row>
    <row r="175" spans="1:11" ht="13">
      <c r="A175" s="8" t="str">
        <f t="shared" si="0"/>
        <v>-</v>
      </c>
      <c r="B175" s="16"/>
      <c r="C175" s="17"/>
      <c r="D175" s="22"/>
      <c r="E175" s="22"/>
      <c r="F175" s="23"/>
      <c r="G175" s="22"/>
      <c r="H175" s="22"/>
      <c r="I175" s="22"/>
      <c r="J175" s="22"/>
      <c r="K175" s="12">
        <f ca="1"/>
        <v>0</v>
      </c>
    </row>
    <row r="176" spans="1:11" ht="13">
      <c r="A176" s="8" t="str">
        <f t="shared" si="0"/>
        <v>-</v>
      </c>
      <c r="B176" s="16"/>
      <c r="C176" s="17"/>
      <c r="D176" s="22"/>
      <c r="E176" s="22"/>
      <c r="F176" s="23"/>
      <c r="G176" s="22"/>
      <c r="H176" s="22"/>
      <c r="I176" s="22"/>
      <c r="J176" s="22"/>
      <c r="K176" s="12">
        <f ca="1"/>
        <v>0</v>
      </c>
    </row>
    <row r="177" spans="1:11" ht="13">
      <c r="A177" s="8" t="str">
        <f t="shared" si="0"/>
        <v>-</v>
      </c>
      <c r="B177" s="16"/>
      <c r="C177" s="17"/>
      <c r="D177" s="22"/>
      <c r="E177" s="22"/>
      <c r="F177" s="23"/>
      <c r="G177" s="22"/>
      <c r="H177" s="22"/>
      <c r="I177" s="22"/>
      <c r="J177" s="22"/>
      <c r="K177" s="12">
        <f ca="1"/>
        <v>0</v>
      </c>
    </row>
    <row r="178" spans="1:11" ht="13">
      <c r="A178" s="8" t="str">
        <f t="shared" si="0"/>
        <v>-</v>
      </c>
      <c r="B178" s="16"/>
      <c r="C178" s="17"/>
      <c r="D178" s="22"/>
      <c r="E178" s="22"/>
      <c r="F178" s="23"/>
      <c r="G178" s="22"/>
      <c r="H178" s="22"/>
      <c r="I178" s="22"/>
      <c r="J178" s="22"/>
      <c r="K178" s="12">
        <f ca="1"/>
        <v>0</v>
      </c>
    </row>
    <row r="179" spans="1:11" ht="13">
      <c r="A179" s="8" t="str">
        <f t="shared" si="0"/>
        <v>-</v>
      </c>
      <c r="B179" s="16"/>
      <c r="C179" s="17"/>
      <c r="D179" s="22"/>
      <c r="E179" s="22"/>
      <c r="F179" s="23"/>
      <c r="G179" s="22"/>
      <c r="H179" s="22"/>
      <c r="I179" s="22"/>
      <c r="J179" s="22"/>
      <c r="K179" s="12">
        <f ca="1"/>
        <v>0</v>
      </c>
    </row>
    <row r="180" spans="1:11" ht="13">
      <c r="A180" s="8" t="str">
        <f t="shared" si="0"/>
        <v>-</v>
      </c>
      <c r="B180" s="16"/>
      <c r="C180" s="17"/>
      <c r="D180" s="22"/>
      <c r="E180" s="22"/>
      <c r="F180" s="23"/>
      <c r="G180" s="22"/>
      <c r="H180" s="22"/>
      <c r="I180" s="22"/>
      <c r="J180" s="22"/>
      <c r="K180" s="12">
        <f ca="1"/>
        <v>0</v>
      </c>
    </row>
    <row r="181" spans="1:11" ht="13">
      <c r="A181" s="8" t="str">
        <f t="shared" si="0"/>
        <v>-</v>
      </c>
      <c r="B181" s="16"/>
      <c r="C181" s="17"/>
      <c r="D181" s="22"/>
      <c r="E181" s="22"/>
      <c r="F181" s="23"/>
      <c r="G181" s="22"/>
      <c r="H181" s="22"/>
      <c r="I181" s="22"/>
      <c r="J181" s="22"/>
      <c r="K181" s="12">
        <f ca="1"/>
        <v>0</v>
      </c>
    </row>
    <row r="182" spans="1:11" ht="13">
      <c r="A182" s="8" t="str">
        <f t="shared" si="0"/>
        <v>-</v>
      </c>
      <c r="B182" s="16"/>
      <c r="C182" s="17"/>
      <c r="D182" s="22"/>
      <c r="E182" s="22"/>
      <c r="F182" s="23"/>
      <c r="G182" s="22"/>
      <c r="H182" s="22"/>
      <c r="I182" s="22"/>
      <c r="J182" s="22"/>
      <c r="K182" s="12">
        <f ca="1"/>
        <v>0</v>
      </c>
    </row>
    <row r="183" spans="1:11" ht="13">
      <c r="A183" s="8" t="str">
        <f t="shared" si="0"/>
        <v>-</v>
      </c>
      <c r="B183" s="16"/>
      <c r="C183" s="17"/>
      <c r="D183" s="22"/>
      <c r="E183" s="22"/>
      <c r="F183" s="23"/>
      <c r="G183" s="22"/>
      <c r="H183" s="22"/>
      <c r="I183" s="22"/>
      <c r="J183" s="22"/>
      <c r="K183" s="12">
        <f ca="1"/>
        <v>0</v>
      </c>
    </row>
    <row r="184" spans="1:11" ht="13">
      <c r="A184" s="8" t="str">
        <f t="shared" si="0"/>
        <v>-</v>
      </c>
      <c r="B184" s="16"/>
      <c r="C184" s="17"/>
      <c r="D184" s="22"/>
      <c r="E184" s="22"/>
      <c r="F184" s="23"/>
      <c r="G184" s="22"/>
      <c r="H184" s="22"/>
      <c r="I184" s="22"/>
      <c r="J184" s="22"/>
      <c r="K184" s="12">
        <f ca="1"/>
        <v>0</v>
      </c>
    </row>
    <row r="185" spans="1:11" ht="13">
      <c r="A185" s="8" t="str">
        <f t="shared" si="0"/>
        <v>-</v>
      </c>
      <c r="B185" s="16"/>
      <c r="C185" s="17"/>
      <c r="D185" s="22"/>
      <c r="E185" s="22"/>
      <c r="F185" s="23"/>
      <c r="G185" s="22"/>
      <c r="H185" s="22"/>
      <c r="I185" s="22"/>
      <c r="J185" s="22"/>
      <c r="K185" s="12">
        <f ca="1"/>
        <v>0</v>
      </c>
    </row>
    <row r="186" spans="1:11" ht="13">
      <c r="A186" s="8" t="str">
        <f t="shared" si="0"/>
        <v>-</v>
      </c>
      <c r="B186" s="16"/>
      <c r="C186" s="17"/>
      <c r="D186" s="22"/>
      <c r="E186" s="22"/>
      <c r="F186" s="23"/>
      <c r="G186" s="22"/>
      <c r="H186" s="22"/>
      <c r="I186" s="22"/>
      <c r="J186" s="22"/>
      <c r="K186" s="12">
        <f ca="1"/>
        <v>0</v>
      </c>
    </row>
    <row r="187" spans="1:11" ht="13">
      <c r="A187" s="8" t="str">
        <f t="shared" si="0"/>
        <v>-</v>
      </c>
      <c r="B187" s="16"/>
      <c r="C187" s="17"/>
      <c r="D187" s="22"/>
      <c r="E187" s="22"/>
      <c r="F187" s="23"/>
      <c r="G187" s="22"/>
      <c r="H187" s="22"/>
      <c r="I187" s="22"/>
      <c r="J187" s="22"/>
      <c r="K187" s="12">
        <f ca="1"/>
        <v>0</v>
      </c>
    </row>
    <row r="188" spans="1:11" ht="13">
      <c r="A188" s="8" t="str">
        <f t="shared" si="0"/>
        <v>-</v>
      </c>
      <c r="B188" s="16"/>
      <c r="C188" s="17"/>
      <c r="D188" s="22"/>
      <c r="E188" s="22"/>
      <c r="F188" s="23"/>
      <c r="G188" s="22"/>
      <c r="H188" s="22"/>
      <c r="I188" s="22"/>
      <c r="J188" s="22"/>
      <c r="K188" s="12">
        <f ca="1"/>
        <v>0</v>
      </c>
    </row>
    <row r="189" spans="1:11" ht="13">
      <c r="A189" s="8" t="str">
        <f t="shared" si="0"/>
        <v>-</v>
      </c>
      <c r="B189" s="16"/>
      <c r="C189" s="17"/>
      <c r="D189" s="22"/>
      <c r="E189" s="22"/>
      <c r="F189" s="23"/>
      <c r="G189" s="22"/>
      <c r="H189" s="22"/>
      <c r="I189" s="22"/>
      <c r="J189" s="22"/>
      <c r="K189" s="12">
        <f ca="1"/>
        <v>0</v>
      </c>
    </row>
    <row r="190" spans="1:11" ht="13">
      <c r="A190" s="8" t="str">
        <f t="shared" si="0"/>
        <v>-</v>
      </c>
      <c r="B190" s="16"/>
      <c r="C190" s="17"/>
      <c r="D190" s="22"/>
      <c r="E190" s="22"/>
      <c r="F190" s="23"/>
      <c r="G190" s="22"/>
      <c r="H190" s="22"/>
      <c r="I190" s="22"/>
      <c r="J190" s="22"/>
      <c r="K190" s="12">
        <f ca="1"/>
        <v>0</v>
      </c>
    </row>
    <row r="191" spans="1:11" ht="13">
      <c r="A191" s="8" t="str">
        <f t="shared" si="0"/>
        <v>-</v>
      </c>
      <c r="B191" s="16"/>
      <c r="C191" s="17"/>
      <c r="D191" s="22"/>
      <c r="E191" s="22"/>
      <c r="F191" s="23"/>
      <c r="G191" s="22"/>
      <c r="H191" s="22"/>
      <c r="I191" s="22"/>
      <c r="J191" s="22"/>
      <c r="K191" s="12">
        <f ca="1"/>
        <v>0</v>
      </c>
    </row>
    <row r="192" spans="1:11" ht="13">
      <c r="A192" s="8" t="str">
        <f t="shared" si="0"/>
        <v>-</v>
      </c>
      <c r="B192" s="16"/>
      <c r="C192" s="17"/>
      <c r="D192" s="22"/>
      <c r="E192" s="22"/>
      <c r="F192" s="23"/>
      <c r="G192" s="22"/>
      <c r="H192" s="22"/>
      <c r="I192" s="22"/>
      <c r="J192" s="22"/>
      <c r="K192" s="12">
        <f ca="1"/>
        <v>0</v>
      </c>
    </row>
    <row r="193" spans="1:11" ht="13">
      <c r="A193" s="8" t="str">
        <f t="shared" si="0"/>
        <v>-</v>
      </c>
      <c r="B193" s="16"/>
      <c r="C193" s="17"/>
      <c r="D193" s="22"/>
      <c r="E193" s="22"/>
      <c r="F193" s="23"/>
      <c r="G193" s="22"/>
      <c r="H193" s="22"/>
      <c r="I193" s="22"/>
      <c r="J193" s="22"/>
      <c r="K193" s="12">
        <f ca="1"/>
        <v>0</v>
      </c>
    </row>
    <row r="194" spans="1:11" ht="13">
      <c r="A194" s="8" t="str">
        <f t="shared" si="0"/>
        <v>-</v>
      </c>
      <c r="B194" s="16"/>
      <c r="C194" s="17"/>
      <c r="D194" s="22"/>
      <c r="E194" s="22"/>
      <c r="F194" s="23"/>
      <c r="G194" s="22"/>
      <c r="H194" s="22"/>
      <c r="I194" s="22"/>
      <c r="J194" s="22"/>
      <c r="K194" s="12">
        <f ca="1"/>
        <v>0</v>
      </c>
    </row>
    <row r="195" spans="1:11" ht="13">
      <c r="A195" s="8" t="str">
        <f t="shared" si="0"/>
        <v>-</v>
      </c>
      <c r="B195" s="16"/>
      <c r="C195" s="17"/>
      <c r="D195" s="22"/>
      <c r="E195" s="22"/>
      <c r="F195" s="23"/>
      <c r="G195" s="22"/>
      <c r="H195" s="22"/>
      <c r="I195" s="22"/>
      <c r="J195" s="22"/>
      <c r="K195" s="12">
        <f ca="1"/>
        <v>0</v>
      </c>
    </row>
    <row r="196" spans="1:11" ht="13">
      <c r="A196" s="8" t="str">
        <f t="shared" si="0"/>
        <v>-</v>
      </c>
      <c r="B196" s="16"/>
      <c r="C196" s="17"/>
      <c r="D196" s="22"/>
      <c r="E196" s="22"/>
      <c r="F196" s="23"/>
      <c r="G196" s="22"/>
      <c r="H196" s="22"/>
      <c r="I196" s="22"/>
      <c r="J196" s="22"/>
      <c r="K196" s="12">
        <f ca="1"/>
        <v>0</v>
      </c>
    </row>
    <row r="197" spans="1:11" ht="13">
      <c r="A197" s="8" t="str">
        <f t="shared" si="0"/>
        <v>-</v>
      </c>
      <c r="B197" s="16"/>
      <c r="C197" s="17"/>
      <c r="D197" s="22"/>
      <c r="E197" s="22"/>
      <c r="F197" s="23"/>
      <c r="G197" s="22"/>
      <c r="H197" s="22"/>
      <c r="I197" s="22"/>
      <c r="J197" s="22"/>
      <c r="K197" s="12">
        <f ca="1"/>
        <v>0</v>
      </c>
    </row>
    <row r="198" spans="1:11" ht="13">
      <c r="A198" s="8" t="str">
        <f t="shared" si="0"/>
        <v>-</v>
      </c>
      <c r="B198" s="16"/>
      <c r="C198" s="17"/>
      <c r="D198" s="22"/>
      <c r="E198" s="22"/>
      <c r="F198" s="23"/>
      <c r="G198" s="22"/>
      <c r="H198" s="22"/>
      <c r="I198" s="22"/>
      <c r="J198" s="22"/>
      <c r="K198" s="12">
        <f ca="1"/>
        <v>0</v>
      </c>
    </row>
    <row r="199" spans="1:11" ht="13">
      <c r="A199" s="8" t="str">
        <f t="shared" si="0"/>
        <v>-</v>
      </c>
      <c r="B199" s="16"/>
      <c r="C199" s="17"/>
      <c r="D199" s="22"/>
      <c r="E199" s="22"/>
      <c r="F199" s="23"/>
      <c r="G199" s="22"/>
      <c r="H199" s="22"/>
      <c r="I199" s="22"/>
      <c r="J199" s="22"/>
      <c r="K199" s="12">
        <f ca="1"/>
        <v>0</v>
      </c>
    </row>
    <row r="200" spans="1:11" ht="13">
      <c r="A200" s="8" t="str">
        <f t="shared" si="0"/>
        <v>-</v>
      </c>
      <c r="B200" s="16"/>
      <c r="C200" s="17"/>
      <c r="D200" s="22"/>
      <c r="E200" s="22"/>
      <c r="F200" s="23"/>
      <c r="G200" s="22"/>
      <c r="H200" s="22"/>
      <c r="I200" s="22"/>
      <c r="J200" s="22"/>
      <c r="K200" s="12">
        <f ca="1"/>
        <v>0</v>
      </c>
    </row>
    <row r="201" spans="1:11" ht="13">
      <c r="A201" s="8" t="str">
        <f t="shared" si="0"/>
        <v>-</v>
      </c>
      <c r="B201" s="16"/>
      <c r="C201" s="17"/>
      <c r="D201" s="22"/>
      <c r="E201" s="22"/>
      <c r="F201" s="23"/>
      <c r="G201" s="22"/>
      <c r="H201" s="22"/>
      <c r="I201" s="22"/>
      <c r="J201" s="22"/>
      <c r="K201" s="12">
        <f ca="1"/>
        <v>0</v>
      </c>
    </row>
    <row r="202" spans="1:11" ht="13">
      <c r="A202" s="8" t="str">
        <f t="shared" si="0"/>
        <v>-</v>
      </c>
      <c r="B202" s="16"/>
      <c r="C202" s="17"/>
      <c r="D202" s="22"/>
      <c r="E202" s="22"/>
      <c r="F202" s="23"/>
      <c r="G202" s="22"/>
      <c r="H202" s="22"/>
      <c r="I202" s="22"/>
      <c r="J202" s="22"/>
      <c r="K202" s="12">
        <f ca="1"/>
        <v>0</v>
      </c>
    </row>
    <row r="203" spans="1:11" ht="13">
      <c r="A203" s="8" t="str">
        <f t="shared" si="0"/>
        <v>-</v>
      </c>
      <c r="B203" s="16"/>
      <c r="C203" s="17"/>
      <c r="D203" s="22"/>
      <c r="E203" s="22"/>
      <c r="F203" s="23"/>
      <c r="G203" s="22"/>
      <c r="H203" s="22"/>
      <c r="I203" s="22"/>
      <c r="J203" s="22"/>
      <c r="K203" s="12">
        <f ca="1"/>
        <v>0</v>
      </c>
    </row>
    <row r="204" spans="1:11" ht="13">
      <c r="A204" s="8" t="str">
        <f t="shared" si="0"/>
        <v>-</v>
      </c>
      <c r="B204" s="16"/>
      <c r="C204" s="17"/>
      <c r="D204" s="22"/>
      <c r="E204" s="22"/>
      <c r="F204" s="23"/>
      <c r="G204" s="22"/>
      <c r="H204" s="22"/>
      <c r="I204" s="22"/>
      <c r="J204" s="22"/>
      <c r="K204" s="12">
        <f ca="1"/>
        <v>0</v>
      </c>
    </row>
    <row r="205" spans="1:11" ht="13">
      <c r="A205" s="8" t="str">
        <f t="shared" si="0"/>
        <v>-</v>
      </c>
      <c r="B205" s="16"/>
      <c r="C205" s="17"/>
      <c r="D205" s="22"/>
      <c r="E205" s="22"/>
      <c r="F205" s="23"/>
      <c r="G205" s="22"/>
      <c r="H205" s="22"/>
      <c r="I205" s="22"/>
      <c r="J205" s="22"/>
      <c r="K205" s="12">
        <f ca="1"/>
        <v>0</v>
      </c>
    </row>
    <row r="206" spans="1:11" ht="13">
      <c r="A206" s="8" t="str">
        <f t="shared" si="0"/>
        <v>-</v>
      </c>
      <c r="B206" s="16"/>
      <c r="C206" s="17"/>
      <c r="D206" s="22"/>
      <c r="E206" s="22"/>
      <c r="F206" s="23"/>
      <c r="G206" s="22"/>
      <c r="H206" s="22"/>
      <c r="I206" s="22"/>
      <c r="J206" s="22"/>
      <c r="K206" s="12">
        <f ca="1"/>
        <v>0</v>
      </c>
    </row>
    <row r="207" spans="1:11" ht="13">
      <c r="A207" s="8" t="str">
        <f t="shared" si="0"/>
        <v>-</v>
      </c>
      <c r="B207" s="16"/>
      <c r="C207" s="17"/>
      <c r="D207" s="22"/>
      <c r="E207" s="22"/>
      <c r="F207" s="23"/>
      <c r="G207" s="22"/>
      <c r="H207" s="22"/>
      <c r="I207" s="22"/>
      <c r="J207" s="22"/>
      <c r="K207" s="12">
        <f ca="1"/>
        <v>0</v>
      </c>
    </row>
    <row r="208" spans="1:11" ht="13">
      <c r="A208" s="8" t="str">
        <f t="shared" si="0"/>
        <v>-</v>
      </c>
      <c r="B208" s="16"/>
      <c r="C208" s="17"/>
      <c r="D208" s="22"/>
      <c r="E208" s="22"/>
      <c r="F208" s="23"/>
      <c r="G208" s="22"/>
      <c r="H208" s="22"/>
      <c r="I208" s="22"/>
      <c r="J208" s="22"/>
      <c r="K208" s="12">
        <f ca="1"/>
        <v>0</v>
      </c>
    </row>
    <row r="209" spans="1:11" ht="13">
      <c r="A209" s="8" t="str">
        <f t="shared" si="0"/>
        <v>-</v>
      </c>
      <c r="B209" s="16"/>
      <c r="C209" s="17"/>
      <c r="D209" s="22"/>
      <c r="E209" s="22"/>
      <c r="F209" s="23"/>
      <c r="G209" s="22"/>
      <c r="H209" s="22"/>
      <c r="I209" s="22"/>
      <c r="J209" s="22"/>
      <c r="K209" s="12">
        <f ca="1"/>
        <v>0</v>
      </c>
    </row>
    <row r="210" spans="1:11" ht="13">
      <c r="A210" s="8" t="str">
        <f t="shared" si="0"/>
        <v>-</v>
      </c>
      <c r="B210" s="16"/>
      <c r="C210" s="17"/>
      <c r="D210" s="22"/>
      <c r="E210" s="22"/>
      <c r="F210" s="23"/>
      <c r="G210" s="22"/>
      <c r="H210" s="22"/>
      <c r="I210" s="22"/>
      <c r="J210" s="22"/>
      <c r="K210" s="12">
        <f ca="1"/>
        <v>0</v>
      </c>
    </row>
    <row r="211" spans="1:11" ht="13">
      <c r="A211" s="8" t="str">
        <f t="shared" si="0"/>
        <v>-</v>
      </c>
      <c r="B211" s="16"/>
      <c r="C211" s="17"/>
      <c r="D211" s="22"/>
      <c r="E211" s="22"/>
      <c r="F211" s="23"/>
      <c r="G211" s="22"/>
      <c r="H211" s="22"/>
      <c r="I211" s="22"/>
      <c r="J211" s="22"/>
      <c r="K211" s="12">
        <f ca="1"/>
        <v>0</v>
      </c>
    </row>
    <row r="212" spans="1:11" ht="13">
      <c r="A212" s="8" t="str">
        <f t="shared" si="0"/>
        <v>-</v>
      </c>
      <c r="B212" s="16"/>
      <c r="C212" s="17"/>
      <c r="D212" s="22"/>
      <c r="E212" s="22"/>
      <c r="F212" s="23"/>
      <c r="G212" s="22"/>
      <c r="H212" s="22"/>
      <c r="I212" s="22"/>
      <c r="J212" s="22"/>
      <c r="K212" s="12">
        <f ca="1"/>
        <v>0</v>
      </c>
    </row>
    <row r="213" spans="1:11" ht="13">
      <c r="A213" s="8" t="str">
        <f t="shared" si="0"/>
        <v>-</v>
      </c>
      <c r="B213" s="16"/>
      <c r="C213" s="17"/>
      <c r="D213" s="22"/>
      <c r="E213" s="22"/>
      <c r="F213" s="23"/>
      <c r="G213" s="22"/>
      <c r="H213" s="22"/>
      <c r="I213" s="22"/>
      <c r="J213" s="22"/>
      <c r="K213" s="12">
        <f ca="1"/>
        <v>0</v>
      </c>
    </row>
    <row r="214" spans="1:11" ht="13">
      <c r="A214" s="8" t="str">
        <f t="shared" si="0"/>
        <v>-</v>
      </c>
      <c r="B214" s="16"/>
      <c r="C214" s="17"/>
      <c r="D214" s="22"/>
      <c r="E214" s="22"/>
      <c r="F214" s="23"/>
      <c r="G214" s="22"/>
      <c r="H214" s="22"/>
      <c r="I214" s="22"/>
      <c r="J214" s="22"/>
      <c r="K214" s="12">
        <f ca="1"/>
        <v>0</v>
      </c>
    </row>
    <row r="215" spans="1:11" ht="13">
      <c r="A215" s="8" t="str">
        <f t="shared" si="0"/>
        <v>-</v>
      </c>
      <c r="B215" s="16"/>
      <c r="C215" s="17"/>
      <c r="D215" s="22"/>
      <c r="E215" s="22"/>
      <c r="F215" s="23"/>
      <c r="G215" s="22"/>
      <c r="H215" s="22"/>
      <c r="I215" s="22"/>
      <c r="J215" s="22"/>
      <c r="K215" s="12">
        <f ca="1"/>
        <v>0</v>
      </c>
    </row>
    <row r="216" spans="1:11" ht="13">
      <c r="A216" s="8" t="str">
        <f t="shared" si="0"/>
        <v>-</v>
      </c>
      <c r="B216" s="16"/>
      <c r="C216" s="17"/>
      <c r="D216" s="22"/>
      <c r="E216" s="22"/>
      <c r="F216" s="23"/>
      <c r="G216" s="22"/>
      <c r="H216" s="22"/>
      <c r="I216" s="22"/>
      <c r="J216" s="22"/>
      <c r="K216" s="12">
        <f ca="1"/>
        <v>0</v>
      </c>
    </row>
    <row r="217" spans="1:11" ht="13">
      <c r="A217" s="8" t="str">
        <f t="shared" si="0"/>
        <v>-</v>
      </c>
      <c r="B217" s="16"/>
      <c r="C217" s="17"/>
      <c r="D217" s="22"/>
      <c r="E217" s="22"/>
      <c r="F217" s="23"/>
      <c r="G217" s="22"/>
      <c r="H217" s="22"/>
      <c r="I217" s="22"/>
      <c r="J217" s="22"/>
      <c r="K217" s="12">
        <f ca="1"/>
        <v>0</v>
      </c>
    </row>
    <row r="218" spans="1:11" ht="13">
      <c r="A218" s="8" t="str">
        <f t="shared" si="0"/>
        <v>-</v>
      </c>
      <c r="B218" s="16"/>
      <c r="C218" s="17"/>
      <c r="D218" s="22"/>
      <c r="E218" s="22"/>
      <c r="F218" s="23"/>
      <c r="G218" s="22"/>
      <c r="H218" s="22"/>
      <c r="I218" s="22"/>
      <c r="J218" s="22"/>
      <c r="K218" s="12">
        <f ca="1"/>
        <v>0</v>
      </c>
    </row>
    <row r="219" spans="1:11" ht="13">
      <c r="A219" s="8" t="str">
        <f t="shared" si="0"/>
        <v>-</v>
      </c>
      <c r="B219" s="16"/>
      <c r="C219" s="17"/>
      <c r="D219" s="22"/>
      <c r="E219" s="22"/>
      <c r="F219" s="23"/>
      <c r="G219" s="22"/>
      <c r="H219" s="22"/>
      <c r="I219" s="22"/>
      <c r="J219" s="22"/>
      <c r="K219" s="12">
        <f ca="1"/>
        <v>0</v>
      </c>
    </row>
    <row r="220" spans="1:11" ht="13">
      <c r="A220" s="8" t="str">
        <f t="shared" si="0"/>
        <v>-</v>
      </c>
      <c r="B220" s="16"/>
      <c r="C220" s="17"/>
      <c r="D220" s="22"/>
      <c r="E220" s="22"/>
      <c r="F220" s="23"/>
      <c r="G220" s="22"/>
      <c r="H220" s="22"/>
      <c r="I220" s="22"/>
      <c r="J220" s="22"/>
      <c r="K220" s="12">
        <f ca="1"/>
        <v>0</v>
      </c>
    </row>
    <row r="221" spans="1:11" ht="13">
      <c r="A221" s="8" t="str">
        <f t="shared" si="0"/>
        <v>-</v>
      </c>
      <c r="B221" s="16"/>
      <c r="C221" s="17"/>
      <c r="D221" s="22"/>
      <c r="E221" s="22"/>
      <c r="F221" s="23"/>
      <c r="G221" s="22"/>
      <c r="H221" s="22"/>
      <c r="I221" s="22"/>
      <c r="J221" s="22"/>
      <c r="K221" s="12">
        <f ca="1"/>
        <v>0</v>
      </c>
    </row>
    <row r="222" spans="1:11" ht="13">
      <c r="A222" s="8" t="str">
        <f t="shared" si="0"/>
        <v>-</v>
      </c>
      <c r="B222" s="16"/>
      <c r="C222" s="17"/>
      <c r="D222" s="22"/>
      <c r="E222" s="22"/>
      <c r="F222" s="23"/>
      <c r="G222" s="22"/>
      <c r="H222" s="22"/>
      <c r="I222" s="22"/>
      <c r="J222" s="22"/>
      <c r="K222" s="12">
        <f ca="1"/>
        <v>0</v>
      </c>
    </row>
    <row r="223" spans="1:11" ht="13">
      <c r="A223" s="8" t="str">
        <f t="shared" si="0"/>
        <v>-</v>
      </c>
      <c r="B223" s="16"/>
      <c r="C223" s="17"/>
      <c r="D223" s="22"/>
      <c r="E223" s="22"/>
      <c r="F223" s="23"/>
      <c r="G223" s="22"/>
      <c r="H223" s="22"/>
      <c r="I223" s="22"/>
      <c r="J223" s="22"/>
      <c r="K223" s="12">
        <f ca="1"/>
        <v>0</v>
      </c>
    </row>
    <row r="224" spans="1:11" ht="13">
      <c r="A224" s="8" t="str">
        <f t="shared" si="0"/>
        <v>-</v>
      </c>
      <c r="B224" s="16"/>
      <c r="C224" s="17"/>
      <c r="D224" s="22"/>
      <c r="E224" s="22"/>
      <c r="F224" s="23"/>
      <c r="G224" s="22"/>
      <c r="H224" s="22"/>
      <c r="I224" s="22"/>
      <c r="J224" s="22"/>
      <c r="K224" s="12">
        <f ca="1"/>
        <v>0</v>
      </c>
    </row>
    <row r="225" spans="1:11" ht="13">
      <c r="A225" s="8" t="str">
        <f t="shared" si="0"/>
        <v>-</v>
      </c>
      <c r="B225" s="16"/>
      <c r="C225" s="17"/>
      <c r="D225" s="22"/>
      <c r="E225" s="22"/>
      <c r="F225" s="23"/>
      <c r="G225" s="22"/>
      <c r="H225" s="22"/>
      <c r="I225" s="22"/>
      <c r="J225" s="22"/>
      <c r="K225" s="12">
        <f ca="1"/>
        <v>0</v>
      </c>
    </row>
    <row r="226" spans="1:11" ht="13">
      <c r="A226" s="8" t="str">
        <f t="shared" si="0"/>
        <v>-</v>
      </c>
      <c r="B226" s="16"/>
      <c r="C226" s="17"/>
      <c r="D226" s="22"/>
      <c r="E226" s="22"/>
      <c r="F226" s="23"/>
      <c r="G226" s="22"/>
      <c r="H226" s="22"/>
      <c r="I226" s="22"/>
      <c r="J226" s="22"/>
      <c r="K226" s="12">
        <f ca="1"/>
        <v>0</v>
      </c>
    </row>
    <row r="227" spans="1:11" ht="13">
      <c r="A227" s="8" t="str">
        <f t="shared" si="0"/>
        <v>-</v>
      </c>
      <c r="B227" s="16"/>
      <c r="C227" s="17"/>
      <c r="D227" s="22"/>
      <c r="E227" s="22"/>
      <c r="F227" s="23"/>
      <c r="G227" s="22"/>
      <c r="H227" s="22"/>
      <c r="I227" s="22"/>
      <c r="J227" s="22"/>
      <c r="K227" s="12">
        <f ca="1"/>
        <v>0</v>
      </c>
    </row>
    <row r="228" spans="1:11" ht="13">
      <c r="A228" s="8" t="str">
        <f t="shared" si="0"/>
        <v>-</v>
      </c>
      <c r="B228" s="16"/>
      <c r="C228" s="17"/>
      <c r="D228" s="22"/>
      <c r="E228" s="22"/>
      <c r="F228" s="23"/>
      <c r="G228" s="22"/>
      <c r="H228" s="22"/>
      <c r="I228" s="22"/>
      <c r="J228" s="22"/>
      <c r="K228" s="12">
        <f ca="1"/>
        <v>0</v>
      </c>
    </row>
    <row r="229" spans="1:11" ht="13">
      <c r="A229" s="8" t="str">
        <f t="shared" si="0"/>
        <v>-</v>
      </c>
      <c r="B229" s="16"/>
      <c r="C229" s="17"/>
      <c r="D229" s="22"/>
      <c r="E229" s="22"/>
      <c r="F229" s="23"/>
      <c r="G229" s="22"/>
      <c r="H229" s="22"/>
      <c r="I229" s="22"/>
      <c r="J229" s="22"/>
      <c r="K229" s="12">
        <f ca="1"/>
        <v>0</v>
      </c>
    </row>
    <row r="230" spans="1:11" ht="13">
      <c r="A230" s="8" t="str">
        <f t="shared" si="0"/>
        <v>-</v>
      </c>
      <c r="B230" s="16"/>
      <c r="C230" s="17"/>
      <c r="D230" s="22"/>
      <c r="E230" s="22"/>
      <c r="F230" s="23"/>
      <c r="G230" s="22"/>
      <c r="H230" s="22"/>
      <c r="I230" s="22"/>
      <c r="J230" s="22"/>
      <c r="K230" s="12">
        <f ca="1"/>
        <v>0</v>
      </c>
    </row>
    <row r="231" spans="1:11" ht="13">
      <c r="A231" s="8" t="str">
        <f t="shared" si="0"/>
        <v>-</v>
      </c>
      <c r="B231" s="16"/>
      <c r="C231" s="17"/>
      <c r="D231" s="22"/>
      <c r="E231" s="22"/>
      <c r="F231" s="23"/>
      <c r="G231" s="22"/>
      <c r="H231" s="22"/>
      <c r="I231" s="22"/>
      <c r="J231" s="22"/>
      <c r="K231" s="12">
        <f ca="1"/>
        <v>0</v>
      </c>
    </row>
    <row r="232" spans="1:11" ht="13">
      <c r="A232" s="8" t="str">
        <f t="shared" si="0"/>
        <v>-</v>
      </c>
      <c r="B232" s="16"/>
      <c r="C232" s="17"/>
      <c r="D232" s="22"/>
      <c r="E232" s="22"/>
      <c r="F232" s="23"/>
      <c r="G232" s="22"/>
      <c r="H232" s="22"/>
      <c r="I232" s="22"/>
      <c r="J232" s="22"/>
      <c r="K232" s="12">
        <f ca="1"/>
        <v>0</v>
      </c>
    </row>
    <row r="233" spans="1:11" ht="13">
      <c r="A233" s="8" t="str">
        <f t="shared" si="0"/>
        <v>-</v>
      </c>
      <c r="B233" s="16"/>
      <c r="C233" s="17"/>
      <c r="D233" s="22"/>
      <c r="E233" s="22"/>
      <c r="F233" s="23"/>
      <c r="G233" s="22"/>
      <c r="H233" s="22"/>
      <c r="I233" s="22"/>
      <c r="J233" s="22"/>
      <c r="K233" s="12">
        <f ca="1"/>
        <v>0</v>
      </c>
    </row>
    <row r="234" spans="1:11" ht="13">
      <c r="A234" s="8" t="str">
        <f t="shared" si="0"/>
        <v>-</v>
      </c>
      <c r="B234" s="16"/>
      <c r="C234" s="17"/>
      <c r="D234" s="22"/>
      <c r="E234" s="22"/>
      <c r="F234" s="23"/>
      <c r="G234" s="22"/>
      <c r="H234" s="22"/>
      <c r="I234" s="22"/>
      <c r="J234" s="22"/>
      <c r="K234" s="12">
        <f ca="1"/>
        <v>0</v>
      </c>
    </row>
    <row r="235" spans="1:11" ht="13">
      <c r="A235" s="8" t="str">
        <f t="shared" si="0"/>
        <v>-</v>
      </c>
      <c r="B235" s="16"/>
      <c r="C235" s="17"/>
      <c r="D235" s="22"/>
      <c r="E235" s="22"/>
      <c r="F235" s="23"/>
      <c r="G235" s="22"/>
      <c r="H235" s="22"/>
      <c r="I235" s="22"/>
      <c r="J235" s="22"/>
      <c r="K235" s="12">
        <f ca="1"/>
        <v>0</v>
      </c>
    </row>
    <row r="236" spans="1:11" ht="13">
      <c r="A236" s="8" t="str">
        <f t="shared" si="0"/>
        <v>-</v>
      </c>
      <c r="B236" s="16"/>
      <c r="C236" s="17"/>
      <c r="D236" s="22"/>
      <c r="E236" s="22"/>
      <c r="F236" s="23"/>
      <c r="G236" s="22"/>
      <c r="H236" s="22"/>
      <c r="I236" s="22"/>
      <c r="J236" s="22"/>
      <c r="K236" s="12">
        <f ca="1"/>
        <v>0</v>
      </c>
    </row>
    <row r="237" spans="1:11" ht="13">
      <c r="A237" s="8" t="str">
        <f t="shared" si="0"/>
        <v>-</v>
      </c>
      <c r="B237" s="16"/>
      <c r="C237" s="17"/>
      <c r="D237" s="22"/>
      <c r="E237" s="22"/>
      <c r="F237" s="23"/>
      <c r="G237" s="22"/>
      <c r="H237" s="22"/>
      <c r="I237" s="22"/>
      <c r="J237" s="22"/>
      <c r="K237" s="12">
        <f ca="1"/>
        <v>0</v>
      </c>
    </row>
    <row r="238" spans="1:11" ht="13">
      <c r="A238" s="8" t="str">
        <f t="shared" si="0"/>
        <v>-</v>
      </c>
      <c r="B238" s="16"/>
      <c r="C238" s="17"/>
      <c r="D238" s="22"/>
      <c r="E238" s="22"/>
      <c r="F238" s="23"/>
      <c r="G238" s="22"/>
      <c r="H238" s="22"/>
      <c r="I238" s="22"/>
      <c r="J238" s="22"/>
      <c r="K238" s="12">
        <f ca="1"/>
        <v>0</v>
      </c>
    </row>
    <row r="239" spans="1:11" ht="13">
      <c r="A239" s="8" t="str">
        <f t="shared" si="0"/>
        <v>-</v>
      </c>
      <c r="B239" s="16"/>
      <c r="C239" s="17"/>
      <c r="D239" s="22"/>
      <c r="E239" s="22"/>
      <c r="F239" s="23"/>
      <c r="G239" s="22"/>
      <c r="H239" s="22"/>
      <c r="I239" s="22"/>
      <c r="J239" s="22"/>
      <c r="K239" s="12">
        <f ca="1"/>
        <v>0</v>
      </c>
    </row>
    <row r="240" spans="1:11" ht="13">
      <c r="A240" s="8" t="str">
        <f t="shared" si="0"/>
        <v>-</v>
      </c>
      <c r="B240" s="16"/>
      <c r="C240" s="17"/>
      <c r="D240" s="22"/>
      <c r="E240" s="22"/>
      <c r="F240" s="23"/>
      <c r="G240" s="22"/>
      <c r="H240" s="22"/>
      <c r="I240" s="22"/>
      <c r="J240" s="22"/>
      <c r="K240" s="12">
        <f ca="1"/>
        <v>0</v>
      </c>
    </row>
    <row r="241" spans="1:11" ht="13">
      <c r="A241" s="8" t="str">
        <f t="shared" si="0"/>
        <v>-</v>
      </c>
      <c r="B241" s="16"/>
      <c r="C241" s="17"/>
      <c r="D241" s="22"/>
      <c r="E241" s="22"/>
      <c r="F241" s="23"/>
      <c r="G241" s="22"/>
      <c r="H241" s="22"/>
      <c r="I241" s="22"/>
      <c r="J241" s="22"/>
      <c r="K241" s="12">
        <f ca="1"/>
        <v>0</v>
      </c>
    </row>
    <row r="242" spans="1:11" ht="13">
      <c r="A242" s="8" t="str">
        <f t="shared" si="0"/>
        <v>-</v>
      </c>
      <c r="B242" s="16"/>
      <c r="C242" s="17"/>
      <c r="D242" s="22"/>
      <c r="E242" s="22"/>
      <c r="F242" s="23"/>
      <c r="G242" s="22"/>
      <c r="H242" s="22"/>
      <c r="I242" s="22"/>
      <c r="J242" s="22"/>
      <c r="K242" s="12">
        <f ca="1"/>
        <v>0</v>
      </c>
    </row>
    <row r="243" spans="1:11" ht="13">
      <c r="A243" s="8" t="str">
        <f t="shared" si="0"/>
        <v>-</v>
      </c>
      <c r="B243" s="16"/>
      <c r="C243" s="17"/>
      <c r="D243" s="22"/>
      <c r="E243" s="22"/>
      <c r="F243" s="23"/>
      <c r="G243" s="22"/>
      <c r="H243" s="22"/>
      <c r="I243" s="22"/>
      <c r="J243" s="22"/>
      <c r="K243" s="12">
        <f ca="1"/>
        <v>0</v>
      </c>
    </row>
    <row r="244" spans="1:11" ht="13">
      <c r="A244" s="8" t="str">
        <f t="shared" si="0"/>
        <v>-</v>
      </c>
      <c r="B244" s="16"/>
      <c r="C244" s="17"/>
      <c r="D244" s="22"/>
      <c r="E244" s="22"/>
      <c r="F244" s="23"/>
      <c r="G244" s="22"/>
      <c r="H244" s="22"/>
      <c r="I244" s="22"/>
      <c r="J244" s="22"/>
      <c r="K244" s="12">
        <f ca="1"/>
        <v>0</v>
      </c>
    </row>
    <row r="245" spans="1:11" ht="13">
      <c r="A245" s="8" t="str">
        <f t="shared" si="0"/>
        <v>-</v>
      </c>
      <c r="B245" s="16"/>
      <c r="C245" s="17"/>
      <c r="D245" s="22"/>
      <c r="E245" s="22"/>
      <c r="F245" s="23"/>
      <c r="G245" s="22"/>
      <c r="H245" s="22"/>
      <c r="I245" s="22"/>
      <c r="J245" s="22"/>
      <c r="K245" s="12">
        <f ca="1"/>
        <v>0</v>
      </c>
    </row>
    <row r="246" spans="1:11" ht="13">
      <c r="A246" s="8" t="str">
        <f t="shared" si="0"/>
        <v>-</v>
      </c>
      <c r="B246" s="16"/>
      <c r="C246" s="17"/>
      <c r="D246" s="22"/>
      <c r="E246" s="22"/>
      <c r="F246" s="23"/>
      <c r="G246" s="22"/>
      <c r="H246" s="22"/>
      <c r="I246" s="22"/>
      <c r="J246" s="22"/>
      <c r="K246" s="12">
        <f ca="1"/>
        <v>0</v>
      </c>
    </row>
    <row r="247" spans="1:11" ht="13">
      <c r="A247" s="8" t="str">
        <f t="shared" si="0"/>
        <v>-</v>
      </c>
      <c r="B247" s="16"/>
      <c r="C247" s="17"/>
      <c r="D247" s="22"/>
      <c r="E247" s="22"/>
      <c r="F247" s="23"/>
      <c r="G247" s="22"/>
      <c r="H247" s="22"/>
      <c r="I247" s="22"/>
      <c r="J247" s="22"/>
      <c r="K247" s="12">
        <f ca="1"/>
        <v>0</v>
      </c>
    </row>
    <row r="248" spans="1:11" ht="13">
      <c r="A248" s="8" t="str">
        <f t="shared" si="0"/>
        <v>-</v>
      </c>
      <c r="B248" s="16"/>
      <c r="C248" s="17"/>
      <c r="D248" s="22"/>
      <c r="E248" s="22"/>
      <c r="F248" s="23"/>
      <c r="G248" s="22"/>
      <c r="H248" s="22"/>
      <c r="I248" s="22"/>
      <c r="J248" s="22"/>
      <c r="K248" s="12">
        <f ca="1"/>
        <v>0</v>
      </c>
    </row>
    <row r="249" spans="1:11" ht="13">
      <c r="A249" s="8" t="str">
        <f t="shared" si="0"/>
        <v>-</v>
      </c>
      <c r="B249" s="16"/>
      <c r="C249" s="17"/>
      <c r="D249" s="22"/>
      <c r="E249" s="22"/>
      <c r="F249" s="23"/>
      <c r="G249" s="22"/>
      <c r="H249" s="22"/>
      <c r="I249" s="22"/>
      <c r="J249" s="22"/>
      <c r="K249" s="12">
        <f ca="1"/>
        <v>0</v>
      </c>
    </row>
    <row r="250" spans="1:11" ht="13">
      <c r="A250" s="8" t="str">
        <f t="shared" si="0"/>
        <v>-</v>
      </c>
      <c r="B250" s="16"/>
      <c r="C250" s="17"/>
      <c r="D250" s="22"/>
      <c r="E250" s="22"/>
      <c r="F250" s="23"/>
      <c r="G250" s="22"/>
      <c r="H250" s="22"/>
      <c r="I250" s="22"/>
      <c r="J250" s="22"/>
      <c r="K250" s="12">
        <f ca="1"/>
        <v>0</v>
      </c>
    </row>
    <row r="251" spans="1:11" ht="13">
      <c r="A251" s="8" t="str">
        <f t="shared" si="0"/>
        <v>-</v>
      </c>
      <c r="B251" s="16"/>
      <c r="C251" s="17"/>
      <c r="D251" s="22"/>
      <c r="E251" s="22"/>
      <c r="F251" s="23"/>
      <c r="G251" s="22"/>
      <c r="H251" s="22"/>
      <c r="I251" s="22"/>
      <c r="J251" s="22"/>
      <c r="K251" s="12">
        <f ca="1"/>
        <v>0</v>
      </c>
    </row>
    <row r="252" spans="1:11" ht="13">
      <c r="A252" s="8" t="str">
        <f t="shared" si="0"/>
        <v>-</v>
      </c>
      <c r="B252" s="16"/>
      <c r="C252" s="17"/>
      <c r="D252" s="22"/>
      <c r="E252" s="22"/>
      <c r="F252" s="23"/>
      <c r="G252" s="22"/>
      <c r="H252" s="22"/>
      <c r="I252" s="22"/>
      <c r="J252" s="22"/>
      <c r="K252" s="12">
        <f ca="1"/>
        <v>0</v>
      </c>
    </row>
    <row r="253" spans="1:11" ht="13">
      <c r="A253" s="8" t="str">
        <f t="shared" si="0"/>
        <v>-</v>
      </c>
      <c r="B253" s="16"/>
      <c r="C253" s="17"/>
      <c r="D253" s="22"/>
      <c r="E253" s="22"/>
      <c r="F253" s="23"/>
      <c r="G253" s="22"/>
      <c r="H253" s="22"/>
      <c r="I253" s="22"/>
      <c r="J253" s="22"/>
      <c r="K253" s="12">
        <f ca="1"/>
        <v>0</v>
      </c>
    </row>
    <row r="254" spans="1:11" ht="13">
      <c r="A254" s="8" t="str">
        <f t="shared" si="0"/>
        <v>-</v>
      </c>
      <c r="B254" s="16"/>
      <c r="C254" s="17"/>
      <c r="D254" s="22"/>
      <c r="E254" s="22"/>
      <c r="F254" s="23"/>
      <c r="G254" s="22"/>
      <c r="H254" s="22"/>
      <c r="I254" s="22"/>
      <c r="J254" s="22"/>
      <c r="K254" s="12">
        <f ca="1"/>
        <v>0</v>
      </c>
    </row>
    <row r="255" spans="1:11" ht="13">
      <c r="A255" s="8" t="str">
        <f t="shared" si="0"/>
        <v>-</v>
      </c>
      <c r="B255" s="16"/>
      <c r="C255" s="17"/>
      <c r="D255" s="22"/>
      <c r="E255" s="22"/>
      <c r="F255" s="23"/>
      <c r="G255" s="22"/>
      <c r="H255" s="22"/>
      <c r="I255" s="22"/>
      <c r="J255" s="22"/>
      <c r="K255" s="12">
        <f ca="1"/>
        <v>0</v>
      </c>
    </row>
    <row r="256" spans="1:11" ht="13">
      <c r="A256" s="8" t="str">
        <f t="shared" si="0"/>
        <v>-</v>
      </c>
      <c r="B256" s="16"/>
      <c r="C256" s="17"/>
      <c r="D256" s="22"/>
      <c r="E256" s="22"/>
      <c r="F256" s="23"/>
      <c r="G256" s="22"/>
      <c r="H256" s="22"/>
      <c r="I256" s="22"/>
      <c r="J256" s="22"/>
      <c r="K256" s="12">
        <f ca="1"/>
        <v>0</v>
      </c>
    </row>
    <row r="257" spans="1:11" ht="13">
      <c r="A257" s="8" t="str">
        <f t="shared" si="0"/>
        <v>-</v>
      </c>
      <c r="B257" s="16"/>
      <c r="C257" s="17"/>
      <c r="D257" s="22"/>
      <c r="E257" s="22"/>
      <c r="F257" s="23"/>
      <c r="G257" s="22"/>
      <c r="H257" s="22"/>
      <c r="I257" s="22"/>
      <c r="J257" s="22"/>
      <c r="K257" s="12">
        <f ca="1"/>
        <v>0</v>
      </c>
    </row>
    <row r="258" spans="1:11" ht="13">
      <c r="A258" s="8" t="str">
        <f t="shared" si="0"/>
        <v>-</v>
      </c>
      <c r="B258" s="16"/>
      <c r="C258" s="17"/>
      <c r="D258" s="22"/>
      <c r="E258" s="22"/>
      <c r="F258" s="23"/>
      <c r="G258" s="22"/>
      <c r="H258" s="22"/>
      <c r="I258" s="22"/>
      <c r="J258" s="22"/>
      <c r="K258" s="12">
        <f ca="1"/>
        <v>0</v>
      </c>
    </row>
    <row r="259" spans="1:11" ht="13">
      <c r="A259" s="8" t="str">
        <f t="shared" si="0"/>
        <v>-</v>
      </c>
      <c r="B259" s="16"/>
      <c r="C259" s="17"/>
      <c r="D259" s="22"/>
      <c r="E259" s="22"/>
      <c r="F259" s="23"/>
      <c r="G259" s="22"/>
      <c r="H259" s="22"/>
      <c r="I259" s="22"/>
      <c r="J259" s="22"/>
      <c r="K259" s="12">
        <f ca="1"/>
        <v>0</v>
      </c>
    </row>
    <row r="260" spans="1:11" ht="13">
      <c r="A260" s="8" t="str">
        <f t="shared" si="0"/>
        <v>-</v>
      </c>
      <c r="B260" s="16"/>
      <c r="C260" s="17"/>
      <c r="D260" s="22"/>
      <c r="E260" s="22"/>
      <c r="F260" s="23"/>
      <c r="G260" s="22"/>
      <c r="H260" s="22"/>
      <c r="I260" s="22"/>
      <c r="J260" s="22"/>
      <c r="K260" s="12">
        <f ca="1"/>
        <v>0</v>
      </c>
    </row>
    <row r="261" spans="1:11" ht="13">
      <c r="A261" s="8" t="str">
        <f t="shared" si="0"/>
        <v>-</v>
      </c>
      <c r="B261" s="16"/>
      <c r="C261" s="17"/>
      <c r="D261" s="22"/>
      <c r="E261" s="22"/>
      <c r="F261" s="23"/>
      <c r="G261" s="22"/>
      <c r="H261" s="22"/>
      <c r="I261" s="22"/>
      <c r="J261" s="22"/>
      <c r="K261" s="12">
        <f ca="1"/>
        <v>0</v>
      </c>
    </row>
    <row r="262" spans="1:11" ht="13">
      <c r="A262" s="8" t="str">
        <f t="shared" si="0"/>
        <v>-</v>
      </c>
      <c r="B262" s="16"/>
      <c r="C262" s="17"/>
      <c r="D262" s="22"/>
      <c r="E262" s="22"/>
      <c r="F262" s="23"/>
      <c r="G262" s="22"/>
      <c r="H262" s="22"/>
      <c r="I262" s="22"/>
      <c r="J262" s="22"/>
      <c r="K262" s="12">
        <f ca="1"/>
        <v>0</v>
      </c>
    </row>
    <row r="263" spans="1:11" ht="13">
      <c r="A263" s="8" t="str">
        <f t="shared" si="0"/>
        <v>-</v>
      </c>
      <c r="B263" s="16"/>
      <c r="C263" s="17"/>
      <c r="D263" s="22"/>
      <c r="E263" s="22"/>
      <c r="F263" s="23"/>
      <c r="G263" s="22"/>
      <c r="H263" s="22"/>
      <c r="I263" s="22"/>
      <c r="J263" s="22"/>
      <c r="K263" s="12">
        <f ca="1"/>
        <v>0</v>
      </c>
    </row>
    <row r="264" spans="1:11" ht="13">
      <c r="A264" s="8" t="str">
        <f t="shared" si="0"/>
        <v>-</v>
      </c>
      <c r="B264" s="16"/>
      <c r="C264" s="17"/>
      <c r="D264" s="22"/>
      <c r="E264" s="22"/>
      <c r="F264" s="23"/>
      <c r="G264" s="22"/>
      <c r="H264" s="22"/>
      <c r="I264" s="22"/>
      <c r="J264" s="22"/>
      <c r="K264" s="12">
        <f ca="1"/>
        <v>0</v>
      </c>
    </row>
    <row r="265" spans="1:11" ht="13">
      <c r="A265" s="8" t="str">
        <f t="shared" si="0"/>
        <v>-</v>
      </c>
      <c r="B265" s="16"/>
      <c r="C265" s="17"/>
      <c r="D265" s="22"/>
      <c r="E265" s="22"/>
      <c r="F265" s="23"/>
      <c r="G265" s="22"/>
      <c r="H265" s="22"/>
      <c r="I265" s="22"/>
      <c r="J265" s="22"/>
      <c r="K265" s="12">
        <f ca="1"/>
        <v>0</v>
      </c>
    </row>
    <row r="266" spans="1:11" ht="13">
      <c r="A266" s="8" t="str">
        <f t="shared" si="0"/>
        <v>-</v>
      </c>
      <c r="B266" s="16"/>
      <c r="C266" s="17"/>
      <c r="D266" s="22"/>
      <c r="E266" s="22"/>
      <c r="F266" s="23"/>
      <c r="G266" s="22"/>
      <c r="H266" s="22"/>
      <c r="I266" s="22"/>
      <c r="J266" s="22"/>
      <c r="K266" s="12">
        <f ca="1"/>
        <v>0</v>
      </c>
    </row>
    <row r="267" spans="1:11" ht="13">
      <c r="A267" s="8" t="str">
        <f t="shared" si="0"/>
        <v>-</v>
      </c>
      <c r="B267" s="16"/>
      <c r="C267" s="17"/>
      <c r="D267" s="22"/>
      <c r="E267" s="22"/>
      <c r="F267" s="23"/>
      <c r="G267" s="22"/>
      <c r="H267" s="22"/>
      <c r="I267" s="22"/>
      <c r="J267" s="22"/>
      <c r="K267" s="12">
        <f ca="1"/>
        <v>0</v>
      </c>
    </row>
    <row r="268" spans="1:11" ht="13">
      <c r="A268" s="8" t="str">
        <f t="shared" si="0"/>
        <v>-</v>
      </c>
      <c r="B268" s="16"/>
      <c r="C268" s="17"/>
      <c r="D268" s="22"/>
      <c r="E268" s="22"/>
      <c r="F268" s="23"/>
      <c r="G268" s="22"/>
      <c r="H268" s="22"/>
      <c r="I268" s="22"/>
      <c r="J268" s="22"/>
      <c r="K268" s="12">
        <f ca="1"/>
        <v>0</v>
      </c>
    </row>
    <row r="269" spans="1:11" ht="13">
      <c r="A269" s="8" t="str">
        <f t="shared" si="0"/>
        <v>-</v>
      </c>
      <c r="B269" s="16"/>
      <c r="C269" s="17"/>
      <c r="D269" s="22"/>
      <c r="E269" s="22"/>
      <c r="F269" s="23"/>
      <c r="G269" s="22"/>
      <c r="H269" s="22"/>
      <c r="I269" s="22"/>
      <c r="J269" s="22"/>
      <c r="K269" s="12">
        <f ca="1"/>
        <v>0</v>
      </c>
    </row>
    <row r="270" spans="1:11" ht="13">
      <c r="A270" s="8" t="str">
        <f t="shared" si="0"/>
        <v>-</v>
      </c>
      <c r="B270" s="16"/>
      <c r="C270" s="17"/>
      <c r="D270" s="22"/>
      <c r="E270" s="22"/>
      <c r="F270" s="23"/>
      <c r="G270" s="22"/>
      <c r="H270" s="22"/>
      <c r="I270" s="22"/>
      <c r="J270" s="22"/>
      <c r="K270" s="12">
        <f ca="1"/>
        <v>0</v>
      </c>
    </row>
    <row r="271" spans="1:11" ht="13">
      <c r="A271" s="8" t="str">
        <f t="shared" si="0"/>
        <v>-</v>
      </c>
      <c r="B271" s="16"/>
      <c r="C271" s="17"/>
      <c r="D271" s="22"/>
      <c r="E271" s="22"/>
      <c r="F271" s="23"/>
      <c r="G271" s="22"/>
      <c r="H271" s="22"/>
      <c r="I271" s="22"/>
      <c r="J271" s="22"/>
      <c r="K271" s="12">
        <f ca="1"/>
        <v>0</v>
      </c>
    </row>
    <row r="272" spans="1:11" ht="13">
      <c r="A272" s="8" t="str">
        <f t="shared" si="0"/>
        <v>-</v>
      </c>
      <c r="B272" s="16"/>
      <c r="C272" s="17"/>
      <c r="D272" s="22"/>
      <c r="E272" s="22"/>
      <c r="F272" s="23"/>
      <c r="G272" s="22"/>
      <c r="H272" s="22"/>
      <c r="I272" s="22"/>
      <c r="J272" s="22"/>
      <c r="K272" s="12">
        <f ca="1"/>
        <v>0</v>
      </c>
    </row>
    <row r="273" spans="1:11" ht="13">
      <c r="A273" s="8" t="str">
        <f t="shared" si="0"/>
        <v>-</v>
      </c>
      <c r="B273" s="16"/>
      <c r="C273" s="17"/>
      <c r="D273" s="22"/>
      <c r="E273" s="22"/>
      <c r="F273" s="23"/>
      <c r="G273" s="22"/>
      <c r="H273" s="22"/>
      <c r="I273" s="22"/>
      <c r="J273" s="22"/>
      <c r="K273" s="12">
        <f ca="1"/>
        <v>0</v>
      </c>
    </row>
    <row r="274" spans="1:11" ht="13">
      <c r="A274" s="8" t="str">
        <f t="shared" si="0"/>
        <v>-</v>
      </c>
      <c r="B274" s="16"/>
      <c r="C274" s="17"/>
      <c r="D274" s="22"/>
      <c r="E274" s="22"/>
      <c r="F274" s="23"/>
      <c r="G274" s="22"/>
      <c r="H274" s="22"/>
      <c r="I274" s="22"/>
      <c r="J274" s="22"/>
      <c r="K274" s="12">
        <f ca="1"/>
        <v>0</v>
      </c>
    </row>
    <row r="275" spans="1:11" ht="13">
      <c r="A275" s="8" t="str">
        <f t="shared" si="0"/>
        <v>-</v>
      </c>
      <c r="B275" s="16"/>
      <c r="C275" s="17"/>
      <c r="D275" s="22"/>
      <c r="E275" s="22"/>
      <c r="F275" s="23"/>
      <c r="G275" s="22"/>
      <c r="H275" s="22"/>
      <c r="I275" s="22"/>
      <c r="J275" s="22"/>
      <c r="K275" s="12">
        <f ca="1"/>
        <v>0</v>
      </c>
    </row>
    <row r="276" spans="1:11" ht="13">
      <c r="A276" s="8" t="str">
        <f t="shared" si="0"/>
        <v>-</v>
      </c>
      <c r="B276" s="16"/>
      <c r="C276" s="17"/>
      <c r="D276" s="22"/>
      <c r="E276" s="22"/>
      <c r="F276" s="23"/>
      <c r="G276" s="22"/>
      <c r="H276" s="22"/>
      <c r="I276" s="22"/>
      <c r="J276" s="22"/>
      <c r="K276" s="12">
        <f ca="1"/>
        <v>0</v>
      </c>
    </row>
    <row r="277" spans="1:11" ht="13">
      <c r="A277" s="8" t="str">
        <f t="shared" si="0"/>
        <v>-</v>
      </c>
      <c r="B277" s="16"/>
      <c r="C277" s="17"/>
      <c r="D277" s="22"/>
      <c r="E277" s="22"/>
      <c r="F277" s="23"/>
      <c r="G277" s="22"/>
      <c r="H277" s="22"/>
      <c r="I277" s="22"/>
      <c r="J277" s="22"/>
      <c r="K277" s="12">
        <f ca="1"/>
        <v>0</v>
      </c>
    </row>
    <row r="278" spans="1:11" ht="13">
      <c r="A278" s="8" t="str">
        <f t="shared" si="0"/>
        <v>-</v>
      </c>
      <c r="B278" s="16"/>
      <c r="C278" s="17"/>
      <c r="D278" s="22"/>
      <c r="E278" s="22"/>
      <c r="F278" s="23"/>
      <c r="G278" s="22"/>
      <c r="H278" s="22"/>
      <c r="I278" s="22"/>
      <c r="J278" s="22"/>
      <c r="K278" s="12">
        <f ca="1"/>
        <v>0</v>
      </c>
    </row>
    <row r="279" spans="1:11" ht="13">
      <c r="A279" s="8" t="str">
        <f t="shared" si="0"/>
        <v>-</v>
      </c>
      <c r="B279" s="16"/>
      <c r="C279" s="17"/>
      <c r="D279" s="22"/>
      <c r="E279" s="22"/>
      <c r="F279" s="23"/>
      <c r="G279" s="22"/>
      <c r="H279" s="22"/>
      <c r="I279" s="22"/>
      <c r="J279" s="22"/>
      <c r="K279" s="12">
        <f ca="1"/>
        <v>0</v>
      </c>
    </row>
    <row r="280" spans="1:11" ht="13">
      <c r="A280" s="8" t="str">
        <f t="shared" si="0"/>
        <v>-</v>
      </c>
      <c r="B280" s="16"/>
      <c r="C280" s="17"/>
      <c r="D280" s="22"/>
      <c r="E280" s="22"/>
      <c r="F280" s="23"/>
      <c r="G280" s="22"/>
      <c r="H280" s="22"/>
      <c r="I280" s="22"/>
      <c r="J280" s="22"/>
      <c r="K280" s="12">
        <f ca="1"/>
        <v>0</v>
      </c>
    </row>
    <row r="281" spans="1:11" ht="13">
      <c r="A281" s="8" t="str">
        <f t="shared" si="0"/>
        <v>-</v>
      </c>
      <c r="B281" s="16"/>
      <c r="C281" s="17"/>
      <c r="D281" s="22"/>
      <c r="E281" s="22"/>
      <c r="F281" s="23"/>
      <c r="G281" s="22"/>
      <c r="H281" s="22"/>
      <c r="I281" s="22"/>
      <c r="J281" s="22"/>
      <c r="K281" s="12">
        <f ca="1"/>
        <v>0</v>
      </c>
    </row>
    <row r="282" spans="1:11" ht="13">
      <c r="A282" s="8" t="str">
        <f t="shared" si="0"/>
        <v>-</v>
      </c>
      <c r="B282" s="16"/>
      <c r="C282" s="17"/>
      <c r="D282" s="22"/>
      <c r="E282" s="22"/>
      <c r="F282" s="23"/>
      <c r="G282" s="22"/>
      <c r="H282" s="22"/>
      <c r="I282" s="22"/>
      <c r="J282" s="22"/>
      <c r="K282" s="12">
        <f ca="1"/>
        <v>0</v>
      </c>
    </row>
    <row r="283" spans="1:11" ht="13">
      <c r="A283" s="8" t="str">
        <f t="shared" si="0"/>
        <v>-</v>
      </c>
      <c r="B283" s="16"/>
      <c r="C283" s="17"/>
      <c r="D283" s="22"/>
      <c r="E283" s="22"/>
      <c r="F283" s="23"/>
      <c r="G283" s="22"/>
      <c r="H283" s="22"/>
      <c r="I283" s="22"/>
      <c r="J283" s="22"/>
      <c r="K283" s="12">
        <f ca="1"/>
        <v>0</v>
      </c>
    </row>
    <row r="284" spans="1:11" ht="13">
      <c r="A284" s="8" t="str">
        <f t="shared" si="0"/>
        <v>-</v>
      </c>
      <c r="B284" s="16"/>
      <c r="C284" s="17"/>
      <c r="D284" s="22"/>
      <c r="E284" s="22"/>
      <c r="F284" s="23"/>
      <c r="G284" s="22"/>
      <c r="H284" s="22"/>
      <c r="I284" s="22"/>
      <c r="J284" s="22"/>
      <c r="K284" s="12">
        <f ca="1"/>
        <v>0</v>
      </c>
    </row>
    <row r="285" spans="1:11" ht="13">
      <c r="A285" s="8" t="str">
        <f t="shared" si="0"/>
        <v>-</v>
      </c>
      <c r="B285" s="16"/>
      <c r="C285" s="17"/>
      <c r="D285" s="22"/>
      <c r="E285" s="22"/>
      <c r="F285" s="23"/>
      <c r="G285" s="22"/>
      <c r="H285" s="22"/>
      <c r="I285" s="22"/>
      <c r="J285" s="22"/>
      <c r="K285" s="12">
        <f ca="1"/>
        <v>0</v>
      </c>
    </row>
    <row r="286" spans="1:11" ht="13">
      <c r="A286" s="8" t="str">
        <f t="shared" si="0"/>
        <v>-</v>
      </c>
      <c r="B286" s="16"/>
      <c r="C286" s="17"/>
      <c r="D286" s="22"/>
      <c r="E286" s="22"/>
      <c r="F286" s="23"/>
      <c r="G286" s="22"/>
      <c r="H286" s="22"/>
      <c r="I286" s="22"/>
      <c r="J286" s="22"/>
      <c r="K286" s="12">
        <f ca="1"/>
        <v>0</v>
      </c>
    </row>
    <row r="287" spans="1:11" ht="13">
      <c r="A287" s="8" t="str">
        <f t="shared" si="0"/>
        <v>-</v>
      </c>
      <c r="B287" s="16"/>
      <c r="C287" s="17"/>
      <c r="D287" s="22"/>
      <c r="E287" s="22"/>
      <c r="F287" s="23"/>
      <c r="G287" s="22"/>
      <c r="H287" s="22"/>
      <c r="I287" s="22"/>
      <c r="J287" s="22"/>
      <c r="K287" s="12">
        <f ca="1"/>
        <v>0</v>
      </c>
    </row>
    <row r="288" spans="1:11" ht="13">
      <c r="A288" s="8" t="str">
        <f t="shared" si="0"/>
        <v>-</v>
      </c>
      <c r="B288" s="16"/>
      <c r="C288" s="17"/>
      <c r="D288" s="22"/>
      <c r="E288" s="22"/>
      <c r="F288" s="23"/>
      <c r="G288" s="22"/>
      <c r="H288" s="22"/>
      <c r="I288" s="22"/>
      <c r="J288" s="22"/>
      <c r="K288" s="12">
        <f ca="1"/>
        <v>0</v>
      </c>
    </row>
    <row r="289" spans="1:11" ht="13">
      <c r="A289" s="8" t="str">
        <f t="shared" si="0"/>
        <v>-</v>
      </c>
      <c r="B289" s="16"/>
      <c r="C289" s="17"/>
      <c r="D289" s="22"/>
      <c r="E289" s="22"/>
      <c r="F289" s="23"/>
      <c r="G289" s="22"/>
      <c r="H289" s="22"/>
      <c r="I289" s="22"/>
      <c r="J289" s="22"/>
      <c r="K289" s="12">
        <f ca="1"/>
        <v>0</v>
      </c>
    </row>
    <row r="290" spans="1:11" ht="13">
      <c r="A290" s="8" t="str">
        <f t="shared" si="0"/>
        <v>-</v>
      </c>
      <c r="B290" s="16"/>
      <c r="C290" s="17"/>
      <c r="D290" s="22"/>
      <c r="E290" s="22"/>
      <c r="F290" s="23"/>
      <c r="G290" s="22"/>
      <c r="H290" s="22"/>
      <c r="I290" s="22"/>
      <c r="J290" s="22"/>
      <c r="K290" s="12">
        <f ca="1"/>
        <v>0</v>
      </c>
    </row>
    <row r="291" spans="1:11" ht="13">
      <c r="A291" s="8" t="str">
        <f t="shared" si="0"/>
        <v>-</v>
      </c>
      <c r="B291" s="16"/>
      <c r="C291" s="17"/>
      <c r="D291" s="22"/>
      <c r="E291" s="22"/>
      <c r="F291" s="23"/>
      <c r="G291" s="22"/>
      <c r="H291" s="22"/>
      <c r="I291" s="22"/>
      <c r="J291" s="22"/>
      <c r="K291" s="12">
        <f ca="1"/>
        <v>0</v>
      </c>
    </row>
    <row r="292" spans="1:11" ht="13">
      <c r="A292" s="8" t="str">
        <f t="shared" si="0"/>
        <v>-</v>
      </c>
      <c r="B292" s="16"/>
      <c r="C292" s="17"/>
      <c r="D292" s="22"/>
      <c r="E292" s="22"/>
      <c r="F292" s="23"/>
      <c r="G292" s="22"/>
      <c r="H292" s="22"/>
      <c r="I292" s="22"/>
      <c r="J292" s="22"/>
      <c r="K292" s="12">
        <f ca="1"/>
        <v>0</v>
      </c>
    </row>
    <row r="293" spans="1:11" ht="13">
      <c r="A293" s="8" t="str">
        <f t="shared" si="0"/>
        <v>-</v>
      </c>
      <c r="B293" s="16"/>
      <c r="C293" s="17"/>
      <c r="D293" s="22"/>
      <c r="E293" s="22"/>
      <c r="F293" s="23"/>
      <c r="G293" s="22"/>
      <c r="H293" s="22"/>
      <c r="I293" s="22"/>
      <c r="J293" s="22"/>
      <c r="K293" s="12">
        <f ca="1"/>
        <v>0</v>
      </c>
    </row>
    <row r="294" spans="1:11" ht="13">
      <c r="A294" s="8" t="str">
        <f t="shared" si="0"/>
        <v>-</v>
      </c>
      <c r="B294" s="16"/>
      <c r="C294" s="17"/>
      <c r="D294" s="22"/>
      <c r="E294" s="22"/>
      <c r="F294" s="23"/>
      <c r="G294" s="22"/>
      <c r="H294" s="22"/>
      <c r="I294" s="22"/>
      <c r="J294" s="22"/>
      <c r="K294" s="12">
        <f ca="1"/>
        <v>0</v>
      </c>
    </row>
    <row r="295" spans="1:11" ht="13">
      <c r="A295" s="8" t="str">
        <f t="shared" si="0"/>
        <v>-</v>
      </c>
      <c r="B295" s="16"/>
      <c r="C295" s="17"/>
      <c r="D295" s="22"/>
      <c r="E295" s="22"/>
      <c r="F295" s="23"/>
      <c r="G295" s="22"/>
      <c r="H295" s="22"/>
      <c r="I295" s="22"/>
      <c r="J295" s="22"/>
      <c r="K295" s="12">
        <f ca="1"/>
        <v>0</v>
      </c>
    </row>
    <row r="296" spans="1:11" ht="13">
      <c r="A296" s="8" t="str">
        <f t="shared" si="0"/>
        <v>-</v>
      </c>
      <c r="B296" s="16"/>
      <c r="C296" s="17"/>
      <c r="D296" s="22"/>
      <c r="E296" s="22"/>
      <c r="F296" s="23"/>
      <c r="G296" s="22"/>
      <c r="H296" s="22"/>
      <c r="I296" s="22"/>
      <c r="J296" s="22"/>
      <c r="K296" s="12">
        <f ca="1"/>
        <v>0</v>
      </c>
    </row>
    <row r="297" spans="1:11" ht="13">
      <c r="A297" s="8" t="str">
        <f t="shared" si="0"/>
        <v>-</v>
      </c>
      <c r="B297" s="16"/>
      <c r="C297" s="17"/>
      <c r="D297" s="22"/>
      <c r="E297" s="22"/>
      <c r="F297" s="23"/>
      <c r="G297" s="22"/>
      <c r="H297" s="22"/>
      <c r="I297" s="22"/>
      <c r="J297" s="22"/>
      <c r="K297" s="12">
        <f ca="1"/>
        <v>0</v>
      </c>
    </row>
    <row r="298" spans="1:11" ht="13">
      <c r="A298" s="8" t="str">
        <f t="shared" si="0"/>
        <v>-</v>
      </c>
      <c r="B298" s="16"/>
      <c r="C298" s="17"/>
      <c r="D298" s="22"/>
      <c r="E298" s="22"/>
      <c r="F298" s="23"/>
      <c r="G298" s="22"/>
      <c r="H298" s="22"/>
      <c r="I298" s="22"/>
      <c r="J298" s="22"/>
      <c r="K298" s="12">
        <f ca="1"/>
        <v>0</v>
      </c>
    </row>
    <row r="299" spans="1:11" ht="13">
      <c r="A299" s="8" t="str">
        <f t="shared" si="0"/>
        <v>-</v>
      </c>
      <c r="B299" s="16"/>
      <c r="C299" s="17"/>
      <c r="D299" s="22"/>
      <c r="E299" s="22"/>
      <c r="F299" s="23"/>
      <c r="G299" s="22"/>
      <c r="H299" s="22"/>
      <c r="I299" s="22"/>
      <c r="J299" s="22"/>
      <c r="K299" s="12">
        <f ca="1"/>
        <v>0</v>
      </c>
    </row>
    <row r="300" spans="1:11" ht="13">
      <c r="A300" s="8" t="str">
        <f t="shared" si="0"/>
        <v>-</v>
      </c>
      <c r="B300" s="16"/>
      <c r="C300" s="17"/>
      <c r="D300" s="22"/>
      <c r="E300" s="22"/>
      <c r="F300" s="23"/>
      <c r="G300" s="22"/>
      <c r="H300" s="22"/>
      <c r="I300" s="22"/>
      <c r="J300" s="22"/>
      <c r="K300" s="12">
        <f ca="1"/>
        <v>0</v>
      </c>
    </row>
    <row r="301" spans="1:11" ht="13">
      <c r="A301" s="8" t="str">
        <f t="shared" si="0"/>
        <v>-</v>
      </c>
      <c r="B301" s="16"/>
      <c r="C301" s="17"/>
      <c r="D301" s="22"/>
      <c r="E301" s="22"/>
      <c r="F301" s="23"/>
      <c r="G301" s="22"/>
      <c r="H301" s="22"/>
      <c r="I301" s="22"/>
      <c r="J301" s="22"/>
      <c r="K301" s="12">
        <f ca="1"/>
        <v>0</v>
      </c>
    </row>
    <row r="302" spans="1:11" ht="13">
      <c r="A302" s="8" t="str">
        <f t="shared" si="0"/>
        <v>-</v>
      </c>
      <c r="B302" s="16"/>
      <c r="C302" s="17"/>
      <c r="D302" s="22"/>
      <c r="E302" s="22"/>
      <c r="F302" s="23"/>
      <c r="G302" s="22"/>
      <c r="H302" s="22"/>
      <c r="I302" s="22"/>
      <c r="J302" s="22"/>
      <c r="K302" s="12">
        <f ca="1"/>
        <v>0</v>
      </c>
    </row>
    <row r="303" spans="1:11" ht="13">
      <c r="A303" s="8" t="str">
        <f t="shared" si="0"/>
        <v>-</v>
      </c>
      <c r="B303" s="16"/>
      <c r="C303" s="17"/>
      <c r="D303" s="22"/>
      <c r="E303" s="22"/>
      <c r="F303" s="23"/>
      <c r="G303" s="22"/>
      <c r="H303" s="22"/>
      <c r="I303" s="22"/>
      <c r="J303" s="22"/>
      <c r="K303" s="12">
        <f ca="1"/>
        <v>0</v>
      </c>
    </row>
    <row r="304" spans="1:11" ht="13">
      <c r="A304" s="8" t="str">
        <f t="shared" si="0"/>
        <v>-</v>
      </c>
      <c r="B304" s="16"/>
      <c r="C304" s="17"/>
      <c r="D304" s="22"/>
      <c r="E304" s="22"/>
      <c r="F304" s="23"/>
      <c r="G304" s="22"/>
      <c r="H304" s="22"/>
      <c r="I304" s="22"/>
      <c r="J304" s="22"/>
      <c r="K304" s="12">
        <f ca="1"/>
        <v>0</v>
      </c>
    </row>
    <row r="305" spans="1:11" ht="13">
      <c r="A305" s="8" t="str">
        <f t="shared" si="0"/>
        <v>-</v>
      </c>
      <c r="B305" s="16"/>
      <c r="C305" s="17"/>
      <c r="D305" s="22"/>
      <c r="E305" s="22"/>
      <c r="F305" s="23"/>
      <c r="G305" s="22"/>
      <c r="H305" s="22"/>
      <c r="I305" s="22"/>
      <c r="J305" s="22"/>
      <c r="K305" s="12">
        <f ca="1"/>
        <v>0</v>
      </c>
    </row>
    <row r="306" spans="1:11" ht="13">
      <c r="A306" s="8" t="str">
        <f t="shared" si="0"/>
        <v>-</v>
      </c>
      <c r="B306" s="16"/>
      <c r="C306" s="17"/>
      <c r="D306" s="22"/>
      <c r="E306" s="22"/>
      <c r="F306" s="23"/>
      <c r="G306" s="22"/>
      <c r="H306" s="22"/>
      <c r="I306" s="22"/>
      <c r="J306" s="22"/>
      <c r="K306" s="12">
        <f ca="1"/>
        <v>0</v>
      </c>
    </row>
    <row r="307" spans="1:11" ht="13">
      <c r="A307" s="8" t="str">
        <f t="shared" si="0"/>
        <v>-</v>
      </c>
      <c r="B307" s="16"/>
      <c r="C307" s="17"/>
      <c r="D307" s="22"/>
      <c r="E307" s="22"/>
      <c r="F307" s="23"/>
      <c r="G307" s="22"/>
      <c r="H307" s="22"/>
      <c r="I307" s="22"/>
      <c r="J307" s="22"/>
      <c r="K307" s="12">
        <f ca="1"/>
        <v>0</v>
      </c>
    </row>
    <row r="308" spans="1:11" ht="13">
      <c r="A308" s="8" t="str">
        <f t="shared" si="0"/>
        <v>-</v>
      </c>
      <c r="B308" s="16"/>
      <c r="C308" s="17"/>
      <c r="D308" s="22"/>
      <c r="E308" s="22"/>
      <c r="F308" s="23"/>
      <c r="G308" s="22"/>
      <c r="H308" s="22"/>
      <c r="I308" s="22"/>
      <c r="J308" s="22"/>
      <c r="K308" s="12">
        <f ca="1"/>
        <v>0</v>
      </c>
    </row>
    <row r="309" spans="1:11" ht="13">
      <c r="A309" s="8" t="str">
        <f t="shared" si="0"/>
        <v>-</v>
      </c>
      <c r="B309" s="16"/>
      <c r="C309" s="17"/>
      <c r="D309" s="22"/>
      <c r="E309" s="22"/>
      <c r="F309" s="23"/>
      <c r="G309" s="22"/>
      <c r="H309" s="22"/>
      <c r="I309" s="22"/>
      <c r="J309" s="22"/>
      <c r="K309" s="12">
        <f ca="1"/>
        <v>0</v>
      </c>
    </row>
    <row r="310" spans="1:11" ht="13">
      <c r="A310" s="8" t="str">
        <f t="shared" si="0"/>
        <v>-</v>
      </c>
      <c r="B310" s="16"/>
      <c r="C310" s="17"/>
      <c r="D310" s="22"/>
      <c r="E310" s="22"/>
      <c r="F310" s="23"/>
      <c r="G310" s="22"/>
      <c r="H310" s="22"/>
      <c r="I310" s="22"/>
      <c r="J310" s="22"/>
      <c r="K310" s="12">
        <f ca="1"/>
        <v>0</v>
      </c>
    </row>
    <row r="311" spans="1:11" ht="13">
      <c r="A311" s="8" t="str">
        <f t="shared" si="0"/>
        <v>-</v>
      </c>
      <c r="B311" s="16"/>
      <c r="C311" s="17"/>
      <c r="D311" s="22"/>
      <c r="E311" s="22"/>
      <c r="F311" s="23"/>
      <c r="G311" s="22"/>
      <c r="H311" s="22"/>
      <c r="I311" s="22"/>
      <c r="J311" s="22"/>
      <c r="K311" s="12">
        <f ca="1"/>
        <v>0</v>
      </c>
    </row>
    <row r="312" spans="1:11" ht="13">
      <c r="A312" s="8" t="str">
        <f t="shared" si="0"/>
        <v>-</v>
      </c>
      <c r="B312" s="16"/>
      <c r="C312" s="17"/>
      <c r="D312" s="22"/>
      <c r="E312" s="22"/>
      <c r="F312" s="23"/>
      <c r="G312" s="22"/>
      <c r="H312" s="22"/>
      <c r="I312" s="22"/>
      <c r="J312" s="22"/>
      <c r="K312" s="12">
        <f ca="1"/>
        <v>0</v>
      </c>
    </row>
    <row r="313" spans="1:11" ht="13">
      <c r="A313" s="8" t="str">
        <f t="shared" si="0"/>
        <v>-</v>
      </c>
      <c r="B313" s="16"/>
      <c r="C313" s="17"/>
      <c r="D313" s="22"/>
      <c r="E313" s="22"/>
      <c r="F313" s="23"/>
      <c r="G313" s="22"/>
      <c r="H313" s="22"/>
      <c r="I313" s="22"/>
      <c r="J313" s="22"/>
      <c r="K313" s="12">
        <f ca="1"/>
        <v>0</v>
      </c>
    </row>
    <row r="314" spans="1:11" ht="13">
      <c r="A314" s="8" t="str">
        <f t="shared" si="0"/>
        <v>-</v>
      </c>
      <c r="B314" s="16"/>
      <c r="C314" s="17"/>
      <c r="D314" s="22"/>
      <c r="E314" s="22"/>
      <c r="F314" s="23"/>
      <c r="G314" s="22"/>
      <c r="H314" s="22"/>
      <c r="I314" s="22"/>
      <c r="J314" s="22"/>
      <c r="K314" s="12">
        <f ca="1"/>
        <v>0</v>
      </c>
    </row>
    <row r="315" spans="1:11" ht="13">
      <c r="A315" s="8" t="str">
        <f t="shared" si="0"/>
        <v>-</v>
      </c>
      <c r="B315" s="16"/>
      <c r="C315" s="17"/>
      <c r="D315" s="22"/>
      <c r="E315" s="22"/>
      <c r="F315" s="23"/>
      <c r="G315" s="22"/>
      <c r="H315" s="22"/>
      <c r="I315" s="22"/>
      <c r="J315" s="22"/>
      <c r="K315" s="12">
        <f ca="1"/>
        <v>0</v>
      </c>
    </row>
    <row r="316" spans="1:11" ht="13">
      <c r="A316" s="8" t="str">
        <f t="shared" si="0"/>
        <v>-</v>
      </c>
      <c r="B316" s="16"/>
      <c r="C316" s="17"/>
      <c r="D316" s="22"/>
      <c r="E316" s="22"/>
      <c r="F316" s="23"/>
      <c r="G316" s="22"/>
      <c r="H316" s="22"/>
      <c r="I316" s="22"/>
      <c r="J316" s="22"/>
      <c r="K316" s="12">
        <f ca="1"/>
        <v>0</v>
      </c>
    </row>
    <row r="317" spans="1:11" ht="13">
      <c r="A317" s="8" t="str">
        <f t="shared" si="0"/>
        <v>-</v>
      </c>
      <c r="B317" s="16"/>
      <c r="C317" s="17"/>
      <c r="D317" s="22"/>
      <c r="E317" s="22"/>
      <c r="F317" s="23"/>
      <c r="G317" s="22"/>
      <c r="H317" s="22"/>
      <c r="I317" s="22"/>
      <c r="J317" s="22"/>
      <c r="K317" s="12">
        <f ca="1"/>
        <v>0</v>
      </c>
    </row>
    <row r="318" spans="1:11" ht="13">
      <c r="A318" s="8" t="str">
        <f t="shared" si="0"/>
        <v>-</v>
      </c>
      <c r="B318" s="16"/>
      <c r="C318" s="17"/>
      <c r="D318" s="22"/>
      <c r="E318" s="22"/>
      <c r="F318" s="23"/>
      <c r="G318" s="22"/>
      <c r="H318" s="22"/>
      <c r="I318" s="22"/>
      <c r="J318" s="22"/>
      <c r="K318" s="12">
        <f ca="1"/>
        <v>0</v>
      </c>
    </row>
    <row r="319" spans="1:11" ht="13">
      <c r="A319" s="8" t="str">
        <f t="shared" si="0"/>
        <v>-</v>
      </c>
      <c r="B319" s="16"/>
      <c r="C319" s="17"/>
      <c r="D319" s="22"/>
      <c r="E319" s="22"/>
      <c r="F319" s="23"/>
      <c r="G319" s="22"/>
      <c r="H319" s="22"/>
      <c r="I319" s="22"/>
      <c r="J319" s="22"/>
      <c r="K319" s="12">
        <f ca="1"/>
        <v>0</v>
      </c>
    </row>
    <row r="320" spans="1:11" ht="13">
      <c r="A320" s="8" t="str">
        <f t="shared" si="0"/>
        <v>-</v>
      </c>
      <c r="B320" s="16"/>
      <c r="C320" s="17"/>
      <c r="D320" s="22"/>
      <c r="E320" s="22"/>
      <c r="F320" s="23"/>
      <c r="G320" s="22"/>
      <c r="H320" s="22"/>
      <c r="I320" s="22"/>
      <c r="J320" s="22"/>
      <c r="K320" s="12">
        <f ca="1"/>
        <v>0</v>
      </c>
    </row>
    <row r="321" spans="1:11" ht="13">
      <c r="A321" s="8" t="str">
        <f t="shared" si="0"/>
        <v>-</v>
      </c>
      <c r="B321" s="16"/>
      <c r="C321" s="17"/>
      <c r="D321" s="22"/>
      <c r="E321" s="22"/>
      <c r="F321" s="23"/>
      <c r="G321" s="22"/>
      <c r="H321" s="22"/>
      <c r="I321" s="22"/>
      <c r="J321" s="22"/>
      <c r="K321" s="12">
        <f ca="1"/>
        <v>0</v>
      </c>
    </row>
    <row r="322" spans="1:11" ht="13">
      <c r="A322" s="8" t="str">
        <f t="shared" si="0"/>
        <v>-</v>
      </c>
      <c r="B322" s="16"/>
      <c r="C322" s="17"/>
      <c r="D322" s="22"/>
      <c r="E322" s="22"/>
      <c r="F322" s="23"/>
      <c r="G322" s="22"/>
      <c r="H322" s="22"/>
      <c r="I322" s="22"/>
      <c r="J322" s="22"/>
      <c r="K322" s="12">
        <f ca="1"/>
        <v>0</v>
      </c>
    </row>
    <row r="323" spans="1:11" ht="13">
      <c r="A323" s="8" t="str">
        <f t="shared" si="0"/>
        <v>-</v>
      </c>
      <c r="B323" s="16"/>
      <c r="C323" s="17"/>
      <c r="D323" s="22"/>
      <c r="E323" s="22"/>
      <c r="F323" s="23"/>
      <c r="G323" s="22"/>
      <c r="H323" s="22"/>
      <c r="I323" s="22"/>
      <c r="J323" s="22"/>
      <c r="K323" s="12">
        <f ca="1"/>
        <v>0</v>
      </c>
    </row>
    <row r="324" spans="1:11" ht="13">
      <c r="A324" s="8" t="str">
        <f t="shared" si="0"/>
        <v>-</v>
      </c>
      <c r="B324" s="16"/>
      <c r="C324" s="17"/>
      <c r="D324" s="22"/>
      <c r="E324" s="22"/>
      <c r="F324" s="23"/>
      <c r="G324" s="22"/>
      <c r="H324" s="22"/>
      <c r="I324" s="22"/>
      <c r="J324" s="22"/>
      <c r="K324" s="12">
        <f ca="1"/>
        <v>0</v>
      </c>
    </row>
    <row r="325" spans="1:11" ht="13">
      <c r="A325" s="8" t="str">
        <f t="shared" si="0"/>
        <v>-</v>
      </c>
      <c r="B325" s="16"/>
      <c r="C325" s="17"/>
      <c r="D325" s="22"/>
      <c r="E325" s="22"/>
      <c r="F325" s="23"/>
      <c r="G325" s="22"/>
      <c r="H325" s="22"/>
      <c r="I325" s="22"/>
      <c r="J325" s="22"/>
      <c r="K325" s="12">
        <f ca="1"/>
        <v>0</v>
      </c>
    </row>
    <row r="326" spans="1:11" ht="13">
      <c r="A326" s="8" t="str">
        <f t="shared" si="0"/>
        <v>-</v>
      </c>
      <c r="B326" s="16"/>
      <c r="C326" s="17"/>
      <c r="D326" s="22"/>
      <c r="E326" s="22"/>
      <c r="F326" s="23"/>
      <c r="G326" s="22"/>
      <c r="H326" s="22"/>
      <c r="I326" s="22"/>
      <c r="J326" s="22"/>
      <c r="K326" s="12">
        <f ca="1"/>
        <v>0</v>
      </c>
    </row>
    <row r="327" spans="1:11" ht="13">
      <c r="A327" s="8" t="str">
        <f t="shared" si="0"/>
        <v>-</v>
      </c>
      <c r="B327" s="16"/>
      <c r="C327" s="17"/>
      <c r="D327" s="22"/>
      <c r="E327" s="22"/>
      <c r="F327" s="23"/>
      <c r="G327" s="22"/>
      <c r="H327" s="22"/>
      <c r="I327" s="22"/>
      <c r="J327" s="22"/>
      <c r="K327" s="12">
        <f ca="1"/>
        <v>0</v>
      </c>
    </row>
    <row r="328" spans="1:11" ht="13">
      <c r="A328" s="8" t="str">
        <f t="shared" si="0"/>
        <v>-</v>
      </c>
      <c r="B328" s="16"/>
      <c r="C328" s="17"/>
      <c r="D328" s="22"/>
      <c r="E328" s="22"/>
      <c r="F328" s="23"/>
      <c r="G328" s="22"/>
      <c r="H328" s="22"/>
      <c r="I328" s="22"/>
      <c r="J328" s="22"/>
      <c r="K328" s="12">
        <f ca="1"/>
        <v>0</v>
      </c>
    </row>
    <row r="329" spans="1:11" ht="13">
      <c r="A329" s="8" t="str">
        <f t="shared" si="0"/>
        <v>-</v>
      </c>
      <c r="B329" s="16"/>
      <c r="C329" s="17"/>
      <c r="D329" s="22"/>
      <c r="E329" s="22"/>
      <c r="F329" s="23"/>
      <c r="G329" s="22"/>
      <c r="H329" s="22"/>
      <c r="I329" s="22"/>
      <c r="J329" s="22"/>
      <c r="K329" s="12">
        <f ca="1"/>
        <v>0</v>
      </c>
    </row>
    <row r="330" spans="1:11" ht="13">
      <c r="A330" s="8" t="str">
        <f t="shared" si="0"/>
        <v>-</v>
      </c>
      <c r="B330" s="16"/>
      <c r="C330" s="17"/>
      <c r="D330" s="22"/>
      <c r="E330" s="22"/>
      <c r="F330" s="23"/>
      <c r="G330" s="22"/>
      <c r="H330" s="22"/>
      <c r="I330" s="22"/>
      <c r="J330" s="22"/>
      <c r="K330" s="12">
        <f ca="1"/>
        <v>0</v>
      </c>
    </row>
    <row r="331" spans="1:11" ht="13">
      <c r="A331" s="8" t="str">
        <f t="shared" si="0"/>
        <v>-</v>
      </c>
      <c r="B331" s="16"/>
      <c r="C331" s="17"/>
      <c r="D331" s="22"/>
      <c r="E331" s="22"/>
      <c r="F331" s="23"/>
      <c r="G331" s="22"/>
      <c r="H331" s="22"/>
      <c r="I331" s="22"/>
      <c r="J331" s="22"/>
      <c r="K331" s="12">
        <f ca="1"/>
        <v>0</v>
      </c>
    </row>
    <row r="332" spans="1:11" ht="13">
      <c r="A332" s="8" t="str">
        <f t="shared" si="0"/>
        <v>-</v>
      </c>
      <c r="B332" s="16"/>
      <c r="C332" s="17"/>
      <c r="D332" s="22"/>
      <c r="E332" s="22"/>
      <c r="F332" s="23"/>
      <c r="G332" s="22"/>
      <c r="H332" s="22"/>
      <c r="I332" s="22"/>
      <c r="J332" s="22"/>
      <c r="K332" s="12">
        <f ca="1"/>
        <v>0</v>
      </c>
    </row>
    <row r="333" spans="1:11" ht="13">
      <c r="A333" s="8" t="str">
        <f t="shared" si="0"/>
        <v>-</v>
      </c>
      <c r="B333" s="16"/>
      <c r="C333" s="17"/>
      <c r="D333" s="22"/>
      <c r="E333" s="22"/>
      <c r="F333" s="23"/>
      <c r="G333" s="22"/>
      <c r="H333" s="22"/>
      <c r="I333" s="22"/>
      <c r="J333" s="22"/>
      <c r="K333" s="12">
        <f ca="1"/>
        <v>0</v>
      </c>
    </row>
    <row r="334" spans="1:11" ht="13">
      <c r="A334" s="8" t="str">
        <f t="shared" si="0"/>
        <v>-</v>
      </c>
      <c r="B334" s="16"/>
      <c r="C334" s="17"/>
      <c r="D334" s="22"/>
      <c r="E334" s="22"/>
      <c r="F334" s="23"/>
      <c r="G334" s="22"/>
      <c r="H334" s="22"/>
      <c r="I334" s="22"/>
      <c r="J334" s="22"/>
      <c r="K334" s="12">
        <f ca="1"/>
        <v>0</v>
      </c>
    </row>
    <row r="335" spans="1:11" ht="13">
      <c r="A335" s="8" t="str">
        <f t="shared" si="0"/>
        <v>-</v>
      </c>
      <c r="B335" s="16"/>
      <c r="C335" s="17"/>
      <c r="D335" s="22"/>
      <c r="E335" s="22"/>
      <c r="F335" s="23"/>
      <c r="G335" s="22"/>
      <c r="H335" s="22"/>
      <c r="I335" s="22"/>
      <c r="J335" s="22"/>
      <c r="K335" s="12">
        <f ca="1"/>
        <v>0</v>
      </c>
    </row>
    <row r="336" spans="1:11" ht="13">
      <c r="A336" s="8" t="str">
        <f t="shared" si="0"/>
        <v>-</v>
      </c>
      <c r="B336" s="16"/>
      <c r="C336" s="17"/>
      <c r="D336" s="22"/>
      <c r="E336" s="22"/>
      <c r="F336" s="23"/>
      <c r="G336" s="22"/>
      <c r="H336" s="22"/>
      <c r="I336" s="22"/>
      <c r="J336" s="22"/>
      <c r="K336" s="12">
        <f ca="1"/>
        <v>0</v>
      </c>
    </row>
    <row r="337" spans="1:11" ht="13">
      <c r="A337" s="8" t="str">
        <f t="shared" si="0"/>
        <v>-</v>
      </c>
      <c r="B337" s="16"/>
      <c r="C337" s="17"/>
      <c r="D337" s="22"/>
      <c r="E337" s="22"/>
      <c r="F337" s="23"/>
      <c r="G337" s="22"/>
      <c r="H337" s="22"/>
      <c r="I337" s="22"/>
      <c r="J337" s="22"/>
      <c r="K337" s="12">
        <f ca="1"/>
        <v>0</v>
      </c>
    </row>
    <row r="338" spans="1:11" ht="13">
      <c r="A338" s="8" t="str">
        <f t="shared" si="0"/>
        <v>-</v>
      </c>
      <c r="B338" s="16"/>
      <c r="C338" s="17"/>
      <c r="D338" s="22"/>
      <c r="E338" s="22"/>
      <c r="F338" s="23"/>
      <c r="G338" s="22"/>
      <c r="H338" s="22"/>
      <c r="I338" s="22"/>
      <c r="J338" s="22"/>
      <c r="K338" s="12">
        <f ca="1"/>
        <v>0</v>
      </c>
    </row>
    <row r="339" spans="1:11" ht="13">
      <c r="A339" s="8" t="str">
        <f t="shared" si="0"/>
        <v>-</v>
      </c>
      <c r="B339" s="16"/>
      <c r="C339" s="17"/>
      <c r="D339" s="22"/>
      <c r="E339" s="22"/>
      <c r="F339" s="23"/>
      <c r="G339" s="22"/>
      <c r="H339" s="22"/>
      <c r="I339" s="22"/>
      <c r="J339" s="22"/>
      <c r="K339" s="12">
        <f ca="1"/>
        <v>0</v>
      </c>
    </row>
    <row r="340" spans="1:11" ht="13">
      <c r="A340" s="8" t="str">
        <f t="shared" si="0"/>
        <v>-</v>
      </c>
      <c r="B340" s="16"/>
      <c r="C340" s="17"/>
      <c r="D340" s="22"/>
      <c r="E340" s="22"/>
      <c r="F340" s="23"/>
      <c r="G340" s="22"/>
      <c r="H340" s="22"/>
      <c r="I340" s="22"/>
      <c r="J340" s="22"/>
      <c r="K340" s="12">
        <f ca="1"/>
        <v>0</v>
      </c>
    </row>
    <row r="341" spans="1:11" ht="13">
      <c r="A341" s="8" t="str">
        <f t="shared" si="0"/>
        <v>-</v>
      </c>
      <c r="B341" s="16"/>
      <c r="C341" s="17"/>
      <c r="D341" s="22"/>
      <c r="E341" s="22"/>
      <c r="F341" s="23"/>
      <c r="G341" s="22"/>
      <c r="H341" s="22"/>
      <c r="I341" s="22"/>
      <c r="J341" s="22"/>
      <c r="K341" s="12">
        <f ca="1"/>
        <v>0</v>
      </c>
    </row>
    <row r="342" spans="1:11" ht="13">
      <c r="A342" s="8" t="str">
        <f t="shared" si="0"/>
        <v>-</v>
      </c>
      <c r="B342" s="16"/>
      <c r="C342" s="17"/>
      <c r="D342" s="22"/>
      <c r="E342" s="22"/>
      <c r="F342" s="23"/>
      <c r="G342" s="22"/>
      <c r="H342" s="22"/>
      <c r="I342" s="22"/>
      <c r="J342" s="22"/>
      <c r="K342" s="12">
        <f ca="1"/>
        <v>0</v>
      </c>
    </row>
    <row r="343" spans="1:11" ht="13">
      <c r="A343" s="8" t="str">
        <f t="shared" si="0"/>
        <v>-</v>
      </c>
      <c r="B343" s="16"/>
      <c r="C343" s="17"/>
      <c r="D343" s="22"/>
      <c r="E343" s="22"/>
      <c r="F343" s="23"/>
      <c r="G343" s="22"/>
      <c r="H343" s="22"/>
      <c r="I343" s="22"/>
      <c r="J343" s="22"/>
      <c r="K343" s="12">
        <f ca="1"/>
        <v>0</v>
      </c>
    </row>
    <row r="344" spans="1:11" ht="13">
      <c r="A344" s="8" t="str">
        <f t="shared" si="0"/>
        <v>-</v>
      </c>
      <c r="B344" s="16"/>
      <c r="C344" s="17"/>
      <c r="D344" s="22"/>
      <c r="E344" s="22"/>
      <c r="F344" s="23"/>
      <c r="G344" s="22"/>
      <c r="H344" s="22"/>
      <c r="I344" s="22"/>
      <c r="J344" s="22"/>
      <c r="K344" s="12">
        <f ca="1"/>
        <v>0</v>
      </c>
    </row>
    <row r="345" spans="1:11" ht="13">
      <c r="A345" s="8" t="str">
        <f t="shared" si="0"/>
        <v>-</v>
      </c>
      <c r="B345" s="16"/>
      <c r="C345" s="17"/>
      <c r="D345" s="22"/>
      <c r="E345" s="22"/>
      <c r="F345" s="23"/>
      <c r="G345" s="22"/>
      <c r="H345" s="22"/>
      <c r="I345" s="22"/>
      <c r="J345" s="22"/>
      <c r="K345" s="12">
        <f ca="1"/>
        <v>0</v>
      </c>
    </row>
    <row r="346" spans="1:11" ht="13">
      <c r="A346" s="8" t="str">
        <f t="shared" si="0"/>
        <v>-</v>
      </c>
      <c r="B346" s="16"/>
      <c r="C346" s="17"/>
      <c r="D346" s="22"/>
      <c r="E346" s="22"/>
      <c r="F346" s="23"/>
      <c r="G346" s="22"/>
      <c r="H346" s="22"/>
      <c r="I346" s="22"/>
      <c r="J346" s="22"/>
      <c r="K346" s="12">
        <f ca="1"/>
        <v>0</v>
      </c>
    </row>
    <row r="347" spans="1:11" ht="13">
      <c r="A347" s="8" t="str">
        <f t="shared" si="0"/>
        <v>-</v>
      </c>
      <c r="B347" s="16"/>
      <c r="C347" s="17"/>
      <c r="D347" s="22"/>
      <c r="E347" s="22"/>
      <c r="F347" s="23"/>
      <c r="G347" s="22"/>
      <c r="H347" s="22"/>
      <c r="I347" s="22"/>
      <c r="J347" s="22"/>
      <c r="K347" s="12">
        <f ca="1"/>
        <v>0</v>
      </c>
    </row>
    <row r="348" spans="1:11" ht="13">
      <c r="A348" s="8" t="str">
        <f t="shared" si="0"/>
        <v>-</v>
      </c>
      <c r="B348" s="16"/>
      <c r="C348" s="17"/>
      <c r="D348" s="22"/>
      <c r="E348" s="22"/>
      <c r="F348" s="23"/>
      <c r="G348" s="22"/>
      <c r="H348" s="22"/>
      <c r="I348" s="22"/>
      <c r="J348" s="22"/>
      <c r="K348" s="12">
        <f ca="1"/>
        <v>0</v>
      </c>
    </row>
    <row r="349" spans="1:11" ht="13">
      <c r="A349" s="8" t="str">
        <f t="shared" si="0"/>
        <v>-</v>
      </c>
      <c r="B349" s="16"/>
      <c r="C349" s="17"/>
      <c r="D349" s="22"/>
      <c r="E349" s="22"/>
      <c r="F349" s="23"/>
      <c r="G349" s="22"/>
      <c r="H349" s="22"/>
      <c r="I349" s="22"/>
      <c r="J349" s="22"/>
      <c r="K349" s="12">
        <f ca="1"/>
        <v>0</v>
      </c>
    </row>
    <row r="350" spans="1:11" ht="13">
      <c r="A350" s="8" t="str">
        <f t="shared" si="0"/>
        <v>-</v>
      </c>
      <c r="B350" s="16"/>
      <c r="C350" s="17"/>
      <c r="D350" s="22"/>
      <c r="E350" s="22"/>
      <c r="F350" s="23"/>
      <c r="G350" s="22"/>
      <c r="H350" s="22"/>
      <c r="I350" s="22"/>
      <c r="J350" s="22"/>
      <c r="K350" s="12">
        <f ca="1"/>
        <v>0</v>
      </c>
    </row>
    <row r="351" spans="1:11" ht="13">
      <c r="A351" s="8" t="str">
        <f t="shared" si="0"/>
        <v>-</v>
      </c>
      <c r="B351" s="16"/>
      <c r="C351" s="17"/>
      <c r="D351" s="22"/>
      <c r="E351" s="22"/>
      <c r="F351" s="23"/>
      <c r="G351" s="22"/>
      <c r="H351" s="22"/>
      <c r="I351" s="22"/>
      <c r="J351" s="22"/>
      <c r="K351" s="12">
        <f ca="1"/>
        <v>0</v>
      </c>
    </row>
    <row r="352" spans="1:11" ht="13">
      <c r="A352" s="8" t="str">
        <f t="shared" si="0"/>
        <v>-</v>
      </c>
      <c r="B352" s="16"/>
      <c r="C352" s="17"/>
      <c r="D352" s="22"/>
      <c r="E352" s="22"/>
      <c r="F352" s="23"/>
      <c r="G352" s="22"/>
      <c r="H352" s="22"/>
      <c r="I352" s="22"/>
      <c r="J352" s="22"/>
      <c r="K352" s="12">
        <f ca="1"/>
        <v>0</v>
      </c>
    </row>
    <row r="353" spans="1:11" ht="13">
      <c r="A353" s="8" t="str">
        <f t="shared" si="0"/>
        <v>-</v>
      </c>
      <c r="B353" s="16"/>
      <c r="C353" s="17"/>
      <c r="D353" s="22"/>
      <c r="E353" s="22"/>
      <c r="F353" s="23"/>
      <c r="G353" s="22"/>
      <c r="H353" s="22"/>
      <c r="I353" s="22"/>
      <c r="J353" s="22"/>
      <c r="K353" s="12">
        <f ca="1"/>
        <v>0</v>
      </c>
    </row>
    <row r="354" spans="1:11" ht="13">
      <c r="A354" s="8" t="str">
        <f t="shared" si="0"/>
        <v>-</v>
      </c>
      <c r="B354" s="16"/>
      <c r="C354" s="17"/>
      <c r="D354" s="22"/>
      <c r="E354" s="22"/>
      <c r="F354" s="23"/>
      <c r="G354" s="22"/>
      <c r="H354" s="22"/>
      <c r="I354" s="22"/>
      <c r="J354" s="22"/>
      <c r="K354" s="12">
        <f ca="1"/>
        <v>0</v>
      </c>
    </row>
    <row r="355" spans="1:11" ht="13">
      <c r="A355" s="8" t="str">
        <f t="shared" si="0"/>
        <v>-</v>
      </c>
      <c r="B355" s="16"/>
      <c r="C355" s="17"/>
      <c r="D355" s="22"/>
      <c r="E355" s="22"/>
      <c r="F355" s="23"/>
      <c r="G355" s="22"/>
      <c r="H355" s="22"/>
      <c r="I355" s="22"/>
      <c r="J355" s="22"/>
      <c r="K355" s="12">
        <f ca="1"/>
        <v>0</v>
      </c>
    </row>
    <row r="356" spans="1:11" ht="13">
      <c r="A356" s="8" t="str">
        <f t="shared" si="0"/>
        <v>-</v>
      </c>
      <c r="B356" s="16"/>
      <c r="C356" s="17"/>
      <c r="D356" s="22"/>
      <c r="E356" s="22"/>
      <c r="F356" s="23"/>
      <c r="G356" s="22"/>
      <c r="H356" s="22"/>
      <c r="I356" s="22"/>
      <c r="J356" s="22"/>
      <c r="K356" s="12">
        <f ca="1"/>
        <v>0</v>
      </c>
    </row>
    <row r="357" spans="1:11" ht="13">
      <c r="A357" s="8" t="str">
        <f t="shared" si="0"/>
        <v>-</v>
      </c>
      <c r="B357" s="16"/>
      <c r="C357" s="17"/>
      <c r="D357" s="22"/>
      <c r="E357" s="22"/>
      <c r="F357" s="23"/>
      <c r="G357" s="22"/>
      <c r="H357" s="22"/>
      <c r="I357" s="22"/>
      <c r="J357" s="22"/>
      <c r="K357" s="12">
        <f ca="1"/>
        <v>0</v>
      </c>
    </row>
    <row r="358" spans="1:11" ht="13">
      <c r="A358" s="8" t="str">
        <f t="shared" si="0"/>
        <v>-</v>
      </c>
      <c r="B358" s="16"/>
      <c r="C358" s="17"/>
      <c r="D358" s="22"/>
      <c r="E358" s="22"/>
      <c r="F358" s="23"/>
      <c r="G358" s="22"/>
      <c r="H358" s="22"/>
      <c r="I358" s="22"/>
      <c r="J358" s="22"/>
      <c r="K358" s="12">
        <f ca="1"/>
        <v>0</v>
      </c>
    </row>
    <row r="359" spans="1:11" ht="13">
      <c r="A359" s="8" t="str">
        <f t="shared" si="0"/>
        <v>-</v>
      </c>
      <c r="B359" s="16"/>
      <c r="C359" s="17"/>
      <c r="D359" s="22"/>
      <c r="E359" s="22"/>
      <c r="F359" s="23"/>
      <c r="G359" s="22"/>
      <c r="H359" s="22"/>
      <c r="I359" s="22"/>
      <c r="J359" s="22"/>
      <c r="K359" s="12">
        <f ca="1"/>
        <v>0</v>
      </c>
    </row>
    <row r="360" spans="1:11" ht="13">
      <c r="A360" s="8" t="str">
        <f t="shared" si="0"/>
        <v>-</v>
      </c>
      <c r="B360" s="16"/>
      <c r="C360" s="17"/>
      <c r="D360" s="22"/>
      <c r="E360" s="22"/>
      <c r="F360" s="23"/>
      <c r="G360" s="22"/>
      <c r="H360" s="22"/>
      <c r="I360" s="22"/>
      <c r="J360" s="22"/>
      <c r="K360" s="12">
        <f ca="1"/>
        <v>0</v>
      </c>
    </row>
    <row r="361" spans="1:11" ht="13">
      <c r="A361" s="8" t="str">
        <f t="shared" si="0"/>
        <v>-</v>
      </c>
      <c r="B361" s="16"/>
      <c r="C361" s="17"/>
      <c r="D361" s="22"/>
      <c r="E361" s="22"/>
      <c r="F361" s="23"/>
      <c r="G361" s="22"/>
      <c r="H361" s="22"/>
      <c r="I361" s="22"/>
      <c r="J361" s="22"/>
      <c r="K361" s="12">
        <f ca="1"/>
        <v>0</v>
      </c>
    </row>
    <row r="362" spans="1:11" ht="13">
      <c r="A362" s="8" t="str">
        <f t="shared" si="0"/>
        <v>-</v>
      </c>
      <c r="B362" s="16"/>
      <c r="C362" s="17"/>
      <c r="D362" s="22"/>
      <c r="E362" s="22"/>
      <c r="F362" s="23"/>
      <c r="G362" s="22"/>
      <c r="H362" s="22"/>
      <c r="I362" s="22"/>
      <c r="J362" s="22"/>
      <c r="K362" s="12">
        <f ca="1"/>
        <v>0</v>
      </c>
    </row>
    <row r="363" spans="1:11" ht="13">
      <c r="A363" s="8" t="str">
        <f t="shared" si="0"/>
        <v>-</v>
      </c>
      <c r="B363" s="16"/>
      <c r="C363" s="17"/>
      <c r="D363" s="22"/>
      <c r="E363" s="22"/>
      <c r="F363" s="23"/>
      <c r="G363" s="22"/>
      <c r="H363" s="22"/>
      <c r="I363" s="22"/>
      <c r="J363" s="22"/>
      <c r="K363" s="12">
        <f ca="1"/>
        <v>0</v>
      </c>
    </row>
    <row r="364" spans="1:11" ht="13">
      <c r="A364" s="8" t="str">
        <f t="shared" si="0"/>
        <v>-</v>
      </c>
      <c r="B364" s="16"/>
      <c r="C364" s="17"/>
      <c r="D364" s="22"/>
      <c r="E364" s="22"/>
      <c r="F364" s="23"/>
      <c r="G364" s="22"/>
      <c r="H364" s="22"/>
      <c r="I364" s="22"/>
      <c r="J364" s="22"/>
      <c r="K364" s="12">
        <f ca="1"/>
        <v>0</v>
      </c>
    </row>
    <row r="365" spans="1:11" ht="13">
      <c r="A365" s="8" t="str">
        <f t="shared" si="0"/>
        <v>-</v>
      </c>
      <c r="B365" s="16"/>
      <c r="C365" s="17"/>
      <c r="D365" s="22"/>
      <c r="E365" s="22"/>
      <c r="F365" s="23"/>
      <c r="G365" s="22"/>
      <c r="H365" s="22"/>
      <c r="I365" s="22"/>
      <c r="J365" s="22"/>
      <c r="K365" s="12">
        <f ca="1"/>
        <v>0</v>
      </c>
    </row>
    <row r="366" spans="1:11" ht="13">
      <c r="A366" s="8" t="str">
        <f t="shared" si="0"/>
        <v>-</v>
      </c>
      <c r="B366" s="16"/>
      <c r="C366" s="17"/>
      <c r="D366" s="22"/>
      <c r="E366" s="22"/>
      <c r="F366" s="23"/>
      <c r="G366" s="22"/>
      <c r="H366" s="22"/>
      <c r="I366" s="22"/>
      <c r="J366" s="22"/>
      <c r="K366" s="12">
        <f ca="1"/>
        <v>0</v>
      </c>
    </row>
    <row r="367" spans="1:11" ht="13">
      <c r="A367" s="8" t="str">
        <f t="shared" si="0"/>
        <v>-</v>
      </c>
      <c r="B367" s="16"/>
      <c r="C367" s="17"/>
      <c r="D367" s="22"/>
      <c r="E367" s="22"/>
      <c r="F367" s="23"/>
      <c r="G367" s="22"/>
      <c r="H367" s="22"/>
      <c r="I367" s="22"/>
      <c r="J367" s="22"/>
      <c r="K367" s="12">
        <f ca="1"/>
        <v>0</v>
      </c>
    </row>
    <row r="368" spans="1:11" ht="13">
      <c r="A368" s="8" t="str">
        <f t="shared" si="0"/>
        <v>-</v>
      </c>
      <c r="B368" s="16"/>
      <c r="C368" s="17"/>
      <c r="D368" s="22"/>
      <c r="E368" s="22"/>
      <c r="F368" s="23"/>
      <c r="G368" s="22"/>
      <c r="H368" s="22"/>
      <c r="I368" s="22"/>
      <c r="J368" s="22"/>
      <c r="K368" s="12">
        <f ca="1"/>
        <v>0</v>
      </c>
    </row>
    <row r="369" spans="1:11" ht="13">
      <c r="A369" s="8" t="str">
        <f t="shared" si="0"/>
        <v>-</v>
      </c>
      <c r="B369" s="16"/>
      <c r="C369" s="17"/>
      <c r="D369" s="22"/>
      <c r="E369" s="22"/>
      <c r="F369" s="23"/>
      <c r="G369" s="22"/>
      <c r="H369" s="22"/>
      <c r="I369" s="22"/>
      <c r="J369" s="22"/>
      <c r="K369" s="12">
        <f ca="1"/>
        <v>0</v>
      </c>
    </row>
    <row r="370" spans="1:11" ht="13">
      <c r="A370" s="8" t="str">
        <f t="shared" si="0"/>
        <v>-</v>
      </c>
      <c r="B370" s="16"/>
      <c r="C370" s="17"/>
      <c r="D370" s="22"/>
      <c r="E370" s="22"/>
      <c r="F370" s="23"/>
      <c r="G370" s="22"/>
      <c r="H370" s="22"/>
      <c r="I370" s="22"/>
      <c r="J370" s="22"/>
      <c r="K370" s="12">
        <f ca="1"/>
        <v>0</v>
      </c>
    </row>
    <row r="371" spans="1:11" ht="13">
      <c r="A371" s="8" t="str">
        <f t="shared" si="0"/>
        <v>-</v>
      </c>
      <c r="B371" s="16"/>
      <c r="C371" s="17"/>
      <c r="D371" s="22"/>
      <c r="E371" s="22"/>
      <c r="F371" s="23"/>
      <c r="G371" s="22"/>
      <c r="H371" s="22"/>
      <c r="I371" s="22"/>
      <c r="J371" s="22"/>
      <c r="K371" s="12">
        <f ca="1"/>
        <v>0</v>
      </c>
    </row>
    <row r="372" spans="1:11" ht="13">
      <c r="A372" s="8" t="str">
        <f t="shared" si="0"/>
        <v>-</v>
      </c>
      <c r="B372" s="16"/>
      <c r="C372" s="17"/>
      <c r="D372" s="22"/>
      <c r="E372" s="22"/>
      <c r="F372" s="23"/>
      <c r="G372" s="22"/>
      <c r="H372" s="22"/>
      <c r="I372" s="22"/>
      <c r="J372" s="22"/>
      <c r="K372" s="12">
        <f ca="1"/>
        <v>0</v>
      </c>
    </row>
    <row r="373" spans="1:11" ht="13">
      <c r="A373" s="8" t="str">
        <f t="shared" si="0"/>
        <v>-</v>
      </c>
      <c r="B373" s="16"/>
      <c r="C373" s="17"/>
      <c r="D373" s="22"/>
      <c r="E373" s="22"/>
      <c r="F373" s="23"/>
      <c r="G373" s="22"/>
      <c r="H373" s="22"/>
      <c r="I373" s="22"/>
      <c r="J373" s="22"/>
      <c r="K373" s="12">
        <f ca="1"/>
        <v>0</v>
      </c>
    </row>
    <row r="374" spans="1:11" ht="13">
      <c r="A374" s="8" t="str">
        <f t="shared" si="0"/>
        <v>-</v>
      </c>
      <c r="B374" s="16"/>
      <c r="C374" s="17"/>
      <c r="D374" s="22"/>
      <c r="E374" s="22"/>
      <c r="F374" s="23"/>
      <c r="G374" s="22"/>
      <c r="H374" s="22"/>
      <c r="I374" s="22"/>
      <c r="J374" s="22"/>
      <c r="K374" s="12">
        <f ca="1"/>
        <v>0</v>
      </c>
    </row>
    <row r="375" spans="1:11" ht="13">
      <c r="A375" s="8" t="str">
        <f t="shared" si="0"/>
        <v>-</v>
      </c>
      <c r="B375" s="16"/>
      <c r="C375" s="17"/>
      <c r="D375" s="22"/>
      <c r="E375" s="22"/>
      <c r="F375" s="23"/>
      <c r="G375" s="22"/>
      <c r="H375" s="22"/>
      <c r="I375" s="22"/>
      <c r="J375" s="22"/>
      <c r="K375" s="12">
        <f ca="1"/>
        <v>0</v>
      </c>
    </row>
    <row r="376" spans="1:11" ht="13">
      <c r="A376" s="8" t="str">
        <f t="shared" si="0"/>
        <v>-</v>
      </c>
      <c r="B376" s="16"/>
      <c r="C376" s="17"/>
      <c r="D376" s="22"/>
      <c r="E376" s="22"/>
      <c r="F376" s="23"/>
      <c r="G376" s="22"/>
      <c r="H376" s="22"/>
      <c r="I376" s="22"/>
      <c r="J376" s="22"/>
      <c r="K376" s="12">
        <f ca="1"/>
        <v>0</v>
      </c>
    </row>
    <row r="377" spans="1:11" ht="13">
      <c r="A377" s="8" t="str">
        <f t="shared" si="0"/>
        <v>-</v>
      </c>
      <c r="B377" s="16"/>
      <c r="C377" s="17"/>
      <c r="D377" s="22"/>
      <c r="E377" s="22"/>
      <c r="F377" s="23"/>
      <c r="G377" s="22"/>
      <c r="H377" s="22"/>
      <c r="I377" s="22"/>
      <c r="J377" s="22"/>
      <c r="K377" s="12">
        <f ca="1"/>
        <v>0</v>
      </c>
    </row>
    <row r="378" spans="1:11" ht="13">
      <c r="A378" s="8" t="str">
        <f t="shared" si="0"/>
        <v>-</v>
      </c>
      <c r="B378" s="16"/>
      <c r="C378" s="17"/>
      <c r="D378" s="22"/>
      <c r="E378" s="22"/>
      <c r="F378" s="23"/>
      <c r="G378" s="22"/>
      <c r="H378" s="22"/>
      <c r="I378" s="22"/>
      <c r="J378" s="22"/>
      <c r="K378" s="12">
        <f ca="1"/>
        <v>0</v>
      </c>
    </row>
    <row r="379" spans="1:11" ht="13">
      <c r="A379" s="8" t="str">
        <f t="shared" si="0"/>
        <v>-</v>
      </c>
      <c r="B379" s="16"/>
      <c r="C379" s="17"/>
      <c r="D379" s="22"/>
      <c r="E379" s="22"/>
      <c r="F379" s="23"/>
      <c r="G379" s="22"/>
      <c r="H379" s="22"/>
      <c r="I379" s="22"/>
      <c r="J379" s="22"/>
      <c r="K379" s="12">
        <f ca="1"/>
        <v>0</v>
      </c>
    </row>
    <row r="380" spans="1:11" ht="13">
      <c r="A380" s="8" t="str">
        <f t="shared" si="0"/>
        <v>-</v>
      </c>
      <c r="B380" s="16"/>
      <c r="C380" s="17"/>
      <c r="D380" s="22"/>
      <c r="E380" s="22"/>
      <c r="F380" s="23"/>
      <c r="G380" s="22"/>
      <c r="H380" s="22"/>
      <c r="I380" s="22"/>
      <c r="J380" s="22"/>
      <c r="K380" s="12">
        <f ca="1"/>
        <v>0</v>
      </c>
    </row>
    <row r="381" spans="1:11" ht="13">
      <c r="A381" s="8" t="str">
        <f t="shared" si="0"/>
        <v>-</v>
      </c>
      <c r="B381" s="16"/>
      <c r="C381" s="17"/>
      <c r="D381" s="22"/>
      <c r="E381" s="22"/>
      <c r="F381" s="23"/>
      <c r="G381" s="22"/>
      <c r="H381" s="22"/>
      <c r="I381" s="22"/>
      <c r="J381" s="22"/>
      <c r="K381" s="12">
        <f ca="1"/>
        <v>0</v>
      </c>
    </row>
    <row r="382" spans="1:11" ht="13">
      <c r="A382" s="8" t="str">
        <f t="shared" si="0"/>
        <v>-</v>
      </c>
      <c r="B382" s="16"/>
      <c r="C382" s="17"/>
      <c r="D382" s="22"/>
      <c r="E382" s="22"/>
      <c r="F382" s="23"/>
      <c r="G382" s="22"/>
      <c r="H382" s="22"/>
      <c r="I382" s="22"/>
      <c r="J382" s="22"/>
      <c r="K382" s="12">
        <f ca="1"/>
        <v>0</v>
      </c>
    </row>
    <row r="383" spans="1:11" ht="13">
      <c r="A383" s="8" t="str">
        <f t="shared" si="0"/>
        <v>-</v>
      </c>
      <c r="B383" s="16"/>
      <c r="C383" s="17"/>
      <c r="D383" s="22"/>
      <c r="E383" s="22"/>
      <c r="F383" s="23"/>
      <c r="G383" s="22"/>
      <c r="H383" s="22"/>
      <c r="I383" s="22"/>
      <c r="J383" s="22"/>
      <c r="K383" s="12">
        <f ca="1"/>
        <v>0</v>
      </c>
    </row>
    <row r="384" spans="1:11" ht="13">
      <c r="A384" s="8" t="str">
        <f t="shared" si="0"/>
        <v>-</v>
      </c>
      <c r="B384" s="16"/>
      <c r="C384" s="17"/>
      <c r="D384" s="22"/>
      <c r="E384" s="22"/>
      <c r="F384" s="23"/>
      <c r="G384" s="22"/>
      <c r="H384" s="22"/>
      <c r="I384" s="22"/>
      <c r="J384" s="22"/>
      <c r="K384" s="12">
        <f ca="1"/>
        <v>0</v>
      </c>
    </row>
    <row r="385" spans="1:11" ht="13">
      <c r="A385" s="8" t="str">
        <f t="shared" si="0"/>
        <v>-</v>
      </c>
      <c r="B385" s="16"/>
      <c r="C385" s="17"/>
      <c r="D385" s="22"/>
      <c r="E385" s="22"/>
      <c r="F385" s="23"/>
      <c r="G385" s="22"/>
      <c r="H385" s="22"/>
      <c r="I385" s="22"/>
      <c r="J385" s="22"/>
      <c r="K385" s="12">
        <f ca="1"/>
        <v>0</v>
      </c>
    </row>
    <row r="386" spans="1:11" ht="13">
      <c r="A386" s="8" t="str">
        <f t="shared" si="0"/>
        <v>-</v>
      </c>
      <c r="B386" s="16"/>
      <c r="C386" s="17"/>
      <c r="D386" s="22"/>
      <c r="E386" s="22"/>
      <c r="F386" s="23"/>
      <c r="G386" s="22"/>
      <c r="H386" s="22"/>
      <c r="I386" s="22"/>
      <c r="J386" s="22"/>
      <c r="K386" s="12">
        <f ca="1"/>
        <v>0</v>
      </c>
    </row>
    <row r="387" spans="1:11" ht="13">
      <c r="A387" s="8" t="str">
        <f t="shared" si="0"/>
        <v>-</v>
      </c>
      <c r="B387" s="16"/>
      <c r="C387" s="17"/>
      <c r="D387" s="22"/>
      <c r="E387" s="22"/>
      <c r="F387" s="23"/>
      <c r="G387" s="22"/>
      <c r="H387" s="22"/>
      <c r="I387" s="22"/>
      <c r="J387" s="22"/>
      <c r="K387" s="12">
        <f ca="1"/>
        <v>0</v>
      </c>
    </row>
    <row r="388" spans="1:11" ht="13">
      <c r="A388" s="8" t="str">
        <f t="shared" si="0"/>
        <v>-</v>
      </c>
      <c r="B388" s="16"/>
      <c r="C388" s="17"/>
      <c r="D388" s="22"/>
      <c r="E388" s="22"/>
      <c r="F388" s="23"/>
      <c r="G388" s="22"/>
      <c r="H388" s="22"/>
      <c r="I388" s="22"/>
      <c r="J388" s="22"/>
      <c r="K388" s="12">
        <f ca="1"/>
        <v>0</v>
      </c>
    </row>
    <row r="389" spans="1:11" ht="13">
      <c r="A389" s="8" t="str">
        <f t="shared" si="0"/>
        <v>-</v>
      </c>
      <c r="B389" s="16"/>
      <c r="C389" s="17"/>
      <c r="D389" s="22"/>
      <c r="E389" s="22"/>
      <c r="F389" s="23"/>
      <c r="G389" s="22"/>
      <c r="H389" s="22"/>
      <c r="I389" s="22"/>
      <c r="J389" s="22"/>
      <c r="K389" s="12">
        <f ca="1"/>
        <v>0</v>
      </c>
    </row>
    <row r="390" spans="1:11" ht="13">
      <c r="A390" s="8" t="str">
        <f t="shared" si="0"/>
        <v>-</v>
      </c>
      <c r="B390" s="16"/>
      <c r="C390" s="17"/>
      <c r="D390" s="22"/>
      <c r="E390" s="22"/>
      <c r="F390" s="23"/>
      <c r="G390" s="22"/>
      <c r="H390" s="22"/>
      <c r="I390" s="22"/>
      <c r="J390" s="22"/>
      <c r="K390" s="12">
        <f ca="1"/>
        <v>0</v>
      </c>
    </row>
    <row r="391" spans="1:11" ht="13">
      <c r="A391" s="8" t="str">
        <f t="shared" si="0"/>
        <v>-</v>
      </c>
      <c r="B391" s="16"/>
      <c r="C391" s="17"/>
      <c r="D391" s="22"/>
      <c r="E391" s="22"/>
      <c r="F391" s="23"/>
      <c r="G391" s="22"/>
      <c r="H391" s="22"/>
      <c r="I391" s="22"/>
      <c r="J391" s="22"/>
      <c r="K391" s="12">
        <f ca="1"/>
        <v>0</v>
      </c>
    </row>
    <row r="392" spans="1:11" ht="13">
      <c r="A392" s="8" t="str">
        <f t="shared" si="0"/>
        <v>-</v>
      </c>
      <c r="B392" s="16"/>
      <c r="C392" s="17"/>
      <c r="D392" s="22"/>
      <c r="E392" s="22"/>
      <c r="F392" s="23"/>
      <c r="G392" s="22"/>
      <c r="H392" s="22"/>
      <c r="I392" s="22"/>
      <c r="J392" s="22"/>
      <c r="K392" s="12">
        <f ca="1"/>
        <v>0</v>
      </c>
    </row>
    <row r="393" spans="1:11" ht="13">
      <c r="A393" s="8" t="str">
        <f t="shared" si="0"/>
        <v>-</v>
      </c>
      <c r="B393" s="16"/>
      <c r="C393" s="17"/>
      <c r="D393" s="22"/>
      <c r="E393" s="22"/>
      <c r="F393" s="23"/>
      <c r="G393" s="22"/>
      <c r="H393" s="22"/>
      <c r="I393" s="22"/>
      <c r="J393" s="22"/>
      <c r="K393" s="12">
        <f ca="1"/>
        <v>0</v>
      </c>
    </row>
    <row r="394" spans="1:11" ht="13">
      <c r="A394" s="8" t="str">
        <f t="shared" si="0"/>
        <v>-</v>
      </c>
      <c r="B394" s="16"/>
      <c r="C394" s="17"/>
      <c r="D394" s="22"/>
      <c r="E394" s="22"/>
      <c r="F394" s="23"/>
      <c r="G394" s="22"/>
      <c r="H394" s="22"/>
      <c r="I394" s="22"/>
      <c r="J394" s="22"/>
      <c r="K394" s="12">
        <f ca="1"/>
        <v>0</v>
      </c>
    </row>
    <row r="395" spans="1:11" ht="13">
      <c r="A395" s="8" t="str">
        <f t="shared" si="0"/>
        <v>-</v>
      </c>
      <c r="B395" s="16"/>
      <c r="C395" s="17"/>
      <c r="D395" s="22"/>
      <c r="E395" s="22"/>
      <c r="F395" s="23"/>
      <c r="G395" s="22"/>
      <c r="H395" s="22"/>
      <c r="I395" s="22"/>
      <c r="J395" s="22"/>
      <c r="K395" s="12">
        <f ca="1"/>
        <v>0</v>
      </c>
    </row>
    <row r="396" spans="1:11" ht="13">
      <c r="A396" s="8" t="str">
        <f t="shared" si="0"/>
        <v>-</v>
      </c>
      <c r="B396" s="16"/>
      <c r="C396" s="17"/>
      <c r="D396" s="22"/>
      <c r="E396" s="22"/>
      <c r="F396" s="23"/>
      <c r="G396" s="22"/>
      <c r="H396" s="22"/>
      <c r="I396" s="22"/>
      <c r="J396" s="22"/>
      <c r="K396" s="12">
        <f ca="1"/>
        <v>0</v>
      </c>
    </row>
    <row r="397" spans="1:11" ht="13">
      <c r="A397" s="8" t="str">
        <f t="shared" si="0"/>
        <v>-</v>
      </c>
      <c r="B397" s="16"/>
      <c r="C397" s="17"/>
      <c r="D397" s="22"/>
      <c r="E397" s="22"/>
      <c r="F397" s="23"/>
      <c r="G397" s="22"/>
      <c r="H397" s="22"/>
      <c r="I397" s="22"/>
      <c r="J397" s="22"/>
      <c r="K397" s="12">
        <f ca="1"/>
        <v>0</v>
      </c>
    </row>
    <row r="398" spans="1:11" ht="13">
      <c r="A398" s="8" t="str">
        <f t="shared" si="0"/>
        <v>-</v>
      </c>
      <c r="B398" s="16"/>
      <c r="C398" s="17"/>
      <c r="D398" s="22"/>
      <c r="E398" s="22"/>
      <c r="F398" s="23"/>
      <c r="G398" s="22"/>
      <c r="H398" s="22"/>
      <c r="I398" s="22"/>
      <c r="J398" s="22"/>
      <c r="K398" s="12">
        <f ca="1"/>
        <v>0</v>
      </c>
    </row>
    <row r="399" spans="1:11" ht="13">
      <c r="A399" s="8" t="str">
        <f t="shared" si="0"/>
        <v>-</v>
      </c>
      <c r="B399" s="16"/>
      <c r="C399" s="17"/>
      <c r="D399" s="22"/>
      <c r="E399" s="22"/>
      <c r="F399" s="23"/>
      <c r="G399" s="22"/>
      <c r="H399" s="22"/>
      <c r="I399" s="22"/>
      <c r="J399" s="22"/>
      <c r="K399" s="12">
        <f ca="1"/>
        <v>0</v>
      </c>
    </row>
    <row r="400" spans="1:11" ht="13">
      <c r="A400" s="8" t="str">
        <f t="shared" si="0"/>
        <v>-</v>
      </c>
      <c r="B400" s="16"/>
      <c r="C400" s="17"/>
      <c r="D400" s="22"/>
      <c r="E400" s="22"/>
      <c r="F400" s="23"/>
      <c r="G400" s="22"/>
      <c r="H400" s="22"/>
      <c r="I400" s="22"/>
      <c r="J400" s="22"/>
      <c r="K400" s="12">
        <f ca="1"/>
        <v>0</v>
      </c>
    </row>
    <row r="401" spans="1:11" ht="13">
      <c r="A401" s="8" t="str">
        <f t="shared" si="0"/>
        <v>-</v>
      </c>
      <c r="B401" s="16"/>
      <c r="C401" s="17"/>
      <c r="D401" s="22"/>
      <c r="E401" s="22"/>
      <c r="F401" s="23"/>
      <c r="G401" s="22"/>
      <c r="H401" s="22"/>
      <c r="I401" s="22"/>
      <c r="J401" s="22"/>
      <c r="K401" s="12">
        <f ca="1"/>
        <v>0</v>
      </c>
    </row>
    <row r="402" spans="1:11" ht="13">
      <c r="A402" s="8" t="str">
        <f t="shared" si="0"/>
        <v>-</v>
      </c>
      <c r="B402" s="16"/>
      <c r="C402" s="17"/>
      <c r="D402" s="22"/>
      <c r="E402" s="22"/>
      <c r="F402" s="23"/>
      <c r="G402" s="22"/>
      <c r="H402" s="22"/>
      <c r="I402" s="22"/>
      <c r="J402" s="22"/>
      <c r="K402" s="12">
        <f ca="1"/>
        <v>0</v>
      </c>
    </row>
    <row r="403" spans="1:11" ht="13">
      <c r="A403" s="8" t="str">
        <f t="shared" si="0"/>
        <v>-</v>
      </c>
      <c r="B403" s="16"/>
      <c r="C403" s="17"/>
      <c r="D403" s="22"/>
      <c r="E403" s="22"/>
      <c r="F403" s="23"/>
      <c r="G403" s="22"/>
      <c r="H403" s="22"/>
      <c r="I403" s="22"/>
      <c r="J403" s="22"/>
      <c r="K403" s="12">
        <f ca="1"/>
        <v>0</v>
      </c>
    </row>
    <row r="404" spans="1:11" ht="13">
      <c r="A404" s="8" t="str">
        <f t="shared" si="0"/>
        <v>-</v>
      </c>
      <c r="B404" s="16"/>
      <c r="C404" s="17"/>
      <c r="D404" s="22"/>
      <c r="E404" s="22"/>
      <c r="F404" s="23"/>
      <c r="G404" s="22"/>
      <c r="H404" s="22"/>
      <c r="I404" s="22"/>
      <c r="J404" s="22"/>
      <c r="K404" s="12">
        <f ca="1"/>
        <v>0</v>
      </c>
    </row>
    <row r="405" spans="1:11" ht="13">
      <c r="A405" s="8" t="str">
        <f t="shared" si="0"/>
        <v>-</v>
      </c>
      <c r="B405" s="16"/>
      <c r="C405" s="17"/>
      <c r="D405" s="22"/>
      <c r="E405" s="22"/>
      <c r="F405" s="23"/>
      <c r="G405" s="22"/>
      <c r="H405" s="22"/>
      <c r="I405" s="22"/>
      <c r="J405" s="22"/>
      <c r="K405" s="12">
        <f ca="1"/>
        <v>0</v>
      </c>
    </row>
    <row r="406" spans="1:11" ht="13">
      <c r="A406" s="8" t="str">
        <f t="shared" si="0"/>
        <v>-</v>
      </c>
      <c r="B406" s="16"/>
      <c r="C406" s="17"/>
      <c r="D406" s="22"/>
      <c r="E406" s="22"/>
      <c r="F406" s="23"/>
      <c r="G406" s="22"/>
      <c r="H406" s="22"/>
      <c r="I406" s="22"/>
      <c r="J406" s="22"/>
      <c r="K406" s="12">
        <f ca="1"/>
        <v>0</v>
      </c>
    </row>
    <row r="407" spans="1:11" ht="13">
      <c r="A407" s="8" t="str">
        <f t="shared" si="0"/>
        <v>-</v>
      </c>
      <c r="B407" s="16"/>
      <c r="C407" s="17"/>
      <c r="D407" s="22"/>
      <c r="E407" s="22"/>
      <c r="F407" s="23"/>
      <c r="G407" s="22"/>
      <c r="H407" s="22"/>
      <c r="I407" s="22"/>
      <c r="J407" s="22"/>
      <c r="K407" s="12">
        <f ca="1"/>
        <v>0</v>
      </c>
    </row>
    <row r="408" spans="1:11" ht="13">
      <c r="A408" s="8" t="str">
        <f t="shared" si="0"/>
        <v>-</v>
      </c>
      <c r="B408" s="16"/>
      <c r="C408" s="17"/>
      <c r="D408" s="22"/>
      <c r="E408" s="22"/>
      <c r="F408" s="23"/>
      <c r="G408" s="22"/>
      <c r="H408" s="22"/>
      <c r="I408" s="22"/>
      <c r="J408" s="22"/>
      <c r="K408" s="12">
        <f ca="1"/>
        <v>0</v>
      </c>
    </row>
    <row r="409" spans="1:11" ht="13">
      <c r="A409" s="8" t="str">
        <f t="shared" si="0"/>
        <v>-</v>
      </c>
      <c r="B409" s="16"/>
      <c r="C409" s="17"/>
      <c r="D409" s="22"/>
      <c r="E409" s="22"/>
      <c r="F409" s="23"/>
      <c r="G409" s="22"/>
      <c r="H409" s="22"/>
      <c r="I409" s="22"/>
      <c r="J409" s="22"/>
      <c r="K409" s="12">
        <f ca="1"/>
        <v>0</v>
      </c>
    </row>
    <row r="410" spans="1:11" ht="13">
      <c r="A410" s="8" t="str">
        <f t="shared" si="0"/>
        <v>-</v>
      </c>
      <c r="B410" s="16"/>
      <c r="C410" s="17"/>
      <c r="D410" s="22"/>
      <c r="E410" s="22"/>
      <c r="F410" s="23"/>
      <c r="G410" s="22"/>
      <c r="H410" s="22"/>
      <c r="I410" s="22"/>
      <c r="J410" s="22"/>
      <c r="K410" s="12">
        <f ca="1"/>
        <v>0</v>
      </c>
    </row>
    <row r="411" spans="1:11" ht="13">
      <c r="A411" s="8" t="str">
        <f t="shared" si="0"/>
        <v>-</v>
      </c>
      <c r="B411" s="16"/>
      <c r="C411" s="17"/>
      <c r="D411" s="22"/>
      <c r="E411" s="22"/>
      <c r="F411" s="23"/>
      <c r="G411" s="22"/>
      <c r="H411" s="22"/>
      <c r="I411" s="22"/>
      <c r="J411" s="22"/>
      <c r="K411" s="12">
        <f ca="1"/>
        <v>0</v>
      </c>
    </row>
    <row r="412" spans="1:11" ht="13">
      <c r="A412" s="8" t="str">
        <f t="shared" si="0"/>
        <v>-</v>
      </c>
      <c r="B412" s="16"/>
      <c r="C412" s="17"/>
      <c r="D412" s="22"/>
      <c r="E412" s="22"/>
      <c r="F412" s="23"/>
      <c r="G412" s="22"/>
      <c r="H412" s="22"/>
      <c r="I412" s="22"/>
      <c r="J412" s="22"/>
      <c r="K412" s="12">
        <f ca="1"/>
        <v>0</v>
      </c>
    </row>
    <row r="413" spans="1:11" ht="13">
      <c r="A413" s="8" t="str">
        <f t="shared" si="0"/>
        <v>-</v>
      </c>
      <c r="B413" s="16"/>
      <c r="C413" s="17"/>
      <c r="D413" s="22"/>
      <c r="E413" s="22"/>
      <c r="F413" s="23"/>
      <c r="G413" s="22"/>
      <c r="H413" s="22"/>
      <c r="I413" s="22"/>
      <c r="J413" s="22"/>
      <c r="K413" s="12">
        <f ca="1"/>
        <v>0</v>
      </c>
    </row>
    <row r="414" spans="1:11" ht="13">
      <c r="A414" s="8" t="str">
        <f t="shared" si="0"/>
        <v>-</v>
      </c>
      <c r="B414" s="16"/>
      <c r="C414" s="17"/>
      <c r="D414" s="22"/>
      <c r="E414" s="22"/>
      <c r="F414" s="23"/>
      <c r="G414" s="22"/>
      <c r="H414" s="22"/>
      <c r="I414" s="22"/>
      <c r="J414" s="22"/>
      <c r="K414" s="12">
        <f ca="1"/>
        <v>0</v>
      </c>
    </row>
    <row r="415" spans="1:11" ht="13">
      <c r="A415" s="8" t="str">
        <f t="shared" si="0"/>
        <v>-</v>
      </c>
      <c r="B415" s="16"/>
      <c r="C415" s="17"/>
      <c r="D415" s="22"/>
      <c r="E415" s="22"/>
      <c r="F415" s="23"/>
      <c r="G415" s="22"/>
      <c r="H415" s="22"/>
      <c r="I415" s="22"/>
      <c r="J415" s="22"/>
      <c r="K415" s="12">
        <f ca="1"/>
        <v>0</v>
      </c>
    </row>
    <row r="416" spans="1:11" ht="13">
      <c r="A416" s="8" t="str">
        <f t="shared" si="0"/>
        <v>-</v>
      </c>
      <c r="B416" s="16"/>
      <c r="C416" s="17"/>
      <c r="D416" s="22"/>
      <c r="E416" s="22"/>
      <c r="F416" s="23"/>
      <c r="G416" s="22"/>
      <c r="H416" s="22"/>
      <c r="I416" s="22"/>
      <c r="J416" s="22"/>
      <c r="K416" s="12">
        <f ca="1"/>
        <v>0</v>
      </c>
    </row>
    <row r="417" spans="1:11" ht="13">
      <c r="A417" s="8" t="str">
        <f t="shared" si="0"/>
        <v>-</v>
      </c>
      <c r="B417" s="16"/>
      <c r="C417" s="17"/>
      <c r="D417" s="22"/>
      <c r="E417" s="22"/>
      <c r="F417" s="23"/>
      <c r="G417" s="22"/>
      <c r="H417" s="22"/>
      <c r="I417" s="22"/>
      <c r="J417" s="22"/>
      <c r="K417" s="12">
        <f ca="1"/>
        <v>0</v>
      </c>
    </row>
    <row r="418" spans="1:11" ht="13">
      <c r="A418" s="8" t="str">
        <f t="shared" si="0"/>
        <v>-</v>
      </c>
      <c r="B418" s="16"/>
      <c r="C418" s="17"/>
      <c r="D418" s="22"/>
      <c r="E418" s="22"/>
      <c r="F418" s="23"/>
      <c r="G418" s="22"/>
      <c r="H418" s="22"/>
      <c r="I418" s="22"/>
      <c r="J418" s="22"/>
      <c r="K418" s="12">
        <f ca="1"/>
        <v>0</v>
      </c>
    </row>
    <row r="419" spans="1:11" ht="13">
      <c r="A419" s="8" t="str">
        <f t="shared" si="0"/>
        <v>-</v>
      </c>
      <c r="B419" s="16"/>
      <c r="C419" s="17"/>
      <c r="D419" s="22"/>
      <c r="E419" s="22"/>
      <c r="F419" s="23"/>
      <c r="G419" s="22"/>
      <c r="H419" s="22"/>
      <c r="I419" s="22"/>
      <c r="J419" s="22"/>
      <c r="K419" s="12">
        <f ca="1"/>
        <v>0</v>
      </c>
    </row>
    <row r="420" spans="1:11" ht="13">
      <c r="A420" s="8" t="str">
        <f t="shared" si="0"/>
        <v>-</v>
      </c>
      <c r="B420" s="16"/>
      <c r="C420" s="17"/>
      <c r="D420" s="22"/>
      <c r="E420" s="22"/>
      <c r="F420" s="23"/>
      <c r="G420" s="22"/>
      <c r="H420" s="22"/>
      <c r="I420" s="22"/>
      <c r="J420" s="22"/>
      <c r="K420" s="12">
        <f ca="1"/>
        <v>0</v>
      </c>
    </row>
    <row r="421" spans="1:11" ht="13">
      <c r="A421" s="8" t="str">
        <f t="shared" si="0"/>
        <v>-</v>
      </c>
      <c r="B421" s="16"/>
      <c r="C421" s="17"/>
      <c r="D421" s="22"/>
      <c r="E421" s="22"/>
      <c r="F421" s="23"/>
      <c r="G421" s="22"/>
      <c r="H421" s="22"/>
      <c r="I421" s="22"/>
      <c r="J421" s="22"/>
      <c r="K421" s="12">
        <f ca="1"/>
        <v>0</v>
      </c>
    </row>
    <row r="422" spans="1:11" ht="13">
      <c r="A422" s="8" t="str">
        <f t="shared" si="0"/>
        <v>-</v>
      </c>
      <c r="B422" s="16"/>
      <c r="C422" s="17"/>
      <c r="D422" s="22"/>
      <c r="E422" s="22"/>
      <c r="F422" s="23"/>
      <c r="G422" s="22"/>
      <c r="H422" s="22"/>
      <c r="I422" s="22"/>
      <c r="J422" s="22"/>
      <c r="K422" s="12">
        <f ca="1"/>
        <v>0</v>
      </c>
    </row>
    <row r="423" spans="1:11" ht="13">
      <c r="A423" s="8" t="str">
        <f t="shared" si="0"/>
        <v>-</v>
      </c>
      <c r="B423" s="16"/>
      <c r="C423" s="17"/>
      <c r="D423" s="22"/>
      <c r="E423" s="22"/>
      <c r="F423" s="23"/>
      <c r="G423" s="22"/>
      <c r="H423" s="22"/>
      <c r="I423" s="22"/>
      <c r="J423" s="22"/>
      <c r="K423" s="12">
        <f ca="1"/>
        <v>0</v>
      </c>
    </row>
    <row r="424" spans="1:11" ht="13">
      <c r="A424" s="8" t="str">
        <f t="shared" si="0"/>
        <v>-</v>
      </c>
      <c r="B424" s="16"/>
      <c r="C424" s="17"/>
      <c r="D424" s="22"/>
      <c r="E424" s="22"/>
      <c r="F424" s="23"/>
      <c r="G424" s="22"/>
      <c r="H424" s="22"/>
      <c r="I424" s="22"/>
      <c r="J424" s="22"/>
      <c r="K424" s="12">
        <f ca="1"/>
        <v>0</v>
      </c>
    </row>
    <row r="425" spans="1:11" ht="13">
      <c r="A425" s="8" t="str">
        <f t="shared" si="0"/>
        <v>-</v>
      </c>
      <c r="B425" s="16"/>
      <c r="C425" s="17"/>
      <c r="D425" s="22"/>
      <c r="E425" s="22"/>
      <c r="F425" s="23"/>
      <c r="G425" s="22"/>
      <c r="H425" s="22"/>
      <c r="I425" s="22"/>
      <c r="J425" s="22"/>
      <c r="K425" s="12">
        <f ca="1"/>
        <v>0</v>
      </c>
    </row>
    <row r="426" spans="1:11" ht="13">
      <c r="A426" s="8" t="str">
        <f t="shared" si="0"/>
        <v>-</v>
      </c>
      <c r="B426" s="16"/>
      <c r="C426" s="17"/>
      <c r="D426" s="22"/>
      <c r="E426" s="22"/>
      <c r="F426" s="23"/>
      <c r="G426" s="22"/>
      <c r="H426" s="22"/>
      <c r="I426" s="22"/>
      <c r="J426" s="22"/>
      <c r="K426" s="12">
        <f ca="1"/>
        <v>0</v>
      </c>
    </row>
    <row r="427" spans="1:11" ht="13">
      <c r="A427" s="8" t="str">
        <f t="shared" si="0"/>
        <v>-</v>
      </c>
      <c r="B427" s="16"/>
      <c r="C427" s="17"/>
      <c r="D427" s="22"/>
      <c r="E427" s="22"/>
      <c r="F427" s="23"/>
      <c r="G427" s="22"/>
      <c r="H427" s="22"/>
      <c r="I427" s="22"/>
      <c r="J427" s="22"/>
      <c r="K427" s="12">
        <f ca="1"/>
        <v>0</v>
      </c>
    </row>
    <row r="428" spans="1:11" ht="13">
      <c r="A428" s="8" t="str">
        <f t="shared" si="0"/>
        <v>-</v>
      </c>
      <c r="B428" s="16"/>
      <c r="C428" s="17"/>
      <c r="D428" s="22"/>
      <c r="E428" s="22"/>
      <c r="F428" s="23"/>
      <c r="G428" s="22"/>
      <c r="H428" s="22"/>
      <c r="I428" s="22"/>
      <c r="J428" s="22"/>
      <c r="K428" s="12">
        <f ca="1"/>
        <v>0</v>
      </c>
    </row>
    <row r="429" spans="1:11" ht="13">
      <c r="A429" s="8" t="str">
        <f t="shared" si="0"/>
        <v>-</v>
      </c>
      <c r="B429" s="16"/>
      <c r="C429" s="17"/>
      <c r="D429" s="22"/>
      <c r="E429" s="22"/>
      <c r="F429" s="23"/>
      <c r="G429" s="22"/>
      <c r="H429" s="22"/>
      <c r="I429" s="22"/>
      <c r="J429" s="22"/>
      <c r="K429" s="12">
        <f ca="1"/>
        <v>0</v>
      </c>
    </row>
    <row r="430" spans="1:11" ht="13">
      <c r="A430" s="8" t="str">
        <f t="shared" si="0"/>
        <v>-</v>
      </c>
      <c r="B430" s="16"/>
      <c r="C430" s="17"/>
      <c r="D430" s="22"/>
      <c r="E430" s="22"/>
      <c r="F430" s="23"/>
      <c r="G430" s="22"/>
      <c r="H430" s="22"/>
      <c r="I430" s="22"/>
      <c r="J430" s="22"/>
      <c r="K430" s="12">
        <f ca="1"/>
        <v>0</v>
      </c>
    </row>
    <row r="431" spans="1:11" ht="13">
      <c r="A431" s="8" t="str">
        <f t="shared" si="0"/>
        <v>-</v>
      </c>
      <c r="B431" s="16"/>
      <c r="C431" s="17"/>
      <c r="D431" s="22"/>
      <c r="E431" s="22"/>
      <c r="F431" s="23"/>
      <c r="G431" s="22"/>
      <c r="H431" s="22"/>
      <c r="I431" s="22"/>
      <c r="J431" s="22"/>
      <c r="K431" s="12">
        <f ca="1"/>
        <v>0</v>
      </c>
    </row>
    <row r="432" spans="1:11" ht="13">
      <c r="A432" s="8" t="str">
        <f t="shared" si="0"/>
        <v>-</v>
      </c>
      <c r="B432" s="16"/>
      <c r="C432" s="17"/>
      <c r="D432" s="22"/>
      <c r="E432" s="22"/>
      <c r="F432" s="23"/>
      <c r="G432" s="22"/>
      <c r="H432" s="22"/>
      <c r="I432" s="22"/>
      <c r="J432" s="22"/>
      <c r="K432" s="12">
        <f ca="1"/>
        <v>0</v>
      </c>
    </row>
    <row r="433" spans="1:11" ht="13">
      <c r="A433" s="8" t="str">
        <f t="shared" si="0"/>
        <v>-</v>
      </c>
      <c r="B433" s="16"/>
      <c r="C433" s="17"/>
      <c r="D433" s="22"/>
      <c r="E433" s="22"/>
      <c r="F433" s="23"/>
      <c r="G433" s="22"/>
      <c r="H433" s="22"/>
      <c r="I433" s="22"/>
      <c r="J433" s="22"/>
      <c r="K433" s="12">
        <f ca="1"/>
        <v>0</v>
      </c>
    </row>
    <row r="434" spans="1:11" ht="13">
      <c r="A434" s="8" t="str">
        <f t="shared" si="0"/>
        <v>-</v>
      </c>
      <c r="B434" s="16"/>
      <c r="C434" s="17"/>
      <c r="D434" s="22"/>
      <c r="E434" s="22"/>
      <c r="F434" s="23"/>
      <c r="G434" s="22"/>
      <c r="H434" s="22"/>
      <c r="I434" s="22"/>
      <c r="J434" s="22"/>
      <c r="K434" s="12">
        <f ca="1"/>
        <v>0</v>
      </c>
    </row>
    <row r="435" spans="1:11" ht="13">
      <c r="A435" s="8" t="str">
        <f t="shared" si="0"/>
        <v>-</v>
      </c>
      <c r="B435" s="16"/>
      <c r="C435" s="17"/>
      <c r="D435" s="22"/>
      <c r="E435" s="22"/>
      <c r="F435" s="23"/>
      <c r="G435" s="22"/>
      <c r="H435" s="22"/>
      <c r="I435" s="22"/>
      <c r="J435" s="22"/>
      <c r="K435" s="12">
        <f ca="1"/>
        <v>0</v>
      </c>
    </row>
    <row r="436" spans="1:11" ht="13">
      <c r="A436" s="8" t="str">
        <f t="shared" si="0"/>
        <v>-</v>
      </c>
      <c r="B436" s="16"/>
      <c r="C436" s="17"/>
      <c r="D436" s="22"/>
      <c r="E436" s="22"/>
      <c r="F436" s="23"/>
      <c r="G436" s="22"/>
      <c r="H436" s="22"/>
      <c r="I436" s="22"/>
      <c r="J436" s="22"/>
      <c r="K436" s="12">
        <f ca="1"/>
        <v>0</v>
      </c>
    </row>
    <row r="437" spans="1:11" ht="13">
      <c r="A437" s="8" t="str">
        <f t="shared" si="0"/>
        <v>-</v>
      </c>
      <c r="B437" s="16"/>
      <c r="C437" s="17"/>
      <c r="D437" s="22"/>
      <c r="E437" s="22"/>
      <c r="F437" s="23"/>
      <c r="G437" s="22"/>
      <c r="H437" s="22"/>
      <c r="I437" s="22"/>
      <c r="J437" s="22"/>
      <c r="K437" s="12">
        <f ca="1"/>
        <v>0</v>
      </c>
    </row>
    <row r="438" spans="1:11" ht="13">
      <c r="A438" s="8" t="str">
        <f t="shared" si="0"/>
        <v>-</v>
      </c>
      <c r="B438" s="16"/>
      <c r="C438" s="17"/>
      <c r="D438" s="22"/>
      <c r="E438" s="22"/>
      <c r="F438" s="23"/>
      <c r="G438" s="22"/>
      <c r="H438" s="22"/>
      <c r="I438" s="22"/>
      <c r="J438" s="22"/>
      <c r="K438" s="12">
        <f ca="1"/>
        <v>0</v>
      </c>
    </row>
    <row r="439" spans="1:11" ht="13">
      <c r="A439" s="8" t="str">
        <f t="shared" si="0"/>
        <v>-</v>
      </c>
      <c r="B439" s="16"/>
      <c r="C439" s="17"/>
      <c r="D439" s="22"/>
      <c r="E439" s="22"/>
      <c r="F439" s="23"/>
      <c r="G439" s="22"/>
      <c r="H439" s="22"/>
      <c r="I439" s="22"/>
      <c r="J439" s="22"/>
      <c r="K439" s="12">
        <f ca="1"/>
        <v>0</v>
      </c>
    </row>
    <row r="440" spans="1:11" ht="13">
      <c r="A440" s="8" t="str">
        <f t="shared" si="0"/>
        <v>-</v>
      </c>
      <c r="B440" s="16"/>
      <c r="C440" s="17"/>
      <c r="D440" s="22"/>
      <c r="E440" s="22"/>
      <c r="F440" s="23"/>
      <c r="G440" s="22"/>
      <c r="H440" s="22"/>
      <c r="I440" s="22"/>
      <c r="J440" s="22"/>
      <c r="K440" s="12">
        <f ca="1"/>
        <v>0</v>
      </c>
    </row>
    <row r="441" spans="1:11" ht="13">
      <c r="A441" s="8" t="str">
        <f t="shared" si="0"/>
        <v>-</v>
      </c>
      <c r="B441" s="16"/>
      <c r="C441" s="17"/>
      <c r="D441" s="22"/>
      <c r="E441" s="22"/>
      <c r="F441" s="23"/>
      <c r="G441" s="22"/>
      <c r="H441" s="22"/>
      <c r="I441" s="22"/>
      <c r="J441" s="22"/>
      <c r="K441" s="12">
        <f ca="1"/>
        <v>0</v>
      </c>
    </row>
    <row r="442" spans="1:11" ht="13">
      <c r="A442" s="8" t="str">
        <f t="shared" si="0"/>
        <v>-</v>
      </c>
      <c r="B442" s="16"/>
      <c r="C442" s="17"/>
      <c r="D442" s="22"/>
      <c r="E442" s="22"/>
      <c r="F442" s="23"/>
      <c r="G442" s="22"/>
      <c r="H442" s="22"/>
      <c r="I442" s="22"/>
      <c r="J442" s="22"/>
      <c r="K442" s="12">
        <f ca="1"/>
        <v>0</v>
      </c>
    </row>
    <row r="443" spans="1:11" ht="13">
      <c r="A443" s="8" t="str">
        <f t="shared" si="0"/>
        <v>-</v>
      </c>
      <c r="B443" s="16"/>
      <c r="C443" s="17"/>
      <c r="D443" s="22"/>
      <c r="E443" s="22"/>
      <c r="F443" s="23"/>
      <c r="G443" s="22"/>
      <c r="H443" s="22"/>
      <c r="I443" s="22"/>
      <c r="J443" s="22"/>
      <c r="K443" s="12">
        <f ca="1"/>
        <v>0</v>
      </c>
    </row>
    <row r="444" spans="1:11" ht="13">
      <c r="A444" s="8" t="str">
        <f t="shared" si="0"/>
        <v>-</v>
      </c>
      <c r="B444" s="16"/>
      <c r="C444" s="17"/>
      <c r="D444" s="22"/>
      <c r="E444" s="22"/>
      <c r="F444" s="23"/>
      <c r="G444" s="22"/>
      <c r="H444" s="22"/>
      <c r="I444" s="22"/>
      <c r="J444" s="22"/>
      <c r="K444" s="12">
        <f ca="1"/>
        <v>0</v>
      </c>
    </row>
    <row r="445" spans="1:11" ht="13">
      <c r="A445" s="8" t="str">
        <f t="shared" si="0"/>
        <v>-</v>
      </c>
      <c r="B445" s="16"/>
      <c r="C445" s="17"/>
      <c r="D445" s="22"/>
      <c r="E445" s="22"/>
      <c r="F445" s="23"/>
      <c r="G445" s="22"/>
      <c r="H445" s="22"/>
      <c r="I445" s="22"/>
      <c r="J445" s="22"/>
      <c r="K445" s="12">
        <f ca="1"/>
        <v>0</v>
      </c>
    </row>
    <row r="446" spans="1:11" ht="13">
      <c r="A446" s="8" t="str">
        <f t="shared" si="0"/>
        <v>-</v>
      </c>
      <c r="B446" s="16"/>
      <c r="C446" s="17"/>
      <c r="D446" s="22"/>
      <c r="E446" s="22"/>
      <c r="F446" s="23"/>
      <c r="G446" s="22"/>
      <c r="H446" s="22"/>
      <c r="I446" s="22"/>
      <c r="J446" s="22"/>
      <c r="K446" s="12">
        <f ca="1"/>
        <v>0</v>
      </c>
    </row>
    <row r="447" spans="1:11" ht="13">
      <c r="A447" s="8" t="str">
        <f t="shared" si="0"/>
        <v>-</v>
      </c>
      <c r="B447" s="16"/>
      <c r="C447" s="17"/>
      <c r="D447" s="22"/>
      <c r="E447" s="22"/>
      <c r="F447" s="23"/>
      <c r="G447" s="22"/>
      <c r="H447" s="22"/>
      <c r="I447" s="22"/>
      <c r="J447" s="22"/>
      <c r="K447" s="12">
        <f ca="1"/>
        <v>0</v>
      </c>
    </row>
    <row r="448" spans="1:11" ht="13">
      <c r="A448" s="8" t="str">
        <f t="shared" si="0"/>
        <v>-</v>
      </c>
      <c r="B448" s="16"/>
      <c r="C448" s="17"/>
      <c r="D448" s="22"/>
      <c r="E448" s="22"/>
      <c r="F448" s="23"/>
      <c r="G448" s="22"/>
      <c r="H448" s="22"/>
      <c r="I448" s="22"/>
      <c r="J448" s="22"/>
      <c r="K448" s="12">
        <f ca="1"/>
        <v>0</v>
      </c>
    </row>
    <row r="449" spans="1:11" ht="13">
      <c r="A449" s="8" t="str">
        <f t="shared" si="0"/>
        <v>-</v>
      </c>
      <c r="B449" s="16"/>
      <c r="C449" s="17"/>
      <c r="D449" s="22"/>
      <c r="E449" s="22"/>
      <c r="F449" s="23"/>
      <c r="G449" s="22"/>
      <c r="H449" s="22"/>
      <c r="I449" s="22"/>
      <c r="J449" s="22"/>
      <c r="K449" s="12">
        <f ca="1"/>
        <v>0</v>
      </c>
    </row>
    <row r="450" spans="1:11" ht="13">
      <c r="A450" s="8" t="str">
        <f t="shared" si="0"/>
        <v>-</v>
      </c>
      <c r="B450" s="16"/>
      <c r="C450" s="17"/>
      <c r="D450" s="22"/>
      <c r="E450" s="22"/>
      <c r="F450" s="23"/>
      <c r="G450" s="22"/>
      <c r="H450" s="22"/>
      <c r="I450" s="22"/>
      <c r="J450" s="22"/>
      <c r="K450" s="12">
        <f ca="1"/>
        <v>0</v>
      </c>
    </row>
    <row r="451" spans="1:11" ht="13">
      <c r="A451" s="8" t="str">
        <f t="shared" si="0"/>
        <v>-</v>
      </c>
      <c r="B451" s="16"/>
      <c r="C451" s="17"/>
      <c r="D451" s="22"/>
      <c r="E451" s="22"/>
      <c r="F451" s="23"/>
      <c r="G451" s="22"/>
      <c r="H451" s="22"/>
      <c r="I451" s="22"/>
      <c r="J451" s="22"/>
      <c r="K451" s="12">
        <f ca="1"/>
        <v>0</v>
      </c>
    </row>
    <row r="452" spans="1:11" ht="13">
      <c r="A452" s="8" t="str">
        <f t="shared" si="0"/>
        <v>-</v>
      </c>
      <c r="B452" s="16"/>
      <c r="C452" s="17"/>
      <c r="D452" s="22"/>
      <c r="E452" s="22"/>
      <c r="F452" s="23"/>
      <c r="G452" s="22"/>
      <c r="H452" s="22"/>
      <c r="I452" s="22"/>
      <c r="J452" s="22"/>
      <c r="K452" s="12">
        <f ca="1"/>
        <v>0</v>
      </c>
    </row>
    <row r="453" spans="1:11" ht="13">
      <c r="A453" s="8" t="str">
        <f t="shared" si="0"/>
        <v>-</v>
      </c>
      <c r="B453" s="16"/>
      <c r="C453" s="17"/>
      <c r="D453" s="22"/>
      <c r="E453" s="22"/>
      <c r="F453" s="23"/>
      <c r="G453" s="22"/>
      <c r="H453" s="22"/>
      <c r="I453" s="22"/>
      <c r="J453" s="22"/>
      <c r="K453" s="12">
        <f ca="1"/>
        <v>0</v>
      </c>
    </row>
    <row r="454" spans="1:11" ht="13">
      <c r="A454" s="8" t="str">
        <f t="shared" si="0"/>
        <v>-</v>
      </c>
      <c r="B454" s="16"/>
      <c r="C454" s="17"/>
      <c r="D454" s="22"/>
      <c r="E454" s="22"/>
      <c r="F454" s="23"/>
      <c r="G454" s="22"/>
      <c r="H454" s="22"/>
      <c r="I454" s="22"/>
      <c r="J454" s="22"/>
      <c r="K454" s="12">
        <f ca="1"/>
        <v>0</v>
      </c>
    </row>
    <row r="455" spans="1:11" ht="13">
      <c r="A455" s="8" t="str">
        <f t="shared" si="0"/>
        <v>-</v>
      </c>
      <c r="B455" s="16"/>
      <c r="C455" s="17"/>
      <c r="D455" s="22"/>
      <c r="E455" s="22"/>
      <c r="F455" s="23"/>
      <c r="G455" s="22"/>
      <c r="H455" s="22"/>
      <c r="I455" s="22"/>
      <c r="J455" s="22"/>
      <c r="K455" s="12">
        <f ca="1"/>
        <v>0</v>
      </c>
    </row>
    <row r="456" spans="1:11" ht="13">
      <c r="A456" s="8" t="str">
        <f t="shared" si="0"/>
        <v>-</v>
      </c>
      <c r="B456" s="16"/>
      <c r="C456" s="17"/>
      <c r="D456" s="22"/>
      <c r="E456" s="22"/>
      <c r="F456" s="23"/>
      <c r="G456" s="22"/>
      <c r="H456" s="22"/>
      <c r="I456" s="22"/>
      <c r="J456" s="22"/>
      <c r="K456" s="12">
        <f ca="1"/>
        <v>0</v>
      </c>
    </row>
    <row r="457" spans="1:11" ht="13">
      <c r="A457" s="8" t="str">
        <f t="shared" si="0"/>
        <v>-</v>
      </c>
      <c r="B457" s="16"/>
      <c r="C457" s="17"/>
      <c r="D457" s="22"/>
      <c r="E457" s="22"/>
      <c r="F457" s="23"/>
      <c r="G457" s="22"/>
      <c r="H457" s="22"/>
      <c r="I457" s="22"/>
      <c r="J457" s="22"/>
      <c r="K457" s="12">
        <f ca="1"/>
        <v>0</v>
      </c>
    </row>
    <row r="458" spans="1:11" ht="13">
      <c r="A458" s="8" t="str">
        <f t="shared" si="0"/>
        <v>-</v>
      </c>
      <c r="B458" s="16"/>
      <c r="C458" s="17"/>
      <c r="D458" s="22"/>
      <c r="E458" s="22"/>
      <c r="F458" s="23"/>
      <c r="G458" s="22"/>
      <c r="H458" s="22"/>
      <c r="I458" s="22"/>
      <c r="J458" s="22"/>
      <c r="K458" s="12">
        <f ca="1"/>
        <v>0</v>
      </c>
    </row>
    <row r="459" spans="1:11" ht="13">
      <c r="A459" s="8" t="str">
        <f t="shared" si="0"/>
        <v>-</v>
      </c>
      <c r="B459" s="16"/>
      <c r="C459" s="17"/>
      <c r="D459" s="22"/>
      <c r="E459" s="22"/>
      <c r="F459" s="23"/>
      <c r="G459" s="22"/>
      <c r="H459" s="22"/>
      <c r="I459" s="22"/>
      <c r="J459" s="22"/>
      <c r="K459" s="12">
        <f ca="1"/>
        <v>0</v>
      </c>
    </row>
    <row r="460" spans="1:11" ht="13">
      <c r="A460" s="8" t="str">
        <f t="shared" si="0"/>
        <v>-</v>
      </c>
      <c r="B460" s="16"/>
      <c r="C460" s="17"/>
      <c r="D460" s="22"/>
      <c r="E460" s="22"/>
      <c r="F460" s="23"/>
      <c r="G460" s="22"/>
      <c r="H460" s="22"/>
      <c r="I460" s="22"/>
      <c r="J460" s="22"/>
      <c r="K460" s="12">
        <f ca="1"/>
        <v>0</v>
      </c>
    </row>
    <row r="461" spans="1:11" ht="13">
      <c r="A461" s="8" t="str">
        <f t="shared" si="0"/>
        <v>-</v>
      </c>
      <c r="B461" s="16"/>
      <c r="C461" s="17"/>
      <c r="D461" s="22"/>
      <c r="E461" s="22"/>
      <c r="F461" s="23"/>
      <c r="G461" s="22"/>
      <c r="H461" s="22"/>
      <c r="I461" s="22"/>
      <c r="J461" s="22"/>
      <c r="K461" s="12">
        <f ca="1"/>
        <v>0</v>
      </c>
    </row>
    <row r="462" spans="1:11" ht="13">
      <c r="A462" s="8" t="str">
        <f t="shared" si="0"/>
        <v>-</v>
      </c>
      <c r="B462" s="16"/>
      <c r="C462" s="17"/>
      <c r="D462" s="22"/>
      <c r="E462" s="22"/>
      <c r="F462" s="23"/>
      <c r="G462" s="22"/>
      <c r="H462" s="22"/>
      <c r="I462" s="22"/>
      <c r="J462" s="22"/>
      <c r="K462" s="12">
        <f ca="1"/>
        <v>0</v>
      </c>
    </row>
    <row r="463" spans="1:11" ht="13">
      <c r="A463" s="8" t="str">
        <f t="shared" si="0"/>
        <v>-</v>
      </c>
      <c r="B463" s="16"/>
      <c r="C463" s="17"/>
      <c r="D463" s="22"/>
      <c r="E463" s="22"/>
      <c r="F463" s="23"/>
      <c r="G463" s="22"/>
      <c r="H463" s="22"/>
      <c r="I463" s="22"/>
      <c r="J463" s="22"/>
      <c r="K463" s="12">
        <f ca="1"/>
        <v>0</v>
      </c>
    </row>
    <row r="464" spans="1:11" ht="13">
      <c r="A464" s="8" t="str">
        <f t="shared" si="0"/>
        <v>-</v>
      </c>
      <c r="B464" s="16"/>
      <c r="C464" s="17"/>
      <c r="D464" s="22"/>
      <c r="E464" s="22"/>
      <c r="F464" s="23"/>
      <c r="G464" s="22"/>
      <c r="H464" s="22"/>
      <c r="I464" s="22"/>
      <c r="J464" s="22"/>
      <c r="K464" s="12">
        <f ca="1"/>
        <v>0</v>
      </c>
    </row>
    <row r="465" spans="1:11" ht="13">
      <c r="A465" s="8" t="str">
        <f t="shared" si="0"/>
        <v>-</v>
      </c>
      <c r="B465" s="16"/>
      <c r="C465" s="17"/>
      <c r="D465" s="22"/>
      <c r="E465" s="22"/>
      <c r="F465" s="23"/>
      <c r="G465" s="22"/>
      <c r="H465" s="22"/>
      <c r="I465" s="22"/>
      <c r="J465" s="22"/>
      <c r="K465" s="12">
        <f ca="1"/>
        <v>0</v>
      </c>
    </row>
    <row r="466" spans="1:11" ht="13">
      <c r="A466" s="8" t="str">
        <f t="shared" si="0"/>
        <v>-</v>
      </c>
      <c r="B466" s="16"/>
      <c r="C466" s="17"/>
      <c r="D466" s="22"/>
      <c r="E466" s="22"/>
      <c r="F466" s="23"/>
      <c r="G466" s="22"/>
      <c r="H466" s="22"/>
      <c r="I466" s="22"/>
      <c r="J466" s="22"/>
      <c r="K466" s="12">
        <f ca="1"/>
        <v>0</v>
      </c>
    </row>
    <row r="467" spans="1:11" ht="13">
      <c r="A467" s="8" t="str">
        <f t="shared" si="0"/>
        <v>-</v>
      </c>
      <c r="B467" s="16"/>
      <c r="C467" s="17"/>
      <c r="D467" s="22"/>
      <c r="E467" s="22"/>
      <c r="F467" s="23"/>
      <c r="G467" s="22"/>
      <c r="H467" s="22"/>
      <c r="I467" s="22"/>
      <c r="J467" s="22"/>
      <c r="K467" s="12">
        <f ca="1"/>
        <v>0</v>
      </c>
    </row>
    <row r="468" spans="1:11" ht="13">
      <c r="A468" s="8" t="str">
        <f t="shared" si="0"/>
        <v>-</v>
      </c>
      <c r="B468" s="16"/>
      <c r="C468" s="17"/>
      <c r="D468" s="22"/>
      <c r="E468" s="22"/>
      <c r="F468" s="23"/>
      <c r="G468" s="22"/>
      <c r="H468" s="22"/>
      <c r="I468" s="22"/>
      <c r="J468" s="22"/>
      <c r="K468" s="12">
        <f ca="1"/>
        <v>0</v>
      </c>
    </row>
    <row r="469" spans="1:11" ht="13">
      <c r="A469" s="8" t="str">
        <f t="shared" si="0"/>
        <v>-</v>
      </c>
      <c r="B469" s="16"/>
      <c r="C469" s="17"/>
      <c r="D469" s="22"/>
      <c r="E469" s="22"/>
      <c r="F469" s="23"/>
      <c r="G469" s="22"/>
      <c r="H469" s="22"/>
      <c r="I469" s="22"/>
      <c r="J469" s="22"/>
      <c r="K469" s="12">
        <f ca="1"/>
        <v>0</v>
      </c>
    </row>
    <row r="470" spans="1:11" ht="13">
      <c r="A470" s="8" t="str">
        <f t="shared" si="0"/>
        <v>-</v>
      </c>
      <c r="B470" s="16"/>
      <c r="C470" s="17"/>
      <c r="D470" s="22"/>
      <c r="E470" s="22"/>
      <c r="F470" s="23"/>
      <c r="G470" s="22"/>
      <c r="H470" s="22"/>
      <c r="I470" s="22"/>
      <c r="J470" s="22"/>
      <c r="K470" s="12">
        <f ca="1"/>
        <v>0</v>
      </c>
    </row>
    <row r="471" spans="1:11" ht="13">
      <c r="A471" s="8" t="str">
        <f t="shared" si="0"/>
        <v>-</v>
      </c>
      <c r="B471" s="16"/>
      <c r="C471" s="17"/>
      <c r="D471" s="22"/>
      <c r="E471" s="22"/>
      <c r="F471" s="23"/>
      <c r="G471" s="22"/>
      <c r="H471" s="22"/>
      <c r="I471" s="22"/>
      <c r="J471" s="22"/>
      <c r="K471" s="12">
        <f ca="1"/>
        <v>0</v>
      </c>
    </row>
    <row r="472" spans="1:11" ht="13">
      <c r="A472" s="8" t="str">
        <f t="shared" si="0"/>
        <v>-</v>
      </c>
      <c r="B472" s="16"/>
      <c r="C472" s="17"/>
      <c r="D472" s="22"/>
      <c r="E472" s="22"/>
      <c r="F472" s="23"/>
      <c r="G472" s="22"/>
      <c r="H472" s="22"/>
      <c r="I472" s="22"/>
      <c r="J472" s="22"/>
      <c r="K472" s="12">
        <f ca="1"/>
        <v>0</v>
      </c>
    </row>
    <row r="473" spans="1:11" ht="13">
      <c r="A473" s="8" t="str">
        <f t="shared" si="0"/>
        <v>-</v>
      </c>
      <c r="B473" s="16"/>
      <c r="C473" s="17"/>
      <c r="D473" s="22"/>
      <c r="E473" s="22"/>
      <c r="F473" s="23"/>
      <c r="G473" s="22"/>
      <c r="H473" s="22"/>
      <c r="I473" s="22"/>
      <c r="J473" s="22"/>
      <c r="K473" s="12">
        <f ca="1"/>
        <v>0</v>
      </c>
    </row>
    <row r="474" spans="1:11" ht="13">
      <c r="A474" s="8" t="str">
        <f t="shared" si="0"/>
        <v>-</v>
      </c>
      <c r="B474" s="16"/>
      <c r="C474" s="17"/>
      <c r="D474" s="22"/>
      <c r="E474" s="22"/>
      <c r="F474" s="23"/>
      <c r="G474" s="22"/>
      <c r="H474" s="22"/>
      <c r="I474" s="22"/>
      <c r="J474" s="22"/>
      <c r="K474" s="12">
        <f ca="1"/>
        <v>0</v>
      </c>
    </row>
    <row r="475" spans="1:11" ht="13">
      <c r="A475" s="8" t="str">
        <f t="shared" si="0"/>
        <v>-</v>
      </c>
      <c r="B475" s="16"/>
      <c r="C475" s="17"/>
      <c r="D475" s="22"/>
      <c r="E475" s="22"/>
      <c r="F475" s="23"/>
      <c r="G475" s="22"/>
      <c r="H475" s="22"/>
      <c r="I475" s="22"/>
      <c r="J475" s="22"/>
      <c r="K475" s="12">
        <f ca="1"/>
        <v>0</v>
      </c>
    </row>
    <row r="476" spans="1:11" ht="13">
      <c r="A476" s="8" t="str">
        <f t="shared" si="0"/>
        <v>-</v>
      </c>
      <c r="B476" s="16"/>
      <c r="C476" s="17"/>
      <c r="D476" s="22"/>
      <c r="E476" s="22"/>
      <c r="F476" s="23"/>
      <c r="G476" s="22"/>
      <c r="H476" s="22"/>
      <c r="I476" s="22"/>
      <c r="J476" s="22"/>
      <c r="K476" s="12">
        <f ca="1"/>
        <v>0</v>
      </c>
    </row>
    <row r="477" spans="1:11" ht="13">
      <c r="A477" s="8" t="str">
        <f t="shared" si="0"/>
        <v>-</v>
      </c>
      <c r="B477" s="16"/>
      <c r="C477" s="17"/>
      <c r="D477" s="22"/>
      <c r="E477" s="22"/>
      <c r="F477" s="23"/>
      <c r="G477" s="22"/>
      <c r="H477" s="22"/>
      <c r="I477" s="22"/>
      <c r="J477" s="22"/>
      <c r="K477" s="12">
        <f ca="1"/>
        <v>0</v>
      </c>
    </row>
    <row r="478" spans="1:11" ht="13">
      <c r="A478" s="8" t="str">
        <f t="shared" si="0"/>
        <v>-</v>
      </c>
      <c r="B478" s="16"/>
      <c r="C478" s="17"/>
      <c r="D478" s="22"/>
      <c r="E478" s="22"/>
      <c r="F478" s="23"/>
      <c r="G478" s="22"/>
      <c r="H478" s="22"/>
      <c r="I478" s="22"/>
      <c r="J478" s="22"/>
      <c r="K478" s="12">
        <f ca="1"/>
        <v>0</v>
      </c>
    </row>
    <row r="479" spans="1:11" ht="13">
      <c r="A479" s="8" t="str">
        <f t="shared" si="0"/>
        <v>-</v>
      </c>
      <c r="B479" s="16"/>
      <c r="C479" s="17"/>
      <c r="D479" s="22"/>
      <c r="E479" s="22"/>
      <c r="F479" s="23"/>
      <c r="G479" s="22"/>
      <c r="H479" s="22"/>
      <c r="I479" s="22"/>
      <c r="J479" s="22"/>
      <c r="K479" s="12">
        <f ca="1"/>
        <v>0</v>
      </c>
    </row>
    <row r="480" spans="1:11" ht="13">
      <c r="A480" s="8" t="str">
        <f t="shared" si="0"/>
        <v>-</v>
      </c>
      <c r="B480" s="16"/>
      <c r="C480" s="17"/>
      <c r="D480" s="22"/>
      <c r="E480" s="22"/>
      <c r="F480" s="23"/>
      <c r="G480" s="22"/>
      <c r="H480" s="22"/>
      <c r="I480" s="22"/>
      <c r="J480" s="22"/>
      <c r="K480" s="12">
        <f ca="1"/>
        <v>0</v>
      </c>
    </row>
    <row r="481" spans="1:11" ht="13">
      <c r="A481" s="8" t="str">
        <f t="shared" si="0"/>
        <v>-</v>
      </c>
      <c r="B481" s="16"/>
      <c r="C481" s="17"/>
      <c r="D481" s="22"/>
      <c r="E481" s="22"/>
      <c r="F481" s="23"/>
      <c r="G481" s="22"/>
      <c r="H481" s="22"/>
      <c r="I481" s="22"/>
      <c r="J481" s="22"/>
      <c r="K481" s="12">
        <f ca="1"/>
        <v>0</v>
      </c>
    </row>
    <row r="482" spans="1:11" ht="13">
      <c r="A482" s="8" t="str">
        <f t="shared" si="0"/>
        <v>-</v>
      </c>
      <c r="B482" s="16"/>
      <c r="C482" s="17"/>
      <c r="D482" s="22"/>
      <c r="E482" s="22"/>
      <c r="F482" s="23"/>
      <c r="G482" s="22"/>
      <c r="H482" s="22"/>
      <c r="I482" s="22"/>
      <c r="J482" s="22"/>
      <c r="K482" s="12">
        <f ca="1"/>
        <v>0</v>
      </c>
    </row>
    <row r="483" spans="1:11" ht="13">
      <c r="A483" s="8" t="str">
        <f t="shared" si="0"/>
        <v>-</v>
      </c>
      <c r="B483" s="16"/>
      <c r="C483" s="17"/>
      <c r="D483" s="22"/>
      <c r="E483" s="22"/>
      <c r="F483" s="23"/>
      <c r="G483" s="22"/>
      <c r="H483" s="22"/>
      <c r="I483" s="22"/>
      <c r="J483" s="22"/>
      <c r="K483" s="12">
        <f ca="1"/>
        <v>0</v>
      </c>
    </row>
    <row r="484" spans="1:11" ht="13">
      <c r="A484" s="8" t="str">
        <f t="shared" si="0"/>
        <v>-</v>
      </c>
      <c r="B484" s="16"/>
      <c r="C484" s="17"/>
      <c r="D484" s="22"/>
      <c r="E484" s="22"/>
      <c r="F484" s="23"/>
      <c r="G484" s="22"/>
      <c r="H484" s="22"/>
      <c r="I484" s="22"/>
      <c r="J484" s="22"/>
      <c r="K484" s="12">
        <f ca="1"/>
        <v>0</v>
      </c>
    </row>
    <row r="485" spans="1:11" ht="13">
      <c r="A485" s="8" t="str">
        <f t="shared" si="0"/>
        <v>-</v>
      </c>
      <c r="B485" s="16"/>
      <c r="C485" s="17"/>
      <c r="D485" s="22"/>
      <c r="E485" s="22"/>
      <c r="F485" s="23"/>
      <c r="G485" s="22"/>
      <c r="H485" s="22"/>
      <c r="I485" s="22"/>
      <c r="J485" s="22"/>
      <c r="K485" s="12">
        <f ca="1"/>
        <v>0</v>
      </c>
    </row>
    <row r="486" spans="1:11" ht="13">
      <c r="A486" s="8" t="str">
        <f t="shared" si="0"/>
        <v>-</v>
      </c>
      <c r="B486" s="16"/>
      <c r="C486" s="17"/>
      <c r="D486" s="22"/>
      <c r="E486" s="22"/>
      <c r="F486" s="23"/>
      <c r="G486" s="22"/>
      <c r="H486" s="22"/>
      <c r="I486" s="22"/>
      <c r="J486" s="22"/>
      <c r="K486" s="12">
        <f ca="1"/>
        <v>0</v>
      </c>
    </row>
    <row r="487" spans="1:11" ht="13">
      <c r="A487" s="8" t="str">
        <f t="shared" si="0"/>
        <v>-</v>
      </c>
      <c r="B487" s="16"/>
      <c r="C487" s="17"/>
      <c r="D487" s="22"/>
      <c r="E487" s="22"/>
      <c r="F487" s="23"/>
      <c r="G487" s="22"/>
      <c r="H487" s="22"/>
      <c r="I487" s="22"/>
      <c r="J487" s="22"/>
      <c r="K487" s="12">
        <f ca="1"/>
        <v>0</v>
      </c>
    </row>
    <row r="488" spans="1:11" ht="13">
      <c r="A488" s="8" t="str">
        <f t="shared" si="0"/>
        <v>-</v>
      </c>
      <c r="B488" s="16"/>
      <c r="C488" s="17"/>
      <c r="D488" s="22"/>
      <c r="E488" s="22"/>
      <c r="F488" s="23"/>
      <c r="G488" s="22"/>
      <c r="H488" s="22"/>
      <c r="I488" s="22"/>
      <c r="J488" s="22"/>
      <c r="K488" s="12">
        <f ca="1"/>
        <v>0</v>
      </c>
    </row>
    <row r="489" spans="1:11" ht="13">
      <c r="A489" s="8" t="str">
        <f t="shared" si="0"/>
        <v>-</v>
      </c>
      <c r="B489" s="16"/>
      <c r="C489" s="17"/>
      <c r="D489" s="22"/>
      <c r="E489" s="22"/>
      <c r="F489" s="23"/>
      <c r="G489" s="22"/>
      <c r="H489" s="22"/>
      <c r="I489" s="22"/>
      <c r="J489" s="22"/>
      <c r="K489" s="12">
        <f ca="1"/>
        <v>0</v>
      </c>
    </row>
    <row r="490" spans="1:11" ht="13">
      <c r="A490" s="8" t="str">
        <f t="shared" si="0"/>
        <v>-</v>
      </c>
      <c r="B490" s="16"/>
      <c r="C490" s="17"/>
      <c r="D490" s="22"/>
      <c r="E490" s="22"/>
      <c r="F490" s="23"/>
      <c r="G490" s="22"/>
      <c r="H490" s="22"/>
      <c r="I490" s="22"/>
      <c r="J490" s="22"/>
      <c r="K490" s="12">
        <f ca="1"/>
        <v>0</v>
      </c>
    </row>
    <row r="491" spans="1:11" ht="13">
      <c r="A491" s="8" t="str">
        <f t="shared" si="0"/>
        <v>-</v>
      </c>
      <c r="B491" s="16"/>
      <c r="C491" s="17"/>
      <c r="D491" s="22"/>
      <c r="E491" s="22"/>
      <c r="F491" s="23"/>
      <c r="G491" s="22"/>
      <c r="H491" s="22"/>
      <c r="I491" s="22"/>
      <c r="J491" s="22"/>
      <c r="K491" s="12">
        <f ca="1"/>
        <v>0</v>
      </c>
    </row>
    <row r="492" spans="1:11" ht="13">
      <c r="A492" s="8" t="str">
        <f t="shared" si="0"/>
        <v>-</v>
      </c>
      <c r="B492" s="16"/>
      <c r="C492" s="17"/>
      <c r="D492" s="22"/>
      <c r="E492" s="22"/>
      <c r="F492" s="23"/>
      <c r="G492" s="22"/>
      <c r="H492" s="22"/>
      <c r="I492" s="22"/>
      <c r="J492" s="22"/>
      <c r="K492" s="12">
        <f ca="1"/>
        <v>0</v>
      </c>
    </row>
    <row r="493" spans="1:11" ht="13">
      <c r="A493" s="8" t="str">
        <f t="shared" si="0"/>
        <v>-</v>
      </c>
      <c r="B493" s="16"/>
      <c r="C493" s="17"/>
      <c r="D493" s="22"/>
      <c r="E493" s="22"/>
      <c r="F493" s="23"/>
      <c r="G493" s="22"/>
      <c r="H493" s="22"/>
      <c r="I493" s="22"/>
      <c r="J493" s="22"/>
      <c r="K493" s="12">
        <f ca="1"/>
        <v>0</v>
      </c>
    </row>
    <row r="494" spans="1:11" ht="13">
      <c r="A494" s="8" t="str">
        <f t="shared" si="0"/>
        <v>-</v>
      </c>
      <c r="B494" s="16"/>
      <c r="C494" s="17"/>
      <c r="D494" s="22"/>
      <c r="E494" s="22"/>
      <c r="F494" s="23"/>
      <c r="G494" s="22"/>
      <c r="H494" s="22"/>
      <c r="I494" s="22"/>
      <c r="J494" s="22"/>
      <c r="K494" s="12">
        <f ca="1"/>
        <v>0</v>
      </c>
    </row>
    <row r="495" spans="1:11" ht="13">
      <c r="A495" s="8" t="str">
        <f t="shared" si="0"/>
        <v>-</v>
      </c>
      <c r="B495" s="16"/>
      <c r="C495" s="17"/>
      <c r="D495" s="22"/>
      <c r="E495" s="22"/>
      <c r="F495" s="23"/>
      <c r="G495" s="22"/>
      <c r="H495" s="22"/>
      <c r="I495" s="22"/>
      <c r="J495" s="22"/>
      <c r="K495" s="12">
        <f ca="1"/>
        <v>0</v>
      </c>
    </row>
    <row r="496" spans="1:11" ht="13">
      <c r="A496" s="8" t="str">
        <f t="shared" si="0"/>
        <v>-</v>
      </c>
      <c r="B496" s="16"/>
      <c r="C496" s="17"/>
      <c r="D496" s="22"/>
      <c r="E496" s="22"/>
      <c r="F496" s="23"/>
      <c r="G496" s="22"/>
      <c r="H496" s="22"/>
      <c r="I496" s="22"/>
      <c r="J496" s="22"/>
      <c r="K496" s="12">
        <f ca="1"/>
        <v>0</v>
      </c>
    </row>
    <row r="497" spans="1:11" ht="13">
      <c r="A497" s="8" t="str">
        <f t="shared" si="0"/>
        <v>-</v>
      </c>
      <c r="B497" s="16"/>
      <c r="C497" s="17"/>
      <c r="D497" s="22"/>
      <c r="E497" s="22"/>
      <c r="F497" s="23"/>
      <c r="G497" s="22"/>
      <c r="H497" s="22"/>
      <c r="I497" s="22"/>
      <c r="J497" s="22"/>
      <c r="K497" s="12">
        <f ca="1"/>
        <v>0</v>
      </c>
    </row>
    <row r="498" spans="1:11" ht="13">
      <c r="A498" s="8" t="str">
        <f t="shared" si="0"/>
        <v>-</v>
      </c>
      <c r="B498" s="16"/>
      <c r="C498" s="17"/>
      <c r="D498" s="22"/>
      <c r="E498" s="22"/>
      <c r="F498" s="23"/>
      <c r="G498" s="22"/>
      <c r="H498" s="22"/>
      <c r="I498" s="22"/>
      <c r="J498" s="22"/>
      <c r="K498" s="12">
        <f ca="1"/>
        <v>0</v>
      </c>
    </row>
    <row r="499" spans="1:11" ht="13">
      <c r="A499" s="8" t="str">
        <f t="shared" si="0"/>
        <v>-</v>
      </c>
      <c r="B499" s="16"/>
      <c r="C499" s="17"/>
      <c r="D499" s="22"/>
      <c r="E499" s="22"/>
      <c r="F499" s="23"/>
      <c r="G499" s="22"/>
      <c r="H499" s="22"/>
      <c r="I499" s="22"/>
      <c r="J499" s="22"/>
      <c r="K499" s="12">
        <f ca="1"/>
        <v>0</v>
      </c>
    </row>
    <row r="500" spans="1:11" ht="13">
      <c r="A500" s="8" t="str">
        <f t="shared" si="0"/>
        <v>-</v>
      </c>
      <c r="B500" s="16"/>
      <c r="C500" s="17"/>
      <c r="D500" s="22"/>
      <c r="E500" s="22"/>
      <c r="F500" s="23"/>
      <c r="G500" s="22"/>
      <c r="H500" s="22"/>
      <c r="I500" s="22"/>
      <c r="J500" s="22"/>
      <c r="K500" s="12">
        <f ca="1"/>
        <v>0</v>
      </c>
    </row>
    <row r="501" spans="1:11" ht="13">
      <c r="A501" s="8" t="str">
        <f t="shared" si="0"/>
        <v>-</v>
      </c>
      <c r="B501" s="16"/>
      <c r="C501" s="17"/>
      <c r="D501" s="22"/>
      <c r="E501" s="22"/>
      <c r="F501" s="23"/>
      <c r="G501" s="22"/>
      <c r="H501" s="22"/>
      <c r="I501" s="22"/>
      <c r="J501" s="22"/>
      <c r="K501" s="12">
        <f ca="1"/>
        <v>0</v>
      </c>
    </row>
    <row r="502" spans="1:11" ht="13">
      <c r="A502" s="8" t="str">
        <f t="shared" si="0"/>
        <v>-</v>
      </c>
      <c r="B502" s="16"/>
      <c r="C502" s="17"/>
      <c r="D502" s="22"/>
      <c r="E502" s="22"/>
      <c r="F502" s="23"/>
      <c r="G502" s="22"/>
      <c r="H502" s="22"/>
      <c r="I502" s="22"/>
      <c r="J502" s="22"/>
      <c r="K502" s="12">
        <f ca="1"/>
        <v>0</v>
      </c>
    </row>
    <row r="503" spans="1:11" ht="13">
      <c r="A503" s="8" t="str">
        <f t="shared" si="0"/>
        <v>-</v>
      </c>
      <c r="B503" s="16"/>
      <c r="C503" s="17"/>
      <c r="D503" s="22"/>
      <c r="E503" s="22"/>
      <c r="F503" s="23"/>
      <c r="G503" s="22"/>
      <c r="H503" s="22"/>
      <c r="I503" s="22"/>
      <c r="J503" s="22"/>
      <c r="K503" s="12">
        <f ca="1"/>
        <v>0</v>
      </c>
    </row>
    <row r="504" spans="1:11" ht="13">
      <c r="A504" s="8" t="str">
        <f t="shared" si="0"/>
        <v>-</v>
      </c>
      <c r="B504" s="16"/>
      <c r="C504" s="17"/>
      <c r="D504" s="22"/>
      <c r="E504" s="22"/>
      <c r="F504" s="23"/>
      <c r="G504" s="22"/>
      <c r="H504" s="22"/>
      <c r="I504" s="22"/>
      <c r="J504" s="22"/>
      <c r="K504" s="12">
        <f ca="1"/>
        <v>0</v>
      </c>
    </row>
    <row r="505" spans="1:11" ht="13">
      <c r="A505" s="8" t="str">
        <f t="shared" si="0"/>
        <v>-</v>
      </c>
      <c r="B505" s="16"/>
      <c r="C505" s="17"/>
      <c r="D505" s="22"/>
      <c r="E505" s="22"/>
      <c r="F505" s="23"/>
      <c r="G505" s="22"/>
      <c r="H505" s="22"/>
      <c r="I505" s="22"/>
      <c r="J505" s="22"/>
      <c r="K505" s="12">
        <f ca="1"/>
        <v>0</v>
      </c>
    </row>
    <row r="506" spans="1:11" ht="13">
      <c r="A506" s="8" t="str">
        <f t="shared" si="0"/>
        <v>-</v>
      </c>
      <c r="B506" s="16"/>
      <c r="C506" s="17"/>
      <c r="D506" s="22"/>
      <c r="E506" s="22"/>
      <c r="F506" s="23"/>
      <c r="G506" s="22"/>
      <c r="H506" s="22"/>
      <c r="I506" s="22"/>
      <c r="J506" s="22"/>
      <c r="K506" s="12">
        <f ca="1"/>
        <v>0</v>
      </c>
    </row>
    <row r="507" spans="1:11" ht="13">
      <c r="A507" s="8" t="str">
        <f t="shared" si="0"/>
        <v>-</v>
      </c>
      <c r="B507" s="16"/>
      <c r="C507" s="17"/>
      <c r="D507" s="22"/>
      <c r="E507" s="22"/>
      <c r="F507" s="23"/>
      <c r="G507" s="22"/>
      <c r="H507" s="22"/>
      <c r="I507" s="22"/>
      <c r="J507" s="22"/>
      <c r="K507" s="12">
        <f ca="1"/>
        <v>0</v>
      </c>
    </row>
    <row r="508" spans="1:11" ht="13">
      <c r="A508" s="8" t="str">
        <f t="shared" si="0"/>
        <v>-</v>
      </c>
      <c r="B508" s="16"/>
      <c r="C508" s="17"/>
      <c r="D508" s="22"/>
      <c r="E508" s="22"/>
      <c r="F508" s="23"/>
      <c r="G508" s="22"/>
      <c r="H508" s="22"/>
      <c r="I508" s="22"/>
      <c r="J508" s="22"/>
      <c r="K508" s="12">
        <f ca="1"/>
        <v>0</v>
      </c>
    </row>
    <row r="509" spans="1:11" ht="13">
      <c r="A509" s="8" t="str">
        <f t="shared" si="0"/>
        <v>-</v>
      </c>
      <c r="B509" s="16"/>
      <c r="C509" s="17"/>
      <c r="D509" s="22"/>
      <c r="E509" s="22"/>
      <c r="F509" s="23"/>
      <c r="G509" s="22"/>
      <c r="H509" s="22"/>
      <c r="I509" s="22"/>
      <c r="J509" s="22"/>
      <c r="K509" s="12">
        <f ca="1"/>
        <v>0</v>
      </c>
    </row>
    <row r="510" spans="1:11" ht="13">
      <c r="A510" s="8" t="str">
        <f t="shared" si="0"/>
        <v>-</v>
      </c>
      <c r="B510" s="16"/>
      <c r="C510" s="17"/>
      <c r="D510" s="22"/>
      <c r="E510" s="22"/>
      <c r="F510" s="23"/>
      <c r="G510" s="22"/>
      <c r="H510" s="22"/>
      <c r="I510" s="22"/>
      <c r="J510" s="22"/>
      <c r="K510" s="12">
        <f ca="1"/>
        <v>0</v>
      </c>
    </row>
    <row r="511" spans="1:11" ht="13">
      <c r="A511" s="8" t="str">
        <f t="shared" si="0"/>
        <v>-</v>
      </c>
      <c r="B511" s="16"/>
      <c r="C511" s="17"/>
      <c r="D511" s="22"/>
      <c r="E511" s="22"/>
      <c r="F511" s="23"/>
      <c r="G511" s="22"/>
      <c r="H511" s="22"/>
      <c r="I511" s="22"/>
      <c r="J511" s="22"/>
      <c r="K511" s="12">
        <f ca="1"/>
        <v>0</v>
      </c>
    </row>
    <row r="512" spans="1:11" ht="13">
      <c r="A512" s="8" t="str">
        <f t="shared" si="0"/>
        <v>-</v>
      </c>
      <c r="B512" s="16"/>
      <c r="C512" s="17"/>
      <c r="D512" s="22"/>
      <c r="E512" s="22"/>
      <c r="F512" s="23"/>
      <c r="G512" s="22"/>
      <c r="H512" s="22"/>
      <c r="I512" s="22"/>
      <c r="J512" s="22"/>
      <c r="K512" s="12">
        <f ca="1"/>
        <v>0</v>
      </c>
    </row>
    <row r="513" spans="1:11" ht="13">
      <c r="A513" s="8" t="str">
        <f t="shared" si="0"/>
        <v>-</v>
      </c>
      <c r="B513" s="16"/>
      <c r="C513" s="17"/>
      <c r="D513" s="22"/>
      <c r="E513" s="22"/>
      <c r="F513" s="23"/>
      <c r="G513" s="22"/>
      <c r="H513" s="22"/>
      <c r="I513" s="22"/>
      <c r="J513" s="22"/>
      <c r="K513" s="12">
        <f ca="1"/>
        <v>0</v>
      </c>
    </row>
    <row r="514" spans="1:11" ht="13">
      <c r="A514" s="8" t="str">
        <f t="shared" si="0"/>
        <v>-</v>
      </c>
      <c r="B514" s="16"/>
      <c r="C514" s="17"/>
      <c r="D514" s="22"/>
      <c r="E514" s="22"/>
      <c r="F514" s="23"/>
      <c r="G514" s="22"/>
      <c r="H514" s="22"/>
      <c r="I514" s="22"/>
      <c r="J514" s="22"/>
      <c r="K514" s="12">
        <f ca="1"/>
        <v>0</v>
      </c>
    </row>
    <row r="515" spans="1:11" ht="13">
      <c r="A515" s="8" t="str">
        <f t="shared" si="0"/>
        <v>-</v>
      </c>
      <c r="B515" s="16"/>
      <c r="C515" s="17"/>
      <c r="D515" s="22"/>
      <c r="E515" s="22"/>
      <c r="F515" s="23"/>
      <c r="G515" s="22"/>
      <c r="H515" s="22"/>
      <c r="I515" s="22"/>
      <c r="J515" s="22"/>
      <c r="K515" s="12">
        <f ca="1"/>
        <v>0</v>
      </c>
    </row>
    <row r="516" spans="1:11" ht="13">
      <c r="A516" s="8" t="str">
        <f t="shared" si="0"/>
        <v>-</v>
      </c>
      <c r="B516" s="16"/>
      <c r="C516" s="17"/>
      <c r="D516" s="22"/>
      <c r="E516" s="22"/>
      <c r="F516" s="23"/>
      <c r="G516" s="22"/>
      <c r="H516" s="22"/>
      <c r="I516" s="22"/>
      <c r="J516" s="22"/>
      <c r="K516" s="12">
        <f ca="1"/>
        <v>0</v>
      </c>
    </row>
    <row r="517" spans="1:11" ht="13">
      <c r="A517" s="8" t="str">
        <f t="shared" si="0"/>
        <v>-</v>
      </c>
      <c r="B517" s="16"/>
      <c r="C517" s="17"/>
      <c r="D517" s="22"/>
      <c r="E517" s="22"/>
      <c r="F517" s="23"/>
      <c r="G517" s="22"/>
      <c r="H517" s="22"/>
      <c r="I517" s="22"/>
      <c r="J517" s="22"/>
      <c r="K517" s="12">
        <f ca="1"/>
        <v>0</v>
      </c>
    </row>
    <row r="518" spans="1:11" ht="13">
      <c r="A518" s="8" t="str">
        <f t="shared" si="0"/>
        <v>-</v>
      </c>
      <c r="B518" s="16"/>
      <c r="C518" s="17"/>
      <c r="D518" s="22"/>
      <c r="E518" s="22"/>
      <c r="F518" s="23"/>
      <c r="G518" s="22"/>
      <c r="H518" s="22"/>
      <c r="I518" s="22"/>
      <c r="J518" s="22"/>
      <c r="K518" s="12">
        <f ca="1"/>
        <v>0</v>
      </c>
    </row>
    <row r="519" spans="1:11" ht="13">
      <c r="A519" s="8" t="str">
        <f t="shared" si="0"/>
        <v>-</v>
      </c>
      <c r="B519" s="16"/>
      <c r="C519" s="17"/>
      <c r="D519" s="22"/>
      <c r="E519" s="22"/>
      <c r="F519" s="23"/>
      <c r="G519" s="22"/>
      <c r="H519" s="22"/>
      <c r="I519" s="22"/>
      <c r="J519" s="22"/>
      <c r="K519" s="12">
        <f ca="1"/>
        <v>0</v>
      </c>
    </row>
    <row r="520" spans="1:11" ht="13">
      <c r="A520" s="8" t="str">
        <f t="shared" si="0"/>
        <v>-</v>
      </c>
      <c r="B520" s="16"/>
      <c r="C520" s="17"/>
      <c r="D520" s="22"/>
      <c r="E520" s="22"/>
      <c r="F520" s="23"/>
      <c r="G520" s="22"/>
      <c r="H520" s="22"/>
      <c r="I520" s="22"/>
      <c r="J520" s="22"/>
      <c r="K520" s="12">
        <f ca="1"/>
        <v>0</v>
      </c>
    </row>
    <row r="521" spans="1:11" ht="13">
      <c r="A521" s="8" t="str">
        <f t="shared" si="0"/>
        <v>-</v>
      </c>
      <c r="B521" s="16"/>
      <c r="C521" s="17"/>
      <c r="D521" s="22"/>
      <c r="E521" s="22"/>
      <c r="F521" s="23"/>
      <c r="G521" s="22"/>
      <c r="H521" s="22"/>
      <c r="I521" s="22"/>
      <c r="J521" s="22"/>
      <c r="K521" s="12">
        <f ca="1"/>
        <v>0</v>
      </c>
    </row>
    <row r="522" spans="1:11" ht="13">
      <c r="A522" s="8" t="str">
        <f t="shared" si="0"/>
        <v>-</v>
      </c>
      <c r="B522" s="16"/>
      <c r="C522" s="17"/>
      <c r="D522" s="22"/>
      <c r="E522" s="22"/>
      <c r="F522" s="23"/>
      <c r="G522" s="22"/>
      <c r="H522" s="22"/>
      <c r="I522" s="22"/>
      <c r="J522" s="22"/>
      <c r="K522" s="12">
        <f ca="1"/>
        <v>0</v>
      </c>
    </row>
    <row r="523" spans="1:11" ht="13">
      <c r="A523" s="8" t="str">
        <f t="shared" si="0"/>
        <v>-</v>
      </c>
      <c r="B523" s="16"/>
      <c r="C523" s="17"/>
      <c r="D523" s="22"/>
      <c r="E523" s="22"/>
      <c r="F523" s="23"/>
      <c r="G523" s="22"/>
      <c r="H523" s="22"/>
      <c r="I523" s="22"/>
      <c r="J523" s="22"/>
      <c r="K523" s="12">
        <f ca="1"/>
        <v>0</v>
      </c>
    </row>
    <row r="524" spans="1:11" ht="13">
      <c r="A524" s="8" t="str">
        <f t="shared" si="0"/>
        <v>-</v>
      </c>
      <c r="B524" s="16"/>
      <c r="C524" s="17"/>
      <c r="D524" s="22"/>
      <c r="E524" s="22"/>
      <c r="F524" s="23"/>
      <c r="G524" s="22"/>
      <c r="H524" s="22"/>
      <c r="I524" s="22"/>
      <c r="J524" s="22"/>
      <c r="K524" s="12">
        <f ca="1"/>
        <v>0</v>
      </c>
    </row>
    <row r="525" spans="1:11" ht="13">
      <c r="A525" s="8" t="str">
        <f t="shared" si="0"/>
        <v>-</v>
      </c>
      <c r="B525" s="16"/>
      <c r="C525" s="17"/>
      <c r="D525" s="22"/>
      <c r="E525" s="22"/>
      <c r="F525" s="23"/>
      <c r="G525" s="22"/>
      <c r="H525" s="22"/>
      <c r="I525" s="22"/>
      <c r="J525" s="22"/>
      <c r="K525" s="12">
        <f ca="1"/>
        <v>0</v>
      </c>
    </row>
    <row r="526" spans="1:11" ht="13">
      <c r="A526" s="8" t="str">
        <f t="shared" si="0"/>
        <v>-</v>
      </c>
      <c r="B526" s="16"/>
      <c r="C526" s="17"/>
      <c r="D526" s="22"/>
      <c r="E526" s="22"/>
      <c r="F526" s="23"/>
      <c r="G526" s="22"/>
      <c r="H526" s="22"/>
      <c r="I526" s="22"/>
      <c r="J526" s="22"/>
      <c r="K526" s="12">
        <f ca="1"/>
        <v>0</v>
      </c>
    </row>
    <row r="527" spans="1:11" ht="13">
      <c r="A527" s="8" t="str">
        <f t="shared" si="0"/>
        <v>-</v>
      </c>
      <c r="B527" s="16"/>
      <c r="C527" s="17"/>
      <c r="D527" s="22"/>
      <c r="E527" s="22"/>
      <c r="F527" s="23"/>
      <c r="G527" s="22"/>
      <c r="H527" s="22"/>
      <c r="I527" s="22"/>
      <c r="J527" s="22"/>
      <c r="K527" s="12">
        <f ca="1"/>
        <v>0</v>
      </c>
    </row>
    <row r="528" spans="1:11" ht="13">
      <c r="A528" s="8" t="str">
        <f t="shared" si="0"/>
        <v>-</v>
      </c>
      <c r="B528" s="16"/>
      <c r="C528" s="17"/>
      <c r="D528" s="22"/>
      <c r="E528" s="22"/>
      <c r="F528" s="23"/>
      <c r="G528" s="22"/>
      <c r="H528" s="22"/>
      <c r="I528" s="22"/>
      <c r="J528" s="22"/>
      <c r="K528" s="12">
        <f ca="1"/>
        <v>0</v>
      </c>
    </row>
    <row r="529" spans="1:11" ht="13">
      <c r="A529" s="8" t="str">
        <f t="shared" si="0"/>
        <v>-</v>
      </c>
      <c r="B529" s="16"/>
      <c r="C529" s="17"/>
      <c r="D529" s="22"/>
      <c r="E529" s="22"/>
      <c r="F529" s="23"/>
      <c r="G529" s="22"/>
      <c r="H529" s="22"/>
      <c r="I529" s="22"/>
      <c r="J529" s="22"/>
      <c r="K529" s="12">
        <f ca="1"/>
        <v>0</v>
      </c>
    </row>
    <row r="530" spans="1:11" ht="13">
      <c r="A530" s="8" t="str">
        <f t="shared" si="0"/>
        <v>-</v>
      </c>
      <c r="B530" s="16"/>
      <c r="C530" s="17"/>
      <c r="D530" s="22"/>
      <c r="E530" s="22"/>
      <c r="F530" s="23"/>
      <c r="G530" s="22"/>
      <c r="H530" s="22"/>
      <c r="I530" s="22"/>
      <c r="J530" s="22"/>
      <c r="K530" s="12">
        <f ca="1"/>
        <v>0</v>
      </c>
    </row>
    <row r="531" spans="1:11" ht="13">
      <c r="A531" s="8" t="str">
        <f t="shared" si="0"/>
        <v>-</v>
      </c>
      <c r="B531" s="16"/>
      <c r="C531" s="17"/>
      <c r="D531" s="22"/>
      <c r="E531" s="22"/>
      <c r="F531" s="23"/>
      <c r="G531" s="22"/>
      <c r="H531" s="22"/>
      <c r="I531" s="22"/>
      <c r="J531" s="22"/>
      <c r="K531" s="12">
        <f ca="1"/>
        <v>0</v>
      </c>
    </row>
    <row r="532" spans="1:11" ht="13">
      <c r="A532" s="8" t="str">
        <f t="shared" si="0"/>
        <v>-</v>
      </c>
      <c r="B532" s="16"/>
      <c r="C532" s="17"/>
      <c r="D532" s="22"/>
      <c r="E532" s="22"/>
      <c r="F532" s="23"/>
      <c r="G532" s="22"/>
      <c r="H532" s="22"/>
      <c r="I532" s="22"/>
      <c r="J532" s="22"/>
      <c r="K532" s="12">
        <f ca="1"/>
        <v>0</v>
      </c>
    </row>
    <row r="533" spans="1:11" ht="13">
      <c r="A533" s="8" t="str">
        <f t="shared" si="0"/>
        <v>-</v>
      </c>
      <c r="B533" s="16"/>
      <c r="C533" s="17"/>
      <c r="D533" s="22"/>
      <c r="E533" s="22"/>
      <c r="F533" s="23"/>
      <c r="G533" s="22"/>
      <c r="H533" s="22"/>
      <c r="I533" s="22"/>
      <c r="J533" s="22"/>
      <c r="K533" s="12">
        <f ca="1"/>
        <v>0</v>
      </c>
    </row>
    <row r="534" spans="1:11" ht="13">
      <c r="A534" s="8" t="str">
        <f t="shared" si="0"/>
        <v>-</v>
      </c>
      <c r="B534" s="16"/>
      <c r="C534" s="17"/>
      <c r="D534" s="22"/>
      <c r="E534" s="22"/>
      <c r="F534" s="23"/>
      <c r="G534" s="22"/>
      <c r="H534" s="22"/>
      <c r="I534" s="22"/>
      <c r="J534" s="22"/>
      <c r="K534" s="12">
        <f ca="1"/>
        <v>0</v>
      </c>
    </row>
    <row r="535" spans="1:11" ht="13">
      <c r="A535" s="8" t="str">
        <f t="shared" si="0"/>
        <v>-</v>
      </c>
      <c r="B535" s="16"/>
      <c r="C535" s="17"/>
      <c r="D535" s="22"/>
      <c r="E535" s="22"/>
      <c r="F535" s="23"/>
      <c r="G535" s="22"/>
      <c r="H535" s="22"/>
      <c r="I535" s="22"/>
      <c r="J535" s="22"/>
      <c r="K535" s="12">
        <f ca="1"/>
        <v>0</v>
      </c>
    </row>
    <row r="536" spans="1:11" ht="13">
      <c r="A536" s="8" t="str">
        <f t="shared" si="0"/>
        <v>-</v>
      </c>
      <c r="B536" s="16"/>
      <c r="C536" s="17"/>
      <c r="D536" s="22"/>
      <c r="E536" s="22"/>
      <c r="F536" s="23"/>
      <c r="G536" s="22"/>
      <c r="H536" s="22"/>
      <c r="I536" s="22"/>
      <c r="J536" s="22"/>
      <c r="K536" s="12">
        <f ca="1"/>
        <v>0</v>
      </c>
    </row>
    <row r="537" spans="1:11" ht="13">
      <c r="A537" s="8" t="str">
        <f t="shared" si="0"/>
        <v>-</v>
      </c>
      <c r="B537" s="16"/>
      <c r="C537" s="17"/>
      <c r="D537" s="22"/>
      <c r="E537" s="22"/>
      <c r="F537" s="23"/>
      <c r="G537" s="22"/>
      <c r="H537" s="22"/>
      <c r="I537" s="22"/>
      <c r="J537" s="22"/>
      <c r="K537" s="12">
        <f ca="1"/>
        <v>0</v>
      </c>
    </row>
    <row r="538" spans="1:11" ht="13">
      <c r="A538" s="8" t="str">
        <f t="shared" si="0"/>
        <v>-</v>
      </c>
      <c r="B538" s="16"/>
      <c r="C538" s="17"/>
      <c r="D538" s="22"/>
      <c r="E538" s="22"/>
      <c r="F538" s="23"/>
      <c r="G538" s="22"/>
      <c r="H538" s="22"/>
      <c r="I538" s="22"/>
      <c r="J538" s="22"/>
      <c r="K538" s="12">
        <f ca="1"/>
        <v>0</v>
      </c>
    </row>
    <row r="539" spans="1:11" ht="13">
      <c r="A539" s="8" t="str">
        <f t="shared" si="0"/>
        <v>-</v>
      </c>
      <c r="B539" s="16"/>
      <c r="C539" s="17"/>
      <c r="D539" s="22"/>
      <c r="E539" s="22"/>
      <c r="F539" s="23"/>
      <c r="G539" s="22"/>
      <c r="H539" s="22"/>
      <c r="I539" s="22"/>
      <c r="J539" s="22"/>
      <c r="K539" s="12">
        <f ca="1"/>
        <v>0</v>
      </c>
    </row>
    <row r="540" spans="1:11" ht="13">
      <c r="A540" s="8" t="str">
        <f t="shared" si="0"/>
        <v>-</v>
      </c>
      <c r="B540" s="16"/>
      <c r="C540" s="17"/>
      <c r="D540" s="22"/>
      <c r="E540" s="22"/>
      <c r="F540" s="23"/>
      <c r="G540" s="22"/>
      <c r="H540" s="22"/>
      <c r="I540" s="22"/>
      <c r="J540" s="22"/>
      <c r="K540" s="12">
        <f ca="1"/>
        <v>0</v>
      </c>
    </row>
    <row r="541" spans="1:11" ht="13">
      <c r="A541" s="8" t="str">
        <f t="shared" si="0"/>
        <v>-</v>
      </c>
      <c r="B541" s="16"/>
      <c r="C541" s="17"/>
      <c r="D541" s="22"/>
      <c r="E541" s="22"/>
      <c r="F541" s="23"/>
      <c r="G541" s="22"/>
      <c r="H541" s="22"/>
      <c r="I541" s="22"/>
      <c r="J541" s="22"/>
      <c r="K541" s="12">
        <f ca="1"/>
        <v>0</v>
      </c>
    </row>
    <row r="542" spans="1:11" ht="13">
      <c r="A542" s="8" t="str">
        <f t="shared" si="0"/>
        <v>-</v>
      </c>
      <c r="B542" s="16"/>
      <c r="C542" s="17"/>
      <c r="D542" s="22"/>
      <c r="E542" s="22"/>
      <c r="F542" s="23"/>
      <c r="G542" s="22"/>
      <c r="H542" s="22"/>
      <c r="I542" s="22"/>
      <c r="J542" s="22"/>
      <c r="K542" s="12">
        <f ca="1"/>
        <v>0</v>
      </c>
    </row>
    <row r="543" spans="1:11" ht="13">
      <c r="A543" s="8" t="str">
        <f t="shared" si="0"/>
        <v>-</v>
      </c>
      <c r="B543" s="16"/>
      <c r="C543" s="17"/>
      <c r="D543" s="22"/>
      <c r="E543" s="22"/>
      <c r="F543" s="23"/>
      <c r="G543" s="22"/>
      <c r="H543" s="22"/>
      <c r="I543" s="22"/>
      <c r="J543" s="22"/>
      <c r="K543" s="12">
        <f ca="1"/>
        <v>0</v>
      </c>
    </row>
    <row r="544" spans="1:11" ht="13">
      <c r="A544" s="8" t="str">
        <f t="shared" si="0"/>
        <v>-</v>
      </c>
      <c r="B544" s="16"/>
      <c r="C544" s="17"/>
      <c r="D544" s="22"/>
      <c r="E544" s="22"/>
      <c r="F544" s="23"/>
      <c r="G544" s="22"/>
      <c r="H544" s="22"/>
      <c r="I544" s="22"/>
      <c r="J544" s="22"/>
      <c r="K544" s="12">
        <f ca="1"/>
        <v>0</v>
      </c>
    </row>
    <row r="545" spans="1:11" ht="13">
      <c r="A545" s="8" t="str">
        <f t="shared" si="0"/>
        <v>-</v>
      </c>
      <c r="B545" s="16"/>
      <c r="C545" s="17"/>
      <c r="D545" s="22"/>
      <c r="E545" s="22"/>
      <c r="F545" s="23"/>
      <c r="G545" s="22"/>
      <c r="H545" s="22"/>
      <c r="I545" s="22"/>
      <c r="J545" s="22"/>
      <c r="K545" s="12">
        <f ca="1"/>
        <v>0</v>
      </c>
    </row>
    <row r="546" spans="1:11" ht="13">
      <c r="A546" s="8" t="str">
        <f t="shared" si="0"/>
        <v>-</v>
      </c>
      <c r="B546" s="16"/>
      <c r="C546" s="17"/>
      <c r="D546" s="22"/>
      <c r="E546" s="22"/>
      <c r="F546" s="23"/>
      <c r="G546" s="22"/>
      <c r="H546" s="22"/>
      <c r="I546" s="22"/>
      <c r="J546" s="22"/>
      <c r="K546" s="12">
        <f ca="1"/>
        <v>0</v>
      </c>
    </row>
    <row r="547" spans="1:11" ht="13">
      <c r="A547" s="8" t="str">
        <f t="shared" si="0"/>
        <v>-</v>
      </c>
      <c r="B547" s="16"/>
      <c r="C547" s="17"/>
      <c r="D547" s="22"/>
      <c r="E547" s="22"/>
      <c r="F547" s="23"/>
      <c r="G547" s="22"/>
      <c r="H547" s="22"/>
      <c r="I547" s="22"/>
      <c r="J547" s="22"/>
      <c r="K547" s="12">
        <f ca="1"/>
        <v>0</v>
      </c>
    </row>
    <row r="548" spans="1:11" ht="13">
      <c r="A548" s="8" t="str">
        <f t="shared" si="0"/>
        <v>-</v>
      </c>
      <c r="B548" s="16"/>
      <c r="C548" s="17"/>
      <c r="D548" s="22"/>
      <c r="E548" s="22"/>
      <c r="F548" s="23"/>
      <c r="G548" s="22"/>
      <c r="H548" s="22"/>
      <c r="I548" s="22"/>
      <c r="J548" s="22"/>
      <c r="K548" s="12">
        <f ca="1"/>
        <v>0</v>
      </c>
    </row>
    <row r="549" spans="1:11" ht="13">
      <c r="A549" s="8" t="str">
        <f t="shared" si="0"/>
        <v>-</v>
      </c>
      <c r="B549" s="16"/>
      <c r="C549" s="17"/>
      <c r="D549" s="22"/>
      <c r="E549" s="22"/>
      <c r="F549" s="23"/>
      <c r="G549" s="22"/>
      <c r="H549" s="22"/>
      <c r="I549" s="22"/>
      <c r="J549" s="22"/>
      <c r="K549" s="12">
        <f ca="1"/>
        <v>0</v>
      </c>
    </row>
    <row r="550" spans="1:11" ht="13">
      <c r="A550" s="8" t="str">
        <f t="shared" si="0"/>
        <v>-</v>
      </c>
      <c r="B550" s="16"/>
      <c r="C550" s="17"/>
      <c r="D550" s="22"/>
      <c r="E550" s="22"/>
      <c r="F550" s="23"/>
      <c r="G550" s="22"/>
      <c r="H550" s="22"/>
      <c r="I550" s="22"/>
      <c r="J550" s="22"/>
      <c r="K550" s="12">
        <f ca="1"/>
        <v>0</v>
      </c>
    </row>
    <row r="551" spans="1:11" ht="13">
      <c r="A551" s="8" t="str">
        <f t="shared" si="0"/>
        <v>-</v>
      </c>
      <c r="B551" s="16"/>
      <c r="C551" s="17"/>
      <c r="D551" s="22"/>
      <c r="E551" s="22"/>
      <c r="F551" s="23"/>
      <c r="G551" s="22"/>
      <c r="H551" s="22"/>
      <c r="I551" s="22"/>
      <c r="J551" s="22"/>
      <c r="K551" s="12">
        <f ca="1"/>
        <v>0</v>
      </c>
    </row>
    <row r="552" spans="1:11" ht="13">
      <c r="A552" s="8" t="str">
        <f t="shared" si="0"/>
        <v>-</v>
      </c>
      <c r="B552" s="16"/>
      <c r="C552" s="17"/>
      <c r="D552" s="22"/>
      <c r="E552" s="22"/>
      <c r="F552" s="23"/>
      <c r="G552" s="22"/>
      <c r="H552" s="22"/>
      <c r="I552" s="22"/>
      <c r="J552" s="22"/>
      <c r="K552" s="12">
        <f ca="1"/>
        <v>0</v>
      </c>
    </row>
    <row r="553" spans="1:11" ht="13">
      <c r="A553" s="8" t="str">
        <f t="shared" si="0"/>
        <v>-</v>
      </c>
      <c r="B553" s="16"/>
      <c r="C553" s="17"/>
      <c r="D553" s="22"/>
      <c r="E553" s="22"/>
      <c r="F553" s="23"/>
      <c r="G553" s="22"/>
      <c r="H553" s="22"/>
      <c r="I553" s="22"/>
      <c r="J553" s="22"/>
      <c r="K553" s="12">
        <f ca="1"/>
        <v>0</v>
      </c>
    </row>
    <row r="554" spans="1:11" ht="13">
      <c r="A554" s="8" t="str">
        <f t="shared" si="0"/>
        <v>-</v>
      </c>
      <c r="B554" s="16"/>
      <c r="C554" s="17"/>
      <c r="D554" s="22"/>
      <c r="E554" s="22"/>
      <c r="F554" s="23"/>
      <c r="G554" s="22"/>
      <c r="H554" s="22"/>
      <c r="I554" s="22"/>
      <c r="J554" s="22"/>
      <c r="K554" s="12">
        <f ca="1"/>
        <v>0</v>
      </c>
    </row>
    <row r="555" spans="1:11" ht="13">
      <c r="A555" s="8" t="str">
        <f t="shared" si="0"/>
        <v>-</v>
      </c>
      <c r="B555" s="16"/>
      <c r="C555" s="17"/>
      <c r="D555" s="22"/>
      <c r="E555" s="22"/>
      <c r="F555" s="23"/>
      <c r="G555" s="22"/>
      <c r="H555" s="22"/>
      <c r="I555" s="22"/>
      <c r="J555" s="22"/>
      <c r="K555" s="12">
        <f ca="1"/>
        <v>0</v>
      </c>
    </row>
    <row r="556" spans="1:11" ht="13">
      <c r="A556" s="8" t="str">
        <f t="shared" si="0"/>
        <v>-</v>
      </c>
      <c r="B556" s="16"/>
      <c r="C556" s="17"/>
      <c r="D556" s="22"/>
      <c r="E556" s="22"/>
      <c r="F556" s="23"/>
      <c r="G556" s="22"/>
      <c r="H556" s="22"/>
      <c r="I556" s="22"/>
      <c r="J556" s="22"/>
      <c r="K556" s="12">
        <f ca="1"/>
        <v>0</v>
      </c>
    </row>
    <row r="557" spans="1:11" ht="13">
      <c r="A557" s="8" t="str">
        <f t="shared" si="0"/>
        <v>-</v>
      </c>
      <c r="B557" s="16"/>
      <c r="C557" s="17"/>
      <c r="D557" s="22"/>
      <c r="E557" s="22"/>
      <c r="F557" s="23"/>
      <c r="G557" s="22"/>
      <c r="H557" s="22"/>
      <c r="I557" s="22"/>
      <c r="J557" s="22"/>
      <c r="K557" s="12">
        <f ca="1"/>
        <v>0</v>
      </c>
    </row>
    <row r="558" spans="1:11" ht="13">
      <c r="A558" s="8" t="str">
        <f t="shared" si="0"/>
        <v>-</v>
      </c>
      <c r="B558" s="16"/>
      <c r="C558" s="17"/>
      <c r="D558" s="22"/>
      <c r="E558" s="22"/>
      <c r="F558" s="23"/>
      <c r="G558" s="22"/>
      <c r="H558" s="22"/>
      <c r="I558" s="22"/>
      <c r="J558" s="22"/>
      <c r="K558" s="12">
        <f ca="1"/>
        <v>0</v>
      </c>
    </row>
    <row r="559" spans="1:11" ht="13">
      <c r="A559" s="8" t="str">
        <f t="shared" si="0"/>
        <v>-</v>
      </c>
      <c r="B559" s="16"/>
      <c r="C559" s="17"/>
      <c r="D559" s="22"/>
      <c r="E559" s="22"/>
      <c r="F559" s="23"/>
      <c r="G559" s="22"/>
      <c r="H559" s="22"/>
      <c r="I559" s="22"/>
      <c r="J559" s="22"/>
      <c r="K559" s="12">
        <f ca="1"/>
        <v>0</v>
      </c>
    </row>
    <row r="560" spans="1:11" ht="13">
      <c r="A560" s="8" t="str">
        <f t="shared" si="0"/>
        <v>-</v>
      </c>
      <c r="B560" s="16"/>
      <c r="C560" s="17"/>
      <c r="D560" s="22"/>
      <c r="E560" s="22"/>
      <c r="F560" s="23"/>
      <c r="G560" s="22"/>
      <c r="H560" s="22"/>
      <c r="I560" s="22"/>
      <c r="J560" s="22"/>
      <c r="K560" s="12">
        <f ca="1"/>
        <v>0</v>
      </c>
    </row>
    <row r="561" spans="1:11" ht="13">
      <c r="A561" s="8" t="str">
        <f t="shared" si="0"/>
        <v>-</v>
      </c>
      <c r="B561" s="16"/>
      <c r="C561" s="17"/>
      <c r="D561" s="22"/>
      <c r="E561" s="22"/>
      <c r="F561" s="23"/>
      <c r="G561" s="22"/>
      <c r="H561" s="22"/>
      <c r="I561" s="22"/>
      <c r="J561" s="22"/>
      <c r="K561" s="12">
        <f ca="1"/>
        <v>0</v>
      </c>
    </row>
    <row r="562" spans="1:11" ht="13">
      <c r="A562" s="8" t="str">
        <f t="shared" si="0"/>
        <v>-</v>
      </c>
      <c r="B562" s="16"/>
      <c r="C562" s="17"/>
      <c r="D562" s="22"/>
      <c r="E562" s="22"/>
      <c r="F562" s="23"/>
      <c r="G562" s="22"/>
      <c r="H562" s="22"/>
      <c r="I562" s="22"/>
      <c r="J562" s="22"/>
      <c r="K562" s="12">
        <f ca="1"/>
        <v>0</v>
      </c>
    </row>
    <row r="563" spans="1:11" ht="13">
      <c r="A563" s="8" t="str">
        <f t="shared" si="0"/>
        <v>-</v>
      </c>
      <c r="B563" s="16"/>
      <c r="C563" s="17"/>
      <c r="D563" s="22"/>
      <c r="E563" s="22"/>
      <c r="F563" s="23"/>
      <c r="G563" s="22"/>
      <c r="H563" s="22"/>
      <c r="I563" s="22"/>
      <c r="J563" s="22"/>
      <c r="K563" s="12">
        <f ca="1"/>
        <v>0</v>
      </c>
    </row>
    <row r="564" spans="1:11" ht="13">
      <c r="A564" s="8" t="str">
        <f t="shared" si="0"/>
        <v>-</v>
      </c>
      <c r="B564" s="16"/>
      <c r="C564" s="17"/>
      <c r="D564" s="22"/>
      <c r="E564" s="22"/>
      <c r="F564" s="23"/>
      <c r="G564" s="22"/>
      <c r="H564" s="22"/>
      <c r="I564" s="22"/>
      <c r="J564" s="22"/>
      <c r="K564" s="12">
        <f ca="1"/>
        <v>0</v>
      </c>
    </row>
    <row r="565" spans="1:11" ht="13">
      <c r="A565" s="8" t="str">
        <f t="shared" si="0"/>
        <v>-</v>
      </c>
      <c r="B565" s="16"/>
      <c r="C565" s="17"/>
      <c r="D565" s="22"/>
      <c r="E565" s="22"/>
      <c r="F565" s="23"/>
      <c r="G565" s="22"/>
      <c r="H565" s="22"/>
      <c r="I565" s="22"/>
      <c r="J565" s="22"/>
      <c r="K565" s="12">
        <f ca="1"/>
        <v>0</v>
      </c>
    </row>
    <row r="566" spans="1:11" ht="13">
      <c r="A566" s="8" t="str">
        <f t="shared" si="0"/>
        <v>-</v>
      </c>
      <c r="B566" s="16"/>
      <c r="C566" s="17"/>
      <c r="D566" s="22"/>
      <c r="E566" s="22"/>
      <c r="F566" s="23"/>
      <c r="G566" s="22"/>
      <c r="H566" s="22"/>
      <c r="I566" s="22"/>
      <c r="J566" s="22"/>
      <c r="K566" s="12">
        <f ca="1"/>
        <v>0</v>
      </c>
    </row>
    <row r="567" spans="1:11" ht="13">
      <c r="A567" s="8" t="str">
        <f t="shared" si="0"/>
        <v>-</v>
      </c>
      <c r="B567" s="16"/>
      <c r="C567" s="17"/>
      <c r="D567" s="22"/>
      <c r="E567" s="22"/>
      <c r="F567" s="23"/>
      <c r="G567" s="22"/>
      <c r="H567" s="22"/>
      <c r="I567" s="22"/>
      <c r="J567" s="22"/>
      <c r="K567" s="12">
        <f ca="1"/>
        <v>0</v>
      </c>
    </row>
    <row r="568" spans="1:11" ht="13">
      <c r="A568" s="8" t="str">
        <f t="shared" si="0"/>
        <v>-</v>
      </c>
      <c r="B568" s="16"/>
      <c r="C568" s="17"/>
      <c r="D568" s="22"/>
      <c r="E568" s="22"/>
      <c r="F568" s="23"/>
      <c r="G568" s="22"/>
      <c r="H568" s="22"/>
      <c r="I568" s="22"/>
      <c r="J568" s="22"/>
      <c r="K568" s="12">
        <f ca="1"/>
        <v>0</v>
      </c>
    </row>
    <row r="569" spans="1:11" ht="13">
      <c r="A569" s="8" t="str">
        <f t="shared" si="0"/>
        <v>-</v>
      </c>
      <c r="B569" s="16"/>
      <c r="C569" s="17"/>
      <c r="D569" s="22"/>
      <c r="E569" s="22"/>
      <c r="F569" s="23"/>
      <c r="G569" s="22"/>
      <c r="H569" s="22"/>
      <c r="I569" s="22"/>
      <c r="J569" s="22"/>
      <c r="K569" s="12">
        <f ca="1"/>
        <v>0</v>
      </c>
    </row>
    <row r="570" spans="1:11" ht="13">
      <c r="A570" s="8" t="str">
        <f t="shared" si="0"/>
        <v>-</v>
      </c>
      <c r="B570" s="16"/>
      <c r="C570" s="17"/>
      <c r="D570" s="22"/>
      <c r="E570" s="22"/>
      <c r="F570" s="23"/>
      <c r="G570" s="22"/>
      <c r="H570" s="22"/>
      <c r="I570" s="22"/>
      <c r="J570" s="22"/>
      <c r="K570" s="12">
        <f ca="1"/>
        <v>0</v>
      </c>
    </row>
    <row r="571" spans="1:11" ht="13">
      <c r="A571" s="8" t="str">
        <f t="shared" si="0"/>
        <v>-</v>
      </c>
      <c r="B571" s="16"/>
      <c r="C571" s="17"/>
      <c r="D571" s="22"/>
      <c r="E571" s="22"/>
      <c r="F571" s="23"/>
      <c r="G571" s="22"/>
      <c r="H571" s="22"/>
      <c r="I571" s="22"/>
      <c r="J571" s="22"/>
      <c r="K571" s="12">
        <f ca="1"/>
        <v>0</v>
      </c>
    </row>
    <row r="572" spans="1:11" ht="13">
      <c r="A572" s="8" t="str">
        <f t="shared" si="0"/>
        <v>-</v>
      </c>
      <c r="B572" s="16"/>
      <c r="C572" s="17"/>
      <c r="D572" s="22"/>
      <c r="E572" s="22"/>
      <c r="F572" s="23"/>
      <c r="G572" s="22"/>
      <c r="H572" s="22"/>
      <c r="I572" s="22"/>
      <c r="J572" s="22"/>
      <c r="K572" s="12">
        <f ca="1"/>
        <v>0</v>
      </c>
    </row>
    <row r="573" spans="1:11" ht="13">
      <c r="A573" s="8" t="str">
        <f t="shared" si="0"/>
        <v>-</v>
      </c>
      <c r="B573" s="16"/>
      <c r="C573" s="17"/>
      <c r="D573" s="22"/>
      <c r="E573" s="22"/>
      <c r="F573" s="23"/>
      <c r="G573" s="22"/>
      <c r="H573" s="22"/>
      <c r="I573" s="22"/>
      <c r="J573" s="22"/>
      <c r="K573" s="12">
        <f ca="1"/>
        <v>0</v>
      </c>
    </row>
    <row r="574" spans="1:11" ht="13">
      <c r="A574" s="8" t="str">
        <f t="shared" si="0"/>
        <v>-</v>
      </c>
      <c r="B574" s="16"/>
      <c r="C574" s="17"/>
      <c r="D574" s="22"/>
      <c r="E574" s="22"/>
      <c r="F574" s="23"/>
      <c r="G574" s="22"/>
      <c r="H574" s="22"/>
      <c r="I574" s="22"/>
      <c r="J574" s="22"/>
      <c r="K574" s="12">
        <f ca="1"/>
        <v>0</v>
      </c>
    </row>
    <row r="575" spans="1:11" ht="13">
      <c r="A575" s="8" t="str">
        <f t="shared" si="0"/>
        <v>-</v>
      </c>
      <c r="B575" s="16"/>
      <c r="C575" s="17"/>
      <c r="D575" s="22"/>
      <c r="E575" s="22"/>
      <c r="F575" s="23"/>
      <c r="G575" s="22"/>
      <c r="H575" s="22"/>
      <c r="I575" s="22"/>
      <c r="J575" s="22"/>
      <c r="K575" s="12">
        <f ca="1"/>
        <v>0</v>
      </c>
    </row>
    <row r="576" spans="1:11" ht="13">
      <c r="A576" s="8" t="str">
        <f t="shared" si="0"/>
        <v>-</v>
      </c>
      <c r="B576" s="16"/>
      <c r="C576" s="17"/>
      <c r="D576" s="22"/>
      <c r="E576" s="22"/>
      <c r="F576" s="23"/>
      <c r="G576" s="22"/>
      <c r="H576" s="22"/>
      <c r="I576" s="22"/>
      <c r="J576" s="22"/>
      <c r="K576" s="12">
        <f ca="1"/>
        <v>0</v>
      </c>
    </row>
    <row r="577" spans="1:11" ht="13">
      <c r="A577" s="8" t="str">
        <f t="shared" si="0"/>
        <v>-</v>
      </c>
      <c r="B577" s="16"/>
      <c r="C577" s="17"/>
      <c r="D577" s="22"/>
      <c r="E577" s="22"/>
      <c r="F577" s="23"/>
      <c r="G577" s="22"/>
      <c r="H577" s="22"/>
      <c r="I577" s="22"/>
      <c r="J577" s="22"/>
      <c r="K577" s="12">
        <f ca="1"/>
        <v>0</v>
      </c>
    </row>
    <row r="578" spans="1:11" ht="13">
      <c r="A578" s="8" t="str">
        <f t="shared" si="0"/>
        <v>-</v>
      </c>
      <c r="B578" s="16"/>
      <c r="C578" s="17"/>
      <c r="D578" s="22"/>
      <c r="E578" s="22"/>
      <c r="F578" s="23"/>
      <c r="G578" s="22"/>
      <c r="H578" s="22"/>
      <c r="I578" s="22"/>
      <c r="J578" s="22"/>
      <c r="K578" s="12">
        <f ca="1"/>
        <v>0</v>
      </c>
    </row>
    <row r="579" spans="1:11" ht="13">
      <c r="A579" s="8" t="str">
        <f t="shared" si="0"/>
        <v>-</v>
      </c>
      <c r="B579" s="16"/>
      <c r="C579" s="17"/>
      <c r="D579" s="22"/>
      <c r="E579" s="22"/>
      <c r="F579" s="23"/>
      <c r="G579" s="22"/>
      <c r="H579" s="22"/>
      <c r="I579" s="22"/>
      <c r="J579" s="22"/>
      <c r="K579" s="12">
        <f ca="1"/>
        <v>0</v>
      </c>
    </row>
    <row r="580" spans="1:11" ht="13">
      <c r="A580" s="8" t="str">
        <f t="shared" si="0"/>
        <v>-</v>
      </c>
      <c r="B580" s="16"/>
      <c r="C580" s="17"/>
      <c r="D580" s="22"/>
      <c r="E580" s="22"/>
      <c r="F580" s="23"/>
      <c r="G580" s="22"/>
      <c r="H580" s="22"/>
      <c r="I580" s="22"/>
      <c r="J580" s="22"/>
      <c r="K580" s="12">
        <f ca="1"/>
        <v>0</v>
      </c>
    </row>
    <row r="581" spans="1:11" ht="13">
      <c r="A581" s="8" t="str">
        <f t="shared" si="0"/>
        <v>-</v>
      </c>
      <c r="B581" s="16"/>
      <c r="C581" s="17"/>
      <c r="D581" s="22"/>
      <c r="E581" s="22"/>
      <c r="F581" s="23"/>
      <c r="G581" s="22"/>
      <c r="H581" s="22"/>
      <c r="I581" s="22"/>
      <c r="J581" s="22"/>
      <c r="K581" s="12">
        <f ca="1"/>
        <v>0</v>
      </c>
    </row>
    <row r="582" spans="1:11" ht="13">
      <c r="A582" s="8" t="str">
        <f t="shared" si="0"/>
        <v>-</v>
      </c>
      <c r="B582" s="16"/>
      <c r="C582" s="17"/>
      <c r="D582" s="22"/>
      <c r="E582" s="22"/>
      <c r="F582" s="23"/>
      <c r="G582" s="22"/>
      <c r="H582" s="22"/>
      <c r="I582" s="22"/>
      <c r="J582" s="22"/>
      <c r="K582" s="12">
        <f ca="1"/>
        <v>0</v>
      </c>
    </row>
    <row r="583" spans="1:11" ht="13">
      <c r="A583" s="8" t="str">
        <f t="shared" si="0"/>
        <v>-</v>
      </c>
      <c r="B583" s="16"/>
      <c r="C583" s="17"/>
      <c r="D583" s="22"/>
      <c r="E583" s="22"/>
      <c r="F583" s="23"/>
      <c r="G583" s="22"/>
      <c r="H583" s="22"/>
      <c r="I583" s="22"/>
      <c r="J583" s="22"/>
      <c r="K583" s="12">
        <f ca="1"/>
        <v>0</v>
      </c>
    </row>
    <row r="584" spans="1:11" ht="13">
      <c r="A584" s="8" t="str">
        <f t="shared" si="0"/>
        <v>-</v>
      </c>
      <c r="B584" s="16"/>
      <c r="C584" s="17"/>
      <c r="D584" s="22"/>
      <c r="E584" s="22"/>
      <c r="F584" s="23"/>
      <c r="G584" s="22"/>
      <c r="H584" s="22"/>
      <c r="I584" s="22"/>
      <c r="J584" s="22"/>
      <c r="K584" s="12">
        <f ca="1"/>
        <v>0</v>
      </c>
    </row>
    <row r="585" spans="1:11" ht="13">
      <c r="A585" s="8" t="str">
        <f t="shared" si="0"/>
        <v>-</v>
      </c>
      <c r="B585" s="16"/>
      <c r="C585" s="17"/>
      <c r="D585" s="22"/>
      <c r="E585" s="22"/>
      <c r="F585" s="23"/>
      <c r="G585" s="22"/>
      <c r="H585" s="22"/>
      <c r="I585" s="22"/>
      <c r="J585" s="22"/>
      <c r="K585" s="12">
        <f ca="1"/>
        <v>0</v>
      </c>
    </row>
    <row r="586" spans="1:11" ht="13">
      <c r="A586" s="8" t="str">
        <f t="shared" si="0"/>
        <v>-</v>
      </c>
      <c r="B586" s="16"/>
      <c r="C586" s="17"/>
      <c r="D586" s="22"/>
      <c r="E586" s="22"/>
      <c r="F586" s="23"/>
      <c r="G586" s="22"/>
      <c r="H586" s="22"/>
      <c r="I586" s="22"/>
      <c r="J586" s="22"/>
      <c r="K586" s="12">
        <f ca="1"/>
        <v>0</v>
      </c>
    </row>
    <row r="587" spans="1:11" ht="13">
      <c r="A587" s="8" t="str">
        <f t="shared" si="0"/>
        <v>-</v>
      </c>
      <c r="B587" s="16"/>
      <c r="C587" s="17"/>
      <c r="D587" s="22"/>
      <c r="E587" s="22"/>
      <c r="F587" s="23"/>
      <c r="G587" s="22"/>
      <c r="H587" s="22"/>
      <c r="I587" s="22"/>
      <c r="J587" s="22"/>
      <c r="K587" s="12">
        <f ca="1"/>
        <v>0</v>
      </c>
    </row>
    <row r="588" spans="1:11" ht="13">
      <c r="A588" s="8" t="str">
        <f t="shared" si="0"/>
        <v>-</v>
      </c>
      <c r="B588" s="16"/>
      <c r="C588" s="17"/>
      <c r="D588" s="22"/>
      <c r="E588" s="22"/>
      <c r="F588" s="23"/>
      <c r="G588" s="22"/>
      <c r="H588" s="22"/>
      <c r="I588" s="22"/>
      <c r="J588" s="22"/>
      <c r="K588" s="12">
        <f ca="1"/>
        <v>0</v>
      </c>
    </row>
    <row r="589" spans="1:11" ht="13">
      <c r="A589" s="8" t="str">
        <f t="shared" si="0"/>
        <v>-</v>
      </c>
      <c r="B589" s="16"/>
      <c r="C589" s="17"/>
      <c r="D589" s="22"/>
      <c r="E589" s="22"/>
      <c r="F589" s="23"/>
      <c r="G589" s="22"/>
      <c r="H589" s="22"/>
      <c r="I589" s="22"/>
      <c r="J589" s="22"/>
      <c r="K589" s="12">
        <f ca="1"/>
        <v>0</v>
      </c>
    </row>
    <row r="590" spans="1:11" ht="13">
      <c r="A590" s="8" t="str">
        <f t="shared" si="0"/>
        <v>-</v>
      </c>
      <c r="B590" s="16"/>
      <c r="C590" s="17"/>
      <c r="D590" s="22"/>
      <c r="E590" s="22"/>
      <c r="F590" s="23"/>
      <c r="G590" s="22"/>
      <c r="H590" s="22"/>
      <c r="I590" s="22"/>
      <c r="J590" s="22"/>
      <c r="K590" s="12">
        <f ca="1"/>
        <v>0</v>
      </c>
    </row>
    <row r="591" spans="1:11" ht="13">
      <c r="A591" s="8" t="str">
        <f t="shared" si="0"/>
        <v>-</v>
      </c>
      <c r="B591" s="16"/>
      <c r="C591" s="17"/>
      <c r="D591" s="22"/>
      <c r="E591" s="22"/>
      <c r="F591" s="23"/>
      <c r="G591" s="22"/>
      <c r="H591" s="22"/>
      <c r="I591" s="22"/>
      <c r="J591" s="22"/>
      <c r="K591" s="12">
        <f ca="1"/>
        <v>0</v>
      </c>
    </row>
    <row r="592" spans="1:11" ht="13">
      <c r="A592" s="8" t="str">
        <f t="shared" si="0"/>
        <v>-</v>
      </c>
      <c r="B592" s="16"/>
      <c r="C592" s="17"/>
      <c r="D592" s="22"/>
      <c r="E592" s="22"/>
      <c r="F592" s="23"/>
      <c r="G592" s="22"/>
      <c r="H592" s="22"/>
      <c r="I592" s="22"/>
      <c r="J592" s="22"/>
      <c r="K592" s="12">
        <f ca="1"/>
        <v>0</v>
      </c>
    </row>
    <row r="593" spans="1:11" ht="13">
      <c r="A593" s="8" t="str">
        <f t="shared" si="0"/>
        <v>-</v>
      </c>
      <c r="B593" s="16"/>
      <c r="C593" s="17"/>
      <c r="D593" s="22"/>
      <c r="E593" s="22"/>
      <c r="F593" s="23"/>
      <c r="G593" s="22"/>
      <c r="H593" s="22"/>
      <c r="I593" s="22"/>
      <c r="J593" s="22"/>
      <c r="K593" s="12">
        <f ca="1"/>
        <v>0</v>
      </c>
    </row>
    <row r="594" spans="1:11" ht="13">
      <c r="A594" s="8" t="str">
        <f t="shared" si="0"/>
        <v>-</v>
      </c>
      <c r="B594" s="16"/>
      <c r="C594" s="17"/>
      <c r="D594" s="22"/>
      <c r="E594" s="22"/>
      <c r="F594" s="23"/>
      <c r="G594" s="22"/>
      <c r="H594" s="22"/>
      <c r="I594" s="22"/>
      <c r="J594" s="22"/>
      <c r="K594" s="12">
        <f ca="1"/>
        <v>0</v>
      </c>
    </row>
    <row r="595" spans="1:11" ht="13">
      <c r="A595" s="8" t="str">
        <f t="shared" si="0"/>
        <v>-</v>
      </c>
      <c r="B595" s="16"/>
      <c r="C595" s="17"/>
      <c r="D595" s="22"/>
      <c r="E595" s="22"/>
      <c r="F595" s="23"/>
      <c r="G595" s="22"/>
      <c r="H595" s="22"/>
      <c r="I595" s="22"/>
      <c r="J595" s="22"/>
      <c r="K595" s="12">
        <f ca="1"/>
        <v>0</v>
      </c>
    </row>
    <row r="596" spans="1:11" ht="13">
      <c r="A596" s="8" t="str">
        <f t="shared" si="0"/>
        <v>-</v>
      </c>
      <c r="B596" s="16"/>
      <c r="C596" s="17"/>
      <c r="D596" s="22"/>
      <c r="E596" s="22"/>
      <c r="F596" s="23"/>
      <c r="G596" s="22"/>
      <c r="H596" s="22"/>
      <c r="I596" s="22"/>
      <c r="J596" s="22"/>
      <c r="K596" s="12">
        <f ca="1"/>
        <v>0</v>
      </c>
    </row>
    <row r="597" spans="1:11" ht="13">
      <c r="A597" s="8" t="str">
        <f t="shared" si="0"/>
        <v>-</v>
      </c>
      <c r="B597" s="16"/>
      <c r="C597" s="17"/>
      <c r="D597" s="22"/>
      <c r="E597" s="22"/>
      <c r="F597" s="23"/>
      <c r="G597" s="22"/>
      <c r="H597" s="22"/>
      <c r="I597" s="22"/>
      <c r="J597" s="22"/>
      <c r="K597" s="12">
        <f ca="1"/>
        <v>0</v>
      </c>
    </row>
    <row r="598" spans="1:11" ht="13">
      <c r="A598" s="8" t="str">
        <f t="shared" si="0"/>
        <v>-</v>
      </c>
      <c r="B598" s="16"/>
      <c r="C598" s="17"/>
      <c r="D598" s="22"/>
      <c r="E598" s="22"/>
      <c r="F598" s="23"/>
      <c r="G598" s="22"/>
      <c r="H598" s="22"/>
      <c r="I598" s="22"/>
      <c r="J598" s="22"/>
      <c r="K598" s="12">
        <f ca="1"/>
        <v>0</v>
      </c>
    </row>
    <row r="599" spans="1:11" ht="13">
      <c r="A599" s="8" t="str">
        <f t="shared" si="0"/>
        <v>-</v>
      </c>
      <c r="B599" s="16"/>
      <c r="C599" s="17"/>
      <c r="D599" s="22"/>
      <c r="E599" s="22"/>
      <c r="F599" s="23"/>
      <c r="G599" s="22"/>
      <c r="H599" s="22"/>
      <c r="I599" s="22"/>
      <c r="J599" s="22"/>
      <c r="K599" s="12">
        <f ca="1"/>
        <v>0</v>
      </c>
    </row>
    <row r="600" spans="1:11" ht="13">
      <c r="A600" s="8" t="str">
        <f t="shared" si="0"/>
        <v>-</v>
      </c>
      <c r="B600" s="16"/>
      <c r="C600" s="17"/>
      <c r="D600" s="22"/>
      <c r="E600" s="22"/>
      <c r="F600" s="23"/>
      <c r="G600" s="22"/>
      <c r="H600" s="22"/>
      <c r="I600" s="22"/>
      <c r="J600" s="22"/>
      <c r="K600" s="12">
        <f ca="1"/>
        <v>0</v>
      </c>
    </row>
    <row r="601" spans="1:11" ht="13">
      <c r="A601" s="8" t="str">
        <f t="shared" si="0"/>
        <v>-</v>
      </c>
      <c r="B601" s="16"/>
      <c r="C601" s="17"/>
      <c r="D601" s="22"/>
      <c r="E601" s="22"/>
      <c r="F601" s="23"/>
      <c r="G601" s="22"/>
      <c r="H601" s="22"/>
      <c r="I601" s="22"/>
      <c r="J601" s="22"/>
      <c r="K601" s="12">
        <f ca="1"/>
        <v>0</v>
      </c>
    </row>
    <row r="602" spans="1:11" ht="13">
      <c r="A602" s="8" t="str">
        <f t="shared" si="0"/>
        <v>-</v>
      </c>
      <c r="B602" s="16"/>
      <c r="C602" s="17"/>
      <c r="D602" s="22"/>
      <c r="E602" s="22"/>
      <c r="F602" s="23"/>
      <c r="G602" s="22"/>
      <c r="H602" s="22"/>
      <c r="I602" s="22"/>
      <c r="J602" s="22"/>
      <c r="K602" s="12">
        <f ca="1"/>
        <v>0</v>
      </c>
    </row>
    <row r="603" spans="1:11" ht="13">
      <c r="A603" s="8" t="str">
        <f t="shared" si="0"/>
        <v>-</v>
      </c>
      <c r="B603" s="16"/>
      <c r="C603" s="17"/>
      <c r="D603" s="22"/>
      <c r="E603" s="22"/>
      <c r="F603" s="23"/>
      <c r="G603" s="22"/>
      <c r="H603" s="22"/>
      <c r="I603" s="22"/>
      <c r="J603" s="22"/>
      <c r="K603" s="12">
        <f ca="1"/>
        <v>0</v>
      </c>
    </row>
    <row r="604" spans="1:11" ht="13">
      <c r="A604" s="8" t="str">
        <f t="shared" si="0"/>
        <v>-</v>
      </c>
      <c r="B604" s="16"/>
      <c r="C604" s="17"/>
      <c r="D604" s="22"/>
      <c r="E604" s="22"/>
      <c r="F604" s="23"/>
      <c r="G604" s="22"/>
      <c r="H604" s="22"/>
      <c r="I604" s="22"/>
      <c r="J604" s="22"/>
      <c r="K604" s="12">
        <f ca="1"/>
        <v>0</v>
      </c>
    </row>
    <row r="605" spans="1:11" ht="13">
      <c r="A605" s="8" t="str">
        <f t="shared" si="0"/>
        <v>-</v>
      </c>
      <c r="B605" s="16"/>
      <c r="C605" s="17"/>
      <c r="D605" s="22"/>
      <c r="E605" s="22"/>
      <c r="F605" s="23"/>
      <c r="G605" s="22"/>
      <c r="H605" s="22"/>
      <c r="I605" s="22"/>
      <c r="J605" s="22"/>
      <c r="K605" s="12">
        <f ca="1"/>
        <v>0</v>
      </c>
    </row>
    <row r="606" spans="1:11" ht="13">
      <c r="A606" s="8" t="str">
        <f t="shared" si="0"/>
        <v>-</v>
      </c>
      <c r="B606" s="16"/>
      <c r="C606" s="17"/>
      <c r="D606" s="22"/>
      <c r="E606" s="22"/>
      <c r="F606" s="23"/>
      <c r="G606" s="22"/>
      <c r="H606" s="22"/>
      <c r="I606" s="22"/>
      <c r="J606" s="22"/>
      <c r="K606" s="12">
        <f ca="1"/>
        <v>0</v>
      </c>
    </row>
    <row r="607" spans="1:11" ht="13">
      <c r="A607" s="8" t="str">
        <f t="shared" si="0"/>
        <v>-</v>
      </c>
      <c r="B607" s="16"/>
      <c r="C607" s="17"/>
      <c r="D607" s="22"/>
      <c r="E607" s="22"/>
      <c r="F607" s="23"/>
      <c r="G607" s="22"/>
      <c r="H607" s="22"/>
      <c r="I607" s="22"/>
      <c r="J607" s="22"/>
      <c r="K607" s="12">
        <f ca="1"/>
        <v>0</v>
      </c>
    </row>
    <row r="608" spans="1:11" ht="13">
      <c r="A608" s="8" t="str">
        <f t="shared" si="0"/>
        <v>-</v>
      </c>
      <c r="B608" s="16"/>
      <c r="C608" s="17"/>
      <c r="D608" s="22"/>
      <c r="E608" s="22"/>
      <c r="F608" s="23"/>
      <c r="G608" s="22"/>
      <c r="H608" s="22"/>
      <c r="I608" s="22"/>
      <c r="J608" s="22"/>
      <c r="K608" s="12">
        <f ca="1"/>
        <v>0</v>
      </c>
    </row>
    <row r="609" spans="1:11" ht="13">
      <c r="A609" s="8" t="str">
        <f t="shared" si="0"/>
        <v>-</v>
      </c>
      <c r="B609" s="16"/>
      <c r="C609" s="17"/>
      <c r="D609" s="22"/>
      <c r="E609" s="22"/>
      <c r="F609" s="23"/>
      <c r="G609" s="22"/>
      <c r="H609" s="22"/>
      <c r="I609" s="22"/>
      <c r="J609" s="22"/>
      <c r="K609" s="12">
        <f ca="1"/>
        <v>0</v>
      </c>
    </row>
    <row r="610" spans="1:11" ht="13">
      <c r="A610" s="8" t="str">
        <f t="shared" si="0"/>
        <v>-</v>
      </c>
      <c r="B610" s="16"/>
      <c r="C610" s="17"/>
      <c r="D610" s="22"/>
      <c r="E610" s="22"/>
      <c r="F610" s="23"/>
      <c r="G610" s="22"/>
      <c r="H610" s="22"/>
      <c r="I610" s="22"/>
      <c r="J610" s="22"/>
      <c r="K610" s="12">
        <f ca="1"/>
        <v>0</v>
      </c>
    </row>
    <row r="611" spans="1:11" ht="13">
      <c r="A611" s="8" t="str">
        <f t="shared" si="0"/>
        <v>-</v>
      </c>
      <c r="B611" s="16"/>
      <c r="C611" s="17"/>
      <c r="D611" s="22"/>
      <c r="E611" s="22"/>
      <c r="F611" s="23"/>
      <c r="G611" s="22"/>
      <c r="H611" s="22"/>
      <c r="I611" s="22"/>
      <c r="J611" s="22"/>
      <c r="K611" s="12">
        <f ca="1"/>
        <v>0</v>
      </c>
    </row>
    <row r="612" spans="1:11" ht="13">
      <c r="A612" s="8" t="str">
        <f t="shared" si="0"/>
        <v>-</v>
      </c>
      <c r="B612" s="16"/>
      <c r="C612" s="17"/>
      <c r="D612" s="22"/>
      <c r="E612" s="22"/>
      <c r="F612" s="23"/>
      <c r="G612" s="22"/>
      <c r="H612" s="22"/>
      <c r="I612" s="22"/>
      <c r="J612" s="22"/>
      <c r="K612" s="12">
        <f ca="1"/>
        <v>0</v>
      </c>
    </row>
    <row r="613" spans="1:11" ht="13">
      <c r="A613" s="8" t="str">
        <f t="shared" si="0"/>
        <v>-</v>
      </c>
      <c r="B613" s="16"/>
      <c r="C613" s="17"/>
      <c r="D613" s="22"/>
      <c r="E613" s="22"/>
      <c r="F613" s="23"/>
      <c r="G613" s="22"/>
      <c r="H613" s="22"/>
      <c r="I613" s="22"/>
      <c r="J613" s="22"/>
      <c r="K613" s="12">
        <f ca="1"/>
        <v>0</v>
      </c>
    </row>
    <row r="614" spans="1:11" ht="13">
      <c r="A614" s="8" t="str">
        <f t="shared" si="0"/>
        <v>-</v>
      </c>
      <c r="B614" s="16"/>
      <c r="C614" s="17"/>
      <c r="D614" s="22"/>
      <c r="E614" s="22"/>
      <c r="F614" s="23"/>
      <c r="G614" s="22"/>
      <c r="H614" s="22"/>
      <c r="I614" s="22"/>
      <c r="J614" s="22"/>
      <c r="K614" s="12">
        <f ca="1"/>
        <v>0</v>
      </c>
    </row>
    <row r="615" spans="1:11" ht="13">
      <c r="A615" s="8" t="str">
        <f t="shared" si="0"/>
        <v>-</v>
      </c>
      <c r="B615" s="16"/>
      <c r="C615" s="17"/>
      <c r="D615" s="22"/>
      <c r="E615" s="22"/>
      <c r="F615" s="23"/>
      <c r="G615" s="22"/>
      <c r="H615" s="22"/>
      <c r="I615" s="22"/>
      <c r="J615" s="22"/>
      <c r="K615" s="12">
        <f ca="1"/>
        <v>0</v>
      </c>
    </row>
    <row r="616" spans="1:11" ht="13">
      <c r="A616" s="8" t="str">
        <f t="shared" si="0"/>
        <v>-</v>
      </c>
      <c r="B616" s="16"/>
      <c r="C616" s="17"/>
      <c r="D616" s="22"/>
      <c r="E616" s="22"/>
      <c r="F616" s="23"/>
      <c r="G616" s="22"/>
      <c r="H616" s="22"/>
      <c r="I616" s="22"/>
      <c r="J616" s="22"/>
      <c r="K616" s="12">
        <f ca="1"/>
        <v>0</v>
      </c>
    </row>
    <row r="617" spans="1:11" ht="13">
      <c r="A617" s="8" t="str">
        <f t="shared" si="0"/>
        <v>-</v>
      </c>
      <c r="B617" s="16"/>
      <c r="C617" s="17"/>
      <c r="D617" s="22"/>
      <c r="E617" s="22"/>
      <c r="F617" s="23"/>
      <c r="G617" s="22"/>
      <c r="H617" s="22"/>
      <c r="I617" s="22"/>
      <c r="J617" s="22"/>
      <c r="K617" s="12">
        <f ca="1"/>
        <v>0</v>
      </c>
    </row>
    <row r="618" spans="1:11" ht="13">
      <c r="A618" s="8" t="str">
        <f t="shared" si="0"/>
        <v>-</v>
      </c>
      <c r="B618" s="16"/>
      <c r="C618" s="17"/>
      <c r="D618" s="22"/>
      <c r="E618" s="22"/>
      <c r="F618" s="23"/>
      <c r="G618" s="22"/>
      <c r="H618" s="22"/>
      <c r="I618" s="22"/>
      <c r="J618" s="22"/>
      <c r="K618" s="12">
        <f ca="1"/>
        <v>0</v>
      </c>
    </row>
    <row r="619" spans="1:11" ht="13">
      <c r="A619" s="8" t="str">
        <f t="shared" si="0"/>
        <v>-</v>
      </c>
      <c r="B619" s="16"/>
      <c r="C619" s="17"/>
      <c r="D619" s="22"/>
      <c r="E619" s="22"/>
      <c r="F619" s="23"/>
      <c r="G619" s="22"/>
      <c r="H619" s="22"/>
      <c r="I619" s="22"/>
      <c r="J619" s="22"/>
      <c r="K619" s="12">
        <f ca="1"/>
        <v>0</v>
      </c>
    </row>
    <row r="620" spans="1:11" ht="13">
      <c r="A620" s="8" t="str">
        <f t="shared" si="0"/>
        <v>-</v>
      </c>
      <c r="B620" s="16"/>
      <c r="C620" s="17"/>
      <c r="D620" s="22"/>
      <c r="E620" s="22"/>
      <c r="F620" s="23"/>
      <c r="G620" s="22"/>
      <c r="H620" s="22"/>
      <c r="I620" s="22"/>
      <c r="J620" s="22"/>
      <c r="K620" s="12">
        <f ca="1"/>
        <v>0</v>
      </c>
    </row>
    <row r="621" spans="1:11" ht="13">
      <c r="A621" s="8" t="str">
        <f t="shared" si="0"/>
        <v>-</v>
      </c>
      <c r="B621" s="16"/>
      <c r="C621" s="17"/>
      <c r="D621" s="22"/>
      <c r="E621" s="22"/>
      <c r="F621" s="23"/>
      <c r="G621" s="22"/>
      <c r="H621" s="22"/>
      <c r="I621" s="22"/>
      <c r="J621" s="22"/>
      <c r="K621" s="12">
        <f ca="1"/>
        <v>0</v>
      </c>
    </row>
    <row r="622" spans="1:11" ht="13">
      <c r="A622" s="8" t="str">
        <f t="shared" si="0"/>
        <v>-</v>
      </c>
      <c r="B622" s="16"/>
      <c r="C622" s="17"/>
      <c r="D622" s="22"/>
      <c r="E622" s="22"/>
      <c r="F622" s="23"/>
      <c r="G622" s="22"/>
      <c r="H622" s="22"/>
      <c r="I622" s="22"/>
      <c r="J622" s="22"/>
      <c r="K622" s="12">
        <f ca="1"/>
        <v>0</v>
      </c>
    </row>
    <row r="623" spans="1:11" ht="13">
      <c r="A623" s="8" t="str">
        <f t="shared" si="0"/>
        <v>-</v>
      </c>
      <c r="B623" s="16"/>
      <c r="C623" s="17"/>
      <c r="D623" s="22"/>
      <c r="E623" s="22"/>
      <c r="F623" s="23"/>
      <c r="G623" s="22"/>
      <c r="H623" s="22"/>
      <c r="I623" s="22"/>
      <c r="J623" s="22"/>
      <c r="K623" s="12">
        <f ca="1"/>
        <v>0</v>
      </c>
    </row>
    <row r="624" spans="1:11" ht="13">
      <c r="A624" s="8" t="str">
        <f t="shared" si="0"/>
        <v>-</v>
      </c>
      <c r="B624" s="16"/>
      <c r="C624" s="17"/>
      <c r="D624" s="22"/>
      <c r="E624" s="22"/>
      <c r="F624" s="23"/>
      <c r="G624" s="22"/>
      <c r="H624" s="22"/>
      <c r="I624" s="22"/>
      <c r="J624" s="22"/>
      <c r="K624" s="12">
        <f ca="1"/>
        <v>0</v>
      </c>
    </row>
    <row r="625" spans="1:11" ht="13">
      <c r="A625" s="8" t="str">
        <f t="shared" si="0"/>
        <v>-</v>
      </c>
      <c r="B625" s="16"/>
      <c r="C625" s="17"/>
      <c r="D625" s="22"/>
      <c r="E625" s="22"/>
      <c r="F625" s="23"/>
      <c r="G625" s="22"/>
      <c r="H625" s="22"/>
      <c r="I625" s="22"/>
      <c r="J625" s="22"/>
      <c r="K625" s="12">
        <f ca="1"/>
        <v>0</v>
      </c>
    </row>
    <row r="626" spans="1:11" ht="13">
      <c r="A626" s="8" t="str">
        <f t="shared" si="0"/>
        <v>-</v>
      </c>
      <c r="B626" s="16"/>
      <c r="C626" s="17"/>
      <c r="D626" s="22"/>
      <c r="E626" s="22"/>
      <c r="F626" s="23"/>
      <c r="G626" s="22"/>
      <c r="H626" s="22"/>
      <c r="I626" s="22"/>
      <c r="J626" s="22"/>
      <c r="K626" s="12">
        <f ca="1"/>
        <v>0</v>
      </c>
    </row>
    <row r="627" spans="1:11" ht="13">
      <c r="A627" s="8" t="str">
        <f t="shared" si="0"/>
        <v>-</v>
      </c>
      <c r="B627" s="16"/>
      <c r="C627" s="17"/>
      <c r="D627" s="22"/>
      <c r="E627" s="22"/>
      <c r="F627" s="23"/>
      <c r="G627" s="22"/>
      <c r="H627" s="22"/>
      <c r="I627" s="22"/>
      <c r="J627" s="22"/>
      <c r="K627" s="12">
        <f ca="1"/>
        <v>0</v>
      </c>
    </row>
    <row r="628" spans="1:11" ht="13">
      <c r="A628" s="8" t="str">
        <f t="shared" si="0"/>
        <v>-</v>
      </c>
      <c r="B628" s="16"/>
      <c r="C628" s="17"/>
      <c r="D628" s="22"/>
      <c r="E628" s="22"/>
      <c r="F628" s="23"/>
      <c r="G628" s="22"/>
      <c r="H628" s="22"/>
      <c r="I628" s="22"/>
      <c r="J628" s="22"/>
      <c r="K628" s="12">
        <f ca="1"/>
        <v>0</v>
      </c>
    </row>
    <row r="629" spans="1:11" ht="13">
      <c r="A629" s="8" t="str">
        <f t="shared" si="0"/>
        <v>-</v>
      </c>
      <c r="B629" s="16"/>
      <c r="C629" s="17"/>
      <c r="D629" s="22"/>
      <c r="E629" s="22"/>
      <c r="F629" s="23"/>
      <c r="G629" s="22"/>
      <c r="H629" s="22"/>
      <c r="I629" s="22"/>
      <c r="J629" s="22"/>
      <c r="K629" s="12">
        <f ca="1"/>
        <v>0</v>
      </c>
    </row>
    <row r="630" spans="1:11" ht="13">
      <c r="A630" s="8" t="str">
        <f t="shared" si="0"/>
        <v>-</v>
      </c>
      <c r="B630" s="16"/>
      <c r="C630" s="17"/>
      <c r="D630" s="22"/>
      <c r="E630" s="22"/>
      <c r="F630" s="23"/>
      <c r="G630" s="22"/>
      <c r="H630" s="22"/>
      <c r="I630" s="22"/>
      <c r="J630" s="22"/>
      <c r="K630" s="12">
        <f ca="1"/>
        <v>0</v>
      </c>
    </row>
    <row r="631" spans="1:11" ht="13">
      <c r="A631" s="8" t="str">
        <f t="shared" si="0"/>
        <v>-</v>
      </c>
      <c r="B631" s="16"/>
      <c r="C631" s="17"/>
      <c r="D631" s="22"/>
      <c r="E631" s="22"/>
      <c r="F631" s="23"/>
      <c r="G631" s="22"/>
      <c r="H631" s="22"/>
      <c r="I631" s="22"/>
      <c r="J631" s="22"/>
      <c r="K631" s="12">
        <f ca="1"/>
        <v>0</v>
      </c>
    </row>
    <row r="632" spans="1:11" ht="13">
      <c r="A632" s="8" t="str">
        <f t="shared" si="0"/>
        <v>-</v>
      </c>
      <c r="B632" s="16"/>
      <c r="C632" s="17"/>
      <c r="D632" s="22"/>
      <c r="E632" s="22"/>
      <c r="F632" s="23"/>
      <c r="G632" s="22"/>
      <c r="H632" s="22"/>
      <c r="I632" s="22"/>
      <c r="J632" s="22"/>
      <c r="K632" s="12">
        <f ca="1"/>
        <v>0</v>
      </c>
    </row>
    <row r="633" spans="1:11" ht="13">
      <c r="A633" s="8" t="str">
        <f t="shared" si="0"/>
        <v>-</v>
      </c>
      <c r="B633" s="16"/>
      <c r="C633" s="17"/>
      <c r="D633" s="22"/>
      <c r="E633" s="22"/>
      <c r="F633" s="23"/>
      <c r="G633" s="22"/>
      <c r="H633" s="22"/>
      <c r="I633" s="22"/>
      <c r="J633" s="22"/>
      <c r="K633" s="12">
        <f ca="1"/>
        <v>0</v>
      </c>
    </row>
    <row r="634" spans="1:11" ht="13">
      <c r="A634" s="8" t="str">
        <f t="shared" si="0"/>
        <v>-</v>
      </c>
      <c r="B634" s="16"/>
      <c r="C634" s="17"/>
      <c r="D634" s="22"/>
      <c r="E634" s="22"/>
      <c r="F634" s="23"/>
      <c r="G634" s="22"/>
      <c r="H634" s="22"/>
      <c r="I634" s="22"/>
      <c r="J634" s="22"/>
      <c r="K634" s="12">
        <f ca="1"/>
        <v>0</v>
      </c>
    </row>
    <row r="635" spans="1:11" ht="13">
      <c r="A635" s="8" t="str">
        <f t="shared" si="0"/>
        <v>-</v>
      </c>
      <c r="B635" s="16"/>
      <c r="C635" s="17"/>
      <c r="D635" s="22"/>
      <c r="E635" s="22"/>
      <c r="F635" s="23"/>
      <c r="G635" s="22"/>
      <c r="H635" s="22"/>
      <c r="I635" s="22"/>
      <c r="J635" s="22"/>
      <c r="K635" s="12">
        <f ca="1"/>
        <v>0</v>
      </c>
    </row>
    <row r="636" spans="1:11" ht="13">
      <c r="A636" s="8" t="str">
        <f t="shared" si="0"/>
        <v>-</v>
      </c>
      <c r="B636" s="16"/>
      <c r="C636" s="17"/>
      <c r="D636" s="22"/>
      <c r="E636" s="22"/>
      <c r="F636" s="23"/>
      <c r="G636" s="22"/>
      <c r="H636" s="22"/>
      <c r="I636" s="22"/>
      <c r="J636" s="22"/>
      <c r="K636" s="12">
        <f ca="1"/>
        <v>0</v>
      </c>
    </row>
    <row r="637" spans="1:11" ht="13">
      <c r="A637" s="8" t="str">
        <f t="shared" si="0"/>
        <v>-</v>
      </c>
      <c r="B637" s="16"/>
      <c r="C637" s="17"/>
      <c r="D637" s="22"/>
      <c r="E637" s="22"/>
      <c r="F637" s="23"/>
      <c r="G637" s="22"/>
      <c r="H637" s="22"/>
      <c r="I637" s="22"/>
      <c r="J637" s="22"/>
      <c r="K637" s="12">
        <f ca="1"/>
        <v>0</v>
      </c>
    </row>
    <row r="638" spans="1:11" ht="13">
      <c r="A638" s="8" t="str">
        <f t="shared" si="0"/>
        <v>-</v>
      </c>
      <c r="B638" s="16"/>
      <c r="C638" s="17"/>
      <c r="D638" s="22"/>
      <c r="E638" s="22"/>
      <c r="F638" s="23"/>
      <c r="G638" s="22"/>
      <c r="H638" s="22"/>
      <c r="I638" s="22"/>
      <c r="J638" s="22"/>
      <c r="K638" s="12">
        <f ca="1"/>
        <v>0</v>
      </c>
    </row>
    <row r="639" spans="1:11" ht="13">
      <c r="A639" s="8" t="str">
        <f t="shared" si="0"/>
        <v>-</v>
      </c>
      <c r="B639" s="16"/>
      <c r="C639" s="17"/>
      <c r="D639" s="22"/>
      <c r="E639" s="22"/>
      <c r="F639" s="23"/>
      <c r="G639" s="22"/>
      <c r="H639" s="22"/>
      <c r="I639" s="22"/>
      <c r="J639" s="22"/>
      <c r="K639" s="12">
        <f ca="1"/>
        <v>0</v>
      </c>
    </row>
    <row r="640" spans="1:11" ht="13">
      <c r="A640" s="8" t="str">
        <f t="shared" si="0"/>
        <v>-</v>
      </c>
      <c r="B640" s="16"/>
      <c r="C640" s="17"/>
      <c r="D640" s="22"/>
      <c r="E640" s="22"/>
      <c r="F640" s="23"/>
      <c r="G640" s="22"/>
      <c r="H640" s="22"/>
      <c r="I640" s="22"/>
      <c r="J640" s="22"/>
      <c r="K640" s="12">
        <f ca="1"/>
        <v>0</v>
      </c>
    </row>
    <row r="641" spans="1:11" ht="13">
      <c r="A641" s="8" t="str">
        <f t="shared" si="0"/>
        <v>-</v>
      </c>
      <c r="B641" s="16"/>
      <c r="C641" s="17"/>
      <c r="D641" s="22"/>
      <c r="E641" s="22"/>
      <c r="F641" s="23"/>
      <c r="G641" s="22"/>
      <c r="H641" s="22"/>
      <c r="I641" s="22"/>
      <c r="J641" s="22"/>
      <c r="K641" s="12">
        <f ca="1"/>
        <v>0</v>
      </c>
    </row>
    <row r="642" spans="1:11" ht="13">
      <c r="A642" s="8" t="str">
        <f t="shared" si="0"/>
        <v>-</v>
      </c>
      <c r="B642" s="16"/>
      <c r="C642" s="17"/>
      <c r="D642" s="22"/>
      <c r="E642" s="22"/>
      <c r="F642" s="23"/>
      <c r="G642" s="22"/>
      <c r="H642" s="22"/>
      <c r="I642" s="22"/>
      <c r="J642" s="22"/>
      <c r="K642" s="12">
        <f ca="1"/>
        <v>0</v>
      </c>
    </row>
    <row r="643" spans="1:11" ht="13">
      <c r="A643" s="8" t="str">
        <f t="shared" si="0"/>
        <v>-</v>
      </c>
      <c r="B643" s="16"/>
      <c r="C643" s="17"/>
      <c r="D643" s="22"/>
      <c r="E643" s="22"/>
      <c r="F643" s="23"/>
      <c r="G643" s="22"/>
      <c r="H643" s="22"/>
      <c r="I643" s="22"/>
      <c r="J643" s="22"/>
      <c r="K643" s="12">
        <f ca="1"/>
        <v>0</v>
      </c>
    </row>
    <row r="644" spans="1:11" ht="13">
      <c r="A644" s="8" t="str">
        <f t="shared" si="0"/>
        <v>-</v>
      </c>
      <c r="B644" s="16"/>
      <c r="C644" s="17"/>
      <c r="D644" s="22"/>
      <c r="E644" s="22"/>
      <c r="F644" s="23"/>
      <c r="G644" s="22"/>
      <c r="H644" s="22"/>
      <c r="I644" s="22"/>
      <c r="J644" s="22"/>
      <c r="K644" s="12">
        <f ca="1"/>
        <v>0</v>
      </c>
    </row>
    <row r="645" spans="1:11" ht="13">
      <c r="A645" s="8" t="str">
        <f t="shared" si="0"/>
        <v>-</v>
      </c>
      <c r="B645" s="16"/>
      <c r="C645" s="17"/>
      <c r="D645" s="22"/>
      <c r="E645" s="22"/>
      <c r="F645" s="23"/>
      <c r="G645" s="22"/>
      <c r="H645" s="22"/>
      <c r="I645" s="22"/>
      <c r="J645" s="22"/>
      <c r="K645" s="12">
        <f ca="1"/>
        <v>0</v>
      </c>
    </row>
    <row r="646" spans="1:11" ht="13">
      <c r="A646" s="8" t="str">
        <f t="shared" si="0"/>
        <v>-</v>
      </c>
      <c r="B646" s="16"/>
      <c r="C646" s="17"/>
      <c r="D646" s="22"/>
      <c r="E646" s="22"/>
      <c r="F646" s="23"/>
      <c r="G646" s="22"/>
      <c r="H646" s="22"/>
      <c r="I646" s="22"/>
      <c r="J646" s="22"/>
      <c r="K646" s="12">
        <f ca="1"/>
        <v>0</v>
      </c>
    </row>
    <row r="647" spans="1:11" ht="13">
      <c r="A647" s="8" t="str">
        <f t="shared" si="0"/>
        <v>-</v>
      </c>
      <c r="B647" s="16"/>
      <c r="C647" s="17"/>
      <c r="D647" s="22"/>
      <c r="E647" s="22"/>
      <c r="F647" s="23"/>
      <c r="G647" s="22"/>
      <c r="H647" s="22"/>
      <c r="I647" s="22"/>
      <c r="J647" s="22"/>
      <c r="K647" s="12">
        <f ca="1"/>
        <v>0</v>
      </c>
    </row>
    <row r="648" spans="1:11" ht="13">
      <c r="A648" s="8" t="str">
        <f t="shared" si="0"/>
        <v>-</v>
      </c>
      <c r="B648" s="16"/>
      <c r="C648" s="17"/>
      <c r="D648" s="22"/>
      <c r="E648" s="22"/>
      <c r="F648" s="23"/>
      <c r="G648" s="22"/>
      <c r="H648" s="22"/>
      <c r="I648" s="22"/>
      <c r="J648" s="22"/>
      <c r="K648" s="12">
        <f ca="1"/>
        <v>0</v>
      </c>
    </row>
    <row r="649" spans="1:11" ht="13">
      <c r="A649" s="8" t="str">
        <f t="shared" si="0"/>
        <v>-</v>
      </c>
      <c r="B649" s="16"/>
      <c r="C649" s="17"/>
      <c r="D649" s="22"/>
      <c r="E649" s="22"/>
      <c r="F649" s="23"/>
      <c r="G649" s="22"/>
      <c r="H649" s="22"/>
      <c r="I649" s="22"/>
      <c r="J649" s="22"/>
      <c r="K649" s="12">
        <f ca="1"/>
        <v>0</v>
      </c>
    </row>
    <row r="650" spans="1:11" ht="13">
      <c r="A650" s="8" t="str">
        <f t="shared" si="0"/>
        <v>-</v>
      </c>
      <c r="B650" s="16"/>
      <c r="C650" s="17"/>
      <c r="D650" s="22"/>
      <c r="E650" s="22"/>
      <c r="F650" s="23"/>
      <c r="G650" s="22"/>
      <c r="H650" s="22"/>
      <c r="I650" s="22"/>
      <c r="J650" s="22"/>
      <c r="K650" s="12">
        <f ca="1"/>
        <v>0</v>
      </c>
    </row>
    <row r="651" spans="1:11" ht="13">
      <c r="A651" s="8" t="str">
        <f t="shared" si="0"/>
        <v>-</v>
      </c>
      <c r="B651" s="16"/>
      <c r="C651" s="17"/>
      <c r="D651" s="22"/>
      <c r="E651" s="22"/>
      <c r="F651" s="23"/>
      <c r="G651" s="22"/>
      <c r="H651" s="22"/>
      <c r="I651" s="22"/>
      <c r="J651" s="22"/>
      <c r="K651" s="12">
        <f ca="1"/>
        <v>0</v>
      </c>
    </row>
    <row r="652" spans="1:11" ht="13">
      <c r="A652" s="8" t="str">
        <f t="shared" si="0"/>
        <v>-</v>
      </c>
      <c r="B652" s="16"/>
      <c r="C652" s="17"/>
      <c r="D652" s="22"/>
      <c r="E652" s="22"/>
      <c r="F652" s="23"/>
      <c r="G652" s="22"/>
      <c r="H652" s="22"/>
      <c r="I652" s="22"/>
      <c r="J652" s="22"/>
      <c r="K652" s="12">
        <f ca="1"/>
        <v>0</v>
      </c>
    </row>
    <row r="653" spans="1:11" ht="13">
      <c r="A653" s="8" t="str">
        <f t="shared" si="0"/>
        <v>-</v>
      </c>
      <c r="B653" s="16"/>
      <c r="C653" s="17"/>
      <c r="D653" s="22"/>
      <c r="E653" s="22"/>
      <c r="F653" s="23"/>
      <c r="G653" s="22"/>
      <c r="H653" s="22"/>
      <c r="I653" s="22"/>
      <c r="J653" s="22"/>
      <c r="K653" s="12">
        <f ca="1"/>
        <v>0</v>
      </c>
    </row>
    <row r="654" spans="1:11" ht="13">
      <c r="A654" s="8" t="str">
        <f t="shared" si="0"/>
        <v>-</v>
      </c>
      <c r="B654" s="16"/>
      <c r="C654" s="17"/>
      <c r="D654" s="22"/>
      <c r="E654" s="22"/>
      <c r="F654" s="23"/>
      <c r="G654" s="22"/>
      <c r="H654" s="22"/>
      <c r="I654" s="22"/>
      <c r="J654" s="22"/>
      <c r="K654" s="12">
        <f ca="1"/>
        <v>0</v>
      </c>
    </row>
    <row r="655" spans="1:11" ht="13">
      <c r="A655" s="8" t="str">
        <f t="shared" si="0"/>
        <v>-</v>
      </c>
      <c r="B655" s="16"/>
      <c r="C655" s="17"/>
      <c r="D655" s="22"/>
      <c r="E655" s="22"/>
      <c r="F655" s="23"/>
      <c r="G655" s="22"/>
      <c r="H655" s="22"/>
      <c r="I655" s="22"/>
      <c r="J655" s="22"/>
      <c r="K655" s="12">
        <f ca="1"/>
        <v>0</v>
      </c>
    </row>
    <row r="656" spans="1:11" ht="13">
      <c r="A656" s="8" t="str">
        <f t="shared" si="0"/>
        <v>-</v>
      </c>
      <c r="B656" s="16"/>
      <c r="C656" s="17"/>
      <c r="D656" s="22"/>
      <c r="E656" s="22"/>
      <c r="F656" s="23"/>
      <c r="G656" s="22"/>
      <c r="H656" s="22"/>
      <c r="I656" s="22"/>
      <c r="J656" s="22"/>
      <c r="K656" s="12">
        <f ca="1"/>
        <v>0</v>
      </c>
    </row>
    <row r="657" spans="1:11" ht="13">
      <c r="A657" s="8" t="str">
        <f t="shared" si="0"/>
        <v>-</v>
      </c>
      <c r="B657" s="16"/>
      <c r="C657" s="17"/>
      <c r="D657" s="22"/>
      <c r="E657" s="22"/>
      <c r="F657" s="23"/>
      <c r="G657" s="22"/>
      <c r="H657" s="22"/>
      <c r="I657" s="22"/>
      <c r="J657" s="22"/>
      <c r="K657" s="12">
        <f ca="1"/>
        <v>0</v>
      </c>
    </row>
    <row r="658" spans="1:11" ht="13">
      <c r="A658" s="8" t="str">
        <f t="shared" si="0"/>
        <v>-</v>
      </c>
      <c r="B658" s="16"/>
      <c r="C658" s="17"/>
      <c r="D658" s="22"/>
      <c r="E658" s="22"/>
      <c r="F658" s="23"/>
      <c r="G658" s="22"/>
      <c r="H658" s="22"/>
      <c r="I658" s="22"/>
      <c r="J658" s="22"/>
      <c r="K658" s="12">
        <f ca="1"/>
        <v>0</v>
      </c>
    </row>
    <row r="659" spans="1:11" ht="13">
      <c r="A659" s="8" t="str">
        <f t="shared" si="0"/>
        <v>-</v>
      </c>
      <c r="B659" s="16"/>
      <c r="C659" s="17"/>
      <c r="D659" s="22"/>
      <c r="E659" s="22"/>
      <c r="F659" s="23"/>
      <c r="G659" s="22"/>
      <c r="H659" s="22"/>
      <c r="I659" s="22"/>
      <c r="J659" s="22"/>
      <c r="K659" s="12">
        <f ca="1"/>
        <v>0</v>
      </c>
    </row>
    <row r="660" spans="1:11" ht="13">
      <c r="A660" s="8" t="str">
        <f t="shared" si="0"/>
        <v>-</v>
      </c>
      <c r="B660" s="16"/>
      <c r="C660" s="17"/>
      <c r="D660" s="22"/>
      <c r="E660" s="22"/>
      <c r="F660" s="23"/>
      <c r="G660" s="22"/>
      <c r="H660" s="22"/>
      <c r="I660" s="22"/>
      <c r="J660" s="22"/>
      <c r="K660" s="12">
        <f ca="1"/>
        <v>0</v>
      </c>
    </row>
    <row r="661" spans="1:11" ht="13">
      <c r="A661" s="8" t="str">
        <f t="shared" si="0"/>
        <v>-</v>
      </c>
      <c r="B661" s="16"/>
      <c r="C661" s="17"/>
      <c r="D661" s="22"/>
      <c r="E661" s="22"/>
      <c r="F661" s="23"/>
      <c r="G661" s="22"/>
      <c r="H661" s="22"/>
      <c r="I661" s="22"/>
      <c r="J661" s="22"/>
      <c r="K661" s="12">
        <f ca="1"/>
        <v>0</v>
      </c>
    </row>
    <row r="662" spans="1:11" ht="13">
      <c r="A662" s="8" t="str">
        <f t="shared" si="0"/>
        <v>-</v>
      </c>
      <c r="B662" s="16"/>
      <c r="C662" s="17"/>
      <c r="D662" s="22"/>
      <c r="E662" s="22"/>
      <c r="F662" s="23"/>
      <c r="G662" s="22"/>
      <c r="H662" s="22"/>
      <c r="I662" s="22"/>
      <c r="J662" s="22"/>
      <c r="K662" s="12">
        <f ca="1"/>
        <v>0</v>
      </c>
    </row>
    <row r="663" spans="1:11" ht="13">
      <c r="A663" s="8" t="str">
        <f t="shared" si="0"/>
        <v>-</v>
      </c>
      <c r="B663" s="16"/>
      <c r="C663" s="17"/>
      <c r="D663" s="22"/>
      <c r="E663" s="22"/>
      <c r="F663" s="23"/>
      <c r="G663" s="22"/>
      <c r="H663" s="22"/>
      <c r="I663" s="22"/>
      <c r="J663" s="22"/>
      <c r="K663" s="12">
        <f ca="1"/>
        <v>0</v>
      </c>
    </row>
    <row r="664" spans="1:11" ht="13">
      <c r="A664" s="8" t="str">
        <f t="shared" si="0"/>
        <v>-</v>
      </c>
      <c r="B664" s="16"/>
      <c r="C664" s="17"/>
      <c r="D664" s="22"/>
      <c r="E664" s="22"/>
      <c r="F664" s="23"/>
      <c r="G664" s="22"/>
      <c r="H664" s="22"/>
      <c r="I664" s="22"/>
      <c r="J664" s="22"/>
      <c r="K664" s="12">
        <f ca="1"/>
        <v>0</v>
      </c>
    </row>
    <row r="665" spans="1:11" ht="13">
      <c r="A665" s="8" t="str">
        <f t="shared" si="0"/>
        <v>-</v>
      </c>
      <c r="B665" s="16"/>
      <c r="C665" s="17"/>
      <c r="D665" s="22"/>
      <c r="E665" s="22"/>
      <c r="F665" s="23"/>
      <c r="G665" s="22"/>
      <c r="H665" s="22"/>
      <c r="I665" s="22"/>
      <c r="J665" s="22"/>
      <c r="K665" s="12">
        <f ca="1"/>
        <v>0</v>
      </c>
    </row>
    <row r="666" spans="1:11" ht="13">
      <c r="A666" s="8" t="str">
        <f t="shared" si="0"/>
        <v>-</v>
      </c>
      <c r="B666" s="16"/>
      <c r="C666" s="17"/>
      <c r="D666" s="22"/>
      <c r="E666" s="22"/>
      <c r="F666" s="23"/>
      <c r="G666" s="22"/>
      <c r="H666" s="22"/>
      <c r="I666" s="22"/>
      <c r="J666" s="22"/>
      <c r="K666" s="12">
        <f ca="1"/>
        <v>0</v>
      </c>
    </row>
    <row r="667" spans="1:11" ht="13">
      <c r="A667" s="8" t="str">
        <f t="shared" si="0"/>
        <v>-</v>
      </c>
      <c r="B667" s="16"/>
      <c r="C667" s="17"/>
      <c r="D667" s="22"/>
      <c r="E667" s="22"/>
      <c r="F667" s="23"/>
      <c r="G667" s="22"/>
      <c r="H667" s="22"/>
      <c r="I667" s="22"/>
      <c r="J667" s="22"/>
      <c r="K667" s="12">
        <f ca="1"/>
        <v>0</v>
      </c>
    </row>
    <row r="668" spans="1:11" ht="13">
      <c r="A668" s="8" t="str">
        <f t="shared" si="0"/>
        <v>-</v>
      </c>
      <c r="B668" s="16"/>
      <c r="C668" s="17"/>
      <c r="D668" s="22"/>
      <c r="E668" s="22"/>
      <c r="F668" s="23"/>
      <c r="G668" s="22"/>
      <c r="H668" s="22"/>
      <c r="I668" s="22"/>
      <c r="J668" s="22"/>
      <c r="K668" s="12">
        <f ca="1"/>
        <v>0</v>
      </c>
    </row>
    <row r="669" spans="1:11" ht="13">
      <c r="A669" s="8" t="str">
        <f t="shared" si="0"/>
        <v>-</v>
      </c>
      <c r="B669" s="16"/>
      <c r="C669" s="17"/>
      <c r="D669" s="22"/>
      <c r="E669" s="22"/>
      <c r="F669" s="23"/>
      <c r="G669" s="22"/>
      <c r="H669" s="22"/>
      <c r="I669" s="22"/>
      <c r="J669" s="22"/>
      <c r="K669" s="12">
        <f ca="1"/>
        <v>0</v>
      </c>
    </row>
    <row r="670" spans="1:11" ht="13">
      <c r="A670" s="8" t="str">
        <f t="shared" si="0"/>
        <v>-</v>
      </c>
      <c r="B670" s="16"/>
      <c r="C670" s="17"/>
      <c r="D670" s="22"/>
      <c r="E670" s="22"/>
      <c r="F670" s="23"/>
      <c r="G670" s="22"/>
      <c r="H670" s="22"/>
      <c r="I670" s="22"/>
      <c r="J670" s="22"/>
      <c r="K670" s="12">
        <f ca="1"/>
        <v>0</v>
      </c>
    </row>
    <row r="671" spans="1:11" ht="13">
      <c r="A671" s="8" t="str">
        <f t="shared" si="0"/>
        <v>-</v>
      </c>
      <c r="B671" s="16"/>
      <c r="C671" s="17"/>
      <c r="D671" s="22"/>
      <c r="E671" s="22"/>
      <c r="F671" s="23"/>
      <c r="G671" s="22"/>
      <c r="H671" s="22"/>
      <c r="I671" s="22"/>
      <c r="J671" s="22"/>
      <c r="K671" s="12">
        <f ca="1"/>
        <v>0</v>
      </c>
    </row>
    <row r="672" spans="1:11" ht="13">
      <c r="A672" s="8" t="str">
        <f t="shared" si="0"/>
        <v>-</v>
      </c>
      <c r="B672" s="16"/>
      <c r="C672" s="17"/>
      <c r="D672" s="22"/>
      <c r="E672" s="22"/>
      <c r="F672" s="23"/>
      <c r="G672" s="22"/>
      <c r="H672" s="22"/>
      <c r="I672" s="22"/>
      <c r="J672" s="22"/>
      <c r="K672" s="12">
        <f ca="1"/>
        <v>0</v>
      </c>
    </row>
    <row r="673" spans="1:11" ht="13">
      <c r="A673" s="8" t="str">
        <f t="shared" si="0"/>
        <v>-</v>
      </c>
      <c r="B673" s="16"/>
      <c r="C673" s="17"/>
      <c r="D673" s="22"/>
      <c r="E673" s="22"/>
      <c r="F673" s="23"/>
      <c r="G673" s="22"/>
      <c r="H673" s="22"/>
      <c r="I673" s="22"/>
      <c r="J673" s="22"/>
      <c r="K673" s="12">
        <f ca="1"/>
        <v>0</v>
      </c>
    </row>
    <row r="674" spans="1:11" ht="13">
      <c r="A674" s="8" t="str">
        <f t="shared" si="0"/>
        <v>-</v>
      </c>
      <c r="B674" s="16"/>
      <c r="C674" s="17"/>
      <c r="D674" s="22"/>
      <c r="E674" s="22"/>
      <c r="F674" s="23"/>
      <c r="G674" s="22"/>
      <c r="H674" s="22"/>
      <c r="I674" s="22"/>
      <c r="J674" s="22"/>
      <c r="K674" s="12">
        <f ca="1"/>
        <v>0</v>
      </c>
    </row>
    <row r="675" spans="1:11" ht="13">
      <c r="A675" s="8" t="str">
        <f t="shared" si="0"/>
        <v>-</v>
      </c>
      <c r="B675" s="16"/>
      <c r="C675" s="17"/>
      <c r="D675" s="22"/>
      <c r="E675" s="22"/>
      <c r="F675" s="23"/>
      <c r="G675" s="22"/>
      <c r="H675" s="22"/>
      <c r="I675" s="22"/>
      <c r="J675" s="22"/>
      <c r="K675" s="12">
        <f ca="1"/>
        <v>0</v>
      </c>
    </row>
    <row r="676" spans="1:11" ht="13">
      <c r="A676" s="8" t="str">
        <f t="shared" si="0"/>
        <v>-</v>
      </c>
      <c r="B676" s="16"/>
      <c r="C676" s="17"/>
      <c r="D676" s="22"/>
      <c r="E676" s="22"/>
      <c r="F676" s="23"/>
      <c r="G676" s="22"/>
      <c r="H676" s="22"/>
      <c r="I676" s="22"/>
      <c r="J676" s="22"/>
      <c r="K676" s="12">
        <f ca="1"/>
        <v>0</v>
      </c>
    </row>
    <row r="677" spans="1:11" ht="13">
      <c r="A677" s="8" t="str">
        <f t="shared" si="0"/>
        <v>-</v>
      </c>
      <c r="B677" s="16"/>
      <c r="C677" s="17"/>
      <c r="D677" s="22"/>
      <c r="E677" s="22"/>
      <c r="F677" s="23"/>
      <c r="G677" s="22"/>
      <c r="H677" s="22"/>
      <c r="I677" s="22"/>
      <c r="J677" s="22"/>
      <c r="K677" s="12">
        <f ca="1"/>
        <v>0</v>
      </c>
    </row>
    <row r="678" spans="1:11" ht="13">
      <c r="A678" s="8" t="str">
        <f t="shared" si="0"/>
        <v>-</v>
      </c>
      <c r="B678" s="16"/>
      <c r="C678" s="17"/>
      <c r="D678" s="22"/>
      <c r="E678" s="22"/>
      <c r="F678" s="23"/>
      <c r="G678" s="22"/>
      <c r="H678" s="22"/>
      <c r="I678" s="22"/>
      <c r="J678" s="22"/>
      <c r="K678" s="12">
        <f ca="1"/>
        <v>0</v>
      </c>
    </row>
    <row r="679" spans="1:11" ht="13">
      <c r="A679" s="8" t="str">
        <f t="shared" si="0"/>
        <v>-</v>
      </c>
      <c r="B679" s="16"/>
      <c r="C679" s="17"/>
      <c r="D679" s="22"/>
      <c r="E679" s="22"/>
      <c r="F679" s="23"/>
      <c r="G679" s="22"/>
      <c r="H679" s="22"/>
      <c r="I679" s="22"/>
      <c r="J679" s="22"/>
      <c r="K679" s="12">
        <f ca="1"/>
        <v>0</v>
      </c>
    </row>
    <row r="680" spans="1:11" ht="13">
      <c r="A680" s="8" t="str">
        <f t="shared" si="0"/>
        <v>-</v>
      </c>
      <c r="B680" s="16"/>
      <c r="C680" s="17"/>
      <c r="D680" s="22"/>
      <c r="E680" s="22"/>
      <c r="F680" s="23"/>
      <c r="G680" s="22"/>
      <c r="H680" s="22"/>
      <c r="I680" s="22"/>
      <c r="J680" s="22"/>
      <c r="K680" s="12">
        <f ca="1"/>
        <v>0</v>
      </c>
    </row>
    <row r="681" spans="1:11" ht="13">
      <c r="A681" s="8" t="str">
        <f t="shared" si="0"/>
        <v>-</v>
      </c>
      <c r="B681" s="16"/>
      <c r="C681" s="17"/>
      <c r="D681" s="22"/>
      <c r="E681" s="22"/>
      <c r="F681" s="23"/>
      <c r="G681" s="22"/>
      <c r="H681" s="22"/>
      <c r="I681" s="22"/>
      <c r="J681" s="22"/>
      <c r="K681" s="12">
        <f ca="1"/>
        <v>0</v>
      </c>
    </row>
    <row r="682" spans="1:11" ht="13">
      <c r="A682" s="8" t="str">
        <f t="shared" si="0"/>
        <v>-</v>
      </c>
      <c r="B682" s="16"/>
      <c r="C682" s="17"/>
      <c r="D682" s="22"/>
      <c r="E682" s="22"/>
      <c r="F682" s="23"/>
      <c r="G682" s="22"/>
      <c r="H682" s="22"/>
      <c r="I682" s="22"/>
      <c r="J682" s="22"/>
      <c r="K682" s="12">
        <f ca="1"/>
        <v>0</v>
      </c>
    </row>
    <row r="683" spans="1:11" ht="13">
      <c r="A683" s="8" t="str">
        <f t="shared" si="0"/>
        <v>-</v>
      </c>
      <c r="B683" s="16"/>
      <c r="C683" s="17"/>
      <c r="D683" s="22"/>
      <c r="E683" s="22"/>
      <c r="F683" s="23"/>
      <c r="G683" s="22"/>
      <c r="H683" s="22"/>
      <c r="I683" s="22"/>
      <c r="J683" s="22"/>
      <c r="K683" s="12">
        <f ca="1"/>
        <v>0</v>
      </c>
    </row>
    <row r="684" spans="1:11" ht="13">
      <c r="A684" s="8" t="str">
        <f t="shared" si="0"/>
        <v>-</v>
      </c>
      <c r="B684" s="16"/>
      <c r="C684" s="17"/>
      <c r="D684" s="22"/>
      <c r="E684" s="22"/>
      <c r="F684" s="23"/>
      <c r="G684" s="22"/>
      <c r="H684" s="22"/>
      <c r="I684" s="22"/>
      <c r="J684" s="22"/>
      <c r="K684" s="12">
        <f ca="1"/>
        <v>0</v>
      </c>
    </row>
    <row r="685" spans="1:11" ht="13">
      <c r="A685" s="8" t="str">
        <f t="shared" si="0"/>
        <v>-</v>
      </c>
      <c r="B685" s="16"/>
      <c r="C685" s="17"/>
      <c r="D685" s="22"/>
      <c r="E685" s="22"/>
      <c r="F685" s="23"/>
      <c r="G685" s="22"/>
      <c r="H685" s="22"/>
      <c r="I685" s="22"/>
      <c r="J685" s="22"/>
      <c r="K685" s="12">
        <f ca="1"/>
        <v>0</v>
      </c>
    </row>
    <row r="686" spans="1:11" ht="13">
      <c r="A686" s="8" t="str">
        <f t="shared" si="0"/>
        <v>-</v>
      </c>
      <c r="B686" s="16"/>
      <c r="C686" s="17"/>
      <c r="D686" s="22"/>
      <c r="E686" s="22"/>
      <c r="F686" s="23"/>
      <c r="G686" s="22"/>
      <c r="H686" s="22"/>
      <c r="I686" s="22"/>
      <c r="J686" s="22"/>
      <c r="K686" s="12">
        <f ca="1"/>
        <v>0</v>
      </c>
    </row>
    <row r="687" spans="1:11" ht="13">
      <c r="A687" s="8" t="str">
        <f t="shared" si="0"/>
        <v>-</v>
      </c>
      <c r="B687" s="16"/>
      <c r="C687" s="17"/>
      <c r="D687" s="22"/>
      <c r="E687" s="22"/>
      <c r="F687" s="23"/>
      <c r="G687" s="22"/>
      <c r="H687" s="22"/>
      <c r="I687" s="22"/>
      <c r="J687" s="22"/>
      <c r="K687" s="12">
        <f ca="1"/>
        <v>0</v>
      </c>
    </row>
    <row r="688" spans="1:11" ht="13">
      <c r="A688" s="8" t="str">
        <f t="shared" si="0"/>
        <v>-</v>
      </c>
      <c r="B688" s="16"/>
      <c r="C688" s="17"/>
      <c r="D688" s="22"/>
      <c r="E688" s="22"/>
      <c r="F688" s="23"/>
      <c r="G688" s="22"/>
      <c r="H688" s="22"/>
      <c r="I688" s="22"/>
      <c r="J688" s="22"/>
      <c r="K688" s="12">
        <f ca="1"/>
        <v>0</v>
      </c>
    </row>
    <row r="689" spans="1:11" ht="13">
      <c r="A689" s="8" t="str">
        <f t="shared" si="0"/>
        <v>-</v>
      </c>
      <c r="B689" s="16"/>
      <c r="C689" s="17"/>
      <c r="D689" s="22"/>
      <c r="E689" s="22"/>
      <c r="F689" s="23"/>
      <c r="G689" s="22"/>
      <c r="H689" s="22"/>
      <c r="I689" s="22"/>
      <c r="J689" s="22"/>
      <c r="K689" s="12">
        <f ca="1"/>
        <v>0</v>
      </c>
    </row>
    <row r="690" spans="1:11" ht="13">
      <c r="A690" s="8" t="str">
        <f t="shared" si="0"/>
        <v>-</v>
      </c>
      <c r="B690" s="16"/>
      <c r="C690" s="17"/>
      <c r="D690" s="22"/>
      <c r="E690" s="22"/>
      <c r="F690" s="23"/>
      <c r="G690" s="22"/>
      <c r="H690" s="22"/>
      <c r="I690" s="22"/>
      <c r="J690" s="22"/>
      <c r="K690" s="12">
        <f ca="1"/>
        <v>0</v>
      </c>
    </row>
    <row r="691" spans="1:11" ht="13">
      <c r="A691" s="8" t="str">
        <f t="shared" si="0"/>
        <v>-</v>
      </c>
      <c r="B691" s="16"/>
      <c r="C691" s="17"/>
      <c r="D691" s="22"/>
      <c r="E691" s="22"/>
      <c r="F691" s="23"/>
      <c r="G691" s="22"/>
      <c r="H691" s="22"/>
      <c r="I691" s="22"/>
      <c r="J691" s="22"/>
      <c r="K691" s="12">
        <f ca="1"/>
        <v>0</v>
      </c>
    </row>
    <row r="692" spans="1:11" ht="13">
      <c r="A692" s="8" t="str">
        <f t="shared" si="0"/>
        <v>-</v>
      </c>
      <c r="B692" s="16"/>
      <c r="C692" s="17"/>
      <c r="D692" s="22"/>
      <c r="E692" s="22"/>
      <c r="F692" s="23"/>
      <c r="G692" s="22"/>
      <c r="H692" s="22"/>
      <c r="I692" s="22"/>
      <c r="J692" s="22"/>
      <c r="K692" s="12">
        <f ca="1"/>
        <v>0</v>
      </c>
    </row>
    <row r="693" spans="1:11" ht="13">
      <c r="A693" s="8" t="str">
        <f t="shared" si="0"/>
        <v>-</v>
      </c>
      <c r="B693" s="16"/>
      <c r="C693" s="17"/>
      <c r="D693" s="22"/>
      <c r="E693" s="22"/>
      <c r="F693" s="23"/>
      <c r="G693" s="22"/>
      <c r="H693" s="22"/>
      <c r="I693" s="22"/>
      <c r="J693" s="22"/>
      <c r="K693" s="12">
        <f ca="1"/>
        <v>0</v>
      </c>
    </row>
    <row r="694" spans="1:11" ht="13">
      <c r="A694" s="8" t="str">
        <f t="shared" si="0"/>
        <v>-</v>
      </c>
      <c r="B694" s="16"/>
      <c r="C694" s="17"/>
      <c r="D694" s="22"/>
      <c r="E694" s="22"/>
      <c r="F694" s="23"/>
      <c r="G694" s="22"/>
      <c r="H694" s="22"/>
      <c r="I694" s="22"/>
      <c r="J694" s="22"/>
      <c r="K694" s="12">
        <f ca="1"/>
        <v>0</v>
      </c>
    </row>
    <row r="695" spans="1:11" ht="13">
      <c r="A695" s="8" t="str">
        <f t="shared" si="0"/>
        <v>-</v>
      </c>
      <c r="B695" s="16"/>
      <c r="C695" s="17"/>
      <c r="D695" s="22"/>
      <c r="E695" s="22"/>
      <c r="F695" s="23"/>
      <c r="G695" s="22"/>
      <c r="H695" s="22"/>
      <c r="I695" s="22"/>
      <c r="J695" s="22"/>
      <c r="K695" s="12">
        <f ca="1"/>
        <v>0</v>
      </c>
    </row>
    <row r="696" spans="1:11" ht="13">
      <c r="A696" s="8" t="str">
        <f t="shared" si="0"/>
        <v>-</v>
      </c>
      <c r="B696" s="16"/>
      <c r="C696" s="17"/>
      <c r="D696" s="22"/>
      <c r="E696" s="22"/>
      <c r="F696" s="23"/>
      <c r="G696" s="22"/>
      <c r="H696" s="22"/>
      <c r="I696" s="22"/>
      <c r="J696" s="22"/>
      <c r="K696" s="12">
        <f ca="1"/>
        <v>0</v>
      </c>
    </row>
    <row r="697" spans="1:11" ht="13">
      <c r="A697" s="8" t="str">
        <f t="shared" si="0"/>
        <v>-</v>
      </c>
      <c r="B697" s="16"/>
      <c r="C697" s="17"/>
      <c r="D697" s="22"/>
      <c r="E697" s="22"/>
      <c r="F697" s="23"/>
      <c r="G697" s="22"/>
      <c r="H697" s="22"/>
      <c r="I697" s="22"/>
      <c r="J697" s="22"/>
      <c r="K697" s="12">
        <f ca="1"/>
        <v>0</v>
      </c>
    </row>
    <row r="698" spans="1:11" ht="13">
      <c r="A698" s="8" t="str">
        <f t="shared" si="0"/>
        <v>-</v>
      </c>
      <c r="B698" s="16"/>
      <c r="C698" s="17"/>
      <c r="D698" s="22"/>
      <c r="E698" s="22"/>
      <c r="F698" s="23"/>
      <c r="G698" s="22"/>
      <c r="H698" s="22"/>
      <c r="I698" s="22"/>
      <c r="J698" s="22"/>
      <c r="K698" s="12">
        <f ca="1"/>
        <v>0</v>
      </c>
    </row>
    <row r="699" spans="1:11" ht="13">
      <c r="A699" s="8" t="str">
        <f t="shared" si="0"/>
        <v>-</v>
      </c>
      <c r="B699" s="16"/>
      <c r="C699" s="17"/>
      <c r="D699" s="22"/>
      <c r="E699" s="22"/>
      <c r="F699" s="23"/>
      <c r="G699" s="22"/>
      <c r="H699" s="22"/>
      <c r="I699" s="22"/>
      <c r="J699" s="22"/>
      <c r="K699" s="12">
        <f ca="1"/>
        <v>0</v>
      </c>
    </row>
    <row r="700" spans="1:11" ht="13">
      <c r="A700" s="8" t="str">
        <f t="shared" si="0"/>
        <v>-</v>
      </c>
      <c r="B700" s="16"/>
      <c r="C700" s="17"/>
      <c r="D700" s="22"/>
      <c r="E700" s="22"/>
      <c r="F700" s="23"/>
      <c r="G700" s="22"/>
      <c r="H700" s="22"/>
      <c r="I700" s="22"/>
      <c r="J700" s="22"/>
      <c r="K700" s="12">
        <f ca="1"/>
        <v>0</v>
      </c>
    </row>
    <row r="701" spans="1:11" ht="13">
      <c r="A701" s="8" t="str">
        <f t="shared" si="0"/>
        <v>-</v>
      </c>
      <c r="B701" s="16"/>
      <c r="C701" s="17"/>
      <c r="D701" s="22"/>
      <c r="E701" s="22"/>
      <c r="F701" s="23"/>
      <c r="G701" s="22"/>
      <c r="H701" s="22"/>
      <c r="I701" s="22"/>
      <c r="J701" s="22"/>
      <c r="K701" s="12">
        <f ca="1"/>
        <v>0</v>
      </c>
    </row>
    <row r="702" spans="1:11" ht="13">
      <c r="A702" s="8" t="str">
        <f t="shared" si="0"/>
        <v>-</v>
      </c>
      <c r="B702" s="16"/>
      <c r="C702" s="17"/>
      <c r="D702" s="22"/>
      <c r="E702" s="22"/>
      <c r="F702" s="23"/>
      <c r="G702" s="22"/>
      <c r="H702" s="22"/>
      <c r="I702" s="22"/>
      <c r="J702" s="22"/>
      <c r="K702" s="12">
        <f ca="1"/>
        <v>0</v>
      </c>
    </row>
    <row r="703" spans="1:11" ht="13">
      <c r="A703" s="8" t="str">
        <f t="shared" si="0"/>
        <v>-</v>
      </c>
      <c r="B703" s="16"/>
      <c r="C703" s="17"/>
      <c r="D703" s="22"/>
      <c r="E703" s="22"/>
      <c r="F703" s="23"/>
      <c r="G703" s="22"/>
      <c r="H703" s="22"/>
      <c r="I703" s="22"/>
      <c r="J703" s="22"/>
      <c r="K703" s="12">
        <f ca="1"/>
        <v>0</v>
      </c>
    </row>
    <row r="704" spans="1:11" ht="13">
      <c r="A704" s="8" t="str">
        <f t="shared" si="0"/>
        <v>-</v>
      </c>
      <c r="B704" s="16"/>
      <c r="C704" s="17"/>
      <c r="D704" s="22"/>
      <c r="E704" s="22"/>
      <c r="F704" s="23"/>
      <c r="G704" s="22"/>
      <c r="H704" s="22"/>
      <c r="I704" s="22"/>
      <c r="J704" s="22"/>
      <c r="K704" s="12">
        <f ca="1"/>
        <v>0</v>
      </c>
    </row>
    <row r="705" spans="1:11" ht="13">
      <c r="A705" s="8" t="str">
        <f t="shared" si="0"/>
        <v>-</v>
      </c>
      <c r="B705" s="16"/>
      <c r="C705" s="17"/>
      <c r="D705" s="22"/>
      <c r="E705" s="22"/>
      <c r="F705" s="23"/>
      <c r="G705" s="22"/>
      <c r="H705" s="22"/>
      <c r="I705" s="22"/>
      <c r="J705" s="22"/>
      <c r="K705" s="12">
        <f ca="1"/>
        <v>0</v>
      </c>
    </row>
    <row r="706" spans="1:11" ht="13">
      <c r="A706" s="8" t="str">
        <f t="shared" si="0"/>
        <v>-</v>
      </c>
      <c r="B706" s="16"/>
      <c r="C706" s="17"/>
      <c r="D706" s="22"/>
      <c r="E706" s="22"/>
      <c r="F706" s="23"/>
      <c r="G706" s="22"/>
      <c r="H706" s="22"/>
      <c r="I706" s="22"/>
      <c r="J706" s="22"/>
      <c r="K706" s="12">
        <f ca="1"/>
        <v>0</v>
      </c>
    </row>
    <row r="707" spans="1:11" ht="13">
      <c r="A707" s="8" t="str">
        <f t="shared" si="0"/>
        <v>-</v>
      </c>
      <c r="B707" s="16"/>
      <c r="C707" s="17"/>
      <c r="D707" s="22"/>
      <c r="E707" s="22"/>
      <c r="F707" s="23"/>
      <c r="G707" s="22"/>
      <c r="H707" s="22"/>
      <c r="I707" s="22"/>
      <c r="J707" s="22"/>
      <c r="K707" s="12">
        <f ca="1"/>
        <v>0</v>
      </c>
    </row>
    <row r="708" spans="1:11" ht="13">
      <c r="A708" s="8" t="str">
        <f t="shared" si="0"/>
        <v>-</v>
      </c>
      <c r="B708" s="16"/>
      <c r="C708" s="17"/>
      <c r="D708" s="22"/>
      <c r="E708" s="22"/>
      <c r="F708" s="23"/>
      <c r="G708" s="22"/>
      <c r="H708" s="22"/>
      <c r="I708" s="22"/>
      <c r="J708" s="22"/>
      <c r="K708" s="12">
        <f ca="1"/>
        <v>0</v>
      </c>
    </row>
    <row r="709" spans="1:11" ht="13">
      <c r="A709" s="8" t="str">
        <f t="shared" si="0"/>
        <v>-</v>
      </c>
      <c r="B709" s="16"/>
      <c r="C709" s="17"/>
      <c r="D709" s="22"/>
      <c r="E709" s="22"/>
      <c r="F709" s="23"/>
      <c r="G709" s="22"/>
      <c r="H709" s="22"/>
      <c r="I709" s="22"/>
      <c r="J709" s="22"/>
      <c r="K709" s="12">
        <f ca="1"/>
        <v>0</v>
      </c>
    </row>
    <row r="710" spans="1:11" ht="13">
      <c r="A710" s="8" t="str">
        <f t="shared" si="0"/>
        <v>-</v>
      </c>
      <c r="B710" s="16"/>
      <c r="C710" s="17"/>
      <c r="D710" s="22"/>
      <c r="E710" s="22"/>
      <c r="F710" s="23"/>
      <c r="G710" s="22"/>
      <c r="H710" s="22"/>
      <c r="I710" s="22"/>
      <c r="J710" s="22"/>
      <c r="K710" s="12">
        <f ca="1"/>
        <v>0</v>
      </c>
    </row>
    <row r="711" spans="1:11" ht="13">
      <c r="A711" s="8" t="str">
        <f t="shared" si="0"/>
        <v>-</v>
      </c>
      <c r="B711" s="16"/>
      <c r="C711" s="17"/>
      <c r="D711" s="22"/>
      <c r="E711" s="22"/>
      <c r="F711" s="23"/>
      <c r="G711" s="22"/>
      <c r="H711" s="22"/>
      <c r="I711" s="22"/>
      <c r="J711" s="22"/>
      <c r="K711" s="12">
        <f ca="1"/>
        <v>0</v>
      </c>
    </row>
    <row r="712" spans="1:11" ht="13">
      <c r="A712" s="8" t="str">
        <f t="shared" si="0"/>
        <v>-</v>
      </c>
      <c r="B712" s="16"/>
      <c r="C712" s="17"/>
      <c r="D712" s="22"/>
      <c r="E712" s="22"/>
      <c r="F712" s="23"/>
      <c r="G712" s="22"/>
      <c r="H712" s="22"/>
      <c r="I712" s="22"/>
      <c r="J712" s="22"/>
      <c r="K712" s="12">
        <f ca="1"/>
        <v>0</v>
      </c>
    </row>
    <row r="713" spans="1:11" ht="13">
      <c r="A713" s="8" t="str">
        <f t="shared" si="0"/>
        <v>-</v>
      </c>
      <c r="B713" s="16"/>
      <c r="C713" s="17"/>
      <c r="D713" s="22"/>
      <c r="E713" s="22"/>
      <c r="F713" s="23"/>
      <c r="G713" s="22"/>
      <c r="H713" s="22"/>
      <c r="I713" s="22"/>
      <c r="J713" s="22"/>
      <c r="K713" s="12">
        <f ca="1"/>
        <v>0</v>
      </c>
    </row>
    <row r="714" spans="1:11" ht="13">
      <c r="A714" s="8" t="str">
        <f t="shared" si="0"/>
        <v>-</v>
      </c>
      <c r="B714" s="16"/>
      <c r="C714" s="17"/>
      <c r="D714" s="22"/>
      <c r="E714" s="22"/>
      <c r="F714" s="23"/>
      <c r="G714" s="22"/>
      <c r="H714" s="22"/>
      <c r="I714" s="22"/>
      <c r="J714" s="22"/>
      <c r="K714" s="12">
        <f ca="1"/>
        <v>0</v>
      </c>
    </row>
    <row r="715" spans="1:11" ht="13">
      <c r="A715" s="8" t="str">
        <f t="shared" si="0"/>
        <v>-</v>
      </c>
      <c r="B715" s="16"/>
      <c r="C715" s="17"/>
      <c r="D715" s="22"/>
      <c r="E715" s="22"/>
      <c r="F715" s="23"/>
      <c r="G715" s="22"/>
      <c r="H715" s="22"/>
      <c r="I715" s="22"/>
      <c r="J715" s="22"/>
      <c r="K715" s="12">
        <f ca="1"/>
        <v>0</v>
      </c>
    </row>
    <row r="716" spans="1:11" ht="13">
      <c r="A716" s="8" t="str">
        <f t="shared" si="0"/>
        <v>-</v>
      </c>
      <c r="B716" s="16"/>
      <c r="C716" s="17"/>
      <c r="D716" s="22"/>
      <c r="E716" s="22"/>
      <c r="F716" s="23"/>
      <c r="G716" s="22"/>
      <c r="H716" s="22"/>
      <c r="I716" s="22"/>
      <c r="J716" s="22"/>
      <c r="K716" s="12">
        <f ca="1"/>
        <v>0</v>
      </c>
    </row>
    <row r="717" spans="1:11" ht="13">
      <c r="A717" s="8" t="str">
        <f t="shared" si="0"/>
        <v>-</v>
      </c>
      <c r="B717" s="16"/>
      <c r="C717" s="17"/>
      <c r="D717" s="22"/>
      <c r="E717" s="22"/>
      <c r="F717" s="23"/>
      <c r="G717" s="22"/>
      <c r="H717" s="22"/>
      <c r="I717" s="22"/>
      <c r="J717" s="22"/>
      <c r="K717" s="12">
        <f ca="1"/>
        <v>0</v>
      </c>
    </row>
    <row r="718" spans="1:11" ht="13">
      <c r="A718" s="8" t="str">
        <f t="shared" si="0"/>
        <v>-</v>
      </c>
      <c r="B718" s="16"/>
      <c r="C718" s="17"/>
      <c r="D718" s="22"/>
      <c r="E718" s="22"/>
      <c r="F718" s="23"/>
      <c r="G718" s="22"/>
      <c r="H718" s="22"/>
      <c r="I718" s="22"/>
      <c r="J718" s="22"/>
      <c r="K718" s="12">
        <f ca="1"/>
        <v>0</v>
      </c>
    </row>
    <row r="719" spans="1:11" ht="13">
      <c r="A719" s="8" t="str">
        <f t="shared" si="0"/>
        <v>-</v>
      </c>
      <c r="B719" s="16"/>
      <c r="C719" s="17"/>
      <c r="D719" s="22"/>
      <c r="E719" s="22"/>
      <c r="F719" s="23"/>
      <c r="G719" s="22"/>
      <c r="H719" s="22"/>
      <c r="I719" s="22"/>
      <c r="J719" s="22"/>
      <c r="K719" s="12">
        <f ca="1"/>
        <v>0</v>
      </c>
    </row>
    <row r="720" spans="1:11" ht="13">
      <c r="A720" s="8" t="str">
        <f t="shared" si="0"/>
        <v>-</v>
      </c>
      <c r="B720" s="16"/>
      <c r="C720" s="17"/>
      <c r="D720" s="22"/>
      <c r="E720" s="22"/>
      <c r="F720" s="23"/>
      <c r="G720" s="22"/>
      <c r="H720" s="22"/>
      <c r="I720" s="22"/>
      <c r="J720" s="22"/>
      <c r="K720" s="12">
        <f ca="1"/>
        <v>0</v>
      </c>
    </row>
    <row r="721" spans="1:11" ht="13">
      <c r="A721" s="8" t="str">
        <f t="shared" si="0"/>
        <v>-</v>
      </c>
      <c r="B721" s="16"/>
      <c r="C721" s="17"/>
      <c r="D721" s="22"/>
      <c r="E721" s="22"/>
      <c r="F721" s="23"/>
      <c r="G721" s="22"/>
      <c r="H721" s="22"/>
      <c r="I721" s="22"/>
      <c r="J721" s="22"/>
      <c r="K721" s="12">
        <f ca="1"/>
        <v>0</v>
      </c>
    </row>
    <row r="722" spans="1:11" ht="13">
      <c r="A722" s="8" t="str">
        <f t="shared" si="0"/>
        <v>-</v>
      </c>
      <c r="B722" s="16"/>
      <c r="C722" s="17"/>
      <c r="D722" s="22"/>
      <c r="E722" s="22"/>
      <c r="F722" s="23"/>
      <c r="G722" s="22"/>
      <c r="H722" s="22"/>
      <c r="I722" s="22"/>
      <c r="J722" s="22"/>
      <c r="K722" s="12">
        <f ca="1"/>
        <v>0</v>
      </c>
    </row>
    <row r="723" spans="1:11" ht="13">
      <c r="A723" s="8" t="str">
        <f t="shared" si="0"/>
        <v>-</v>
      </c>
      <c r="B723" s="16"/>
      <c r="C723" s="17"/>
      <c r="D723" s="22"/>
      <c r="E723" s="22"/>
      <c r="F723" s="23"/>
      <c r="G723" s="22"/>
      <c r="H723" s="22"/>
      <c r="I723" s="22"/>
      <c r="J723" s="22"/>
      <c r="K723" s="12">
        <f ca="1"/>
        <v>0</v>
      </c>
    </row>
    <row r="724" spans="1:11" ht="13">
      <c r="A724" s="8" t="str">
        <f t="shared" si="0"/>
        <v>-</v>
      </c>
      <c r="B724" s="16"/>
      <c r="C724" s="17"/>
      <c r="D724" s="22"/>
      <c r="E724" s="22"/>
      <c r="F724" s="23"/>
      <c r="G724" s="22"/>
      <c r="H724" s="22"/>
      <c r="I724" s="22"/>
      <c r="J724" s="22"/>
      <c r="K724" s="12">
        <f ca="1"/>
        <v>0</v>
      </c>
    </row>
    <row r="725" spans="1:11" ht="13">
      <c r="A725" s="8" t="str">
        <f t="shared" si="0"/>
        <v>-</v>
      </c>
      <c r="B725" s="16"/>
      <c r="C725" s="17"/>
      <c r="D725" s="22"/>
      <c r="E725" s="22"/>
      <c r="F725" s="23"/>
      <c r="G725" s="22"/>
      <c r="H725" s="22"/>
      <c r="I725" s="22"/>
      <c r="J725" s="22"/>
      <c r="K725" s="12">
        <f ca="1"/>
        <v>0</v>
      </c>
    </row>
    <row r="726" spans="1:11" ht="13">
      <c r="A726" s="8" t="str">
        <f t="shared" si="0"/>
        <v>-</v>
      </c>
      <c r="B726" s="16"/>
      <c r="C726" s="17"/>
      <c r="D726" s="22"/>
      <c r="E726" s="22"/>
      <c r="F726" s="23"/>
      <c r="G726" s="22"/>
      <c r="H726" s="22"/>
      <c r="I726" s="22"/>
      <c r="J726" s="22"/>
      <c r="K726" s="12">
        <f ca="1"/>
        <v>0</v>
      </c>
    </row>
    <row r="727" spans="1:11" ht="13">
      <c r="A727" s="8" t="str">
        <f t="shared" si="0"/>
        <v>-</v>
      </c>
      <c r="B727" s="16"/>
      <c r="C727" s="17"/>
      <c r="D727" s="22"/>
      <c r="E727" s="22"/>
      <c r="F727" s="23"/>
      <c r="G727" s="22"/>
      <c r="H727" s="22"/>
      <c r="I727" s="22"/>
      <c r="J727" s="22"/>
      <c r="K727" s="12">
        <f ca="1"/>
        <v>0</v>
      </c>
    </row>
    <row r="728" spans="1:11" ht="13">
      <c r="A728" s="8" t="str">
        <f t="shared" si="0"/>
        <v>-</v>
      </c>
      <c r="B728" s="16"/>
      <c r="C728" s="17"/>
      <c r="D728" s="22"/>
      <c r="E728" s="22"/>
      <c r="F728" s="23"/>
      <c r="G728" s="22"/>
      <c r="H728" s="22"/>
      <c r="I728" s="22"/>
      <c r="J728" s="22"/>
      <c r="K728" s="12">
        <f ca="1"/>
        <v>0</v>
      </c>
    </row>
    <row r="729" spans="1:11" ht="13">
      <c r="A729" s="8" t="str">
        <f t="shared" si="0"/>
        <v>-</v>
      </c>
      <c r="B729" s="16"/>
      <c r="C729" s="17"/>
      <c r="D729" s="22"/>
      <c r="E729" s="22"/>
      <c r="F729" s="23"/>
      <c r="G729" s="22"/>
      <c r="H729" s="22"/>
      <c r="I729" s="22"/>
      <c r="J729" s="22"/>
      <c r="K729" s="12">
        <f ca="1"/>
        <v>0</v>
      </c>
    </row>
    <row r="730" spans="1:11" ht="13">
      <c r="A730" s="8" t="str">
        <f t="shared" si="0"/>
        <v>-</v>
      </c>
      <c r="B730" s="16"/>
      <c r="C730" s="17"/>
      <c r="D730" s="22"/>
      <c r="E730" s="22"/>
      <c r="F730" s="23"/>
      <c r="G730" s="22"/>
      <c r="H730" s="22"/>
      <c r="I730" s="22"/>
      <c r="J730" s="22"/>
      <c r="K730" s="12">
        <f ca="1"/>
        <v>0</v>
      </c>
    </row>
    <row r="731" spans="1:11" ht="13">
      <c r="A731" s="8" t="str">
        <f t="shared" si="0"/>
        <v>-</v>
      </c>
      <c r="B731" s="16"/>
      <c r="C731" s="17"/>
      <c r="D731" s="22"/>
      <c r="E731" s="22"/>
      <c r="F731" s="23"/>
      <c r="G731" s="22"/>
      <c r="H731" s="22"/>
      <c r="I731" s="22"/>
      <c r="J731" s="22"/>
      <c r="K731" s="12">
        <f ca="1"/>
        <v>0</v>
      </c>
    </row>
    <row r="732" spans="1:11" ht="13">
      <c r="A732" s="8" t="str">
        <f t="shared" si="0"/>
        <v>-</v>
      </c>
      <c r="B732" s="16"/>
      <c r="C732" s="17"/>
      <c r="D732" s="22"/>
      <c r="E732" s="22"/>
      <c r="F732" s="23"/>
      <c r="G732" s="22"/>
      <c r="H732" s="22"/>
      <c r="I732" s="22"/>
      <c r="J732" s="22"/>
      <c r="K732" s="12">
        <f ca="1"/>
        <v>0</v>
      </c>
    </row>
    <row r="733" spans="1:11" ht="13">
      <c r="A733" s="8" t="str">
        <f t="shared" si="0"/>
        <v>-</v>
      </c>
      <c r="B733" s="16"/>
      <c r="C733" s="17"/>
      <c r="D733" s="22"/>
      <c r="E733" s="22"/>
      <c r="F733" s="23"/>
      <c r="G733" s="22"/>
      <c r="H733" s="22"/>
      <c r="I733" s="22"/>
      <c r="J733" s="22"/>
      <c r="K733" s="12">
        <f ca="1"/>
        <v>0</v>
      </c>
    </row>
    <row r="734" spans="1:11" ht="13">
      <c r="A734" s="8" t="str">
        <f t="shared" si="0"/>
        <v>-</v>
      </c>
      <c r="B734" s="16"/>
      <c r="C734" s="17"/>
      <c r="D734" s="22"/>
      <c r="E734" s="22"/>
      <c r="F734" s="23"/>
      <c r="G734" s="22"/>
      <c r="H734" s="22"/>
      <c r="I734" s="22"/>
      <c r="J734" s="22"/>
      <c r="K734" s="12">
        <f ca="1"/>
        <v>0</v>
      </c>
    </row>
    <row r="735" spans="1:11" ht="13">
      <c r="A735" s="8" t="str">
        <f t="shared" si="0"/>
        <v>-</v>
      </c>
      <c r="B735" s="16"/>
      <c r="C735" s="17"/>
      <c r="D735" s="22"/>
      <c r="E735" s="22"/>
      <c r="F735" s="23"/>
      <c r="G735" s="22"/>
      <c r="H735" s="22"/>
      <c r="I735" s="22"/>
      <c r="J735" s="22"/>
      <c r="K735" s="12">
        <f ca="1"/>
        <v>0</v>
      </c>
    </row>
    <row r="736" spans="1:11" ht="13">
      <c r="A736" s="8" t="str">
        <f t="shared" si="0"/>
        <v>-</v>
      </c>
      <c r="B736" s="16"/>
      <c r="C736" s="17"/>
      <c r="D736" s="22"/>
      <c r="E736" s="22"/>
      <c r="F736" s="23"/>
      <c r="G736" s="22"/>
      <c r="H736" s="22"/>
      <c r="I736" s="22"/>
      <c r="J736" s="22"/>
      <c r="K736" s="12">
        <f ca="1"/>
        <v>0</v>
      </c>
    </row>
    <row r="737" spans="1:11" ht="13">
      <c r="A737" s="8" t="str">
        <f t="shared" si="0"/>
        <v>-</v>
      </c>
      <c r="B737" s="16"/>
      <c r="C737" s="17"/>
      <c r="D737" s="22"/>
      <c r="E737" s="22"/>
      <c r="F737" s="23"/>
      <c r="G737" s="22"/>
      <c r="H737" s="22"/>
      <c r="I737" s="22"/>
      <c r="J737" s="22"/>
      <c r="K737" s="12">
        <f ca="1"/>
        <v>0</v>
      </c>
    </row>
    <row r="738" spans="1:11" ht="13">
      <c r="A738" s="8" t="str">
        <f t="shared" si="0"/>
        <v>-</v>
      </c>
      <c r="B738" s="16"/>
      <c r="C738" s="17"/>
      <c r="D738" s="22"/>
      <c r="E738" s="22"/>
      <c r="F738" s="23"/>
      <c r="G738" s="22"/>
      <c r="H738" s="22"/>
      <c r="I738" s="22"/>
      <c r="J738" s="22"/>
      <c r="K738" s="12">
        <f ca="1"/>
        <v>0</v>
      </c>
    </row>
    <row r="739" spans="1:11" ht="13">
      <c r="A739" s="8" t="str">
        <f t="shared" si="0"/>
        <v>-</v>
      </c>
      <c r="B739" s="16"/>
      <c r="C739" s="17"/>
      <c r="D739" s="22"/>
      <c r="E739" s="22"/>
      <c r="F739" s="23"/>
      <c r="G739" s="22"/>
      <c r="H739" s="22"/>
      <c r="I739" s="22"/>
      <c r="J739" s="22"/>
      <c r="K739" s="12">
        <f ca="1"/>
        <v>0</v>
      </c>
    </row>
    <row r="740" spans="1:11" ht="13">
      <c r="A740" s="8" t="str">
        <f t="shared" si="0"/>
        <v>-</v>
      </c>
      <c r="B740" s="16"/>
      <c r="C740" s="17"/>
      <c r="D740" s="22"/>
      <c r="E740" s="22"/>
      <c r="F740" s="23"/>
      <c r="G740" s="22"/>
      <c r="H740" s="22"/>
      <c r="I740" s="22"/>
      <c r="J740" s="22"/>
      <c r="K740" s="12">
        <f ca="1"/>
        <v>0</v>
      </c>
    </row>
    <row r="741" spans="1:11" ht="13">
      <c r="A741" s="8" t="str">
        <f t="shared" si="0"/>
        <v>-</v>
      </c>
      <c r="B741" s="16"/>
      <c r="C741" s="17"/>
      <c r="D741" s="22"/>
      <c r="E741" s="22"/>
      <c r="F741" s="23"/>
      <c r="G741" s="22"/>
      <c r="H741" s="22"/>
      <c r="I741" s="22"/>
      <c r="J741" s="22"/>
      <c r="K741" s="12">
        <f ca="1"/>
        <v>0</v>
      </c>
    </row>
    <row r="742" spans="1:11" ht="13">
      <c r="A742" s="8" t="str">
        <f t="shared" si="0"/>
        <v>-</v>
      </c>
      <c r="B742" s="16"/>
      <c r="C742" s="17"/>
      <c r="D742" s="22"/>
      <c r="E742" s="22"/>
      <c r="F742" s="23"/>
      <c r="G742" s="22"/>
      <c r="H742" s="22"/>
      <c r="I742" s="22"/>
      <c r="J742" s="22"/>
      <c r="K742" s="12">
        <f ca="1"/>
        <v>0</v>
      </c>
    </row>
    <row r="743" spans="1:11" ht="13">
      <c r="A743" s="8" t="str">
        <f t="shared" si="0"/>
        <v>-</v>
      </c>
      <c r="B743" s="16"/>
      <c r="C743" s="17"/>
      <c r="D743" s="22"/>
      <c r="E743" s="22"/>
      <c r="F743" s="23"/>
      <c r="G743" s="22"/>
      <c r="H743" s="22"/>
      <c r="I743" s="22"/>
      <c r="J743" s="22"/>
      <c r="K743" s="12">
        <f ca="1"/>
        <v>0</v>
      </c>
    </row>
    <row r="744" spans="1:11" ht="13">
      <c r="A744" s="8" t="str">
        <f t="shared" si="0"/>
        <v>-</v>
      </c>
      <c r="B744" s="16"/>
      <c r="C744" s="17"/>
      <c r="D744" s="22"/>
      <c r="E744" s="22"/>
      <c r="F744" s="23"/>
      <c r="G744" s="22"/>
      <c r="H744" s="22"/>
      <c r="I744" s="22"/>
      <c r="J744" s="22"/>
      <c r="K744" s="12">
        <f ca="1"/>
        <v>0</v>
      </c>
    </row>
    <row r="745" spans="1:11" ht="13">
      <c r="A745" s="8" t="str">
        <f t="shared" si="0"/>
        <v>-</v>
      </c>
      <c r="B745" s="16"/>
      <c r="C745" s="17"/>
      <c r="D745" s="22"/>
      <c r="E745" s="22"/>
      <c r="F745" s="23"/>
      <c r="G745" s="22"/>
      <c r="H745" s="22"/>
      <c r="I745" s="22"/>
      <c r="J745" s="22"/>
      <c r="K745" s="12">
        <f ca="1"/>
        <v>0</v>
      </c>
    </row>
    <row r="746" spans="1:11" ht="13">
      <c r="A746" s="8" t="str">
        <f t="shared" si="0"/>
        <v>-</v>
      </c>
      <c r="B746" s="16"/>
      <c r="C746" s="17"/>
      <c r="D746" s="22"/>
      <c r="E746" s="22"/>
      <c r="F746" s="23"/>
      <c r="G746" s="22"/>
      <c r="H746" s="22"/>
      <c r="I746" s="22"/>
      <c r="J746" s="22"/>
      <c r="K746" s="12">
        <f ca="1"/>
        <v>0</v>
      </c>
    </row>
    <row r="747" spans="1:11" ht="13">
      <c r="A747" s="8" t="str">
        <f t="shared" si="0"/>
        <v>-</v>
      </c>
      <c r="B747" s="16"/>
      <c r="C747" s="17"/>
      <c r="D747" s="22"/>
      <c r="E747" s="22"/>
      <c r="F747" s="23"/>
      <c r="G747" s="22"/>
      <c r="H747" s="22"/>
      <c r="I747" s="22"/>
      <c r="J747" s="22"/>
      <c r="K747" s="12">
        <f ca="1"/>
        <v>0</v>
      </c>
    </row>
    <row r="748" spans="1:11" ht="13">
      <c r="A748" s="8" t="str">
        <f t="shared" si="0"/>
        <v>-</v>
      </c>
      <c r="B748" s="16"/>
      <c r="C748" s="17"/>
      <c r="D748" s="22"/>
      <c r="E748" s="22"/>
      <c r="F748" s="23"/>
      <c r="G748" s="22"/>
      <c r="H748" s="22"/>
      <c r="I748" s="22"/>
      <c r="J748" s="22"/>
      <c r="K748" s="12">
        <f ca="1"/>
        <v>0</v>
      </c>
    </row>
    <row r="749" spans="1:11" ht="13">
      <c r="A749" s="8" t="str">
        <f t="shared" si="0"/>
        <v>-</v>
      </c>
      <c r="B749" s="16"/>
      <c r="C749" s="17"/>
      <c r="D749" s="22"/>
      <c r="E749" s="22"/>
      <c r="F749" s="23"/>
      <c r="G749" s="22"/>
      <c r="H749" s="22"/>
      <c r="I749" s="22"/>
      <c r="J749" s="22"/>
      <c r="K749" s="12">
        <f ca="1"/>
        <v>0</v>
      </c>
    </row>
    <row r="750" spans="1:11" ht="13">
      <c r="A750" s="8" t="str">
        <f t="shared" si="0"/>
        <v>-</v>
      </c>
      <c r="B750" s="16"/>
      <c r="C750" s="17"/>
      <c r="D750" s="22"/>
      <c r="E750" s="22"/>
      <c r="F750" s="23"/>
      <c r="G750" s="22"/>
      <c r="H750" s="22"/>
      <c r="I750" s="22"/>
      <c r="J750" s="22"/>
      <c r="K750" s="12">
        <f ca="1"/>
        <v>0</v>
      </c>
    </row>
    <row r="751" spans="1:11" ht="13">
      <c r="A751" s="8" t="str">
        <f t="shared" si="0"/>
        <v>-</v>
      </c>
      <c r="B751" s="16"/>
      <c r="C751" s="17"/>
      <c r="D751" s="22"/>
      <c r="E751" s="22"/>
      <c r="F751" s="23"/>
      <c r="G751" s="22"/>
      <c r="H751" s="22"/>
      <c r="I751" s="22"/>
      <c r="J751" s="22"/>
      <c r="K751" s="12">
        <f ca="1"/>
        <v>0</v>
      </c>
    </row>
    <row r="752" spans="1:11" ht="13">
      <c r="A752" s="8" t="str">
        <f t="shared" si="0"/>
        <v>-</v>
      </c>
      <c r="B752" s="16"/>
      <c r="C752" s="17"/>
      <c r="D752" s="22"/>
      <c r="E752" s="22"/>
      <c r="F752" s="23"/>
      <c r="G752" s="22"/>
      <c r="H752" s="22"/>
      <c r="I752" s="22"/>
      <c r="J752" s="22"/>
      <c r="K752" s="12">
        <f ca="1"/>
        <v>0</v>
      </c>
    </row>
    <row r="753" spans="1:11" ht="13">
      <c r="A753" s="8" t="str">
        <f t="shared" si="0"/>
        <v>-</v>
      </c>
      <c r="B753" s="16"/>
      <c r="C753" s="17"/>
      <c r="D753" s="22"/>
      <c r="E753" s="22"/>
      <c r="F753" s="23"/>
      <c r="G753" s="22"/>
      <c r="H753" s="22"/>
      <c r="I753" s="22"/>
      <c r="J753" s="22"/>
      <c r="K753" s="12">
        <f ca="1"/>
        <v>0</v>
      </c>
    </row>
    <row r="754" spans="1:11" ht="13">
      <c r="A754" s="8" t="str">
        <f t="shared" si="0"/>
        <v>-</v>
      </c>
      <c r="B754" s="16"/>
      <c r="C754" s="17"/>
      <c r="D754" s="22"/>
      <c r="E754" s="22"/>
      <c r="F754" s="23"/>
      <c r="G754" s="22"/>
      <c r="H754" s="22"/>
      <c r="I754" s="22"/>
      <c r="J754" s="22"/>
      <c r="K754" s="12">
        <f ca="1"/>
        <v>0</v>
      </c>
    </row>
    <row r="755" spans="1:11" ht="13">
      <c r="A755" s="8" t="str">
        <f t="shared" si="0"/>
        <v>-</v>
      </c>
      <c r="B755" s="16"/>
      <c r="C755" s="17"/>
      <c r="D755" s="22"/>
      <c r="E755" s="22"/>
      <c r="F755" s="23"/>
      <c r="G755" s="22"/>
      <c r="H755" s="22"/>
      <c r="I755" s="22"/>
      <c r="J755" s="22"/>
      <c r="K755" s="12">
        <f ca="1"/>
        <v>0</v>
      </c>
    </row>
    <row r="756" spans="1:11" ht="13">
      <c r="A756" s="8" t="str">
        <f t="shared" si="0"/>
        <v>-</v>
      </c>
      <c r="B756" s="16"/>
      <c r="C756" s="17"/>
      <c r="D756" s="22"/>
      <c r="E756" s="22"/>
      <c r="F756" s="23"/>
      <c r="G756" s="22"/>
      <c r="H756" s="22"/>
      <c r="I756" s="22"/>
      <c r="J756" s="22"/>
      <c r="K756" s="12">
        <f ca="1"/>
        <v>0</v>
      </c>
    </row>
    <row r="757" spans="1:11" ht="13">
      <c r="A757" s="8" t="str">
        <f t="shared" si="0"/>
        <v>-</v>
      </c>
      <c r="B757" s="16"/>
      <c r="C757" s="17"/>
      <c r="D757" s="22"/>
      <c r="E757" s="22"/>
      <c r="F757" s="23"/>
      <c r="G757" s="22"/>
      <c r="H757" s="22"/>
      <c r="I757" s="22"/>
      <c r="J757" s="22"/>
      <c r="K757" s="12">
        <f ca="1"/>
        <v>0</v>
      </c>
    </row>
    <row r="758" spans="1:11" ht="13">
      <c r="A758" s="8" t="str">
        <f t="shared" si="0"/>
        <v>-</v>
      </c>
      <c r="B758" s="16"/>
      <c r="C758" s="17"/>
      <c r="D758" s="22"/>
      <c r="E758" s="22"/>
      <c r="F758" s="23"/>
      <c r="G758" s="22"/>
      <c r="H758" s="22"/>
      <c r="I758" s="22"/>
      <c r="J758" s="22"/>
      <c r="K758" s="12">
        <f ca="1"/>
        <v>0</v>
      </c>
    </row>
    <row r="759" spans="1:11" ht="13">
      <c r="A759" s="8" t="str">
        <f t="shared" si="0"/>
        <v>-</v>
      </c>
      <c r="B759" s="16"/>
      <c r="C759" s="17"/>
      <c r="D759" s="22"/>
      <c r="E759" s="22"/>
      <c r="F759" s="23"/>
      <c r="G759" s="22"/>
      <c r="H759" s="22"/>
      <c r="I759" s="22"/>
      <c r="J759" s="22"/>
      <c r="K759" s="12">
        <f ca="1"/>
        <v>0</v>
      </c>
    </row>
    <row r="760" spans="1:11" ht="13">
      <c r="A760" s="8" t="str">
        <f t="shared" si="0"/>
        <v>-</v>
      </c>
      <c r="B760" s="16"/>
      <c r="C760" s="17"/>
      <c r="D760" s="22"/>
      <c r="E760" s="22"/>
      <c r="F760" s="23"/>
      <c r="G760" s="22"/>
      <c r="H760" s="22"/>
      <c r="I760" s="22"/>
      <c r="J760" s="22"/>
      <c r="K760" s="12">
        <f ca="1"/>
        <v>0</v>
      </c>
    </row>
    <row r="761" spans="1:11" ht="13">
      <c r="A761" s="8" t="str">
        <f t="shared" si="0"/>
        <v>-</v>
      </c>
      <c r="B761" s="16"/>
      <c r="C761" s="17"/>
      <c r="D761" s="22"/>
      <c r="E761" s="22"/>
      <c r="F761" s="23"/>
      <c r="G761" s="22"/>
      <c r="H761" s="22"/>
      <c r="I761" s="22"/>
      <c r="J761" s="22"/>
      <c r="K761" s="12">
        <f ca="1"/>
        <v>0</v>
      </c>
    </row>
    <row r="762" spans="1:11" ht="13">
      <c r="A762" s="8" t="str">
        <f t="shared" si="0"/>
        <v>-</v>
      </c>
      <c r="B762" s="16"/>
      <c r="C762" s="17"/>
      <c r="D762" s="22"/>
      <c r="E762" s="22"/>
      <c r="F762" s="23"/>
      <c r="G762" s="22"/>
      <c r="H762" s="22"/>
      <c r="I762" s="22"/>
      <c r="J762" s="22"/>
      <c r="K762" s="12">
        <f ca="1"/>
        <v>0</v>
      </c>
    </row>
    <row r="763" spans="1:11" ht="13">
      <c r="A763" s="8" t="str">
        <f t="shared" si="0"/>
        <v>-</v>
      </c>
      <c r="B763" s="16"/>
      <c r="C763" s="17"/>
      <c r="D763" s="22"/>
      <c r="E763" s="22"/>
      <c r="F763" s="23"/>
      <c r="G763" s="22"/>
      <c r="H763" s="22"/>
      <c r="I763" s="22"/>
      <c r="J763" s="22"/>
      <c r="K763" s="12">
        <f ca="1"/>
        <v>0</v>
      </c>
    </row>
    <row r="764" spans="1:11" ht="13">
      <c r="A764" s="8" t="str">
        <f t="shared" si="0"/>
        <v>-</v>
      </c>
      <c r="B764" s="16"/>
      <c r="C764" s="17"/>
      <c r="D764" s="22"/>
      <c r="E764" s="22"/>
      <c r="F764" s="23"/>
      <c r="G764" s="22"/>
      <c r="H764" s="22"/>
      <c r="I764" s="22"/>
      <c r="J764" s="22"/>
      <c r="K764" s="12">
        <f ca="1"/>
        <v>0</v>
      </c>
    </row>
    <row r="765" spans="1:11" ht="13">
      <c r="A765" s="8" t="str">
        <f t="shared" si="0"/>
        <v>-</v>
      </c>
      <c r="B765" s="16"/>
      <c r="C765" s="17"/>
      <c r="D765" s="22"/>
      <c r="E765" s="22"/>
      <c r="F765" s="23"/>
      <c r="G765" s="22"/>
      <c r="H765" s="22"/>
      <c r="I765" s="22"/>
      <c r="J765" s="22"/>
      <c r="K765" s="12">
        <f ca="1"/>
        <v>0</v>
      </c>
    </row>
    <row r="766" spans="1:11" ht="13">
      <c r="A766" s="8" t="str">
        <f t="shared" si="0"/>
        <v>-</v>
      </c>
      <c r="B766" s="16"/>
      <c r="C766" s="17"/>
      <c r="D766" s="22"/>
      <c r="E766" s="22"/>
      <c r="F766" s="23"/>
      <c r="G766" s="22"/>
      <c r="H766" s="22"/>
      <c r="I766" s="22"/>
      <c r="J766" s="22"/>
      <c r="K766" s="12">
        <f ca="1"/>
        <v>0</v>
      </c>
    </row>
    <row r="767" spans="1:11" ht="13">
      <c r="A767" s="8" t="str">
        <f t="shared" si="0"/>
        <v>-</v>
      </c>
      <c r="B767" s="16"/>
      <c r="C767" s="17"/>
      <c r="D767" s="22"/>
      <c r="E767" s="22"/>
      <c r="F767" s="23"/>
      <c r="G767" s="22"/>
      <c r="H767" s="22"/>
      <c r="I767" s="22"/>
      <c r="J767" s="22"/>
      <c r="K767" s="12">
        <f ca="1"/>
        <v>0</v>
      </c>
    </row>
    <row r="768" spans="1:11" ht="13">
      <c r="A768" s="8" t="str">
        <f t="shared" si="0"/>
        <v>-</v>
      </c>
      <c r="B768" s="16"/>
      <c r="C768" s="17"/>
      <c r="D768" s="22"/>
      <c r="E768" s="22"/>
      <c r="F768" s="23"/>
      <c r="G768" s="22"/>
      <c r="H768" s="22"/>
      <c r="I768" s="22"/>
      <c r="J768" s="22"/>
      <c r="K768" s="12">
        <f ca="1"/>
        <v>0</v>
      </c>
    </row>
    <row r="769" spans="1:11" ht="13">
      <c r="A769" s="8" t="str">
        <f t="shared" si="0"/>
        <v>-</v>
      </c>
      <c r="B769" s="16"/>
      <c r="C769" s="17"/>
      <c r="D769" s="22"/>
      <c r="E769" s="22"/>
      <c r="F769" s="23"/>
      <c r="G769" s="22"/>
      <c r="H769" s="22"/>
      <c r="I769" s="22"/>
      <c r="J769" s="22"/>
      <c r="K769" s="12">
        <f ca="1"/>
        <v>0</v>
      </c>
    </row>
    <row r="770" spans="1:11" ht="13">
      <c r="A770" s="8" t="str">
        <f t="shared" si="0"/>
        <v>-</v>
      </c>
      <c r="B770" s="16"/>
      <c r="C770" s="17"/>
      <c r="D770" s="22"/>
      <c r="E770" s="22"/>
      <c r="F770" s="23"/>
      <c r="G770" s="22"/>
      <c r="H770" s="22"/>
      <c r="I770" s="22"/>
      <c r="J770" s="22"/>
      <c r="K770" s="12">
        <f ca="1"/>
        <v>0</v>
      </c>
    </row>
    <row r="771" spans="1:11" ht="13">
      <c r="A771" s="8" t="str">
        <f t="shared" si="0"/>
        <v>-</v>
      </c>
      <c r="B771" s="16"/>
      <c r="C771" s="17"/>
      <c r="D771" s="22"/>
      <c r="E771" s="22"/>
      <c r="F771" s="23"/>
      <c r="G771" s="22"/>
      <c r="H771" s="22"/>
      <c r="I771" s="22"/>
      <c r="J771" s="22"/>
      <c r="K771" s="12">
        <f ca="1"/>
        <v>0</v>
      </c>
    </row>
    <row r="772" spans="1:11" ht="13">
      <c r="A772" s="8" t="str">
        <f t="shared" si="0"/>
        <v>-</v>
      </c>
      <c r="B772" s="16"/>
      <c r="C772" s="17"/>
      <c r="D772" s="22"/>
      <c r="E772" s="22"/>
      <c r="F772" s="23"/>
      <c r="G772" s="22"/>
      <c r="H772" s="22"/>
      <c r="I772" s="22"/>
      <c r="J772" s="22"/>
      <c r="K772" s="12">
        <f ca="1"/>
        <v>0</v>
      </c>
    </row>
    <row r="773" spans="1:11" ht="13">
      <c r="A773" s="8" t="str">
        <f t="shared" si="0"/>
        <v>-</v>
      </c>
      <c r="B773" s="16"/>
      <c r="C773" s="17"/>
      <c r="D773" s="22"/>
      <c r="E773" s="22"/>
      <c r="F773" s="23"/>
      <c r="G773" s="22"/>
      <c r="H773" s="22"/>
      <c r="I773" s="22"/>
      <c r="J773" s="22"/>
      <c r="K773" s="12">
        <f ca="1"/>
        <v>0</v>
      </c>
    </row>
    <row r="774" spans="1:11" ht="13">
      <c r="A774" s="8" t="str">
        <f t="shared" si="0"/>
        <v>-</v>
      </c>
      <c r="B774" s="16"/>
      <c r="C774" s="17"/>
      <c r="D774" s="22"/>
      <c r="E774" s="22"/>
      <c r="F774" s="23"/>
      <c r="G774" s="22"/>
      <c r="H774" s="22"/>
      <c r="I774" s="22"/>
      <c r="J774" s="22"/>
      <c r="K774" s="12">
        <f ca="1"/>
        <v>0</v>
      </c>
    </row>
    <row r="775" spans="1:11" ht="13">
      <c r="A775" s="8" t="str">
        <f t="shared" si="0"/>
        <v>-</v>
      </c>
      <c r="B775" s="16"/>
      <c r="C775" s="17"/>
      <c r="D775" s="22"/>
      <c r="E775" s="22"/>
      <c r="F775" s="23"/>
      <c r="G775" s="22"/>
      <c r="H775" s="22"/>
      <c r="I775" s="22"/>
      <c r="J775" s="22"/>
      <c r="K775" s="12">
        <f ca="1"/>
        <v>0</v>
      </c>
    </row>
    <row r="776" spans="1:11" ht="13">
      <c r="A776" s="8" t="str">
        <f t="shared" si="0"/>
        <v>-</v>
      </c>
      <c r="B776" s="16"/>
      <c r="C776" s="17"/>
      <c r="D776" s="22"/>
      <c r="E776" s="22"/>
      <c r="F776" s="23"/>
      <c r="G776" s="22"/>
      <c r="H776" s="22"/>
      <c r="I776" s="22"/>
      <c r="J776" s="22"/>
      <c r="K776" s="12">
        <f ca="1"/>
        <v>0</v>
      </c>
    </row>
    <row r="777" spans="1:11" ht="13">
      <c r="A777" s="8" t="str">
        <f t="shared" si="0"/>
        <v>-</v>
      </c>
      <c r="B777" s="16"/>
      <c r="C777" s="17"/>
      <c r="D777" s="22"/>
      <c r="E777" s="22"/>
      <c r="F777" s="23"/>
      <c r="G777" s="22"/>
      <c r="H777" s="22"/>
      <c r="I777" s="22"/>
      <c r="J777" s="22"/>
      <c r="K777" s="12">
        <f ca="1"/>
        <v>0</v>
      </c>
    </row>
    <row r="778" spans="1:11" ht="13">
      <c r="A778" s="8" t="str">
        <f t="shared" si="0"/>
        <v>-</v>
      </c>
      <c r="B778" s="16"/>
      <c r="C778" s="17"/>
      <c r="D778" s="22"/>
      <c r="E778" s="22"/>
      <c r="F778" s="23"/>
      <c r="G778" s="22"/>
      <c r="H778" s="22"/>
      <c r="I778" s="22"/>
      <c r="J778" s="22"/>
      <c r="K778" s="12">
        <f ca="1"/>
        <v>0</v>
      </c>
    </row>
    <row r="779" spans="1:11" ht="13">
      <c r="A779" s="8" t="str">
        <f t="shared" si="0"/>
        <v>-</v>
      </c>
      <c r="B779" s="16"/>
      <c r="C779" s="17"/>
      <c r="D779" s="22"/>
      <c r="E779" s="22"/>
      <c r="F779" s="23"/>
      <c r="G779" s="22"/>
      <c r="H779" s="22"/>
      <c r="I779" s="22"/>
      <c r="J779" s="22"/>
      <c r="K779" s="12">
        <f ca="1"/>
        <v>0</v>
      </c>
    </row>
    <row r="780" spans="1:11" ht="13">
      <c r="A780" s="8" t="str">
        <f t="shared" si="0"/>
        <v>-</v>
      </c>
      <c r="B780" s="16"/>
      <c r="C780" s="17"/>
      <c r="D780" s="22"/>
      <c r="E780" s="22"/>
      <c r="F780" s="23"/>
      <c r="G780" s="22"/>
      <c r="H780" s="22"/>
      <c r="I780" s="22"/>
      <c r="J780" s="22"/>
      <c r="K780" s="12">
        <f ca="1"/>
        <v>0</v>
      </c>
    </row>
    <row r="781" spans="1:11" ht="13">
      <c r="A781" s="8" t="str">
        <f t="shared" si="0"/>
        <v>-</v>
      </c>
      <c r="B781" s="16"/>
      <c r="C781" s="17"/>
      <c r="D781" s="22"/>
      <c r="E781" s="22"/>
      <c r="F781" s="23"/>
      <c r="G781" s="22"/>
      <c r="H781" s="22"/>
      <c r="I781" s="22"/>
      <c r="J781" s="22"/>
      <c r="K781" s="12">
        <f ca="1"/>
        <v>0</v>
      </c>
    </row>
    <row r="782" spans="1:11" ht="13">
      <c r="A782" s="8" t="str">
        <f t="shared" si="0"/>
        <v>-</v>
      </c>
      <c r="B782" s="16"/>
      <c r="C782" s="17"/>
      <c r="D782" s="22"/>
      <c r="E782" s="22"/>
      <c r="F782" s="23"/>
      <c r="G782" s="22"/>
      <c r="H782" s="22"/>
      <c r="I782" s="22"/>
      <c r="J782" s="22"/>
      <c r="K782" s="12">
        <f ca="1"/>
        <v>0</v>
      </c>
    </row>
    <row r="783" spans="1:11" ht="13">
      <c r="A783" s="8" t="str">
        <f t="shared" si="0"/>
        <v>-</v>
      </c>
      <c r="B783" s="16"/>
      <c r="C783" s="17"/>
      <c r="D783" s="22"/>
      <c r="E783" s="22"/>
      <c r="F783" s="23"/>
      <c r="G783" s="22"/>
      <c r="H783" s="22"/>
      <c r="I783" s="22"/>
      <c r="J783" s="22"/>
      <c r="K783" s="12">
        <f ca="1"/>
        <v>0</v>
      </c>
    </row>
    <row r="784" spans="1:11" ht="13">
      <c r="A784" s="8" t="str">
        <f t="shared" si="0"/>
        <v>-</v>
      </c>
      <c r="B784" s="16"/>
      <c r="C784" s="17"/>
      <c r="D784" s="22"/>
      <c r="E784" s="22"/>
      <c r="F784" s="23"/>
      <c r="G784" s="22"/>
      <c r="H784" s="22"/>
      <c r="I784" s="22"/>
      <c r="J784" s="22"/>
      <c r="K784" s="12">
        <f ca="1"/>
        <v>0</v>
      </c>
    </row>
    <row r="785" spans="1:11" ht="13">
      <c r="A785" s="8" t="str">
        <f t="shared" si="0"/>
        <v>-</v>
      </c>
      <c r="B785" s="16"/>
      <c r="C785" s="17"/>
      <c r="D785" s="22"/>
      <c r="E785" s="22"/>
      <c r="F785" s="23"/>
      <c r="G785" s="22"/>
      <c r="H785" s="22"/>
      <c r="I785" s="22"/>
      <c r="J785" s="22"/>
      <c r="K785" s="12">
        <f ca="1"/>
        <v>0</v>
      </c>
    </row>
    <row r="786" spans="1:11" ht="13">
      <c r="A786" s="8" t="str">
        <f t="shared" si="0"/>
        <v>-</v>
      </c>
      <c r="B786" s="16"/>
      <c r="C786" s="17"/>
      <c r="D786" s="22"/>
      <c r="E786" s="22"/>
      <c r="F786" s="23"/>
      <c r="G786" s="22"/>
      <c r="H786" s="22"/>
      <c r="I786" s="22"/>
      <c r="J786" s="22"/>
      <c r="K786" s="12">
        <f ca="1"/>
        <v>0</v>
      </c>
    </row>
    <row r="787" spans="1:11" ht="13">
      <c r="A787" s="8" t="str">
        <f t="shared" si="0"/>
        <v>-</v>
      </c>
      <c r="B787" s="16"/>
      <c r="C787" s="17"/>
      <c r="D787" s="22"/>
      <c r="E787" s="22"/>
      <c r="F787" s="23"/>
      <c r="G787" s="22"/>
      <c r="H787" s="22"/>
      <c r="I787" s="22"/>
      <c r="J787" s="22"/>
      <c r="K787" s="12">
        <f ca="1"/>
        <v>0</v>
      </c>
    </row>
    <row r="788" spans="1:11" ht="13">
      <c r="A788" s="8" t="str">
        <f t="shared" si="0"/>
        <v>-</v>
      </c>
      <c r="B788" s="16"/>
      <c r="C788" s="17"/>
      <c r="D788" s="22"/>
      <c r="E788" s="22"/>
      <c r="F788" s="23"/>
      <c r="G788" s="22"/>
      <c r="H788" s="22"/>
      <c r="I788" s="22"/>
      <c r="J788" s="22"/>
      <c r="K788" s="12">
        <f ca="1"/>
        <v>0</v>
      </c>
    </row>
    <row r="789" spans="1:11" ht="13">
      <c r="A789" s="8" t="str">
        <f t="shared" si="0"/>
        <v>-</v>
      </c>
      <c r="B789" s="16"/>
      <c r="C789" s="17"/>
      <c r="D789" s="22"/>
      <c r="E789" s="22"/>
      <c r="F789" s="23"/>
      <c r="G789" s="22"/>
      <c r="H789" s="22"/>
      <c r="I789" s="22"/>
      <c r="J789" s="22"/>
      <c r="K789" s="12">
        <f ca="1"/>
        <v>0</v>
      </c>
    </row>
    <row r="790" spans="1:11" ht="13">
      <c r="A790" s="8" t="str">
        <f t="shared" si="0"/>
        <v>-</v>
      </c>
      <c r="B790" s="16"/>
      <c r="C790" s="17"/>
      <c r="D790" s="22"/>
      <c r="E790" s="22"/>
      <c r="F790" s="23"/>
      <c r="G790" s="22"/>
      <c r="H790" s="22"/>
      <c r="I790" s="22"/>
      <c r="J790" s="22"/>
      <c r="K790" s="12">
        <f ca="1"/>
        <v>0</v>
      </c>
    </row>
    <row r="791" spans="1:11" ht="13">
      <c r="A791" s="8" t="str">
        <f t="shared" si="0"/>
        <v>-</v>
      </c>
      <c r="B791" s="16"/>
      <c r="C791" s="17"/>
      <c r="D791" s="22"/>
      <c r="E791" s="22"/>
      <c r="F791" s="23"/>
      <c r="G791" s="22"/>
      <c r="H791" s="22"/>
      <c r="I791" s="22"/>
      <c r="J791" s="22"/>
      <c r="K791" s="12">
        <f ca="1"/>
        <v>0</v>
      </c>
    </row>
    <row r="792" spans="1:11" ht="13">
      <c r="A792" s="8" t="str">
        <f t="shared" si="0"/>
        <v>-</v>
      </c>
      <c r="B792" s="16"/>
      <c r="C792" s="17"/>
      <c r="D792" s="22"/>
      <c r="E792" s="22"/>
      <c r="F792" s="23"/>
      <c r="G792" s="22"/>
      <c r="H792" s="22"/>
      <c r="I792" s="22"/>
      <c r="J792" s="22"/>
      <c r="K792" s="12">
        <f ca="1"/>
        <v>0</v>
      </c>
    </row>
    <row r="793" spans="1:11" ht="13">
      <c r="A793" s="8" t="str">
        <f t="shared" si="0"/>
        <v>-</v>
      </c>
      <c r="B793" s="16"/>
      <c r="C793" s="17"/>
      <c r="D793" s="22"/>
      <c r="E793" s="22"/>
      <c r="F793" s="23"/>
      <c r="G793" s="22"/>
      <c r="H793" s="22"/>
      <c r="I793" s="22"/>
      <c r="J793" s="22"/>
      <c r="K793" s="12">
        <f ca="1"/>
        <v>0</v>
      </c>
    </row>
    <row r="794" spans="1:11" ht="13">
      <c r="A794" s="8" t="str">
        <f t="shared" si="0"/>
        <v>-</v>
      </c>
      <c r="B794" s="16"/>
      <c r="C794" s="17"/>
      <c r="D794" s="22"/>
      <c r="E794" s="22"/>
      <c r="F794" s="23"/>
      <c r="G794" s="22"/>
      <c r="H794" s="22"/>
      <c r="I794" s="22"/>
      <c r="J794" s="22"/>
      <c r="K794" s="12">
        <f ca="1"/>
        <v>0</v>
      </c>
    </row>
    <row r="795" spans="1:11" ht="13">
      <c r="A795" s="8" t="str">
        <f t="shared" si="0"/>
        <v>-</v>
      </c>
      <c r="B795" s="16"/>
      <c r="C795" s="17"/>
      <c r="D795" s="22"/>
      <c r="E795" s="22"/>
      <c r="F795" s="23"/>
      <c r="G795" s="22"/>
      <c r="H795" s="22"/>
      <c r="I795" s="22"/>
      <c r="J795" s="22"/>
      <c r="K795" s="12">
        <f ca="1"/>
        <v>0</v>
      </c>
    </row>
    <row r="796" spans="1:11" ht="13">
      <c r="A796" s="8" t="str">
        <f t="shared" si="0"/>
        <v>-</v>
      </c>
      <c r="B796" s="16"/>
      <c r="C796" s="17"/>
      <c r="D796" s="22"/>
      <c r="E796" s="22"/>
      <c r="F796" s="23"/>
      <c r="G796" s="22"/>
      <c r="H796" s="22"/>
      <c r="I796" s="22"/>
      <c r="J796" s="22"/>
      <c r="K796" s="12">
        <f ca="1"/>
        <v>0</v>
      </c>
    </row>
    <row r="797" spans="1:11" ht="13">
      <c r="A797" s="8" t="str">
        <f t="shared" si="0"/>
        <v>-</v>
      </c>
      <c r="B797" s="16"/>
      <c r="C797" s="17"/>
      <c r="D797" s="22"/>
      <c r="E797" s="22"/>
      <c r="F797" s="23"/>
      <c r="G797" s="22"/>
      <c r="H797" s="22"/>
      <c r="I797" s="22"/>
      <c r="J797" s="22"/>
      <c r="K797" s="12">
        <f ca="1"/>
        <v>0</v>
      </c>
    </row>
    <row r="798" spans="1:11" ht="13">
      <c r="A798" s="8" t="str">
        <f t="shared" si="0"/>
        <v>-</v>
      </c>
      <c r="B798" s="16"/>
      <c r="C798" s="17"/>
      <c r="D798" s="22"/>
      <c r="E798" s="22"/>
      <c r="F798" s="23"/>
      <c r="G798" s="22"/>
      <c r="H798" s="22"/>
      <c r="I798" s="22"/>
      <c r="J798" s="22"/>
      <c r="K798" s="12">
        <f ca="1"/>
        <v>0</v>
      </c>
    </row>
    <row r="799" spans="1:11" ht="13">
      <c r="A799" s="8" t="str">
        <f t="shared" si="0"/>
        <v>-</v>
      </c>
      <c r="B799" s="16"/>
      <c r="C799" s="17"/>
      <c r="D799" s="22"/>
      <c r="E799" s="22"/>
      <c r="F799" s="23"/>
      <c r="G799" s="22"/>
      <c r="H799" s="22"/>
      <c r="I799" s="22"/>
      <c r="J799" s="22"/>
      <c r="K799" s="12">
        <f ca="1"/>
        <v>0</v>
      </c>
    </row>
    <row r="800" spans="1:11" ht="13">
      <c r="A800" s="8" t="str">
        <f t="shared" si="0"/>
        <v>-</v>
      </c>
      <c r="B800" s="16"/>
      <c r="C800" s="17"/>
      <c r="D800" s="22"/>
      <c r="E800" s="22"/>
      <c r="F800" s="23"/>
      <c r="G800" s="22"/>
      <c r="H800" s="22"/>
      <c r="I800" s="22"/>
      <c r="J800" s="22"/>
      <c r="K800" s="12">
        <f ca="1"/>
        <v>0</v>
      </c>
    </row>
    <row r="801" spans="1:11" ht="13">
      <c r="A801" s="8" t="str">
        <f t="shared" si="0"/>
        <v>-</v>
      </c>
      <c r="B801" s="16"/>
      <c r="C801" s="17"/>
      <c r="D801" s="22"/>
      <c r="E801" s="22"/>
      <c r="F801" s="23"/>
      <c r="G801" s="22"/>
      <c r="H801" s="22"/>
      <c r="I801" s="22"/>
      <c r="J801" s="22"/>
      <c r="K801" s="12">
        <f ca="1"/>
        <v>0</v>
      </c>
    </row>
    <row r="802" spans="1:11" ht="13">
      <c r="A802" s="8" t="str">
        <f t="shared" si="0"/>
        <v>-</v>
      </c>
      <c r="B802" s="16"/>
      <c r="C802" s="17"/>
      <c r="D802" s="22"/>
      <c r="E802" s="22"/>
      <c r="F802" s="23"/>
      <c r="G802" s="22"/>
      <c r="H802" s="22"/>
      <c r="I802" s="22"/>
      <c r="J802" s="22"/>
      <c r="K802" s="12">
        <f ca="1"/>
        <v>0</v>
      </c>
    </row>
    <row r="803" spans="1:11" ht="13">
      <c r="A803" s="8" t="str">
        <f t="shared" si="0"/>
        <v>-</v>
      </c>
      <c r="B803" s="16"/>
      <c r="C803" s="17"/>
      <c r="D803" s="22"/>
      <c r="E803" s="22"/>
      <c r="F803" s="23"/>
      <c r="G803" s="22"/>
      <c r="H803" s="22"/>
      <c r="I803" s="22"/>
      <c r="J803" s="22"/>
      <c r="K803" s="12">
        <f ca="1"/>
        <v>0</v>
      </c>
    </row>
    <row r="804" spans="1:11" ht="13">
      <c r="A804" s="8" t="str">
        <f t="shared" si="0"/>
        <v>-</v>
      </c>
      <c r="B804" s="16"/>
      <c r="C804" s="17"/>
      <c r="D804" s="22"/>
      <c r="E804" s="22"/>
      <c r="F804" s="23"/>
      <c r="G804" s="22"/>
      <c r="H804" s="22"/>
      <c r="I804" s="22"/>
      <c r="J804" s="22"/>
      <c r="K804" s="12">
        <f ca="1"/>
        <v>0</v>
      </c>
    </row>
    <row r="805" spans="1:11" ht="13">
      <c r="A805" s="8" t="str">
        <f t="shared" si="0"/>
        <v>-</v>
      </c>
      <c r="B805" s="16"/>
      <c r="C805" s="17"/>
      <c r="D805" s="22"/>
      <c r="E805" s="22"/>
      <c r="F805" s="23"/>
      <c r="G805" s="22"/>
      <c r="H805" s="22"/>
      <c r="I805" s="22"/>
      <c r="J805" s="22"/>
      <c r="K805" s="12">
        <f ca="1"/>
        <v>0</v>
      </c>
    </row>
    <row r="806" spans="1:11" ht="13">
      <c r="A806" s="8" t="str">
        <f t="shared" si="0"/>
        <v>-</v>
      </c>
      <c r="B806" s="16"/>
      <c r="C806" s="17"/>
      <c r="D806" s="22"/>
      <c r="E806" s="22"/>
      <c r="F806" s="23"/>
      <c r="G806" s="22"/>
      <c r="H806" s="22"/>
      <c r="I806" s="22"/>
      <c r="J806" s="22"/>
      <c r="K806" s="12">
        <f ca="1"/>
        <v>0</v>
      </c>
    </row>
    <row r="807" spans="1:11" ht="13">
      <c r="A807" s="8" t="str">
        <f t="shared" si="0"/>
        <v>-</v>
      </c>
      <c r="B807" s="16"/>
      <c r="C807" s="17"/>
      <c r="D807" s="22"/>
      <c r="E807" s="22"/>
      <c r="F807" s="23"/>
      <c r="G807" s="22"/>
      <c r="H807" s="22"/>
      <c r="I807" s="22"/>
      <c r="J807" s="22"/>
      <c r="K807" s="12">
        <f ca="1"/>
        <v>0</v>
      </c>
    </row>
    <row r="808" spans="1:11" ht="13">
      <c r="A808" s="8" t="str">
        <f t="shared" si="0"/>
        <v>-</v>
      </c>
      <c r="B808" s="16"/>
      <c r="C808" s="17"/>
      <c r="D808" s="22"/>
      <c r="E808" s="22"/>
      <c r="F808" s="23"/>
      <c r="G808" s="22"/>
      <c r="H808" s="22"/>
      <c r="I808" s="22"/>
      <c r="J808" s="22"/>
      <c r="K808" s="12">
        <f ca="1"/>
        <v>0</v>
      </c>
    </row>
    <row r="809" spans="1:11" ht="13">
      <c r="A809" s="8" t="str">
        <f t="shared" si="0"/>
        <v>-</v>
      </c>
      <c r="B809" s="16"/>
      <c r="C809" s="17"/>
      <c r="D809" s="22"/>
      <c r="E809" s="22"/>
      <c r="F809" s="23"/>
      <c r="G809" s="22"/>
      <c r="H809" s="22"/>
      <c r="I809" s="22"/>
      <c r="J809" s="22"/>
      <c r="K809" s="12">
        <f ca="1"/>
        <v>0</v>
      </c>
    </row>
    <row r="810" spans="1:11" ht="13">
      <c r="A810" s="8" t="str">
        <f t="shared" si="0"/>
        <v>-</v>
      </c>
      <c r="B810" s="16"/>
      <c r="C810" s="17"/>
      <c r="D810" s="22"/>
      <c r="E810" s="22"/>
      <c r="F810" s="23"/>
      <c r="G810" s="22"/>
      <c r="H810" s="22"/>
      <c r="I810" s="22"/>
      <c r="J810" s="22"/>
      <c r="K810" s="12">
        <f ca="1"/>
        <v>0</v>
      </c>
    </row>
    <row r="811" spans="1:11" ht="13">
      <c r="A811" s="8" t="str">
        <f t="shared" si="0"/>
        <v>-</v>
      </c>
      <c r="B811" s="16"/>
      <c r="C811" s="17"/>
      <c r="D811" s="22"/>
      <c r="E811" s="22"/>
      <c r="F811" s="23"/>
      <c r="G811" s="22"/>
      <c r="H811" s="22"/>
      <c r="I811" s="22"/>
      <c r="J811" s="22"/>
      <c r="K811" s="12">
        <f ca="1"/>
        <v>0</v>
      </c>
    </row>
    <row r="812" spans="1:11" ht="13">
      <c r="A812" s="8" t="str">
        <f t="shared" si="0"/>
        <v>-</v>
      </c>
      <c r="B812" s="16"/>
      <c r="C812" s="17"/>
      <c r="D812" s="22"/>
      <c r="E812" s="22"/>
      <c r="F812" s="23"/>
      <c r="G812" s="22"/>
      <c r="H812" s="22"/>
      <c r="I812" s="22"/>
      <c r="J812" s="22"/>
      <c r="K812" s="12">
        <f ca="1"/>
        <v>0</v>
      </c>
    </row>
    <row r="813" spans="1:11" ht="13">
      <c r="A813" s="8" t="str">
        <f t="shared" si="0"/>
        <v>-</v>
      </c>
      <c r="B813" s="16"/>
      <c r="C813" s="17"/>
      <c r="D813" s="22"/>
      <c r="E813" s="22"/>
      <c r="F813" s="23"/>
      <c r="G813" s="22"/>
      <c r="H813" s="22"/>
      <c r="I813" s="22"/>
      <c r="J813" s="22"/>
      <c r="K813" s="12">
        <f ca="1"/>
        <v>0</v>
      </c>
    </row>
    <row r="814" spans="1:11" ht="13">
      <c r="A814" s="8" t="str">
        <f t="shared" si="0"/>
        <v>-</v>
      </c>
      <c r="B814" s="16"/>
      <c r="C814" s="17"/>
      <c r="D814" s="22"/>
      <c r="E814" s="22"/>
      <c r="F814" s="23"/>
      <c r="G814" s="22"/>
      <c r="H814" s="22"/>
      <c r="I814" s="22"/>
      <c r="J814" s="22"/>
      <c r="K814" s="12">
        <f ca="1"/>
        <v>0</v>
      </c>
    </row>
    <row r="815" spans="1:11" ht="13">
      <c r="A815" s="8" t="str">
        <f t="shared" si="0"/>
        <v>-</v>
      </c>
      <c r="B815" s="16"/>
      <c r="C815" s="17"/>
      <c r="D815" s="22"/>
      <c r="E815" s="22"/>
      <c r="F815" s="23"/>
      <c r="G815" s="22"/>
      <c r="H815" s="22"/>
      <c r="I815" s="22"/>
      <c r="J815" s="22"/>
      <c r="K815" s="12">
        <f ca="1"/>
        <v>0</v>
      </c>
    </row>
    <row r="816" spans="1:11" ht="13">
      <c r="A816" s="8" t="str">
        <f t="shared" si="0"/>
        <v>-</v>
      </c>
      <c r="B816" s="16"/>
      <c r="C816" s="17"/>
      <c r="D816" s="22"/>
      <c r="E816" s="22"/>
      <c r="F816" s="23"/>
      <c r="G816" s="22"/>
      <c r="H816" s="22"/>
      <c r="I816" s="22"/>
      <c r="J816" s="22"/>
      <c r="K816" s="12">
        <f ca="1"/>
        <v>0</v>
      </c>
    </row>
    <row r="817" spans="1:11" ht="13">
      <c r="A817" s="8" t="str">
        <f t="shared" si="0"/>
        <v>-</v>
      </c>
      <c r="B817" s="16"/>
      <c r="C817" s="17"/>
      <c r="D817" s="22"/>
      <c r="E817" s="22"/>
      <c r="F817" s="23"/>
      <c r="G817" s="22"/>
      <c r="H817" s="22"/>
      <c r="I817" s="22"/>
      <c r="J817" s="22"/>
      <c r="K817" s="12">
        <f ca="1"/>
        <v>0</v>
      </c>
    </row>
    <row r="818" spans="1:11" ht="13">
      <c r="A818" s="8" t="str">
        <f t="shared" si="0"/>
        <v>-</v>
      </c>
      <c r="B818" s="16"/>
      <c r="C818" s="17"/>
      <c r="D818" s="22"/>
      <c r="E818" s="22"/>
      <c r="F818" s="23"/>
      <c r="G818" s="22"/>
      <c r="H818" s="22"/>
      <c r="I818" s="22"/>
      <c r="J818" s="22"/>
      <c r="K818" s="12">
        <f ca="1"/>
        <v>0</v>
      </c>
    </row>
    <row r="819" spans="1:11" ht="13">
      <c r="A819" s="8" t="str">
        <f t="shared" si="0"/>
        <v>-</v>
      </c>
      <c r="B819" s="16"/>
      <c r="C819" s="17"/>
      <c r="D819" s="22"/>
      <c r="E819" s="22"/>
      <c r="F819" s="23"/>
      <c r="G819" s="22"/>
      <c r="H819" s="22"/>
      <c r="I819" s="22"/>
      <c r="J819" s="22"/>
      <c r="K819" s="12">
        <f ca="1"/>
        <v>0</v>
      </c>
    </row>
    <row r="820" spans="1:11" ht="13">
      <c r="A820" s="8" t="str">
        <f t="shared" si="0"/>
        <v>-</v>
      </c>
      <c r="B820" s="16"/>
      <c r="C820" s="17"/>
      <c r="D820" s="22"/>
      <c r="E820" s="22"/>
      <c r="F820" s="23"/>
      <c r="G820" s="22"/>
      <c r="H820" s="22"/>
      <c r="I820" s="22"/>
      <c r="J820" s="22"/>
      <c r="K820" s="12">
        <f ca="1"/>
        <v>0</v>
      </c>
    </row>
    <row r="821" spans="1:11" ht="13">
      <c r="A821" s="8" t="str">
        <f t="shared" si="0"/>
        <v>-</v>
      </c>
      <c r="B821" s="16"/>
      <c r="C821" s="17"/>
      <c r="D821" s="22"/>
      <c r="E821" s="22"/>
      <c r="F821" s="23"/>
      <c r="G821" s="22"/>
      <c r="H821" s="22"/>
      <c r="I821" s="22"/>
      <c r="J821" s="22"/>
      <c r="K821" s="12">
        <f ca="1"/>
        <v>0</v>
      </c>
    </row>
    <row r="822" spans="1:11" ht="13">
      <c r="A822" s="8" t="str">
        <f t="shared" si="0"/>
        <v>-</v>
      </c>
      <c r="B822" s="16"/>
      <c r="C822" s="17"/>
      <c r="D822" s="22"/>
      <c r="E822" s="22"/>
      <c r="F822" s="23"/>
      <c r="G822" s="22"/>
      <c r="H822" s="22"/>
      <c r="I822" s="22"/>
      <c r="J822" s="22"/>
      <c r="K822" s="12">
        <f ca="1"/>
        <v>0</v>
      </c>
    </row>
    <row r="823" spans="1:11" ht="13">
      <c r="A823" s="8" t="str">
        <f t="shared" si="0"/>
        <v>-</v>
      </c>
      <c r="B823" s="16"/>
      <c r="C823" s="17"/>
      <c r="D823" s="22"/>
      <c r="E823" s="22"/>
      <c r="F823" s="23"/>
      <c r="G823" s="22"/>
      <c r="H823" s="22"/>
      <c r="I823" s="22"/>
      <c r="J823" s="22"/>
      <c r="K823" s="12">
        <f ca="1"/>
        <v>0</v>
      </c>
    </row>
    <row r="824" spans="1:11" ht="13">
      <c r="A824" s="8" t="str">
        <f t="shared" si="0"/>
        <v>-</v>
      </c>
      <c r="B824" s="16"/>
      <c r="C824" s="17"/>
      <c r="D824" s="22"/>
      <c r="E824" s="22"/>
      <c r="F824" s="23"/>
      <c r="G824" s="22"/>
      <c r="H824" s="22"/>
      <c r="I824" s="22"/>
      <c r="J824" s="22"/>
      <c r="K824" s="12">
        <f ca="1"/>
        <v>0</v>
      </c>
    </row>
    <row r="825" spans="1:11" ht="13">
      <c r="A825" s="8" t="str">
        <f t="shared" si="0"/>
        <v>-</v>
      </c>
      <c r="B825" s="16"/>
      <c r="C825" s="17"/>
      <c r="D825" s="22"/>
      <c r="E825" s="22"/>
      <c r="F825" s="23"/>
      <c r="G825" s="22"/>
      <c r="H825" s="22"/>
      <c r="I825" s="22"/>
      <c r="J825" s="22"/>
      <c r="K825" s="12">
        <f ca="1"/>
        <v>0</v>
      </c>
    </row>
    <row r="826" spans="1:11" ht="13">
      <c r="A826" s="8" t="str">
        <f t="shared" si="0"/>
        <v>-</v>
      </c>
      <c r="B826" s="16"/>
      <c r="C826" s="17"/>
      <c r="D826" s="22"/>
      <c r="E826" s="22"/>
      <c r="F826" s="23"/>
      <c r="G826" s="22"/>
      <c r="H826" s="22"/>
      <c r="I826" s="22"/>
      <c r="J826" s="22"/>
      <c r="K826" s="12">
        <f ca="1"/>
        <v>0</v>
      </c>
    </row>
    <row r="827" spans="1:11" ht="13">
      <c r="A827" s="8" t="str">
        <f t="shared" si="0"/>
        <v>-</v>
      </c>
      <c r="B827" s="16"/>
      <c r="C827" s="17"/>
      <c r="D827" s="22"/>
      <c r="E827" s="22"/>
      <c r="F827" s="23"/>
      <c r="G827" s="22"/>
      <c r="H827" s="22"/>
      <c r="I827" s="22"/>
      <c r="J827" s="22"/>
      <c r="K827" s="12">
        <f ca="1"/>
        <v>0</v>
      </c>
    </row>
    <row r="828" spans="1:11" ht="13">
      <c r="A828" s="8" t="str">
        <f t="shared" si="0"/>
        <v>-</v>
      </c>
      <c r="B828" s="16"/>
      <c r="C828" s="17"/>
      <c r="D828" s="22"/>
      <c r="E828" s="22"/>
      <c r="F828" s="23"/>
      <c r="G828" s="22"/>
      <c r="H828" s="22"/>
      <c r="I828" s="22"/>
      <c r="J828" s="22"/>
      <c r="K828" s="12">
        <f ca="1"/>
        <v>0</v>
      </c>
    </row>
    <row r="829" spans="1:11" ht="13">
      <c r="A829" s="8" t="str">
        <f t="shared" si="0"/>
        <v>-</v>
      </c>
      <c r="B829" s="16"/>
      <c r="C829" s="17"/>
      <c r="D829" s="22"/>
      <c r="E829" s="22"/>
      <c r="F829" s="23"/>
      <c r="G829" s="22"/>
      <c r="H829" s="22"/>
      <c r="I829" s="22"/>
      <c r="J829" s="22"/>
      <c r="K829" s="12">
        <f ca="1"/>
        <v>0</v>
      </c>
    </row>
    <row r="830" spans="1:11" ht="13">
      <c r="A830" s="8" t="str">
        <f t="shared" si="0"/>
        <v>-</v>
      </c>
      <c r="B830" s="16"/>
      <c r="C830" s="17"/>
      <c r="D830" s="22"/>
      <c r="E830" s="22"/>
      <c r="F830" s="23"/>
      <c r="G830" s="22"/>
      <c r="H830" s="22"/>
      <c r="I830" s="22"/>
      <c r="J830" s="22"/>
      <c r="K830" s="12">
        <f ca="1"/>
        <v>0</v>
      </c>
    </row>
    <row r="831" spans="1:11" ht="13">
      <c r="A831" s="8" t="str">
        <f t="shared" si="0"/>
        <v>-</v>
      </c>
      <c r="B831" s="16"/>
      <c r="C831" s="17"/>
      <c r="D831" s="22"/>
      <c r="E831" s="22"/>
      <c r="F831" s="23"/>
      <c r="G831" s="22"/>
      <c r="H831" s="22"/>
      <c r="I831" s="22"/>
      <c r="J831" s="22"/>
      <c r="K831" s="12">
        <f ca="1"/>
        <v>0</v>
      </c>
    </row>
    <row r="832" spans="1:11" ht="13">
      <c r="A832" s="8" t="str">
        <f t="shared" si="0"/>
        <v>-</v>
      </c>
      <c r="B832" s="16"/>
      <c r="C832" s="17"/>
      <c r="D832" s="22"/>
      <c r="E832" s="22"/>
      <c r="F832" s="23"/>
      <c r="G832" s="22"/>
      <c r="H832" s="22"/>
      <c r="I832" s="22"/>
      <c r="J832" s="22"/>
      <c r="K832" s="12">
        <f ca="1"/>
        <v>0</v>
      </c>
    </row>
    <row r="833" spans="1:11" ht="13">
      <c r="A833" s="8" t="str">
        <f t="shared" si="0"/>
        <v>-</v>
      </c>
      <c r="B833" s="16"/>
      <c r="C833" s="17"/>
      <c r="D833" s="22"/>
      <c r="E833" s="22"/>
      <c r="F833" s="23"/>
      <c r="G833" s="22"/>
      <c r="H833" s="22"/>
      <c r="I833" s="22"/>
      <c r="J833" s="22"/>
      <c r="K833" s="12">
        <f ca="1"/>
        <v>0</v>
      </c>
    </row>
    <row r="834" spans="1:11" ht="13">
      <c r="A834" s="8" t="str">
        <f t="shared" si="0"/>
        <v>-</v>
      </c>
      <c r="B834" s="16"/>
      <c r="C834" s="17"/>
      <c r="D834" s="22"/>
      <c r="E834" s="22"/>
      <c r="F834" s="23"/>
      <c r="G834" s="22"/>
      <c r="H834" s="22"/>
      <c r="I834" s="22"/>
      <c r="J834" s="22"/>
      <c r="K834" s="12">
        <f ca="1"/>
        <v>0</v>
      </c>
    </row>
    <row r="835" spans="1:11" ht="13">
      <c r="A835" s="8" t="str">
        <f t="shared" si="0"/>
        <v>-</v>
      </c>
      <c r="B835" s="16"/>
      <c r="C835" s="17"/>
      <c r="D835" s="22"/>
      <c r="E835" s="22"/>
      <c r="F835" s="23"/>
      <c r="G835" s="22"/>
      <c r="H835" s="22"/>
      <c r="I835" s="22"/>
      <c r="J835" s="22"/>
      <c r="K835" s="12">
        <f ca="1"/>
        <v>0</v>
      </c>
    </row>
    <row r="836" spans="1:11" ht="13">
      <c r="A836" s="8" t="str">
        <f t="shared" si="0"/>
        <v>-</v>
      </c>
      <c r="B836" s="16"/>
      <c r="C836" s="17"/>
      <c r="D836" s="22"/>
      <c r="E836" s="22"/>
      <c r="F836" s="23"/>
      <c r="G836" s="22"/>
      <c r="H836" s="22"/>
      <c r="I836" s="22"/>
      <c r="J836" s="22"/>
      <c r="K836" s="12">
        <f ca="1"/>
        <v>0</v>
      </c>
    </row>
    <row r="837" spans="1:11" ht="13">
      <c r="A837" s="8" t="str">
        <f t="shared" si="0"/>
        <v>-</v>
      </c>
      <c r="B837" s="16"/>
      <c r="C837" s="17"/>
      <c r="D837" s="22"/>
      <c r="E837" s="22"/>
      <c r="F837" s="23"/>
      <c r="G837" s="22"/>
      <c r="H837" s="22"/>
      <c r="I837" s="22"/>
      <c r="J837" s="22"/>
      <c r="K837" s="12">
        <f ca="1"/>
        <v>0</v>
      </c>
    </row>
    <row r="838" spans="1:11" ht="13">
      <c r="A838" s="8" t="str">
        <f t="shared" si="0"/>
        <v>-</v>
      </c>
      <c r="B838" s="16"/>
      <c r="C838" s="17"/>
      <c r="D838" s="22"/>
      <c r="E838" s="22"/>
      <c r="F838" s="23"/>
      <c r="G838" s="22"/>
      <c r="H838" s="22"/>
      <c r="I838" s="22"/>
      <c r="J838" s="22"/>
      <c r="K838" s="12">
        <f ca="1"/>
        <v>0</v>
      </c>
    </row>
    <row r="839" spans="1:11" ht="13">
      <c r="A839" s="8" t="str">
        <f t="shared" si="0"/>
        <v>-</v>
      </c>
      <c r="B839" s="16"/>
      <c r="C839" s="17"/>
      <c r="D839" s="22"/>
      <c r="E839" s="22"/>
      <c r="F839" s="23"/>
      <c r="G839" s="22"/>
      <c r="H839" s="22"/>
      <c r="I839" s="22"/>
      <c r="J839" s="22"/>
      <c r="K839" s="12">
        <f ca="1"/>
        <v>0</v>
      </c>
    </row>
    <row r="840" spans="1:11" ht="13">
      <c r="A840" s="8" t="str">
        <f t="shared" si="0"/>
        <v>-</v>
      </c>
      <c r="B840" s="16"/>
      <c r="C840" s="17"/>
      <c r="D840" s="22"/>
      <c r="E840" s="22"/>
      <c r="F840" s="23"/>
      <c r="G840" s="22"/>
      <c r="H840" s="22"/>
      <c r="I840" s="22"/>
      <c r="J840" s="22"/>
      <c r="K840" s="12">
        <f ca="1"/>
        <v>0</v>
      </c>
    </row>
    <row r="841" spans="1:11" ht="13">
      <c r="A841" s="8" t="str">
        <f t="shared" si="0"/>
        <v>-</v>
      </c>
      <c r="B841" s="16"/>
      <c r="C841" s="17"/>
      <c r="D841" s="22"/>
      <c r="E841" s="22"/>
      <c r="F841" s="23"/>
      <c r="G841" s="22"/>
      <c r="H841" s="22"/>
      <c r="I841" s="22"/>
      <c r="J841" s="22"/>
      <c r="K841" s="12">
        <f ca="1"/>
        <v>0</v>
      </c>
    </row>
    <row r="842" spans="1:11" ht="13">
      <c r="A842" s="8" t="str">
        <f t="shared" si="0"/>
        <v>-</v>
      </c>
      <c r="B842" s="16"/>
      <c r="C842" s="17"/>
      <c r="D842" s="22"/>
      <c r="E842" s="22"/>
      <c r="F842" s="23"/>
      <c r="G842" s="22"/>
      <c r="H842" s="22"/>
      <c r="I842" s="22"/>
      <c r="J842" s="22"/>
      <c r="K842" s="12">
        <f ca="1"/>
        <v>0</v>
      </c>
    </row>
    <row r="843" spans="1:11" ht="13">
      <c r="A843" s="8" t="str">
        <f t="shared" si="0"/>
        <v>-</v>
      </c>
      <c r="B843" s="16"/>
      <c r="C843" s="17"/>
      <c r="D843" s="22"/>
      <c r="E843" s="22"/>
      <c r="F843" s="23"/>
      <c r="G843" s="22"/>
      <c r="H843" s="22"/>
      <c r="I843" s="22"/>
      <c r="J843" s="22"/>
      <c r="K843" s="12">
        <f ca="1"/>
        <v>0</v>
      </c>
    </row>
    <row r="844" spans="1:11" ht="13">
      <c r="A844" s="8" t="str">
        <f t="shared" si="0"/>
        <v>-</v>
      </c>
      <c r="B844" s="16"/>
      <c r="C844" s="17"/>
      <c r="D844" s="22"/>
      <c r="E844" s="22"/>
      <c r="F844" s="23"/>
      <c r="G844" s="22"/>
      <c r="H844" s="22"/>
      <c r="I844" s="22"/>
      <c r="J844" s="22"/>
      <c r="K844" s="12">
        <f ca="1"/>
        <v>0</v>
      </c>
    </row>
    <row r="845" spans="1:11" ht="13">
      <c r="A845" s="8" t="str">
        <f t="shared" si="0"/>
        <v>-</v>
      </c>
      <c r="B845" s="16"/>
      <c r="C845" s="17"/>
      <c r="D845" s="22"/>
      <c r="E845" s="22"/>
      <c r="F845" s="23"/>
      <c r="G845" s="22"/>
      <c r="H845" s="22"/>
      <c r="I845" s="22"/>
      <c r="J845" s="22"/>
      <c r="K845" s="12">
        <f ca="1"/>
        <v>0</v>
      </c>
    </row>
    <row r="846" spans="1:11" ht="13">
      <c r="A846" s="8" t="str">
        <f t="shared" si="0"/>
        <v>-</v>
      </c>
      <c r="B846" s="16"/>
      <c r="C846" s="17"/>
      <c r="D846" s="22"/>
      <c r="E846" s="22"/>
      <c r="F846" s="23"/>
      <c r="G846" s="22"/>
      <c r="H846" s="22"/>
      <c r="I846" s="22"/>
      <c r="J846" s="22"/>
      <c r="K846" s="12">
        <f ca="1"/>
        <v>0</v>
      </c>
    </row>
    <row r="847" spans="1:11" ht="13">
      <c r="A847" s="8" t="str">
        <f t="shared" si="0"/>
        <v>-</v>
      </c>
      <c r="B847" s="16"/>
      <c r="C847" s="17"/>
      <c r="D847" s="22"/>
      <c r="E847" s="22"/>
      <c r="F847" s="23"/>
      <c r="G847" s="22"/>
      <c r="H847" s="22"/>
      <c r="I847" s="22"/>
      <c r="J847" s="22"/>
      <c r="K847" s="12">
        <f ca="1"/>
        <v>0</v>
      </c>
    </row>
    <row r="848" spans="1:11" ht="13">
      <c r="A848" s="8" t="str">
        <f t="shared" si="0"/>
        <v>-</v>
      </c>
      <c r="B848" s="16"/>
      <c r="C848" s="17"/>
      <c r="D848" s="22"/>
      <c r="E848" s="22"/>
      <c r="F848" s="23"/>
      <c r="G848" s="22"/>
      <c r="H848" s="22"/>
      <c r="I848" s="22"/>
      <c r="J848" s="22"/>
      <c r="K848" s="12">
        <f ca="1"/>
        <v>0</v>
      </c>
    </row>
    <row r="849" spans="1:11" ht="13">
      <c r="A849" s="8" t="str">
        <f t="shared" si="0"/>
        <v>-</v>
      </c>
      <c r="B849" s="16"/>
      <c r="C849" s="17"/>
      <c r="D849" s="22"/>
      <c r="E849" s="22"/>
      <c r="F849" s="23"/>
      <c r="G849" s="22"/>
      <c r="H849" s="22"/>
      <c r="I849" s="22"/>
      <c r="J849" s="22"/>
      <c r="K849" s="12">
        <f ca="1"/>
        <v>0</v>
      </c>
    </row>
    <row r="850" spans="1:11" ht="13">
      <c r="A850" s="8" t="str">
        <f t="shared" si="0"/>
        <v>-</v>
      </c>
      <c r="B850" s="16"/>
      <c r="C850" s="17"/>
      <c r="D850" s="22"/>
      <c r="E850" s="22"/>
      <c r="F850" s="23"/>
      <c r="G850" s="22"/>
      <c r="H850" s="22"/>
      <c r="I850" s="22"/>
      <c r="J850" s="22"/>
      <c r="K850" s="12">
        <f ca="1"/>
        <v>0</v>
      </c>
    </row>
    <row r="851" spans="1:11" ht="13">
      <c r="A851" s="8" t="str">
        <f t="shared" si="0"/>
        <v>-</v>
      </c>
      <c r="B851" s="16"/>
      <c r="C851" s="17"/>
      <c r="D851" s="22"/>
      <c r="E851" s="22"/>
      <c r="F851" s="23"/>
      <c r="G851" s="22"/>
      <c r="H851" s="22"/>
      <c r="I851" s="22"/>
      <c r="J851" s="22"/>
      <c r="K851" s="12">
        <f ca="1"/>
        <v>0</v>
      </c>
    </row>
    <row r="852" spans="1:11" ht="13">
      <c r="A852" s="8" t="str">
        <f t="shared" si="0"/>
        <v>-</v>
      </c>
      <c r="B852" s="16"/>
      <c r="C852" s="17"/>
      <c r="D852" s="22"/>
      <c r="E852" s="22"/>
      <c r="F852" s="23"/>
      <c r="G852" s="22"/>
      <c r="H852" s="22"/>
      <c r="I852" s="22"/>
      <c r="J852" s="22"/>
      <c r="K852" s="12">
        <f ca="1"/>
        <v>0</v>
      </c>
    </row>
    <row r="853" spans="1:11" ht="13">
      <c r="A853" s="8" t="str">
        <f t="shared" si="0"/>
        <v>-</v>
      </c>
      <c r="B853" s="16"/>
      <c r="C853" s="17"/>
      <c r="D853" s="22"/>
      <c r="E853" s="22"/>
      <c r="F853" s="23"/>
      <c r="G853" s="22"/>
      <c r="H853" s="22"/>
      <c r="I853" s="22"/>
      <c r="J853" s="22"/>
      <c r="K853" s="12">
        <f ca="1"/>
        <v>0</v>
      </c>
    </row>
    <row r="854" spans="1:11" ht="13">
      <c r="A854" s="8" t="str">
        <f t="shared" si="0"/>
        <v>-</v>
      </c>
      <c r="B854" s="16"/>
      <c r="C854" s="17"/>
      <c r="D854" s="22"/>
      <c r="E854" s="22"/>
      <c r="F854" s="23"/>
      <c r="G854" s="22"/>
      <c r="H854" s="22"/>
      <c r="I854" s="22"/>
      <c r="J854" s="22"/>
      <c r="K854" s="12">
        <f ca="1"/>
        <v>0</v>
      </c>
    </row>
    <row r="855" spans="1:11" ht="13">
      <c r="A855" s="8" t="str">
        <f t="shared" si="0"/>
        <v>-</v>
      </c>
      <c r="B855" s="16"/>
      <c r="C855" s="17"/>
      <c r="D855" s="22"/>
      <c r="E855" s="22"/>
      <c r="F855" s="23"/>
      <c r="G855" s="22"/>
      <c r="H855" s="22"/>
      <c r="I855" s="22"/>
      <c r="J855" s="22"/>
      <c r="K855" s="12">
        <f ca="1"/>
        <v>0</v>
      </c>
    </row>
    <row r="856" spans="1:11" ht="13">
      <c r="A856" s="8" t="str">
        <f t="shared" si="0"/>
        <v>-</v>
      </c>
      <c r="B856" s="16"/>
      <c r="C856" s="17"/>
      <c r="D856" s="22"/>
      <c r="E856" s="22"/>
      <c r="F856" s="23"/>
      <c r="G856" s="22"/>
      <c r="H856" s="22"/>
      <c r="I856" s="22"/>
      <c r="J856" s="22"/>
      <c r="K856" s="12">
        <f ca="1"/>
        <v>0</v>
      </c>
    </row>
    <row r="857" spans="1:11" ht="13">
      <c r="A857" s="8" t="str">
        <f t="shared" si="0"/>
        <v>-</v>
      </c>
      <c r="B857" s="16"/>
      <c r="C857" s="17"/>
      <c r="D857" s="22"/>
      <c r="E857" s="22"/>
      <c r="F857" s="23"/>
      <c r="G857" s="22"/>
      <c r="H857" s="22"/>
      <c r="I857" s="22"/>
      <c r="J857" s="22"/>
      <c r="K857" s="12">
        <f ca="1"/>
        <v>0</v>
      </c>
    </row>
    <row r="858" spans="1:11" ht="13">
      <c r="A858" s="8" t="str">
        <f t="shared" si="0"/>
        <v>-</v>
      </c>
      <c r="B858" s="16"/>
      <c r="C858" s="17"/>
      <c r="D858" s="22"/>
      <c r="E858" s="22"/>
      <c r="F858" s="23"/>
      <c r="G858" s="22"/>
      <c r="H858" s="22"/>
      <c r="I858" s="22"/>
      <c r="J858" s="22"/>
      <c r="K858" s="12">
        <f ca="1"/>
        <v>0</v>
      </c>
    </row>
    <row r="859" spans="1:11" ht="13">
      <c r="A859" s="8" t="str">
        <f t="shared" si="0"/>
        <v>-</v>
      </c>
      <c r="B859" s="16"/>
      <c r="C859" s="17"/>
      <c r="D859" s="22"/>
      <c r="E859" s="22"/>
      <c r="F859" s="23"/>
      <c r="G859" s="22"/>
      <c r="H859" s="22"/>
      <c r="I859" s="22"/>
      <c r="J859" s="22"/>
      <c r="K859" s="12">
        <f ca="1"/>
        <v>0</v>
      </c>
    </row>
    <row r="860" spans="1:11" ht="13">
      <c r="A860" s="8" t="str">
        <f t="shared" si="0"/>
        <v>-</v>
      </c>
      <c r="B860" s="16"/>
      <c r="C860" s="17"/>
      <c r="D860" s="22"/>
      <c r="E860" s="22"/>
      <c r="F860" s="23"/>
      <c r="G860" s="22"/>
      <c r="H860" s="22"/>
      <c r="I860" s="22"/>
      <c r="J860" s="22"/>
      <c r="K860" s="12">
        <f ca="1"/>
        <v>0</v>
      </c>
    </row>
    <row r="861" spans="1:11" ht="13">
      <c r="A861" s="8" t="str">
        <f t="shared" si="0"/>
        <v>-</v>
      </c>
      <c r="B861" s="16"/>
      <c r="C861" s="17"/>
      <c r="D861" s="22"/>
      <c r="E861" s="22"/>
      <c r="F861" s="23"/>
      <c r="G861" s="22"/>
      <c r="H861" s="22"/>
      <c r="I861" s="22"/>
      <c r="J861" s="22"/>
      <c r="K861" s="12">
        <f ca="1"/>
        <v>0</v>
      </c>
    </row>
    <row r="862" spans="1:11" ht="13">
      <c r="A862" s="8" t="str">
        <f t="shared" si="0"/>
        <v>-</v>
      </c>
      <c r="B862" s="16"/>
      <c r="C862" s="17"/>
      <c r="D862" s="22"/>
      <c r="E862" s="22"/>
      <c r="F862" s="23"/>
      <c r="G862" s="22"/>
      <c r="H862" s="22"/>
      <c r="I862" s="22"/>
      <c r="J862" s="22"/>
      <c r="K862" s="12">
        <f ca="1"/>
        <v>0</v>
      </c>
    </row>
    <row r="863" spans="1:11" ht="13">
      <c r="A863" s="8" t="str">
        <f t="shared" si="0"/>
        <v>-</v>
      </c>
      <c r="B863" s="16"/>
      <c r="C863" s="17"/>
      <c r="D863" s="22"/>
      <c r="E863" s="22"/>
      <c r="F863" s="23"/>
      <c r="G863" s="22"/>
      <c r="H863" s="22"/>
      <c r="I863" s="22"/>
      <c r="J863" s="22"/>
      <c r="K863" s="12">
        <f ca="1"/>
        <v>0</v>
      </c>
    </row>
    <row r="864" spans="1:11" ht="13">
      <c r="A864" s="8" t="str">
        <f t="shared" si="0"/>
        <v>-</v>
      </c>
      <c r="B864" s="16"/>
      <c r="C864" s="17"/>
      <c r="D864" s="22"/>
      <c r="E864" s="22"/>
      <c r="F864" s="23"/>
      <c r="G864" s="22"/>
      <c r="H864" s="22"/>
      <c r="I864" s="22"/>
      <c r="J864" s="22"/>
      <c r="K864" s="12">
        <f ca="1"/>
        <v>0</v>
      </c>
    </row>
    <row r="865" spans="1:11" ht="13">
      <c r="A865" s="8" t="str">
        <f t="shared" si="0"/>
        <v>-</v>
      </c>
      <c r="B865" s="16"/>
      <c r="C865" s="17"/>
      <c r="D865" s="22"/>
      <c r="E865" s="22"/>
      <c r="F865" s="23"/>
      <c r="G865" s="22"/>
      <c r="H865" s="22"/>
      <c r="I865" s="22"/>
      <c r="J865" s="22"/>
      <c r="K865" s="12">
        <f ca="1"/>
        <v>0</v>
      </c>
    </row>
    <row r="866" spans="1:11" ht="13">
      <c r="A866" s="8" t="str">
        <f t="shared" si="0"/>
        <v>-</v>
      </c>
      <c r="B866" s="16"/>
      <c r="C866" s="17"/>
      <c r="D866" s="22"/>
      <c r="E866" s="22"/>
      <c r="F866" s="23"/>
      <c r="G866" s="22"/>
      <c r="H866" s="22"/>
      <c r="I866" s="22"/>
      <c r="J866" s="22"/>
      <c r="K866" s="12">
        <f ca="1"/>
        <v>0</v>
      </c>
    </row>
    <row r="867" spans="1:11" ht="13">
      <c r="A867" s="8" t="str">
        <f t="shared" si="0"/>
        <v>-</v>
      </c>
      <c r="B867" s="16"/>
      <c r="C867" s="17"/>
      <c r="D867" s="22"/>
      <c r="E867" s="22"/>
      <c r="F867" s="23"/>
      <c r="G867" s="22"/>
      <c r="H867" s="22"/>
      <c r="I867" s="22"/>
      <c r="J867" s="22"/>
      <c r="K867" s="12">
        <f ca="1"/>
        <v>0</v>
      </c>
    </row>
    <row r="868" spans="1:11" ht="13">
      <c r="A868" s="8" t="str">
        <f t="shared" si="0"/>
        <v>-</v>
      </c>
      <c r="B868" s="16"/>
      <c r="C868" s="17"/>
      <c r="D868" s="22"/>
      <c r="E868" s="22"/>
      <c r="F868" s="23"/>
      <c r="G868" s="22"/>
      <c r="H868" s="22"/>
      <c r="I868" s="22"/>
      <c r="J868" s="22"/>
      <c r="K868" s="12">
        <f ca="1"/>
        <v>0</v>
      </c>
    </row>
    <row r="869" spans="1:11" ht="13">
      <c r="A869" s="8" t="str">
        <f t="shared" si="0"/>
        <v>-</v>
      </c>
      <c r="B869" s="16"/>
      <c r="C869" s="17"/>
      <c r="D869" s="22"/>
      <c r="E869" s="22"/>
      <c r="F869" s="23"/>
      <c r="G869" s="22"/>
      <c r="H869" s="22"/>
      <c r="I869" s="22"/>
      <c r="J869" s="22"/>
      <c r="K869" s="12">
        <f ca="1"/>
        <v>0</v>
      </c>
    </row>
    <row r="870" spans="1:11" ht="13">
      <c r="A870" s="8" t="str">
        <f t="shared" si="0"/>
        <v>-</v>
      </c>
      <c r="B870" s="16"/>
      <c r="C870" s="17"/>
      <c r="D870" s="22"/>
      <c r="E870" s="22"/>
      <c r="F870" s="23"/>
      <c r="G870" s="22"/>
      <c r="H870" s="22"/>
      <c r="I870" s="22"/>
      <c r="J870" s="22"/>
      <c r="K870" s="12">
        <f ca="1"/>
        <v>0</v>
      </c>
    </row>
    <row r="871" spans="1:11" ht="13">
      <c r="A871" s="8" t="str">
        <f t="shared" si="0"/>
        <v>-</v>
      </c>
      <c r="B871" s="16"/>
      <c r="C871" s="17"/>
      <c r="D871" s="22"/>
      <c r="E871" s="22"/>
      <c r="F871" s="23"/>
      <c r="G871" s="22"/>
      <c r="H871" s="22"/>
      <c r="I871" s="22"/>
      <c r="J871" s="22"/>
      <c r="K871" s="12">
        <f ca="1"/>
        <v>0</v>
      </c>
    </row>
    <row r="872" spans="1:11" ht="13">
      <c r="A872" s="8" t="str">
        <f t="shared" si="0"/>
        <v>-</v>
      </c>
      <c r="B872" s="16"/>
      <c r="C872" s="17"/>
      <c r="D872" s="22"/>
      <c r="E872" s="22"/>
      <c r="F872" s="23"/>
      <c r="G872" s="22"/>
      <c r="H872" s="22"/>
      <c r="I872" s="22"/>
      <c r="J872" s="22"/>
      <c r="K872" s="12">
        <f ca="1"/>
        <v>0</v>
      </c>
    </row>
    <row r="873" spans="1:11" ht="13">
      <c r="A873" s="8" t="str">
        <f t="shared" si="0"/>
        <v>-</v>
      </c>
      <c r="B873" s="16"/>
      <c r="C873" s="17"/>
      <c r="D873" s="22"/>
      <c r="E873" s="22"/>
      <c r="F873" s="23"/>
      <c r="G873" s="22"/>
      <c r="H873" s="22"/>
      <c r="I873" s="22"/>
      <c r="J873" s="22"/>
      <c r="K873" s="12">
        <f ca="1"/>
        <v>0</v>
      </c>
    </row>
    <row r="874" spans="1:11" ht="13">
      <c r="A874" s="8" t="str">
        <f t="shared" si="0"/>
        <v>-</v>
      </c>
      <c r="B874" s="16"/>
      <c r="C874" s="17"/>
      <c r="D874" s="22"/>
      <c r="E874" s="22"/>
      <c r="F874" s="23"/>
      <c r="G874" s="22"/>
      <c r="H874" s="22"/>
      <c r="I874" s="22"/>
      <c r="J874" s="22"/>
      <c r="K874" s="12">
        <f ca="1"/>
        <v>0</v>
      </c>
    </row>
    <row r="875" spans="1:11" ht="13">
      <c r="A875" s="8" t="str">
        <f t="shared" si="0"/>
        <v>-</v>
      </c>
      <c r="B875" s="16"/>
      <c r="C875" s="17"/>
      <c r="D875" s="22"/>
      <c r="E875" s="22"/>
      <c r="F875" s="23"/>
      <c r="G875" s="22"/>
      <c r="H875" s="22"/>
      <c r="I875" s="22"/>
      <c r="J875" s="22"/>
      <c r="K875" s="12">
        <f ca="1"/>
        <v>0</v>
      </c>
    </row>
    <row r="876" spans="1:11" ht="13">
      <c r="A876" s="8" t="str">
        <f t="shared" si="0"/>
        <v>-</v>
      </c>
      <c r="B876" s="16"/>
      <c r="C876" s="17"/>
      <c r="D876" s="22"/>
      <c r="E876" s="22"/>
      <c r="F876" s="23"/>
      <c r="G876" s="22"/>
      <c r="H876" s="22"/>
      <c r="I876" s="22"/>
      <c r="J876" s="22"/>
      <c r="K876" s="12">
        <f ca="1"/>
        <v>0</v>
      </c>
    </row>
    <row r="877" spans="1:11" ht="13">
      <c r="A877" s="8" t="str">
        <f t="shared" si="0"/>
        <v>-</v>
      </c>
      <c r="B877" s="16"/>
      <c r="C877" s="17"/>
      <c r="D877" s="22"/>
      <c r="E877" s="22"/>
      <c r="F877" s="23"/>
      <c r="G877" s="22"/>
      <c r="H877" s="22"/>
      <c r="I877" s="22"/>
      <c r="J877" s="22"/>
      <c r="K877" s="12">
        <f ca="1"/>
        <v>0</v>
      </c>
    </row>
    <row r="878" spans="1:11" ht="13">
      <c r="A878" s="8" t="str">
        <f t="shared" si="0"/>
        <v>-</v>
      </c>
      <c r="B878" s="16"/>
      <c r="C878" s="17"/>
      <c r="D878" s="22"/>
      <c r="E878" s="22"/>
      <c r="F878" s="23"/>
      <c r="G878" s="22"/>
      <c r="H878" s="22"/>
      <c r="I878" s="22"/>
      <c r="J878" s="22"/>
      <c r="K878" s="12">
        <f ca="1"/>
        <v>0</v>
      </c>
    </row>
    <row r="879" spans="1:11" ht="13">
      <c r="A879" s="8" t="str">
        <f t="shared" si="0"/>
        <v>-</v>
      </c>
      <c r="B879" s="16"/>
      <c r="C879" s="17"/>
      <c r="D879" s="22"/>
      <c r="E879" s="22"/>
      <c r="F879" s="23"/>
      <c r="G879" s="22"/>
      <c r="H879" s="22"/>
      <c r="I879" s="22"/>
      <c r="J879" s="22"/>
      <c r="K879" s="12">
        <f ca="1"/>
        <v>0</v>
      </c>
    </row>
    <row r="880" spans="1:11" ht="13">
      <c r="A880" s="8" t="str">
        <f t="shared" si="0"/>
        <v>-</v>
      </c>
      <c r="B880" s="16"/>
      <c r="C880" s="17"/>
      <c r="D880" s="22"/>
      <c r="E880" s="22"/>
      <c r="F880" s="23"/>
      <c r="G880" s="22"/>
      <c r="H880" s="22"/>
      <c r="I880" s="22"/>
      <c r="J880" s="22"/>
      <c r="K880" s="12">
        <f ca="1"/>
        <v>0</v>
      </c>
    </row>
    <row r="881" spans="1:11" ht="13">
      <c r="A881" s="8" t="str">
        <f t="shared" si="0"/>
        <v>-</v>
      </c>
      <c r="B881" s="16"/>
      <c r="C881" s="17"/>
      <c r="D881" s="22"/>
      <c r="E881" s="22"/>
      <c r="F881" s="23"/>
      <c r="G881" s="22"/>
      <c r="H881" s="22"/>
      <c r="I881" s="22"/>
      <c r="J881" s="22"/>
      <c r="K881" s="12">
        <f ca="1"/>
        <v>0</v>
      </c>
    </row>
    <row r="882" spans="1:11" ht="13">
      <c r="A882" s="8" t="str">
        <f t="shared" si="0"/>
        <v>-</v>
      </c>
      <c r="B882" s="16"/>
      <c r="C882" s="17"/>
      <c r="D882" s="22"/>
      <c r="E882" s="22"/>
      <c r="F882" s="23"/>
      <c r="G882" s="22"/>
      <c r="H882" s="22"/>
      <c r="I882" s="22"/>
      <c r="J882" s="22"/>
      <c r="K882" s="12">
        <f ca="1"/>
        <v>0</v>
      </c>
    </row>
    <row r="883" spans="1:11" ht="13">
      <c r="A883" s="8" t="str">
        <f t="shared" si="0"/>
        <v>-</v>
      </c>
      <c r="B883" s="16"/>
      <c r="C883" s="17"/>
      <c r="D883" s="22"/>
      <c r="E883" s="22"/>
      <c r="F883" s="23"/>
      <c r="G883" s="22"/>
      <c r="H883" s="22"/>
      <c r="I883" s="22"/>
      <c r="J883" s="22"/>
      <c r="K883" s="12">
        <f ca="1"/>
        <v>0</v>
      </c>
    </row>
    <row r="884" spans="1:11" ht="13">
      <c r="A884" s="8" t="str">
        <f t="shared" si="0"/>
        <v>-</v>
      </c>
      <c r="B884" s="16"/>
      <c r="C884" s="17"/>
      <c r="D884" s="22"/>
      <c r="E884" s="22"/>
      <c r="F884" s="23"/>
      <c r="G884" s="22"/>
      <c r="H884" s="22"/>
      <c r="I884" s="22"/>
      <c r="J884" s="22"/>
      <c r="K884" s="12">
        <f ca="1"/>
        <v>0</v>
      </c>
    </row>
    <row r="885" spans="1:11" ht="13">
      <c r="A885" s="8" t="str">
        <f t="shared" si="0"/>
        <v>-</v>
      </c>
      <c r="B885" s="16"/>
      <c r="C885" s="17"/>
      <c r="D885" s="22"/>
      <c r="E885" s="22"/>
      <c r="F885" s="23"/>
      <c r="G885" s="22"/>
      <c r="H885" s="22"/>
      <c r="I885" s="22"/>
      <c r="J885" s="22"/>
      <c r="K885" s="12">
        <f ca="1"/>
        <v>0</v>
      </c>
    </row>
    <row r="886" spans="1:11" ht="13">
      <c r="A886" s="8" t="str">
        <f t="shared" si="0"/>
        <v>-</v>
      </c>
      <c r="B886" s="16"/>
      <c r="C886" s="17"/>
      <c r="D886" s="22"/>
      <c r="E886" s="22"/>
      <c r="F886" s="23"/>
      <c r="G886" s="22"/>
      <c r="H886" s="22"/>
      <c r="I886" s="22"/>
      <c r="J886" s="22"/>
      <c r="K886" s="12">
        <f ca="1"/>
        <v>0</v>
      </c>
    </row>
    <row r="887" spans="1:11" ht="13">
      <c r="A887" s="8" t="str">
        <f t="shared" si="0"/>
        <v>-</v>
      </c>
      <c r="B887" s="16"/>
      <c r="C887" s="17"/>
      <c r="D887" s="22"/>
      <c r="E887" s="22"/>
      <c r="F887" s="23"/>
      <c r="G887" s="22"/>
      <c r="H887" s="22"/>
      <c r="I887" s="22"/>
      <c r="J887" s="22"/>
      <c r="K887" s="12">
        <f ca="1"/>
        <v>0</v>
      </c>
    </row>
    <row r="888" spans="1:11" ht="13">
      <c r="A888" s="8" t="str">
        <f t="shared" si="0"/>
        <v>-</v>
      </c>
      <c r="B888" s="16"/>
      <c r="C888" s="17"/>
      <c r="D888" s="22"/>
      <c r="E888" s="22"/>
      <c r="F888" s="23"/>
      <c r="G888" s="22"/>
      <c r="H888" s="22"/>
      <c r="I888" s="22"/>
      <c r="J888" s="22"/>
      <c r="K888" s="12">
        <f ca="1"/>
        <v>0</v>
      </c>
    </row>
    <row r="889" spans="1:11" ht="13">
      <c r="A889" s="8" t="str">
        <f t="shared" si="0"/>
        <v>-</v>
      </c>
      <c r="B889" s="16"/>
      <c r="C889" s="17"/>
      <c r="D889" s="22"/>
      <c r="E889" s="22"/>
      <c r="F889" s="23"/>
      <c r="G889" s="22"/>
      <c r="H889" s="22"/>
      <c r="I889" s="22"/>
      <c r="J889" s="22"/>
      <c r="K889" s="12">
        <f ca="1"/>
        <v>0</v>
      </c>
    </row>
    <row r="890" spans="1:11" ht="13">
      <c r="A890" s="8" t="str">
        <f t="shared" si="0"/>
        <v>-</v>
      </c>
      <c r="B890" s="16"/>
      <c r="C890" s="17"/>
      <c r="D890" s="22"/>
      <c r="E890" s="22"/>
      <c r="F890" s="23"/>
      <c r="G890" s="22"/>
      <c r="H890" s="22"/>
      <c r="I890" s="22"/>
      <c r="J890" s="22"/>
      <c r="K890" s="12">
        <f ca="1"/>
        <v>0</v>
      </c>
    </row>
    <row r="891" spans="1:11" ht="13">
      <c r="A891" s="8" t="str">
        <f t="shared" si="0"/>
        <v>-</v>
      </c>
      <c r="B891" s="16"/>
      <c r="C891" s="17"/>
      <c r="D891" s="22"/>
      <c r="E891" s="22"/>
      <c r="F891" s="23"/>
      <c r="G891" s="22"/>
      <c r="H891" s="22"/>
      <c r="I891" s="22"/>
      <c r="J891" s="22"/>
      <c r="K891" s="12">
        <f ca="1"/>
        <v>0</v>
      </c>
    </row>
    <row r="892" spans="1:11" ht="13">
      <c r="A892" s="8" t="str">
        <f t="shared" si="0"/>
        <v>-</v>
      </c>
      <c r="B892" s="16"/>
      <c r="C892" s="17"/>
      <c r="D892" s="22"/>
      <c r="E892" s="22"/>
      <c r="F892" s="23"/>
      <c r="G892" s="22"/>
      <c r="H892" s="22"/>
      <c r="I892" s="22"/>
      <c r="J892" s="22"/>
      <c r="K892" s="12">
        <f ca="1"/>
        <v>0</v>
      </c>
    </row>
    <row r="893" spans="1:11" ht="13">
      <c r="A893" s="8" t="str">
        <f t="shared" si="0"/>
        <v>-</v>
      </c>
      <c r="B893" s="16"/>
      <c r="C893" s="17"/>
      <c r="D893" s="22"/>
      <c r="E893" s="22"/>
      <c r="F893" s="23"/>
      <c r="G893" s="22"/>
      <c r="H893" s="22"/>
      <c r="I893" s="22"/>
      <c r="J893" s="22"/>
      <c r="K893" s="12">
        <f ca="1"/>
        <v>0</v>
      </c>
    </row>
    <row r="894" spans="1:11" ht="13">
      <c r="A894" s="8" t="str">
        <f t="shared" si="0"/>
        <v>-</v>
      </c>
      <c r="B894" s="16"/>
      <c r="C894" s="17"/>
      <c r="D894" s="22"/>
      <c r="E894" s="22"/>
      <c r="F894" s="23"/>
      <c r="G894" s="22"/>
      <c r="H894" s="22"/>
      <c r="I894" s="22"/>
      <c r="J894" s="22"/>
      <c r="K894" s="12">
        <f ca="1"/>
        <v>0</v>
      </c>
    </row>
    <row r="895" spans="1:11" ht="13">
      <c r="A895" s="8" t="str">
        <f t="shared" si="0"/>
        <v>-</v>
      </c>
      <c r="B895" s="16"/>
      <c r="C895" s="17"/>
      <c r="D895" s="22"/>
      <c r="E895" s="22"/>
      <c r="F895" s="23"/>
      <c r="G895" s="22"/>
      <c r="H895" s="22"/>
      <c r="I895" s="22"/>
      <c r="J895" s="22"/>
      <c r="K895" s="12">
        <f ca="1"/>
        <v>0</v>
      </c>
    </row>
    <row r="896" spans="1:11" ht="13">
      <c r="A896" s="8" t="str">
        <f t="shared" si="0"/>
        <v>-</v>
      </c>
      <c r="B896" s="16"/>
      <c r="C896" s="17"/>
      <c r="D896" s="22"/>
      <c r="E896" s="22"/>
      <c r="F896" s="23"/>
      <c r="G896" s="22"/>
      <c r="H896" s="22"/>
      <c r="I896" s="22"/>
      <c r="J896" s="22"/>
      <c r="K896" s="12">
        <f ca="1"/>
        <v>0</v>
      </c>
    </row>
    <row r="897" spans="1:11" ht="13">
      <c r="A897" s="8" t="str">
        <f t="shared" si="0"/>
        <v>-</v>
      </c>
      <c r="B897" s="16"/>
      <c r="C897" s="17"/>
      <c r="D897" s="22"/>
      <c r="E897" s="22"/>
      <c r="F897" s="23"/>
      <c r="G897" s="22"/>
      <c r="H897" s="22"/>
      <c r="I897" s="22"/>
      <c r="J897" s="22"/>
      <c r="K897" s="12">
        <f ca="1"/>
        <v>0</v>
      </c>
    </row>
    <row r="898" spans="1:11" ht="13">
      <c r="A898" s="8" t="str">
        <f t="shared" si="0"/>
        <v>-</v>
      </c>
      <c r="B898" s="16"/>
      <c r="C898" s="17"/>
      <c r="D898" s="22"/>
      <c r="E898" s="22"/>
      <c r="F898" s="23"/>
      <c r="G898" s="22"/>
      <c r="H898" s="22"/>
      <c r="I898" s="22"/>
      <c r="J898" s="22"/>
      <c r="K898" s="12">
        <f ca="1"/>
        <v>0</v>
      </c>
    </row>
    <row r="899" spans="1:11" ht="13">
      <c r="A899" s="8" t="str">
        <f t="shared" si="0"/>
        <v>-</v>
      </c>
      <c r="B899" s="16"/>
      <c r="C899" s="17"/>
      <c r="D899" s="22"/>
      <c r="E899" s="22"/>
      <c r="F899" s="23"/>
      <c r="G899" s="22"/>
      <c r="H899" s="22"/>
      <c r="I899" s="22"/>
      <c r="J899" s="22"/>
      <c r="K899" s="12">
        <f ca="1"/>
        <v>0</v>
      </c>
    </row>
    <row r="900" spans="1:11" ht="13">
      <c r="A900" s="8" t="str">
        <f t="shared" si="0"/>
        <v>-</v>
      </c>
      <c r="B900" s="16"/>
      <c r="C900" s="17"/>
      <c r="D900" s="22"/>
      <c r="E900" s="22"/>
      <c r="F900" s="23"/>
      <c r="G900" s="22"/>
      <c r="H900" s="22"/>
      <c r="I900" s="22"/>
      <c r="J900" s="22"/>
      <c r="K900" s="12">
        <f ca="1"/>
        <v>0</v>
      </c>
    </row>
    <row r="901" spans="1:11" ht="13">
      <c r="A901" s="8" t="str">
        <f t="shared" si="0"/>
        <v>-</v>
      </c>
      <c r="B901" s="16"/>
      <c r="C901" s="17"/>
      <c r="D901" s="22"/>
      <c r="E901" s="22"/>
      <c r="F901" s="23"/>
      <c r="G901" s="22"/>
      <c r="H901" s="22"/>
      <c r="I901" s="22"/>
      <c r="J901" s="22"/>
      <c r="K901" s="12">
        <f ca="1"/>
        <v>0</v>
      </c>
    </row>
    <row r="902" spans="1:11" ht="13">
      <c r="A902" s="8" t="str">
        <f t="shared" si="0"/>
        <v>-</v>
      </c>
      <c r="B902" s="16"/>
      <c r="C902" s="17"/>
      <c r="D902" s="22"/>
      <c r="E902" s="22"/>
      <c r="F902" s="23"/>
      <c r="G902" s="22"/>
      <c r="H902" s="22"/>
      <c r="I902" s="22"/>
      <c r="J902" s="22"/>
      <c r="K902" s="12">
        <f ca="1"/>
        <v>0</v>
      </c>
    </row>
    <row r="903" spans="1:11" ht="13">
      <c r="A903" s="8" t="str">
        <f t="shared" si="0"/>
        <v>-</v>
      </c>
      <c r="B903" s="16"/>
      <c r="C903" s="17"/>
      <c r="D903" s="22"/>
      <c r="E903" s="22"/>
      <c r="F903" s="23"/>
      <c r="G903" s="22"/>
      <c r="H903" s="22"/>
      <c r="I903" s="22"/>
      <c r="J903" s="22"/>
      <c r="K903" s="12">
        <f ca="1"/>
        <v>0</v>
      </c>
    </row>
    <row r="904" spans="1:11" ht="13">
      <c r="A904" s="8" t="str">
        <f t="shared" si="0"/>
        <v>-</v>
      </c>
      <c r="B904" s="16"/>
      <c r="C904" s="17"/>
      <c r="D904" s="22"/>
      <c r="E904" s="22"/>
      <c r="F904" s="23"/>
      <c r="G904" s="22"/>
      <c r="H904" s="22"/>
      <c r="I904" s="22"/>
      <c r="J904" s="22"/>
      <c r="K904" s="12">
        <f ca="1"/>
        <v>0</v>
      </c>
    </row>
    <row r="905" spans="1:11" ht="13">
      <c r="A905" s="8" t="str">
        <f t="shared" si="0"/>
        <v>-</v>
      </c>
      <c r="B905" s="16"/>
      <c r="C905" s="17"/>
      <c r="D905" s="22"/>
      <c r="E905" s="22"/>
      <c r="F905" s="23"/>
      <c r="G905" s="22"/>
      <c r="H905" s="22"/>
      <c r="I905" s="22"/>
      <c r="J905" s="22"/>
      <c r="K905" s="12">
        <f ca="1"/>
        <v>0</v>
      </c>
    </row>
    <row r="906" spans="1:11" ht="13">
      <c r="A906" s="8" t="str">
        <f t="shared" si="0"/>
        <v>-</v>
      </c>
      <c r="B906" s="16"/>
      <c r="C906" s="17"/>
      <c r="D906" s="22"/>
      <c r="E906" s="22"/>
      <c r="F906" s="23"/>
      <c r="G906" s="22"/>
      <c r="H906" s="22"/>
      <c r="I906" s="22"/>
      <c r="J906" s="22"/>
      <c r="K906" s="12">
        <f ca="1"/>
        <v>0</v>
      </c>
    </row>
    <row r="907" spans="1:11" ht="13">
      <c r="A907" s="8" t="str">
        <f t="shared" si="0"/>
        <v>-</v>
      </c>
      <c r="B907" s="16"/>
      <c r="C907" s="17"/>
      <c r="D907" s="22"/>
      <c r="E907" s="22"/>
      <c r="F907" s="23"/>
      <c r="G907" s="22"/>
      <c r="H907" s="22"/>
      <c r="I907" s="22"/>
      <c r="J907" s="22"/>
      <c r="K907" s="12">
        <f ca="1"/>
        <v>0</v>
      </c>
    </row>
    <row r="908" spans="1:11" ht="13">
      <c r="A908" s="8" t="str">
        <f t="shared" si="0"/>
        <v>-</v>
      </c>
      <c r="B908" s="16"/>
      <c r="C908" s="17"/>
      <c r="D908" s="22"/>
      <c r="E908" s="22"/>
      <c r="F908" s="23"/>
      <c r="G908" s="22"/>
      <c r="H908" s="22"/>
      <c r="I908" s="22"/>
      <c r="J908" s="22"/>
      <c r="K908" s="12">
        <f ca="1"/>
        <v>0</v>
      </c>
    </row>
    <row r="909" spans="1:11" ht="13">
      <c r="A909" s="8" t="str">
        <f t="shared" si="0"/>
        <v>-</v>
      </c>
      <c r="B909" s="16"/>
      <c r="C909" s="17"/>
      <c r="D909" s="22"/>
      <c r="E909" s="22"/>
      <c r="F909" s="23"/>
      <c r="G909" s="22"/>
      <c r="H909" s="22"/>
      <c r="I909" s="22"/>
      <c r="J909" s="22"/>
      <c r="K909" s="12">
        <f ca="1"/>
        <v>0</v>
      </c>
    </row>
    <row r="910" spans="1:11" ht="13">
      <c r="A910" s="8" t="str">
        <f t="shared" si="0"/>
        <v>-</v>
      </c>
      <c r="B910" s="16"/>
      <c r="C910" s="17"/>
      <c r="D910" s="22"/>
      <c r="E910" s="22"/>
      <c r="F910" s="23"/>
      <c r="G910" s="22"/>
      <c r="H910" s="22"/>
      <c r="I910" s="22"/>
      <c r="J910" s="22"/>
      <c r="K910" s="12">
        <f ca="1"/>
        <v>0</v>
      </c>
    </row>
    <row r="911" spans="1:11" ht="13">
      <c r="A911" s="8" t="str">
        <f t="shared" si="0"/>
        <v>-</v>
      </c>
      <c r="B911" s="16"/>
      <c r="C911" s="17"/>
      <c r="D911" s="22"/>
      <c r="E911" s="22"/>
      <c r="F911" s="23"/>
      <c r="G911" s="22"/>
      <c r="H911" s="22"/>
      <c r="I911" s="22"/>
      <c r="J911" s="22"/>
      <c r="K911" s="12">
        <f ca="1"/>
        <v>0</v>
      </c>
    </row>
    <row r="912" spans="1:11" ht="13">
      <c r="A912" s="8" t="str">
        <f t="shared" si="0"/>
        <v>-</v>
      </c>
      <c r="B912" s="16"/>
      <c r="C912" s="17"/>
      <c r="D912" s="22"/>
      <c r="E912" s="22"/>
      <c r="F912" s="23"/>
      <c r="G912" s="22"/>
      <c r="H912" s="22"/>
      <c r="I912" s="22"/>
      <c r="J912" s="22"/>
      <c r="K912" s="12">
        <f ca="1"/>
        <v>0</v>
      </c>
    </row>
    <row r="913" spans="1:11" ht="13">
      <c r="A913" s="8" t="str">
        <f t="shared" si="0"/>
        <v>-</v>
      </c>
      <c r="B913" s="16"/>
      <c r="C913" s="17"/>
      <c r="D913" s="22"/>
      <c r="E913" s="22"/>
      <c r="F913" s="23"/>
      <c r="G913" s="22"/>
      <c r="H913" s="22"/>
      <c r="I913" s="22"/>
      <c r="J913" s="22"/>
      <c r="K913" s="12">
        <f ca="1"/>
        <v>0</v>
      </c>
    </row>
    <row r="914" spans="1:11" ht="13">
      <c r="A914" s="8" t="str">
        <f t="shared" si="0"/>
        <v>-</v>
      </c>
      <c r="B914" s="16"/>
      <c r="C914" s="17"/>
      <c r="D914" s="22"/>
      <c r="E914" s="22"/>
      <c r="F914" s="23"/>
      <c r="G914" s="22"/>
      <c r="H914" s="22"/>
      <c r="I914" s="22"/>
      <c r="J914" s="22"/>
      <c r="K914" s="12">
        <f ca="1"/>
        <v>0</v>
      </c>
    </row>
    <row r="915" spans="1:11" ht="13">
      <c r="A915" s="8" t="str">
        <f t="shared" si="0"/>
        <v>-</v>
      </c>
      <c r="B915" s="16"/>
      <c r="C915" s="17"/>
      <c r="D915" s="22"/>
      <c r="E915" s="22"/>
      <c r="F915" s="23"/>
      <c r="G915" s="22"/>
      <c r="H915" s="22"/>
      <c r="I915" s="22"/>
      <c r="J915" s="22"/>
      <c r="K915" s="12">
        <f ca="1"/>
        <v>0</v>
      </c>
    </row>
    <row r="916" spans="1:11" ht="13">
      <c r="A916" s="8" t="str">
        <f t="shared" si="0"/>
        <v>-</v>
      </c>
      <c r="B916" s="16"/>
      <c r="C916" s="17"/>
      <c r="D916" s="22"/>
      <c r="E916" s="22"/>
      <c r="F916" s="23"/>
      <c r="G916" s="22"/>
      <c r="H916" s="22"/>
      <c r="I916" s="22"/>
      <c r="J916" s="22"/>
      <c r="K916" s="12">
        <f ca="1"/>
        <v>0</v>
      </c>
    </row>
    <row r="917" spans="1:11" ht="13">
      <c r="A917" s="8" t="str">
        <f t="shared" si="0"/>
        <v>-</v>
      </c>
      <c r="B917" s="16"/>
      <c r="C917" s="17"/>
      <c r="D917" s="22"/>
      <c r="E917" s="22"/>
      <c r="F917" s="23"/>
      <c r="G917" s="22"/>
      <c r="H917" s="22"/>
      <c r="I917" s="22"/>
      <c r="J917" s="22"/>
      <c r="K917" s="12">
        <f ca="1"/>
        <v>0</v>
      </c>
    </row>
    <row r="918" spans="1:11" ht="13">
      <c r="A918" s="8" t="str">
        <f t="shared" si="0"/>
        <v>-</v>
      </c>
      <c r="B918" s="16"/>
      <c r="C918" s="17"/>
      <c r="D918" s="22"/>
      <c r="E918" s="22"/>
      <c r="F918" s="23"/>
      <c r="G918" s="22"/>
      <c r="H918" s="22"/>
      <c r="I918" s="22"/>
      <c r="J918" s="22"/>
      <c r="K918" s="12">
        <f ca="1"/>
        <v>0</v>
      </c>
    </row>
    <row r="919" spans="1:11" ht="13">
      <c r="A919" s="8" t="str">
        <f t="shared" si="0"/>
        <v>-</v>
      </c>
      <c r="B919" s="16"/>
      <c r="C919" s="17"/>
      <c r="D919" s="22"/>
      <c r="E919" s="22"/>
      <c r="F919" s="23"/>
      <c r="G919" s="22"/>
      <c r="H919" s="22"/>
      <c r="I919" s="22"/>
      <c r="J919" s="22"/>
      <c r="K919" s="12">
        <f ca="1"/>
        <v>0</v>
      </c>
    </row>
    <row r="920" spans="1:11" ht="13">
      <c r="A920" s="8" t="str">
        <f t="shared" si="0"/>
        <v>-</v>
      </c>
      <c r="B920" s="16"/>
      <c r="C920" s="17"/>
      <c r="D920" s="22"/>
      <c r="E920" s="22"/>
      <c r="F920" s="23"/>
      <c r="G920" s="22"/>
      <c r="H920" s="22"/>
      <c r="I920" s="22"/>
      <c r="J920" s="22"/>
      <c r="K920" s="12">
        <f ca="1"/>
        <v>0</v>
      </c>
    </row>
    <row r="921" spans="1:11" ht="13">
      <c r="A921" s="8" t="str">
        <f t="shared" si="0"/>
        <v>-</v>
      </c>
      <c r="B921" s="16"/>
      <c r="C921" s="17"/>
      <c r="D921" s="22"/>
      <c r="E921" s="22"/>
      <c r="F921" s="23"/>
      <c r="G921" s="22"/>
      <c r="H921" s="22"/>
      <c r="I921" s="22"/>
      <c r="J921" s="22"/>
      <c r="K921" s="12">
        <f ca="1"/>
        <v>0</v>
      </c>
    </row>
    <row r="922" spans="1:11" ht="13">
      <c r="A922" s="8" t="str">
        <f t="shared" si="0"/>
        <v>-</v>
      </c>
      <c r="B922" s="16"/>
      <c r="C922" s="17"/>
      <c r="D922" s="22"/>
      <c r="E922" s="22"/>
      <c r="F922" s="23"/>
      <c r="G922" s="22"/>
      <c r="H922" s="22"/>
      <c r="I922" s="22"/>
      <c r="J922" s="22"/>
      <c r="K922" s="12">
        <f ca="1"/>
        <v>0</v>
      </c>
    </row>
    <row r="923" spans="1:11" ht="13">
      <c r="A923" s="8" t="str">
        <f t="shared" si="0"/>
        <v>-</v>
      </c>
      <c r="B923" s="16"/>
      <c r="C923" s="17"/>
      <c r="D923" s="22"/>
      <c r="E923" s="22"/>
      <c r="F923" s="23"/>
      <c r="G923" s="22"/>
      <c r="H923" s="22"/>
      <c r="I923" s="22"/>
      <c r="J923" s="22"/>
      <c r="K923" s="12">
        <f ca="1"/>
        <v>0</v>
      </c>
    </row>
    <row r="924" spans="1:11" ht="13">
      <c r="A924" s="8" t="str">
        <f t="shared" si="0"/>
        <v>-</v>
      </c>
      <c r="B924" s="16"/>
      <c r="C924" s="17"/>
      <c r="D924" s="22"/>
      <c r="E924" s="22"/>
      <c r="F924" s="23"/>
      <c r="G924" s="22"/>
      <c r="H924" s="22"/>
      <c r="I924" s="22"/>
      <c r="J924" s="22"/>
      <c r="K924" s="12">
        <f ca="1"/>
        <v>0</v>
      </c>
    </row>
    <row r="925" spans="1:11" ht="13">
      <c r="A925" s="8" t="str">
        <f t="shared" si="0"/>
        <v>-</v>
      </c>
      <c r="B925" s="16"/>
      <c r="C925" s="17"/>
      <c r="D925" s="22"/>
      <c r="E925" s="22"/>
      <c r="F925" s="23"/>
      <c r="G925" s="22"/>
      <c r="H925" s="22"/>
      <c r="I925" s="22"/>
      <c r="J925" s="22"/>
      <c r="K925" s="12">
        <f ca="1"/>
        <v>0</v>
      </c>
    </row>
    <row r="926" spans="1:11" ht="13">
      <c r="A926" s="8" t="str">
        <f t="shared" si="0"/>
        <v>-</v>
      </c>
      <c r="B926" s="16"/>
      <c r="C926" s="17"/>
      <c r="D926" s="22"/>
      <c r="E926" s="22"/>
      <c r="F926" s="23"/>
      <c r="G926" s="22"/>
      <c r="H926" s="22"/>
      <c r="I926" s="22"/>
      <c r="J926" s="22"/>
      <c r="K926" s="12">
        <f ca="1"/>
        <v>0</v>
      </c>
    </row>
    <row r="927" spans="1:11" ht="13">
      <c r="A927" s="8" t="str">
        <f t="shared" si="0"/>
        <v>-</v>
      </c>
      <c r="B927" s="16"/>
      <c r="C927" s="17"/>
      <c r="D927" s="22"/>
      <c r="E927" s="22"/>
      <c r="F927" s="23"/>
      <c r="G927" s="22"/>
      <c r="H927" s="22"/>
      <c r="I927" s="22"/>
      <c r="J927" s="22"/>
      <c r="K927" s="12">
        <f ca="1"/>
        <v>0</v>
      </c>
    </row>
    <row r="928" spans="1:11" ht="13">
      <c r="A928" s="8" t="str">
        <f t="shared" si="0"/>
        <v>-</v>
      </c>
      <c r="B928" s="16"/>
      <c r="C928" s="17"/>
      <c r="D928" s="22"/>
      <c r="E928" s="22"/>
      <c r="F928" s="23"/>
      <c r="G928" s="22"/>
      <c r="H928" s="22"/>
      <c r="I928" s="22"/>
      <c r="J928" s="22"/>
      <c r="K928" s="12">
        <f ca="1"/>
        <v>0</v>
      </c>
    </row>
    <row r="929" spans="1:11" ht="13">
      <c r="A929" s="8" t="str">
        <f t="shared" si="0"/>
        <v>-</v>
      </c>
      <c r="B929" s="16"/>
      <c r="C929" s="17"/>
      <c r="D929" s="22"/>
      <c r="E929" s="22"/>
      <c r="F929" s="23"/>
      <c r="G929" s="22"/>
      <c r="H929" s="22"/>
      <c r="I929" s="22"/>
      <c r="J929" s="22"/>
      <c r="K929" s="12">
        <f ca="1"/>
        <v>0</v>
      </c>
    </row>
    <row r="930" spans="1:11" ht="13">
      <c r="A930" s="8" t="str">
        <f t="shared" si="0"/>
        <v>-</v>
      </c>
      <c r="B930" s="16"/>
      <c r="C930" s="17"/>
      <c r="D930" s="22"/>
      <c r="E930" s="22"/>
      <c r="F930" s="23"/>
      <c r="G930" s="22"/>
      <c r="H930" s="22"/>
      <c r="I930" s="22"/>
      <c r="J930" s="22"/>
      <c r="K930" s="12">
        <f ca="1"/>
        <v>0</v>
      </c>
    </row>
    <row r="931" spans="1:11" ht="13">
      <c r="A931" s="8" t="str">
        <f t="shared" si="0"/>
        <v>-</v>
      </c>
      <c r="B931" s="16"/>
      <c r="C931" s="17"/>
      <c r="D931" s="22"/>
      <c r="E931" s="22"/>
      <c r="F931" s="23"/>
      <c r="G931" s="22"/>
      <c r="H931" s="22"/>
      <c r="I931" s="22"/>
      <c r="J931" s="22"/>
      <c r="K931" s="12">
        <f ca="1"/>
        <v>0</v>
      </c>
    </row>
    <row r="932" spans="1:11" ht="13">
      <c r="A932" s="8" t="str">
        <f t="shared" si="0"/>
        <v>-</v>
      </c>
      <c r="B932" s="16"/>
      <c r="C932" s="17"/>
      <c r="D932" s="22"/>
      <c r="E932" s="22"/>
      <c r="F932" s="23"/>
      <c r="G932" s="22"/>
      <c r="H932" s="22"/>
      <c r="I932" s="22"/>
      <c r="J932" s="22"/>
      <c r="K932" s="12">
        <f ca="1"/>
        <v>0</v>
      </c>
    </row>
    <row r="933" spans="1:11" ht="13">
      <c r="A933" s="8" t="str">
        <f t="shared" si="0"/>
        <v>-</v>
      </c>
      <c r="B933" s="16"/>
      <c r="C933" s="17"/>
      <c r="D933" s="22"/>
      <c r="E933" s="22"/>
      <c r="F933" s="23"/>
      <c r="G933" s="22"/>
      <c r="H933" s="22"/>
      <c r="I933" s="22"/>
      <c r="J933" s="22"/>
      <c r="K933" s="12">
        <f ca="1"/>
        <v>0</v>
      </c>
    </row>
    <row r="934" spans="1:11" ht="13">
      <c r="A934" s="8" t="str">
        <f t="shared" si="0"/>
        <v>-</v>
      </c>
      <c r="B934" s="16"/>
      <c r="C934" s="17"/>
      <c r="D934" s="22"/>
      <c r="E934" s="22"/>
      <c r="F934" s="23"/>
      <c r="G934" s="22"/>
      <c r="H934" s="22"/>
      <c r="I934" s="22"/>
      <c r="J934" s="22"/>
      <c r="K934" s="12">
        <f ca="1"/>
        <v>0</v>
      </c>
    </row>
    <row r="935" spans="1:11" ht="13">
      <c r="A935" s="8" t="str">
        <f t="shared" si="0"/>
        <v>-</v>
      </c>
      <c r="B935" s="16"/>
      <c r="C935" s="17"/>
      <c r="D935" s="22"/>
      <c r="E935" s="22"/>
      <c r="F935" s="23"/>
      <c r="G935" s="22"/>
      <c r="H935" s="22"/>
      <c r="I935" s="22"/>
      <c r="J935" s="22"/>
      <c r="K935" s="12">
        <f ca="1"/>
        <v>0</v>
      </c>
    </row>
    <row r="936" spans="1:11" ht="13">
      <c r="A936" s="8" t="str">
        <f t="shared" si="0"/>
        <v>-</v>
      </c>
      <c r="B936" s="16"/>
      <c r="C936" s="17"/>
      <c r="D936" s="22"/>
      <c r="E936" s="22"/>
      <c r="F936" s="23"/>
      <c r="G936" s="22"/>
      <c r="H936" s="22"/>
      <c r="I936" s="22"/>
      <c r="J936" s="22"/>
      <c r="K936" s="12">
        <f ca="1"/>
        <v>0</v>
      </c>
    </row>
    <row r="937" spans="1:11" ht="13">
      <c r="A937" s="8" t="str">
        <f t="shared" si="0"/>
        <v>-</v>
      </c>
      <c r="B937" s="16"/>
      <c r="C937" s="17"/>
      <c r="D937" s="22"/>
      <c r="E937" s="22"/>
      <c r="F937" s="23"/>
      <c r="G937" s="22"/>
      <c r="H937" s="22"/>
      <c r="I937" s="22"/>
      <c r="J937" s="22"/>
      <c r="K937" s="12">
        <f ca="1"/>
        <v>0</v>
      </c>
    </row>
    <row r="938" spans="1:11" ht="13">
      <c r="A938" s="8" t="str">
        <f t="shared" si="0"/>
        <v>-</v>
      </c>
      <c r="B938" s="16"/>
      <c r="C938" s="17"/>
      <c r="D938" s="22"/>
      <c r="E938" s="22"/>
      <c r="F938" s="23"/>
      <c r="G938" s="22"/>
      <c r="H938" s="22"/>
      <c r="I938" s="22"/>
      <c r="J938" s="22"/>
      <c r="K938" s="12">
        <f ca="1"/>
        <v>0</v>
      </c>
    </row>
    <row r="939" spans="1:11" ht="13">
      <c r="A939" s="8" t="str">
        <f t="shared" si="0"/>
        <v>-</v>
      </c>
      <c r="B939" s="16"/>
      <c r="C939" s="17"/>
      <c r="D939" s="22"/>
      <c r="E939" s="22"/>
      <c r="F939" s="23"/>
      <c r="G939" s="22"/>
      <c r="H939" s="22"/>
      <c r="I939" s="22"/>
      <c r="J939" s="22"/>
      <c r="K939" s="12">
        <f ca="1"/>
        <v>0</v>
      </c>
    </row>
    <row r="940" spans="1:11" ht="13">
      <c r="A940" s="8" t="str">
        <f t="shared" si="0"/>
        <v>-</v>
      </c>
      <c r="B940" s="16"/>
      <c r="C940" s="17"/>
      <c r="D940" s="22"/>
      <c r="E940" s="22"/>
      <c r="F940" s="23"/>
      <c r="G940" s="22"/>
      <c r="H940" s="22"/>
      <c r="I940" s="22"/>
      <c r="J940" s="22"/>
      <c r="K940" s="12">
        <f ca="1"/>
        <v>0</v>
      </c>
    </row>
    <row r="941" spans="1:11" ht="13">
      <c r="A941" s="8" t="str">
        <f t="shared" si="0"/>
        <v>-</v>
      </c>
      <c r="B941" s="16"/>
      <c r="C941" s="17"/>
      <c r="D941" s="22"/>
      <c r="E941" s="22"/>
      <c r="F941" s="23"/>
      <c r="G941" s="22"/>
      <c r="H941" s="22"/>
      <c r="I941" s="22"/>
      <c r="J941" s="22"/>
      <c r="K941" s="12">
        <f ca="1"/>
        <v>0</v>
      </c>
    </row>
    <row r="942" spans="1:11" ht="13">
      <c r="A942" s="8" t="str">
        <f t="shared" si="0"/>
        <v>-</v>
      </c>
      <c r="B942" s="16"/>
      <c r="C942" s="17"/>
      <c r="D942" s="22"/>
      <c r="E942" s="22"/>
      <c r="F942" s="23"/>
      <c r="G942" s="22"/>
      <c r="H942" s="22"/>
      <c r="I942" s="22"/>
      <c r="J942" s="22"/>
      <c r="K942" s="12">
        <f ca="1"/>
        <v>0</v>
      </c>
    </row>
    <row r="943" spans="1:11" ht="13">
      <c r="A943" s="8" t="str">
        <f t="shared" si="0"/>
        <v>-</v>
      </c>
      <c r="B943" s="16"/>
      <c r="C943" s="17"/>
      <c r="D943" s="22"/>
      <c r="E943" s="22"/>
      <c r="F943" s="23"/>
      <c r="G943" s="22"/>
      <c r="H943" s="22"/>
      <c r="I943" s="22"/>
      <c r="J943" s="22"/>
      <c r="K943" s="12">
        <f ca="1"/>
        <v>0</v>
      </c>
    </row>
    <row r="944" spans="1:11" ht="13">
      <c r="A944" s="8" t="str">
        <f t="shared" si="0"/>
        <v>-</v>
      </c>
      <c r="B944" s="16"/>
      <c r="C944" s="17"/>
      <c r="D944" s="22"/>
      <c r="E944" s="22"/>
      <c r="F944" s="23"/>
      <c r="G944" s="22"/>
      <c r="H944" s="22"/>
      <c r="I944" s="22"/>
      <c r="J944" s="22"/>
      <c r="K944" s="12">
        <f ca="1"/>
        <v>0</v>
      </c>
    </row>
    <row r="945" spans="1:11" ht="13">
      <c r="A945" s="8" t="str">
        <f t="shared" si="0"/>
        <v>-</v>
      </c>
      <c r="B945" s="16"/>
      <c r="C945" s="17"/>
      <c r="D945" s="22"/>
      <c r="E945" s="22"/>
      <c r="F945" s="23"/>
      <c r="G945" s="22"/>
      <c r="H945" s="22"/>
      <c r="I945" s="22"/>
      <c r="J945" s="22"/>
      <c r="K945" s="12">
        <f ca="1"/>
        <v>0</v>
      </c>
    </row>
    <row r="946" spans="1:11" ht="13">
      <c r="A946" s="8" t="str">
        <f t="shared" si="0"/>
        <v>-</v>
      </c>
      <c r="B946" s="16"/>
      <c r="C946" s="17"/>
      <c r="D946" s="22"/>
      <c r="E946" s="22"/>
      <c r="F946" s="23"/>
      <c r="G946" s="22"/>
      <c r="H946" s="22"/>
      <c r="I946" s="22"/>
      <c r="J946" s="22"/>
      <c r="K946" s="12">
        <f ca="1"/>
        <v>0</v>
      </c>
    </row>
    <row r="947" spans="1:11" ht="13">
      <c r="A947" s="8" t="str">
        <f t="shared" si="0"/>
        <v>-</v>
      </c>
      <c r="B947" s="16"/>
      <c r="C947" s="17"/>
      <c r="D947" s="22"/>
      <c r="E947" s="22"/>
      <c r="F947" s="23"/>
      <c r="G947" s="22"/>
      <c r="H947" s="22"/>
      <c r="I947" s="22"/>
      <c r="J947" s="22"/>
      <c r="K947" s="12">
        <f ca="1"/>
        <v>0</v>
      </c>
    </row>
    <row r="948" spans="1:11" ht="13">
      <c r="A948" s="8" t="str">
        <f t="shared" si="0"/>
        <v>-</v>
      </c>
      <c r="B948" s="16"/>
      <c r="C948" s="17"/>
      <c r="D948" s="22"/>
      <c r="E948" s="22"/>
      <c r="F948" s="23"/>
      <c r="G948" s="22"/>
      <c r="H948" s="22"/>
      <c r="I948" s="22"/>
      <c r="J948" s="22"/>
      <c r="K948" s="12">
        <f ca="1"/>
        <v>0</v>
      </c>
    </row>
    <row r="949" spans="1:11" ht="13">
      <c r="A949" s="8" t="str">
        <f t="shared" si="0"/>
        <v>-</v>
      </c>
      <c r="B949" s="16"/>
      <c r="C949" s="17"/>
      <c r="D949" s="22"/>
      <c r="E949" s="22"/>
      <c r="F949" s="23"/>
      <c r="G949" s="22"/>
      <c r="H949" s="22"/>
      <c r="I949" s="22"/>
      <c r="J949" s="22"/>
      <c r="K949" s="12">
        <f ca="1"/>
        <v>0</v>
      </c>
    </row>
    <row r="950" spans="1:11" ht="13">
      <c r="A950" s="8" t="str">
        <f t="shared" si="0"/>
        <v>-</v>
      </c>
      <c r="B950" s="16"/>
      <c r="C950" s="17"/>
      <c r="D950" s="22"/>
      <c r="E950" s="22"/>
      <c r="F950" s="23"/>
      <c r="G950" s="22"/>
      <c r="H950" s="22"/>
      <c r="I950" s="22"/>
      <c r="J950" s="22"/>
      <c r="K950" s="12">
        <f ca="1"/>
        <v>0</v>
      </c>
    </row>
    <row r="951" spans="1:11" ht="13">
      <c r="A951" s="8" t="str">
        <f t="shared" si="0"/>
        <v>-</v>
      </c>
      <c r="B951" s="16"/>
      <c r="C951" s="17"/>
      <c r="D951" s="22"/>
      <c r="E951" s="22"/>
      <c r="F951" s="23"/>
      <c r="G951" s="22"/>
      <c r="H951" s="22"/>
      <c r="I951" s="22"/>
      <c r="J951" s="22"/>
      <c r="K951" s="12">
        <f ca="1"/>
        <v>0</v>
      </c>
    </row>
    <row r="952" spans="1:11" ht="13">
      <c r="A952" s="8" t="str">
        <f t="shared" si="0"/>
        <v>-</v>
      </c>
      <c r="B952" s="16"/>
      <c r="C952" s="17"/>
      <c r="D952" s="22"/>
      <c r="E952" s="22"/>
      <c r="F952" s="23"/>
      <c r="G952" s="22"/>
      <c r="H952" s="22"/>
      <c r="I952" s="22"/>
      <c r="J952" s="22"/>
      <c r="K952" s="12">
        <f ca="1"/>
        <v>0</v>
      </c>
    </row>
    <row r="953" spans="1:11" ht="13">
      <c r="A953" s="8" t="str">
        <f t="shared" si="0"/>
        <v>-</v>
      </c>
      <c r="B953" s="16"/>
      <c r="C953" s="17"/>
      <c r="D953" s="22"/>
      <c r="E953" s="22"/>
      <c r="F953" s="23"/>
      <c r="G953" s="22"/>
      <c r="H953" s="22"/>
      <c r="I953" s="22"/>
      <c r="J953" s="22"/>
      <c r="K953" s="12">
        <f ca="1"/>
        <v>0</v>
      </c>
    </row>
    <row r="954" spans="1:11" ht="13">
      <c r="A954" s="8" t="str">
        <f t="shared" si="0"/>
        <v>-</v>
      </c>
      <c r="B954" s="16"/>
      <c r="C954" s="17"/>
      <c r="D954" s="22"/>
      <c r="E954" s="22"/>
      <c r="F954" s="23"/>
      <c r="G954" s="22"/>
      <c r="H954" s="22"/>
      <c r="I954" s="22"/>
      <c r="J954" s="22"/>
      <c r="K954" s="12">
        <f ca="1"/>
        <v>0</v>
      </c>
    </row>
    <row r="955" spans="1:11" ht="13">
      <c r="A955" s="8" t="str">
        <f t="shared" si="0"/>
        <v>-</v>
      </c>
      <c r="B955" s="16"/>
      <c r="C955" s="17"/>
      <c r="D955" s="22"/>
      <c r="E955" s="22"/>
      <c r="F955" s="23"/>
      <c r="G955" s="22"/>
      <c r="H955" s="22"/>
      <c r="I955" s="22"/>
      <c r="J955" s="22"/>
      <c r="K955" s="12">
        <f ca="1"/>
        <v>0</v>
      </c>
    </row>
    <row r="956" spans="1:11" ht="13">
      <c r="A956" s="8" t="str">
        <f t="shared" si="0"/>
        <v>-</v>
      </c>
      <c r="B956" s="16"/>
      <c r="C956" s="17"/>
      <c r="D956" s="22"/>
      <c r="E956" s="22"/>
      <c r="F956" s="23"/>
      <c r="G956" s="22"/>
      <c r="H956" s="22"/>
      <c r="I956" s="22"/>
      <c r="J956" s="22"/>
      <c r="K956" s="12">
        <f ca="1"/>
        <v>0</v>
      </c>
    </row>
    <row r="957" spans="1:11" ht="13">
      <c r="A957" s="8" t="str">
        <f t="shared" si="0"/>
        <v>-</v>
      </c>
      <c r="B957" s="16"/>
      <c r="C957" s="17"/>
      <c r="D957" s="22"/>
      <c r="E957" s="22"/>
      <c r="F957" s="23"/>
      <c r="G957" s="22"/>
      <c r="H957" s="22"/>
      <c r="I957" s="22"/>
      <c r="J957" s="22"/>
      <c r="K957" s="12">
        <f ca="1"/>
        <v>0</v>
      </c>
    </row>
    <row r="958" spans="1:11" ht="13">
      <c r="A958" s="8" t="str">
        <f t="shared" si="0"/>
        <v>-</v>
      </c>
      <c r="B958" s="16"/>
      <c r="C958" s="17"/>
      <c r="D958" s="22"/>
      <c r="E958" s="22"/>
      <c r="F958" s="23"/>
      <c r="G958" s="22"/>
      <c r="H958" s="22"/>
      <c r="I958" s="22"/>
      <c r="J958" s="22"/>
      <c r="K958" s="12">
        <f ca="1"/>
        <v>0</v>
      </c>
    </row>
    <row r="959" spans="1:11" ht="13">
      <c r="A959" s="8" t="str">
        <f t="shared" si="0"/>
        <v>-</v>
      </c>
      <c r="B959" s="16"/>
      <c r="C959" s="17"/>
      <c r="D959" s="22"/>
      <c r="E959" s="22"/>
      <c r="F959" s="23"/>
      <c r="G959" s="22"/>
      <c r="H959" s="22"/>
      <c r="I959" s="22"/>
      <c r="J959" s="22"/>
      <c r="K959" s="12">
        <f ca="1"/>
        <v>0</v>
      </c>
    </row>
    <row r="960" spans="1:11" ht="13">
      <c r="A960" s="8" t="str">
        <f t="shared" si="0"/>
        <v>-</v>
      </c>
      <c r="B960" s="16"/>
      <c r="C960" s="17"/>
      <c r="D960" s="22"/>
      <c r="E960" s="22"/>
      <c r="F960" s="23"/>
      <c r="G960" s="22"/>
      <c r="H960" s="22"/>
      <c r="I960" s="22"/>
      <c r="J960" s="22"/>
      <c r="K960" s="12">
        <f ca="1"/>
        <v>0</v>
      </c>
    </row>
    <row r="961" spans="1:11" ht="13">
      <c r="A961" s="8" t="str">
        <f t="shared" si="0"/>
        <v>-</v>
      </c>
      <c r="B961" s="16"/>
      <c r="C961" s="17"/>
      <c r="D961" s="22"/>
      <c r="E961" s="22"/>
      <c r="F961" s="23"/>
      <c r="G961" s="22"/>
      <c r="H961" s="22"/>
      <c r="I961" s="22"/>
      <c r="J961" s="22"/>
      <c r="K961" s="12">
        <f ca="1"/>
        <v>0</v>
      </c>
    </row>
    <row r="962" spans="1:11" ht="13">
      <c r="A962" s="8" t="str">
        <f t="shared" si="0"/>
        <v>-</v>
      </c>
      <c r="B962" s="16"/>
      <c r="C962" s="17"/>
      <c r="D962" s="22"/>
      <c r="E962" s="22"/>
      <c r="F962" s="23"/>
      <c r="G962" s="22"/>
      <c r="H962" s="22"/>
      <c r="I962" s="22"/>
      <c r="J962" s="22"/>
      <c r="K962" s="12">
        <f ca="1"/>
        <v>0</v>
      </c>
    </row>
    <row r="963" spans="1:11" ht="13">
      <c r="A963" s="8" t="str">
        <f t="shared" si="0"/>
        <v>-</v>
      </c>
      <c r="B963" s="16"/>
      <c r="C963" s="17"/>
      <c r="D963" s="22"/>
      <c r="E963" s="22"/>
      <c r="F963" s="23"/>
      <c r="G963" s="22"/>
      <c r="H963" s="22"/>
      <c r="I963" s="22"/>
      <c r="J963" s="22"/>
      <c r="K963" s="12">
        <f ca="1"/>
        <v>0</v>
      </c>
    </row>
    <row r="964" spans="1:11" ht="13">
      <c r="A964" s="8" t="str">
        <f t="shared" si="0"/>
        <v>-</v>
      </c>
      <c r="B964" s="16"/>
      <c r="C964" s="17"/>
      <c r="D964" s="22"/>
      <c r="E964" s="22"/>
      <c r="F964" s="23"/>
      <c r="G964" s="22"/>
      <c r="H964" s="22"/>
      <c r="I964" s="22"/>
      <c r="J964" s="22"/>
      <c r="K964" s="12">
        <f ca="1"/>
        <v>0</v>
      </c>
    </row>
    <row r="965" spans="1:11" ht="13">
      <c r="A965" s="8" t="str">
        <f t="shared" si="0"/>
        <v>-</v>
      </c>
      <c r="B965" s="16"/>
      <c r="C965" s="17"/>
      <c r="D965" s="22"/>
      <c r="E965" s="22"/>
      <c r="F965" s="23"/>
      <c r="G965" s="22"/>
      <c r="H965" s="22"/>
      <c r="I965" s="22"/>
      <c r="J965" s="22"/>
      <c r="K965" s="12">
        <f ca="1"/>
        <v>0</v>
      </c>
    </row>
    <row r="966" spans="1:11" ht="13">
      <c r="A966" s="8" t="str">
        <f t="shared" si="0"/>
        <v>-</v>
      </c>
      <c r="B966" s="16"/>
      <c r="C966" s="17"/>
      <c r="D966" s="22"/>
      <c r="E966" s="22"/>
      <c r="F966" s="23"/>
      <c r="G966" s="22"/>
      <c r="H966" s="22"/>
      <c r="I966" s="22"/>
      <c r="J966" s="22"/>
      <c r="K966" s="12">
        <f ca="1"/>
        <v>0</v>
      </c>
    </row>
    <row r="967" spans="1:11" ht="13">
      <c r="A967" s="8" t="str">
        <f t="shared" si="0"/>
        <v>-</v>
      </c>
      <c r="B967" s="16"/>
      <c r="C967" s="17"/>
      <c r="D967" s="22"/>
      <c r="E967" s="22"/>
      <c r="F967" s="23"/>
      <c r="G967" s="22"/>
      <c r="H967" s="22"/>
      <c r="I967" s="22"/>
      <c r="J967" s="22"/>
      <c r="K967" s="12">
        <f ca="1"/>
        <v>0</v>
      </c>
    </row>
    <row r="968" spans="1:11" ht="13">
      <c r="A968" s="8" t="str">
        <f t="shared" si="0"/>
        <v>-</v>
      </c>
      <c r="B968" s="16"/>
      <c r="C968" s="17"/>
      <c r="D968" s="22"/>
      <c r="E968" s="22"/>
      <c r="F968" s="23"/>
      <c r="G968" s="22"/>
      <c r="H968" s="22"/>
      <c r="I968" s="22"/>
      <c r="J968" s="22"/>
      <c r="K968" s="12">
        <f ca="1"/>
        <v>0</v>
      </c>
    </row>
    <row r="969" spans="1:11" ht="13">
      <c r="A969" s="8" t="str">
        <f t="shared" si="0"/>
        <v>-</v>
      </c>
      <c r="B969" s="16"/>
      <c r="C969" s="17"/>
      <c r="D969" s="22"/>
      <c r="E969" s="22"/>
      <c r="F969" s="23"/>
      <c r="G969" s="22"/>
      <c r="H969" s="22"/>
      <c r="I969" s="22"/>
      <c r="J969" s="22"/>
      <c r="K969" s="12">
        <f ca="1"/>
        <v>0</v>
      </c>
    </row>
    <row r="970" spans="1:11" ht="13">
      <c r="A970" s="8" t="str">
        <f t="shared" si="0"/>
        <v>-</v>
      </c>
      <c r="B970" s="16"/>
      <c r="C970" s="17"/>
      <c r="D970" s="22"/>
      <c r="E970" s="22"/>
      <c r="F970" s="23"/>
      <c r="G970" s="22"/>
      <c r="H970" s="22"/>
      <c r="I970" s="22"/>
      <c r="J970" s="22"/>
      <c r="K970" s="12">
        <f ca="1"/>
        <v>0</v>
      </c>
    </row>
    <row r="971" spans="1:11" ht="13">
      <c r="A971" s="8" t="str">
        <f t="shared" si="0"/>
        <v>-</v>
      </c>
      <c r="B971" s="16"/>
      <c r="C971" s="17"/>
      <c r="D971" s="22"/>
      <c r="E971" s="22"/>
      <c r="F971" s="23"/>
      <c r="G971" s="22"/>
      <c r="H971" s="22"/>
      <c r="I971" s="22"/>
      <c r="J971" s="22"/>
      <c r="K971" s="12">
        <f ca="1"/>
        <v>0</v>
      </c>
    </row>
    <row r="972" spans="1:11" ht="13">
      <c r="A972" s="8" t="str">
        <f t="shared" si="0"/>
        <v>-</v>
      </c>
      <c r="B972" s="16"/>
      <c r="C972" s="17"/>
      <c r="D972" s="22"/>
      <c r="E972" s="22"/>
      <c r="F972" s="23"/>
      <c r="G972" s="22"/>
      <c r="H972" s="22"/>
      <c r="I972" s="22"/>
      <c r="J972" s="22"/>
      <c r="K972" s="12">
        <f ca="1"/>
        <v>0</v>
      </c>
    </row>
    <row r="973" spans="1:11" ht="13">
      <c r="A973" s="8" t="str">
        <f t="shared" si="0"/>
        <v>-</v>
      </c>
      <c r="B973" s="16"/>
      <c r="C973" s="17"/>
      <c r="D973" s="22"/>
      <c r="E973" s="22"/>
      <c r="F973" s="23"/>
      <c r="G973" s="22"/>
      <c r="H973" s="22"/>
      <c r="I973" s="22"/>
      <c r="J973" s="22"/>
      <c r="K973" s="12">
        <f ca="1"/>
        <v>0</v>
      </c>
    </row>
    <row r="974" spans="1:11" ht="13">
      <c r="A974" s="8" t="str">
        <f t="shared" si="0"/>
        <v>-</v>
      </c>
      <c r="B974" s="16"/>
      <c r="C974" s="17"/>
      <c r="D974" s="22"/>
      <c r="E974" s="22"/>
      <c r="F974" s="23"/>
      <c r="G974" s="22"/>
      <c r="H974" s="22"/>
      <c r="I974" s="22"/>
      <c r="J974" s="22"/>
      <c r="K974" s="12">
        <f ca="1"/>
        <v>0</v>
      </c>
    </row>
    <row r="975" spans="1:11" ht="13">
      <c r="A975" s="8" t="str">
        <f t="shared" si="0"/>
        <v>-</v>
      </c>
      <c r="B975" s="16"/>
      <c r="C975" s="17"/>
      <c r="D975" s="22"/>
      <c r="E975" s="22"/>
      <c r="F975" s="23"/>
      <c r="G975" s="22"/>
      <c r="H975" s="22"/>
      <c r="I975" s="22"/>
      <c r="J975" s="22"/>
      <c r="K975" s="12">
        <f ca="1"/>
        <v>0</v>
      </c>
    </row>
    <row r="976" spans="1:11" ht="13">
      <c r="A976" s="8" t="str">
        <f t="shared" si="0"/>
        <v>-</v>
      </c>
      <c r="B976" s="16"/>
      <c r="C976" s="17"/>
      <c r="D976" s="22"/>
      <c r="E976" s="22"/>
      <c r="F976" s="23"/>
      <c r="G976" s="22"/>
      <c r="H976" s="22"/>
      <c r="I976" s="22"/>
      <c r="J976" s="22"/>
      <c r="K976" s="12">
        <f ca="1"/>
        <v>0</v>
      </c>
    </row>
    <row r="977" spans="1:11" ht="13">
      <c r="A977" s="8" t="str">
        <f t="shared" si="0"/>
        <v>-</v>
      </c>
      <c r="B977" s="16"/>
      <c r="C977" s="17"/>
      <c r="D977" s="22"/>
      <c r="E977" s="22"/>
      <c r="F977" s="23"/>
      <c r="G977" s="22"/>
      <c r="H977" s="22"/>
      <c r="I977" s="22"/>
      <c r="J977" s="22"/>
      <c r="K977" s="12">
        <f ca="1"/>
        <v>0</v>
      </c>
    </row>
    <row r="978" spans="1:11" ht="13">
      <c r="A978" s="8" t="str">
        <f t="shared" si="0"/>
        <v>-</v>
      </c>
      <c r="B978" s="16"/>
      <c r="C978" s="17"/>
      <c r="D978" s="22"/>
      <c r="E978" s="22"/>
      <c r="F978" s="23"/>
      <c r="G978" s="22"/>
      <c r="H978" s="22"/>
      <c r="I978" s="22"/>
      <c r="J978" s="22"/>
      <c r="K978" s="12">
        <f ca="1"/>
        <v>0</v>
      </c>
    </row>
    <row r="979" spans="1:11" ht="13">
      <c r="A979" s="8" t="str">
        <f t="shared" si="0"/>
        <v>-</v>
      </c>
      <c r="B979" s="16"/>
      <c r="C979" s="17"/>
      <c r="D979" s="22"/>
      <c r="E979" s="22"/>
      <c r="F979" s="23"/>
      <c r="G979" s="22"/>
      <c r="H979" s="22"/>
      <c r="I979" s="22"/>
      <c r="J979" s="22"/>
      <c r="K979" s="12">
        <f ca="1"/>
        <v>0</v>
      </c>
    </row>
    <row r="980" spans="1:11" ht="13">
      <c r="A980" s="8" t="str">
        <f t="shared" si="0"/>
        <v>-</v>
      </c>
      <c r="B980" s="16"/>
      <c r="C980" s="17"/>
      <c r="D980" s="22"/>
      <c r="E980" s="22"/>
      <c r="F980" s="23"/>
      <c r="G980" s="22"/>
      <c r="H980" s="22"/>
      <c r="I980" s="22"/>
      <c r="J980" s="22"/>
      <c r="K980" s="12">
        <f ca="1"/>
        <v>0</v>
      </c>
    </row>
    <row r="981" spans="1:11" ht="13">
      <c r="A981" s="8" t="str">
        <f t="shared" si="0"/>
        <v>-</v>
      </c>
      <c r="B981" s="16"/>
      <c r="C981" s="17"/>
      <c r="D981" s="22"/>
      <c r="E981" s="22"/>
      <c r="F981" s="23"/>
      <c r="G981" s="22"/>
      <c r="H981" s="22"/>
      <c r="I981" s="22"/>
      <c r="J981" s="22"/>
      <c r="K981" s="12">
        <f ca="1"/>
        <v>0</v>
      </c>
    </row>
    <row r="982" spans="1:11" ht="13">
      <c r="A982" s="8" t="str">
        <f t="shared" si="0"/>
        <v>-</v>
      </c>
      <c r="B982" s="16"/>
      <c r="C982" s="17"/>
      <c r="D982" s="22"/>
      <c r="E982" s="22"/>
      <c r="F982" s="23"/>
      <c r="G982" s="22"/>
      <c r="H982" s="22"/>
      <c r="I982" s="22"/>
      <c r="J982" s="22"/>
      <c r="K982" s="12">
        <f ca="1"/>
        <v>0</v>
      </c>
    </row>
    <row r="983" spans="1:11" ht="13">
      <c r="A983" s="8" t="str">
        <f t="shared" si="0"/>
        <v>-</v>
      </c>
      <c r="B983" s="16"/>
      <c r="C983" s="17"/>
      <c r="D983" s="22"/>
      <c r="E983" s="22"/>
      <c r="F983" s="23"/>
      <c r="G983" s="22"/>
      <c r="H983" s="22"/>
      <c r="I983" s="22"/>
      <c r="J983" s="22"/>
      <c r="K983" s="12">
        <f ca="1"/>
        <v>0</v>
      </c>
    </row>
    <row r="984" spans="1:11" ht="13">
      <c r="A984" s="8" t="str">
        <f t="shared" si="0"/>
        <v>-</v>
      </c>
      <c r="B984" s="16"/>
      <c r="C984" s="17"/>
      <c r="D984" s="22"/>
      <c r="E984" s="22"/>
      <c r="F984" s="23"/>
      <c r="G984" s="22"/>
      <c r="H984" s="22"/>
      <c r="I984" s="22"/>
      <c r="J984" s="22"/>
      <c r="K984" s="12">
        <f ca="1"/>
        <v>0</v>
      </c>
    </row>
    <row r="985" spans="1:11" ht="13">
      <c r="A985" s="8" t="str">
        <f t="shared" si="0"/>
        <v>-</v>
      </c>
      <c r="B985" s="16"/>
      <c r="C985" s="17"/>
      <c r="D985" s="22"/>
      <c r="E985" s="22"/>
      <c r="F985" s="23"/>
      <c r="G985" s="22"/>
      <c r="H985" s="22"/>
      <c r="I985" s="22"/>
      <c r="J985" s="22"/>
      <c r="K985" s="12">
        <f ca="1"/>
        <v>0</v>
      </c>
    </row>
    <row r="986" spans="1:11" ht="13">
      <c r="A986" s="8" t="str">
        <f t="shared" si="0"/>
        <v>-</v>
      </c>
      <c r="B986" s="16"/>
      <c r="C986" s="17"/>
      <c r="D986" s="22"/>
      <c r="E986" s="22"/>
      <c r="F986" s="23"/>
      <c r="G986" s="22"/>
      <c r="H986" s="22"/>
      <c r="I986" s="22"/>
      <c r="J986" s="22"/>
      <c r="K986" s="12">
        <f ca="1"/>
        <v>0</v>
      </c>
    </row>
    <row r="987" spans="1:11" ht="13">
      <c r="A987" s="8" t="str">
        <f t="shared" si="0"/>
        <v>-</v>
      </c>
      <c r="B987" s="16"/>
      <c r="C987" s="17"/>
      <c r="D987" s="22"/>
      <c r="E987" s="22"/>
      <c r="F987" s="23"/>
      <c r="G987" s="22"/>
      <c r="H987" s="22"/>
      <c r="I987" s="22"/>
      <c r="J987" s="22"/>
      <c r="K987" s="12">
        <f ca="1"/>
        <v>0</v>
      </c>
    </row>
    <row r="988" spans="1:11" ht="13">
      <c r="A988" s="8" t="str">
        <f t="shared" si="0"/>
        <v>-</v>
      </c>
      <c r="B988" s="41"/>
      <c r="C988" s="42"/>
      <c r="D988" s="43"/>
      <c r="E988" s="43"/>
      <c r="F988" s="44"/>
      <c r="G988" s="43"/>
      <c r="H988" s="43"/>
      <c r="I988" s="21"/>
      <c r="J988" s="43"/>
      <c r="K988" s="12">
        <f ca="1"/>
        <v>0</v>
      </c>
    </row>
  </sheetData>
  <phoneticPr fontId="6"/>
  <conditionalFormatting sqref="A5:A988">
    <cfRule type="cellIs" dxfId="2" priority="1" operator="equal">
      <formula>"未記入あり"</formula>
    </cfRule>
  </conditionalFormatting>
  <conditionalFormatting sqref="B5:B988">
    <cfRule type="cellIs" dxfId="1" priority="2" operator="equal">
      <formula>"期限まで無理"</formula>
    </cfRule>
  </conditionalFormatting>
  <conditionalFormatting sqref="C5:C988">
    <cfRule type="expression" dxfId="0" priority="3">
      <formula>$B5="期限まで無理"</formula>
    </cfRule>
  </conditionalFormatting>
  <dataValidations count="4">
    <dataValidation type="list" allowBlank="1" sqref="G5:G988" xr:uid="{00000000-0002-0000-0100-000000000000}">
      <formula1>$M$5:$M$12</formula1>
    </dataValidation>
    <dataValidation type="list" allowBlank="1" sqref="J5:J988" xr:uid="{00000000-0002-0000-0100-000001000000}">
      <formula1>"OK,NG,未"</formula1>
    </dataValidation>
    <dataValidation type="list" allowBlank="1" sqref="B5:B988" xr:uid="{00000000-0002-0000-0100-000002000000}">
      <formula1>"26期中は無理,期限まで無理"</formula1>
    </dataValidation>
    <dataValidation type="custom" allowBlank="1" showDropDown="1" showErrorMessage="1" sqref="C5:C988" xr:uid="{00000000-0002-0000-0100-000003000000}">
      <formula1>OR(NOT(ISERROR(DATEVALUE(C5))), AND(ISNUMBER(C5), LEFT(CELL("format", C5))="D"))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24546"/>
  <sheetViews>
    <sheetView workbookViewId="0"/>
  </sheetViews>
  <sheetFormatPr baseColWidth="10" defaultColWidth="14.5" defaultRowHeight="15.75" customHeight="1"/>
  <sheetData>
    <row r="1" spans="1:4" ht="15.75" customHeight="1">
      <c r="A1" s="7" t="s">
        <v>0</v>
      </c>
    </row>
    <row r="3" spans="1:4" ht="15.75" customHeight="1">
      <c r="B3" s="12" t="str">
        <f ca="1">IFERROR(__xludf.DUMMYFUNCTION("importrange($A$1,""AttackList_サンプル!a9:a"")"),"ID")</f>
        <v>ID</v>
      </c>
      <c r="C3" s="14" t="str">
        <f ca="1">IFERROR(__xludf.DUMMYFUNCTION("importrange($A$1,""AttackList_サンプル!l9:l"")"),"Sのみ物件_4月")</f>
        <v>Sのみ物件_4月</v>
      </c>
      <c r="D3" s="12" t="str">
        <f ca="1">IFERROR(__xludf.DUMMYFUNCTION("importrange($A$1,""AttackList_サンプル!f9:f"")"),"下期担当")</f>
        <v>下期担当</v>
      </c>
    </row>
    <row r="4" spans="1:4" ht="15.75" customHeight="1">
      <c r="B4" s="12">
        <f ca="1">IFERROR(__xludf.DUMMYFUNCTION("""COMPUTED_VALUE"""),8)</f>
        <v>8</v>
      </c>
      <c r="C4" s="14">
        <f ca="1">IFERROR(__xludf.DUMMYFUNCTION("""COMPUTED_VALUE"""),86)</f>
        <v>86</v>
      </c>
      <c r="D4" s="12" t="str">
        <f ca="1">IFERROR(__xludf.DUMMYFUNCTION("""COMPUTED_VALUE"""),"菅野 ぎんが")</f>
        <v>菅野 ぎんが</v>
      </c>
    </row>
    <row r="5" spans="1:4" ht="15.75" customHeight="1">
      <c r="B5" s="12">
        <f ca="1">IFERROR(__xludf.DUMMYFUNCTION("""COMPUTED_VALUE"""),120)</f>
        <v>120</v>
      </c>
      <c r="C5" s="14">
        <f ca="1">IFERROR(__xludf.DUMMYFUNCTION("""COMPUTED_VALUE"""),0)</f>
        <v>0</v>
      </c>
      <c r="D5" s="12" t="str">
        <f ca="1">IFERROR(__xludf.DUMMYFUNCTION("""COMPUTED_VALUE"""),"小関 麻起")</f>
        <v>小関 麻起</v>
      </c>
    </row>
    <row r="6" spans="1:4" ht="15.75" customHeight="1">
      <c r="B6" s="12">
        <f ca="1">IFERROR(__xludf.DUMMYFUNCTION("""COMPUTED_VALUE"""),173)</f>
        <v>173</v>
      </c>
      <c r="C6" s="14">
        <f ca="1">IFERROR(__xludf.DUMMYFUNCTION("""COMPUTED_VALUE"""),6)</f>
        <v>6</v>
      </c>
      <c r="D6" s="12" t="str">
        <f ca="1">IFERROR(__xludf.DUMMYFUNCTION("""COMPUTED_VALUE"""),"内丸 裕子")</f>
        <v>内丸 裕子</v>
      </c>
    </row>
    <row r="7" spans="1:4" ht="15.75" customHeight="1">
      <c r="B7" s="12">
        <f ca="1">IFERROR(__xludf.DUMMYFUNCTION("""COMPUTED_VALUE"""),196)</f>
        <v>196</v>
      </c>
      <c r="C7" s="14">
        <f ca="1">IFERROR(__xludf.DUMMYFUNCTION("""COMPUTED_VALUE"""),0)</f>
        <v>0</v>
      </c>
      <c r="D7" s="12" t="str">
        <f ca="1">IFERROR(__xludf.DUMMYFUNCTION("""COMPUTED_VALUE"""),"成嶋 夏未")</f>
        <v>成嶋 夏未</v>
      </c>
    </row>
    <row r="8" spans="1:4" ht="15.75" customHeight="1">
      <c r="B8" s="12">
        <f ca="1">IFERROR(__xludf.DUMMYFUNCTION("""COMPUTED_VALUE"""),205)</f>
        <v>205</v>
      </c>
      <c r="C8" s="14">
        <f ca="1">IFERROR(__xludf.DUMMYFUNCTION("""COMPUTED_VALUE"""),0)</f>
        <v>0</v>
      </c>
      <c r="D8" s="12" t="str">
        <f ca="1">IFERROR(__xludf.DUMMYFUNCTION("""COMPUTED_VALUE"""),"菅野 ぎんが")</f>
        <v>菅野 ぎんが</v>
      </c>
    </row>
    <row r="9" spans="1:4" ht="15.75" customHeight="1">
      <c r="B9" s="12">
        <f ca="1">IFERROR(__xludf.DUMMYFUNCTION("""COMPUTED_VALUE"""),213)</f>
        <v>213</v>
      </c>
      <c r="C9" s="14">
        <f ca="1">IFERROR(__xludf.DUMMYFUNCTION("""COMPUTED_VALUE"""),2)</f>
        <v>2</v>
      </c>
      <c r="D9" s="12" t="str">
        <f ca="1">IFERROR(__xludf.DUMMYFUNCTION("""COMPUTED_VALUE"""),"小川 純")</f>
        <v>小川 純</v>
      </c>
    </row>
    <row r="10" spans="1:4" ht="15.75" customHeight="1">
      <c r="B10" s="12">
        <f ca="1">IFERROR(__xludf.DUMMYFUNCTION("""COMPUTED_VALUE"""),272)</f>
        <v>272</v>
      </c>
      <c r="C10" s="14">
        <f ca="1">IFERROR(__xludf.DUMMYFUNCTION("""COMPUTED_VALUE"""),0)</f>
        <v>0</v>
      </c>
      <c r="D10" s="12" t="str">
        <f ca="1">IFERROR(__xludf.DUMMYFUNCTION("""COMPUTED_VALUE"""),"小関 麻起")</f>
        <v>小関 麻起</v>
      </c>
    </row>
    <row r="11" spans="1:4" ht="15.75" customHeight="1">
      <c r="B11" s="12">
        <f ca="1">IFERROR(__xludf.DUMMYFUNCTION("""COMPUTED_VALUE"""),273)</f>
        <v>273</v>
      </c>
      <c r="C11" s="14">
        <f ca="1">IFERROR(__xludf.DUMMYFUNCTION("""COMPUTED_VALUE"""),20)</f>
        <v>20</v>
      </c>
      <c r="D11" s="12" t="str">
        <f ca="1">IFERROR(__xludf.DUMMYFUNCTION("""COMPUTED_VALUE"""),"小関 麻起")</f>
        <v>小関 麻起</v>
      </c>
    </row>
    <row r="12" spans="1:4" ht="15.75" customHeight="1">
      <c r="B12" s="12">
        <f ca="1">IFERROR(__xludf.DUMMYFUNCTION("""COMPUTED_VALUE"""),287)</f>
        <v>287</v>
      </c>
      <c r="C12" s="14">
        <f ca="1">IFERROR(__xludf.DUMMYFUNCTION("""COMPUTED_VALUE"""),0)</f>
        <v>0</v>
      </c>
      <c r="D12" s="12" t="str">
        <f ca="1">IFERROR(__xludf.DUMMYFUNCTION("""COMPUTED_VALUE"""),"田嶋 将太")</f>
        <v>田嶋 将太</v>
      </c>
    </row>
    <row r="13" spans="1:4" ht="15.75" customHeight="1">
      <c r="B13" s="12">
        <f ca="1">IFERROR(__xludf.DUMMYFUNCTION("""COMPUTED_VALUE"""),294)</f>
        <v>294</v>
      </c>
      <c r="C13" s="14">
        <f ca="1">IFERROR(__xludf.DUMMYFUNCTION("""COMPUTED_VALUE"""),3)</f>
        <v>3</v>
      </c>
      <c r="D13" s="12" t="str">
        <f ca="1">IFERROR(__xludf.DUMMYFUNCTION("""COMPUTED_VALUE"""),"菅野 ぎんが")</f>
        <v>菅野 ぎんが</v>
      </c>
    </row>
    <row r="14" spans="1:4" ht="15.75" customHeight="1">
      <c r="B14" s="12">
        <f ca="1">IFERROR(__xludf.DUMMYFUNCTION("""COMPUTED_VALUE"""),320)</f>
        <v>320</v>
      </c>
      <c r="C14" s="14">
        <f ca="1">IFERROR(__xludf.DUMMYFUNCTION("""COMPUTED_VALUE"""),2)</f>
        <v>2</v>
      </c>
      <c r="D14" s="12" t="str">
        <f ca="1">IFERROR(__xludf.DUMMYFUNCTION("""COMPUTED_VALUE"""),"菅野 ぎんが")</f>
        <v>菅野 ぎんが</v>
      </c>
    </row>
    <row r="15" spans="1:4" ht="15.75" customHeight="1">
      <c r="B15" s="12">
        <f ca="1">IFERROR(__xludf.DUMMYFUNCTION("""COMPUTED_VALUE"""),329)</f>
        <v>329</v>
      </c>
      <c r="C15" s="14">
        <f ca="1">IFERROR(__xludf.DUMMYFUNCTION("""COMPUTED_VALUE"""),36)</f>
        <v>36</v>
      </c>
      <c r="D15" s="12" t="str">
        <f ca="1">IFERROR(__xludf.DUMMYFUNCTION("""COMPUTED_VALUE"""),"小関 麻起")</f>
        <v>小関 麻起</v>
      </c>
    </row>
    <row r="16" spans="1:4" ht="15.75" customHeight="1">
      <c r="B16" s="12">
        <f ca="1">IFERROR(__xludf.DUMMYFUNCTION("""COMPUTED_VALUE"""),331)</f>
        <v>331</v>
      </c>
      <c r="C16" s="14">
        <f ca="1">IFERROR(__xludf.DUMMYFUNCTION("""COMPUTED_VALUE"""),2)</f>
        <v>2</v>
      </c>
      <c r="D16" s="12" t="str">
        <f ca="1">IFERROR(__xludf.DUMMYFUNCTION("""COMPUTED_VALUE"""),"老田 純輝")</f>
        <v>老田 純輝</v>
      </c>
    </row>
    <row r="17" spans="2:4" ht="15.75" customHeight="1">
      <c r="B17" s="12">
        <f ca="1">IFERROR(__xludf.DUMMYFUNCTION("""COMPUTED_VALUE"""),377)</f>
        <v>377</v>
      </c>
      <c r="C17" s="14">
        <f ca="1">IFERROR(__xludf.DUMMYFUNCTION("""COMPUTED_VALUE"""),0)</f>
        <v>0</v>
      </c>
      <c r="D17" s="12" t="str">
        <f ca="1">IFERROR(__xludf.DUMMYFUNCTION("""COMPUTED_VALUE"""),"老田 純輝")</f>
        <v>老田 純輝</v>
      </c>
    </row>
    <row r="18" spans="2:4" ht="15.75" customHeight="1">
      <c r="B18" s="12">
        <f ca="1">IFERROR(__xludf.DUMMYFUNCTION("""COMPUTED_VALUE"""),409)</f>
        <v>409</v>
      </c>
      <c r="C18" s="14">
        <f ca="1">IFERROR(__xludf.DUMMYFUNCTION("""COMPUTED_VALUE"""),0)</f>
        <v>0</v>
      </c>
      <c r="D18" s="12" t="str">
        <f ca="1">IFERROR(__xludf.DUMMYFUNCTION("""COMPUTED_VALUE"""),"森 光智")</f>
        <v>森 光智</v>
      </c>
    </row>
    <row r="19" spans="2:4" ht="15.75" customHeight="1">
      <c r="B19" s="12">
        <f ca="1">IFERROR(__xludf.DUMMYFUNCTION("""COMPUTED_VALUE"""),421)</f>
        <v>421</v>
      </c>
      <c r="C19" s="14">
        <f ca="1">IFERROR(__xludf.DUMMYFUNCTION("""COMPUTED_VALUE"""),5)</f>
        <v>5</v>
      </c>
      <c r="D19" s="12" t="str">
        <f ca="1">IFERROR(__xludf.DUMMYFUNCTION("""COMPUTED_VALUE"""),"長谷川 陸朗")</f>
        <v>長谷川 陸朗</v>
      </c>
    </row>
    <row r="20" spans="2:4" ht="15.75" customHeight="1">
      <c r="B20" s="12">
        <f ca="1">IFERROR(__xludf.DUMMYFUNCTION("""COMPUTED_VALUE"""),430)</f>
        <v>430</v>
      </c>
      <c r="C20" s="14">
        <f ca="1">IFERROR(__xludf.DUMMYFUNCTION("""COMPUTED_VALUE"""),1)</f>
        <v>1</v>
      </c>
      <c r="D20" s="12" t="str">
        <f ca="1">IFERROR(__xludf.DUMMYFUNCTION("""COMPUTED_VALUE"""),"小関 麻起")</f>
        <v>小関 麻起</v>
      </c>
    </row>
    <row r="21" spans="2:4" ht="15.75" customHeight="1">
      <c r="B21" s="12">
        <f ca="1">IFERROR(__xludf.DUMMYFUNCTION("""COMPUTED_VALUE"""),432)</f>
        <v>432</v>
      </c>
      <c r="C21" s="14">
        <f ca="1">IFERROR(__xludf.DUMMYFUNCTION("""COMPUTED_VALUE"""),2)</f>
        <v>2</v>
      </c>
      <c r="D21" s="12" t="str">
        <f ca="1">IFERROR(__xludf.DUMMYFUNCTION("""COMPUTED_VALUE"""),"老田 純輝")</f>
        <v>老田 純輝</v>
      </c>
    </row>
    <row r="22" spans="2:4" ht="15.75" customHeight="1">
      <c r="B22" s="12">
        <f ca="1">IFERROR(__xludf.DUMMYFUNCTION("""COMPUTED_VALUE"""),457)</f>
        <v>457</v>
      </c>
      <c r="C22" s="14">
        <f ca="1">IFERROR(__xludf.DUMMYFUNCTION("""COMPUTED_VALUE"""),0)</f>
        <v>0</v>
      </c>
      <c r="D22" s="12" t="str">
        <f ca="1">IFERROR(__xludf.DUMMYFUNCTION("""COMPUTED_VALUE"""),"小関 麻起")</f>
        <v>小関 麻起</v>
      </c>
    </row>
    <row r="23" spans="2:4" ht="15.75" customHeight="1">
      <c r="B23" s="12">
        <f ca="1">IFERROR(__xludf.DUMMYFUNCTION("""COMPUTED_VALUE"""),471)</f>
        <v>471</v>
      </c>
      <c r="C23" s="14">
        <f ca="1">IFERROR(__xludf.DUMMYFUNCTION("""COMPUTED_VALUE"""),0)</f>
        <v>0</v>
      </c>
      <c r="D23" s="12" t="str">
        <f ca="1">IFERROR(__xludf.DUMMYFUNCTION("""COMPUTED_VALUE"""),"小関 麻起")</f>
        <v>小関 麻起</v>
      </c>
    </row>
    <row r="24" spans="2:4" ht="15.75" customHeight="1">
      <c r="B24" s="12">
        <f ca="1">IFERROR(__xludf.DUMMYFUNCTION("""COMPUTED_VALUE"""),473)</f>
        <v>473</v>
      </c>
      <c r="C24" s="14">
        <f ca="1">IFERROR(__xludf.DUMMYFUNCTION("""COMPUTED_VALUE"""),0)</f>
        <v>0</v>
      </c>
      <c r="D24" s="12" t="str">
        <f ca="1">IFERROR(__xludf.DUMMYFUNCTION("""COMPUTED_VALUE"""),"奥野 貴大")</f>
        <v>奥野 貴大</v>
      </c>
    </row>
    <row r="25" spans="2:4" ht="15.75" customHeight="1">
      <c r="B25" s="12">
        <f ca="1">IFERROR(__xludf.DUMMYFUNCTION("""COMPUTED_VALUE"""),490)</f>
        <v>490</v>
      </c>
      <c r="C25" s="14">
        <f ca="1">IFERROR(__xludf.DUMMYFUNCTION("""COMPUTED_VALUE"""),0)</f>
        <v>0</v>
      </c>
      <c r="D25" s="12" t="str">
        <f ca="1">IFERROR(__xludf.DUMMYFUNCTION("""COMPUTED_VALUE"""),"小関 麻起")</f>
        <v>小関 麻起</v>
      </c>
    </row>
    <row r="26" spans="2:4" ht="15.75" customHeight="1">
      <c r="B26" s="12">
        <f ca="1">IFERROR(__xludf.DUMMYFUNCTION("""COMPUTED_VALUE"""),727)</f>
        <v>727</v>
      </c>
      <c r="C26" s="14">
        <f ca="1">IFERROR(__xludf.DUMMYFUNCTION("""COMPUTED_VALUE"""),6)</f>
        <v>6</v>
      </c>
      <c r="D26" s="12" t="str">
        <f ca="1">IFERROR(__xludf.DUMMYFUNCTION("""COMPUTED_VALUE"""),"小関 麻起")</f>
        <v>小関 麻起</v>
      </c>
    </row>
    <row r="27" spans="2:4" ht="15.75" customHeight="1">
      <c r="B27" s="12">
        <f ca="1">IFERROR(__xludf.DUMMYFUNCTION("""COMPUTED_VALUE"""),740)</f>
        <v>740</v>
      </c>
      <c r="C27" s="14">
        <f ca="1">IFERROR(__xludf.DUMMYFUNCTION("""COMPUTED_VALUE"""),21)</f>
        <v>21</v>
      </c>
      <c r="D27" s="12" t="str">
        <f ca="1">IFERROR(__xludf.DUMMYFUNCTION("""COMPUTED_VALUE"""),"松尾 尚樹")</f>
        <v>松尾 尚樹</v>
      </c>
    </row>
    <row r="28" spans="2:4" ht="15.75" customHeight="1">
      <c r="B28" s="12">
        <f ca="1">IFERROR(__xludf.DUMMYFUNCTION("""COMPUTED_VALUE"""),760)</f>
        <v>760</v>
      </c>
      <c r="C28" s="14">
        <f ca="1">IFERROR(__xludf.DUMMYFUNCTION("""COMPUTED_VALUE"""),0)</f>
        <v>0</v>
      </c>
      <c r="D28" s="12" t="str">
        <f ca="1">IFERROR(__xludf.DUMMYFUNCTION("""COMPUTED_VALUE"""),"小関 麻起")</f>
        <v>小関 麻起</v>
      </c>
    </row>
    <row r="29" spans="2:4" ht="15.75" customHeight="1">
      <c r="B29" s="12">
        <f ca="1">IFERROR(__xludf.DUMMYFUNCTION("""COMPUTED_VALUE"""),771)</f>
        <v>771</v>
      </c>
      <c r="C29" s="14">
        <f ca="1">IFERROR(__xludf.DUMMYFUNCTION("""COMPUTED_VALUE"""),0)</f>
        <v>0</v>
      </c>
      <c r="D29" s="12" t="str">
        <f ca="1">IFERROR(__xludf.DUMMYFUNCTION("""COMPUTED_VALUE"""),"菅野 ぎんが")</f>
        <v>菅野 ぎんが</v>
      </c>
    </row>
    <row r="30" spans="2:4" ht="15.75" customHeight="1">
      <c r="B30" s="12">
        <f ca="1">IFERROR(__xludf.DUMMYFUNCTION("""COMPUTED_VALUE"""),776)</f>
        <v>776</v>
      </c>
      <c r="C30" s="14">
        <f ca="1">IFERROR(__xludf.DUMMYFUNCTION("""COMPUTED_VALUE"""),0)</f>
        <v>0</v>
      </c>
      <c r="D30" s="12" t="str">
        <f ca="1">IFERROR(__xludf.DUMMYFUNCTION("""COMPUTED_VALUE"""),"菅野 ぎんが")</f>
        <v>菅野 ぎんが</v>
      </c>
    </row>
    <row r="31" spans="2:4" ht="15.75" customHeight="1">
      <c r="B31" s="12">
        <f ca="1">IFERROR(__xludf.DUMMYFUNCTION("""COMPUTED_VALUE"""),777)</f>
        <v>777</v>
      </c>
      <c r="C31" s="14">
        <f ca="1">IFERROR(__xludf.DUMMYFUNCTION("""COMPUTED_VALUE"""),0)</f>
        <v>0</v>
      </c>
      <c r="D31" s="12" t="str">
        <f ca="1">IFERROR(__xludf.DUMMYFUNCTION("""COMPUTED_VALUE"""),"長谷川 陸朗")</f>
        <v>長谷川 陸朗</v>
      </c>
    </row>
    <row r="32" spans="2:4" ht="15.75" customHeight="1">
      <c r="B32" s="12">
        <f ca="1">IFERROR(__xludf.DUMMYFUNCTION("""COMPUTED_VALUE"""),808)</f>
        <v>808</v>
      </c>
      <c r="C32" s="14">
        <f ca="1">IFERROR(__xludf.DUMMYFUNCTION("""COMPUTED_VALUE"""),7)</f>
        <v>7</v>
      </c>
      <c r="D32" s="12" t="str">
        <f ca="1">IFERROR(__xludf.DUMMYFUNCTION("""COMPUTED_VALUE"""),"小関 麻起")</f>
        <v>小関 麻起</v>
      </c>
    </row>
    <row r="33" spans="2:4" ht="15.75" customHeight="1">
      <c r="B33" s="12">
        <f ca="1">IFERROR(__xludf.DUMMYFUNCTION("""COMPUTED_VALUE"""),809)</f>
        <v>809</v>
      </c>
      <c r="C33" s="14">
        <f ca="1">IFERROR(__xludf.DUMMYFUNCTION("""COMPUTED_VALUE"""),3)</f>
        <v>3</v>
      </c>
      <c r="D33" s="12" t="str">
        <f ca="1">IFERROR(__xludf.DUMMYFUNCTION("""COMPUTED_VALUE"""),"小関 麻起")</f>
        <v>小関 麻起</v>
      </c>
    </row>
    <row r="34" spans="2:4" ht="15.75" customHeight="1">
      <c r="B34" s="12">
        <f ca="1">IFERROR(__xludf.DUMMYFUNCTION("""COMPUTED_VALUE"""),923)</f>
        <v>923</v>
      </c>
      <c r="C34" s="14">
        <f ca="1">IFERROR(__xludf.DUMMYFUNCTION("""COMPUTED_VALUE"""),0)</f>
        <v>0</v>
      </c>
      <c r="D34" s="12" t="str">
        <f ca="1">IFERROR(__xludf.DUMMYFUNCTION("""COMPUTED_VALUE"""),"栗原 大武")</f>
        <v>栗原 大武</v>
      </c>
    </row>
    <row r="35" spans="2:4" ht="15.75" customHeight="1">
      <c r="B35" s="12">
        <f ca="1">IFERROR(__xludf.DUMMYFUNCTION("""COMPUTED_VALUE"""),948)</f>
        <v>948</v>
      </c>
      <c r="C35" s="14">
        <f ca="1">IFERROR(__xludf.DUMMYFUNCTION("""COMPUTED_VALUE"""),11)</f>
        <v>11</v>
      </c>
      <c r="D35" s="12" t="str">
        <f ca="1">IFERROR(__xludf.DUMMYFUNCTION("""COMPUTED_VALUE"""),"老田 純輝")</f>
        <v>老田 純輝</v>
      </c>
    </row>
    <row r="36" spans="2:4" ht="15.75" customHeight="1">
      <c r="B36" s="12">
        <f ca="1">IFERROR(__xludf.DUMMYFUNCTION("""COMPUTED_VALUE"""),966)</f>
        <v>966</v>
      </c>
      <c r="C36" s="14">
        <f ca="1">IFERROR(__xludf.DUMMYFUNCTION("""COMPUTED_VALUE"""),0)</f>
        <v>0</v>
      </c>
      <c r="D36" s="12" t="str">
        <f ca="1">IFERROR(__xludf.DUMMYFUNCTION("""COMPUTED_VALUE"""),"稲場 勇介")</f>
        <v>稲場 勇介</v>
      </c>
    </row>
    <row r="37" spans="2:4" ht="15.75" customHeight="1">
      <c r="B37" s="12">
        <f ca="1">IFERROR(__xludf.DUMMYFUNCTION("""COMPUTED_VALUE"""),1014)</f>
        <v>1014</v>
      </c>
      <c r="C37" s="14">
        <f ca="1">IFERROR(__xludf.DUMMYFUNCTION("""COMPUTED_VALUE"""),5)</f>
        <v>5</v>
      </c>
      <c r="D37" s="12" t="str">
        <f ca="1">IFERROR(__xludf.DUMMYFUNCTION("""COMPUTED_VALUE"""),"菅野 ぎんが")</f>
        <v>菅野 ぎんが</v>
      </c>
    </row>
    <row r="38" spans="2:4" ht="15.75" customHeight="1">
      <c r="B38" s="12">
        <f ca="1">IFERROR(__xludf.DUMMYFUNCTION("""COMPUTED_VALUE"""),1034)</f>
        <v>1034</v>
      </c>
      <c r="C38" s="14">
        <f ca="1">IFERROR(__xludf.DUMMYFUNCTION("""COMPUTED_VALUE"""),3)</f>
        <v>3</v>
      </c>
      <c r="D38" s="12" t="str">
        <f ca="1">IFERROR(__xludf.DUMMYFUNCTION("""COMPUTED_VALUE"""),"長谷川 陸朗")</f>
        <v>長谷川 陸朗</v>
      </c>
    </row>
    <row r="39" spans="2:4" ht="15.75" customHeight="1">
      <c r="B39" s="12">
        <f ca="1">IFERROR(__xludf.DUMMYFUNCTION("""COMPUTED_VALUE"""),1047)</f>
        <v>1047</v>
      </c>
      <c r="C39" s="14">
        <f ca="1">IFERROR(__xludf.DUMMYFUNCTION("""COMPUTED_VALUE"""),1)</f>
        <v>1</v>
      </c>
      <c r="D39" s="12" t="str">
        <f ca="1">IFERROR(__xludf.DUMMYFUNCTION("""COMPUTED_VALUE"""),"長谷川 陸朗")</f>
        <v>長谷川 陸朗</v>
      </c>
    </row>
    <row r="40" spans="2:4" ht="15.75" customHeight="1">
      <c r="B40" s="12">
        <f ca="1">IFERROR(__xludf.DUMMYFUNCTION("""COMPUTED_VALUE"""),1073)</f>
        <v>1073</v>
      </c>
      <c r="C40" s="14">
        <f ca="1">IFERROR(__xludf.DUMMYFUNCTION("""COMPUTED_VALUE"""),0)</f>
        <v>0</v>
      </c>
      <c r="D40" s="12" t="str">
        <f ca="1">IFERROR(__xludf.DUMMYFUNCTION("""COMPUTED_VALUE"""),"長谷川 陸朗")</f>
        <v>長谷川 陸朗</v>
      </c>
    </row>
    <row r="41" spans="2:4" ht="15.75" customHeight="1">
      <c r="B41" s="12">
        <f ca="1">IFERROR(__xludf.DUMMYFUNCTION("""COMPUTED_VALUE"""),1330)</f>
        <v>1330</v>
      </c>
      <c r="C41" s="14">
        <f ca="1">IFERROR(__xludf.DUMMYFUNCTION("""COMPUTED_VALUE"""),0)</f>
        <v>0</v>
      </c>
      <c r="D41" s="12" t="str">
        <f ca="1">IFERROR(__xludf.DUMMYFUNCTION("""COMPUTED_VALUE"""),"菅野 ぎんが")</f>
        <v>菅野 ぎんが</v>
      </c>
    </row>
    <row r="42" spans="2:4" ht="15.75" customHeight="1">
      <c r="B42" s="12">
        <f ca="1">IFERROR(__xludf.DUMMYFUNCTION("""COMPUTED_VALUE"""),1337)</f>
        <v>1337</v>
      </c>
      <c r="C42" s="14">
        <f ca="1">IFERROR(__xludf.DUMMYFUNCTION("""COMPUTED_VALUE"""),0)</f>
        <v>0</v>
      </c>
      <c r="D42" s="12" t="str">
        <f ca="1">IFERROR(__xludf.DUMMYFUNCTION("""COMPUTED_VALUE"""),"松尾 尚樹")</f>
        <v>松尾 尚樹</v>
      </c>
    </row>
    <row r="43" spans="2:4" ht="15.75" customHeight="1">
      <c r="B43" s="12">
        <f ca="1">IFERROR(__xludf.DUMMYFUNCTION("""COMPUTED_VALUE"""),1366)</f>
        <v>1366</v>
      </c>
      <c r="C43" s="14">
        <f ca="1">IFERROR(__xludf.DUMMYFUNCTION("""COMPUTED_VALUE"""),0)</f>
        <v>0</v>
      </c>
      <c r="D43" s="12" t="str">
        <f ca="1">IFERROR(__xludf.DUMMYFUNCTION("""COMPUTED_VALUE"""),"桐山 勝気")</f>
        <v>桐山 勝気</v>
      </c>
    </row>
    <row r="44" spans="2:4" ht="15.75" customHeight="1">
      <c r="B44" s="12">
        <f ca="1">IFERROR(__xludf.DUMMYFUNCTION("""COMPUTED_VALUE"""),1367)</f>
        <v>1367</v>
      </c>
      <c r="C44" s="14">
        <f ca="1">IFERROR(__xludf.DUMMYFUNCTION("""COMPUTED_VALUE"""),176)</f>
        <v>176</v>
      </c>
      <c r="D44" s="12" t="str">
        <f ca="1">IFERROR(__xludf.DUMMYFUNCTION("""COMPUTED_VALUE"""),"辻村 将大")</f>
        <v>辻村 将大</v>
      </c>
    </row>
    <row r="45" spans="2:4" ht="15.75" customHeight="1">
      <c r="B45" s="12">
        <f ca="1">IFERROR(__xludf.DUMMYFUNCTION("""COMPUTED_VALUE"""),1379)</f>
        <v>1379</v>
      </c>
      <c r="C45" s="14">
        <f ca="1">IFERROR(__xludf.DUMMYFUNCTION("""COMPUTED_VALUE"""),4)</f>
        <v>4</v>
      </c>
      <c r="D45" s="12" t="str">
        <f ca="1">IFERROR(__xludf.DUMMYFUNCTION("""COMPUTED_VALUE"""),"松尾 尚樹")</f>
        <v>松尾 尚樹</v>
      </c>
    </row>
    <row r="46" spans="2:4" ht="15.75" customHeight="1">
      <c r="B46" s="12">
        <f ca="1">IFERROR(__xludf.DUMMYFUNCTION("""COMPUTED_VALUE"""),1408)</f>
        <v>1408</v>
      </c>
      <c r="C46" s="14">
        <f ca="1">IFERROR(__xludf.DUMMYFUNCTION("""COMPUTED_VALUE"""),3)</f>
        <v>3</v>
      </c>
      <c r="D46" s="12" t="str">
        <f ca="1">IFERROR(__xludf.DUMMYFUNCTION("""COMPUTED_VALUE"""),"老田 純輝")</f>
        <v>老田 純輝</v>
      </c>
    </row>
    <row r="47" spans="2:4" ht="15.75" customHeight="1">
      <c r="B47" s="12">
        <f ca="1">IFERROR(__xludf.DUMMYFUNCTION("""COMPUTED_VALUE"""),1431)</f>
        <v>1431</v>
      </c>
      <c r="C47" s="14">
        <f ca="1">IFERROR(__xludf.DUMMYFUNCTION("""COMPUTED_VALUE"""),3)</f>
        <v>3</v>
      </c>
      <c r="D47" s="12" t="str">
        <f ca="1">IFERROR(__xludf.DUMMYFUNCTION("""COMPUTED_VALUE"""),"小関 麻起")</f>
        <v>小関 麻起</v>
      </c>
    </row>
    <row r="48" spans="2:4" ht="15.75" customHeight="1">
      <c r="B48" s="12">
        <f ca="1">IFERROR(__xludf.DUMMYFUNCTION("""COMPUTED_VALUE"""),1433)</f>
        <v>1433</v>
      </c>
      <c r="C48" s="14">
        <f ca="1">IFERROR(__xludf.DUMMYFUNCTION("""COMPUTED_VALUE"""),5)</f>
        <v>5</v>
      </c>
      <c r="D48" s="12" t="str">
        <f ca="1">IFERROR(__xludf.DUMMYFUNCTION("""COMPUTED_VALUE"""),"長谷川 陸朗")</f>
        <v>長谷川 陸朗</v>
      </c>
    </row>
    <row r="49" spans="2:4" ht="15.75" customHeight="1">
      <c r="B49" s="12">
        <f ca="1">IFERROR(__xludf.DUMMYFUNCTION("""COMPUTED_VALUE"""),1439)</f>
        <v>1439</v>
      </c>
      <c r="C49" s="14">
        <f ca="1">IFERROR(__xludf.DUMMYFUNCTION("""COMPUTED_VALUE"""),3)</f>
        <v>3</v>
      </c>
      <c r="D49" s="12" t="str">
        <f ca="1">IFERROR(__xludf.DUMMYFUNCTION("""COMPUTED_VALUE"""),"菅野 ぎんが")</f>
        <v>菅野 ぎんが</v>
      </c>
    </row>
    <row r="50" spans="2:4" ht="15.75" customHeight="1">
      <c r="B50" s="12">
        <f ca="1">IFERROR(__xludf.DUMMYFUNCTION("""COMPUTED_VALUE"""),1446)</f>
        <v>1446</v>
      </c>
      <c r="C50" s="14">
        <f ca="1">IFERROR(__xludf.DUMMYFUNCTION("""COMPUTED_VALUE"""),22)</f>
        <v>22</v>
      </c>
      <c r="D50" s="12" t="str">
        <f ca="1">IFERROR(__xludf.DUMMYFUNCTION("""COMPUTED_VALUE"""),"老田 純輝")</f>
        <v>老田 純輝</v>
      </c>
    </row>
    <row r="51" spans="2:4" ht="15.75" customHeight="1">
      <c r="B51" s="12">
        <f ca="1">IFERROR(__xludf.DUMMYFUNCTION("""COMPUTED_VALUE"""),1456)</f>
        <v>1456</v>
      </c>
      <c r="C51" s="14">
        <f ca="1">IFERROR(__xludf.DUMMYFUNCTION("""COMPUTED_VALUE"""),0)</f>
        <v>0</v>
      </c>
      <c r="D51" s="12" t="str">
        <f ca="1">IFERROR(__xludf.DUMMYFUNCTION("""COMPUTED_VALUE"""),"松尾 尚樹")</f>
        <v>松尾 尚樹</v>
      </c>
    </row>
    <row r="52" spans="2:4" ht="15.75" customHeight="1">
      <c r="B52" s="12">
        <f ca="1">IFERROR(__xludf.DUMMYFUNCTION("""COMPUTED_VALUE"""),1506)</f>
        <v>1506</v>
      </c>
      <c r="C52" s="14">
        <f ca="1">IFERROR(__xludf.DUMMYFUNCTION("""COMPUTED_VALUE"""),11)</f>
        <v>11</v>
      </c>
      <c r="D52" s="12" t="str">
        <f ca="1">IFERROR(__xludf.DUMMYFUNCTION("""COMPUTED_VALUE"""),"菅野 ぎんが")</f>
        <v>菅野 ぎんが</v>
      </c>
    </row>
    <row r="53" spans="2:4" ht="13">
      <c r="B53" s="12">
        <f ca="1">IFERROR(__xludf.DUMMYFUNCTION("""COMPUTED_VALUE"""),1528)</f>
        <v>1528</v>
      </c>
      <c r="C53" s="14">
        <f ca="1">IFERROR(__xludf.DUMMYFUNCTION("""COMPUTED_VALUE"""),1)</f>
        <v>1</v>
      </c>
      <c r="D53" s="12" t="str">
        <f ca="1">IFERROR(__xludf.DUMMYFUNCTION("""COMPUTED_VALUE"""),"松尾 尚樹")</f>
        <v>松尾 尚樹</v>
      </c>
    </row>
    <row r="54" spans="2:4" ht="13">
      <c r="B54" s="12">
        <f ca="1">IFERROR(__xludf.DUMMYFUNCTION("""COMPUTED_VALUE"""),1549)</f>
        <v>1549</v>
      </c>
      <c r="C54" s="14">
        <f ca="1">IFERROR(__xludf.DUMMYFUNCTION("""COMPUTED_VALUE"""),0)</f>
        <v>0</v>
      </c>
      <c r="D54" s="12" t="str">
        <f ca="1">IFERROR(__xludf.DUMMYFUNCTION("""COMPUTED_VALUE"""),"小関 麻起")</f>
        <v>小関 麻起</v>
      </c>
    </row>
    <row r="55" spans="2:4" ht="13">
      <c r="B55" s="12">
        <f ca="1">IFERROR(__xludf.DUMMYFUNCTION("""COMPUTED_VALUE"""),1550)</f>
        <v>1550</v>
      </c>
      <c r="C55" s="14">
        <f ca="1">IFERROR(__xludf.DUMMYFUNCTION("""COMPUTED_VALUE"""),0)</f>
        <v>0</v>
      </c>
      <c r="D55" s="12" t="str">
        <f ca="1">IFERROR(__xludf.DUMMYFUNCTION("""COMPUTED_VALUE"""),"老田 純輝")</f>
        <v>老田 純輝</v>
      </c>
    </row>
    <row r="56" spans="2:4" ht="13">
      <c r="B56" s="12">
        <f ca="1">IFERROR(__xludf.DUMMYFUNCTION("""COMPUTED_VALUE"""),2004)</f>
        <v>2004</v>
      </c>
      <c r="C56" s="14">
        <f ca="1">IFERROR(__xludf.DUMMYFUNCTION("""COMPUTED_VALUE"""),0)</f>
        <v>0</v>
      </c>
      <c r="D56" s="12" t="str">
        <f ca="1">IFERROR(__xludf.DUMMYFUNCTION("""COMPUTED_VALUE"""),"成嶋 夏未")</f>
        <v>成嶋 夏未</v>
      </c>
    </row>
    <row r="57" spans="2:4" ht="13">
      <c r="B57" s="12">
        <f ca="1">IFERROR(__xludf.DUMMYFUNCTION("""COMPUTED_VALUE"""),5211)</f>
        <v>5211</v>
      </c>
      <c r="C57" s="14">
        <f ca="1">IFERROR(__xludf.DUMMYFUNCTION("""COMPUTED_VALUE"""),6)</f>
        <v>6</v>
      </c>
      <c r="D57" s="12" t="str">
        <f ca="1">IFERROR(__xludf.DUMMYFUNCTION("""COMPUTED_VALUE"""),"成嶋 夏未")</f>
        <v>成嶋 夏未</v>
      </c>
    </row>
    <row r="58" spans="2:4" ht="13">
      <c r="B58" s="12">
        <f ca="1">IFERROR(__xludf.DUMMYFUNCTION("""COMPUTED_VALUE"""),5213)</f>
        <v>5213</v>
      </c>
      <c r="C58" s="14">
        <f ca="1">IFERROR(__xludf.DUMMYFUNCTION("""COMPUTED_VALUE"""),7)</f>
        <v>7</v>
      </c>
      <c r="D58" s="12" t="str">
        <f ca="1">IFERROR(__xludf.DUMMYFUNCTION("""COMPUTED_VALUE"""),"成嶋 夏未")</f>
        <v>成嶋 夏未</v>
      </c>
    </row>
    <row r="59" spans="2:4" ht="13">
      <c r="B59" s="12">
        <f ca="1">IFERROR(__xludf.DUMMYFUNCTION("""COMPUTED_VALUE"""),5319)</f>
        <v>5319</v>
      </c>
      <c r="C59" s="14">
        <f ca="1">IFERROR(__xludf.DUMMYFUNCTION("""COMPUTED_VALUE"""),0)</f>
        <v>0</v>
      </c>
      <c r="D59" s="12" t="str">
        <f ca="1">IFERROR(__xludf.DUMMYFUNCTION("""COMPUTED_VALUE"""),"柿崎 晃司")</f>
        <v>柿崎 晃司</v>
      </c>
    </row>
    <row r="60" spans="2:4" ht="13">
      <c r="B60" s="12">
        <f ca="1">IFERROR(__xludf.DUMMYFUNCTION("""COMPUTED_VALUE"""),5501)</f>
        <v>5501</v>
      </c>
      <c r="C60" s="14">
        <f ca="1">IFERROR(__xludf.DUMMYFUNCTION("""COMPUTED_VALUE"""),18)</f>
        <v>18</v>
      </c>
      <c r="D60" s="12" t="str">
        <f ca="1">IFERROR(__xludf.DUMMYFUNCTION("""COMPUTED_VALUE"""),"渋谷 雄大")</f>
        <v>渋谷 雄大</v>
      </c>
    </row>
    <row r="61" spans="2:4" ht="13">
      <c r="B61" s="12">
        <f ca="1">IFERROR(__xludf.DUMMYFUNCTION("""COMPUTED_VALUE"""),5502)</f>
        <v>5502</v>
      </c>
      <c r="C61" s="14">
        <f ca="1">IFERROR(__xludf.DUMMYFUNCTION("""COMPUTED_VALUE"""),15)</f>
        <v>15</v>
      </c>
      <c r="D61" s="12" t="str">
        <f ca="1">IFERROR(__xludf.DUMMYFUNCTION("""COMPUTED_VALUE"""),"渋谷 雄大")</f>
        <v>渋谷 雄大</v>
      </c>
    </row>
    <row r="62" spans="2:4" ht="13">
      <c r="B62" s="12">
        <f ca="1">IFERROR(__xludf.DUMMYFUNCTION("""COMPUTED_VALUE"""),5503)</f>
        <v>5503</v>
      </c>
      <c r="C62" s="14">
        <f ca="1">IFERROR(__xludf.DUMMYFUNCTION("""COMPUTED_VALUE"""),16)</f>
        <v>16</v>
      </c>
      <c r="D62" s="12" t="str">
        <f ca="1">IFERROR(__xludf.DUMMYFUNCTION("""COMPUTED_VALUE"""),"渋谷 雄大")</f>
        <v>渋谷 雄大</v>
      </c>
    </row>
    <row r="63" spans="2:4" ht="13">
      <c r="B63" s="12">
        <f ca="1">IFERROR(__xludf.DUMMYFUNCTION("""COMPUTED_VALUE"""),5505)</f>
        <v>5505</v>
      </c>
      <c r="C63" s="14">
        <f ca="1">IFERROR(__xludf.DUMMYFUNCTION("""COMPUTED_VALUE"""),5)</f>
        <v>5</v>
      </c>
      <c r="D63" s="12" t="str">
        <f ca="1">IFERROR(__xludf.DUMMYFUNCTION("""COMPUTED_VALUE"""),"渋谷 雄大")</f>
        <v>渋谷 雄大</v>
      </c>
    </row>
    <row r="64" spans="2:4" ht="13">
      <c r="B64" s="12">
        <f ca="1">IFERROR(__xludf.DUMMYFUNCTION("""COMPUTED_VALUE"""),5507)</f>
        <v>5507</v>
      </c>
      <c r="C64" s="14">
        <f ca="1">IFERROR(__xludf.DUMMYFUNCTION("""COMPUTED_VALUE"""),5)</f>
        <v>5</v>
      </c>
      <c r="D64" s="12" t="str">
        <f ca="1">IFERROR(__xludf.DUMMYFUNCTION("""COMPUTED_VALUE"""),"渋谷 雄大")</f>
        <v>渋谷 雄大</v>
      </c>
    </row>
    <row r="65" spans="2:4" ht="13">
      <c r="B65" s="12">
        <f ca="1">IFERROR(__xludf.DUMMYFUNCTION("""COMPUTED_VALUE"""),5508)</f>
        <v>5508</v>
      </c>
      <c r="C65" s="14">
        <f ca="1">IFERROR(__xludf.DUMMYFUNCTION("""COMPUTED_VALUE"""),17)</f>
        <v>17</v>
      </c>
      <c r="D65" s="12" t="str">
        <f ca="1">IFERROR(__xludf.DUMMYFUNCTION("""COMPUTED_VALUE"""),"渋谷 雄大")</f>
        <v>渋谷 雄大</v>
      </c>
    </row>
    <row r="66" spans="2:4" ht="13">
      <c r="B66" s="12">
        <f ca="1">IFERROR(__xludf.DUMMYFUNCTION("""COMPUTED_VALUE"""),5509)</f>
        <v>5509</v>
      </c>
      <c r="C66" s="14">
        <f ca="1">IFERROR(__xludf.DUMMYFUNCTION("""COMPUTED_VALUE"""),10)</f>
        <v>10</v>
      </c>
      <c r="D66" s="12" t="str">
        <f ca="1">IFERROR(__xludf.DUMMYFUNCTION("""COMPUTED_VALUE"""),"渋谷 雄大")</f>
        <v>渋谷 雄大</v>
      </c>
    </row>
    <row r="67" spans="2:4" ht="13">
      <c r="B67" s="12">
        <f ca="1">IFERROR(__xludf.DUMMYFUNCTION("""COMPUTED_VALUE"""),5511)</f>
        <v>5511</v>
      </c>
      <c r="C67" s="14">
        <f ca="1">IFERROR(__xludf.DUMMYFUNCTION("""COMPUTED_VALUE"""),1)</f>
        <v>1</v>
      </c>
      <c r="D67" s="12" t="str">
        <f ca="1">IFERROR(__xludf.DUMMYFUNCTION("""COMPUTED_VALUE"""),"渋谷 雄大")</f>
        <v>渋谷 雄大</v>
      </c>
    </row>
    <row r="68" spans="2:4" ht="13">
      <c r="B68" s="12">
        <f ca="1">IFERROR(__xludf.DUMMYFUNCTION("""COMPUTED_VALUE"""),5512)</f>
        <v>5512</v>
      </c>
      <c r="C68" s="14">
        <f ca="1">IFERROR(__xludf.DUMMYFUNCTION("""COMPUTED_VALUE"""),3)</f>
        <v>3</v>
      </c>
      <c r="D68" s="12" t="str">
        <f ca="1">IFERROR(__xludf.DUMMYFUNCTION("""COMPUTED_VALUE"""),"老田 純輝")</f>
        <v>老田 純輝</v>
      </c>
    </row>
    <row r="69" spans="2:4" ht="13">
      <c r="B69" s="12">
        <f ca="1">IFERROR(__xludf.DUMMYFUNCTION("""COMPUTED_VALUE"""),5513)</f>
        <v>5513</v>
      </c>
      <c r="C69" s="14">
        <f ca="1">IFERROR(__xludf.DUMMYFUNCTION("""COMPUTED_VALUE"""),1)</f>
        <v>1</v>
      </c>
      <c r="D69" s="12" t="str">
        <f ca="1">IFERROR(__xludf.DUMMYFUNCTION("""COMPUTED_VALUE"""),"渋谷 雄大")</f>
        <v>渋谷 雄大</v>
      </c>
    </row>
    <row r="70" spans="2:4" ht="13">
      <c r="B70" s="12">
        <f ca="1">IFERROR(__xludf.DUMMYFUNCTION("""COMPUTED_VALUE"""),5514)</f>
        <v>5514</v>
      </c>
      <c r="C70" s="14">
        <f ca="1">IFERROR(__xludf.DUMMYFUNCTION("""COMPUTED_VALUE"""),2)</f>
        <v>2</v>
      </c>
      <c r="D70" s="12" t="str">
        <f ca="1">IFERROR(__xludf.DUMMYFUNCTION("""COMPUTED_VALUE"""),"渋谷 雄大")</f>
        <v>渋谷 雄大</v>
      </c>
    </row>
    <row r="71" spans="2:4" ht="13">
      <c r="B71" s="12">
        <f ca="1">IFERROR(__xludf.DUMMYFUNCTION("""COMPUTED_VALUE"""),5515)</f>
        <v>5515</v>
      </c>
      <c r="C71" s="14">
        <f ca="1">IFERROR(__xludf.DUMMYFUNCTION("""COMPUTED_VALUE"""),5)</f>
        <v>5</v>
      </c>
      <c r="D71" s="12" t="str">
        <f ca="1">IFERROR(__xludf.DUMMYFUNCTION("""COMPUTED_VALUE"""),"渋谷 雄大")</f>
        <v>渋谷 雄大</v>
      </c>
    </row>
    <row r="72" spans="2:4" ht="13">
      <c r="B72" s="12">
        <f ca="1">IFERROR(__xludf.DUMMYFUNCTION("""COMPUTED_VALUE"""),5516)</f>
        <v>5516</v>
      </c>
      <c r="C72" s="14">
        <f ca="1">IFERROR(__xludf.DUMMYFUNCTION("""COMPUTED_VALUE"""),3)</f>
        <v>3</v>
      </c>
      <c r="D72" s="12" t="str">
        <f ca="1">IFERROR(__xludf.DUMMYFUNCTION("""COMPUTED_VALUE"""),"渋谷 雄大")</f>
        <v>渋谷 雄大</v>
      </c>
    </row>
    <row r="73" spans="2:4" ht="13">
      <c r="B73" s="12">
        <f ca="1">IFERROR(__xludf.DUMMYFUNCTION("""COMPUTED_VALUE"""),5517)</f>
        <v>5517</v>
      </c>
      <c r="C73" s="14">
        <f ca="1">IFERROR(__xludf.DUMMYFUNCTION("""COMPUTED_VALUE"""),6)</f>
        <v>6</v>
      </c>
      <c r="D73" s="12" t="str">
        <f ca="1">IFERROR(__xludf.DUMMYFUNCTION("""COMPUTED_VALUE"""),"渋谷 雄大")</f>
        <v>渋谷 雄大</v>
      </c>
    </row>
    <row r="74" spans="2:4" ht="13">
      <c r="B74" s="12">
        <f ca="1">IFERROR(__xludf.DUMMYFUNCTION("""COMPUTED_VALUE"""),5518)</f>
        <v>5518</v>
      </c>
      <c r="C74" s="14">
        <f ca="1">IFERROR(__xludf.DUMMYFUNCTION("""COMPUTED_VALUE"""),6)</f>
        <v>6</v>
      </c>
      <c r="D74" s="12" t="str">
        <f ca="1">IFERROR(__xludf.DUMMYFUNCTION("""COMPUTED_VALUE"""),"渋谷 雄大")</f>
        <v>渋谷 雄大</v>
      </c>
    </row>
    <row r="75" spans="2:4" ht="13">
      <c r="B75" s="12">
        <f ca="1">IFERROR(__xludf.DUMMYFUNCTION("""COMPUTED_VALUE"""),5519)</f>
        <v>5519</v>
      </c>
      <c r="C75" s="14">
        <f ca="1">IFERROR(__xludf.DUMMYFUNCTION("""COMPUTED_VALUE"""),8)</f>
        <v>8</v>
      </c>
      <c r="D75" s="12" t="str">
        <f ca="1">IFERROR(__xludf.DUMMYFUNCTION("""COMPUTED_VALUE"""),"渋谷 雄大")</f>
        <v>渋谷 雄大</v>
      </c>
    </row>
    <row r="76" spans="2:4" ht="13">
      <c r="B76" s="12">
        <f ca="1">IFERROR(__xludf.DUMMYFUNCTION("""COMPUTED_VALUE"""),5520)</f>
        <v>5520</v>
      </c>
      <c r="C76" s="14">
        <f ca="1">IFERROR(__xludf.DUMMYFUNCTION("""COMPUTED_VALUE"""),1)</f>
        <v>1</v>
      </c>
      <c r="D76" s="12" t="str">
        <f ca="1">IFERROR(__xludf.DUMMYFUNCTION("""COMPUTED_VALUE"""),"渋谷 雄大")</f>
        <v>渋谷 雄大</v>
      </c>
    </row>
    <row r="77" spans="2:4" ht="13">
      <c r="B77" s="12">
        <f ca="1">IFERROR(__xludf.DUMMYFUNCTION("""COMPUTED_VALUE"""),5521)</f>
        <v>5521</v>
      </c>
      <c r="C77" s="14">
        <f ca="1">IFERROR(__xludf.DUMMYFUNCTION("""COMPUTED_VALUE"""),9)</f>
        <v>9</v>
      </c>
      <c r="D77" s="12" t="str">
        <f ca="1">IFERROR(__xludf.DUMMYFUNCTION("""COMPUTED_VALUE"""),"渋谷 雄大")</f>
        <v>渋谷 雄大</v>
      </c>
    </row>
    <row r="78" spans="2:4" ht="13">
      <c r="B78" s="12">
        <f ca="1">IFERROR(__xludf.DUMMYFUNCTION("""COMPUTED_VALUE"""),5522)</f>
        <v>5522</v>
      </c>
      <c r="C78" s="14">
        <f ca="1">IFERROR(__xludf.DUMMYFUNCTION("""COMPUTED_VALUE"""),3)</f>
        <v>3</v>
      </c>
      <c r="D78" s="12" t="str">
        <f ca="1">IFERROR(__xludf.DUMMYFUNCTION("""COMPUTED_VALUE"""),"渋谷 雄大")</f>
        <v>渋谷 雄大</v>
      </c>
    </row>
    <row r="79" spans="2:4" ht="13">
      <c r="B79" s="12">
        <f ca="1">IFERROR(__xludf.DUMMYFUNCTION("""COMPUTED_VALUE"""),5523)</f>
        <v>5523</v>
      </c>
      <c r="C79" s="14">
        <f ca="1">IFERROR(__xludf.DUMMYFUNCTION("""COMPUTED_VALUE"""),0)</f>
        <v>0</v>
      </c>
      <c r="D79" s="12" t="str">
        <f ca="1">IFERROR(__xludf.DUMMYFUNCTION("""COMPUTED_VALUE"""),"渋谷 雄大")</f>
        <v>渋谷 雄大</v>
      </c>
    </row>
    <row r="80" spans="2:4" ht="13">
      <c r="B80" s="12">
        <f ca="1">IFERROR(__xludf.DUMMYFUNCTION("""COMPUTED_VALUE"""),5524)</f>
        <v>5524</v>
      </c>
      <c r="C80" s="14">
        <f ca="1">IFERROR(__xludf.DUMMYFUNCTION("""COMPUTED_VALUE"""),13)</f>
        <v>13</v>
      </c>
      <c r="D80" s="12" t="str">
        <f ca="1">IFERROR(__xludf.DUMMYFUNCTION("""COMPUTED_VALUE"""),"渋谷 雄大")</f>
        <v>渋谷 雄大</v>
      </c>
    </row>
    <row r="81" spans="2:4" ht="13">
      <c r="B81" s="12">
        <f ca="1">IFERROR(__xludf.DUMMYFUNCTION("""COMPUTED_VALUE"""),5525)</f>
        <v>5525</v>
      </c>
      <c r="C81" s="14">
        <f ca="1">IFERROR(__xludf.DUMMYFUNCTION("""COMPUTED_VALUE"""),21)</f>
        <v>21</v>
      </c>
      <c r="D81" s="12" t="str">
        <f ca="1">IFERROR(__xludf.DUMMYFUNCTION("""COMPUTED_VALUE"""),"渋谷 雄大")</f>
        <v>渋谷 雄大</v>
      </c>
    </row>
    <row r="82" spans="2:4" ht="13">
      <c r="B82" s="12">
        <f ca="1">IFERROR(__xludf.DUMMYFUNCTION("""COMPUTED_VALUE"""),5526)</f>
        <v>5526</v>
      </c>
      <c r="C82" s="14">
        <f ca="1">IFERROR(__xludf.DUMMYFUNCTION("""COMPUTED_VALUE"""),6)</f>
        <v>6</v>
      </c>
      <c r="D82" s="12" t="str">
        <f ca="1">IFERROR(__xludf.DUMMYFUNCTION("""COMPUTED_VALUE"""),"渋谷 雄大")</f>
        <v>渋谷 雄大</v>
      </c>
    </row>
    <row r="83" spans="2:4" ht="13">
      <c r="B83" s="12">
        <f ca="1">IFERROR(__xludf.DUMMYFUNCTION("""COMPUTED_VALUE"""),5527)</f>
        <v>5527</v>
      </c>
      <c r="C83" s="14">
        <f ca="1">IFERROR(__xludf.DUMMYFUNCTION("""COMPUTED_VALUE"""),7)</f>
        <v>7</v>
      </c>
      <c r="D83" s="12" t="str">
        <f ca="1">IFERROR(__xludf.DUMMYFUNCTION("""COMPUTED_VALUE"""),"渋谷 雄大")</f>
        <v>渋谷 雄大</v>
      </c>
    </row>
    <row r="84" spans="2:4" ht="13">
      <c r="B84" s="12">
        <f ca="1">IFERROR(__xludf.DUMMYFUNCTION("""COMPUTED_VALUE"""),5528)</f>
        <v>5528</v>
      </c>
      <c r="C84" s="14">
        <f ca="1">IFERROR(__xludf.DUMMYFUNCTION("""COMPUTED_VALUE"""),7)</f>
        <v>7</v>
      </c>
      <c r="D84" s="12" t="str">
        <f ca="1">IFERROR(__xludf.DUMMYFUNCTION("""COMPUTED_VALUE"""),"渋谷 雄大")</f>
        <v>渋谷 雄大</v>
      </c>
    </row>
    <row r="85" spans="2:4" ht="13">
      <c r="B85" s="12">
        <f ca="1">IFERROR(__xludf.DUMMYFUNCTION("""COMPUTED_VALUE"""),5529)</f>
        <v>5529</v>
      </c>
      <c r="C85" s="14">
        <f ca="1">IFERROR(__xludf.DUMMYFUNCTION("""COMPUTED_VALUE"""),18)</f>
        <v>18</v>
      </c>
      <c r="D85" s="12" t="str">
        <f ca="1">IFERROR(__xludf.DUMMYFUNCTION("""COMPUTED_VALUE"""),"渋谷 雄大")</f>
        <v>渋谷 雄大</v>
      </c>
    </row>
    <row r="86" spans="2:4" ht="13">
      <c r="B86" s="12">
        <f ca="1">IFERROR(__xludf.DUMMYFUNCTION("""COMPUTED_VALUE"""),5531)</f>
        <v>5531</v>
      </c>
      <c r="C86" s="14">
        <f ca="1">IFERROR(__xludf.DUMMYFUNCTION("""COMPUTED_VALUE"""),27)</f>
        <v>27</v>
      </c>
      <c r="D86" s="12" t="str">
        <f ca="1">IFERROR(__xludf.DUMMYFUNCTION("""COMPUTED_VALUE"""),"渋谷 雄大")</f>
        <v>渋谷 雄大</v>
      </c>
    </row>
    <row r="87" spans="2:4" ht="13">
      <c r="B87" s="12">
        <f ca="1">IFERROR(__xludf.DUMMYFUNCTION("""COMPUTED_VALUE"""),5532)</f>
        <v>5532</v>
      </c>
      <c r="C87" s="14">
        <f ca="1">IFERROR(__xludf.DUMMYFUNCTION("""COMPUTED_VALUE"""),8)</f>
        <v>8</v>
      </c>
      <c r="D87" s="12" t="str">
        <f ca="1">IFERROR(__xludf.DUMMYFUNCTION("""COMPUTED_VALUE"""),"渋谷 雄大")</f>
        <v>渋谷 雄大</v>
      </c>
    </row>
    <row r="88" spans="2:4" ht="13">
      <c r="B88" s="12">
        <f ca="1">IFERROR(__xludf.DUMMYFUNCTION("""COMPUTED_VALUE"""),5533)</f>
        <v>5533</v>
      </c>
      <c r="C88" s="14">
        <f ca="1">IFERROR(__xludf.DUMMYFUNCTION("""COMPUTED_VALUE"""),21)</f>
        <v>21</v>
      </c>
      <c r="D88" s="12" t="str">
        <f ca="1">IFERROR(__xludf.DUMMYFUNCTION("""COMPUTED_VALUE"""),"渋谷 雄大")</f>
        <v>渋谷 雄大</v>
      </c>
    </row>
    <row r="89" spans="2:4" ht="13">
      <c r="B89" s="12">
        <f ca="1">IFERROR(__xludf.DUMMYFUNCTION("""COMPUTED_VALUE"""),5534)</f>
        <v>5534</v>
      </c>
      <c r="C89" s="14">
        <f ca="1">IFERROR(__xludf.DUMMYFUNCTION("""COMPUTED_VALUE"""),0)</f>
        <v>0</v>
      </c>
      <c r="D89" s="12" t="str">
        <f ca="1">IFERROR(__xludf.DUMMYFUNCTION("""COMPUTED_VALUE"""),"渋谷 雄大")</f>
        <v>渋谷 雄大</v>
      </c>
    </row>
    <row r="90" spans="2:4" ht="13">
      <c r="B90" s="12">
        <f ca="1">IFERROR(__xludf.DUMMYFUNCTION("""COMPUTED_VALUE"""),5535)</f>
        <v>5535</v>
      </c>
      <c r="C90" s="14">
        <f ca="1">IFERROR(__xludf.DUMMYFUNCTION("""COMPUTED_VALUE"""),5)</f>
        <v>5</v>
      </c>
      <c r="D90" s="12" t="str">
        <f ca="1">IFERROR(__xludf.DUMMYFUNCTION("""COMPUTED_VALUE"""),"渋谷 雄大")</f>
        <v>渋谷 雄大</v>
      </c>
    </row>
    <row r="91" spans="2:4" ht="13">
      <c r="B91" s="12">
        <f ca="1">IFERROR(__xludf.DUMMYFUNCTION("""COMPUTED_VALUE"""),5537)</f>
        <v>5537</v>
      </c>
      <c r="C91" s="14">
        <f ca="1">IFERROR(__xludf.DUMMYFUNCTION("""COMPUTED_VALUE"""),8)</f>
        <v>8</v>
      </c>
      <c r="D91" s="12" t="str">
        <f ca="1">IFERROR(__xludf.DUMMYFUNCTION("""COMPUTED_VALUE"""),"渋谷 雄大")</f>
        <v>渋谷 雄大</v>
      </c>
    </row>
    <row r="92" spans="2:4" ht="13">
      <c r="B92" s="12">
        <f ca="1">IFERROR(__xludf.DUMMYFUNCTION("""COMPUTED_VALUE"""),5538)</f>
        <v>5538</v>
      </c>
      <c r="C92" s="14">
        <f ca="1">IFERROR(__xludf.DUMMYFUNCTION("""COMPUTED_VALUE"""),17)</f>
        <v>17</v>
      </c>
      <c r="D92" s="12" t="str">
        <f ca="1">IFERROR(__xludf.DUMMYFUNCTION("""COMPUTED_VALUE"""),"渋谷 雄大")</f>
        <v>渋谷 雄大</v>
      </c>
    </row>
    <row r="93" spans="2:4" ht="13">
      <c r="B93" s="12">
        <f ca="1">IFERROR(__xludf.DUMMYFUNCTION("""COMPUTED_VALUE"""),5539)</f>
        <v>5539</v>
      </c>
      <c r="C93" s="14">
        <f ca="1">IFERROR(__xludf.DUMMYFUNCTION("""COMPUTED_VALUE"""),3)</f>
        <v>3</v>
      </c>
      <c r="D93" s="12" t="str">
        <f ca="1">IFERROR(__xludf.DUMMYFUNCTION("""COMPUTED_VALUE"""),"渋谷 雄大")</f>
        <v>渋谷 雄大</v>
      </c>
    </row>
    <row r="94" spans="2:4" ht="13">
      <c r="B94" s="12">
        <f ca="1">IFERROR(__xludf.DUMMYFUNCTION("""COMPUTED_VALUE"""),5540)</f>
        <v>5540</v>
      </c>
      <c r="C94" s="14">
        <f ca="1">IFERROR(__xludf.DUMMYFUNCTION("""COMPUTED_VALUE"""),16)</f>
        <v>16</v>
      </c>
      <c r="D94" s="12" t="str">
        <f ca="1">IFERROR(__xludf.DUMMYFUNCTION("""COMPUTED_VALUE"""),"渋谷 雄大")</f>
        <v>渋谷 雄大</v>
      </c>
    </row>
    <row r="95" spans="2:4" ht="13">
      <c r="B95" s="12">
        <f ca="1">IFERROR(__xludf.DUMMYFUNCTION("""COMPUTED_VALUE"""),5541)</f>
        <v>5541</v>
      </c>
      <c r="C95" s="14">
        <f ca="1">IFERROR(__xludf.DUMMYFUNCTION("""COMPUTED_VALUE"""),8)</f>
        <v>8</v>
      </c>
      <c r="D95" s="12" t="str">
        <f ca="1">IFERROR(__xludf.DUMMYFUNCTION("""COMPUTED_VALUE"""),"渋谷 雄大")</f>
        <v>渋谷 雄大</v>
      </c>
    </row>
    <row r="96" spans="2:4" ht="13">
      <c r="B96" s="12">
        <f ca="1">IFERROR(__xludf.DUMMYFUNCTION("""COMPUTED_VALUE"""),5542)</f>
        <v>5542</v>
      </c>
      <c r="C96" s="14">
        <f ca="1">IFERROR(__xludf.DUMMYFUNCTION("""COMPUTED_VALUE"""),6)</f>
        <v>6</v>
      </c>
      <c r="D96" s="12" t="str">
        <f ca="1">IFERROR(__xludf.DUMMYFUNCTION("""COMPUTED_VALUE"""),"渋谷 雄大")</f>
        <v>渋谷 雄大</v>
      </c>
    </row>
    <row r="97" spans="2:4" ht="13">
      <c r="B97" s="12">
        <f ca="1">IFERROR(__xludf.DUMMYFUNCTION("""COMPUTED_VALUE"""),5543)</f>
        <v>5543</v>
      </c>
      <c r="C97" s="14">
        <f ca="1">IFERROR(__xludf.DUMMYFUNCTION("""COMPUTED_VALUE"""),42)</f>
        <v>42</v>
      </c>
      <c r="D97" s="12" t="str">
        <f ca="1">IFERROR(__xludf.DUMMYFUNCTION("""COMPUTED_VALUE"""),"渋谷 雄大")</f>
        <v>渋谷 雄大</v>
      </c>
    </row>
    <row r="98" spans="2:4" ht="13">
      <c r="B98" s="12">
        <f ca="1">IFERROR(__xludf.DUMMYFUNCTION("""COMPUTED_VALUE"""),5544)</f>
        <v>5544</v>
      </c>
      <c r="C98" s="14">
        <f ca="1">IFERROR(__xludf.DUMMYFUNCTION("""COMPUTED_VALUE"""),9)</f>
        <v>9</v>
      </c>
      <c r="D98" s="12" t="str">
        <f ca="1">IFERROR(__xludf.DUMMYFUNCTION("""COMPUTED_VALUE"""),"渋谷 雄大")</f>
        <v>渋谷 雄大</v>
      </c>
    </row>
    <row r="99" spans="2:4" ht="13">
      <c r="B99" s="12">
        <f ca="1">IFERROR(__xludf.DUMMYFUNCTION("""COMPUTED_VALUE"""),5545)</f>
        <v>5545</v>
      </c>
      <c r="C99" s="14">
        <f ca="1">IFERROR(__xludf.DUMMYFUNCTION("""COMPUTED_VALUE"""),5)</f>
        <v>5</v>
      </c>
      <c r="D99" s="12" t="str">
        <f ca="1">IFERROR(__xludf.DUMMYFUNCTION("""COMPUTED_VALUE"""),"渋谷 雄大")</f>
        <v>渋谷 雄大</v>
      </c>
    </row>
    <row r="100" spans="2:4" ht="13">
      <c r="B100" s="12">
        <f ca="1">IFERROR(__xludf.DUMMYFUNCTION("""COMPUTED_VALUE"""),5546)</f>
        <v>5546</v>
      </c>
      <c r="C100" s="14">
        <f ca="1">IFERROR(__xludf.DUMMYFUNCTION("""COMPUTED_VALUE"""),14)</f>
        <v>14</v>
      </c>
      <c r="D100" s="12" t="str">
        <f ca="1">IFERROR(__xludf.DUMMYFUNCTION("""COMPUTED_VALUE"""),"渋谷 雄大")</f>
        <v>渋谷 雄大</v>
      </c>
    </row>
    <row r="101" spans="2:4" ht="13">
      <c r="B101" s="12">
        <f ca="1">IFERROR(__xludf.DUMMYFUNCTION("""COMPUTED_VALUE"""),5547)</f>
        <v>5547</v>
      </c>
      <c r="C101" s="14">
        <f ca="1">IFERROR(__xludf.DUMMYFUNCTION("""COMPUTED_VALUE"""),2)</f>
        <v>2</v>
      </c>
      <c r="D101" s="12" t="str">
        <f ca="1">IFERROR(__xludf.DUMMYFUNCTION("""COMPUTED_VALUE"""),"渋谷 雄大")</f>
        <v>渋谷 雄大</v>
      </c>
    </row>
    <row r="102" spans="2:4" ht="13">
      <c r="B102" s="12">
        <f ca="1">IFERROR(__xludf.DUMMYFUNCTION("""COMPUTED_VALUE"""),5548)</f>
        <v>5548</v>
      </c>
      <c r="C102" s="14">
        <f ca="1">IFERROR(__xludf.DUMMYFUNCTION("""COMPUTED_VALUE"""),12)</f>
        <v>12</v>
      </c>
      <c r="D102" s="12" t="str">
        <f ca="1">IFERROR(__xludf.DUMMYFUNCTION("""COMPUTED_VALUE"""),"渋谷 雄大")</f>
        <v>渋谷 雄大</v>
      </c>
    </row>
    <row r="103" spans="2:4" ht="13">
      <c r="B103" s="12">
        <f ca="1">IFERROR(__xludf.DUMMYFUNCTION("""COMPUTED_VALUE"""),5550)</f>
        <v>5550</v>
      </c>
      <c r="C103" s="14">
        <f ca="1">IFERROR(__xludf.DUMMYFUNCTION("""COMPUTED_VALUE"""),4)</f>
        <v>4</v>
      </c>
      <c r="D103" s="12" t="str">
        <f ca="1">IFERROR(__xludf.DUMMYFUNCTION("""COMPUTED_VALUE"""),"老田 純輝")</f>
        <v>老田 純輝</v>
      </c>
    </row>
    <row r="104" spans="2:4" ht="13">
      <c r="B104" s="12">
        <f ca="1">IFERROR(__xludf.DUMMYFUNCTION("""COMPUTED_VALUE"""),5552)</f>
        <v>5552</v>
      </c>
      <c r="C104" s="14">
        <f ca="1">IFERROR(__xludf.DUMMYFUNCTION("""COMPUTED_VALUE"""),4)</f>
        <v>4</v>
      </c>
      <c r="D104" s="12" t="str">
        <f ca="1">IFERROR(__xludf.DUMMYFUNCTION("""COMPUTED_VALUE"""),"老田 純輝")</f>
        <v>老田 純輝</v>
      </c>
    </row>
    <row r="105" spans="2:4" ht="13">
      <c r="B105" s="12">
        <f ca="1">IFERROR(__xludf.DUMMYFUNCTION("""COMPUTED_VALUE"""),5554)</f>
        <v>5554</v>
      </c>
      <c r="C105" s="14">
        <f ca="1">IFERROR(__xludf.DUMMYFUNCTION("""COMPUTED_VALUE"""),16)</f>
        <v>16</v>
      </c>
      <c r="D105" s="12" t="str">
        <f ca="1">IFERROR(__xludf.DUMMYFUNCTION("""COMPUTED_VALUE"""),"老田 純輝")</f>
        <v>老田 純輝</v>
      </c>
    </row>
    <row r="106" spans="2:4" ht="13">
      <c r="B106" s="12">
        <f ca="1">IFERROR(__xludf.DUMMYFUNCTION("""COMPUTED_VALUE"""),5555)</f>
        <v>5555</v>
      </c>
      <c r="C106" s="14">
        <f ca="1">IFERROR(__xludf.DUMMYFUNCTION("""COMPUTED_VALUE"""),12)</f>
        <v>12</v>
      </c>
      <c r="D106" s="12" t="str">
        <f ca="1">IFERROR(__xludf.DUMMYFUNCTION("""COMPUTED_VALUE"""),"老田 純輝")</f>
        <v>老田 純輝</v>
      </c>
    </row>
    <row r="107" spans="2:4" ht="13">
      <c r="B107" s="12">
        <f ca="1">IFERROR(__xludf.DUMMYFUNCTION("""COMPUTED_VALUE"""),5556)</f>
        <v>5556</v>
      </c>
      <c r="C107" s="14">
        <f ca="1">IFERROR(__xludf.DUMMYFUNCTION("""COMPUTED_VALUE"""),0)</f>
        <v>0</v>
      </c>
      <c r="D107" s="12" t="str">
        <f ca="1">IFERROR(__xludf.DUMMYFUNCTION("""COMPUTED_VALUE"""),"老田 純輝")</f>
        <v>老田 純輝</v>
      </c>
    </row>
    <row r="108" spans="2:4" ht="13">
      <c r="B108" s="12">
        <f ca="1">IFERROR(__xludf.DUMMYFUNCTION("""COMPUTED_VALUE"""),5557)</f>
        <v>5557</v>
      </c>
      <c r="C108" s="14">
        <f ca="1">IFERROR(__xludf.DUMMYFUNCTION("""COMPUTED_VALUE"""),29)</f>
        <v>29</v>
      </c>
      <c r="D108" s="12" t="str">
        <f ca="1">IFERROR(__xludf.DUMMYFUNCTION("""COMPUTED_VALUE"""),"老田 純輝")</f>
        <v>老田 純輝</v>
      </c>
    </row>
    <row r="109" spans="2:4" ht="13">
      <c r="B109" s="12">
        <f ca="1">IFERROR(__xludf.DUMMYFUNCTION("""COMPUTED_VALUE"""),5558)</f>
        <v>5558</v>
      </c>
      <c r="C109" s="14">
        <f ca="1">IFERROR(__xludf.DUMMYFUNCTION("""COMPUTED_VALUE"""),13)</f>
        <v>13</v>
      </c>
      <c r="D109" s="12" t="str">
        <f ca="1">IFERROR(__xludf.DUMMYFUNCTION("""COMPUTED_VALUE"""),"老田 純輝")</f>
        <v>老田 純輝</v>
      </c>
    </row>
    <row r="110" spans="2:4" ht="13">
      <c r="B110" s="12">
        <f ca="1">IFERROR(__xludf.DUMMYFUNCTION("""COMPUTED_VALUE"""),5559)</f>
        <v>5559</v>
      </c>
      <c r="C110" s="14">
        <f ca="1">IFERROR(__xludf.DUMMYFUNCTION("""COMPUTED_VALUE"""),1)</f>
        <v>1</v>
      </c>
      <c r="D110" s="12" t="str">
        <f ca="1">IFERROR(__xludf.DUMMYFUNCTION("""COMPUTED_VALUE"""),"老田 純輝")</f>
        <v>老田 純輝</v>
      </c>
    </row>
    <row r="111" spans="2:4" ht="13">
      <c r="B111" s="12">
        <f ca="1">IFERROR(__xludf.DUMMYFUNCTION("""COMPUTED_VALUE"""),5560)</f>
        <v>5560</v>
      </c>
      <c r="C111" s="14">
        <f ca="1">IFERROR(__xludf.DUMMYFUNCTION("""COMPUTED_VALUE"""),0)</f>
        <v>0</v>
      </c>
      <c r="D111" s="12" t="str">
        <f ca="1">IFERROR(__xludf.DUMMYFUNCTION("""COMPUTED_VALUE"""),"老田 純輝")</f>
        <v>老田 純輝</v>
      </c>
    </row>
    <row r="112" spans="2:4" ht="13">
      <c r="B112" s="12">
        <f ca="1">IFERROR(__xludf.DUMMYFUNCTION("""COMPUTED_VALUE"""),5561)</f>
        <v>5561</v>
      </c>
      <c r="C112" s="14">
        <f ca="1">IFERROR(__xludf.DUMMYFUNCTION("""COMPUTED_VALUE"""),0)</f>
        <v>0</v>
      </c>
      <c r="D112" s="12" t="str">
        <f ca="1">IFERROR(__xludf.DUMMYFUNCTION("""COMPUTED_VALUE"""),"老田 純輝")</f>
        <v>老田 純輝</v>
      </c>
    </row>
    <row r="113" spans="2:4" ht="13">
      <c r="B113" s="12">
        <f ca="1">IFERROR(__xludf.DUMMYFUNCTION("""COMPUTED_VALUE"""),5562)</f>
        <v>5562</v>
      </c>
      <c r="C113" s="14">
        <f ca="1">IFERROR(__xludf.DUMMYFUNCTION("""COMPUTED_VALUE"""),3)</f>
        <v>3</v>
      </c>
      <c r="D113" s="12" t="str">
        <f ca="1">IFERROR(__xludf.DUMMYFUNCTION("""COMPUTED_VALUE"""),"老田 純輝")</f>
        <v>老田 純輝</v>
      </c>
    </row>
    <row r="114" spans="2:4" ht="13">
      <c r="B114" s="12">
        <f ca="1">IFERROR(__xludf.DUMMYFUNCTION("""COMPUTED_VALUE"""),5564)</f>
        <v>5564</v>
      </c>
      <c r="C114" s="14">
        <f ca="1">IFERROR(__xludf.DUMMYFUNCTION("""COMPUTED_VALUE"""),63)</f>
        <v>63</v>
      </c>
      <c r="D114" s="12" t="str">
        <f ca="1">IFERROR(__xludf.DUMMYFUNCTION("""COMPUTED_VALUE"""),"奥野 貴大")</f>
        <v>奥野 貴大</v>
      </c>
    </row>
    <row r="115" spans="2:4" ht="13">
      <c r="B115" s="12">
        <f ca="1">IFERROR(__xludf.DUMMYFUNCTION("""COMPUTED_VALUE"""),5565)</f>
        <v>5565</v>
      </c>
      <c r="C115" s="14">
        <f ca="1">IFERROR(__xludf.DUMMYFUNCTION("""COMPUTED_VALUE"""),63)</f>
        <v>63</v>
      </c>
      <c r="D115" s="12" t="str">
        <f ca="1">IFERROR(__xludf.DUMMYFUNCTION("""COMPUTED_VALUE"""),"奥野 貴大")</f>
        <v>奥野 貴大</v>
      </c>
    </row>
    <row r="116" spans="2:4" ht="13">
      <c r="B116" s="12">
        <f ca="1">IFERROR(__xludf.DUMMYFUNCTION("""COMPUTED_VALUE"""),5567)</f>
        <v>5567</v>
      </c>
      <c r="C116" s="14">
        <f ca="1">IFERROR(__xludf.DUMMYFUNCTION("""COMPUTED_VALUE"""),63)</f>
        <v>63</v>
      </c>
      <c r="D116" s="12" t="str">
        <f ca="1">IFERROR(__xludf.DUMMYFUNCTION("""COMPUTED_VALUE"""),"奥野 貴大")</f>
        <v>奥野 貴大</v>
      </c>
    </row>
    <row r="117" spans="2:4" ht="13">
      <c r="B117" s="12">
        <f ca="1">IFERROR(__xludf.DUMMYFUNCTION("""COMPUTED_VALUE"""),5569)</f>
        <v>5569</v>
      </c>
      <c r="C117" s="14">
        <f ca="1">IFERROR(__xludf.DUMMYFUNCTION("""COMPUTED_VALUE"""),63)</f>
        <v>63</v>
      </c>
      <c r="D117" s="12" t="str">
        <f ca="1">IFERROR(__xludf.DUMMYFUNCTION("""COMPUTED_VALUE"""),"奥野 貴大")</f>
        <v>奥野 貴大</v>
      </c>
    </row>
    <row r="118" spans="2:4" ht="13">
      <c r="B118" s="12">
        <f ca="1">IFERROR(__xludf.DUMMYFUNCTION("""COMPUTED_VALUE"""),5570)</f>
        <v>5570</v>
      </c>
      <c r="C118" s="14">
        <f ca="1">IFERROR(__xludf.DUMMYFUNCTION("""COMPUTED_VALUE"""),6)</f>
        <v>6</v>
      </c>
      <c r="D118" s="12" t="str">
        <f ca="1">IFERROR(__xludf.DUMMYFUNCTION("""COMPUTED_VALUE"""),"小川 純")</f>
        <v>小川 純</v>
      </c>
    </row>
    <row r="119" spans="2:4" ht="13">
      <c r="B119" s="12">
        <f ca="1">IFERROR(__xludf.DUMMYFUNCTION("""COMPUTED_VALUE"""),5572)</f>
        <v>5572</v>
      </c>
      <c r="C119" s="14">
        <f ca="1">IFERROR(__xludf.DUMMYFUNCTION("""COMPUTED_VALUE"""),6)</f>
        <v>6</v>
      </c>
      <c r="D119" s="12" t="str">
        <f ca="1">IFERROR(__xludf.DUMMYFUNCTION("""COMPUTED_VALUE"""),"小川 純")</f>
        <v>小川 純</v>
      </c>
    </row>
    <row r="120" spans="2:4" ht="13">
      <c r="B120" s="12">
        <f ca="1">IFERROR(__xludf.DUMMYFUNCTION("""COMPUTED_VALUE"""),5574)</f>
        <v>5574</v>
      </c>
      <c r="C120" s="14">
        <f ca="1">IFERROR(__xludf.DUMMYFUNCTION("""COMPUTED_VALUE"""),3)</f>
        <v>3</v>
      </c>
      <c r="D120" s="12" t="str">
        <f ca="1">IFERROR(__xludf.DUMMYFUNCTION("""COMPUTED_VALUE"""),"小川 純")</f>
        <v>小川 純</v>
      </c>
    </row>
    <row r="121" spans="2:4" ht="13">
      <c r="B121" s="12">
        <f ca="1">IFERROR(__xludf.DUMMYFUNCTION("""COMPUTED_VALUE"""),5575)</f>
        <v>5575</v>
      </c>
      <c r="C121" s="14">
        <f ca="1">IFERROR(__xludf.DUMMYFUNCTION("""COMPUTED_VALUE"""),2)</f>
        <v>2</v>
      </c>
      <c r="D121" s="12" t="str">
        <f ca="1">IFERROR(__xludf.DUMMYFUNCTION("""COMPUTED_VALUE"""),"小川 純")</f>
        <v>小川 純</v>
      </c>
    </row>
    <row r="122" spans="2:4" ht="13">
      <c r="B122" s="12">
        <f ca="1">IFERROR(__xludf.DUMMYFUNCTION("""COMPUTED_VALUE"""),5576)</f>
        <v>5576</v>
      </c>
      <c r="C122" s="14">
        <f ca="1">IFERROR(__xludf.DUMMYFUNCTION("""COMPUTED_VALUE"""),1)</f>
        <v>1</v>
      </c>
      <c r="D122" s="12" t="str">
        <f ca="1">IFERROR(__xludf.DUMMYFUNCTION("""COMPUTED_VALUE"""),"小川 純")</f>
        <v>小川 純</v>
      </c>
    </row>
    <row r="123" spans="2:4" ht="13">
      <c r="B123" s="12">
        <f ca="1">IFERROR(__xludf.DUMMYFUNCTION("""COMPUTED_VALUE"""),5579)</f>
        <v>5579</v>
      </c>
      <c r="C123" s="14">
        <f ca="1">IFERROR(__xludf.DUMMYFUNCTION("""COMPUTED_VALUE"""),2)</f>
        <v>2</v>
      </c>
      <c r="D123" s="12" t="str">
        <f ca="1">IFERROR(__xludf.DUMMYFUNCTION("""COMPUTED_VALUE"""),"小川 純")</f>
        <v>小川 純</v>
      </c>
    </row>
    <row r="124" spans="2:4" ht="13">
      <c r="B124" s="12">
        <f ca="1">IFERROR(__xludf.DUMMYFUNCTION("""COMPUTED_VALUE"""),5580)</f>
        <v>5580</v>
      </c>
      <c r="C124" s="14">
        <f ca="1">IFERROR(__xludf.DUMMYFUNCTION("""COMPUTED_VALUE"""),6)</f>
        <v>6</v>
      </c>
      <c r="D124" s="12" t="str">
        <f ca="1">IFERROR(__xludf.DUMMYFUNCTION("""COMPUTED_VALUE"""),"小川 純")</f>
        <v>小川 純</v>
      </c>
    </row>
    <row r="125" spans="2:4" ht="13">
      <c r="B125" s="12">
        <f ca="1">IFERROR(__xludf.DUMMYFUNCTION("""COMPUTED_VALUE"""),5581)</f>
        <v>5581</v>
      </c>
      <c r="C125" s="14">
        <f ca="1">IFERROR(__xludf.DUMMYFUNCTION("""COMPUTED_VALUE"""),9)</f>
        <v>9</v>
      </c>
      <c r="D125" s="12" t="str">
        <f ca="1">IFERROR(__xludf.DUMMYFUNCTION("""COMPUTED_VALUE"""),"小川 純")</f>
        <v>小川 純</v>
      </c>
    </row>
    <row r="126" spans="2:4" ht="13">
      <c r="B126" s="12">
        <f ca="1">IFERROR(__xludf.DUMMYFUNCTION("""COMPUTED_VALUE"""),5582)</f>
        <v>5582</v>
      </c>
      <c r="C126" s="14">
        <f ca="1">IFERROR(__xludf.DUMMYFUNCTION("""COMPUTED_VALUE"""),0)</f>
        <v>0</v>
      </c>
      <c r="D126" s="12" t="str">
        <f ca="1">IFERROR(__xludf.DUMMYFUNCTION("""COMPUTED_VALUE"""),"渋谷 雄大")</f>
        <v>渋谷 雄大</v>
      </c>
    </row>
    <row r="127" spans="2:4" ht="13">
      <c r="B127" s="12">
        <f ca="1">IFERROR(__xludf.DUMMYFUNCTION("""COMPUTED_VALUE"""),5585)</f>
        <v>5585</v>
      </c>
      <c r="C127" s="14">
        <f ca="1">IFERROR(__xludf.DUMMYFUNCTION("""COMPUTED_VALUE"""),9)</f>
        <v>9</v>
      </c>
      <c r="D127" s="12" t="str">
        <f ca="1">IFERROR(__xludf.DUMMYFUNCTION("""COMPUTED_VALUE"""),"渋谷 雄大")</f>
        <v>渋谷 雄大</v>
      </c>
    </row>
    <row r="128" spans="2:4" ht="13">
      <c r="B128" s="12">
        <f ca="1">IFERROR(__xludf.DUMMYFUNCTION("""COMPUTED_VALUE"""),5586)</f>
        <v>5586</v>
      </c>
      <c r="C128" s="14">
        <f ca="1">IFERROR(__xludf.DUMMYFUNCTION("""COMPUTED_VALUE"""),6)</f>
        <v>6</v>
      </c>
      <c r="D128" s="12" t="str">
        <f ca="1">IFERROR(__xludf.DUMMYFUNCTION("""COMPUTED_VALUE"""),"渋谷 雄大")</f>
        <v>渋谷 雄大</v>
      </c>
    </row>
    <row r="129" spans="2:4" ht="13">
      <c r="B129" s="12">
        <f ca="1">IFERROR(__xludf.DUMMYFUNCTION("""COMPUTED_VALUE"""),5587)</f>
        <v>5587</v>
      </c>
      <c r="C129" s="14">
        <f ca="1">IFERROR(__xludf.DUMMYFUNCTION("""COMPUTED_VALUE"""),7)</f>
        <v>7</v>
      </c>
      <c r="D129" s="12" t="str">
        <f ca="1">IFERROR(__xludf.DUMMYFUNCTION("""COMPUTED_VALUE"""),"渋谷 雄大")</f>
        <v>渋谷 雄大</v>
      </c>
    </row>
    <row r="130" spans="2:4" ht="13">
      <c r="B130" s="12">
        <f ca="1">IFERROR(__xludf.DUMMYFUNCTION("""COMPUTED_VALUE"""),5589)</f>
        <v>5589</v>
      </c>
      <c r="C130" s="14">
        <f ca="1">IFERROR(__xludf.DUMMYFUNCTION("""COMPUTED_VALUE"""),1)</f>
        <v>1</v>
      </c>
      <c r="D130" s="12" t="str">
        <f ca="1">IFERROR(__xludf.DUMMYFUNCTION("""COMPUTED_VALUE"""),"奥野 貴大")</f>
        <v>奥野 貴大</v>
      </c>
    </row>
    <row r="131" spans="2:4" ht="13">
      <c r="B131" s="12">
        <f ca="1">IFERROR(__xludf.DUMMYFUNCTION("""COMPUTED_VALUE"""),5590)</f>
        <v>5590</v>
      </c>
      <c r="C131" s="14">
        <f ca="1">IFERROR(__xludf.DUMMYFUNCTION("""COMPUTED_VALUE"""),10)</f>
        <v>10</v>
      </c>
      <c r="D131" s="12" t="str">
        <f ca="1">IFERROR(__xludf.DUMMYFUNCTION("""COMPUTED_VALUE"""),"渋谷 雄大")</f>
        <v>渋谷 雄大</v>
      </c>
    </row>
    <row r="132" spans="2:4" ht="13">
      <c r="B132" s="12">
        <f ca="1">IFERROR(__xludf.DUMMYFUNCTION("""COMPUTED_VALUE"""),5592)</f>
        <v>5592</v>
      </c>
      <c r="C132" s="14">
        <f ca="1">IFERROR(__xludf.DUMMYFUNCTION("""COMPUTED_VALUE"""),1)</f>
        <v>1</v>
      </c>
      <c r="D132" s="12" t="str">
        <f ca="1">IFERROR(__xludf.DUMMYFUNCTION("""COMPUTED_VALUE"""),"渋谷 雄大")</f>
        <v>渋谷 雄大</v>
      </c>
    </row>
    <row r="133" spans="2:4" ht="13">
      <c r="B133" s="12">
        <f ca="1">IFERROR(__xludf.DUMMYFUNCTION("""COMPUTED_VALUE"""),5593)</f>
        <v>5593</v>
      </c>
      <c r="C133" s="14">
        <f ca="1">IFERROR(__xludf.DUMMYFUNCTION("""COMPUTED_VALUE"""),5)</f>
        <v>5</v>
      </c>
      <c r="D133" s="12" t="str">
        <f ca="1">IFERROR(__xludf.DUMMYFUNCTION("""COMPUTED_VALUE"""),"奥野 貴大")</f>
        <v>奥野 貴大</v>
      </c>
    </row>
    <row r="134" spans="2:4" ht="13">
      <c r="B134" s="12">
        <f ca="1">IFERROR(__xludf.DUMMYFUNCTION("""COMPUTED_VALUE"""),5595)</f>
        <v>5595</v>
      </c>
      <c r="C134" s="14">
        <f ca="1">IFERROR(__xludf.DUMMYFUNCTION("""COMPUTED_VALUE"""),6)</f>
        <v>6</v>
      </c>
      <c r="D134" s="12" t="str">
        <f ca="1">IFERROR(__xludf.DUMMYFUNCTION("""COMPUTED_VALUE"""),"小川 純")</f>
        <v>小川 純</v>
      </c>
    </row>
    <row r="135" spans="2:4" ht="13">
      <c r="B135" s="12">
        <f ca="1">IFERROR(__xludf.DUMMYFUNCTION("""COMPUTED_VALUE"""),5596)</f>
        <v>5596</v>
      </c>
      <c r="C135" s="14">
        <f ca="1">IFERROR(__xludf.DUMMYFUNCTION("""COMPUTED_VALUE"""),0)</f>
        <v>0</v>
      </c>
      <c r="D135" s="12" t="str">
        <f ca="1">IFERROR(__xludf.DUMMYFUNCTION("""COMPUTED_VALUE"""),"奥野 貴大")</f>
        <v>奥野 貴大</v>
      </c>
    </row>
    <row r="136" spans="2:4" ht="13">
      <c r="B136" s="12">
        <f ca="1">IFERROR(__xludf.DUMMYFUNCTION("""COMPUTED_VALUE"""),5597)</f>
        <v>5597</v>
      </c>
      <c r="C136" s="14">
        <f ca="1">IFERROR(__xludf.DUMMYFUNCTION("""COMPUTED_VALUE"""),9)</f>
        <v>9</v>
      </c>
      <c r="D136" s="12" t="str">
        <f ca="1">IFERROR(__xludf.DUMMYFUNCTION("""COMPUTED_VALUE"""),"渋谷 雄大")</f>
        <v>渋谷 雄大</v>
      </c>
    </row>
    <row r="137" spans="2:4" ht="13">
      <c r="B137" s="12">
        <f ca="1">IFERROR(__xludf.DUMMYFUNCTION("""COMPUTED_VALUE"""),5598)</f>
        <v>5598</v>
      </c>
      <c r="C137" s="14">
        <f ca="1">IFERROR(__xludf.DUMMYFUNCTION("""COMPUTED_VALUE"""),11)</f>
        <v>11</v>
      </c>
      <c r="D137" s="12" t="str">
        <f ca="1">IFERROR(__xludf.DUMMYFUNCTION("""COMPUTED_VALUE"""),"渋谷 雄大")</f>
        <v>渋谷 雄大</v>
      </c>
    </row>
    <row r="138" spans="2:4" ht="13">
      <c r="B138" s="12">
        <f ca="1">IFERROR(__xludf.DUMMYFUNCTION("""COMPUTED_VALUE"""),5600)</f>
        <v>5600</v>
      </c>
      <c r="C138" s="14">
        <f ca="1">IFERROR(__xludf.DUMMYFUNCTION("""COMPUTED_VALUE"""),0)</f>
        <v>0</v>
      </c>
      <c r="D138" s="12" t="str">
        <f ca="1">IFERROR(__xludf.DUMMYFUNCTION("""COMPUTED_VALUE"""),"渋谷 雄大")</f>
        <v>渋谷 雄大</v>
      </c>
    </row>
    <row r="139" spans="2:4" ht="13">
      <c r="B139" s="12">
        <f ca="1">IFERROR(__xludf.DUMMYFUNCTION("""COMPUTED_VALUE"""),5601)</f>
        <v>5601</v>
      </c>
      <c r="C139" s="14">
        <f ca="1">IFERROR(__xludf.DUMMYFUNCTION("""COMPUTED_VALUE"""),8)</f>
        <v>8</v>
      </c>
      <c r="D139" s="12" t="str">
        <f ca="1">IFERROR(__xludf.DUMMYFUNCTION("""COMPUTED_VALUE"""),"小川 純")</f>
        <v>小川 純</v>
      </c>
    </row>
    <row r="140" spans="2:4" ht="13">
      <c r="B140" s="12">
        <f ca="1">IFERROR(__xludf.DUMMYFUNCTION("""COMPUTED_VALUE"""),5603)</f>
        <v>5603</v>
      </c>
      <c r="C140" s="14">
        <f ca="1">IFERROR(__xludf.DUMMYFUNCTION("""COMPUTED_VALUE"""),13)</f>
        <v>13</v>
      </c>
      <c r="D140" s="12" t="str">
        <f ca="1">IFERROR(__xludf.DUMMYFUNCTION("""COMPUTED_VALUE"""),"渋谷 雄大")</f>
        <v>渋谷 雄大</v>
      </c>
    </row>
    <row r="141" spans="2:4" ht="13">
      <c r="B141" s="12">
        <f ca="1">IFERROR(__xludf.DUMMYFUNCTION("""COMPUTED_VALUE"""),5604)</f>
        <v>5604</v>
      </c>
      <c r="C141" s="14">
        <f ca="1">IFERROR(__xludf.DUMMYFUNCTION("""COMPUTED_VALUE"""),7)</f>
        <v>7</v>
      </c>
      <c r="D141" s="12" t="str">
        <f ca="1">IFERROR(__xludf.DUMMYFUNCTION("""COMPUTED_VALUE"""),"奥野 貴大")</f>
        <v>奥野 貴大</v>
      </c>
    </row>
    <row r="142" spans="2:4" ht="13">
      <c r="B142" s="12">
        <f ca="1">IFERROR(__xludf.DUMMYFUNCTION("""COMPUTED_VALUE"""),5605)</f>
        <v>5605</v>
      </c>
      <c r="C142" s="14">
        <f ca="1">IFERROR(__xludf.DUMMYFUNCTION("""COMPUTED_VALUE"""),21)</f>
        <v>21</v>
      </c>
      <c r="D142" s="12" t="str">
        <f ca="1">IFERROR(__xludf.DUMMYFUNCTION("""COMPUTED_VALUE"""),"渋谷 雄大")</f>
        <v>渋谷 雄大</v>
      </c>
    </row>
    <row r="143" spans="2:4" ht="13">
      <c r="B143" s="12">
        <f ca="1">IFERROR(__xludf.DUMMYFUNCTION("""COMPUTED_VALUE"""),5606)</f>
        <v>5606</v>
      </c>
      <c r="C143" s="14">
        <f ca="1">IFERROR(__xludf.DUMMYFUNCTION("""COMPUTED_VALUE"""),14)</f>
        <v>14</v>
      </c>
      <c r="D143" s="12" t="str">
        <f ca="1">IFERROR(__xludf.DUMMYFUNCTION("""COMPUTED_VALUE"""),"渋谷 雄大")</f>
        <v>渋谷 雄大</v>
      </c>
    </row>
    <row r="144" spans="2:4" ht="13">
      <c r="B144" s="12">
        <f ca="1">IFERROR(__xludf.DUMMYFUNCTION("""COMPUTED_VALUE"""),5607)</f>
        <v>5607</v>
      </c>
      <c r="C144" s="14">
        <f ca="1">IFERROR(__xludf.DUMMYFUNCTION("""COMPUTED_VALUE"""),1)</f>
        <v>1</v>
      </c>
      <c r="D144" s="12" t="str">
        <f ca="1">IFERROR(__xludf.DUMMYFUNCTION("""COMPUTED_VALUE"""),"小川 純")</f>
        <v>小川 純</v>
      </c>
    </row>
    <row r="145" spans="2:4" ht="13">
      <c r="B145" s="12">
        <f ca="1">IFERROR(__xludf.DUMMYFUNCTION("""COMPUTED_VALUE"""),5608)</f>
        <v>5608</v>
      </c>
      <c r="C145" s="14">
        <f ca="1">IFERROR(__xludf.DUMMYFUNCTION("""COMPUTED_VALUE"""),2)</f>
        <v>2</v>
      </c>
      <c r="D145" s="12" t="str">
        <f ca="1">IFERROR(__xludf.DUMMYFUNCTION("""COMPUTED_VALUE"""),"渋谷 雄大")</f>
        <v>渋谷 雄大</v>
      </c>
    </row>
    <row r="146" spans="2:4" ht="13">
      <c r="B146" s="12">
        <f ca="1">IFERROR(__xludf.DUMMYFUNCTION("""COMPUTED_VALUE"""),5609)</f>
        <v>5609</v>
      </c>
      <c r="C146" s="14">
        <f ca="1">IFERROR(__xludf.DUMMYFUNCTION("""COMPUTED_VALUE"""),12)</f>
        <v>12</v>
      </c>
      <c r="D146" s="12" t="str">
        <f ca="1">IFERROR(__xludf.DUMMYFUNCTION("""COMPUTED_VALUE"""),"渋谷 雄大")</f>
        <v>渋谷 雄大</v>
      </c>
    </row>
    <row r="147" spans="2:4" ht="13">
      <c r="B147" s="12">
        <f ca="1">IFERROR(__xludf.DUMMYFUNCTION("""COMPUTED_VALUE"""),5610)</f>
        <v>5610</v>
      </c>
      <c r="C147" s="14">
        <f ca="1">IFERROR(__xludf.DUMMYFUNCTION("""COMPUTED_VALUE"""),2)</f>
        <v>2</v>
      </c>
      <c r="D147" s="12" t="str">
        <f ca="1">IFERROR(__xludf.DUMMYFUNCTION("""COMPUTED_VALUE"""),"渋谷 雄大")</f>
        <v>渋谷 雄大</v>
      </c>
    </row>
    <row r="148" spans="2:4" ht="13">
      <c r="B148" s="12">
        <f ca="1">IFERROR(__xludf.DUMMYFUNCTION("""COMPUTED_VALUE"""),5612)</f>
        <v>5612</v>
      </c>
      <c r="C148" s="14">
        <f ca="1">IFERROR(__xludf.DUMMYFUNCTION("""COMPUTED_VALUE"""),0)</f>
        <v>0</v>
      </c>
      <c r="D148" s="12" t="str">
        <f ca="1">IFERROR(__xludf.DUMMYFUNCTION("""COMPUTED_VALUE"""),"奥野 貴大")</f>
        <v>奥野 貴大</v>
      </c>
    </row>
    <row r="149" spans="2:4" ht="13">
      <c r="B149" s="12">
        <f ca="1">IFERROR(__xludf.DUMMYFUNCTION("""COMPUTED_VALUE"""),5613)</f>
        <v>5613</v>
      </c>
      <c r="C149" s="14">
        <f ca="1">IFERROR(__xludf.DUMMYFUNCTION("""COMPUTED_VALUE"""),23)</f>
        <v>23</v>
      </c>
      <c r="D149" s="12" t="str">
        <f ca="1">IFERROR(__xludf.DUMMYFUNCTION("""COMPUTED_VALUE"""),"渋谷 雄大")</f>
        <v>渋谷 雄大</v>
      </c>
    </row>
    <row r="150" spans="2:4" ht="13">
      <c r="B150" s="12">
        <f ca="1">IFERROR(__xludf.DUMMYFUNCTION("""COMPUTED_VALUE"""),5615)</f>
        <v>5615</v>
      </c>
      <c r="C150" s="14">
        <f ca="1">IFERROR(__xludf.DUMMYFUNCTION("""COMPUTED_VALUE"""),42)</f>
        <v>42</v>
      </c>
      <c r="D150" s="12" t="str">
        <f ca="1">IFERROR(__xludf.DUMMYFUNCTION("""COMPUTED_VALUE"""),"渋谷 雄大")</f>
        <v>渋谷 雄大</v>
      </c>
    </row>
    <row r="151" spans="2:4" ht="13">
      <c r="B151" s="12">
        <f ca="1">IFERROR(__xludf.DUMMYFUNCTION("""COMPUTED_VALUE"""),5616)</f>
        <v>5616</v>
      </c>
      <c r="C151" s="14">
        <f ca="1">IFERROR(__xludf.DUMMYFUNCTION("""COMPUTED_VALUE"""),7)</f>
        <v>7</v>
      </c>
      <c r="D151" s="12" t="str">
        <f ca="1">IFERROR(__xludf.DUMMYFUNCTION("""COMPUTED_VALUE"""),"奥野 貴大")</f>
        <v>奥野 貴大</v>
      </c>
    </row>
    <row r="152" spans="2:4" ht="13">
      <c r="B152" s="12">
        <f ca="1">IFERROR(__xludf.DUMMYFUNCTION("""COMPUTED_VALUE"""),5617)</f>
        <v>5617</v>
      </c>
      <c r="C152" s="14">
        <f ca="1">IFERROR(__xludf.DUMMYFUNCTION("""COMPUTED_VALUE"""),3)</f>
        <v>3</v>
      </c>
      <c r="D152" s="12" t="str">
        <f ca="1">IFERROR(__xludf.DUMMYFUNCTION("""COMPUTED_VALUE"""),"奥野 貴大")</f>
        <v>奥野 貴大</v>
      </c>
    </row>
    <row r="153" spans="2:4" ht="13">
      <c r="B153" s="12">
        <f ca="1">IFERROR(__xludf.DUMMYFUNCTION("""COMPUTED_VALUE"""),5618)</f>
        <v>5618</v>
      </c>
      <c r="C153" s="14">
        <f ca="1">IFERROR(__xludf.DUMMYFUNCTION("""COMPUTED_VALUE"""),0)</f>
        <v>0</v>
      </c>
      <c r="D153" s="12" t="str">
        <f ca="1">IFERROR(__xludf.DUMMYFUNCTION("""COMPUTED_VALUE"""),"渋谷 雄大")</f>
        <v>渋谷 雄大</v>
      </c>
    </row>
    <row r="154" spans="2:4" ht="13">
      <c r="B154" s="12">
        <f ca="1">IFERROR(__xludf.DUMMYFUNCTION("""COMPUTED_VALUE"""),5619)</f>
        <v>5619</v>
      </c>
      <c r="C154" s="14">
        <f ca="1">IFERROR(__xludf.DUMMYFUNCTION("""COMPUTED_VALUE"""),0)</f>
        <v>0</v>
      </c>
      <c r="D154" s="12" t="str">
        <f ca="1">IFERROR(__xludf.DUMMYFUNCTION("""COMPUTED_VALUE"""),"老田 純輝")</f>
        <v>老田 純輝</v>
      </c>
    </row>
    <row r="155" spans="2:4" ht="13">
      <c r="B155" s="12">
        <f ca="1">IFERROR(__xludf.DUMMYFUNCTION("""COMPUTED_VALUE"""),5620)</f>
        <v>5620</v>
      </c>
      <c r="C155" s="14">
        <f ca="1">IFERROR(__xludf.DUMMYFUNCTION("""COMPUTED_VALUE"""),4)</f>
        <v>4</v>
      </c>
      <c r="D155" s="12" t="str">
        <f ca="1">IFERROR(__xludf.DUMMYFUNCTION("""COMPUTED_VALUE"""),"奥野 貴大")</f>
        <v>奥野 貴大</v>
      </c>
    </row>
    <row r="156" spans="2:4" ht="13">
      <c r="B156" s="12">
        <f ca="1">IFERROR(__xludf.DUMMYFUNCTION("""COMPUTED_VALUE"""),5621)</f>
        <v>5621</v>
      </c>
      <c r="C156" s="14">
        <f ca="1">IFERROR(__xludf.DUMMYFUNCTION("""COMPUTED_VALUE"""),2)</f>
        <v>2</v>
      </c>
      <c r="D156" s="12" t="str">
        <f ca="1">IFERROR(__xludf.DUMMYFUNCTION("""COMPUTED_VALUE"""),"小川 純")</f>
        <v>小川 純</v>
      </c>
    </row>
    <row r="157" spans="2:4" ht="13">
      <c r="B157" s="12">
        <f ca="1">IFERROR(__xludf.DUMMYFUNCTION("""COMPUTED_VALUE"""),5729)</f>
        <v>5729</v>
      </c>
      <c r="C157" s="14">
        <f ca="1">IFERROR(__xludf.DUMMYFUNCTION("""COMPUTED_VALUE"""),10)</f>
        <v>10</v>
      </c>
      <c r="D157" s="12" t="str">
        <f ca="1">IFERROR(__xludf.DUMMYFUNCTION("""COMPUTED_VALUE"""),"堀越 駿")</f>
        <v>堀越 駿</v>
      </c>
    </row>
    <row r="158" spans="2:4" ht="13">
      <c r="B158" s="12">
        <f ca="1">IFERROR(__xludf.DUMMYFUNCTION("""COMPUTED_VALUE"""),7023)</f>
        <v>7023</v>
      </c>
      <c r="C158" s="14">
        <f ca="1">IFERROR(__xludf.DUMMYFUNCTION("""COMPUTED_VALUE"""),0)</f>
        <v>0</v>
      </c>
      <c r="D158" s="12" t="str">
        <f ca="1">IFERROR(__xludf.DUMMYFUNCTION("""COMPUTED_VALUE"""),"川島 幹也")</f>
        <v>川島 幹也</v>
      </c>
    </row>
    <row r="159" spans="2:4" ht="13">
      <c r="B159" s="12">
        <f ca="1">IFERROR(__xludf.DUMMYFUNCTION("""COMPUTED_VALUE"""),7028)</f>
        <v>7028</v>
      </c>
      <c r="C159" s="14">
        <f ca="1">IFERROR(__xludf.DUMMYFUNCTION("""COMPUTED_VALUE"""),2)</f>
        <v>2</v>
      </c>
      <c r="D159" s="12" t="str">
        <f ca="1">IFERROR(__xludf.DUMMYFUNCTION("""COMPUTED_VALUE"""),"桐山 勝気")</f>
        <v>桐山 勝気</v>
      </c>
    </row>
    <row r="160" spans="2:4" ht="13">
      <c r="B160" s="12">
        <f ca="1">IFERROR(__xludf.DUMMYFUNCTION("""COMPUTED_VALUE"""),7044)</f>
        <v>7044</v>
      </c>
      <c r="C160" s="14">
        <f ca="1">IFERROR(__xludf.DUMMYFUNCTION("""COMPUTED_VALUE"""),1)</f>
        <v>1</v>
      </c>
      <c r="D160" s="12" t="str">
        <f ca="1">IFERROR(__xludf.DUMMYFUNCTION("""COMPUTED_VALUE"""),"松尾 尚樹")</f>
        <v>松尾 尚樹</v>
      </c>
    </row>
    <row r="161" spans="2:4" ht="13">
      <c r="B161" s="12">
        <f ca="1">IFERROR(__xludf.DUMMYFUNCTION("""COMPUTED_VALUE"""),7046)</f>
        <v>7046</v>
      </c>
      <c r="C161" s="14">
        <f ca="1">IFERROR(__xludf.DUMMYFUNCTION("""COMPUTED_VALUE"""),1)</f>
        <v>1</v>
      </c>
      <c r="D161" s="12" t="str">
        <f ca="1">IFERROR(__xludf.DUMMYFUNCTION("""COMPUTED_VALUE"""),"長谷川 陸朗")</f>
        <v>長谷川 陸朗</v>
      </c>
    </row>
    <row r="162" spans="2:4" ht="13">
      <c r="B162" s="12">
        <f ca="1">IFERROR(__xludf.DUMMYFUNCTION("""COMPUTED_VALUE"""),7057)</f>
        <v>7057</v>
      </c>
      <c r="C162" s="14">
        <f ca="1">IFERROR(__xludf.DUMMYFUNCTION("""COMPUTED_VALUE"""),2)</f>
        <v>2</v>
      </c>
      <c r="D162" s="12" t="str">
        <f ca="1">IFERROR(__xludf.DUMMYFUNCTION("""COMPUTED_VALUE"""),"菅野 ぎんが")</f>
        <v>菅野 ぎんが</v>
      </c>
    </row>
    <row r="163" spans="2:4" ht="13">
      <c r="B163" s="12">
        <f ca="1">IFERROR(__xludf.DUMMYFUNCTION("""COMPUTED_VALUE"""),7068)</f>
        <v>7068</v>
      </c>
      <c r="C163" s="14">
        <f ca="1">IFERROR(__xludf.DUMMYFUNCTION("""COMPUTED_VALUE"""),15)</f>
        <v>15</v>
      </c>
      <c r="D163" s="12" t="str">
        <f ca="1">IFERROR(__xludf.DUMMYFUNCTION("""COMPUTED_VALUE"""),"成嶋 夏未")</f>
        <v>成嶋 夏未</v>
      </c>
    </row>
    <row r="164" spans="2:4" ht="13">
      <c r="B164" s="12">
        <f ca="1">IFERROR(__xludf.DUMMYFUNCTION("""COMPUTED_VALUE"""),7083)</f>
        <v>7083</v>
      </c>
      <c r="C164" s="14">
        <f ca="1">IFERROR(__xludf.DUMMYFUNCTION("""COMPUTED_VALUE"""),0)</f>
        <v>0</v>
      </c>
      <c r="D164" s="12" t="str">
        <f ca="1">IFERROR(__xludf.DUMMYFUNCTION("""COMPUTED_VALUE"""),"成嶋 夏未")</f>
        <v>成嶋 夏未</v>
      </c>
    </row>
    <row r="165" spans="2:4" ht="13">
      <c r="B165" s="12">
        <f ca="1">IFERROR(__xludf.DUMMYFUNCTION("""COMPUTED_VALUE"""),7088)</f>
        <v>7088</v>
      </c>
      <c r="C165" s="14">
        <f ca="1">IFERROR(__xludf.DUMMYFUNCTION("""COMPUTED_VALUE"""),1)</f>
        <v>1</v>
      </c>
      <c r="D165" s="12" t="str">
        <f ca="1">IFERROR(__xludf.DUMMYFUNCTION("""COMPUTED_VALUE"""),"長谷川 陸朗")</f>
        <v>長谷川 陸朗</v>
      </c>
    </row>
    <row r="166" spans="2:4" ht="13">
      <c r="B166" s="12">
        <f ca="1">IFERROR(__xludf.DUMMYFUNCTION("""COMPUTED_VALUE"""),7118)</f>
        <v>7118</v>
      </c>
      <c r="C166" s="14">
        <f ca="1">IFERROR(__xludf.DUMMYFUNCTION("""COMPUTED_VALUE"""),6)</f>
        <v>6</v>
      </c>
      <c r="D166" s="12" t="str">
        <f ca="1">IFERROR(__xludf.DUMMYFUNCTION("""COMPUTED_VALUE"""),"稲場 勇介")</f>
        <v>稲場 勇介</v>
      </c>
    </row>
    <row r="167" spans="2:4" ht="13">
      <c r="B167" s="12">
        <f ca="1">IFERROR(__xludf.DUMMYFUNCTION("""COMPUTED_VALUE"""),7143)</f>
        <v>7143</v>
      </c>
      <c r="C167" s="14">
        <f ca="1">IFERROR(__xludf.DUMMYFUNCTION("""COMPUTED_VALUE"""),6)</f>
        <v>6</v>
      </c>
      <c r="D167" s="12" t="str">
        <f ca="1">IFERROR(__xludf.DUMMYFUNCTION("""COMPUTED_VALUE"""),"菅野 ぎんが")</f>
        <v>菅野 ぎんが</v>
      </c>
    </row>
    <row r="168" spans="2:4" ht="13">
      <c r="B168" s="12">
        <f ca="1">IFERROR(__xludf.DUMMYFUNCTION("""COMPUTED_VALUE"""),7156)</f>
        <v>7156</v>
      </c>
      <c r="C168" s="14">
        <f ca="1">IFERROR(__xludf.DUMMYFUNCTION("""COMPUTED_VALUE"""),3)</f>
        <v>3</v>
      </c>
      <c r="D168" s="12" t="str">
        <f ca="1">IFERROR(__xludf.DUMMYFUNCTION("""COMPUTED_VALUE"""),"長谷川 陸朗")</f>
        <v>長谷川 陸朗</v>
      </c>
    </row>
    <row r="169" spans="2:4" ht="13">
      <c r="B169" s="12">
        <f ca="1">IFERROR(__xludf.DUMMYFUNCTION("""COMPUTED_VALUE"""),7163)</f>
        <v>7163</v>
      </c>
      <c r="C169" s="14">
        <f ca="1">IFERROR(__xludf.DUMMYFUNCTION("""COMPUTED_VALUE"""),1)</f>
        <v>1</v>
      </c>
      <c r="D169" s="12" t="str">
        <f ca="1">IFERROR(__xludf.DUMMYFUNCTION("""COMPUTED_VALUE"""),"成嶋 夏未")</f>
        <v>成嶋 夏未</v>
      </c>
    </row>
    <row r="170" spans="2:4" ht="13">
      <c r="B170" s="12">
        <f ca="1">IFERROR(__xludf.DUMMYFUNCTION("""COMPUTED_VALUE"""),7169)</f>
        <v>7169</v>
      </c>
      <c r="C170" s="14">
        <f ca="1">IFERROR(__xludf.DUMMYFUNCTION("""COMPUTED_VALUE"""),2)</f>
        <v>2</v>
      </c>
      <c r="D170" s="12" t="str">
        <f ca="1">IFERROR(__xludf.DUMMYFUNCTION("""COMPUTED_VALUE"""),"菅野 ぎんが")</f>
        <v>菅野 ぎんが</v>
      </c>
    </row>
    <row r="171" spans="2:4" ht="13">
      <c r="B171" s="12">
        <f ca="1">IFERROR(__xludf.DUMMYFUNCTION("""COMPUTED_VALUE"""),7177)</f>
        <v>7177</v>
      </c>
      <c r="C171" s="14">
        <f ca="1">IFERROR(__xludf.DUMMYFUNCTION("""COMPUTED_VALUE"""),0)</f>
        <v>0</v>
      </c>
      <c r="D171" s="12" t="str">
        <f ca="1">IFERROR(__xludf.DUMMYFUNCTION("""COMPUTED_VALUE"""),"松尾 尚樹")</f>
        <v>松尾 尚樹</v>
      </c>
    </row>
    <row r="172" spans="2:4" ht="13">
      <c r="B172" s="12">
        <f ca="1">IFERROR(__xludf.DUMMYFUNCTION("""COMPUTED_VALUE"""),7181)</f>
        <v>7181</v>
      </c>
      <c r="C172" s="14">
        <f ca="1">IFERROR(__xludf.DUMMYFUNCTION("""COMPUTED_VALUE"""),4)</f>
        <v>4</v>
      </c>
      <c r="D172" s="12" t="str">
        <f ca="1">IFERROR(__xludf.DUMMYFUNCTION("""COMPUTED_VALUE"""),"長谷川 陸朗")</f>
        <v>長谷川 陸朗</v>
      </c>
    </row>
    <row r="173" spans="2:4" ht="13">
      <c r="B173" s="12">
        <f ca="1">IFERROR(__xludf.DUMMYFUNCTION("""COMPUTED_VALUE"""),7262)</f>
        <v>7262</v>
      </c>
      <c r="C173" s="14">
        <f ca="1">IFERROR(__xludf.DUMMYFUNCTION("""COMPUTED_VALUE"""),0)</f>
        <v>0</v>
      </c>
      <c r="D173" s="12" t="str">
        <f ca="1">IFERROR(__xludf.DUMMYFUNCTION("""COMPUTED_VALUE"""),"桐山 勝気")</f>
        <v>桐山 勝気</v>
      </c>
    </row>
    <row r="174" spans="2:4" ht="13">
      <c r="B174" s="12">
        <f ca="1">IFERROR(__xludf.DUMMYFUNCTION("""COMPUTED_VALUE"""),7296)</f>
        <v>7296</v>
      </c>
      <c r="C174" s="14">
        <f ca="1">IFERROR(__xludf.DUMMYFUNCTION("""COMPUTED_VALUE"""),7)</f>
        <v>7</v>
      </c>
      <c r="D174" s="12" t="str">
        <f ca="1">IFERROR(__xludf.DUMMYFUNCTION("""COMPUTED_VALUE"""),"松尾 尚樹")</f>
        <v>松尾 尚樹</v>
      </c>
    </row>
    <row r="175" spans="2:4" ht="13">
      <c r="B175" s="12">
        <f ca="1">IFERROR(__xludf.DUMMYFUNCTION("""COMPUTED_VALUE"""),7344)</f>
        <v>7344</v>
      </c>
      <c r="C175" s="14">
        <f ca="1">IFERROR(__xludf.DUMMYFUNCTION("""COMPUTED_VALUE"""),1)</f>
        <v>1</v>
      </c>
      <c r="D175" s="12" t="str">
        <f ca="1">IFERROR(__xludf.DUMMYFUNCTION("""COMPUTED_VALUE"""),"松尾 尚樹")</f>
        <v>松尾 尚樹</v>
      </c>
    </row>
    <row r="176" spans="2:4" ht="13">
      <c r="B176" s="12">
        <f ca="1">IFERROR(__xludf.DUMMYFUNCTION("""COMPUTED_VALUE"""),7345)</f>
        <v>7345</v>
      </c>
      <c r="C176" s="14">
        <f ca="1">IFERROR(__xludf.DUMMYFUNCTION("""COMPUTED_VALUE"""),20)</f>
        <v>20</v>
      </c>
      <c r="D176" s="12" t="str">
        <f ca="1">IFERROR(__xludf.DUMMYFUNCTION("""COMPUTED_VALUE"""),"小川 純")</f>
        <v>小川 純</v>
      </c>
    </row>
    <row r="177" spans="2:4" ht="13">
      <c r="B177" s="12">
        <f ca="1">IFERROR(__xludf.DUMMYFUNCTION("""COMPUTED_VALUE"""),7353)</f>
        <v>7353</v>
      </c>
      <c r="C177" s="14">
        <f ca="1">IFERROR(__xludf.DUMMYFUNCTION("""COMPUTED_VALUE"""),4)</f>
        <v>4</v>
      </c>
      <c r="D177" s="12" t="str">
        <f ca="1">IFERROR(__xludf.DUMMYFUNCTION("""COMPUTED_VALUE"""),"長谷川 陸朗")</f>
        <v>長谷川 陸朗</v>
      </c>
    </row>
    <row r="178" spans="2:4" ht="13">
      <c r="B178" s="12">
        <f ca="1">IFERROR(__xludf.DUMMYFUNCTION("""COMPUTED_VALUE"""),7383)</f>
        <v>7383</v>
      </c>
      <c r="C178" s="14">
        <f ca="1">IFERROR(__xludf.DUMMYFUNCTION("""COMPUTED_VALUE"""),0)</f>
        <v>0</v>
      </c>
      <c r="D178" s="12" t="str">
        <f ca="1">IFERROR(__xludf.DUMMYFUNCTION("""COMPUTED_VALUE"""),"松尾 尚樹")</f>
        <v>松尾 尚樹</v>
      </c>
    </row>
    <row r="179" spans="2:4" ht="13">
      <c r="B179" s="12">
        <f ca="1">IFERROR(__xludf.DUMMYFUNCTION("""COMPUTED_VALUE"""),7395)</f>
        <v>7395</v>
      </c>
      <c r="C179" s="14">
        <f ca="1">IFERROR(__xludf.DUMMYFUNCTION("""COMPUTED_VALUE"""),0)</f>
        <v>0</v>
      </c>
      <c r="D179" s="12" t="str">
        <f ca="1">IFERROR(__xludf.DUMMYFUNCTION("""COMPUTED_VALUE"""),"稲場 勇介")</f>
        <v>稲場 勇介</v>
      </c>
    </row>
    <row r="180" spans="2:4" ht="13">
      <c r="B180" s="12">
        <f ca="1">IFERROR(__xludf.DUMMYFUNCTION("""COMPUTED_VALUE"""),7408)</f>
        <v>7408</v>
      </c>
      <c r="C180" s="14">
        <f ca="1">IFERROR(__xludf.DUMMYFUNCTION("""COMPUTED_VALUE"""),2)</f>
        <v>2</v>
      </c>
      <c r="D180" s="12" t="str">
        <f ca="1">IFERROR(__xludf.DUMMYFUNCTION("""COMPUTED_VALUE"""),"菅野 ぎんが")</f>
        <v>菅野 ぎんが</v>
      </c>
    </row>
    <row r="181" spans="2:4" ht="13">
      <c r="B181" s="12">
        <f ca="1">IFERROR(__xludf.DUMMYFUNCTION("""COMPUTED_VALUE"""),7409)</f>
        <v>7409</v>
      </c>
      <c r="C181" s="14">
        <f ca="1">IFERROR(__xludf.DUMMYFUNCTION("""COMPUTED_VALUE"""),0)</f>
        <v>0</v>
      </c>
      <c r="D181" s="12" t="str">
        <f ca="1">IFERROR(__xludf.DUMMYFUNCTION("""COMPUTED_VALUE"""),"菅野 ぎんが")</f>
        <v>菅野 ぎんが</v>
      </c>
    </row>
    <row r="182" spans="2:4" ht="13">
      <c r="B182" s="12">
        <f ca="1">IFERROR(__xludf.DUMMYFUNCTION("""COMPUTED_VALUE"""),7412)</f>
        <v>7412</v>
      </c>
      <c r="C182" s="14">
        <f ca="1">IFERROR(__xludf.DUMMYFUNCTION("""COMPUTED_VALUE"""),12)</f>
        <v>12</v>
      </c>
      <c r="D182" s="12" t="str">
        <f ca="1">IFERROR(__xludf.DUMMYFUNCTION("""COMPUTED_VALUE"""),"長谷川 陸朗")</f>
        <v>長谷川 陸朗</v>
      </c>
    </row>
    <row r="183" spans="2:4" ht="13">
      <c r="B183" s="12">
        <f ca="1">IFERROR(__xludf.DUMMYFUNCTION("""COMPUTED_VALUE"""),7418)</f>
        <v>7418</v>
      </c>
      <c r="C183" s="14">
        <f ca="1">IFERROR(__xludf.DUMMYFUNCTION("""COMPUTED_VALUE"""),0)</f>
        <v>0</v>
      </c>
      <c r="D183" s="12" t="str">
        <f ca="1">IFERROR(__xludf.DUMMYFUNCTION("""COMPUTED_VALUE"""),"老田 純輝")</f>
        <v>老田 純輝</v>
      </c>
    </row>
    <row r="184" spans="2:4" ht="13">
      <c r="B184" s="12">
        <f ca="1">IFERROR(__xludf.DUMMYFUNCTION("""COMPUTED_VALUE"""),7441)</f>
        <v>7441</v>
      </c>
      <c r="C184" s="14">
        <f ca="1">IFERROR(__xludf.DUMMYFUNCTION("""COMPUTED_VALUE"""),12)</f>
        <v>12</v>
      </c>
      <c r="D184" s="12" t="str">
        <f ca="1">IFERROR(__xludf.DUMMYFUNCTION("""COMPUTED_VALUE"""),"小関 麻起")</f>
        <v>小関 麻起</v>
      </c>
    </row>
    <row r="185" spans="2:4" ht="13">
      <c r="B185" s="12">
        <f ca="1">IFERROR(__xludf.DUMMYFUNCTION("""COMPUTED_VALUE"""),7456)</f>
        <v>7456</v>
      </c>
      <c r="C185" s="14">
        <f ca="1">IFERROR(__xludf.DUMMYFUNCTION("""COMPUTED_VALUE"""),0)</f>
        <v>0</v>
      </c>
      <c r="D185" s="12" t="str">
        <f ca="1">IFERROR(__xludf.DUMMYFUNCTION("""COMPUTED_VALUE"""),"長谷川 陸朗")</f>
        <v>長谷川 陸朗</v>
      </c>
    </row>
    <row r="186" spans="2:4" ht="13">
      <c r="B186" s="12">
        <f ca="1">IFERROR(__xludf.DUMMYFUNCTION("""COMPUTED_VALUE"""),7462)</f>
        <v>7462</v>
      </c>
      <c r="C186" s="14">
        <f ca="1">IFERROR(__xludf.DUMMYFUNCTION("""COMPUTED_VALUE"""),11)</f>
        <v>11</v>
      </c>
      <c r="D186" s="12" t="str">
        <f ca="1">IFERROR(__xludf.DUMMYFUNCTION("""COMPUTED_VALUE"""),"松尾 尚樹")</f>
        <v>松尾 尚樹</v>
      </c>
    </row>
    <row r="187" spans="2:4" ht="13">
      <c r="B187" s="12">
        <f ca="1">IFERROR(__xludf.DUMMYFUNCTION("""COMPUTED_VALUE"""),7467)</f>
        <v>7467</v>
      </c>
      <c r="C187" s="14">
        <f ca="1">IFERROR(__xludf.DUMMYFUNCTION("""COMPUTED_VALUE"""),0)</f>
        <v>0</v>
      </c>
      <c r="D187" s="12" t="str">
        <f ca="1">IFERROR(__xludf.DUMMYFUNCTION("""COMPUTED_VALUE"""),"小関 麻起")</f>
        <v>小関 麻起</v>
      </c>
    </row>
    <row r="188" spans="2:4" ht="13">
      <c r="B188" s="12">
        <f ca="1">IFERROR(__xludf.DUMMYFUNCTION("""COMPUTED_VALUE"""),7473)</f>
        <v>7473</v>
      </c>
      <c r="C188" s="14">
        <f ca="1">IFERROR(__xludf.DUMMYFUNCTION("""COMPUTED_VALUE"""),0)</f>
        <v>0</v>
      </c>
      <c r="D188" s="12" t="str">
        <f ca="1">IFERROR(__xludf.DUMMYFUNCTION("""COMPUTED_VALUE"""),"小関 麻起")</f>
        <v>小関 麻起</v>
      </c>
    </row>
    <row r="189" spans="2:4" ht="13">
      <c r="B189" s="12">
        <f ca="1">IFERROR(__xludf.DUMMYFUNCTION("""COMPUTED_VALUE"""),7476)</f>
        <v>7476</v>
      </c>
      <c r="C189" s="14">
        <f ca="1">IFERROR(__xludf.DUMMYFUNCTION("""COMPUTED_VALUE"""),43)</f>
        <v>43</v>
      </c>
      <c r="D189" s="12" t="str">
        <f ca="1">IFERROR(__xludf.DUMMYFUNCTION("""COMPUTED_VALUE"""),"稲場 勇介")</f>
        <v>稲場 勇介</v>
      </c>
    </row>
    <row r="190" spans="2:4" ht="13">
      <c r="B190" s="12">
        <f ca="1">IFERROR(__xludf.DUMMYFUNCTION("""COMPUTED_VALUE"""),7503)</f>
        <v>7503</v>
      </c>
      <c r="C190" s="14">
        <f ca="1">IFERROR(__xludf.DUMMYFUNCTION("""COMPUTED_VALUE"""),10)</f>
        <v>10</v>
      </c>
      <c r="D190" s="12" t="str">
        <f ca="1">IFERROR(__xludf.DUMMYFUNCTION("""COMPUTED_VALUE"""),"菅野 ぎんが")</f>
        <v>菅野 ぎんが</v>
      </c>
    </row>
    <row r="191" spans="2:4" ht="13">
      <c r="B191" s="12">
        <f ca="1">IFERROR(__xludf.DUMMYFUNCTION("""COMPUTED_VALUE"""),7509)</f>
        <v>7509</v>
      </c>
      <c r="C191" s="14">
        <f ca="1">IFERROR(__xludf.DUMMYFUNCTION("""COMPUTED_VALUE"""),9)</f>
        <v>9</v>
      </c>
      <c r="D191" s="12" t="str">
        <f ca="1">IFERROR(__xludf.DUMMYFUNCTION("""COMPUTED_VALUE"""),"長谷川 陸朗")</f>
        <v>長谷川 陸朗</v>
      </c>
    </row>
    <row r="192" spans="2:4" ht="13">
      <c r="B192" s="12">
        <f ca="1">IFERROR(__xludf.DUMMYFUNCTION("""COMPUTED_VALUE"""),7512)</f>
        <v>7512</v>
      </c>
      <c r="C192" s="14">
        <f ca="1">IFERROR(__xludf.DUMMYFUNCTION("""COMPUTED_VALUE"""),9)</f>
        <v>9</v>
      </c>
      <c r="D192" s="12" t="str">
        <f ca="1">IFERROR(__xludf.DUMMYFUNCTION("""COMPUTED_VALUE"""),"長谷川 陸朗")</f>
        <v>長谷川 陸朗</v>
      </c>
    </row>
    <row r="193" spans="2:4" ht="13">
      <c r="B193" s="12">
        <f ca="1">IFERROR(__xludf.DUMMYFUNCTION("""COMPUTED_VALUE"""),7538)</f>
        <v>7538</v>
      </c>
      <c r="C193" s="14">
        <f ca="1">IFERROR(__xludf.DUMMYFUNCTION("""COMPUTED_VALUE"""),0)</f>
        <v>0</v>
      </c>
      <c r="D193" s="12" t="str">
        <f ca="1">IFERROR(__xludf.DUMMYFUNCTION("""COMPUTED_VALUE"""),"内丸 裕子")</f>
        <v>内丸 裕子</v>
      </c>
    </row>
    <row r="194" spans="2:4" ht="13">
      <c r="B194" s="12">
        <f ca="1">IFERROR(__xludf.DUMMYFUNCTION("""COMPUTED_VALUE"""),7649)</f>
        <v>7649</v>
      </c>
      <c r="C194" s="14">
        <f ca="1">IFERROR(__xludf.DUMMYFUNCTION("""COMPUTED_VALUE"""),0)</f>
        <v>0</v>
      </c>
      <c r="D194" s="12" t="str">
        <f ca="1">IFERROR(__xludf.DUMMYFUNCTION("""COMPUTED_VALUE"""),"稲場 勇介")</f>
        <v>稲場 勇介</v>
      </c>
    </row>
    <row r="195" spans="2:4" ht="13">
      <c r="B195" s="12">
        <f ca="1">IFERROR(__xludf.DUMMYFUNCTION("""COMPUTED_VALUE"""),7655)</f>
        <v>7655</v>
      </c>
      <c r="C195" s="14">
        <f ca="1">IFERROR(__xludf.DUMMYFUNCTION("""COMPUTED_VALUE"""),1)</f>
        <v>1</v>
      </c>
      <c r="D195" s="12" t="str">
        <f ca="1">IFERROR(__xludf.DUMMYFUNCTION("""COMPUTED_VALUE"""),"小関 麻起")</f>
        <v>小関 麻起</v>
      </c>
    </row>
    <row r="196" spans="2:4" ht="13">
      <c r="B196" s="12">
        <f ca="1">IFERROR(__xludf.DUMMYFUNCTION("""COMPUTED_VALUE"""),7713)</f>
        <v>7713</v>
      </c>
      <c r="C196" s="14">
        <f ca="1">IFERROR(__xludf.DUMMYFUNCTION("""COMPUTED_VALUE"""),35)</f>
        <v>35</v>
      </c>
      <c r="D196" s="12" t="str">
        <f ca="1">IFERROR(__xludf.DUMMYFUNCTION("""COMPUTED_VALUE"""),"小川 純")</f>
        <v>小川 純</v>
      </c>
    </row>
    <row r="197" spans="2:4" ht="13">
      <c r="B197" s="12">
        <f ca="1">IFERROR(__xludf.DUMMYFUNCTION("""COMPUTED_VALUE"""),7743)</f>
        <v>7743</v>
      </c>
      <c r="C197" s="14">
        <f ca="1">IFERROR(__xludf.DUMMYFUNCTION("""COMPUTED_VALUE"""),12)</f>
        <v>12</v>
      </c>
      <c r="D197" s="12" t="str">
        <f ca="1">IFERROR(__xludf.DUMMYFUNCTION("""COMPUTED_VALUE"""),"稲場 勇介")</f>
        <v>稲場 勇介</v>
      </c>
    </row>
    <row r="198" spans="2:4" ht="13">
      <c r="B198" s="12">
        <f ca="1">IFERROR(__xludf.DUMMYFUNCTION("""COMPUTED_VALUE"""),7750)</f>
        <v>7750</v>
      </c>
      <c r="C198" s="14">
        <f ca="1">IFERROR(__xludf.DUMMYFUNCTION("""COMPUTED_VALUE"""),2)</f>
        <v>2</v>
      </c>
      <c r="D198" s="12" t="str">
        <f ca="1">IFERROR(__xludf.DUMMYFUNCTION("""COMPUTED_VALUE"""),"稲場 勇介")</f>
        <v>稲場 勇介</v>
      </c>
    </row>
    <row r="199" spans="2:4" ht="13">
      <c r="B199" s="12">
        <f ca="1">IFERROR(__xludf.DUMMYFUNCTION("""COMPUTED_VALUE"""),7758)</f>
        <v>7758</v>
      </c>
      <c r="C199" s="14">
        <f ca="1">IFERROR(__xludf.DUMMYFUNCTION("""COMPUTED_VALUE"""),40)</f>
        <v>40</v>
      </c>
      <c r="D199" s="12" t="str">
        <f ca="1">IFERROR(__xludf.DUMMYFUNCTION("""COMPUTED_VALUE"""),"辻村 将大")</f>
        <v>辻村 将大</v>
      </c>
    </row>
    <row r="200" spans="2:4" ht="13">
      <c r="B200" s="12">
        <f ca="1">IFERROR(__xludf.DUMMYFUNCTION("""COMPUTED_VALUE"""),7820)</f>
        <v>7820</v>
      </c>
      <c r="C200" s="14">
        <f ca="1">IFERROR(__xludf.DUMMYFUNCTION("""COMPUTED_VALUE"""),6)</f>
        <v>6</v>
      </c>
      <c r="D200" s="12" t="str">
        <f ca="1">IFERROR(__xludf.DUMMYFUNCTION("""COMPUTED_VALUE"""),"稲場 勇介")</f>
        <v>稲場 勇介</v>
      </c>
    </row>
    <row r="201" spans="2:4" ht="13">
      <c r="B201" s="12">
        <f ca="1">IFERROR(__xludf.DUMMYFUNCTION("""COMPUTED_VALUE"""),7835)</f>
        <v>7835</v>
      </c>
      <c r="C201" s="14">
        <f ca="1">IFERROR(__xludf.DUMMYFUNCTION("""COMPUTED_VALUE"""),3)</f>
        <v>3</v>
      </c>
      <c r="D201" s="12" t="str">
        <f ca="1">IFERROR(__xludf.DUMMYFUNCTION("""COMPUTED_VALUE"""),"小関 麻起")</f>
        <v>小関 麻起</v>
      </c>
    </row>
    <row r="202" spans="2:4" ht="13">
      <c r="B202" s="12">
        <f ca="1">IFERROR(__xludf.DUMMYFUNCTION("""COMPUTED_VALUE"""),7852)</f>
        <v>7852</v>
      </c>
      <c r="C202" s="14">
        <f ca="1">IFERROR(__xludf.DUMMYFUNCTION("""COMPUTED_VALUE"""),0)</f>
        <v>0</v>
      </c>
      <c r="D202" s="12" t="str">
        <f ca="1">IFERROR(__xludf.DUMMYFUNCTION("""COMPUTED_VALUE"""),"長谷川 陸朗")</f>
        <v>長谷川 陸朗</v>
      </c>
    </row>
    <row r="203" spans="2:4" ht="13">
      <c r="B203" s="12">
        <f ca="1">IFERROR(__xludf.DUMMYFUNCTION("""COMPUTED_VALUE"""),7855)</f>
        <v>7855</v>
      </c>
      <c r="C203" s="14">
        <f ca="1">IFERROR(__xludf.DUMMYFUNCTION("""COMPUTED_VALUE"""),5)</f>
        <v>5</v>
      </c>
      <c r="D203" s="12" t="str">
        <f ca="1">IFERROR(__xludf.DUMMYFUNCTION("""COMPUTED_VALUE"""),"村上 浩一朗")</f>
        <v>村上 浩一朗</v>
      </c>
    </row>
    <row r="204" spans="2:4" ht="13">
      <c r="B204" s="12">
        <f ca="1">IFERROR(__xludf.DUMMYFUNCTION("""COMPUTED_VALUE"""),7856)</f>
        <v>7856</v>
      </c>
      <c r="C204" s="14">
        <f ca="1">IFERROR(__xludf.DUMMYFUNCTION("""COMPUTED_VALUE"""),0)</f>
        <v>0</v>
      </c>
      <c r="D204" s="12" t="str">
        <f ca="1">IFERROR(__xludf.DUMMYFUNCTION("""COMPUTED_VALUE"""),"松尾 尚樹")</f>
        <v>松尾 尚樹</v>
      </c>
    </row>
    <row r="205" spans="2:4" ht="13">
      <c r="B205" s="12">
        <f ca="1">IFERROR(__xludf.DUMMYFUNCTION("""COMPUTED_VALUE"""),7914)</f>
        <v>7914</v>
      </c>
      <c r="C205" s="14">
        <f ca="1">IFERROR(__xludf.DUMMYFUNCTION("""COMPUTED_VALUE"""),1)</f>
        <v>1</v>
      </c>
      <c r="D205" s="12" t="str">
        <f ca="1">IFERROR(__xludf.DUMMYFUNCTION("""COMPUTED_VALUE"""),"村上 浩一朗")</f>
        <v>村上 浩一朗</v>
      </c>
    </row>
    <row r="206" spans="2:4" ht="13">
      <c r="B206" s="12">
        <f ca="1">IFERROR(__xludf.DUMMYFUNCTION("""COMPUTED_VALUE"""),7946)</f>
        <v>7946</v>
      </c>
      <c r="C206" s="14">
        <f ca="1">IFERROR(__xludf.DUMMYFUNCTION("""COMPUTED_VALUE"""),26)</f>
        <v>26</v>
      </c>
      <c r="D206" s="12" t="str">
        <f ca="1">IFERROR(__xludf.DUMMYFUNCTION("""COMPUTED_VALUE"""),"長谷川 陸朗")</f>
        <v>長谷川 陸朗</v>
      </c>
    </row>
    <row r="207" spans="2:4" ht="13">
      <c r="B207" s="12">
        <f ca="1">IFERROR(__xludf.DUMMYFUNCTION("""COMPUTED_VALUE"""),7973)</f>
        <v>7973</v>
      </c>
      <c r="C207" s="14">
        <f ca="1">IFERROR(__xludf.DUMMYFUNCTION("""COMPUTED_VALUE"""),0)</f>
        <v>0</v>
      </c>
      <c r="D207" s="12" t="str">
        <f ca="1">IFERROR(__xludf.DUMMYFUNCTION("""COMPUTED_VALUE"""),"成嶋 夏未")</f>
        <v>成嶋 夏未</v>
      </c>
    </row>
    <row r="208" spans="2:4" ht="13">
      <c r="B208" s="12">
        <f ca="1">IFERROR(__xludf.DUMMYFUNCTION("""COMPUTED_VALUE"""),7975)</f>
        <v>7975</v>
      </c>
      <c r="C208" s="14">
        <f ca="1">IFERROR(__xludf.DUMMYFUNCTION("""COMPUTED_VALUE"""),0)</f>
        <v>0</v>
      </c>
      <c r="D208" s="12" t="str">
        <f ca="1">IFERROR(__xludf.DUMMYFUNCTION("""COMPUTED_VALUE"""),"内丸 裕子")</f>
        <v>内丸 裕子</v>
      </c>
    </row>
    <row r="209" spans="2:4" ht="13">
      <c r="B209" s="12">
        <f ca="1">IFERROR(__xludf.DUMMYFUNCTION("""COMPUTED_VALUE"""),7994)</f>
        <v>7994</v>
      </c>
      <c r="C209" s="14">
        <f ca="1">IFERROR(__xludf.DUMMYFUNCTION("""COMPUTED_VALUE"""),1)</f>
        <v>1</v>
      </c>
      <c r="D209" s="12" t="str">
        <f ca="1">IFERROR(__xludf.DUMMYFUNCTION("""COMPUTED_VALUE"""),"長谷川 陸朗")</f>
        <v>長谷川 陸朗</v>
      </c>
    </row>
    <row r="210" spans="2:4" ht="13">
      <c r="B210" s="12">
        <f ca="1">IFERROR(__xludf.DUMMYFUNCTION("""COMPUTED_VALUE"""),8103)</f>
        <v>8103</v>
      </c>
      <c r="C210" s="14">
        <f ca="1">IFERROR(__xludf.DUMMYFUNCTION("""COMPUTED_VALUE"""),4)</f>
        <v>4</v>
      </c>
      <c r="D210" s="12" t="str">
        <f ca="1">IFERROR(__xludf.DUMMYFUNCTION("""COMPUTED_VALUE"""),"桑原 明子")</f>
        <v>桑原 明子</v>
      </c>
    </row>
    <row r="211" spans="2:4" ht="13">
      <c r="B211" s="12">
        <f ca="1">IFERROR(__xludf.DUMMYFUNCTION("""COMPUTED_VALUE"""),8104)</f>
        <v>8104</v>
      </c>
      <c r="C211" s="14">
        <f ca="1">IFERROR(__xludf.DUMMYFUNCTION("""COMPUTED_VALUE"""),14)</f>
        <v>14</v>
      </c>
      <c r="D211" s="12" t="str">
        <f ca="1">IFERROR(__xludf.DUMMYFUNCTION("""COMPUTED_VALUE"""),"菅野 ぎんが")</f>
        <v>菅野 ぎんが</v>
      </c>
    </row>
    <row r="212" spans="2:4" ht="13">
      <c r="B212" s="12">
        <f ca="1">IFERROR(__xludf.DUMMYFUNCTION("""COMPUTED_VALUE"""),8125)</f>
        <v>8125</v>
      </c>
      <c r="C212" s="14">
        <f ca="1">IFERROR(__xludf.DUMMYFUNCTION("""COMPUTED_VALUE"""),13)</f>
        <v>13</v>
      </c>
      <c r="D212" s="12" t="str">
        <f ca="1">IFERROR(__xludf.DUMMYFUNCTION("""COMPUTED_VALUE"""),"長谷川 陸朗")</f>
        <v>長谷川 陸朗</v>
      </c>
    </row>
    <row r="213" spans="2:4" ht="13">
      <c r="B213" s="12">
        <f ca="1">IFERROR(__xludf.DUMMYFUNCTION("""COMPUTED_VALUE"""),8138)</f>
        <v>8138</v>
      </c>
      <c r="C213" s="14">
        <f ca="1">IFERROR(__xludf.DUMMYFUNCTION("""COMPUTED_VALUE"""),0)</f>
        <v>0</v>
      </c>
      <c r="D213" s="12" t="str">
        <f ca="1">IFERROR(__xludf.DUMMYFUNCTION("""COMPUTED_VALUE"""),"栗原 大武")</f>
        <v>栗原 大武</v>
      </c>
    </row>
    <row r="214" spans="2:4" ht="13">
      <c r="B214" s="12">
        <f ca="1">IFERROR(__xludf.DUMMYFUNCTION("""COMPUTED_VALUE"""),8154)</f>
        <v>8154</v>
      </c>
      <c r="C214" s="14">
        <f ca="1">IFERROR(__xludf.DUMMYFUNCTION("""COMPUTED_VALUE"""),0)</f>
        <v>0</v>
      </c>
      <c r="D214" s="12" t="str">
        <f ca="1">IFERROR(__xludf.DUMMYFUNCTION("""COMPUTED_VALUE"""),"長谷川 陸朗")</f>
        <v>長谷川 陸朗</v>
      </c>
    </row>
    <row r="215" spans="2:4" ht="13">
      <c r="B215" s="12">
        <f ca="1">IFERROR(__xludf.DUMMYFUNCTION("""COMPUTED_VALUE"""),8171)</f>
        <v>8171</v>
      </c>
      <c r="C215" s="14">
        <f ca="1">IFERROR(__xludf.DUMMYFUNCTION("""COMPUTED_VALUE"""),3)</f>
        <v>3</v>
      </c>
      <c r="D215" s="12" t="str">
        <f ca="1">IFERROR(__xludf.DUMMYFUNCTION("""COMPUTED_VALUE"""),"長谷川 陸朗")</f>
        <v>長谷川 陸朗</v>
      </c>
    </row>
    <row r="216" spans="2:4" ht="13">
      <c r="B216" s="12">
        <f ca="1">IFERROR(__xludf.DUMMYFUNCTION("""COMPUTED_VALUE"""),8172)</f>
        <v>8172</v>
      </c>
      <c r="C216" s="14">
        <f ca="1">IFERROR(__xludf.DUMMYFUNCTION("""COMPUTED_VALUE"""),0)</f>
        <v>0</v>
      </c>
      <c r="D216" s="12" t="str">
        <f ca="1">IFERROR(__xludf.DUMMYFUNCTION("""COMPUTED_VALUE"""),"栗原 大武")</f>
        <v>栗原 大武</v>
      </c>
    </row>
    <row r="217" spans="2:4" ht="13">
      <c r="B217" s="12">
        <f ca="1">IFERROR(__xludf.DUMMYFUNCTION("""COMPUTED_VALUE"""),8173)</f>
        <v>8173</v>
      </c>
      <c r="C217" s="14">
        <f ca="1">IFERROR(__xludf.DUMMYFUNCTION("""COMPUTED_VALUE"""),17)</f>
        <v>17</v>
      </c>
      <c r="D217" s="12" t="str">
        <f ca="1">IFERROR(__xludf.DUMMYFUNCTION("""COMPUTED_VALUE"""),"森 光智")</f>
        <v>森 光智</v>
      </c>
    </row>
    <row r="218" spans="2:4" ht="13">
      <c r="B218" s="12">
        <f ca="1">IFERROR(__xludf.DUMMYFUNCTION("""COMPUTED_VALUE"""),8174)</f>
        <v>8174</v>
      </c>
      <c r="C218" s="14">
        <f ca="1">IFERROR(__xludf.DUMMYFUNCTION("""COMPUTED_VALUE"""),16)</f>
        <v>16</v>
      </c>
      <c r="D218" s="12" t="str">
        <f ca="1">IFERROR(__xludf.DUMMYFUNCTION("""COMPUTED_VALUE"""),"栗原 大武")</f>
        <v>栗原 大武</v>
      </c>
    </row>
    <row r="219" spans="2:4" ht="13">
      <c r="B219" s="12">
        <f ca="1">IFERROR(__xludf.DUMMYFUNCTION("""COMPUTED_VALUE"""),8180)</f>
        <v>8180</v>
      </c>
      <c r="C219" s="14">
        <f ca="1">IFERROR(__xludf.DUMMYFUNCTION("""COMPUTED_VALUE"""),2)</f>
        <v>2</v>
      </c>
      <c r="D219" s="12" t="str">
        <f ca="1">IFERROR(__xludf.DUMMYFUNCTION("""COMPUTED_VALUE"""),"小関 麻起")</f>
        <v>小関 麻起</v>
      </c>
    </row>
    <row r="220" spans="2:4" ht="13">
      <c r="B220" s="12">
        <f ca="1">IFERROR(__xludf.DUMMYFUNCTION("""COMPUTED_VALUE"""),8184)</f>
        <v>8184</v>
      </c>
      <c r="C220" s="14">
        <f ca="1">IFERROR(__xludf.DUMMYFUNCTION("""COMPUTED_VALUE"""),1)</f>
        <v>1</v>
      </c>
      <c r="D220" s="12" t="str">
        <f ca="1">IFERROR(__xludf.DUMMYFUNCTION("""COMPUTED_VALUE"""),"松尾 尚樹")</f>
        <v>松尾 尚樹</v>
      </c>
    </row>
    <row r="221" spans="2:4" ht="13">
      <c r="B221" s="12">
        <f ca="1">IFERROR(__xludf.DUMMYFUNCTION("""COMPUTED_VALUE"""),8189)</f>
        <v>8189</v>
      </c>
      <c r="C221" s="14">
        <f ca="1">IFERROR(__xludf.DUMMYFUNCTION("""COMPUTED_VALUE"""),12)</f>
        <v>12</v>
      </c>
      <c r="D221" s="12" t="str">
        <f ca="1">IFERROR(__xludf.DUMMYFUNCTION("""COMPUTED_VALUE"""),"桐山 勝気")</f>
        <v>桐山 勝気</v>
      </c>
    </row>
    <row r="222" spans="2:4" ht="13">
      <c r="B222" s="12">
        <f ca="1">IFERROR(__xludf.DUMMYFUNCTION("""COMPUTED_VALUE"""),8210)</f>
        <v>8210</v>
      </c>
      <c r="C222" s="14">
        <f ca="1">IFERROR(__xludf.DUMMYFUNCTION("""COMPUTED_VALUE"""),1)</f>
        <v>1</v>
      </c>
      <c r="D222" s="12" t="str">
        <f ca="1">IFERROR(__xludf.DUMMYFUNCTION("""COMPUTED_VALUE"""),"小関 麻起")</f>
        <v>小関 麻起</v>
      </c>
    </row>
    <row r="223" spans="2:4" ht="13">
      <c r="B223" s="12">
        <f ca="1">IFERROR(__xludf.DUMMYFUNCTION("""COMPUTED_VALUE"""),8252)</f>
        <v>8252</v>
      </c>
      <c r="C223" s="14">
        <f ca="1">IFERROR(__xludf.DUMMYFUNCTION("""COMPUTED_VALUE"""),30)</f>
        <v>30</v>
      </c>
      <c r="D223" s="12" t="str">
        <f ca="1">IFERROR(__xludf.DUMMYFUNCTION("""COMPUTED_VALUE"""),"森 光智")</f>
        <v>森 光智</v>
      </c>
    </row>
    <row r="224" spans="2:4" ht="13">
      <c r="B224" s="12">
        <f ca="1">IFERROR(__xludf.DUMMYFUNCTION("""COMPUTED_VALUE"""),8267)</f>
        <v>8267</v>
      </c>
      <c r="C224" s="14">
        <f ca="1">IFERROR(__xludf.DUMMYFUNCTION("""COMPUTED_VALUE"""),67)</f>
        <v>67</v>
      </c>
      <c r="D224" s="12" t="str">
        <f ca="1">IFERROR(__xludf.DUMMYFUNCTION("""COMPUTED_VALUE"""),"成嶋 夏未")</f>
        <v>成嶋 夏未</v>
      </c>
    </row>
    <row r="225" spans="2:4" ht="13">
      <c r="B225" s="12">
        <f ca="1">IFERROR(__xludf.DUMMYFUNCTION("""COMPUTED_VALUE"""),8281)</f>
        <v>8281</v>
      </c>
      <c r="C225" s="14">
        <f ca="1">IFERROR(__xludf.DUMMYFUNCTION("""COMPUTED_VALUE"""),2)</f>
        <v>2</v>
      </c>
      <c r="D225" s="12" t="str">
        <f ca="1">IFERROR(__xludf.DUMMYFUNCTION("""COMPUTED_VALUE"""),"田嶋 将太")</f>
        <v>田嶋 将太</v>
      </c>
    </row>
    <row r="226" spans="2:4" ht="13">
      <c r="B226" s="12">
        <f ca="1">IFERROR(__xludf.DUMMYFUNCTION("""COMPUTED_VALUE"""),8313)</f>
        <v>8313</v>
      </c>
      <c r="C226" s="14">
        <f ca="1">IFERROR(__xludf.DUMMYFUNCTION("""COMPUTED_VALUE"""),1)</f>
        <v>1</v>
      </c>
      <c r="D226" s="12" t="str">
        <f ca="1">IFERROR(__xludf.DUMMYFUNCTION("""COMPUTED_VALUE"""),"小川 純")</f>
        <v>小川 純</v>
      </c>
    </row>
    <row r="227" spans="2:4" ht="13">
      <c r="B227" s="12">
        <f ca="1">IFERROR(__xludf.DUMMYFUNCTION("""COMPUTED_VALUE"""),8326)</f>
        <v>8326</v>
      </c>
      <c r="C227" s="14">
        <f ca="1">IFERROR(__xludf.DUMMYFUNCTION("""COMPUTED_VALUE"""),0)</f>
        <v>0</v>
      </c>
      <c r="D227" s="12" t="str">
        <f ca="1">IFERROR(__xludf.DUMMYFUNCTION("""COMPUTED_VALUE"""),"森 光智")</f>
        <v>森 光智</v>
      </c>
    </row>
    <row r="228" spans="2:4" ht="13">
      <c r="B228" s="12">
        <f ca="1">IFERROR(__xludf.DUMMYFUNCTION("""COMPUTED_VALUE"""),8328)</f>
        <v>8328</v>
      </c>
      <c r="C228" s="14">
        <f ca="1">IFERROR(__xludf.DUMMYFUNCTION("""COMPUTED_VALUE"""),0)</f>
        <v>0</v>
      </c>
      <c r="D228" s="12" t="str">
        <f ca="1">IFERROR(__xludf.DUMMYFUNCTION("""COMPUTED_VALUE"""),"松尾 尚樹")</f>
        <v>松尾 尚樹</v>
      </c>
    </row>
    <row r="229" spans="2:4" ht="13">
      <c r="B229" s="12">
        <f ca="1">IFERROR(__xludf.DUMMYFUNCTION("""COMPUTED_VALUE"""),8342)</f>
        <v>8342</v>
      </c>
      <c r="C229" s="14">
        <f ca="1">IFERROR(__xludf.DUMMYFUNCTION("""COMPUTED_VALUE"""),1)</f>
        <v>1</v>
      </c>
      <c r="D229" s="12" t="str">
        <f ca="1">IFERROR(__xludf.DUMMYFUNCTION("""COMPUTED_VALUE"""),"長谷川 陸朗")</f>
        <v>長谷川 陸朗</v>
      </c>
    </row>
    <row r="230" spans="2:4" ht="13">
      <c r="B230" s="12">
        <f ca="1">IFERROR(__xludf.DUMMYFUNCTION("""COMPUTED_VALUE"""),8345)</f>
        <v>8345</v>
      </c>
      <c r="C230" s="14">
        <f ca="1">IFERROR(__xludf.DUMMYFUNCTION("""COMPUTED_VALUE"""),18)</f>
        <v>18</v>
      </c>
      <c r="D230" s="12" t="str">
        <f ca="1">IFERROR(__xludf.DUMMYFUNCTION("""COMPUTED_VALUE"""),"菅野 ぎんが")</f>
        <v>菅野 ぎんが</v>
      </c>
    </row>
    <row r="231" spans="2:4" ht="13">
      <c r="B231" s="12">
        <f ca="1">IFERROR(__xludf.DUMMYFUNCTION("""COMPUTED_VALUE"""),8388)</f>
        <v>8388</v>
      </c>
      <c r="C231" s="14">
        <f ca="1">IFERROR(__xludf.DUMMYFUNCTION("""COMPUTED_VALUE"""),2)</f>
        <v>2</v>
      </c>
      <c r="D231" s="12" t="str">
        <f ca="1">IFERROR(__xludf.DUMMYFUNCTION("""COMPUTED_VALUE"""),"長谷川 陸朗")</f>
        <v>長谷川 陸朗</v>
      </c>
    </row>
    <row r="232" spans="2:4" ht="13">
      <c r="B232" s="12">
        <f ca="1">IFERROR(__xludf.DUMMYFUNCTION("""COMPUTED_VALUE"""),8421)</f>
        <v>8421</v>
      </c>
      <c r="C232" s="14">
        <f ca="1">IFERROR(__xludf.DUMMYFUNCTION("""COMPUTED_VALUE"""),0)</f>
        <v>0</v>
      </c>
      <c r="D232" s="12" t="str">
        <f ca="1">IFERROR(__xludf.DUMMYFUNCTION("""COMPUTED_VALUE"""),"辻村 将大")</f>
        <v>辻村 将大</v>
      </c>
    </row>
    <row r="233" spans="2:4" ht="13">
      <c r="B233" s="12">
        <f ca="1">IFERROR(__xludf.DUMMYFUNCTION("""COMPUTED_VALUE"""),8422)</f>
        <v>8422</v>
      </c>
      <c r="C233" s="14">
        <f ca="1">IFERROR(__xludf.DUMMYFUNCTION("""COMPUTED_VALUE"""),0)</f>
        <v>0</v>
      </c>
      <c r="D233" s="12" t="str">
        <f ca="1">IFERROR(__xludf.DUMMYFUNCTION("""COMPUTED_VALUE"""),"村上 浩一朗")</f>
        <v>村上 浩一朗</v>
      </c>
    </row>
    <row r="234" spans="2:4" ht="13">
      <c r="B234" s="12">
        <f ca="1">IFERROR(__xludf.DUMMYFUNCTION("""COMPUTED_VALUE"""),8464)</f>
        <v>8464</v>
      </c>
      <c r="C234" s="14">
        <f ca="1">IFERROR(__xludf.DUMMYFUNCTION("""COMPUTED_VALUE"""),2)</f>
        <v>2</v>
      </c>
      <c r="D234" s="12" t="str">
        <f ca="1">IFERROR(__xludf.DUMMYFUNCTION("""COMPUTED_VALUE"""),"川島 幹也")</f>
        <v>川島 幹也</v>
      </c>
    </row>
    <row r="235" spans="2:4" ht="13">
      <c r="B235" s="12">
        <f ca="1">IFERROR(__xludf.DUMMYFUNCTION("""COMPUTED_VALUE"""),8486)</f>
        <v>8486</v>
      </c>
      <c r="C235" s="14">
        <f ca="1">IFERROR(__xludf.DUMMYFUNCTION("""COMPUTED_VALUE"""),0)</f>
        <v>0</v>
      </c>
      <c r="D235" s="12" t="str">
        <f ca="1">IFERROR(__xludf.DUMMYFUNCTION("""COMPUTED_VALUE"""),"小関 麻起")</f>
        <v>小関 麻起</v>
      </c>
    </row>
    <row r="236" spans="2:4" ht="13">
      <c r="B236" s="12">
        <f ca="1">IFERROR(__xludf.DUMMYFUNCTION("""COMPUTED_VALUE"""),8504)</f>
        <v>8504</v>
      </c>
      <c r="C236" s="14">
        <f ca="1">IFERROR(__xludf.DUMMYFUNCTION("""COMPUTED_VALUE"""),1)</f>
        <v>1</v>
      </c>
      <c r="D236" s="12" t="str">
        <f ca="1">IFERROR(__xludf.DUMMYFUNCTION("""COMPUTED_VALUE"""),"松尾 尚樹")</f>
        <v>松尾 尚樹</v>
      </c>
    </row>
    <row r="237" spans="2:4" ht="13">
      <c r="B237" s="12">
        <f ca="1">IFERROR(__xludf.DUMMYFUNCTION("""COMPUTED_VALUE"""),8515)</f>
        <v>8515</v>
      </c>
      <c r="C237" s="14">
        <f ca="1">IFERROR(__xludf.DUMMYFUNCTION("""COMPUTED_VALUE"""),11)</f>
        <v>11</v>
      </c>
      <c r="D237" s="12" t="str">
        <f ca="1">IFERROR(__xludf.DUMMYFUNCTION("""COMPUTED_VALUE"""),"松尾 尚樹")</f>
        <v>松尾 尚樹</v>
      </c>
    </row>
    <row r="238" spans="2:4" ht="13">
      <c r="B238" s="12">
        <f ca="1">IFERROR(__xludf.DUMMYFUNCTION("""COMPUTED_VALUE"""),8528)</f>
        <v>8528</v>
      </c>
      <c r="C238" s="14">
        <f ca="1">IFERROR(__xludf.DUMMYFUNCTION("""COMPUTED_VALUE"""),0)</f>
        <v>0</v>
      </c>
      <c r="D238" s="12" t="str">
        <f ca="1">IFERROR(__xludf.DUMMYFUNCTION("""COMPUTED_VALUE"""),"芳賀 亮輔")</f>
        <v>芳賀 亮輔</v>
      </c>
    </row>
    <row r="239" spans="2:4" ht="13">
      <c r="B239" s="12">
        <f ca="1">IFERROR(__xludf.DUMMYFUNCTION("""COMPUTED_VALUE"""),8541)</f>
        <v>8541</v>
      </c>
      <c r="C239" s="14">
        <f ca="1">IFERROR(__xludf.DUMMYFUNCTION("""COMPUTED_VALUE"""),0)</f>
        <v>0</v>
      </c>
      <c r="D239" s="12" t="str">
        <f ca="1">IFERROR(__xludf.DUMMYFUNCTION("""COMPUTED_VALUE"""),"桐山 勝気")</f>
        <v>桐山 勝気</v>
      </c>
    </row>
    <row r="240" spans="2:4" ht="13">
      <c r="B240" s="12">
        <f ca="1">IFERROR(__xludf.DUMMYFUNCTION("""COMPUTED_VALUE"""),8556)</f>
        <v>8556</v>
      </c>
      <c r="C240" s="14">
        <f ca="1">IFERROR(__xludf.DUMMYFUNCTION("""COMPUTED_VALUE"""),29)</f>
        <v>29</v>
      </c>
      <c r="D240" s="12" t="str">
        <f ca="1">IFERROR(__xludf.DUMMYFUNCTION("""COMPUTED_VALUE"""),"荻曽 克輝")</f>
        <v>荻曽 克輝</v>
      </c>
    </row>
    <row r="241" spans="2:4" ht="13">
      <c r="B241" s="12">
        <f ca="1">IFERROR(__xludf.DUMMYFUNCTION("""COMPUTED_VALUE"""),8562)</f>
        <v>8562</v>
      </c>
      <c r="C241" s="14">
        <f ca="1">IFERROR(__xludf.DUMMYFUNCTION("""COMPUTED_VALUE"""),0)</f>
        <v>0</v>
      </c>
      <c r="D241" s="12" t="str">
        <f ca="1">IFERROR(__xludf.DUMMYFUNCTION("""COMPUTED_VALUE"""),"稲場 勇介")</f>
        <v>稲場 勇介</v>
      </c>
    </row>
    <row r="242" spans="2:4" ht="13">
      <c r="B242" s="12">
        <f ca="1">IFERROR(__xludf.DUMMYFUNCTION("""COMPUTED_VALUE"""),8580)</f>
        <v>8580</v>
      </c>
      <c r="C242" s="14">
        <f ca="1">IFERROR(__xludf.DUMMYFUNCTION("""COMPUTED_VALUE"""),3)</f>
        <v>3</v>
      </c>
      <c r="D242" s="12" t="str">
        <f ca="1">IFERROR(__xludf.DUMMYFUNCTION("""COMPUTED_VALUE"""),"小関 麻起")</f>
        <v>小関 麻起</v>
      </c>
    </row>
    <row r="243" spans="2:4" ht="13">
      <c r="B243" s="12">
        <f ca="1">IFERROR(__xludf.DUMMYFUNCTION("""COMPUTED_VALUE"""),8583)</f>
        <v>8583</v>
      </c>
      <c r="C243" s="14">
        <f ca="1">IFERROR(__xludf.DUMMYFUNCTION("""COMPUTED_VALUE"""),55)</f>
        <v>55</v>
      </c>
      <c r="D243" s="12" t="str">
        <f ca="1">IFERROR(__xludf.DUMMYFUNCTION("""COMPUTED_VALUE"""),"桐山 勝気")</f>
        <v>桐山 勝気</v>
      </c>
    </row>
    <row r="244" spans="2:4" ht="13">
      <c r="B244" s="12">
        <f ca="1">IFERROR(__xludf.DUMMYFUNCTION("""COMPUTED_VALUE"""),8585)</f>
        <v>8585</v>
      </c>
      <c r="C244" s="14">
        <f ca="1">IFERROR(__xludf.DUMMYFUNCTION("""COMPUTED_VALUE"""),24)</f>
        <v>24</v>
      </c>
      <c r="D244" s="12" t="str">
        <f ca="1">IFERROR(__xludf.DUMMYFUNCTION("""COMPUTED_VALUE"""),"芳賀 亮輔")</f>
        <v>芳賀 亮輔</v>
      </c>
    </row>
    <row r="245" spans="2:4" ht="13">
      <c r="B245" s="12">
        <f ca="1">IFERROR(__xludf.DUMMYFUNCTION("""COMPUTED_VALUE"""),8590)</f>
        <v>8590</v>
      </c>
      <c r="C245" s="14">
        <f ca="1">IFERROR(__xludf.DUMMYFUNCTION("""COMPUTED_VALUE"""),1)</f>
        <v>1</v>
      </c>
      <c r="D245" s="12" t="str">
        <f ca="1">IFERROR(__xludf.DUMMYFUNCTION("""COMPUTED_VALUE"""),"稲場 勇介")</f>
        <v>稲場 勇介</v>
      </c>
    </row>
    <row r="246" spans="2:4" ht="13">
      <c r="B246" s="12">
        <f ca="1">IFERROR(__xludf.DUMMYFUNCTION("""COMPUTED_VALUE"""),8592)</f>
        <v>8592</v>
      </c>
      <c r="C246" s="14">
        <f ca="1">IFERROR(__xludf.DUMMYFUNCTION("""COMPUTED_VALUE"""),1)</f>
        <v>1</v>
      </c>
      <c r="D246" s="12" t="str">
        <f ca="1">IFERROR(__xludf.DUMMYFUNCTION("""COMPUTED_VALUE"""),"松尾 尚樹")</f>
        <v>松尾 尚樹</v>
      </c>
    </row>
    <row r="247" spans="2:4" ht="13">
      <c r="B247" s="12">
        <f ca="1">IFERROR(__xludf.DUMMYFUNCTION("""COMPUTED_VALUE"""),8600)</f>
        <v>8600</v>
      </c>
      <c r="C247" s="14">
        <f ca="1">IFERROR(__xludf.DUMMYFUNCTION("""COMPUTED_VALUE"""),1)</f>
        <v>1</v>
      </c>
      <c r="D247" s="12" t="str">
        <f ca="1">IFERROR(__xludf.DUMMYFUNCTION("""COMPUTED_VALUE"""),"長谷川 陸朗")</f>
        <v>長谷川 陸朗</v>
      </c>
    </row>
    <row r="248" spans="2:4" ht="13">
      <c r="B248" s="12">
        <f ca="1">IFERROR(__xludf.DUMMYFUNCTION("""COMPUTED_VALUE"""),8601)</f>
        <v>8601</v>
      </c>
      <c r="C248" s="14">
        <f ca="1">IFERROR(__xludf.DUMMYFUNCTION("""COMPUTED_VALUE"""),16)</f>
        <v>16</v>
      </c>
      <c r="D248" s="12" t="str">
        <f ca="1">IFERROR(__xludf.DUMMYFUNCTION("""COMPUTED_VALUE"""),"荻曽 克輝")</f>
        <v>荻曽 克輝</v>
      </c>
    </row>
    <row r="249" spans="2:4" ht="13">
      <c r="B249" s="12">
        <f ca="1">IFERROR(__xludf.DUMMYFUNCTION("""COMPUTED_VALUE"""),8618)</f>
        <v>8618</v>
      </c>
      <c r="C249" s="14">
        <f ca="1">IFERROR(__xludf.DUMMYFUNCTION("""COMPUTED_VALUE"""),5)</f>
        <v>5</v>
      </c>
      <c r="D249" s="12" t="str">
        <f ca="1">IFERROR(__xludf.DUMMYFUNCTION("""COMPUTED_VALUE"""),"稲場 勇介")</f>
        <v>稲場 勇介</v>
      </c>
    </row>
    <row r="250" spans="2:4" ht="13">
      <c r="B250" s="12">
        <f ca="1">IFERROR(__xludf.DUMMYFUNCTION("""COMPUTED_VALUE"""),8628)</f>
        <v>8628</v>
      </c>
      <c r="C250" s="14">
        <f ca="1">IFERROR(__xludf.DUMMYFUNCTION("""COMPUTED_VALUE"""),0)</f>
        <v>0</v>
      </c>
      <c r="D250" s="12" t="str">
        <f ca="1">IFERROR(__xludf.DUMMYFUNCTION("""COMPUTED_VALUE"""),"森 光智")</f>
        <v>森 光智</v>
      </c>
    </row>
    <row r="251" spans="2:4" ht="13">
      <c r="B251" s="12">
        <f ca="1">IFERROR(__xludf.DUMMYFUNCTION("""COMPUTED_VALUE"""),8651)</f>
        <v>8651</v>
      </c>
      <c r="C251" s="14">
        <f ca="1">IFERROR(__xludf.DUMMYFUNCTION("""COMPUTED_VALUE"""),0)</f>
        <v>0</v>
      </c>
      <c r="D251" s="12" t="str">
        <f ca="1">IFERROR(__xludf.DUMMYFUNCTION("""COMPUTED_VALUE"""),"辻村 将大")</f>
        <v>辻村 将大</v>
      </c>
    </row>
    <row r="252" spans="2:4" ht="13">
      <c r="B252" s="12">
        <f ca="1">IFERROR(__xludf.DUMMYFUNCTION("""COMPUTED_VALUE"""),8671)</f>
        <v>8671</v>
      </c>
      <c r="C252" s="14">
        <f ca="1">IFERROR(__xludf.DUMMYFUNCTION("""COMPUTED_VALUE"""),1)</f>
        <v>1</v>
      </c>
      <c r="D252" s="12" t="str">
        <f ca="1">IFERROR(__xludf.DUMMYFUNCTION("""COMPUTED_VALUE"""),"小関 麻起")</f>
        <v>小関 麻起</v>
      </c>
    </row>
    <row r="253" spans="2:4" ht="13">
      <c r="B253" s="12">
        <f ca="1">IFERROR(__xludf.DUMMYFUNCTION("""COMPUTED_VALUE"""),8678)</f>
        <v>8678</v>
      </c>
      <c r="C253" s="14">
        <f ca="1">IFERROR(__xludf.DUMMYFUNCTION("""COMPUTED_VALUE"""),0)</f>
        <v>0</v>
      </c>
      <c r="D253" s="12" t="str">
        <f ca="1">IFERROR(__xludf.DUMMYFUNCTION("""COMPUTED_VALUE"""),"荻曽 克輝")</f>
        <v>荻曽 克輝</v>
      </c>
    </row>
    <row r="254" spans="2:4" ht="13">
      <c r="B254" s="12">
        <f ca="1">IFERROR(__xludf.DUMMYFUNCTION("""COMPUTED_VALUE"""),8684)</f>
        <v>8684</v>
      </c>
      <c r="C254" s="14">
        <f ca="1">IFERROR(__xludf.DUMMYFUNCTION("""COMPUTED_VALUE"""),0)</f>
        <v>0</v>
      </c>
      <c r="D254" s="12" t="str">
        <f ca="1">IFERROR(__xludf.DUMMYFUNCTION("""COMPUTED_VALUE"""),"稲場 勇介")</f>
        <v>稲場 勇介</v>
      </c>
    </row>
    <row r="255" spans="2:4" ht="13">
      <c r="B255" s="12">
        <f ca="1">IFERROR(__xludf.DUMMYFUNCTION("""COMPUTED_VALUE"""),8697)</f>
        <v>8697</v>
      </c>
      <c r="C255" s="14">
        <f ca="1">IFERROR(__xludf.DUMMYFUNCTION("""COMPUTED_VALUE"""),34)</f>
        <v>34</v>
      </c>
      <c r="D255" s="12" t="str">
        <f ca="1">IFERROR(__xludf.DUMMYFUNCTION("""COMPUTED_VALUE"""),"荻曽 克輝")</f>
        <v>荻曽 克輝</v>
      </c>
    </row>
    <row r="256" spans="2:4" ht="13">
      <c r="B256" s="12">
        <f ca="1">IFERROR(__xludf.DUMMYFUNCTION("""COMPUTED_VALUE"""),8698)</f>
        <v>8698</v>
      </c>
      <c r="C256" s="14">
        <f ca="1">IFERROR(__xludf.DUMMYFUNCTION("""COMPUTED_VALUE"""),35)</f>
        <v>35</v>
      </c>
      <c r="D256" s="12" t="str">
        <f ca="1">IFERROR(__xludf.DUMMYFUNCTION("""COMPUTED_VALUE"""),"荻曽 克輝")</f>
        <v>荻曽 克輝</v>
      </c>
    </row>
    <row r="257" spans="2:4" ht="13">
      <c r="B257" s="12">
        <f ca="1">IFERROR(__xludf.DUMMYFUNCTION("""COMPUTED_VALUE"""),8702)</f>
        <v>8702</v>
      </c>
      <c r="C257" s="14">
        <f ca="1">IFERROR(__xludf.DUMMYFUNCTION("""COMPUTED_VALUE"""),3)</f>
        <v>3</v>
      </c>
      <c r="D257" s="12" t="str">
        <f ca="1">IFERROR(__xludf.DUMMYFUNCTION("""COMPUTED_VALUE"""),"小川 純")</f>
        <v>小川 純</v>
      </c>
    </row>
    <row r="258" spans="2:4" ht="13">
      <c r="B258" s="12">
        <f ca="1">IFERROR(__xludf.DUMMYFUNCTION("""COMPUTED_VALUE"""),8731)</f>
        <v>8731</v>
      </c>
      <c r="C258" s="14">
        <f ca="1">IFERROR(__xludf.DUMMYFUNCTION("""COMPUTED_VALUE"""),0)</f>
        <v>0</v>
      </c>
      <c r="D258" s="12" t="str">
        <f ca="1">IFERROR(__xludf.DUMMYFUNCTION("""COMPUTED_VALUE"""),"成嶋 夏未")</f>
        <v>成嶋 夏未</v>
      </c>
    </row>
    <row r="259" spans="2:4" ht="13">
      <c r="B259" s="12">
        <f ca="1">IFERROR(__xludf.DUMMYFUNCTION("""COMPUTED_VALUE"""),8732)</f>
        <v>8732</v>
      </c>
      <c r="C259" s="14">
        <f ca="1">IFERROR(__xludf.DUMMYFUNCTION("""COMPUTED_VALUE"""),0)</f>
        <v>0</v>
      </c>
      <c r="D259" s="12" t="str">
        <f ca="1">IFERROR(__xludf.DUMMYFUNCTION("""COMPUTED_VALUE"""),"松尾 尚樹")</f>
        <v>松尾 尚樹</v>
      </c>
    </row>
    <row r="260" spans="2:4" ht="13">
      <c r="B260" s="12">
        <f ca="1">IFERROR(__xludf.DUMMYFUNCTION("""COMPUTED_VALUE"""),8741)</f>
        <v>8741</v>
      </c>
      <c r="C260" s="14">
        <f ca="1">IFERROR(__xludf.DUMMYFUNCTION("""COMPUTED_VALUE"""),5)</f>
        <v>5</v>
      </c>
      <c r="D260" s="12" t="str">
        <f ca="1">IFERROR(__xludf.DUMMYFUNCTION("""COMPUTED_VALUE"""),"堀越 駿")</f>
        <v>堀越 駿</v>
      </c>
    </row>
    <row r="261" spans="2:4" ht="13">
      <c r="B261" s="12">
        <f ca="1">IFERROR(__xludf.DUMMYFUNCTION("""COMPUTED_VALUE"""),8754)</f>
        <v>8754</v>
      </c>
      <c r="C261" s="14">
        <f ca="1">IFERROR(__xludf.DUMMYFUNCTION("""COMPUTED_VALUE"""),80)</f>
        <v>80</v>
      </c>
      <c r="D261" s="12" t="str">
        <f ca="1">IFERROR(__xludf.DUMMYFUNCTION("""COMPUTED_VALUE"""),"栗原 大武")</f>
        <v>栗原 大武</v>
      </c>
    </row>
    <row r="262" spans="2:4" ht="13">
      <c r="B262" s="12">
        <f ca="1">IFERROR(__xludf.DUMMYFUNCTION("""COMPUTED_VALUE"""),8776)</f>
        <v>8776</v>
      </c>
      <c r="C262" s="14">
        <f ca="1">IFERROR(__xludf.DUMMYFUNCTION("""COMPUTED_VALUE"""),1)</f>
        <v>1</v>
      </c>
      <c r="D262" s="12" t="str">
        <f ca="1">IFERROR(__xludf.DUMMYFUNCTION("""COMPUTED_VALUE"""),"辻村 将大")</f>
        <v>辻村 将大</v>
      </c>
    </row>
    <row r="263" spans="2:4" ht="13">
      <c r="B263" s="12">
        <f ca="1">IFERROR(__xludf.DUMMYFUNCTION("""COMPUTED_VALUE"""),8779)</f>
        <v>8779</v>
      </c>
      <c r="C263" s="14">
        <f ca="1">IFERROR(__xludf.DUMMYFUNCTION("""COMPUTED_VALUE"""),0)</f>
        <v>0</v>
      </c>
      <c r="D263" s="12" t="str">
        <f ca="1">IFERROR(__xludf.DUMMYFUNCTION("""COMPUTED_VALUE"""),"芳賀 亮輔")</f>
        <v>芳賀 亮輔</v>
      </c>
    </row>
    <row r="264" spans="2:4" ht="13">
      <c r="B264" s="12">
        <f ca="1">IFERROR(__xludf.DUMMYFUNCTION("""COMPUTED_VALUE"""),8796)</f>
        <v>8796</v>
      </c>
      <c r="C264" s="14">
        <f ca="1">IFERROR(__xludf.DUMMYFUNCTION("""COMPUTED_VALUE"""),6)</f>
        <v>6</v>
      </c>
      <c r="D264" s="12" t="str">
        <f ca="1">IFERROR(__xludf.DUMMYFUNCTION("""COMPUTED_VALUE"""),"田嶋 将太")</f>
        <v>田嶋 将太</v>
      </c>
    </row>
    <row r="265" spans="2:4" ht="13">
      <c r="B265" s="12">
        <f ca="1">IFERROR(__xludf.DUMMYFUNCTION("""COMPUTED_VALUE"""),8798)</f>
        <v>8798</v>
      </c>
      <c r="C265" s="14">
        <f ca="1">IFERROR(__xludf.DUMMYFUNCTION("""COMPUTED_VALUE"""),0)</f>
        <v>0</v>
      </c>
      <c r="D265" s="12" t="str">
        <f ca="1">IFERROR(__xludf.DUMMYFUNCTION("""COMPUTED_VALUE"""),"内丸 裕子")</f>
        <v>内丸 裕子</v>
      </c>
    </row>
    <row r="266" spans="2:4" ht="13">
      <c r="B266" s="12">
        <f ca="1">IFERROR(__xludf.DUMMYFUNCTION("""COMPUTED_VALUE"""),8813)</f>
        <v>8813</v>
      </c>
      <c r="C266" s="14">
        <f ca="1">IFERROR(__xludf.DUMMYFUNCTION("""COMPUTED_VALUE"""),16)</f>
        <v>16</v>
      </c>
      <c r="D266" s="12" t="str">
        <f ca="1">IFERROR(__xludf.DUMMYFUNCTION("""COMPUTED_VALUE"""),"荻曽 克輝")</f>
        <v>荻曽 克輝</v>
      </c>
    </row>
    <row r="267" spans="2:4" ht="13">
      <c r="B267" s="12">
        <f ca="1">IFERROR(__xludf.DUMMYFUNCTION("""COMPUTED_VALUE"""),8814)</f>
        <v>8814</v>
      </c>
      <c r="C267" s="14">
        <f ca="1">IFERROR(__xludf.DUMMYFUNCTION("""COMPUTED_VALUE"""),0)</f>
        <v>0</v>
      </c>
      <c r="D267" s="12" t="str">
        <f ca="1">IFERROR(__xludf.DUMMYFUNCTION("""COMPUTED_VALUE"""),"辻村 将大")</f>
        <v>辻村 将大</v>
      </c>
    </row>
    <row r="268" spans="2:4" ht="13">
      <c r="B268" s="12">
        <f ca="1">IFERROR(__xludf.DUMMYFUNCTION("""COMPUTED_VALUE"""),8817)</f>
        <v>8817</v>
      </c>
      <c r="C268" s="14">
        <f ca="1">IFERROR(__xludf.DUMMYFUNCTION("""COMPUTED_VALUE"""),1)</f>
        <v>1</v>
      </c>
      <c r="D268" s="12" t="str">
        <f ca="1">IFERROR(__xludf.DUMMYFUNCTION("""COMPUTED_VALUE"""),"桑原 明子")</f>
        <v>桑原 明子</v>
      </c>
    </row>
    <row r="269" spans="2:4" ht="13">
      <c r="B269" s="12">
        <f ca="1">IFERROR(__xludf.DUMMYFUNCTION("""COMPUTED_VALUE"""),8818)</f>
        <v>8818</v>
      </c>
      <c r="C269" s="14">
        <f ca="1">IFERROR(__xludf.DUMMYFUNCTION("""COMPUTED_VALUE"""),168)</f>
        <v>168</v>
      </c>
      <c r="D269" s="12" t="str">
        <f ca="1">IFERROR(__xludf.DUMMYFUNCTION("""COMPUTED_VALUE"""),"荻曽 克輝")</f>
        <v>荻曽 克輝</v>
      </c>
    </row>
    <row r="270" spans="2:4" ht="13">
      <c r="B270" s="12">
        <f ca="1">IFERROR(__xludf.DUMMYFUNCTION("""COMPUTED_VALUE"""),8825)</f>
        <v>8825</v>
      </c>
      <c r="C270" s="14">
        <f ca="1">IFERROR(__xludf.DUMMYFUNCTION("""COMPUTED_VALUE"""),2)</f>
        <v>2</v>
      </c>
      <c r="D270" s="12" t="str">
        <f ca="1">IFERROR(__xludf.DUMMYFUNCTION("""COMPUTED_VALUE"""),"荻曽 克輝")</f>
        <v>荻曽 克輝</v>
      </c>
    </row>
    <row r="271" spans="2:4" ht="13">
      <c r="B271" s="12">
        <f ca="1">IFERROR(__xludf.DUMMYFUNCTION("""COMPUTED_VALUE"""),8833)</f>
        <v>8833</v>
      </c>
      <c r="C271" s="14">
        <f ca="1">IFERROR(__xludf.DUMMYFUNCTION("""COMPUTED_VALUE"""),13)</f>
        <v>13</v>
      </c>
      <c r="D271" s="12" t="str">
        <f ca="1">IFERROR(__xludf.DUMMYFUNCTION("""COMPUTED_VALUE"""),"桐山 勝気")</f>
        <v>桐山 勝気</v>
      </c>
    </row>
    <row r="272" spans="2:4" ht="13">
      <c r="B272" s="12">
        <f ca="1">IFERROR(__xludf.DUMMYFUNCTION("""COMPUTED_VALUE"""),8860)</f>
        <v>8860</v>
      </c>
      <c r="C272" s="14">
        <f ca="1">IFERROR(__xludf.DUMMYFUNCTION("""COMPUTED_VALUE"""),0)</f>
        <v>0</v>
      </c>
      <c r="D272" s="12" t="str">
        <f ca="1">IFERROR(__xludf.DUMMYFUNCTION("""COMPUTED_VALUE"""),"荻曽 克輝")</f>
        <v>荻曽 克輝</v>
      </c>
    </row>
    <row r="273" spans="2:4" ht="13">
      <c r="B273" s="12">
        <f ca="1">IFERROR(__xludf.DUMMYFUNCTION("""COMPUTED_VALUE"""),8863)</f>
        <v>8863</v>
      </c>
      <c r="C273" s="14">
        <f ca="1">IFERROR(__xludf.DUMMYFUNCTION("""COMPUTED_VALUE"""),2)</f>
        <v>2</v>
      </c>
      <c r="D273" s="12" t="str">
        <f ca="1">IFERROR(__xludf.DUMMYFUNCTION("""COMPUTED_VALUE"""),"村上 浩一朗")</f>
        <v>村上 浩一朗</v>
      </c>
    </row>
    <row r="274" spans="2:4" ht="13">
      <c r="B274" s="12">
        <f ca="1">IFERROR(__xludf.DUMMYFUNCTION("""COMPUTED_VALUE"""),8878)</f>
        <v>8878</v>
      </c>
      <c r="C274" s="14">
        <f ca="1">IFERROR(__xludf.DUMMYFUNCTION("""COMPUTED_VALUE"""),62)</f>
        <v>62</v>
      </c>
      <c r="D274" s="12" t="str">
        <f ca="1">IFERROR(__xludf.DUMMYFUNCTION("""COMPUTED_VALUE"""),"栗原 大武")</f>
        <v>栗原 大武</v>
      </c>
    </row>
    <row r="275" spans="2:4" ht="13">
      <c r="B275" s="12">
        <f ca="1">IFERROR(__xludf.DUMMYFUNCTION("""COMPUTED_VALUE"""),8887)</f>
        <v>8887</v>
      </c>
      <c r="C275" s="14">
        <f ca="1">IFERROR(__xludf.DUMMYFUNCTION("""COMPUTED_VALUE"""),18)</f>
        <v>18</v>
      </c>
      <c r="D275" s="12" t="str">
        <f ca="1">IFERROR(__xludf.DUMMYFUNCTION("""COMPUTED_VALUE"""),"荻曽 克輝")</f>
        <v>荻曽 克輝</v>
      </c>
    </row>
    <row r="276" spans="2:4" ht="13">
      <c r="B276" s="12">
        <f ca="1">IFERROR(__xludf.DUMMYFUNCTION("""COMPUTED_VALUE"""),8892)</f>
        <v>8892</v>
      </c>
      <c r="C276" s="14">
        <f ca="1">IFERROR(__xludf.DUMMYFUNCTION("""COMPUTED_VALUE"""),0)</f>
        <v>0</v>
      </c>
      <c r="D276" s="12" t="str">
        <f ca="1">IFERROR(__xludf.DUMMYFUNCTION("""COMPUTED_VALUE"""),"小関 麻起")</f>
        <v>小関 麻起</v>
      </c>
    </row>
    <row r="277" spans="2:4" ht="13">
      <c r="B277" s="12">
        <f ca="1">IFERROR(__xludf.DUMMYFUNCTION("""COMPUTED_VALUE"""),8897)</f>
        <v>8897</v>
      </c>
      <c r="C277" s="14">
        <f ca="1">IFERROR(__xludf.DUMMYFUNCTION("""COMPUTED_VALUE"""),16)</f>
        <v>16</v>
      </c>
      <c r="D277" s="12" t="str">
        <f ca="1">IFERROR(__xludf.DUMMYFUNCTION("""COMPUTED_VALUE"""),"内丸 裕子")</f>
        <v>内丸 裕子</v>
      </c>
    </row>
    <row r="278" spans="2:4" ht="13">
      <c r="B278" s="12">
        <f ca="1">IFERROR(__xludf.DUMMYFUNCTION("""COMPUTED_VALUE"""),8901)</f>
        <v>8901</v>
      </c>
      <c r="C278" s="14">
        <f ca="1">IFERROR(__xludf.DUMMYFUNCTION("""COMPUTED_VALUE"""),0)</f>
        <v>0</v>
      </c>
      <c r="D278" s="12" t="str">
        <f ca="1">IFERROR(__xludf.DUMMYFUNCTION("""COMPUTED_VALUE"""),"栗原 大武")</f>
        <v>栗原 大武</v>
      </c>
    </row>
    <row r="279" spans="2:4" ht="13">
      <c r="B279" s="12">
        <f ca="1">IFERROR(__xludf.DUMMYFUNCTION("""COMPUTED_VALUE"""),8910)</f>
        <v>8910</v>
      </c>
      <c r="C279" s="14">
        <f ca="1">IFERROR(__xludf.DUMMYFUNCTION("""COMPUTED_VALUE"""),0)</f>
        <v>0</v>
      </c>
      <c r="D279" s="12" t="str">
        <f ca="1">IFERROR(__xludf.DUMMYFUNCTION("""COMPUTED_VALUE"""),"長谷川 陸朗")</f>
        <v>長谷川 陸朗</v>
      </c>
    </row>
    <row r="280" spans="2:4" ht="13">
      <c r="B280" s="12">
        <f ca="1">IFERROR(__xludf.DUMMYFUNCTION("""COMPUTED_VALUE"""),8913)</f>
        <v>8913</v>
      </c>
      <c r="C280" s="14">
        <f ca="1">IFERROR(__xludf.DUMMYFUNCTION("""COMPUTED_VALUE"""),0)</f>
        <v>0</v>
      </c>
      <c r="D280" s="12" t="str">
        <f ca="1">IFERROR(__xludf.DUMMYFUNCTION("""COMPUTED_VALUE"""),"村上 浩一朗")</f>
        <v>村上 浩一朗</v>
      </c>
    </row>
    <row r="281" spans="2:4" ht="13">
      <c r="B281" s="12">
        <f ca="1">IFERROR(__xludf.DUMMYFUNCTION("""COMPUTED_VALUE"""),8914)</f>
        <v>8914</v>
      </c>
      <c r="C281" s="14">
        <f ca="1">IFERROR(__xludf.DUMMYFUNCTION("""COMPUTED_VALUE"""),82)</f>
        <v>82</v>
      </c>
      <c r="D281" s="12" t="str">
        <f ca="1">IFERROR(__xludf.DUMMYFUNCTION("""COMPUTED_VALUE"""),"村上 浩一朗")</f>
        <v>村上 浩一朗</v>
      </c>
    </row>
    <row r="282" spans="2:4" ht="13">
      <c r="B282" s="12">
        <f ca="1">IFERROR(__xludf.DUMMYFUNCTION("""COMPUTED_VALUE"""),8915)</f>
        <v>8915</v>
      </c>
      <c r="C282" s="14">
        <f ca="1">IFERROR(__xludf.DUMMYFUNCTION("""COMPUTED_VALUE"""),159)</f>
        <v>159</v>
      </c>
      <c r="D282" s="12" t="str">
        <f ca="1">IFERROR(__xludf.DUMMYFUNCTION("""COMPUTED_VALUE"""),"村上 浩一朗")</f>
        <v>村上 浩一朗</v>
      </c>
    </row>
    <row r="283" spans="2:4" ht="13">
      <c r="B283" s="12">
        <f ca="1">IFERROR(__xludf.DUMMYFUNCTION("""COMPUTED_VALUE"""),8918)</f>
        <v>8918</v>
      </c>
      <c r="C283" s="14">
        <f ca="1">IFERROR(__xludf.DUMMYFUNCTION("""COMPUTED_VALUE"""),4)</f>
        <v>4</v>
      </c>
      <c r="D283" s="12" t="str">
        <f ca="1">IFERROR(__xludf.DUMMYFUNCTION("""COMPUTED_VALUE"""),"桑原 明子")</f>
        <v>桑原 明子</v>
      </c>
    </row>
    <row r="284" spans="2:4" ht="13">
      <c r="B284" s="12">
        <f ca="1">IFERROR(__xludf.DUMMYFUNCTION("""COMPUTED_VALUE"""),8926)</f>
        <v>8926</v>
      </c>
      <c r="C284" s="14">
        <f ca="1">IFERROR(__xludf.DUMMYFUNCTION("""COMPUTED_VALUE"""),0)</f>
        <v>0</v>
      </c>
      <c r="D284" s="12" t="str">
        <f ca="1">IFERROR(__xludf.DUMMYFUNCTION("""COMPUTED_VALUE"""),"村上 浩一朗")</f>
        <v>村上 浩一朗</v>
      </c>
    </row>
    <row r="285" spans="2:4" ht="13">
      <c r="B285" s="12">
        <f ca="1">IFERROR(__xludf.DUMMYFUNCTION("""COMPUTED_VALUE"""),8929)</f>
        <v>8929</v>
      </c>
      <c r="C285" s="14">
        <f ca="1">IFERROR(__xludf.DUMMYFUNCTION("""COMPUTED_VALUE"""),0)</f>
        <v>0</v>
      </c>
      <c r="D285" s="12" t="str">
        <f ca="1">IFERROR(__xludf.DUMMYFUNCTION("""COMPUTED_VALUE"""),"長谷川 陸朗")</f>
        <v>長谷川 陸朗</v>
      </c>
    </row>
    <row r="286" spans="2:4" ht="13">
      <c r="B286" s="12">
        <f ca="1">IFERROR(__xludf.DUMMYFUNCTION("""COMPUTED_VALUE"""),8931)</f>
        <v>8931</v>
      </c>
      <c r="C286" s="14">
        <f ca="1">IFERROR(__xludf.DUMMYFUNCTION("""COMPUTED_VALUE"""),27)</f>
        <v>27</v>
      </c>
      <c r="D286" s="12" t="str">
        <f ca="1">IFERROR(__xludf.DUMMYFUNCTION("""COMPUTED_VALUE"""),"荻曽 克輝")</f>
        <v>荻曽 克輝</v>
      </c>
    </row>
    <row r="287" spans="2:4" ht="13">
      <c r="B287" s="12">
        <f ca="1">IFERROR(__xludf.DUMMYFUNCTION("""COMPUTED_VALUE"""),8937)</f>
        <v>8937</v>
      </c>
      <c r="C287" s="14">
        <f ca="1">IFERROR(__xludf.DUMMYFUNCTION("""COMPUTED_VALUE"""),0)</f>
        <v>0</v>
      </c>
      <c r="D287" s="12" t="str">
        <f ca="1">IFERROR(__xludf.DUMMYFUNCTION("""COMPUTED_VALUE"""),"松尾 尚樹")</f>
        <v>松尾 尚樹</v>
      </c>
    </row>
    <row r="288" spans="2:4" ht="13">
      <c r="B288" s="12">
        <f ca="1">IFERROR(__xludf.DUMMYFUNCTION("""COMPUTED_VALUE"""),8938)</f>
        <v>8938</v>
      </c>
      <c r="C288" s="14">
        <f ca="1">IFERROR(__xludf.DUMMYFUNCTION("""COMPUTED_VALUE"""),0)</f>
        <v>0</v>
      </c>
      <c r="D288" s="12" t="str">
        <f ca="1">IFERROR(__xludf.DUMMYFUNCTION("""COMPUTED_VALUE"""),"長谷川 陸朗")</f>
        <v>長谷川 陸朗</v>
      </c>
    </row>
    <row r="289" spans="2:4" ht="13">
      <c r="B289" s="12">
        <f ca="1">IFERROR(__xludf.DUMMYFUNCTION("""COMPUTED_VALUE"""),8947)</f>
        <v>8947</v>
      </c>
      <c r="C289" s="14">
        <f ca="1">IFERROR(__xludf.DUMMYFUNCTION("""COMPUTED_VALUE"""),0)</f>
        <v>0</v>
      </c>
      <c r="D289" s="12" t="str">
        <f ca="1">IFERROR(__xludf.DUMMYFUNCTION("""COMPUTED_VALUE"""),"老田 純輝")</f>
        <v>老田 純輝</v>
      </c>
    </row>
    <row r="290" spans="2:4" ht="13">
      <c r="B290" s="12">
        <f ca="1">IFERROR(__xludf.DUMMYFUNCTION("""COMPUTED_VALUE"""),8948)</f>
        <v>8948</v>
      </c>
      <c r="C290" s="14">
        <f ca="1">IFERROR(__xludf.DUMMYFUNCTION("""COMPUTED_VALUE"""),0)</f>
        <v>0</v>
      </c>
      <c r="D290" s="12" t="str">
        <f ca="1">IFERROR(__xludf.DUMMYFUNCTION("""COMPUTED_VALUE"""),"荻曽 克輝")</f>
        <v>荻曽 克輝</v>
      </c>
    </row>
    <row r="291" spans="2:4" ht="13">
      <c r="B291" s="12">
        <f ca="1">IFERROR(__xludf.DUMMYFUNCTION("""COMPUTED_VALUE"""),8950)</f>
        <v>8950</v>
      </c>
      <c r="C291" s="14">
        <f ca="1">IFERROR(__xludf.DUMMYFUNCTION("""COMPUTED_VALUE"""),0)</f>
        <v>0</v>
      </c>
      <c r="D291" s="12" t="str">
        <f ca="1">IFERROR(__xludf.DUMMYFUNCTION("""COMPUTED_VALUE"""),"桐山 勝気")</f>
        <v>桐山 勝気</v>
      </c>
    </row>
    <row r="292" spans="2:4" ht="13">
      <c r="B292" s="12">
        <f ca="1">IFERROR(__xludf.DUMMYFUNCTION("""COMPUTED_VALUE"""),8951)</f>
        <v>8951</v>
      </c>
      <c r="C292" s="14">
        <f ca="1">IFERROR(__xludf.DUMMYFUNCTION("""COMPUTED_VALUE"""),2)</f>
        <v>2</v>
      </c>
      <c r="D292" s="12" t="str">
        <f ca="1">IFERROR(__xludf.DUMMYFUNCTION("""COMPUTED_VALUE"""),"荻曽 克輝")</f>
        <v>荻曽 克輝</v>
      </c>
    </row>
    <row r="293" spans="2:4" ht="13">
      <c r="B293" s="12">
        <f ca="1">IFERROR(__xludf.DUMMYFUNCTION("""COMPUTED_VALUE"""),8954)</f>
        <v>8954</v>
      </c>
      <c r="C293" s="14">
        <f ca="1">IFERROR(__xludf.DUMMYFUNCTION("""COMPUTED_VALUE"""),16)</f>
        <v>16</v>
      </c>
      <c r="D293" s="12" t="str">
        <f ca="1">IFERROR(__xludf.DUMMYFUNCTION("""COMPUTED_VALUE"""),"内丸 裕子")</f>
        <v>内丸 裕子</v>
      </c>
    </row>
    <row r="294" spans="2:4" ht="13">
      <c r="B294" s="12">
        <f ca="1">IFERROR(__xludf.DUMMYFUNCTION("""COMPUTED_VALUE"""),8966)</f>
        <v>8966</v>
      </c>
      <c r="C294" s="14">
        <f ca="1">IFERROR(__xludf.DUMMYFUNCTION("""COMPUTED_VALUE"""),9)</f>
        <v>9</v>
      </c>
      <c r="D294" s="12" t="str">
        <f ca="1">IFERROR(__xludf.DUMMYFUNCTION("""COMPUTED_VALUE"""),"荻曽 克輝")</f>
        <v>荻曽 克輝</v>
      </c>
    </row>
    <row r="295" spans="2:4" ht="13">
      <c r="B295" s="12">
        <f ca="1">IFERROR(__xludf.DUMMYFUNCTION("""COMPUTED_VALUE"""),8968)</f>
        <v>8968</v>
      </c>
      <c r="C295" s="14">
        <f ca="1">IFERROR(__xludf.DUMMYFUNCTION("""COMPUTED_VALUE"""),0)</f>
        <v>0</v>
      </c>
      <c r="D295" s="12" t="str">
        <f ca="1">IFERROR(__xludf.DUMMYFUNCTION("""COMPUTED_VALUE"""),"辻村 将大")</f>
        <v>辻村 将大</v>
      </c>
    </row>
    <row r="296" spans="2:4" ht="13">
      <c r="B296" s="12">
        <f ca="1">IFERROR(__xludf.DUMMYFUNCTION("""COMPUTED_VALUE"""),8973)</f>
        <v>8973</v>
      </c>
      <c r="C296" s="14">
        <f ca="1">IFERROR(__xludf.DUMMYFUNCTION("""COMPUTED_VALUE"""),0)</f>
        <v>0</v>
      </c>
      <c r="D296" s="12" t="str">
        <f ca="1">IFERROR(__xludf.DUMMYFUNCTION("""COMPUTED_VALUE"""),"長谷川 陸朗")</f>
        <v>長谷川 陸朗</v>
      </c>
    </row>
    <row r="297" spans="2:4" ht="13">
      <c r="B297" s="12">
        <f ca="1">IFERROR(__xludf.DUMMYFUNCTION("""COMPUTED_VALUE"""),8980)</f>
        <v>8980</v>
      </c>
      <c r="C297" s="14">
        <f ca="1">IFERROR(__xludf.DUMMYFUNCTION("""COMPUTED_VALUE"""),0)</f>
        <v>0</v>
      </c>
      <c r="D297" s="12" t="str">
        <f ca="1">IFERROR(__xludf.DUMMYFUNCTION("""COMPUTED_VALUE"""),"桑原 明子")</f>
        <v>桑原 明子</v>
      </c>
    </row>
    <row r="298" spans="2:4" ht="13">
      <c r="B298" s="12">
        <f ca="1">IFERROR(__xludf.DUMMYFUNCTION("""COMPUTED_VALUE"""),8984)</f>
        <v>8984</v>
      </c>
      <c r="C298" s="14">
        <f ca="1">IFERROR(__xludf.DUMMYFUNCTION("""COMPUTED_VALUE"""),0)</f>
        <v>0</v>
      </c>
      <c r="D298" s="12" t="str">
        <f ca="1">IFERROR(__xludf.DUMMYFUNCTION("""COMPUTED_VALUE"""),"荻曽 克輝")</f>
        <v>荻曽 克輝</v>
      </c>
    </row>
    <row r="299" spans="2:4" ht="13">
      <c r="B299" s="12">
        <f ca="1">IFERROR(__xludf.DUMMYFUNCTION("""COMPUTED_VALUE"""),8987)</f>
        <v>8987</v>
      </c>
      <c r="C299" s="14">
        <f ca="1">IFERROR(__xludf.DUMMYFUNCTION("""COMPUTED_VALUE"""),1)</f>
        <v>1</v>
      </c>
      <c r="D299" s="12" t="str">
        <f ca="1">IFERROR(__xludf.DUMMYFUNCTION("""COMPUTED_VALUE"""),"老田 純輝")</f>
        <v>老田 純輝</v>
      </c>
    </row>
    <row r="300" spans="2:4" ht="13">
      <c r="B300" s="12">
        <f ca="1">IFERROR(__xludf.DUMMYFUNCTION("""COMPUTED_VALUE"""),8990)</f>
        <v>8990</v>
      </c>
      <c r="C300" s="14">
        <f ca="1">IFERROR(__xludf.DUMMYFUNCTION("""COMPUTED_VALUE"""),0)</f>
        <v>0</v>
      </c>
      <c r="D300" s="12" t="str">
        <f ca="1">IFERROR(__xludf.DUMMYFUNCTION("""COMPUTED_VALUE"""),"森 光智")</f>
        <v>森 光智</v>
      </c>
    </row>
    <row r="301" spans="2:4" ht="13">
      <c r="B301" s="12">
        <f ca="1">IFERROR(__xludf.DUMMYFUNCTION("""COMPUTED_VALUE"""),8992)</f>
        <v>8992</v>
      </c>
      <c r="C301" s="14">
        <f ca="1">IFERROR(__xludf.DUMMYFUNCTION("""COMPUTED_VALUE"""),0)</f>
        <v>0</v>
      </c>
      <c r="D301" s="12" t="str">
        <f ca="1">IFERROR(__xludf.DUMMYFUNCTION("""COMPUTED_VALUE"""),"桑原 明子")</f>
        <v>桑原 明子</v>
      </c>
    </row>
    <row r="302" spans="2:4" ht="13">
      <c r="B302" s="12">
        <f ca="1">IFERROR(__xludf.DUMMYFUNCTION("""COMPUTED_VALUE"""),100017)</f>
        <v>100017</v>
      </c>
      <c r="C302" s="14">
        <f ca="1">IFERROR(__xludf.DUMMYFUNCTION("""COMPUTED_VALUE"""),52)</f>
        <v>52</v>
      </c>
      <c r="D302" s="12" t="str">
        <f ca="1">IFERROR(__xludf.DUMMYFUNCTION("""COMPUTED_VALUE"""),"辻村 将大")</f>
        <v>辻村 将大</v>
      </c>
    </row>
    <row r="303" spans="2:4" ht="13">
      <c r="B303" s="12">
        <f ca="1">IFERROR(__xludf.DUMMYFUNCTION("""COMPUTED_VALUE"""),100070)</f>
        <v>100070</v>
      </c>
      <c r="C303" s="14">
        <f ca="1">IFERROR(__xludf.DUMMYFUNCTION("""COMPUTED_VALUE"""),43)</f>
        <v>43</v>
      </c>
      <c r="D303" s="12" t="str">
        <f ca="1">IFERROR(__xludf.DUMMYFUNCTION("""COMPUTED_VALUE"""),"森 光智")</f>
        <v>森 光智</v>
      </c>
    </row>
    <row r="304" spans="2:4" ht="13">
      <c r="B304" s="12">
        <f ca="1">IFERROR(__xludf.DUMMYFUNCTION("""COMPUTED_VALUE"""),100071)</f>
        <v>100071</v>
      </c>
      <c r="C304" s="14">
        <f ca="1">IFERROR(__xludf.DUMMYFUNCTION("""COMPUTED_VALUE"""),0)</f>
        <v>0</v>
      </c>
      <c r="D304" s="12" t="str">
        <f ca="1">IFERROR(__xludf.DUMMYFUNCTION("""COMPUTED_VALUE"""),"栗原 大武")</f>
        <v>栗原 大武</v>
      </c>
    </row>
    <row r="305" spans="2:4" ht="13">
      <c r="B305" s="12">
        <f ca="1">IFERROR(__xludf.DUMMYFUNCTION("""COMPUTED_VALUE"""),100074)</f>
        <v>100074</v>
      </c>
      <c r="C305" s="14">
        <f ca="1">IFERROR(__xludf.DUMMYFUNCTION("""COMPUTED_VALUE"""),0)</f>
        <v>0</v>
      </c>
      <c r="D305" s="12" t="str">
        <f ca="1">IFERROR(__xludf.DUMMYFUNCTION("""COMPUTED_VALUE"""),"小関 麻起")</f>
        <v>小関 麻起</v>
      </c>
    </row>
    <row r="306" spans="2:4" ht="13">
      <c r="B306" s="12">
        <f ca="1">IFERROR(__xludf.DUMMYFUNCTION("""COMPUTED_VALUE"""),100088)</f>
        <v>100088</v>
      </c>
      <c r="C306" s="14">
        <f ca="1">IFERROR(__xludf.DUMMYFUNCTION("""COMPUTED_VALUE"""),28)</f>
        <v>28</v>
      </c>
      <c r="D306" s="12" t="str">
        <f ca="1">IFERROR(__xludf.DUMMYFUNCTION("""COMPUTED_VALUE"""),"柿崎 晃司")</f>
        <v>柿崎 晃司</v>
      </c>
    </row>
    <row r="307" spans="2:4" ht="13">
      <c r="B307" s="12">
        <f ca="1">IFERROR(__xludf.DUMMYFUNCTION("""COMPUTED_VALUE"""),100089)</f>
        <v>100089</v>
      </c>
      <c r="C307" s="14">
        <f ca="1">IFERROR(__xludf.DUMMYFUNCTION("""COMPUTED_VALUE"""),8)</f>
        <v>8</v>
      </c>
      <c r="D307" s="12" t="str">
        <f ca="1">IFERROR(__xludf.DUMMYFUNCTION("""COMPUTED_VALUE"""),"柿崎 晃司")</f>
        <v>柿崎 晃司</v>
      </c>
    </row>
    <row r="308" spans="2:4" ht="13">
      <c r="B308" s="12">
        <f ca="1">IFERROR(__xludf.DUMMYFUNCTION("""COMPUTED_VALUE"""),100090)</f>
        <v>100090</v>
      </c>
      <c r="C308" s="14">
        <f ca="1">IFERROR(__xludf.DUMMYFUNCTION("""COMPUTED_VALUE"""),36)</f>
        <v>36</v>
      </c>
      <c r="D308" s="12" t="str">
        <f ca="1">IFERROR(__xludf.DUMMYFUNCTION("""COMPUTED_VALUE"""),"柿崎 晃司")</f>
        <v>柿崎 晃司</v>
      </c>
    </row>
    <row r="309" spans="2:4" ht="13">
      <c r="B309" s="12">
        <f ca="1">IFERROR(__xludf.DUMMYFUNCTION("""COMPUTED_VALUE"""),100118)</f>
        <v>100118</v>
      </c>
      <c r="C309" s="14">
        <f ca="1">IFERROR(__xludf.DUMMYFUNCTION("""COMPUTED_VALUE"""),92)</f>
        <v>92</v>
      </c>
      <c r="D309" s="12" t="str">
        <f ca="1">IFERROR(__xludf.DUMMYFUNCTION("""COMPUTED_VALUE"""),"辻村 将大")</f>
        <v>辻村 将大</v>
      </c>
    </row>
    <row r="310" spans="2:4" ht="13">
      <c r="B310" s="12">
        <f ca="1">IFERROR(__xludf.DUMMYFUNCTION("""COMPUTED_VALUE"""),100147)</f>
        <v>100147</v>
      </c>
      <c r="C310" s="14">
        <f ca="1">IFERROR(__xludf.DUMMYFUNCTION("""COMPUTED_VALUE"""),0)</f>
        <v>0</v>
      </c>
      <c r="D310" s="12" t="str">
        <f ca="1">IFERROR(__xludf.DUMMYFUNCTION("""COMPUTED_VALUE"""),"老田 純輝")</f>
        <v>老田 純輝</v>
      </c>
    </row>
    <row r="311" spans="2:4" ht="13">
      <c r="B311" s="12">
        <f ca="1">IFERROR(__xludf.DUMMYFUNCTION("""COMPUTED_VALUE"""),100182)</f>
        <v>100182</v>
      </c>
      <c r="C311" s="14">
        <f ca="1">IFERROR(__xludf.DUMMYFUNCTION("""COMPUTED_VALUE"""),6)</f>
        <v>6</v>
      </c>
      <c r="D311" s="12" t="str">
        <f ca="1">IFERROR(__xludf.DUMMYFUNCTION("""COMPUTED_VALUE"""),"栗原 大武")</f>
        <v>栗原 大武</v>
      </c>
    </row>
    <row r="312" spans="2:4" ht="13">
      <c r="B312" s="12">
        <f ca="1">IFERROR(__xludf.DUMMYFUNCTION("""COMPUTED_VALUE"""),100189)</f>
        <v>100189</v>
      </c>
      <c r="C312" s="14">
        <f ca="1">IFERROR(__xludf.DUMMYFUNCTION("""COMPUTED_VALUE"""),8)</f>
        <v>8</v>
      </c>
      <c r="D312" s="12" t="str">
        <f ca="1">IFERROR(__xludf.DUMMYFUNCTION("""COMPUTED_VALUE"""),"松尾 尚樹")</f>
        <v>松尾 尚樹</v>
      </c>
    </row>
    <row r="313" spans="2:4" ht="13">
      <c r="B313" s="12">
        <f ca="1">IFERROR(__xludf.DUMMYFUNCTION("""COMPUTED_VALUE"""),100191)</f>
        <v>100191</v>
      </c>
      <c r="C313" s="14">
        <f ca="1">IFERROR(__xludf.DUMMYFUNCTION("""COMPUTED_VALUE"""),0)</f>
        <v>0</v>
      </c>
      <c r="D313" s="12" t="str">
        <f ca="1">IFERROR(__xludf.DUMMYFUNCTION("""COMPUTED_VALUE"""),"成嶋 夏未")</f>
        <v>成嶋 夏未</v>
      </c>
    </row>
    <row r="314" spans="2:4" ht="13">
      <c r="B314" s="12">
        <f ca="1">IFERROR(__xludf.DUMMYFUNCTION("""COMPUTED_VALUE"""),100209)</f>
        <v>100209</v>
      </c>
      <c r="C314" s="14">
        <f ca="1">IFERROR(__xludf.DUMMYFUNCTION("""COMPUTED_VALUE"""),15)</f>
        <v>15</v>
      </c>
      <c r="D314" s="12" t="str">
        <f ca="1">IFERROR(__xludf.DUMMYFUNCTION("""COMPUTED_VALUE"""),"稲場 勇介")</f>
        <v>稲場 勇介</v>
      </c>
    </row>
    <row r="315" spans="2:4" ht="13">
      <c r="B315" s="12">
        <f ca="1">IFERROR(__xludf.DUMMYFUNCTION("""COMPUTED_VALUE"""),100211)</f>
        <v>100211</v>
      </c>
      <c r="C315" s="14">
        <f ca="1">IFERROR(__xludf.DUMMYFUNCTION("""COMPUTED_VALUE"""),23)</f>
        <v>23</v>
      </c>
      <c r="D315" s="12" t="str">
        <f ca="1">IFERROR(__xludf.DUMMYFUNCTION("""COMPUTED_VALUE"""),"稲場 勇介")</f>
        <v>稲場 勇介</v>
      </c>
    </row>
    <row r="316" spans="2:4" ht="13">
      <c r="B316" s="12">
        <f ca="1">IFERROR(__xludf.DUMMYFUNCTION("""COMPUTED_VALUE"""),100212)</f>
        <v>100212</v>
      </c>
      <c r="C316" s="14">
        <f ca="1">IFERROR(__xludf.DUMMYFUNCTION("""COMPUTED_VALUE"""),13)</f>
        <v>13</v>
      </c>
      <c r="D316" s="12" t="str">
        <f ca="1">IFERROR(__xludf.DUMMYFUNCTION("""COMPUTED_VALUE"""),"稲場 勇介")</f>
        <v>稲場 勇介</v>
      </c>
    </row>
    <row r="317" spans="2:4" ht="13">
      <c r="B317" s="12">
        <f ca="1">IFERROR(__xludf.DUMMYFUNCTION("""COMPUTED_VALUE"""),100215)</f>
        <v>100215</v>
      </c>
      <c r="C317" s="14">
        <f ca="1">IFERROR(__xludf.DUMMYFUNCTION("""COMPUTED_VALUE"""),2)</f>
        <v>2</v>
      </c>
      <c r="D317" s="12" t="str">
        <f ca="1">IFERROR(__xludf.DUMMYFUNCTION("""COMPUTED_VALUE"""),"長谷川 陸朗")</f>
        <v>長谷川 陸朗</v>
      </c>
    </row>
    <row r="318" spans="2:4" ht="13">
      <c r="B318" s="12">
        <f ca="1">IFERROR(__xludf.DUMMYFUNCTION("""COMPUTED_VALUE"""),100233)</f>
        <v>100233</v>
      </c>
      <c r="C318" s="14">
        <f ca="1">IFERROR(__xludf.DUMMYFUNCTION("""COMPUTED_VALUE"""),4)</f>
        <v>4</v>
      </c>
      <c r="D318" s="12" t="str">
        <f ca="1">IFERROR(__xludf.DUMMYFUNCTION("""COMPUTED_VALUE"""),"菅野 ぎんが")</f>
        <v>菅野 ぎんが</v>
      </c>
    </row>
    <row r="319" spans="2:4" ht="13">
      <c r="B319" s="12">
        <f ca="1">IFERROR(__xludf.DUMMYFUNCTION("""COMPUTED_VALUE"""),100241)</f>
        <v>100241</v>
      </c>
      <c r="C319" s="14">
        <f ca="1">IFERROR(__xludf.DUMMYFUNCTION("""COMPUTED_VALUE"""),0)</f>
        <v>0</v>
      </c>
      <c r="D319" s="12" t="str">
        <f ca="1">IFERROR(__xludf.DUMMYFUNCTION("""COMPUTED_VALUE"""),"長谷川 陸朗")</f>
        <v>長谷川 陸朗</v>
      </c>
    </row>
    <row r="320" spans="2:4" ht="13">
      <c r="B320" s="12">
        <f ca="1">IFERROR(__xludf.DUMMYFUNCTION("""COMPUTED_VALUE"""),100244)</f>
        <v>100244</v>
      </c>
      <c r="C320" s="14">
        <f ca="1">IFERROR(__xludf.DUMMYFUNCTION("""COMPUTED_VALUE"""),6)</f>
        <v>6</v>
      </c>
      <c r="D320" s="12" t="str">
        <f ca="1">IFERROR(__xludf.DUMMYFUNCTION("""COMPUTED_VALUE"""),"菅野 ぎんが")</f>
        <v>菅野 ぎんが</v>
      </c>
    </row>
    <row r="321" spans="2:4" ht="13">
      <c r="B321" s="12">
        <f ca="1">IFERROR(__xludf.DUMMYFUNCTION("""COMPUTED_VALUE"""),100279)</f>
        <v>100279</v>
      </c>
      <c r="C321" s="14">
        <f ca="1">IFERROR(__xludf.DUMMYFUNCTION("""COMPUTED_VALUE"""),20)</f>
        <v>20</v>
      </c>
      <c r="D321" s="12" t="str">
        <f ca="1">IFERROR(__xludf.DUMMYFUNCTION("""COMPUTED_VALUE"""),"栗原 大武")</f>
        <v>栗原 大武</v>
      </c>
    </row>
    <row r="322" spans="2:4" ht="13">
      <c r="B322" s="12">
        <f ca="1">IFERROR(__xludf.DUMMYFUNCTION("""COMPUTED_VALUE"""),100289)</f>
        <v>100289</v>
      </c>
      <c r="C322" s="14">
        <f ca="1">IFERROR(__xludf.DUMMYFUNCTION("""COMPUTED_VALUE"""),86)</f>
        <v>86</v>
      </c>
      <c r="D322" s="12" t="str">
        <f ca="1">IFERROR(__xludf.DUMMYFUNCTION("""COMPUTED_VALUE"""),"菅野 ぎんが")</f>
        <v>菅野 ぎんが</v>
      </c>
    </row>
    <row r="323" spans="2:4" ht="13">
      <c r="B323" s="12">
        <f ca="1">IFERROR(__xludf.DUMMYFUNCTION("""COMPUTED_VALUE"""),100292)</f>
        <v>100292</v>
      </c>
      <c r="C323" s="14">
        <f ca="1">IFERROR(__xludf.DUMMYFUNCTION("""COMPUTED_VALUE"""),0)</f>
        <v>0</v>
      </c>
      <c r="D323" s="12" t="str">
        <f ca="1">IFERROR(__xludf.DUMMYFUNCTION("""COMPUTED_VALUE"""),"稲場 勇介")</f>
        <v>稲場 勇介</v>
      </c>
    </row>
    <row r="324" spans="2:4" ht="13">
      <c r="B324" s="12">
        <f ca="1">IFERROR(__xludf.DUMMYFUNCTION("""COMPUTED_VALUE"""),100338)</f>
        <v>100338</v>
      </c>
      <c r="C324" s="14">
        <f ca="1">IFERROR(__xludf.DUMMYFUNCTION("""COMPUTED_VALUE"""),0)</f>
        <v>0</v>
      </c>
      <c r="D324" s="12" t="str">
        <f ca="1">IFERROR(__xludf.DUMMYFUNCTION("""COMPUTED_VALUE"""),"菅野 ぎんが")</f>
        <v>菅野 ぎんが</v>
      </c>
    </row>
    <row r="325" spans="2:4" ht="13">
      <c r="B325" s="12">
        <f ca="1">IFERROR(__xludf.DUMMYFUNCTION("""COMPUTED_VALUE"""),100353)</f>
        <v>100353</v>
      </c>
      <c r="C325" s="14">
        <f ca="1">IFERROR(__xludf.DUMMYFUNCTION("""COMPUTED_VALUE"""),43)</f>
        <v>43</v>
      </c>
      <c r="D325" s="12" t="str">
        <f ca="1">IFERROR(__xludf.DUMMYFUNCTION("""COMPUTED_VALUE"""),"桐山 勝気")</f>
        <v>桐山 勝気</v>
      </c>
    </row>
    <row r="326" spans="2:4" ht="13">
      <c r="B326" s="12">
        <f ca="1">IFERROR(__xludf.DUMMYFUNCTION("""COMPUTED_VALUE"""),100361)</f>
        <v>100361</v>
      </c>
      <c r="C326" s="14">
        <f ca="1">IFERROR(__xludf.DUMMYFUNCTION("""COMPUTED_VALUE"""),13)</f>
        <v>13</v>
      </c>
      <c r="D326" s="12" t="str">
        <f ca="1">IFERROR(__xludf.DUMMYFUNCTION("""COMPUTED_VALUE"""),"奥野 貴大")</f>
        <v>奥野 貴大</v>
      </c>
    </row>
    <row r="327" spans="2:4" ht="13">
      <c r="B327" s="12">
        <f ca="1">IFERROR(__xludf.DUMMYFUNCTION("""COMPUTED_VALUE"""),100364)</f>
        <v>100364</v>
      </c>
      <c r="C327" s="14">
        <f ca="1">IFERROR(__xludf.DUMMYFUNCTION("""COMPUTED_VALUE"""),26)</f>
        <v>26</v>
      </c>
      <c r="D327" s="12" t="str">
        <f ca="1">IFERROR(__xludf.DUMMYFUNCTION("""COMPUTED_VALUE"""),"桐山 勝気")</f>
        <v>桐山 勝気</v>
      </c>
    </row>
    <row r="328" spans="2:4" ht="13">
      <c r="B328" s="12">
        <f ca="1">IFERROR(__xludf.DUMMYFUNCTION("""COMPUTED_VALUE"""),100372)</f>
        <v>100372</v>
      </c>
      <c r="C328" s="14">
        <f ca="1">IFERROR(__xludf.DUMMYFUNCTION("""COMPUTED_VALUE"""),37)</f>
        <v>37</v>
      </c>
      <c r="D328" s="12" t="str">
        <f ca="1">IFERROR(__xludf.DUMMYFUNCTION("""COMPUTED_VALUE"""),"桐山 勝気")</f>
        <v>桐山 勝気</v>
      </c>
    </row>
    <row r="329" spans="2:4" ht="13">
      <c r="B329" s="12">
        <f ca="1">IFERROR(__xludf.DUMMYFUNCTION("""COMPUTED_VALUE"""),100384)</f>
        <v>100384</v>
      </c>
      <c r="C329" s="14">
        <f ca="1">IFERROR(__xludf.DUMMYFUNCTION("""COMPUTED_VALUE"""),13)</f>
        <v>13</v>
      </c>
      <c r="D329" s="12" t="str">
        <f ca="1">IFERROR(__xludf.DUMMYFUNCTION("""COMPUTED_VALUE"""),"菅野 ぎんが")</f>
        <v>菅野 ぎんが</v>
      </c>
    </row>
    <row r="330" spans="2:4" ht="13">
      <c r="B330" s="12">
        <f ca="1">IFERROR(__xludf.DUMMYFUNCTION("""COMPUTED_VALUE"""),100394)</f>
        <v>100394</v>
      </c>
      <c r="C330" s="14">
        <f ca="1">IFERROR(__xludf.DUMMYFUNCTION("""COMPUTED_VALUE"""),0)</f>
        <v>0</v>
      </c>
      <c r="D330" s="12" t="str">
        <f ca="1">IFERROR(__xludf.DUMMYFUNCTION("""COMPUTED_VALUE"""),"田嶋 将太")</f>
        <v>田嶋 将太</v>
      </c>
    </row>
    <row r="331" spans="2:4" ht="13">
      <c r="B331" s="12">
        <f ca="1">IFERROR(__xludf.DUMMYFUNCTION("""COMPUTED_VALUE"""),100395)</f>
        <v>100395</v>
      </c>
      <c r="C331" s="14">
        <f ca="1">IFERROR(__xludf.DUMMYFUNCTION("""COMPUTED_VALUE"""),0)</f>
        <v>0</v>
      </c>
      <c r="D331" s="12" t="str">
        <f ca="1">IFERROR(__xludf.DUMMYFUNCTION("""COMPUTED_VALUE"""),"菅野 ぎんが")</f>
        <v>菅野 ぎんが</v>
      </c>
    </row>
    <row r="332" spans="2:4" ht="13">
      <c r="B332" s="12">
        <f ca="1">IFERROR(__xludf.DUMMYFUNCTION("""COMPUTED_VALUE"""),100397)</f>
        <v>100397</v>
      </c>
      <c r="C332" s="14">
        <f ca="1">IFERROR(__xludf.DUMMYFUNCTION("""COMPUTED_VALUE"""),0)</f>
        <v>0</v>
      </c>
      <c r="D332" s="12" t="str">
        <f ca="1">IFERROR(__xludf.DUMMYFUNCTION("""COMPUTED_VALUE"""),"老田 純輝")</f>
        <v>老田 純輝</v>
      </c>
    </row>
    <row r="333" spans="2:4" ht="13">
      <c r="B333" s="12">
        <f ca="1">IFERROR(__xludf.DUMMYFUNCTION("""COMPUTED_VALUE"""),100398)</f>
        <v>100398</v>
      </c>
      <c r="C333" s="14">
        <f ca="1">IFERROR(__xludf.DUMMYFUNCTION("""COMPUTED_VALUE"""),0)</f>
        <v>0</v>
      </c>
      <c r="D333" s="12" t="str">
        <f ca="1">IFERROR(__xludf.DUMMYFUNCTION("""COMPUTED_VALUE"""),"桐山 勝気")</f>
        <v>桐山 勝気</v>
      </c>
    </row>
    <row r="334" spans="2:4" ht="13">
      <c r="B334" s="12">
        <f ca="1">IFERROR(__xludf.DUMMYFUNCTION("""COMPUTED_VALUE"""),100411)</f>
        <v>100411</v>
      </c>
      <c r="C334" s="14">
        <f ca="1">IFERROR(__xludf.DUMMYFUNCTION("""COMPUTED_VALUE"""),2)</f>
        <v>2</v>
      </c>
      <c r="D334" s="12" t="str">
        <f ca="1">IFERROR(__xludf.DUMMYFUNCTION("""COMPUTED_VALUE"""),"成嶋 夏未")</f>
        <v>成嶋 夏未</v>
      </c>
    </row>
    <row r="335" spans="2:4" ht="13">
      <c r="B335" s="12">
        <f ca="1">IFERROR(__xludf.DUMMYFUNCTION("""COMPUTED_VALUE"""),100414)</f>
        <v>100414</v>
      </c>
      <c r="C335" s="14">
        <f ca="1">IFERROR(__xludf.DUMMYFUNCTION("""COMPUTED_VALUE"""),0)</f>
        <v>0</v>
      </c>
      <c r="D335" s="12" t="str">
        <f ca="1">IFERROR(__xludf.DUMMYFUNCTION("""COMPUTED_VALUE"""),"辻村 将大")</f>
        <v>辻村 将大</v>
      </c>
    </row>
    <row r="336" spans="2:4" ht="13">
      <c r="B336" s="12">
        <f ca="1">IFERROR(__xludf.DUMMYFUNCTION("""COMPUTED_VALUE"""),100424)</f>
        <v>100424</v>
      </c>
      <c r="C336" s="14">
        <f ca="1">IFERROR(__xludf.DUMMYFUNCTION("""COMPUTED_VALUE"""),1)</f>
        <v>1</v>
      </c>
      <c r="D336" s="12" t="str">
        <f ca="1">IFERROR(__xludf.DUMMYFUNCTION("""COMPUTED_VALUE"""),"芳賀 亮輔")</f>
        <v>芳賀 亮輔</v>
      </c>
    </row>
    <row r="337" spans="2:4" ht="13">
      <c r="B337" s="12">
        <f ca="1">IFERROR(__xludf.DUMMYFUNCTION("""COMPUTED_VALUE"""),100431)</f>
        <v>100431</v>
      </c>
      <c r="C337" s="14">
        <f ca="1">IFERROR(__xludf.DUMMYFUNCTION("""COMPUTED_VALUE"""),1)</f>
        <v>1</v>
      </c>
      <c r="D337" s="12" t="str">
        <f ca="1">IFERROR(__xludf.DUMMYFUNCTION("""COMPUTED_VALUE"""),"稲場 勇介")</f>
        <v>稲場 勇介</v>
      </c>
    </row>
    <row r="338" spans="2:4" ht="13">
      <c r="B338" s="12">
        <f ca="1">IFERROR(__xludf.DUMMYFUNCTION("""COMPUTED_VALUE"""),100441)</f>
        <v>100441</v>
      </c>
      <c r="C338" s="14">
        <f ca="1">IFERROR(__xludf.DUMMYFUNCTION("""COMPUTED_VALUE"""),0)</f>
        <v>0</v>
      </c>
      <c r="D338" s="12" t="str">
        <f ca="1">IFERROR(__xludf.DUMMYFUNCTION("""COMPUTED_VALUE"""),"成嶋 夏未")</f>
        <v>成嶋 夏未</v>
      </c>
    </row>
    <row r="339" spans="2:4" ht="13">
      <c r="B339" s="12">
        <f ca="1">IFERROR(__xludf.DUMMYFUNCTION("""COMPUTED_VALUE"""),100443)</f>
        <v>100443</v>
      </c>
      <c r="C339" s="14">
        <f ca="1">IFERROR(__xludf.DUMMYFUNCTION("""COMPUTED_VALUE"""),3)</f>
        <v>3</v>
      </c>
      <c r="D339" s="12" t="str">
        <f ca="1">IFERROR(__xludf.DUMMYFUNCTION("""COMPUTED_VALUE"""),"菅野 ぎんが")</f>
        <v>菅野 ぎんが</v>
      </c>
    </row>
    <row r="340" spans="2:4" ht="13">
      <c r="B340" s="12">
        <f ca="1">IFERROR(__xludf.DUMMYFUNCTION("""COMPUTED_VALUE"""),100471)</f>
        <v>100471</v>
      </c>
      <c r="C340" s="14">
        <f ca="1">IFERROR(__xludf.DUMMYFUNCTION("""COMPUTED_VALUE"""),0)</f>
        <v>0</v>
      </c>
      <c r="D340" s="12" t="str">
        <f ca="1">IFERROR(__xludf.DUMMYFUNCTION("""COMPUTED_VALUE"""),"松尾 尚樹")</f>
        <v>松尾 尚樹</v>
      </c>
    </row>
    <row r="341" spans="2:4" ht="13">
      <c r="B341" s="12">
        <f ca="1">IFERROR(__xludf.DUMMYFUNCTION("""COMPUTED_VALUE"""),100472)</f>
        <v>100472</v>
      </c>
      <c r="C341" s="14">
        <f ca="1">IFERROR(__xludf.DUMMYFUNCTION("""COMPUTED_VALUE"""),13)</f>
        <v>13</v>
      </c>
      <c r="D341" s="12" t="str">
        <f ca="1">IFERROR(__xludf.DUMMYFUNCTION("""COMPUTED_VALUE"""),"松尾 尚樹")</f>
        <v>松尾 尚樹</v>
      </c>
    </row>
    <row r="342" spans="2:4" ht="13">
      <c r="B342" s="12">
        <f ca="1">IFERROR(__xludf.DUMMYFUNCTION("""COMPUTED_VALUE"""),100485)</f>
        <v>100485</v>
      </c>
      <c r="C342" s="14">
        <f ca="1">IFERROR(__xludf.DUMMYFUNCTION("""COMPUTED_VALUE"""),0)</f>
        <v>0</v>
      </c>
      <c r="D342" s="12" t="str">
        <f ca="1">IFERROR(__xludf.DUMMYFUNCTION("""COMPUTED_VALUE"""),"老田 純輝")</f>
        <v>老田 純輝</v>
      </c>
    </row>
    <row r="343" spans="2:4" ht="13">
      <c r="B343" s="12">
        <f ca="1">IFERROR(__xludf.DUMMYFUNCTION("""COMPUTED_VALUE"""),100496)</f>
        <v>100496</v>
      </c>
      <c r="C343" s="14">
        <f ca="1">IFERROR(__xludf.DUMMYFUNCTION("""COMPUTED_VALUE"""),4)</f>
        <v>4</v>
      </c>
      <c r="D343" s="12" t="str">
        <f ca="1">IFERROR(__xludf.DUMMYFUNCTION("""COMPUTED_VALUE"""),"堀越 駿")</f>
        <v>堀越 駿</v>
      </c>
    </row>
    <row r="344" spans="2:4" ht="13">
      <c r="B344" s="12">
        <f ca="1">IFERROR(__xludf.DUMMYFUNCTION("""COMPUTED_VALUE"""),100509)</f>
        <v>100509</v>
      </c>
      <c r="C344" s="14">
        <f ca="1">IFERROR(__xludf.DUMMYFUNCTION("""COMPUTED_VALUE"""),29)</f>
        <v>29</v>
      </c>
      <c r="D344" s="12" t="str">
        <f ca="1">IFERROR(__xludf.DUMMYFUNCTION("""COMPUTED_VALUE"""),"松尾 尚樹")</f>
        <v>松尾 尚樹</v>
      </c>
    </row>
    <row r="345" spans="2:4" ht="13">
      <c r="B345" s="12">
        <f ca="1">IFERROR(__xludf.DUMMYFUNCTION("""COMPUTED_VALUE"""),100516)</f>
        <v>100516</v>
      </c>
      <c r="C345" s="14">
        <f ca="1">IFERROR(__xludf.DUMMYFUNCTION("""COMPUTED_VALUE"""),36)</f>
        <v>36</v>
      </c>
      <c r="D345" s="12" t="str">
        <f ca="1">IFERROR(__xludf.DUMMYFUNCTION("""COMPUTED_VALUE"""),"松尾 尚樹")</f>
        <v>松尾 尚樹</v>
      </c>
    </row>
    <row r="346" spans="2:4" ht="13">
      <c r="B346" s="12">
        <f ca="1">IFERROR(__xludf.DUMMYFUNCTION("""COMPUTED_VALUE"""),100523)</f>
        <v>100523</v>
      </c>
      <c r="C346" s="14">
        <f ca="1">IFERROR(__xludf.DUMMYFUNCTION("""COMPUTED_VALUE"""),69)</f>
        <v>69</v>
      </c>
      <c r="D346" s="12" t="str">
        <f ca="1">IFERROR(__xludf.DUMMYFUNCTION("""COMPUTED_VALUE"""),"稲場 勇介")</f>
        <v>稲場 勇介</v>
      </c>
    </row>
    <row r="347" spans="2:4" ht="13">
      <c r="B347" s="12">
        <f ca="1">IFERROR(__xludf.DUMMYFUNCTION("""COMPUTED_VALUE"""),100524)</f>
        <v>100524</v>
      </c>
      <c r="C347" s="14">
        <f ca="1">IFERROR(__xludf.DUMMYFUNCTION("""COMPUTED_VALUE"""),69)</f>
        <v>69</v>
      </c>
      <c r="D347" s="12" t="str">
        <f ca="1">IFERROR(__xludf.DUMMYFUNCTION("""COMPUTED_VALUE"""),"稲場 勇介")</f>
        <v>稲場 勇介</v>
      </c>
    </row>
    <row r="348" spans="2:4" ht="13">
      <c r="B348" s="12">
        <f ca="1">IFERROR(__xludf.DUMMYFUNCTION("""COMPUTED_VALUE"""),100525)</f>
        <v>100525</v>
      </c>
      <c r="C348" s="14">
        <f ca="1">IFERROR(__xludf.DUMMYFUNCTION("""COMPUTED_VALUE"""),58)</f>
        <v>58</v>
      </c>
      <c r="D348" s="12" t="str">
        <f ca="1">IFERROR(__xludf.DUMMYFUNCTION("""COMPUTED_VALUE"""),"稲場 勇介")</f>
        <v>稲場 勇介</v>
      </c>
    </row>
    <row r="349" spans="2:4" ht="13">
      <c r="B349" s="12">
        <f ca="1">IFERROR(__xludf.DUMMYFUNCTION("""COMPUTED_VALUE"""),100526)</f>
        <v>100526</v>
      </c>
      <c r="C349" s="14">
        <f ca="1">IFERROR(__xludf.DUMMYFUNCTION("""COMPUTED_VALUE"""),63)</f>
        <v>63</v>
      </c>
      <c r="D349" s="12" t="str">
        <f ca="1">IFERROR(__xludf.DUMMYFUNCTION("""COMPUTED_VALUE"""),"稲場 勇介")</f>
        <v>稲場 勇介</v>
      </c>
    </row>
    <row r="350" spans="2:4" ht="13">
      <c r="B350" s="12">
        <f ca="1">IFERROR(__xludf.DUMMYFUNCTION("""COMPUTED_VALUE"""),100538)</f>
        <v>100538</v>
      </c>
      <c r="C350" s="14">
        <f ca="1">IFERROR(__xludf.DUMMYFUNCTION("""COMPUTED_VALUE"""),0)</f>
        <v>0</v>
      </c>
      <c r="D350" s="12" t="str">
        <f ca="1">IFERROR(__xludf.DUMMYFUNCTION("""COMPUTED_VALUE"""),"小関 麻起")</f>
        <v>小関 麻起</v>
      </c>
    </row>
    <row r="351" spans="2:4" ht="13">
      <c r="B351" s="12">
        <f ca="1">IFERROR(__xludf.DUMMYFUNCTION("""COMPUTED_VALUE"""),100551)</f>
        <v>100551</v>
      </c>
      <c r="C351" s="14">
        <f ca="1">IFERROR(__xludf.DUMMYFUNCTION("""COMPUTED_VALUE"""),99)</f>
        <v>99</v>
      </c>
      <c r="D351" s="12" t="str">
        <f ca="1">IFERROR(__xludf.DUMMYFUNCTION("""COMPUTED_VALUE"""),"栗原 大武")</f>
        <v>栗原 大武</v>
      </c>
    </row>
    <row r="352" spans="2:4" ht="13">
      <c r="B352" s="12">
        <f ca="1">IFERROR(__xludf.DUMMYFUNCTION("""COMPUTED_VALUE"""),100569)</f>
        <v>100569</v>
      </c>
      <c r="C352" s="14">
        <f ca="1">IFERROR(__xludf.DUMMYFUNCTION("""COMPUTED_VALUE"""),0)</f>
        <v>0</v>
      </c>
      <c r="D352" s="12" t="str">
        <f ca="1">IFERROR(__xludf.DUMMYFUNCTION("""COMPUTED_VALUE"""),"堀越 駿")</f>
        <v>堀越 駿</v>
      </c>
    </row>
    <row r="353" spans="2:4" ht="13">
      <c r="B353" s="12">
        <f ca="1">IFERROR(__xludf.DUMMYFUNCTION("""COMPUTED_VALUE"""),100576)</f>
        <v>100576</v>
      </c>
      <c r="C353" s="14">
        <f ca="1">IFERROR(__xludf.DUMMYFUNCTION("""COMPUTED_VALUE"""),0)</f>
        <v>0</v>
      </c>
      <c r="D353" s="12" t="str">
        <f ca="1">IFERROR(__xludf.DUMMYFUNCTION("""COMPUTED_VALUE"""),"菅野 ぎんが")</f>
        <v>菅野 ぎんが</v>
      </c>
    </row>
    <row r="354" spans="2:4" ht="13">
      <c r="B354" s="12">
        <f ca="1">IFERROR(__xludf.DUMMYFUNCTION("""COMPUTED_VALUE"""),100587)</f>
        <v>100587</v>
      </c>
      <c r="C354" s="14">
        <f ca="1">IFERROR(__xludf.DUMMYFUNCTION("""COMPUTED_VALUE"""),45)</f>
        <v>45</v>
      </c>
      <c r="D354" s="12" t="str">
        <f ca="1">IFERROR(__xludf.DUMMYFUNCTION("""COMPUTED_VALUE"""),"小関 麻起")</f>
        <v>小関 麻起</v>
      </c>
    </row>
    <row r="355" spans="2:4" ht="13">
      <c r="B355" s="12">
        <f ca="1">IFERROR(__xludf.DUMMYFUNCTION("""COMPUTED_VALUE"""),100609)</f>
        <v>100609</v>
      </c>
      <c r="C355" s="14">
        <f ca="1">IFERROR(__xludf.DUMMYFUNCTION("""COMPUTED_VALUE"""),0)</f>
        <v>0</v>
      </c>
      <c r="D355" s="12" t="str">
        <f ca="1">IFERROR(__xludf.DUMMYFUNCTION("""COMPUTED_VALUE"""),"松尾 尚樹")</f>
        <v>松尾 尚樹</v>
      </c>
    </row>
    <row r="356" spans="2:4" ht="13">
      <c r="B356" s="12">
        <f ca="1">IFERROR(__xludf.DUMMYFUNCTION("""COMPUTED_VALUE"""),100620)</f>
        <v>100620</v>
      </c>
      <c r="C356" s="14">
        <f ca="1">IFERROR(__xludf.DUMMYFUNCTION("""COMPUTED_VALUE"""),0)</f>
        <v>0</v>
      </c>
      <c r="D356" s="12" t="str">
        <f ca="1">IFERROR(__xludf.DUMMYFUNCTION("""COMPUTED_VALUE"""),"菅野 ぎんが")</f>
        <v>菅野 ぎんが</v>
      </c>
    </row>
    <row r="357" spans="2:4" ht="13">
      <c r="B357" s="12">
        <f ca="1">IFERROR(__xludf.DUMMYFUNCTION("""COMPUTED_VALUE"""),100647)</f>
        <v>100647</v>
      </c>
      <c r="C357" s="14">
        <f ca="1">IFERROR(__xludf.DUMMYFUNCTION("""COMPUTED_VALUE"""),0)</f>
        <v>0</v>
      </c>
      <c r="D357" s="12" t="str">
        <f ca="1">IFERROR(__xludf.DUMMYFUNCTION("""COMPUTED_VALUE"""),"松尾 尚樹")</f>
        <v>松尾 尚樹</v>
      </c>
    </row>
    <row r="358" spans="2:4" ht="13">
      <c r="B358" s="12">
        <f ca="1">IFERROR(__xludf.DUMMYFUNCTION("""COMPUTED_VALUE"""),100649)</f>
        <v>100649</v>
      </c>
      <c r="C358" s="14">
        <f ca="1">IFERROR(__xludf.DUMMYFUNCTION("""COMPUTED_VALUE"""),2)</f>
        <v>2</v>
      </c>
      <c r="D358" s="12" t="str">
        <f ca="1">IFERROR(__xludf.DUMMYFUNCTION("""COMPUTED_VALUE"""),"成嶋 夏未")</f>
        <v>成嶋 夏未</v>
      </c>
    </row>
    <row r="359" spans="2:4" ht="13">
      <c r="B359" s="12">
        <f ca="1">IFERROR(__xludf.DUMMYFUNCTION("""COMPUTED_VALUE"""),100688)</f>
        <v>100688</v>
      </c>
      <c r="C359" s="14">
        <f ca="1">IFERROR(__xludf.DUMMYFUNCTION("""COMPUTED_VALUE"""),1)</f>
        <v>1</v>
      </c>
      <c r="D359" s="12" t="str">
        <f ca="1">IFERROR(__xludf.DUMMYFUNCTION("""COMPUTED_VALUE"""),"松尾 尚樹")</f>
        <v>松尾 尚樹</v>
      </c>
    </row>
    <row r="360" spans="2:4" ht="13">
      <c r="B360" s="12">
        <f ca="1">IFERROR(__xludf.DUMMYFUNCTION("""COMPUTED_VALUE"""),100689)</f>
        <v>100689</v>
      </c>
      <c r="C360" s="14">
        <f ca="1">IFERROR(__xludf.DUMMYFUNCTION("""COMPUTED_VALUE"""),0)</f>
        <v>0</v>
      </c>
      <c r="D360" s="12" t="str">
        <f ca="1">IFERROR(__xludf.DUMMYFUNCTION("""COMPUTED_VALUE"""),"成嶋 夏未")</f>
        <v>成嶋 夏未</v>
      </c>
    </row>
    <row r="361" spans="2:4" ht="13">
      <c r="B361" s="12">
        <f ca="1">IFERROR(__xludf.DUMMYFUNCTION("""COMPUTED_VALUE"""),100691)</f>
        <v>100691</v>
      </c>
      <c r="C361" s="14">
        <f ca="1">IFERROR(__xludf.DUMMYFUNCTION("""COMPUTED_VALUE"""),17)</f>
        <v>17</v>
      </c>
      <c r="D361" s="12" t="str">
        <f ca="1">IFERROR(__xludf.DUMMYFUNCTION("""COMPUTED_VALUE"""),"成嶋 夏未")</f>
        <v>成嶋 夏未</v>
      </c>
    </row>
    <row r="362" spans="2:4" ht="13">
      <c r="B362" s="12">
        <f ca="1">IFERROR(__xludf.DUMMYFUNCTION("""COMPUTED_VALUE"""),100692)</f>
        <v>100692</v>
      </c>
      <c r="C362" s="14">
        <f ca="1">IFERROR(__xludf.DUMMYFUNCTION("""COMPUTED_VALUE"""),26)</f>
        <v>26</v>
      </c>
      <c r="D362" s="12" t="str">
        <f ca="1">IFERROR(__xludf.DUMMYFUNCTION("""COMPUTED_VALUE"""),"成嶋 夏未")</f>
        <v>成嶋 夏未</v>
      </c>
    </row>
    <row r="363" spans="2:4" ht="13">
      <c r="B363" s="12">
        <f ca="1">IFERROR(__xludf.DUMMYFUNCTION("""COMPUTED_VALUE"""),100697)</f>
        <v>100697</v>
      </c>
      <c r="C363" s="14">
        <f ca="1">IFERROR(__xludf.DUMMYFUNCTION("""COMPUTED_VALUE"""),22)</f>
        <v>22</v>
      </c>
      <c r="D363" s="12" t="str">
        <f ca="1">IFERROR(__xludf.DUMMYFUNCTION("""COMPUTED_VALUE"""),"長谷川 陸朗")</f>
        <v>長谷川 陸朗</v>
      </c>
    </row>
    <row r="364" spans="2:4" ht="13">
      <c r="B364" s="12">
        <f ca="1">IFERROR(__xludf.DUMMYFUNCTION("""COMPUTED_VALUE"""),100714)</f>
        <v>100714</v>
      </c>
      <c r="C364" s="14">
        <f ca="1">IFERROR(__xludf.DUMMYFUNCTION("""COMPUTED_VALUE"""),20)</f>
        <v>20</v>
      </c>
      <c r="D364" s="12" t="str">
        <f ca="1">IFERROR(__xludf.DUMMYFUNCTION("""COMPUTED_VALUE"""),"松尾 尚樹")</f>
        <v>松尾 尚樹</v>
      </c>
    </row>
    <row r="365" spans="2:4" ht="13">
      <c r="B365" s="12">
        <f ca="1">IFERROR(__xludf.DUMMYFUNCTION("""COMPUTED_VALUE"""),100741)</f>
        <v>100741</v>
      </c>
      <c r="C365" s="14">
        <f ca="1">IFERROR(__xludf.DUMMYFUNCTION("""COMPUTED_VALUE"""),0)</f>
        <v>0</v>
      </c>
      <c r="D365" s="12" t="str">
        <f ca="1">IFERROR(__xludf.DUMMYFUNCTION("""COMPUTED_VALUE"""),"松尾 尚樹")</f>
        <v>松尾 尚樹</v>
      </c>
    </row>
    <row r="366" spans="2:4" ht="13">
      <c r="B366" s="12">
        <f ca="1">IFERROR(__xludf.DUMMYFUNCTION("""COMPUTED_VALUE"""),100749)</f>
        <v>100749</v>
      </c>
      <c r="C366" s="14">
        <f ca="1">IFERROR(__xludf.DUMMYFUNCTION("""COMPUTED_VALUE"""),2)</f>
        <v>2</v>
      </c>
      <c r="D366" s="12" t="str">
        <f ca="1">IFERROR(__xludf.DUMMYFUNCTION("""COMPUTED_VALUE"""),"成嶋 夏未")</f>
        <v>成嶋 夏未</v>
      </c>
    </row>
    <row r="367" spans="2:4" ht="13">
      <c r="B367" s="12">
        <f ca="1">IFERROR(__xludf.DUMMYFUNCTION("""COMPUTED_VALUE"""),100769)</f>
        <v>100769</v>
      </c>
      <c r="C367" s="14">
        <f ca="1">IFERROR(__xludf.DUMMYFUNCTION("""COMPUTED_VALUE"""),0)</f>
        <v>0</v>
      </c>
      <c r="D367" s="12" t="str">
        <f ca="1">IFERROR(__xludf.DUMMYFUNCTION("""COMPUTED_VALUE"""),"小川 純")</f>
        <v>小川 純</v>
      </c>
    </row>
    <row r="368" spans="2:4" ht="13">
      <c r="B368" s="12">
        <f ca="1">IFERROR(__xludf.DUMMYFUNCTION("""COMPUTED_VALUE"""),100775)</f>
        <v>100775</v>
      </c>
      <c r="C368" s="14">
        <f ca="1">IFERROR(__xludf.DUMMYFUNCTION("""COMPUTED_VALUE"""),19)</f>
        <v>19</v>
      </c>
      <c r="D368" s="12" t="str">
        <f ca="1">IFERROR(__xludf.DUMMYFUNCTION("""COMPUTED_VALUE"""),"松尾 尚樹")</f>
        <v>松尾 尚樹</v>
      </c>
    </row>
    <row r="369" spans="2:4" ht="13">
      <c r="B369" s="12">
        <f ca="1">IFERROR(__xludf.DUMMYFUNCTION("""COMPUTED_VALUE"""),100793)</f>
        <v>100793</v>
      </c>
      <c r="C369" s="14">
        <f ca="1">IFERROR(__xludf.DUMMYFUNCTION("""COMPUTED_VALUE"""),0)</f>
        <v>0</v>
      </c>
      <c r="D369" s="12" t="str">
        <f ca="1">IFERROR(__xludf.DUMMYFUNCTION("""COMPUTED_VALUE"""),"菅野 ぎんが")</f>
        <v>菅野 ぎんが</v>
      </c>
    </row>
    <row r="370" spans="2:4" ht="13">
      <c r="B370" s="12">
        <f ca="1">IFERROR(__xludf.DUMMYFUNCTION("""COMPUTED_VALUE"""),100839)</f>
        <v>100839</v>
      </c>
      <c r="C370" s="14">
        <f ca="1">IFERROR(__xludf.DUMMYFUNCTION("""COMPUTED_VALUE"""),2)</f>
        <v>2</v>
      </c>
      <c r="D370" s="12" t="str">
        <f ca="1">IFERROR(__xludf.DUMMYFUNCTION("""COMPUTED_VALUE"""),"栗原 大武")</f>
        <v>栗原 大武</v>
      </c>
    </row>
    <row r="371" spans="2:4" ht="13">
      <c r="B371" s="12">
        <f ca="1">IFERROR(__xludf.DUMMYFUNCTION("""COMPUTED_VALUE"""),100844)</f>
        <v>100844</v>
      </c>
      <c r="C371" s="14">
        <f ca="1">IFERROR(__xludf.DUMMYFUNCTION("""COMPUTED_VALUE"""),1)</f>
        <v>1</v>
      </c>
      <c r="D371" s="12" t="str">
        <f ca="1">IFERROR(__xludf.DUMMYFUNCTION("""COMPUTED_VALUE"""),"菅野 ぎんが")</f>
        <v>菅野 ぎんが</v>
      </c>
    </row>
    <row r="372" spans="2:4" ht="13">
      <c r="B372" s="12">
        <f ca="1">IFERROR(__xludf.DUMMYFUNCTION("""COMPUTED_VALUE"""),100847)</f>
        <v>100847</v>
      </c>
      <c r="C372" s="14">
        <f ca="1">IFERROR(__xludf.DUMMYFUNCTION("""COMPUTED_VALUE"""),7)</f>
        <v>7</v>
      </c>
      <c r="D372" s="12" t="str">
        <f ca="1">IFERROR(__xludf.DUMMYFUNCTION("""COMPUTED_VALUE"""),"桐山 勝気")</f>
        <v>桐山 勝気</v>
      </c>
    </row>
    <row r="373" spans="2:4" ht="13">
      <c r="B373" s="12">
        <f ca="1">IFERROR(__xludf.DUMMYFUNCTION("""COMPUTED_VALUE"""),100861)</f>
        <v>100861</v>
      </c>
      <c r="C373" s="14">
        <f ca="1">IFERROR(__xludf.DUMMYFUNCTION("""COMPUTED_VALUE"""),108)</f>
        <v>108</v>
      </c>
      <c r="D373" s="12" t="str">
        <f ca="1">IFERROR(__xludf.DUMMYFUNCTION("""COMPUTED_VALUE"""),"辻村 将大")</f>
        <v>辻村 将大</v>
      </c>
    </row>
    <row r="374" spans="2:4" ht="13">
      <c r="B374" s="12">
        <f ca="1">IFERROR(__xludf.DUMMYFUNCTION("""COMPUTED_VALUE"""),100867)</f>
        <v>100867</v>
      </c>
      <c r="C374" s="14">
        <f ca="1">IFERROR(__xludf.DUMMYFUNCTION("""COMPUTED_VALUE"""),0)</f>
        <v>0</v>
      </c>
      <c r="D374" s="12" t="str">
        <f ca="1">IFERROR(__xludf.DUMMYFUNCTION("""COMPUTED_VALUE"""),"芳賀 亮輔")</f>
        <v>芳賀 亮輔</v>
      </c>
    </row>
    <row r="375" spans="2:4" ht="13">
      <c r="B375" s="12">
        <f ca="1">IFERROR(__xludf.DUMMYFUNCTION("""COMPUTED_VALUE"""),100884)</f>
        <v>100884</v>
      </c>
      <c r="C375" s="14">
        <f ca="1">IFERROR(__xludf.DUMMYFUNCTION("""COMPUTED_VALUE"""),3)</f>
        <v>3</v>
      </c>
      <c r="D375" s="12" t="str">
        <f ca="1">IFERROR(__xludf.DUMMYFUNCTION("""COMPUTED_VALUE"""),"長谷川 陸朗")</f>
        <v>長谷川 陸朗</v>
      </c>
    </row>
    <row r="376" spans="2:4" ht="13">
      <c r="B376" s="12">
        <f ca="1">IFERROR(__xludf.DUMMYFUNCTION("""COMPUTED_VALUE"""),100905)</f>
        <v>100905</v>
      </c>
      <c r="C376" s="14">
        <f ca="1">IFERROR(__xludf.DUMMYFUNCTION("""COMPUTED_VALUE"""),2)</f>
        <v>2</v>
      </c>
      <c r="D376" s="12" t="str">
        <f ca="1">IFERROR(__xludf.DUMMYFUNCTION("""COMPUTED_VALUE"""),"成嶋 夏未")</f>
        <v>成嶋 夏未</v>
      </c>
    </row>
    <row r="377" spans="2:4" ht="13">
      <c r="B377" s="12">
        <f ca="1">IFERROR(__xludf.DUMMYFUNCTION("""COMPUTED_VALUE"""),100909)</f>
        <v>100909</v>
      </c>
      <c r="C377" s="14">
        <f ca="1">IFERROR(__xludf.DUMMYFUNCTION("""COMPUTED_VALUE"""),3)</f>
        <v>3</v>
      </c>
      <c r="D377" s="12" t="str">
        <f ca="1">IFERROR(__xludf.DUMMYFUNCTION("""COMPUTED_VALUE"""),"成嶋 夏未")</f>
        <v>成嶋 夏未</v>
      </c>
    </row>
    <row r="378" spans="2:4" ht="13">
      <c r="B378" s="12">
        <f ca="1">IFERROR(__xludf.DUMMYFUNCTION("""COMPUTED_VALUE"""),100910)</f>
        <v>100910</v>
      </c>
      <c r="C378" s="14">
        <f ca="1">IFERROR(__xludf.DUMMYFUNCTION("""COMPUTED_VALUE"""),34)</f>
        <v>34</v>
      </c>
      <c r="D378" s="12" t="str">
        <f ca="1">IFERROR(__xludf.DUMMYFUNCTION("""COMPUTED_VALUE"""),"松尾 尚樹")</f>
        <v>松尾 尚樹</v>
      </c>
    </row>
    <row r="379" spans="2:4" ht="13">
      <c r="B379" s="12">
        <f ca="1">IFERROR(__xludf.DUMMYFUNCTION("""COMPUTED_VALUE"""),100911)</f>
        <v>100911</v>
      </c>
      <c r="C379" s="14">
        <f ca="1">IFERROR(__xludf.DUMMYFUNCTION("""COMPUTED_VALUE"""),45)</f>
        <v>45</v>
      </c>
      <c r="D379" s="12" t="str">
        <f ca="1">IFERROR(__xludf.DUMMYFUNCTION("""COMPUTED_VALUE"""),"松尾 尚樹")</f>
        <v>松尾 尚樹</v>
      </c>
    </row>
    <row r="380" spans="2:4" ht="13">
      <c r="B380" s="12">
        <f ca="1">IFERROR(__xludf.DUMMYFUNCTION("""COMPUTED_VALUE"""),100926)</f>
        <v>100926</v>
      </c>
      <c r="C380" s="14">
        <f ca="1">IFERROR(__xludf.DUMMYFUNCTION("""COMPUTED_VALUE"""),1)</f>
        <v>1</v>
      </c>
      <c r="D380" s="12" t="str">
        <f ca="1">IFERROR(__xludf.DUMMYFUNCTION("""COMPUTED_VALUE"""),"菅野 ぎんが")</f>
        <v>菅野 ぎんが</v>
      </c>
    </row>
    <row r="381" spans="2:4" ht="13">
      <c r="B381" s="12">
        <f ca="1">IFERROR(__xludf.DUMMYFUNCTION("""COMPUTED_VALUE"""),100928)</f>
        <v>100928</v>
      </c>
      <c r="C381" s="14">
        <f ca="1">IFERROR(__xludf.DUMMYFUNCTION("""COMPUTED_VALUE"""),23)</f>
        <v>23</v>
      </c>
      <c r="D381" s="12" t="str">
        <f ca="1">IFERROR(__xludf.DUMMYFUNCTION("""COMPUTED_VALUE"""),"長谷川 陸朗")</f>
        <v>長谷川 陸朗</v>
      </c>
    </row>
    <row r="382" spans="2:4" ht="13">
      <c r="B382" s="12">
        <f ca="1">IFERROR(__xludf.DUMMYFUNCTION("""COMPUTED_VALUE"""),100929)</f>
        <v>100929</v>
      </c>
      <c r="C382" s="14">
        <f ca="1">IFERROR(__xludf.DUMMYFUNCTION("""COMPUTED_VALUE"""),3)</f>
        <v>3</v>
      </c>
      <c r="D382" s="12" t="str">
        <f ca="1">IFERROR(__xludf.DUMMYFUNCTION("""COMPUTED_VALUE"""),"菅野 ぎんが")</f>
        <v>菅野 ぎんが</v>
      </c>
    </row>
    <row r="383" spans="2:4" ht="13">
      <c r="B383" s="12">
        <f ca="1">IFERROR(__xludf.DUMMYFUNCTION("""COMPUTED_VALUE"""),100945)</f>
        <v>100945</v>
      </c>
      <c r="C383" s="14">
        <f ca="1">IFERROR(__xludf.DUMMYFUNCTION("""COMPUTED_VALUE"""),2)</f>
        <v>2</v>
      </c>
      <c r="D383" s="12" t="str">
        <f ca="1">IFERROR(__xludf.DUMMYFUNCTION("""COMPUTED_VALUE"""),"松尾 尚樹")</f>
        <v>松尾 尚樹</v>
      </c>
    </row>
    <row r="384" spans="2:4" ht="13">
      <c r="B384" s="12">
        <f ca="1">IFERROR(__xludf.DUMMYFUNCTION("""COMPUTED_VALUE"""),100946)</f>
        <v>100946</v>
      </c>
      <c r="C384" s="14">
        <f ca="1">IFERROR(__xludf.DUMMYFUNCTION("""COMPUTED_VALUE"""),0)</f>
        <v>0</v>
      </c>
      <c r="D384" s="12" t="str">
        <f ca="1">IFERROR(__xludf.DUMMYFUNCTION("""COMPUTED_VALUE"""),"菅野 ぎんが")</f>
        <v>菅野 ぎんが</v>
      </c>
    </row>
    <row r="385" spans="2:4" ht="13">
      <c r="B385" s="12">
        <f ca="1">IFERROR(__xludf.DUMMYFUNCTION("""COMPUTED_VALUE"""),100957)</f>
        <v>100957</v>
      </c>
      <c r="C385" s="14">
        <f ca="1">IFERROR(__xludf.DUMMYFUNCTION("""COMPUTED_VALUE"""),0)</f>
        <v>0</v>
      </c>
      <c r="D385" s="12" t="str">
        <f ca="1">IFERROR(__xludf.DUMMYFUNCTION("""COMPUTED_VALUE"""),"稲場 勇介")</f>
        <v>稲場 勇介</v>
      </c>
    </row>
    <row r="386" spans="2:4" ht="13">
      <c r="B386" s="12">
        <f ca="1">IFERROR(__xludf.DUMMYFUNCTION("""COMPUTED_VALUE"""),100960)</f>
        <v>100960</v>
      </c>
      <c r="C386" s="14">
        <f ca="1">IFERROR(__xludf.DUMMYFUNCTION("""COMPUTED_VALUE"""),0)</f>
        <v>0</v>
      </c>
      <c r="D386" s="12" t="str">
        <f ca="1">IFERROR(__xludf.DUMMYFUNCTION("""COMPUTED_VALUE"""),"老田 純輝")</f>
        <v>老田 純輝</v>
      </c>
    </row>
    <row r="387" spans="2:4" ht="13">
      <c r="B387" s="12">
        <f ca="1">IFERROR(__xludf.DUMMYFUNCTION("""COMPUTED_VALUE"""),100978)</f>
        <v>100978</v>
      </c>
      <c r="C387" s="14">
        <f ca="1">IFERROR(__xludf.DUMMYFUNCTION("""COMPUTED_VALUE"""),20)</f>
        <v>20</v>
      </c>
      <c r="D387" s="12" t="str">
        <f ca="1">IFERROR(__xludf.DUMMYFUNCTION("""COMPUTED_VALUE"""),"稲場 勇介")</f>
        <v>稲場 勇介</v>
      </c>
    </row>
    <row r="388" spans="2:4" ht="13">
      <c r="B388" s="12">
        <f ca="1">IFERROR(__xludf.DUMMYFUNCTION("""COMPUTED_VALUE"""),100984)</f>
        <v>100984</v>
      </c>
      <c r="C388" s="14">
        <f ca="1">IFERROR(__xludf.DUMMYFUNCTION("""COMPUTED_VALUE"""),10)</f>
        <v>10</v>
      </c>
      <c r="D388" s="12" t="str">
        <f ca="1">IFERROR(__xludf.DUMMYFUNCTION("""COMPUTED_VALUE"""),"栗原 大武")</f>
        <v>栗原 大武</v>
      </c>
    </row>
    <row r="389" spans="2:4" ht="13">
      <c r="B389" s="12">
        <f ca="1">IFERROR(__xludf.DUMMYFUNCTION("""COMPUTED_VALUE"""),101018)</f>
        <v>101018</v>
      </c>
      <c r="C389" s="14">
        <f ca="1">IFERROR(__xludf.DUMMYFUNCTION("""COMPUTED_VALUE"""),106)</f>
        <v>106</v>
      </c>
      <c r="D389" s="12" t="str">
        <f ca="1">IFERROR(__xludf.DUMMYFUNCTION("""COMPUTED_VALUE"""),"松尾 尚樹")</f>
        <v>松尾 尚樹</v>
      </c>
    </row>
    <row r="390" spans="2:4" ht="13">
      <c r="B390" s="12">
        <f ca="1">IFERROR(__xludf.DUMMYFUNCTION("""COMPUTED_VALUE"""),101019)</f>
        <v>101019</v>
      </c>
      <c r="C390" s="14">
        <f ca="1">IFERROR(__xludf.DUMMYFUNCTION("""COMPUTED_VALUE"""),13)</f>
        <v>13</v>
      </c>
      <c r="D390" s="12" t="str">
        <f ca="1">IFERROR(__xludf.DUMMYFUNCTION("""COMPUTED_VALUE"""),"松尾 尚樹")</f>
        <v>松尾 尚樹</v>
      </c>
    </row>
    <row r="391" spans="2:4" ht="13">
      <c r="B391" s="12">
        <f ca="1">IFERROR(__xludf.DUMMYFUNCTION("""COMPUTED_VALUE"""),101044)</f>
        <v>101044</v>
      </c>
      <c r="C391" s="14">
        <f ca="1">IFERROR(__xludf.DUMMYFUNCTION("""COMPUTED_VALUE"""),2)</f>
        <v>2</v>
      </c>
      <c r="D391" s="12" t="str">
        <f ca="1">IFERROR(__xludf.DUMMYFUNCTION("""COMPUTED_VALUE"""),"松尾 尚樹")</f>
        <v>松尾 尚樹</v>
      </c>
    </row>
    <row r="392" spans="2:4" ht="13">
      <c r="B392" s="12">
        <f ca="1">IFERROR(__xludf.DUMMYFUNCTION("""COMPUTED_VALUE"""),101058)</f>
        <v>101058</v>
      </c>
      <c r="C392" s="14">
        <f ca="1">IFERROR(__xludf.DUMMYFUNCTION("""COMPUTED_VALUE"""),0)</f>
        <v>0</v>
      </c>
      <c r="D392" s="12" t="str">
        <f ca="1">IFERROR(__xludf.DUMMYFUNCTION("""COMPUTED_VALUE"""),"松尾 尚樹")</f>
        <v>松尾 尚樹</v>
      </c>
    </row>
    <row r="393" spans="2:4" ht="13">
      <c r="B393" s="12">
        <f ca="1">IFERROR(__xludf.DUMMYFUNCTION("""COMPUTED_VALUE"""),101065)</f>
        <v>101065</v>
      </c>
      <c r="C393" s="14">
        <f ca="1">IFERROR(__xludf.DUMMYFUNCTION("""COMPUTED_VALUE"""),1)</f>
        <v>1</v>
      </c>
      <c r="D393" s="12" t="str">
        <f ca="1">IFERROR(__xludf.DUMMYFUNCTION("""COMPUTED_VALUE"""),"長谷川 陸朗")</f>
        <v>長谷川 陸朗</v>
      </c>
    </row>
    <row r="394" spans="2:4" ht="13">
      <c r="B394" s="12">
        <f ca="1">IFERROR(__xludf.DUMMYFUNCTION("""COMPUTED_VALUE"""),101068)</f>
        <v>101068</v>
      </c>
      <c r="C394" s="14">
        <f ca="1">IFERROR(__xludf.DUMMYFUNCTION("""COMPUTED_VALUE"""),0)</f>
        <v>0</v>
      </c>
      <c r="D394" s="12" t="str">
        <f ca="1">IFERROR(__xludf.DUMMYFUNCTION("""COMPUTED_VALUE"""),"成嶋 夏未")</f>
        <v>成嶋 夏未</v>
      </c>
    </row>
    <row r="395" spans="2:4" ht="13">
      <c r="B395" s="12">
        <f ca="1">IFERROR(__xludf.DUMMYFUNCTION("""COMPUTED_VALUE"""),101072)</f>
        <v>101072</v>
      </c>
      <c r="C395" s="14">
        <f ca="1">IFERROR(__xludf.DUMMYFUNCTION("""COMPUTED_VALUE"""),0)</f>
        <v>0</v>
      </c>
      <c r="D395" s="12" t="str">
        <f ca="1">IFERROR(__xludf.DUMMYFUNCTION("""COMPUTED_VALUE"""),"村上 浩一朗")</f>
        <v>村上 浩一朗</v>
      </c>
    </row>
    <row r="396" spans="2:4" ht="13">
      <c r="B396" s="12">
        <f ca="1">IFERROR(__xludf.DUMMYFUNCTION("""COMPUTED_VALUE"""),101073)</f>
        <v>101073</v>
      </c>
      <c r="C396" s="14">
        <f ca="1">IFERROR(__xludf.DUMMYFUNCTION("""COMPUTED_VALUE"""),6)</f>
        <v>6</v>
      </c>
      <c r="D396" s="12" t="str">
        <f ca="1">IFERROR(__xludf.DUMMYFUNCTION("""COMPUTED_VALUE"""),"村上 浩一朗")</f>
        <v>村上 浩一朗</v>
      </c>
    </row>
    <row r="397" spans="2:4" ht="13">
      <c r="B397" s="12">
        <f ca="1">IFERROR(__xludf.DUMMYFUNCTION("""COMPUTED_VALUE"""),101079)</f>
        <v>101079</v>
      </c>
      <c r="C397" s="14">
        <f ca="1">IFERROR(__xludf.DUMMYFUNCTION("""COMPUTED_VALUE"""),1)</f>
        <v>1</v>
      </c>
      <c r="D397" s="12" t="str">
        <f ca="1">IFERROR(__xludf.DUMMYFUNCTION("""COMPUTED_VALUE"""),"稲場 勇介")</f>
        <v>稲場 勇介</v>
      </c>
    </row>
    <row r="398" spans="2:4" ht="13">
      <c r="B398" s="12">
        <f ca="1">IFERROR(__xludf.DUMMYFUNCTION("""COMPUTED_VALUE"""),101091)</f>
        <v>101091</v>
      </c>
      <c r="C398" s="14">
        <f ca="1">IFERROR(__xludf.DUMMYFUNCTION("""COMPUTED_VALUE"""),0)</f>
        <v>0</v>
      </c>
      <c r="D398" s="12" t="str">
        <f ca="1">IFERROR(__xludf.DUMMYFUNCTION("""COMPUTED_VALUE"""),"小関 麻起")</f>
        <v>小関 麻起</v>
      </c>
    </row>
    <row r="399" spans="2:4" ht="13">
      <c r="B399" s="12">
        <f ca="1">IFERROR(__xludf.DUMMYFUNCTION("""COMPUTED_VALUE"""),101100)</f>
        <v>101100</v>
      </c>
      <c r="C399" s="14">
        <f ca="1">IFERROR(__xludf.DUMMYFUNCTION("""COMPUTED_VALUE"""),4)</f>
        <v>4</v>
      </c>
      <c r="D399" s="12" t="str">
        <f ca="1">IFERROR(__xludf.DUMMYFUNCTION("""COMPUTED_VALUE"""),"田嶋 将太")</f>
        <v>田嶋 将太</v>
      </c>
    </row>
    <row r="400" spans="2:4" ht="13">
      <c r="B400" s="12">
        <f ca="1">IFERROR(__xludf.DUMMYFUNCTION("""COMPUTED_VALUE"""),101184)</f>
        <v>101184</v>
      </c>
      <c r="C400" s="14">
        <f ca="1">IFERROR(__xludf.DUMMYFUNCTION("""COMPUTED_VALUE"""),34)</f>
        <v>34</v>
      </c>
      <c r="D400" s="12" t="str">
        <f ca="1">IFERROR(__xludf.DUMMYFUNCTION("""COMPUTED_VALUE"""),"栗原 大武")</f>
        <v>栗原 大武</v>
      </c>
    </row>
    <row r="401" spans="2:4" ht="13">
      <c r="B401" s="12">
        <f ca="1">IFERROR(__xludf.DUMMYFUNCTION("""COMPUTED_VALUE"""),101208)</f>
        <v>101208</v>
      </c>
      <c r="C401" s="14">
        <f ca="1">IFERROR(__xludf.DUMMYFUNCTION("""COMPUTED_VALUE"""),36)</f>
        <v>36</v>
      </c>
      <c r="D401" s="12" t="str">
        <f ca="1">IFERROR(__xludf.DUMMYFUNCTION("""COMPUTED_VALUE"""),"栗原 大武")</f>
        <v>栗原 大武</v>
      </c>
    </row>
    <row r="402" spans="2:4" ht="13">
      <c r="B402" s="12">
        <f ca="1">IFERROR(__xludf.DUMMYFUNCTION("""COMPUTED_VALUE"""),101209)</f>
        <v>101209</v>
      </c>
      <c r="C402" s="14">
        <f ca="1">IFERROR(__xludf.DUMMYFUNCTION("""COMPUTED_VALUE"""),46)</f>
        <v>46</v>
      </c>
      <c r="D402" s="12" t="str">
        <f ca="1">IFERROR(__xludf.DUMMYFUNCTION("""COMPUTED_VALUE"""),"栗原 大武")</f>
        <v>栗原 大武</v>
      </c>
    </row>
    <row r="403" spans="2:4" ht="13">
      <c r="B403" s="12">
        <f ca="1">IFERROR(__xludf.DUMMYFUNCTION("""COMPUTED_VALUE"""),101285)</f>
        <v>101285</v>
      </c>
      <c r="C403" s="14">
        <f ca="1">IFERROR(__xludf.DUMMYFUNCTION("""COMPUTED_VALUE"""),9)</f>
        <v>9</v>
      </c>
      <c r="D403" s="12" t="str">
        <f ca="1">IFERROR(__xludf.DUMMYFUNCTION("""COMPUTED_VALUE"""),"松尾 尚樹")</f>
        <v>松尾 尚樹</v>
      </c>
    </row>
    <row r="404" spans="2:4" ht="13">
      <c r="B404" s="12">
        <f ca="1">IFERROR(__xludf.DUMMYFUNCTION("""COMPUTED_VALUE"""),101287)</f>
        <v>101287</v>
      </c>
      <c r="C404" s="14">
        <f ca="1">IFERROR(__xludf.DUMMYFUNCTION("""COMPUTED_VALUE"""),20)</f>
        <v>20</v>
      </c>
      <c r="D404" s="12" t="str">
        <f ca="1">IFERROR(__xludf.DUMMYFUNCTION("""COMPUTED_VALUE"""),"成嶋 夏未")</f>
        <v>成嶋 夏未</v>
      </c>
    </row>
    <row r="405" spans="2:4" ht="13">
      <c r="B405" s="12">
        <f ca="1">IFERROR(__xludf.DUMMYFUNCTION("""COMPUTED_VALUE"""),101318)</f>
        <v>101318</v>
      </c>
      <c r="C405" s="14">
        <f ca="1">IFERROR(__xludf.DUMMYFUNCTION("""COMPUTED_VALUE"""),1)</f>
        <v>1</v>
      </c>
      <c r="D405" s="12" t="str">
        <f ca="1">IFERROR(__xludf.DUMMYFUNCTION("""COMPUTED_VALUE"""),"成嶋 夏未")</f>
        <v>成嶋 夏未</v>
      </c>
    </row>
    <row r="406" spans="2:4" ht="13">
      <c r="B406" s="12">
        <f ca="1">IFERROR(__xludf.DUMMYFUNCTION("""COMPUTED_VALUE"""),101319)</f>
        <v>101319</v>
      </c>
      <c r="C406" s="14">
        <f ca="1">IFERROR(__xludf.DUMMYFUNCTION("""COMPUTED_VALUE"""),0)</f>
        <v>0</v>
      </c>
      <c r="D406" s="12" t="str">
        <f ca="1">IFERROR(__xludf.DUMMYFUNCTION("""COMPUTED_VALUE"""),"荻曽 克輝")</f>
        <v>荻曽 克輝</v>
      </c>
    </row>
    <row r="407" spans="2:4" ht="13">
      <c r="B407" s="12">
        <f ca="1">IFERROR(__xludf.DUMMYFUNCTION("""COMPUTED_VALUE"""),101326)</f>
        <v>101326</v>
      </c>
      <c r="C407" s="14">
        <f ca="1">IFERROR(__xludf.DUMMYFUNCTION("""COMPUTED_VALUE"""),0)</f>
        <v>0</v>
      </c>
      <c r="D407" s="12" t="str">
        <f ca="1">IFERROR(__xludf.DUMMYFUNCTION("""COMPUTED_VALUE"""),"稲場 勇介")</f>
        <v>稲場 勇介</v>
      </c>
    </row>
    <row r="408" spans="2:4" ht="13">
      <c r="B408" s="12">
        <f ca="1">IFERROR(__xludf.DUMMYFUNCTION("""COMPUTED_VALUE"""),101334)</f>
        <v>101334</v>
      </c>
      <c r="C408" s="14">
        <f ca="1">IFERROR(__xludf.DUMMYFUNCTION("""COMPUTED_VALUE"""),13)</f>
        <v>13</v>
      </c>
      <c r="D408" s="12" t="str">
        <f ca="1">IFERROR(__xludf.DUMMYFUNCTION("""COMPUTED_VALUE"""),"菅野 ぎんが")</f>
        <v>菅野 ぎんが</v>
      </c>
    </row>
    <row r="409" spans="2:4" ht="13">
      <c r="B409" s="12">
        <f ca="1">IFERROR(__xludf.DUMMYFUNCTION("""COMPUTED_VALUE"""),101345)</f>
        <v>101345</v>
      </c>
      <c r="C409" s="14">
        <f ca="1">IFERROR(__xludf.DUMMYFUNCTION("""COMPUTED_VALUE"""),10)</f>
        <v>10</v>
      </c>
      <c r="D409" s="12" t="str">
        <f ca="1">IFERROR(__xludf.DUMMYFUNCTION("""COMPUTED_VALUE"""),"奥野 貴大")</f>
        <v>奥野 貴大</v>
      </c>
    </row>
    <row r="410" spans="2:4" ht="13">
      <c r="B410" s="12">
        <f ca="1">IFERROR(__xludf.DUMMYFUNCTION("""COMPUTED_VALUE"""),101360)</f>
        <v>101360</v>
      </c>
      <c r="C410" s="14">
        <f ca="1">IFERROR(__xludf.DUMMYFUNCTION("""COMPUTED_VALUE"""),5)</f>
        <v>5</v>
      </c>
      <c r="D410" s="12" t="str">
        <f ca="1">IFERROR(__xludf.DUMMYFUNCTION("""COMPUTED_VALUE"""),"桐山 勝気")</f>
        <v>桐山 勝気</v>
      </c>
    </row>
    <row r="411" spans="2:4" ht="13">
      <c r="B411" s="12">
        <f ca="1">IFERROR(__xludf.DUMMYFUNCTION("""COMPUTED_VALUE"""),101453)</f>
        <v>101453</v>
      </c>
      <c r="C411" s="14">
        <f ca="1">IFERROR(__xludf.DUMMYFUNCTION("""COMPUTED_VALUE"""),7)</f>
        <v>7</v>
      </c>
      <c r="D411" s="12" t="str">
        <f ca="1">IFERROR(__xludf.DUMMYFUNCTION("""COMPUTED_VALUE"""),"稲場 勇介")</f>
        <v>稲場 勇介</v>
      </c>
    </row>
    <row r="412" spans="2:4" ht="13">
      <c r="B412" s="12">
        <f ca="1">IFERROR(__xludf.DUMMYFUNCTION("""COMPUTED_VALUE"""),101457)</f>
        <v>101457</v>
      </c>
      <c r="C412" s="14">
        <f ca="1">IFERROR(__xludf.DUMMYFUNCTION("""COMPUTED_VALUE"""),0)</f>
        <v>0</v>
      </c>
      <c r="D412" s="12" t="str">
        <f ca="1">IFERROR(__xludf.DUMMYFUNCTION("""COMPUTED_VALUE"""),"栗原 大武")</f>
        <v>栗原 大武</v>
      </c>
    </row>
    <row r="413" spans="2:4" ht="13">
      <c r="B413" s="12">
        <f ca="1">IFERROR(__xludf.DUMMYFUNCTION("""COMPUTED_VALUE"""),101466)</f>
        <v>101466</v>
      </c>
      <c r="C413" s="14">
        <f ca="1">IFERROR(__xludf.DUMMYFUNCTION("""COMPUTED_VALUE"""),51)</f>
        <v>51</v>
      </c>
      <c r="D413" s="12" t="str">
        <f ca="1">IFERROR(__xludf.DUMMYFUNCTION("""COMPUTED_VALUE"""),"小関 麻起")</f>
        <v>小関 麻起</v>
      </c>
    </row>
    <row r="414" spans="2:4" ht="13">
      <c r="B414" s="12">
        <f ca="1">IFERROR(__xludf.DUMMYFUNCTION("""COMPUTED_VALUE"""),101473)</f>
        <v>101473</v>
      </c>
      <c r="C414" s="14">
        <f ca="1">IFERROR(__xludf.DUMMYFUNCTION("""COMPUTED_VALUE"""),6)</f>
        <v>6</v>
      </c>
      <c r="D414" s="12" t="str">
        <f ca="1">IFERROR(__xludf.DUMMYFUNCTION("""COMPUTED_VALUE"""),"稲場 勇介")</f>
        <v>稲場 勇介</v>
      </c>
    </row>
    <row r="415" spans="2:4" ht="13">
      <c r="B415" s="12">
        <f ca="1">IFERROR(__xludf.DUMMYFUNCTION("""COMPUTED_VALUE"""),101496)</f>
        <v>101496</v>
      </c>
      <c r="C415" s="14">
        <f ca="1">IFERROR(__xludf.DUMMYFUNCTION("""COMPUTED_VALUE"""),4)</f>
        <v>4</v>
      </c>
      <c r="D415" s="12" t="str">
        <f ca="1">IFERROR(__xludf.DUMMYFUNCTION("""COMPUTED_VALUE"""),"辻村 将大")</f>
        <v>辻村 将大</v>
      </c>
    </row>
    <row r="416" spans="2:4" ht="13">
      <c r="B416" s="12">
        <f ca="1">IFERROR(__xludf.DUMMYFUNCTION("""COMPUTED_VALUE"""),101504)</f>
        <v>101504</v>
      </c>
      <c r="C416" s="14">
        <f ca="1">IFERROR(__xludf.DUMMYFUNCTION("""COMPUTED_VALUE"""),34)</f>
        <v>34</v>
      </c>
      <c r="D416" s="12" t="str">
        <f ca="1">IFERROR(__xludf.DUMMYFUNCTION("""COMPUTED_VALUE"""),"成嶋 夏未")</f>
        <v>成嶋 夏未</v>
      </c>
    </row>
    <row r="417" spans="2:4" ht="13">
      <c r="B417" s="12">
        <f ca="1">IFERROR(__xludf.DUMMYFUNCTION("""COMPUTED_VALUE"""),101532)</f>
        <v>101532</v>
      </c>
      <c r="C417" s="14">
        <f ca="1">IFERROR(__xludf.DUMMYFUNCTION("""COMPUTED_VALUE"""),0)</f>
        <v>0</v>
      </c>
      <c r="D417" s="12" t="str">
        <f ca="1">IFERROR(__xludf.DUMMYFUNCTION("""COMPUTED_VALUE"""),"桑原 明子")</f>
        <v>桑原 明子</v>
      </c>
    </row>
    <row r="418" spans="2:4" ht="13">
      <c r="B418" s="12">
        <f ca="1">IFERROR(__xludf.DUMMYFUNCTION("""COMPUTED_VALUE"""),101539)</f>
        <v>101539</v>
      </c>
      <c r="C418" s="14">
        <f ca="1">IFERROR(__xludf.DUMMYFUNCTION("""COMPUTED_VALUE"""),0)</f>
        <v>0</v>
      </c>
      <c r="D418" s="12" t="str">
        <f ca="1">IFERROR(__xludf.DUMMYFUNCTION("""COMPUTED_VALUE"""),"稲場 勇介")</f>
        <v>稲場 勇介</v>
      </c>
    </row>
    <row r="419" spans="2:4" ht="13">
      <c r="B419" s="12">
        <f ca="1">IFERROR(__xludf.DUMMYFUNCTION("""COMPUTED_VALUE"""),101571)</f>
        <v>101571</v>
      </c>
      <c r="C419" s="14">
        <f ca="1">IFERROR(__xludf.DUMMYFUNCTION("""COMPUTED_VALUE"""),0)</f>
        <v>0</v>
      </c>
      <c r="D419" s="12" t="str">
        <f ca="1">IFERROR(__xludf.DUMMYFUNCTION("""COMPUTED_VALUE"""),"桐山 勝気")</f>
        <v>桐山 勝気</v>
      </c>
    </row>
    <row r="420" spans="2:4" ht="13">
      <c r="B420" s="12">
        <f ca="1">IFERROR(__xludf.DUMMYFUNCTION("""COMPUTED_VALUE"""),101574)</f>
        <v>101574</v>
      </c>
      <c r="C420" s="14">
        <f ca="1">IFERROR(__xludf.DUMMYFUNCTION("""COMPUTED_VALUE"""),0)</f>
        <v>0</v>
      </c>
      <c r="D420" s="12" t="str">
        <f ca="1">IFERROR(__xludf.DUMMYFUNCTION("""COMPUTED_VALUE"""),"稲場 勇介")</f>
        <v>稲場 勇介</v>
      </c>
    </row>
    <row r="421" spans="2:4" ht="13">
      <c r="B421" s="12">
        <f ca="1">IFERROR(__xludf.DUMMYFUNCTION("""COMPUTED_VALUE"""),101593)</f>
        <v>101593</v>
      </c>
      <c r="C421" s="14">
        <f ca="1">IFERROR(__xludf.DUMMYFUNCTION("""COMPUTED_VALUE"""),9)</f>
        <v>9</v>
      </c>
      <c r="D421" s="12" t="str">
        <f ca="1">IFERROR(__xludf.DUMMYFUNCTION("""COMPUTED_VALUE"""),"老田 純輝")</f>
        <v>老田 純輝</v>
      </c>
    </row>
    <row r="422" spans="2:4" ht="13">
      <c r="B422" s="12">
        <f ca="1">IFERROR(__xludf.DUMMYFUNCTION("""COMPUTED_VALUE"""),101594)</f>
        <v>101594</v>
      </c>
      <c r="C422" s="14">
        <f ca="1">IFERROR(__xludf.DUMMYFUNCTION("""COMPUTED_VALUE"""),24)</f>
        <v>24</v>
      </c>
      <c r="D422" s="12" t="str">
        <f ca="1">IFERROR(__xludf.DUMMYFUNCTION("""COMPUTED_VALUE"""),"田嶋 将太")</f>
        <v>田嶋 将太</v>
      </c>
    </row>
    <row r="423" spans="2:4" ht="13">
      <c r="B423" s="12">
        <f ca="1">IFERROR(__xludf.DUMMYFUNCTION("""COMPUTED_VALUE"""),101595)</f>
        <v>101595</v>
      </c>
      <c r="C423" s="14">
        <f ca="1">IFERROR(__xludf.DUMMYFUNCTION("""COMPUTED_VALUE"""),23)</f>
        <v>23</v>
      </c>
      <c r="D423" s="12" t="str">
        <f ca="1">IFERROR(__xludf.DUMMYFUNCTION("""COMPUTED_VALUE"""),"小川 純")</f>
        <v>小川 純</v>
      </c>
    </row>
    <row r="424" spans="2:4" ht="13">
      <c r="B424" s="12">
        <f ca="1">IFERROR(__xludf.DUMMYFUNCTION("""COMPUTED_VALUE"""),101602)</f>
        <v>101602</v>
      </c>
      <c r="C424" s="14">
        <f ca="1">IFERROR(__xludf.DUMMYFUNCTION("""COMPUTED_VALUE"""),1)</f>
        <v>1</v>
      </c>
      <c r="D424" s="12" t="str">
        <f ca="1">IFERROR(__xludf.DUMMYFUNCTION("""COMPUTED_VALUE"""),"松尾 尚樹")</f>
        <v>松尾 尚樹</v>
      </c>
    </row>
    <row r="425" spans="2:4" ht="13">
      <c r="B425" s="12">
        <f ca="1">IFERROR(__xludf.DUMMYFUNCTION("""COMPUTED_VALUE"""),101606)</f>
        <v>101606</v>
      </c>
      <c r="C425" s="14">
        <f ca="1">IFERROR(__xludf.DUMMYFUNCTION("""COMPUTED_VALUE"""),10)</f>
        <v>10</v>
      </c>
      <c r="D425" s="12" t="str">
        <f ca="1">IFERROR(__xludf.DUMMYFUNCTION("""COMPUTED_VALUE"""),"老田 純輝")</f>
        <v>老田 純輝</v>
      </c>
    </row>
    <row r="426" spans="2:4" ht="13">
      <c r="B426" s="12">
        <f ca="1">IFERROR(__xludf.DUMMYFUNCTION("""COMPUTED_VALUE"""),101611)</f>
        <v>101611</v>
      </c>
      <c r="C426" s="14">
        <f ca="1">IFERROR(__xludf.DUMMYFUNCTION("""COMPUTED_VALUE"""),0)</f>
        <v>0</v>
      </c>
      <c r="D426" s="12" t="str">
        <f ca="1">IFERROR(__xludf.DUMMYFUNCTION("""COMPUTED_VALUE"""),"小関 麻起")</f>
        <v>小関 麻起</v>
      </c>
    </row>
    <row r="427" spans="2:4" ht="13">
      <c r="B427" s="12">
        <f ca="1">IFERROR(__xludf.DUMMYFUNCTION("""COMPUTED_VALUE"""),101619)</f>
        <v>101619</v>
      </c>
      <c r="C427" s="14">
        <f ca="1">IFERROR(__xludf.DUMMYFUNCTION("""COMPUTED_VALUE"""),0)</f>
        <v>0</v>
      </c>
      <c r="D427" s="12" t="str">
        <f ca="1">IFERROR(__xludf.DUMMYFUNCTION("""COMPUTED_VALUE"""),"辻村 将大")</f>
        <v>辻村 将大</v>
      </c>
    </row>
    <row r="428" spans="2:4" ht="13">
      <c r="B428" s="12">
        <f ca="1">IFERROR(__xludf.DUMMYFUNCTION("""COMPUTED_VALUE"""),101638)</f>
        <v>101638</v>
      </c>
      <c r="C428" s="14">
        <f ca="1">IFERROR(__xludf.DUMMYFUNCTION("""COMPUTED_VALUE"""),0)</f>
        <v>0</v>
      </c>
      <c r="D428" s="12" t="str">
        <f ca="1">IFERROR(__xludf.DUMMYFUNCTION("""COMPUTED_VALUE"""),"稲場 勇介")</f>
        <v>稲場 勇介</v>
      </c>
    </row>
    <row r="429" spans="2:4" ht="13">
      <c r="B429" s="12">
        <f ca="1">IFERROR(__xludf.DUMMYFUNCTION("""COMPUTED_VALUE"""),101679)</f>
        <v>101679</v>
      </c>
      <c r="C429" s="14">
        <f ca="1">IFERROR(__xludf.DUMMYFUNCTION("""COMPUTED_VALUE"""),0)</f>
        <v>0</v>
      </c>
      <c r="D429" s="12" t="str">
        <f ca="1">IFERROR(__xludf.DUMMYFUNCTION("""COMPUTED_VALUE"""),"稲場 勇介")</f>
        <v>稲場 勇介</v>
      </c>
    </row>
    <row r="430" spans="2:4" ht="13">
      <c r="B430" s="12">
        <f ca="1">IFERROR(__xludf.DUMMYFUNCTION("""COMPUTED_VALUE"""),101699)</f>
        <v>101699</v>
      </c>
      <c r="C430" s="14">
        <f ca="1">IFERROR(__xludf.DUMMYFUNCTION("""COMPUTED_VALUE"""),0)</f>
        <v>0</v>
      </c>
      <c r="D430" s="12" t="str">
        <f ca="1">IFERROR(__xludf.DUMMYFUNCTION("""COMPUTED_VALUE"""),"小関 麻起")</f>
        <v>小関 麻起</v>
      </c>
    </row>
    <row r="431" spans="2:4" ht="13">
      <c r="B431" s="12">
        <f ca="1">IFERROR(__xludf.DUMMYFUNCTION("""COMPUTED_VALUE"""),101707)</f>
        <v>101707</v>
      </c>
      <c r="C431" s="14">
        <f ca="1">IFERROR(__xludf.DUMMYFUNCTION("""COMPUTED_VALUE"""),119)</f>
        <v>119</v>
      </c>
      <c r="D431" s="12" t="str">
        <f ca="1">IFERROR(__xludf.DUMMYFUNCTION("""COMPUTED_VALUE"""),"柿崎 晃司")</f>
        <v>柿崎 晃司</v>
      </c>
    </row>
    <row r="432" spans="2:4" ht="13">
      <c r="B432" s="12">
        <f ca="1">IFERROR(__xludf.DUMMYFUNCTION("""COMPUTED_VALUE"""),101709)</f>
        <v>101709</v>
      </c>
      <c r="C432" s="14">
        <f ca="1">IFERROR(__xludf.DUMMYFUNCTION("""COMPUTED_VALUE"""),194)</f>
        <v>194</v>
      </c>
      <c r="D432" s="12" t="str">
        <f ca="1">IFERROR(__xludf.DUMMYFUNCTION("""COMPUTED_VALUE"""),"柿崎 晃司")</f>
        <v>柿崎 晃司</v>
      </c>
    </row>
    <row r="433" spans="2:4" ht="13">
      <c r="B433" s="12">
        <f ca="1">IFERROR(__xludf.DUMMYFUNCTION("""COMPUTED_VALUE"""),101724)</f>
        <v>101724</v>
      </c>
      <c r="C433" s="14">
        <f ca="1">IFERROR(__xludf.DUMMYFUNCTION("""COMPUTED_VALUE"""),0)</f>
        <v>0</v>
      </c>
      <c r="D433" s="12" t="str">
        <f ca="1">IFERROR(__xludf.DUMMYFUNCTION("""COMPUTED_VALUE"""),"稲場 勇介")</f>
        <v>稲場 勇介</v>
      </c>
    </row>
    <row r="434" spans="2:4" ht="13">
      <c r="B434" s="12">
        <f ca="1">IFERROR(__xludf.DUMMYFUNCTION("""COMPUTED_VALUE"""),101737)</f>
        <v>101737</v>
      </c>
      <c r="C434" s="14">
        <f ca="1">IFERROR(__xludf.DUMMYFUNCTION("""COMPUTED_VALUE"""),0)</f>
        <v>0</v>
      </c>
      <c r="D434" s="12" t="str">
        <f ca="1">IFERROR(__xludf.DUMMYFUNCTION("""COMPUTED_VALUE"""),"長谷川 陸朗")</f>
        <v>長谷川 陸朗</v>
      </c>
    </row>
    <row r="435" spans="2:4" ht="13">
      <c r="B435" s="12">
        <f ca="1">IFERROR(__xludf.DUMMYFUNCTION("""COMPUTED_VALUE"""),101741)</f>
        <v>101741</v>
      </c>
      <c r="C435" s="14">
        <f ca="1">IFERROR(__xludf.DUMMYFUNCTION("""COMPUTED_VALUE"""),0)</f>
        <v>0</v>
      </c>
      <c r="D435" s="12" t="str">
        <f ca="1">IFERROR(__xludf.DUMMYFUNCTION("""COMPUTED_VALUE"""),"成嶋 夏未")</f>
        <v>成嶋 夏未</v>
      </c>
    </row>
    <row r="436" spans="2:4" ht="13">
      <c r="B436" s="12">
        <f ca="1">IFERROR(__xludf.DUMMYFUNCTION("""COMPUTED_VALUE"""),101744)</f>
        <v>101744</v>
      </c>
      <c r="C436" s="14">
        <f ca="1">IFERROR(__xludf.DUMMYFUNCTION("""COMPUTED_VALUE"""),2)</f>
        <v>2</v>
      </c>
      <c r="D436" s="12" t="str">
        <f ca="1">IFERROR(__xludf.DUMMYFUNCTION("""COMPUTED_VALUE"""),"松尾 尚樹")</f>
        <v>松尾 尚樹</v>
      </c>
    </row>
    <row r="437" spans="2:4" ht="13">
      <c r="B437" s="12">
        <f ca="1">IFERROR(__xludf.DUMMYFUNCTION("""COMPUTED_VALUE"""),101750)</f>
        <v>101750</v>
      </c>
      <c r="C437" s="14">
        <f ca="1">IFERROR(__xludf.DUMMYFUNCTION("""COMPUTED_VALUE"""),0)</f>
        <v>0</v>
      </c>
      <c r="D437" s="12" t="str">
        <f ca="1">IFERROR(__xludf.DUMMYFUNCTION("""COMPUTED_VALUE"""),"菅野 ぎんが")</f>
        <v>菅野 ぎんが</v>
      </c>
    </row>
    <row r="438" spans="2:4" ht="13">
      <c r="B438" s="12">
        <f ca="1">IFERROR(__xludf.DUMMYFUNCTION("""COMPUTED_VALUE"""),101752)</f>
        <v>101752</v>
      </c>
      <c r="C438" s="14">
        <f ca="1">IFERROR(__xludf.DUMMYFUNCTION("""COMPUTED_VALUE"""),2)</f>
        <v>2</v>
      </c>
      <c r="D438" s="12" t="str">
        <f ca="1">IFERROR(__xludf.DUMMYFUNCTION("""COMPUTED_VALUE"""),"菅野 ぎんが")</f>
        <v>菅野 ぎんが</v>
      </c>
    </row>
    <row r="439" spans="2:4" ht="13">
      <c r="B439" s="12">
        <f ca="1">IFERROR(__xludf.DUMMYFUNCTION("""COMPUTED_VALUE"""),101754)</f>
        <v>101754</v>
      </c>
      <c r="C439" s="14">
        <f ca="1">IFERROR(__xludf.DUMMYFUNCTION("""COMPUTED_VALUE"""),29)</f>
        <v>29</v>
      </c>
      <c r="D439" s="12" t="str">
        <f ca="1">IFERROR(__xludf.DUMMYFUNCTION("""COMPUTED_VALUE"""),"松尾 尚樹")</f>
        <v>松尾 尚樹</v>
      </c>
    </row>
    <row r="440" spans="2:4" ht="13">
      <c r="B440" s="12">
        <f ca="1">IFERROR(__xludf.DUMMYFUNCTION("""COMPUTED_VALUE"""),101755)</f>
        <v>101755</v>
      </c>
      <c r="C440" s="14">
        <f ca="1">IFERROR(__xludf.DUMMYFUNCTION("""COMPUTED_VALUE"""),13)</f>
        <v>13</v>
      </c>
      <c r="D440" s="12" t="str">
        <f ca="1">IFERROR(__xludf.DUMMYFUNCTION("""COMPUTED_VALUE"""),"栗原 大武")</f>
        <v>栗原 大武</v>
      </c>
    </row>
    <row r="441" spans="2:4" ht="13">
      <c r="B441" s="12">
        <f ca="1">IFERROR(__xludf.DUMMYFUNCTION("""COMPUTED_VALUE"""),101769)</f>
        <v>101769</v>
      </c>
      <c r="C441" s="14">
        <f ca="1">IFERROR(__xludf.DUMMYFUNCTION("""COMPUTED_VALUE"""),0)</f>
        <v>0</v>
      </c>
      <c r="D441" s="12" t="str">
        <f ca="1">IFERROR(__xludf.DUMMYFUNCTION("""COMPUTED_VALUE"""),"老田 純輝")</f>
        <v>老田 純輝</v>
      </c>
    </row>
    <row r="442" spans="2:4" ht="13">
      <c r="B442" s="12">
        <f ca="1">IFERROR(__xludf.DUMMYFUNCTION("""COMPUTED_VALUE"""),101773)</f>
        <v>101773</v>
      </c>
      <c r="C442" s="14">
        <f ca="1">IFERROR(__xludf.DUMMYFUNCTION("""COMPUTED_VALUE"""),6)</f>
        <v>6</v>
      </c>
      <c r="D442" s="12" t="str">
        <f ca="1">IFERROR(__xludf.DUMMYFUNCTION("""COMPUTED_VALUE"""),"栗原 大武")</f>
        <v>栗原 大武</v>
      </c>
    </row>
    <row r="443" spans="2:4" ht="13">
      <c r="B443" s="12">
        <f ca="1">IFERROR(__xludf.DUMMYFUNCTION("""COMPUTED_VALUE"""),101777)</f>
        <v>101777</v>
      </c>
      <c r="C443" s="14">
        <f ca="1">IFERROR(__xludf.DUMMYFUNCTION("""COMPUTED_VALUE"""),0)</f>
        <v>0</v>
      </c>
      <c r="D443" s="12" t="str">
        <f ca="1">IFERROR(__xludf.DUMMYFUNCTION("""COMPUTED_VALUE"""),"松尾 尚樹")</f>
        <v>松尾 尚樹</v>
      </c>
    </row>
    <row r="444" spans="2:4" ht="13">
      <c r="B444" s="12">
        <f ca="1">IFERROR(__xludf.DUMMYFUNCTION("""COMPUTED_VALUE"""),101778)</f>
        <v>101778</v>
      </c>
      <c r="C444" s="14">
        <f ca="1">IFERROR(__xludf.DUMMYFUNCTION("""COMPUTED_VALUE"""),0)</f>
        <v>0</v>
      </c>
      <c r="D444" s="12" t="str">
        <f ca="1">IFERROR(__xludf.DUMMYFUNCTION("""COMPUTED_VALUE"""),"成嶋 夏未")</f>
        <v>成嶋 夏未</v>
      </c>
    </row>
    <row r="445" spans="2:4" ht="13">
      <c r="B445" s="12">
        <f ca="1">IFERROR(__xludf.DUMMYFUNCTION("""COMPUTED_VALUE"""),101783)</f>
        <v>101783</v>
      </c>
      <c r="C445" s="14">
        <f ca="1">IFERROR(__xludf.DUMMYFUNCTION("""COMPUTED_VALUE"""),3)</f>
        <v>3</v>
      </c>
      <c r="D445" s="12" t="str">
        <f ca="1">IFERROR(__xludf.DUMMYFUNCTION("""COMPUTED_VALUE"""),"柿崎 晃司")</f>
        <v>柿崎 晃司</v>
      </c>
    </row>
    <row r="446" spans="2:4" ht="13">
      <c r="B446" s="12">
        <f ca="1">IFERROR(__xludf.DUMMYFUNCTION("""COMPUTED_VALUE"""),101789)</f>
        <v>101789</v>
      </c>
      <c r="C446" s="14">
        <f ca="1">IFERROR(__xludf.DUMMYFUNCTION("""COMPUTED_VALUE"""),0)</f>
        <v>0</v>
      </c>
      <c r="D446" s="12" t="str">
        <f ca="1">IFERROR(__xludf.DUMMYFUNCTION("""COMPUTED_VALUE"""),"稲場 勇介")</f>
        <v>稲場 勇介</v>
      </c>
    </row>
    <row r="447" spans="2:4" ht="13">
      <c r="B447" s="12">
        <f ca="1">IFERROR(__xludf.DUMMYFUNCTION("""COMPUTED_VALUE"""),101795)</f>
        <v>101795</v>
      </c>
      <c r="C447" s="14">
        <f ca="1">IFERROR(__xludf.DUMMYFUNCTION("""COMPUTED_VALUE"""),3)</f>
        <v>3</v>
      </c>
      <c r="D447" s="12" t="str">
        <f ca="1">IFERROR(__xludf.DUMMYFUNCTION("""COMPUTED_VALUE"""),"松尾 尚樹")</f>
        <v>松尾 尚樹</v>
      </c>
    </row>
    <row r="448" spans="2:4" ht="13">
      <c r="B448" s="12">
        <f ca="1">IFERROR(__xludf.DUMMYFUNCTION("""COMPUTED_VALUE"""),101801)</f>
        <v>101801</v>
      </c>
      <c r="C448" s="14">
        <f ca="1">IFERROR(__xludf.DUMMYFUNCTION("""COMPUTED_VALUE"""),50)</f>
        <v>50</v>
      </c>
      <c r="D448" s="12" t="str">
        <f ca="1">IFERROR(__xludf.DUMMYFUNCTION("""COMPUTED_VALUE"""),"荻曽 克輝")</f>
        <v>荻曽 克輝</v>
      </c>
    </row>
    <row r="449" spans="2:4" ht="13">
      <c r="B449" s="12">
        <f ca="1">IFERROR(__xludf.DUMMYFUNCTION("""COMPUTED_VALUE"""),101802)</f>
        <v>101802</v>
      </c>
      <c r="C449" s="14">
        <f ca="1">IFERROR(__xludf.DUMMYFUNCTION("""COMPUTED_VALUE"""),43)</f>
        <v>43</v>
      </c>
      <c r="D449" s="12" t="str">
        <f ca="1">IFERROR(__xludf.DUMMYFUNCTION("""COMPUTED_VALUE"""),"荻曽 克輝")</f>
        <v>荻曽 克輝</v>
      </c>
    </row>
    <row r="450" spans="2:4" ht="13">
      <c r="B450" s="12">
        <f ca="1">IFERROR(__xludf.DUMMYFUNCTION("""COMPUTED_VALUE"""),101804)</f>
        <v>101804</v>
      </c>
      <c r="C450" s="14">
        <f ca="1">IFERROR(__xludf.DUMMYFUNCTION("""COMPUTED_VALUE"""),2)</f>
        <v>2</v>
      </c>
      <c r="D450" s="12" t="str">
        <f ca="1">IFERROR(__xludf.DUMMYFUNCTION("""COMPUTED_VALUE"""),"稲場 勇介")</f>
        <v>稲場 勇介</v>
      </c>
    </row>
    <row r="451" spans="2:4" ht="13">
      <c r="B451" s="12">
        <f ca="1">IFERROR(__xludf.DUMMYFUNCTION("""COMPUTED_VALUE"""),101807)</f>
        <v>101807</v>
      </c>
      <c r="C451" s="14">
        <f ca="1">IFERROR(__xludf.DUMMYFUNCTION("""COMPUTED_VALUE"""),9)</f>
        <v>9</v>
      </c>
      <c r="D451" s="12" t="str">
        <f ca="1">IFERROR(__xludf.DUMMYFUNCTION("""COMPUTED_VALUE"""),"菅野 ぎんが")</f>
        <v>菅野 ぎんが</v>
      </c>
    </row>
    <row r="452" spans="2:4" ht="13">
      <c r="B452" s="12">
        <f ca="1">IFERROR(__xludf.DUMMYFUNCTION("""COMPUTED_VALUE"""),101808)</f>
        <v>101808</v>
      </c>
      <c r="C452" s="14">
        <f ca="1">IFERROR(__xludf.DUMMYFUNCTION("""COMPUTED_VALUE"""),2)</f>
        <v>2</v>
      </c>
      <c r="D452" s="12" t="str">
        <f ca="1">IFERROR(__xludf.DUMMYFUNCTION("""COMPUTED_VALUE"""),"老田 純輝")</f>
        <v>老田 純輝</v>
      </c>
    </row>
    <row r="453" spans="2:4" ht="13">
      <c r="B453" s="12">
        <f ca="1">IFERROR(__xludf.DUMMYFUNCTION("""COMPUTED_VALUE"""),101810)</f>
        <v>101810</v>
      </c>
      <c r="C453" s="14">
        <f ca="1">IFERROR(__xludf.DUMMYFUNCTION("""COMPUTED_VALUE"""),5)</f>
        <v>5</v>
      </c>
      <c r="D453" s="12" t="str">
        <f ca="1">IFERROR(__xludf.DUMMYFUNCTION("""COMPUTED_VALUE"""),"松尾 尚樹")</f>
        <v>松尾 尚樹</v>
      </c>
    </row>
    <row r="454" spans="2:4" ht="13">
      <c r="B454" s="12">
        <f ca="1">IFERROR(__xludf.DUMMYFUNCTION("""COMPUTED_VALUE"""),101811)</f>
        <v>101811</v>
      </c>
      <c r="C454" s="14">
        <f ca="1">IFERROR(__xludf.DUMMYFUNCTION("""COMPUTED_VALUE"""),18)</f>
        <v>18</v>
      </c>
      <c r="D454" s="12" t="str">
        <f ca="1">IFERROR(__xludf.DUMMYFUNCTION("""COMPUTED_VALUE"""),"桐山 勝気")</f>
        <v>桐山 勝気</v>
      </c>
    </row>
    <row r="455" spans="2:4" ht="13">
      <c r="B455" s="12">
        <f ca="1">IFERROR(__xludf.DUMMYFUNCTION("""COMPUTED_VALUE"""),101871)</f>
        <v>101871</v>
      </c>
      <c r="C455" s="14">
        <f ca="1">IFERROR(__xludf.DUMMYFUNCTION("""COMPUTED_VALUE"""),2)</f>
        <v>2</v>
      </c>
      <c r="D455" s="12" t="str">
        <f ca="1">IFERROR(__xludf.DUMMYFUNCTION("""COMPUTED_VALUE"""),"長谷川 陸朗")</f>
        <v>長谷川 陸朗</v>
      </c>
    </row>
    <row r="456" spans="2:4" ht="13">
      <c r="B456" s="12">
        <f ca="1">IFERROR(__xludf.DUMMYFUNCTION("""COMPUTED_VALUE"""),101878)</f>
        <v>101878</v>
      </c>
      <c r="C456" s="14">
        <f ca="1">IFERROR(__xludf.DUMMYFUNCTION("""COMPUTED_VALUE"""),0)</f>
        <v>0</v>
      </c>
      <c r="D456" s="12" t="str">
        <f ca="1">IFERROR(__xludf.DUMMYFUNCTION("""COMPUTED_VALUE"""),"成嶋 夏未")</f>
        <v>成嶋 夏未</v>
      </c>
    </row>
    <row r="457" spans="2:4" ht="13">
      <c r="B457" s="12">
        <f ca="1">IFERROR(__xludf.DUMMYFUNCTION("""COMPUTED_VALUE"""),101889)</f>
        <v>101889</v>
      </c>
      <c r="C457" s="14">
        <f ca="1">IFERROR(__xludf.DUMMYFUNCTION("""COMPUTED_VALUE"""),0)</f>
        <v>0</v>
      </c>
      <c r="D457" s="12" t="str">
        <f ca="1">IFERROR(__xludf.DUMMYFUNCTION("""COMPUTED_VALUE"""),"桐山 勝気")</f>
        <v>桐山 勝気</v>
      </c>
    </row>
    <row r="458" spans="2:4" ht="13">
      <c r="B458" s="12">
        <f ca="1">IFERROR(__xludf.DUMMYFUNCTION("""COMPUTED_VALUE"""),101890)</f>
        <v>101890</v>
      </c>
      <c r="C458" s="14">
        <f ca="1">IFERROR(__xludf.DUMMYFUNCTION("""COMPUTED_VALUE"""),8)</f>
        <v>8</v>
      </c>
      <c r="D458" s="12" t="str">
        <f ca="1">IFERROR(__xludf.DUMMYFUNCTION("""COMPUTED_VALUE"""),"松尾 尚樹")</f>
        <v>松尾 尚樹</v>
      </c>
    </row>
    <row r="459" spans="2:4" ht="13">
      <c r="B459" s="12">
        <f ca="1">IFERROR(__xludf.DUMMYFUNCTION("""COMPUTED_VALUE"""),101912)</f>
        <v>101912</v>
      </c>
      <c r="C459" s="14">
        <f ca="1">IFERROR(__xludf.DUMMYFUNCTION("""COMPUTED_VALUE"""),0)</f>
        <v>0</v>
      </c>
      <c r="D459" s="12" t="str">
        <f ca="1">IFERROR(__xludf.DUMMYFUNCTION("""COMPUTED_VALUE"""),"松尾 尚樹")</f>
        <v>松尾 尚樹</v>
      </c>
    </row>
    <row r="460" spans="2:4" ht="13">
      <c r="B460" s="12">
        <f ca="1">IFERROR(__xludf.DUMMYFUNCTION("""COMPUTED_VALUE"""),101931)</f>
        <v>101931</v>
      </c>
      <c r="C460" s="14">
        <f ca="1">IFERROR(__xludf.DUMMYFUNCTION("""COMPUTED_VALUE"""),17)</f>
        <v>17</v>
      </c>
      <c r="D460" s="12" t="str">
        <f ca="1">IFERROR(__xludf.DUMMYFUNCTION("""COMPUTED_VALUE"""),"奥野 貴大")</f>
        <v>奥野 貴大</v>
      </c>
    </row>
    <row r="461" spans="2:4" ht="13">
      <c r="B461" s="12">
        <f ca="1">IFERROR(__xludf.DUMMYFUNCTION("""COMPUTED_VALUE"""),101936)</f>
        <v>101936</v>
      </c>
      <c r="C461" s="14">
        <f ca="1">IFERROR(__xludf.DUMMYFUNCTION("""COMPUTED_VALUE"""),0)</f>
        <v>0</v>
      </c>
      <c r="D461" s="12" t="str">
        <f ca="1">IFERROR(__xludf.DUMMYFUNCTION("""COMPUTED_VALUE"""),"長谷川 陸朗")</f>
        <v>長谷川 陸朗</v>
      </c>
    </row>
    <row r="462" spans="2:4" ht="13">
      <c r="B462" s="12">
        <f ca="1">IFERROR(__xludf.DUMMYFUNCTION("""COMPUTED_VALUE"""),101963)</f>
        <v>101963</v>
      </c>
      <c r="C462" s="14">
        <f ca="1">IFERROR(__xludf.DUMMYFUNCTION("""COMPUTED_VALUE"""),2)</f>
        <v>2</v>
      </c>
      <c r="D462" s="12" t="str">
        <f ca="1">IFERROR(__xludf.DUMMYFUNCTION("""COMPUTED_VALUE"""),"村上 浩一朗")</f>
        <v>村上 浩一朗</v>
      </c>
    </row>
    <row r="463" spans="2:4" ht="13">
      <c r="B463" s="12">
        <f ca="1">IFERROR(__xludf.DUMMYFUNCTION("""COMPUTED_VALUE"""),101971)</f>
        <v>101971</v>
      </c>
      <c r="C463" s="14">
        <f ca="1">IFERROR(__xludf.DUMMYFUNCTION("""COMPUTED_VALUE"""),0)</f>
        <v>0</v>
      </c>
      <c r="D463" s="12" t="str">
        <f ca="1">IFERROR(__xludf.DUMMYFUNCTION("""COMPUTED_VALUE"""),"老田 純輝")</f>
        <v>老田 純輝</v>
      </c>
    </row>
    <row r="464" spans="2:4" ht="13">
      <c r="B464" s="12">
        <f ca="1">IFERROR(__xludf.DUMMYFUNCTION("""COMPUTED_VALUE"""),101977)</f>
        <v>101977</v>
      </c>
      <c r="C464" s="14">
        <f ca="1">IFERROR(__xludf.DUMMYFUNCTION("""COMPUTED_VALUE"""),14)</f>
        <v>14</v>
      </c>
      <c r="D464" s="12" t="str">
        <f ca="1">IFERROR(__xludf.DUMMYFUNCTION("""COMPUTED_VALUE"""),"松尾 尚樹")</f>
        <v>松尾 尚樹</v>
      </c>
    </row>
    <row r="465" spans="2:4" ht="13">
      <c r="B465" s="12">
        <f ca="1">IFERROR(__xludf.DUMMYFUNCTION("""COMPUTED_VALUE"""),101979)</f>
        <v>101979</v>
      </c>
      <c r="C465" s="14">
        <f ca="1">IFERROR(__xludf.DUMMYFUNCTION("""COMPUTED_VALUE"""),4)</f>
        <v>4</v>
      </c>
      <c r="D465" s="12" t="str">
        <f ca="1">IFERROR(__xludf.DUMMYFUNCTION("""COMPUTED_VALUE"""),"菅野 ぎんが")</f>
        <v>菅野 ぎんが</v>
      </c>
    </row>
    <row r="466" spans="2:4" ht="13">
      <c r="B466" s="12">
        <f ca="1">IFERROR(__xludf.DUMMYFUNCTION("""COMPUTED_VALUE"""),101980)</f>
        <v>101980</v>
      </c>
      <c r="C466" s="14">
        <f ca="1">IFERROR(__xludf.DUMMYFUNCTION("""COMPUTED_VALUE"""),98)</f>
        <v>98</v>
      </c>
      <c r="D466" s="12" t="str">
        <f ca="1">IFERROR(__xludf.DUMMYFUNCTION("""COMPUTED_VALUE"""),"菅野 ぎんが")</f>
        <v>菅野 ぎんが</v>
      </c>
    </row>
    <row r="467" spans="2:4" ht="13">
      <c r="B467" s="12">
        <f ca="1">IFERROR(__xludf.DUMMYFUNCTION("""COMPUTED_VALUE"""),102014)</f>
        <v>102014</v>
      </c>
      <c r="C467" s="14">
        <f ca="1">IFERROR(__xludf.DUMMYFUNCTION("""COMPUTED_VALUE"""),1)</f>
        <v>1</v>
      </c>
      <c r="D467" s="12" t="str">
        <f ca="1">IFERROR(__xludf.DUMMYFUNCTION("""COMPUTED_VALUE"""),"小関 麻起")</f>
        <v>小関 麻起</v>
      </c>
    </row>
    <row r="468" spans="2:4" ht="13">
      <c r="B468" s="12">
        <f ca="1">IFERROR(__xludf.DUMMYFUNCTION("""COMPUTED_VALUE"""),102015)</f>
        <v>102015</v>
      </c>
      <c r="C468" s="14">
        <f ca="1">IFERROR(__xludf.DUMMYFUNCTION("""COMPUTED_VALUE"""),32)</f>
        <v>32</v>
      </c>
      <c r="D468" s="12" t="str">
        <f ca="1">IFERROR(__xludf.DUMMYFUNCTION("""COMPUTED_VALUE"""),"小関 麻起")</f>
        <v>小関 麻起</v>
      </c>
    </row>
    <row r="469" spans="2:4" ht="13">
      <c r="B469" s="12">
        <f ca="1">IFERROR(__xludf.DUMMYFUNCTION("""COMPUTED_VALUE"""),102019)</f>
        <v>102019</v>
      </c>
      <c r="C469" s="14">
        <f ca="1">IFERROR(__xludf.DUMMYFUNCTION("""COMPUTED_VALUE"""),3)</f>
        <v>3</v>
      </c>
      <c r="D469" s="12" t="str">
        <f ca="1">IFERROR(__xludf.DUMMYFUNCTION("""COMPUTED_VALUE"""),"菅野 ぎんが")</f>
        <v>菅野 ぎんが</v>
      </c>
    </row>
    <row r="470" spans="2:4" ht="13">
      <c r="B470" s="12">
        <f ca="1">IFERROR(__xludf.DUMMYFUNCTION("""COMPUTED_VALUE"""),102029)</f>
        <v>102029</v>
      </c>
      <c r="C470" s="14">
        <f ca="1">IFERROR(__xludf.DUMMYFUNCTION("""COMPUTED_VALUE"""),0)</f>
        <v>0</v>
      </c>
      <c r="D470" s="12" t="str">
        <f ca="1">IFERROR(__xludf.DUMMYFUNCTION("""COMPUTED_VALUE"""),"菅野 ぎんが")</f>
        <v>菅野 ぎんが</v>
      </c>
    </row>
    <row r="471" spans="2:4" ht="13">
      <c r="B471" s="12">
        <f ca="1">IFERROR(__xludf.DUMMYFUNCTION("""COMPUTED_VALUE"""),102050)</f>
        <v>102050</v>
      </c>
      <c r="C471" s="14">
        <f ca="1">IFERROR(__xludf.DUMMYFUNCTION("""COMPUTED_VALUE"""),0)</f>
        <v>0</v>
      </c>
      <c r="D471" s="12" t="str">
        <f ca="1">IFERROR(__xludf.DUMMYFUNCTION("""COMPUTED_VALUE"""),"菅野 ぎんが")</f>
        <v>菅野 ぎんが</v>
      </c>
    </row>
    <row r="472" spans="2:4" ht="13">
      <c r="B472" s="12">
        <f ca="1">IFERROR(__xludf.DUMMYFUNCTION("""COMPUTED_VALUE"""),102054)</f>
        <v>102054</v>
      </c>
      <c r="C472" s="14">
        <f ca="1">IFERROR(__xludf.DUMMYFUNCTION("""COMPUTED_VALUE"""),1)</f>
        <v>1</v>
      </c>
      <c r="D472" s="12" t="str">
        <f ca="1">IFERROR(__xludf.DUMMYFUNCTION("""COMPUTED_VALUE"""),"小関 麻起")</f>
        <v>小関 麻起</v>
      </c>
    </row>
    <row r="473" spans="2:4" ht="13">
      <c r="B473" s="12">
        <f ca="1">IFERROR(__xludf.DUMMYFUNCTION("""COMPUTED_VALUE"""),102063)</f>
        <v>102063</v>
      </c>
      <c r="C473" s="14">
        <f ca="1">IFERROR(__xludf.DUMMYFUNCTION("""COMPUTED_VALUE"""),0)</f>
        <v>0</v>
      </c>
      <c r="D473" s="12" t="str">
        <f ca="1">IFERROR(__xludf.DUMMYFUNCTION("""COMPUTED_VALUE"""),"菅野 ぎんが")</f>
        <v>菅野 ぎんが</v>
      </c>
    </row>
    <row r="474" spans="2:4" ht="13">
      <c r="B474" s="12">
        <f ca="1">IFERROR(__xludf.DUMMYFUNCTION("""COMPUTED_VALUE"""),102094)</f>
        <v>102094</v>
      </c>
      <c r="C474" s="14">
        <f ca="1">IFERROR(__xludf.DUMMYFUNCTION("""COMPUTED_VALUE"""),0)</f>
        <v>0</v>
      </c>
      <c r="D474" s="12" t="str">
        <f ca="1">IFERROR(__xludf.DUMMYFUNCTION("""COMPUTED_VALUE"""),"長谷川 陸朗")</f>
        <v>長谷川 陸朗</v>
      </c>
    </row>
    <row r="475" spans="2:4" ht="13">
      <c r="B475" s="12">
        <f ca="1">IFERROR(__xludf.DUMMYFUNCTION("""COMPUTED_VALUE"""),102104)</f>
        <v>102104</v>
      </c>
      <c r="C475" s="14">
        <f ca="1">IFERROR(__xludf.DUMMYFUNCTION("""COMPUTED_VALUE"""),0)</f>
        <v>0</v>
      </c>
      <c r="D475" s="12" t="str">
        <f ca="1">IFERROR(__xludf.DUMMYFUNCTION("""COMPUTED_VALUE"""),"松尾 尚樹")</f>
        <v>松尾 尚樹</v>
      </c>
    </row>
    <row r="476" spans="2:4" ht="13">
      <c r="B476" s="12">
        <f ca="1">IFERROR(__xludf.DUMMYFUNCTION("""COMPUTED_VALUE"""),102105)</f>
        <v>102105</v>
      </c>
      <c r="C476" s="14">
        <f ca="1">IFERROR(__xludf.DUMMYFUNCTION("""COMPUTED_VALUE"""),3)</f>
        <v>3</v>
      </c>
      <c r="D476" s="12" t="str">
        <f ca="1">IFERROR(__xludf.DUMMYFUNCTION("""COMPUTED_VALUE"""),"辻村 将大")</f>
        <v>辻村 将大</v>
      </c>
    </row>
    <row r="477" spans="2:4" ht="13">
      <c r="B477" s="12">
        <f ca="1">IFERROR(__xludf.DUMMYFUNCTION("""COMPUTED_VALUE"""),102108)</f>
        <v>102108</v>
      </c>
      <c r="C477" s="14">
        <f ca="1">IFERROR(__xludf.DUMMYFUNCTION("""COMPUTED_VALUE"""),0)</f>
        <v>0</v>
      </c>
      <c r="D477" s="12" t="str">
        <f ca="1">IFERROR(__xludf.DUMMYFUNCTION("""COMPUTED_VALUE"""),"稲場 勇介")</f>
        <v>稲場 勇介</v>
      </c>
    </row>
    <row r="478" spans="2:4" ht="13">
      <c r="B478" s="12">
        <f ca="1">IFERROR(__xludf.DUMMYFUNCTION("""COMPUTED_VALUE"""),102111)</f>
        <v>102111</v>
      </c>
      <c r="C478" s="14">
        <f ca="1">IFERROR(__xludf.DUMMYFUNCTION("""COMPUTED_VALUE"""),8)</f>
        <v>8</v>
      </c>
      <c r="D478" s="12" t="str">
        <f ca="1">IFERROR(__xludf.DUMMYFUNCTION("""COMPUTED_VALUE"""),"長谷川 陸朗")</f>
        <v>長谷川 陸朗</v>
      </c>
    </row>
    <row r="479" spans="2:4" ht="13">
      <c r="B479" s="12">
        <f ca="1">IFERROR(__xludf.DUMMYFUNCTION("""COMPUTED_VALUE"""),102118)</f>
        <v>102118</v>
      </c>
      <c r="C479" s="14">
        <f ca="1">IFERROR(__xludf.DUMMYFUNCTION("""COMPUTED_VALUE"""),4)</f>
        <v>4</v>
      </c>
      <c r="D479" s="12" t="str">
        <f ca="1">IFERROR(__xludf.DUMMYFUNCTION("""COMPUTED_VALUE"""),"栗原 大武")</f>
        <v>栗原 大武</v>
      </c>
    </row>
    <row r="480" spans="2:4" ht="13">
      <c r="B480" s="12">
        <f ca="1">IFERROR(__xludf.DUMMYFUNCTION("""COMPUTED_VALUE"""),102131)</f>
        <v>102131</v>
      </c>
      <c r="C480" s="14">
        <f ca="1">IFERROR(__xludf.DUMMYFUNCTION("""COMPUTED_VALUE"""),0)</f>
        <v>0</v>
      </c>
      <c r="D480" s="12" t="str">
        <f ca="1">IFERROR(__xludf.DUMMYFUNCTION("""COMPUTED_VALUE"""),"松尾 尚樹")</f>
        <v>松尾 尚樹</v>
      </c>
    </row>
    <row r="481" spans="2:4" ht="13">
      <c r="B481" s="12">
        <f ca="1">IFERROR(__xludf.DUMMYFUNCTION("""COMPUTED_VALUE"""),102140)</f>
        <v>102140</v>
      </c>
      <c r="C481" s="14">
        <f ca="1">IFERROR(__xludf.DUMMYFUNCTION("""COMPUTED_VALUE"""),10)</f>
        <v>10</v>
      </c>
      <c r="D481" s="12" t="str">
        <f ca="1">IFERROR(__xludf.DUMMYFUNCTION("""COMPUTED_VALUE"""),"成嶋 夏未")</f>
        <v>成嶋 夏未</v>
      </c>
    </row>
    <row r="482" spans="2:4" ht="13">
      <c r="B482" s="12">
        <f ca="1">IFERROR(__xludf.DUMMYFUNCTION("""COMPUTED_VALUE"""),102172)</f>
        <v>102172</v>
      </c>
      <c r="C482" s="14">
        <f ca="1">IFERROR(__xludf.DUMMYFUNCTION("""COMPUTED_VALUE"""),0)</f>
        <v>0</v>
      </c>
      <c r="D482" s="12" t="str">
        <f ca="1">IFERROR(__xludf.DUMMYFUNCTION("""COMPUTED_VALUE"""),"柿崎 晃司")</f>
        <v>柿崎 晃司</v>
      </c>
    </row>
    <row r="483" spans="2:4" ht="13">
      <c r="B483" s="12">
        <f ca="1">IFERROR(__xludf.DUMMYFUNCTION("""COMPUTED_VALUE"""),102174)</f>
        <v>102174</v>
      </c>
      <c r="C483" s="14">
        <f ca="1">IFERROR(__xludf.DUMMYFUNCTION("""COMPUTED_VALUE"""),13)</f>
        <v>13</v>
      </c>
      <c r="D483" s="12" t="str">
        <f ca="1">IFERROR(__xludf.DUMMYFUNCTION("""COMPUTED_VALUE"""),"松尾 尚樹")</f>
        <v>松尾 尚樹</v>
      </c>
    </row>
    <row r="484" spans="2:4" ht="13">
      <c r="B484" s="12">
        <f ca="1">IFERROR(__xludf.DUMMYFUNCTION("""COMPUTED_VALUE"""),102181)</f>
        <v>102181</v>
      </c>
      <c r="C484" s="14">
        <f ca="1">IFERROR(__xludf.DUMMYFUNCTION("""COMPUTED_VALUE"""),1)</f>
        <v>1</v>
      </c>
      <c r="D484" s="12" t="str">
        <f ca="1">IFERROR(__xludf.DUMMYFUNCTION("""COMPUTED_VALUE"""),"村上 浩一朗")</f>
        <v>村上 浩一朗</v>
      </c>
    </row>
    <row r="485" spans="2:4" ht="13">
      <c r="B485" s="12">
        <f ca="1">IFERROR(__xludf.DUMMYFUNCTION("""COMPUTED_VALUE"""),102186)</f>
        <v>102186</v>
      </c>
      <c r="C485" s="14">
        <f ca="1">IFERROR(__xludf.DUMMYFUNCTION("""COMPUTED_VALUE"""),0)</f>
        <v>0</v>
      </c>
      <c r="D485" s="12" t="str">
        <f ca="1">IFERROR(__xludf.DUMMYFUNCTION("""COMPUTED_VALUE"""),"長谷川 陸朗")</f>
        <v>長谷川 陸朗</v>
      </c>
    </row>
    <row r="486" spans="2:4" ht="13">
      <c r="B486" s="12">
        <f ca="1">IFERROR(__xludf.DUMMYFUNCTION("""COMPUTED_VALUE"""),102189)</f>
        <v>102189</v>
      </c>
      <c r="C486" s="14">
        <f ca="1">IFERROR(__xludf.DUMMYFUNCTION("""COMPUTED_VALUE"""),17)</f>
        <v>17</v>
      </c>
      <c r="D486" s="12" t="str">
        <f ca="1">IFERROR(__xludf.DUMMYFUNCTION("""COMPUTED_VALUE"""),"桐山 勝気")</f>
        <v>桐山 勝気</v>
      </c>
    </row>
    <row r="487" spans="2:4" ht="13">
      <c r="B487" s="12">
        <f ca="1">IFERROR(__xludf.DUMMYFUNCTION("""COMPUTED_VALUE"""),102190)</f>
        <v>102190</v>
      </c>
      <c r="C487" s="14">
        <f ca="1">IFERROR(__xludf.DUMMYFUNCTION("""COMPUTED_VALUE"""),1)</f>
        <v>1</v>
      </c>
      <c r="D487" s="12" t="str">
        <f ca="1">IFERROR(__xludf.DUMMYFUNCTION("""COMPUTED_VALUE"""),"菅野 ぎんが")</f>
        <v>菅野 ぎんが</v>
      </c>
    </row>
    <row r="488" spans="2:4" ht="13">
      <c r="B488" s="12">
        <f ca="1">IFERROR(__xludf.DUMMYFUNCTION("""COMPUTED_VALUE"""),102192)</f>
        <v>102192</v>
      </c>
      <c r="C488" s="14">
        <f ca="1">IFERROR(__xludf.DUMMYFUNCTION("""COMPUTED_VALUE"""),69)</f>
        <v>69</v>
      </c>
      <c r="D488" s="12" t="str">
        <f ca="1">IFERROR(__xludf.DUMMYFUNCTION("""COMPUTED_VALUE"""),"桐山 勝気")</f>
        <v>桐山 勝気</v>
      </c>
    </row>
    <row r="489" spans="2:4" ht="13">
      <c r="B489" s="12">
        <f ca="1">IFERROR(__xludf.DUMMYFUNCTION("""COMPUTED_VALUE"""),102202)</f>
        <v>102202</v>
      </c>
      <c r="C489" s="14">
        <f ca="1">IFERROR(__xludf.DUMMYFUNCTION("""COMPUTED_VALUE"""),23)</f>
        <v>23</v>
      </c>
      <c r="D489" s="12" t="str">
        <f ca="1">IFERROR(__xludf.DUMMYFUNCTION("""COMPUTED_VALUE"""),"菅野 ぎんが")</f>
        <v>菅野 ぎんが</v>
      </c>
    </row>
    <row r="490" spans="2:4" ht="13">
      <c r="B490" s="12">
        <f ca="1">IFERROR(__xludf.DUMMYFUNCTION("""COMPUTED_VALUE"""),102225)</f>
        <v>102225</v>
      </c>
      <c r="C490" s="14">
        <f ca="1">IFERROR(__xludf.DUMMYFUNCTION("""COMPUTED_VALUE"""),44)</f>
        <v>44</v>
      </c>
      <c r="D490" s="12" t="str">
        <f ca="1">IFERROR(__xludf.DUMMYFUNCTION("""COMPUTED_VALUE"""),"奥野 貴大")</f>
        <v>奥野 貴大</v>
      </c>
    </row>
    <row r="491" spans="2:4" ht="13">
      <c r="B491" s="12">
        <f ca="1">IFERROR(__xludf.DUMMYFUNCTION("""COMPUTED_VALUE"""),102230)</f>
        <v>102230</v>
      </c>
      <c r="C491" s="14">
        <f ca="1">IFERROR(__xludf.DUMMYFUNCTION("""COMPUTED_VALUE"""),1)</f>
        <v>1</v>
      </c>
      <c r="D491" s="12" t="str">
        <f ca="1">IFERROR(__xludf.DUMMYFUNCTION("""COMPUTED_VALUE"""),"小関 麻起")</f>
        <v>小関 麻起</v>
      </c>
    </row>
    <row r="492" spans="2:4" ht="13">
      <c r="B492" s="12">
        <f ca="1">IFERROR(__xludf.DUMMYFUNCTION("""COMPUTED_VALUE"""),102232)</f>
        <v>102232</v>
      </c>
      <c r="C492" s="14">
        <f ca="1">IFERROR(__xludf.DUMMYFUNCTION("""COMPUTED_VALUE"""),0)</f>
        <v>0</v>
      </c>
      <c r="D492" s="12" t="str">
        <f ca="1">IFERROR(__xludf.DUMMYFUNCTION("""COMPUTED_VALUE"""),"稲場 勇介")</f>
        <v>稲場 勇介</v>
      </c>
    </row>
    <row r="493" spans="2:4" ht="13">
      <c r="B493" s="12">
        <f ca="1">IFERROR(__xludf.DUMMYFUNCTION("""COMPUTED_VALUE"""),102233)</f>
        <v>102233</v>
      </c>
      <c r="C493" s="14">
        <f ca="1">IFERROR(__xludf.DUMMYFUNCTION("""COMPUTED_VALUE"""),0)</f>
        <v>0</v>
      </c>
      <c r="D493" s="12" t="str">
        <f ca="1">IFERROR(__xludf.DUMMYFUNCTION("""COMPUTED_VALUE"""),"田嶋 将太")</f>
        <v>田嶋 将太</v>
      </c>
    </row>
    <row r="494" spans="2:4" ht="13">
      <c r="B494" s="12">
        <f ca="1">IFERROR(__xludf.DUMMYFUNCTION("""COMPUTED_VALUE"""),102243)</f>
        <v>102243</v>
      </c>
      <c r="C494" s="14">
        <f ca="1">IFERROR(__xludf.DUMMYFUNCTION("""COMPUTED_VALUE"""),0)</f>
        <v>0</v>
      </c>
      <c r="D494" s="12" t="str">
        <f ca="1">IFERROR(__xludf.DUMMYFUNCTION("""COMPUTED_VALUE"""),"松尾 尚樹")</f>
        <v>松尾 尚樹</v>
      </c>
    </row>
    <row r="495" spans="2:4" ht="13">
      <c r="B495" s="12">
        <f ca="1">IFERROR(__xludf.DUMMYFUNCTION("""COMPUTED_VALUE"""),102257)</f>
        <v>102257</v>
      </c>
      <c r="C495" s="14">
        <f ca="1">IFERROR(__xludf.DUMMYFUNCTION("""COMPUTED_VALUE"""),0)</f>
        <v>0</v>
      </c>
      <c r="D495" s="12" t="str">
        <f ca="1">IFERROR(__xludf.DUMMYFUNCTION("""COMPUTED_VALUE"""),"松尾 尚樹")</f>
        <v>松尾 尚樹</v>
      </c>
    </row>
    <row r="496" spans="2:4" ht="13">
      <c r="B496" s="12">
        <f ca="1">IFERROR(__xludf.DUMMYFUNCTION("""COMPUTED_VALUE"""),102261)</f>
        <v>102261</v>
      </c>
      <c r="C496" s="14">
        <f ca="1">IFERROR(__xludf.DUMMYFUNCTION("""COMPUTED_VALUE"""),12)</f>
        <v>12</v>
      </c>
      <c r="D496" s="12" t="str">
        <f ca="1">IFERROR(__xludf.DUMMYFUNCTION("""COMPUTED_VALUE"""),"栗原 大武")</f>
        <v>栗原 大武</v>
      </c>
    </row>
    <row r="497" spans="2:4" ht="13">
      <c r="B497" s="12">
        <f ca="1">IFERROR(__xludf.DUMMYFUNCTION("""COMPUTED_VALUE"""),102264)</f>
        <v>102264</v>
      </c>
      <c r="C497" s="14">
        <f ca="1">IFERROR(__xludf.DUMMYFUNCTION("""COMPUTED_VALUE"""),0)</f>
        <v>0</v>
      </c>
      <c r="D497" s="12" t="str">
        <f ca="1">IFERROR(__xludf.DUMMYFUNCTION("""COMPUTED_VALUE"""),"小関 麻起")</f>
        <v>小関 麻起</v>
      </c>
    </row>
    <row r="498" spans="2:4" ht="13">
      <c r="B498" s="12">
        <f ca="1">IFERROR(__xludf.DUMMYFUNCTION("""COMPUTED_VALUE"""),102265)</f>
        <v>102265</v>
      </c>
      <c r="C498" s="14">
        <f ca="1">IFERROR(__xludf.DUMMYFUNCTION("""COMPUTED_VALUE"""),6)</f>
        <v>6</v>
      </c>
      <c r="D498" s="12" t="str">
        <f ca="1">IFERROR(__xludf.DUMMYFUNCTION("""COMPUTED_VALUE"""),"菅野 ぎんが")</f>
        <v>菅野 ぎんが</v>
      </c>
    </row>
    <row r="499" spans="2:4" ht="13">
      <c r="B499" s="12">
        <f ca="1">IFERROR(__xludf.DUMMYFUNCTION("""COMPUTED_VALUE"""),102267)</f>
        <v>102267</v>
      </c>
      <c r="C499" s="14">
        <f ca="1">IFERROR(__xludf.DUMMYFUNCTION("""COMPUTED_VALUE"""),5)</f>
        <v>5</v>
      </c>
      <c r="D499" s="12" t="str">
        <f ca="1">IFERROR(__xludf.DUMMYFUNCTION("""COMPUTED_VALUE"""),"稲場 勇介")</f>
        <v>稲場 勇介</v>
      </c>
    </row>
    <row r="500" spans="2:4" ht="13">
      <c r="B500" s="12">
        <f ca="1">IFERROR(__xludf.DUMMYFUNCTION("""COMPUTED_VALUE"""),102284)</f>
        <v>102284</v>
      </c>
      <c r="C500" s="14">
        <f ca="1">IFERROR(__xludf.DUMMYFUNCTION("""COMPUTED_VALUE"""),1)</f>
        <v>1</v>
      </c>
      <c r="D500" s="12" t="str">
        <f ca="1">IFERROR(__xludf.DUMMYFUNCTION("""COMPUTED_VALUE"""),"稲場 勇介")</f>
        <v>稲場 勇介</v>
      </c>
    </row>
    <row r="501" spans="2:4" ht="13">
      <c r="B501" s="12">
        <f ca="1">IFERROR(__xludf.DUMMYFUNCTION("""COMPUTED_VALUE"""),102285)</f>
        <v>102285</v>
      </c>
      <c r="C501" s="14">
        <f ca="1">IFERROR(__xludf.DUMMYFUNCTION("""COMPUTED_VALUE"""),14)</f>
        <v>14</v>
      </c>
      <c r="D501" s="12" t="str">
        <f ca="1">IFERROR(__xludf.DUMMYFUNCTION("""COMPUTED_VALUE"""),"稲場 勇介")</f>
        <v>稲場 勇介</v>
      </c>
    </row>
    <row r="502" spans="2:4" ht="13">
      <c r="B502" s="12">
        <f ca="1">IFERROR(__xludf.DUMMYFUNCTION("""COMPUTED_VALUE"""),102314)</f>
        <v>102314</v>
      </c>
      <c r="C502" s="14">
        <f ca="1">IFERROR(__xludf.DUMMYFUNCTION("""COMPUTED_VALUE"""),15)</f>
        <v>15</v>
      </c>
      <c r="D502" s="12" t="str">
        <f ca="1">IFERROR(__xludf.DUMMYFUNCTION("""COMPUTED_VALUE"""),"桐山 勝気")</f>
        <v>桐山 勝気</v>
      </c>
    </row>
    <row r="503" spans="2:4" ht="13">
      <c r="B503" s="12">
        <f ca="1">IFERROR(__xludf.DUMMYFUNCTION("""COMPUTED_VALUE"""),102315)</f>
        <v>102315</v>
      </c>
      <c r="C503" s="14">
        <f ca="1">IFERROR(__xludf.DUMMYFUNCTION("""COMPUTED_VALUE"""),28)</f>
        <v>28</v>
      </c>
      <c r="D503" s="12" t="str">
        <f ca="1">IFERROR(__xludf.DUMMYFUNCTION("""COMPUTED_VALUE"""),"桐山 勝気")</f>
        <v>桐山 勝気</v>
      </c>
    </row>
    <row r="504" spans="2:4" ht="13">
      <c r="B504" s="12">
        <f ca="1">IFERROR(__xludf.DUMMYFUNCTION("""COMPUTED_VALUE"""),102316)</f>
        <v>102316</v>
      </c>
      <c r="C504" s="14">
        <f ca="1">IFERROR(__xludf.DUMMYFUNCTION("""COMPUTED_VALUE"""),19)</f>
        <v>19</v>
      </c>
      <c r="D504" s="12" t="str">
        <f ca="1">IFERROR(__xludf.DUMMYFUNCTION("""COMPUTED_VALUE"""),"桐山 勝気")</f>
        <v>桐山 勝気</v>
      </c>
    </row>
    <row r="505" spans="2:4" ht="13">
      <c r="B505" s="12">
        <f ca="1">IFERROR(__xludf.DUMMYFUNCTION("""COMPUTED_VALUE"""),102318)</f>
        <v>102318</v>
      </c>
      <c r="C505" s="14">
        <f ca="1">IFERROR(__xludf.DUMMYFUNCTION("""COMPUTED_VALUE"""),0)</f>
        <v>0</v>
      </c>
      <c r="D505" s="12" t="str">
        <f ca="1">IFERROR(__xludf.DUMMYFUNCTION("""COMPUTED_VALUE"""),"長谷川 陸朗")</f>
        <v>長谷川 陸朗</v>
      </c>
    </row>
    <row r="506" spans="2:4" ht="13">
      <c r="B506" s="12">
        <f ca="1">IFERROR(__xludf.DUMMYFUNCTION("""COMPUTED_VALUE"""),102333)</f>
        <v>102333</v>
      </c>
      <c r="C506" s="14">
        <f ca="1">IFERROR(__xludf.DUMMYFUNCTION("""COMPUTED_VALUE"""),0)</f>
        <v>0</v>
      </c>
      <c r="D506" s="12" t="str">
        <f ca="1">IFERROR(__xludf.DUMMYFUNCTION("""COMPUTED_VALUE"""),"松尾 尚樹")</f>
        <v>松尾 尚樹</v>
      </c>
    </row>
    <row r="507" spans="2:4" ht="13">
      <c r="B507" s="12">
        <f ca="1">IFERROR(__xludf.DUMMYFUNCTION("""COMPUTED_VALUE"""),102336)</f>
        <v>102336</v>
      </c>
      <c r="C507" s="14">
        <f ca="1">IFERROR(__xludf.DUMMYFUNCTION("""COMPUTED_VALUE"""),42)</f>
        <v>42</v>
      </c>
      <c r="D507" s="12" t="str">
        <f ca="1">IFERROR(__xludf.DUMMYFUNCTION("""COMPUTED_VALUE"""),"長谷川 陸朗")</f>
        <v>長谷川 陸朗</v>
      </c>
    </row>
    <row r="508" spans="2:4" ht="13">
      <c r="B508" s="12">
        <f ca="1">IFERROR(__xludf.DUMMYFUNCTION("""COMPUTED_VALUE"""),102337)</f>
        <v>102337</v>
      </c>
      <c r="C508" s="14">
        <f ca="1">IFERROR(__xludf.DUMMYFUNCTION("""COMPUTED_VALUE"""),0)</f>
        <v>0</v>
      </c>
      <c r="D508" s="12" t="str">
        <f ca="1">IFERROR(__xludf.DUMMYFUNCTION("""COMPUTED_VALUE"""),"菅野 ぎんが")</f>
        <v>菅野 ぎんが</v>
      </c>
    </row>
    <row r="509" spans="2:4" ht="13">
      <c r="B509" s="12">
        <f ca="1">IFERROR(__xludf.DUMMYFUNCTION("""COMPUTED_VALUE"""),102347)</f>
        <v>102347</v>
      </c>
      <c r="C509" s="14">
        <f ca="1">IFERROR(__xludf.DUMMYFUNCTION("""COMPUTED_VALUE"""),0)</f>
        <v>0</v>
      </c>
      <c r="D509" s="12" t="str">
        <f ca="1">IFERROR(__xludf.DUMMYFUNCTION("""COMPUTED_VALUE"""),"栗原 大武")</f>
        <v>栗原 大武</v>
      </c>
    </row>
    <row r="510" spans="2:4" ht="13">
      <c r="B510" s="12">
        <f ca="1">IFERROR(__xludf.DUMMYFUNCTION("""COMPUTED_VALUE"""),102348)</f>
        <v>102348</v>
      </c>
      <c r="C510" s="14">
        <f ca="1">IFERROR(__xludf.DUMMYFUNCTION("""COMPUTED_VALUE"""),11)</f>
        <v>11</v>
      </c>
      <c r="D510" s="12" t="str">
        <f ca="1">IFERROR(__xludf.DUMMYFUNCTION("""COMPUTED_VALUE"""),"稲場 勇介")</f>
        <v>稲場 勇介</v>
      </c>
    </row>
    <row r="511" spans="2:4" ht="13">
      <c r="B511" s="12">
        <f ca="1">IFERROR(__xludf.DUMMYFUNCTION("""COMPUTED_VALUE"""),102352)</f>
        <v>102352</v>
      </c>
      <c r="C511" s="14">
        <f ca="1">IFERROR(__xludf.DUMMYFUNCTION("""COMPUTED_VALUE"""),0)</f>
        <v>0</v>
      </c>
      <c r="D511" s="12" t="str">
        <f ca="1">IFERROR(__xludf.DUMMYFUNCTION("""COMPUTED_VALUE"""),"小川 純")</f>
        <v>小川 純</v>
      </c>
    </row>
    <row r="512" spans="2:4" ht="13">
      <c r="B512" s="12">
        <f ca="1">IFERROR(__xludf.DUMMYFUNCTION("""COMPUTED_VALUE"""),102359)</f>
        <v>102359</v>
      </c>
      <c r="C512" s="14">
        <f ca="1">IFERROR(__xludf.DUMMYFUNCTION("""COMPUTED_VALUE"""),0)</f>
        <v>0</v>
      </c>
      <c r="D512" s="12" t="str">
        <f ca="1">IFERROR(__xludf.DUMMYFUNCTION("""COMPUTED_VALUE"""),"村上 浩一朗")</f>
        <v>村上 浩一朗</v>
      </c>
    </row>
    <row r="513" spans="2:4" ht="13">
      <c r="B513" s="12">
        <f ca="1">IFERROR(__xludf.DUMMYFUNCTION("""COMPUTED_VALUE"""),102365)</f>
        <v>102365</v>
      </c>
      <c r="C513" s="14">
        <f ca="1">IFERROR(__xludf.DUMMYFUNCTION("""COMPUTED_VALUE"""),38)</f>
        <v>38</v>
      </c>
      <c r="D513" s="12" t="str">
        <f ca="1">IFERROR(__xludf.DUMMYFUNCTION("""COMPUTED_VALUE"""),"奥野 貴大")</f>
        <v>奥野 貴大</v>
      </c>
    </row>
    <row r="514" spans="2:4" ht="13">
      <c r="B514" s="12">
        <f ca="1">IFERROR(__xludf.DUMMYFUNCTION("""COMPUTED_VALUE"""),102391)</f>
        <v>102391</v>
      </c>
      <c r="C514" s="14">
        <f ca="1">IFERROR(__xludf.DUMMYFUNCTION("""COMPUTED_VALUE"""),0)</f>
        <v>0</v>
      </c>
      <c r="D514" s="12" t="str">
        <f ca="1">IFERROR(__xludf.DUMMYFUNCTION("""COMPUTED_VALUE"""),"成嶋 夏未")</f>
        <v>成嶋 夏未</v>
      </c>
    </row>
    <row r="515" spans="2:4" ht="13">
      <c r="B515" s="12">
        <f ca="1">IFERROR(__xludf.DUMMYFUNCTION("""COMPUTED_VALUE"""),102403)</f>
        <v>102403</v>
      </c>
      <c r="C515" s="14">
        <f ca="1">IFERROR(__xludf.DUMMYFUNCTION("""COMPUTED_VALUE"""),10)</f>
        <v>10</v>
      </c>
      <c r="D515" s="12" t="str">
        <f ca="1">IFERROR(__xludf.DUMMYFUNCTION("""COMPUTED_VALUE"""),"辻村 将大")</f>
        <v>辻村 将大</v>
      </c>
    </row>
    <row r="516" spans="2:4" ht="13">
      <c r="B516" s="12">
        <f ca="1">IFERROR(__xludf.DUMMYFUNCTION("""COMPUTED_VALUE"""),102405)</f>
        <v>102405</v>
      </c>
      <c r="C516" s="14">
        <f ca="1">IFERROR(__xludf.DUMMYFUNCTION("""COMPUTED_VALUE"""),71)</f>
        <v>71</v>
      </c>
      <c r="D516" s="12" t="str">
        <f ca="1">IFERROR(__xludf.DUMMYFUNCTION("""COMPUTED_VALUE"""),"桐山 勝気")</f>
        <v>桐山 勝気</v>
      </c>
    </row>
    <row r="517" spans="2:4" ht="13">
      <c r="B517" s="12">
        <f ca="1">IFERROR(__xludf.DUMMYFUNCTION("""COMPUTED_VALUE"""),102409)</f>
        <v>102409</v>
      </c>
      <c r="C517" s="14">
        <f ca="1">IFERROR(__xludf.DUMMYFUNCTION("""COMPUTED_VALUE"""),13)</f>
        <v>13</v>
      </c>
      <c r="D517" s="12" t="str">
        <f ca="1">IFERROR(__xludf.DUMMYFUNCTION("""COMPUTED_VALUE"""),"桐山 勝気")</f>
        <v>桐山 勝気</v>
      </c>
    </row>
    <row r="518" spans="2:4" ht="13">
      <c r="B518" s="12">
        <f ca="1">IFERROR(__xludf.DUMMYFUNCTION("""COMPUTED_VALUE"""),102412)</f>
        <v>102412</v>
      </c>
      <c r="C518" s="14">
        <f ca="1">IFERROR(__xludf.DUMMYFUNCTION("""COMPUTED_VALUE"""),1)</f>
        <v>1</v>
      </c>
      <c r="D518" s="12" t="str">
        <f ca="1">IFERROR(__xludf.DUMMYFUNCTION("""COMPUTED_VALUE"""),"大木 優香")</f>
        <v>大木 優香</v>
      </c>
    </row>
    <row r="519" spans="2:4" ht="13">
      <c r="B519" s="12">
        <f ca="1">IFERROR(__xludf.DUMMYFUNCTION("""COMPUTED_VALUE"""),102421)</f>
        <v>102421</v>
      </c>
      <c r="C519" s="14">
        <f ca="1">IFERROR(__xludf.DUMMYFUNCTION("""COMPUTED_VALUE"""),0)</f>
        <v>0</v>
      </c>
      <c r="D519" s="12" t="str">
        <f ca="1">IFERROR(__xludf.DUMMYFUNCTION("""COMPUTED_VALUE"""),"大木 優香")</f>
        <v>大木 優香</v>
      </c>
    </row>
    <row r="520" spans="2:4" ht="13">
      <c r="B520" s="12">
        <f ca="1">IFERROR(__xludf.DUMMYFUNCTION("""COMPUTED_VALUE"""),102443)</f>
        <v>102443</v>
      </c>
      <c r="C520" s="14">
        <f ca="1">IFERROR(__xludf.DUMMYFUNCTION("""COMPUTED_VALUE"""),6)</f>
        <v>6</v>
      </c>
      <c r="D520" s="12" t="str">
        <f ca="1">IFERROR(__xludf.DUMMYFUNCTION("""COMPUTED_VALUE"""),"辻村 将大")</f>
        <v>辻村 将大</v>
      </c>
    </row>
    <row r="521" spans="2:4" ht="13">
      <c r="B521" s="12">
        <f ca="1">IFERROR(__xludf.DUMMYFUNCTION("""COMPUTED_VALUE"""),102449)</f>
        <v>102449</v>
      </c>
      <c r="C521" s="14">
        <f ca="1">IFERROR(__xludf.DUMMYFUNCTION("""COMPUTED_VALUE"""),1)</f>
        <v>1</v>
      </c>
      <c r="D521" s="12" t="str">
        <f ca="1">IFERROR(__xludf.DUMMYFUNCTION("""COMPUTED_VALUE"""),"小川 純")</f>
        <v>小川 純</v>
      </c>
    </row>
    <row r="522" spans="2:4" ht="13">
      <c r="B522" s="12">
        <f ca="1">IFERROR(__xludf.DUMMYFUNCTION("""COMPUTED_VALUE"""),102457)</f>
        <v>102457</v>
      </c>
      <c r="C522" s="14">
        <f ca="1">IFERROR(__xludf.DUMMYFUNCTION("""COMPUTED_VALUE"""),0)</f>
        <v>0</v>
      </c>
      <c r="D522" s="12" t="str">
        <f ca="1">IFERROR(__xludf.DUMMYFUNCTION("""COMPUTED_VALUE"""),"菅野 ぎんが")</f>
        <v>菅野 ぎんが</v>
      </c>
    </row>
    <row r="523" spans="2:4" ht="13">
      <c r="B523" s="12">
        <f ca="1">IFERROR(__xludf.DUMMYFUNCTION("""COMPUTED_VALUE"""),102458)</f>
        <v>102458</v>
      </c>
      <c r="C523" s="14">
        <f ca="1">IFERROR(__xludf.DUMMYFUNCTION("""COMPUTED_VALUE"""),4)</f>
        <v>4</v>
      </c>
      <c r="D523" s="12" t="str">
        <f ca="1">IFERROR(__xludf.DUMMYFUNCTION("""COMPUTED_VALUE"""),"菅野 ぎんが")</f>
        <v>菅野 ぎんが</v>
      </c>
    </row>
    <row r="524" spans="2:4" ht="13">
      <c r="B524" s="12">
        <f ca="1">IFERROR(__xludf.DUMMYFUNCTION("""COMPUTED_VALUE"""),102464)</f>
        <v>102464</v>
      </c>
      <c r="C524" s="14">
        <f ca="1">IFERROR(__xludf.DUMMYFUNCTION("""COMPUTED_VALUE"""),0)</f>
        <v>0</v>
      </c>
      <c r="D524" s="12" t="str">
        <f ca="1">IFERROR(__xludf.DUMMYFUNCTION("""COMPUTED_VALUE"""),"芳賀 亮輔")</f>
        <v>芳賀 亮輔</v>
      </c>
    </row>
    <row r="525" spans="2:4" ht="13">
      <c r="B525" s="12">
        <f ca="1">IFERROR(__xludf.DUMMYFUNCTION("""COMPUTED_VALUE"""),102478)</f>
        <v>102478</v>
      </c>
      <c r="C525" s="14">
        <f ca="1">IFERROR(__xludf.DUMMYFUNCTION("""COMPUTED_VALUE"""),4)</f>
        <v>4</v>
      </c>
      <c r="D525" s="12" t="str">
        <f ca="1">IFERROR(__xludf.DUMMYFUNCTION("""COMPUTED_VALUE"""),"稲場 勇介")</f>
        <v>稲場 勇介</v>
      </c>
    </row>
    <row r="526" spans="2:4" ht="13">
      <c r="B526" s="12">
        <f ca="1">IFERROR(__xludf.DUMMYFUNCTION("""COMPUTED_VALUE"""),102481)</f>
        <v>102481</v>
      </c>
      <c r="C526" s="14">
        <f ca="1">IFERROR(__xludf.DUMMYFUNCTION("""COMPUTED_VALUE"""),0)</f>
        <v>0</v>
      </c>
      <c r="D526" s="12" t="str">
        <f ca="1">IFERROR(__xludf.DUMMYFUNCTION("""COMPUTED_VALUE"""),"小関 麻起")</f>
        <v>小関 麻起</v>
      </c>
    </row>
    <row r="527" spans="2:4" ht="13">
      <c r="B527" s="12">
        <f ca="1">IFERROR(__xludf.DUMMYFUNCTION("""COMPUTED_VALUE"""),102483)</f>
        <v>102483</v>
      </c>
      <c r="C527" s="14">
        <f ca="1">IFERROR(__xludf.DUMMYFUNCTION("""COMPUTED_VALUE"""),3)</f>
        <v>3</v>
      </c>
      <c r="D527" s="12" t="str">
        <f ca="1">IFERROR(__xludf.DUMMYFUNCTION("""COMPUTED_VALUE"""),"成嶋 夏未")</f>
        <v>成嶋 夏未</v>
      </c>
    </row>
    <row r="528" spans="2:4" ht="13">
      <c r="B528" s="12">
        <f ca="1">IFERROR(__xludf.DUMMYFUNCTION("""COMPUTED_VALUE"""),102486)</f>
        <v>102486</v>
      </c>
      <c r="C528" s="14">
        <f ca="1">IFERROR(__xludf.DUMMYFUNCTION("""COMPUTED_VALUE"""),1)</f>
        <v>1</v>
      </c>
      <c r="D528" s="12" t="str">
        <f ca="1">IFERROR(__xludf.DUMMYFUNCTION("""COMPUTED_VALUE"""),"大木 優香")</f>
        <v>大木 優香</v>
      </c>
    </row>
    <row r="529" spans="2:4" ht="13">
      <c r="B529" s="12">
        <f ca="1">IFERROR(__xludf.DUMMYFUNCTION("""COMPUTED_VALUE"""),102490)</f>
        <v>102490</v>
      </c>
      <c r="C529" s="14">
        <f ca="1">IFERROR(__xludf.DUMMYFUNCTION("""COMPUTED_VALUE"""),0)</f>
        <v>0</v>
      </c>
      <c r="D529" s="12" t="str">
        <f ca="1">IFERROR(__xludf.DUMMYFUNCTION("""COMPUTED_VALUE"""),"成嶋 夏未")</f>
        <v>成嶋 夏未</v>
      </c>
    </row>
    <row r="530" spans="2:4" ht="13">
      <c r="B530" s="12">
        <f ca="1">IFERROR(__xludf.DUMMYFUNCTION("""COMPUTED_VALUE"""),102491)</f>
        <v>102491</v>
      </c>
      <c r="C530" s="14">
        <f ca="1">IFERROR(__xludf.DUMMYFUNCTION("""COMPUTED_VALUE"""),22)</f>
        <v>22</v>
      </c>
      <c r="D530" s="12" t="str">
        <f ca="1">IFERROR(__xludf.DUMMYFUNCTION("""COMPUTED_VALUE"""),"老田 純輝")</f>
        <v>老田 純輝</v>
      </c>
    </row>
    <row r="531" spans="2:4" ht="13">
      <c r="B531" s="12">
        <f ca="1">IFERROR(__xludf.DUMMYFUNCTION("""COMPUTED_VALUE"""),102500)</f>
        <v>102500</v>
      </c>
      <c r="C531" s="14">
        <f ca="1">IFERROR(__xludf.DUMMYFUNCTION("""COMPUTED_VALUE"""),0)</f>
        <v>0</v>
      </c>
      <c r="D531" s="12" t="str">
        <f ca="1">IFERROR(__xludf.DUMMYFUNCTION("""COMPUTED_VALUE"""),"大木 優香")</f>
        <v>大木 優香</v>
      </c>
    </row>
    <row r="532" spans="2:4" ht="13">
      <c r="B532" s="12">
        <f ca="1">IFERROR(__xludf.DUMMYFUNCTION("""COMPUTED_VALUE"""),102504)</f>
        <v>102504</v>
      </c>
      <c r="C532" s="14">
        <f ca="1">IFERROR(__xludf.DUMMYFUNCTION("""COMPUTED_VALUE"""),8)</f>
        <v>8</v>
      </c>
      <c r="D532" s="12" t="str">
        <f ca="1">IFERROR(__xludf.DUMMYFUNCTION("""COMPUTED_VALUE"""),"田嶋 将太")</f>
        <v>田嶋 将太</v>
      </c>
    </row>
    <row r="533" spans="2:4" ht="13">
      <c r="B533" s="12">
        <f ca="1">IFERROR(__xludf.DUMMYFUNCTION("""COMPUTED_VALUE"""),102506)</f>
        <v>102506</v>
      </c>
      <c r="C533" s="14">
        <f ca="1">IFERROR(__xludf.DUMMYFUNCTION("""COMPUTED_VALUE"""),94)</f>
        <v>94</v>
      </c>
      <c r="D533" s="12" t="str">
        <f ca="1">IFERROR(__xludf.DUMMYFUNCTION("""COMPUTED_VALUE"""),"栗原 大武")</f>
        <v>栗原 大武</v>
      </c>
    </row>
    <row r="534" spans="2:4" ht="13">
      <c r="B534" s="12">
        <f ca="1">IFERROR(__xludf.DUMMYFUNCTION("""COMPUTED_VALUE"""),102507)</f>
        <v>102507</v>
      </c>
      <c r="C534" s="14">
        <f ca="1">IFERROR(__xludf.DUMMYFUNCTION("""COMPUTED_VALUE"""),90)</f>
        <v>90</v>
      </c>
      <c r="D534" s="12" t="str">
        <f ca="1">IFERROR(__xludf.DUMMYFUNCTION("""COMPUTED_VALUE"""),"栗原 大武")</f>
        <v>栗原 大武</v>
      </c>
    </row>
    <row r="535" spans="2:4" ht="13">
      <c r="B535" s="12">
        <f ca="1">IFERROR(__xludf.DUMMYFUNCTION("""COMPUTED_VALUE"""),102510)</f>
        <v>102510</v>
      </c>
      <c r="C535" s="14">
        <f ca="1">IFERROR(__xludf.DUMMYFUNCTION("""COMPUTED_VALUE"""),82)</f>
        <v>82</v>
      </c>
      <c r="D535" s="12" t="str">
        <f ca="1">IFERROR(__xludf.DUMMYFUNCTION("""COMPUTED_VALUE"""),"栗原 大武")</f>
        <v>栗原 大武</v>
      </c>
    </row>
    <row r="536" spans="2:4" ht="13">
      <c r="B536" s="12">
        <f ca="1">IFERROR(__xludf.DUMMYFUNCTION("""COMPUTED_VALUE"""),102511)</f>
        <v>102511</v>
      </c>
      <c r="C536" s="14">
        <f ca="1">IFERROR(__xludf.DUMMYFUNCTION("""COMPUTED_VALUE"""),90)</f>
        <v>90</v>
      </c>
      <c r="D536" s="12" t="str">
        <f ca="1">IFERROR(__xludf.DUMMYFUNCTION("""COMPUTED_VALUE"""),"栗原 大武")</f>
        <v>栗原 大武</v>
      </c>
    </row>
    <row r="537" spans="2:4" ht="13">
      <c r="B537" s="12">
        <f ca="1">IFERROR(__xludf.DUMMYFUNCTION("""COMPUTED_VALUE"""),102512)</f>
        <v>102512</v>
      </c>
      <c r="C537" s="14">
        <f ca="1">IFERROR(__xludf.DUMMYFUNCTION("""COMPUTED_VALUE"""),89)</f>
        <v>89</v>
      </c>
      <c r="D537" s="12" t="str">
        <f ca="1">IFERROR(__xludf.DUMMYFUNCTION("""COMPUTED_VALUE"""),"栗原 大武")</f>
        <v>栗原 大武</v>
      </c>
    </row>
    <row r="538" spans="2:4" ht="13">
      <c r="B538" s="12">
        <f ca="1">IFERROR(__xludf.DUMMYFUNCTION("""COMPUTED_VALUE"""),102513)</f>
        <v>102513</v>
      </c>
      <c r="C538" s="14">
        <f ca="1">IFERROR(__xludf.DUMMYFUNCTION("""COMPUTED_VALUE"""),81)</f>
        <v>81</v>
      </c>
      <c r="D538" s="12" t="str">
        <f ca="1">IFERROR(__xludf.DUMMYFUNCTION("""COMPUTED_VALUE"""),"栗原 大武")</f>
        <v>栗原 大武</v>
      </c>
    </row>
    <row r="539" spans="2:4" ht="13">
      <c r="B539" s="12">
        <f ca="1">IFERROR(__xludf.DUMMYFUNCTION("""COMPUTED_VALUE"""),102522)</f>
        <v>102522</v>
      </c>
      <c r="C539" s="14">
        <f ca="1">IFERROR(__xludf.DUMMYFUNCTION("""COMPUTED_VALUE"""),28)</f>
        <v>28</v>
      </c>
      <c r="D539" s="12" t="str">
        <f ca="1">IFERROR(__xludf.DUMMYFUNCTION("""COMPUTED_VALUE"""),"長谷川 陸朗")</f>
        <v>長谷川 陸朗</v>
      </c>
    </row>
    <row r="540" spans="2:4" ht="13">
      <c r="B540" s="12">
        <f ca="1">IFERROR(__xludf.DUMMYFUNCTION("""COMPUTED_VALUE"""),102537)</f>
        <v>102537</v>
      </c>
      <c r="C540" s="14">
        <f ca="1">IFERROR(__xludf.DUMMYFUNCTION("""COMPUTED_VALUE"""),13)</f>
        <v>13</v>
      </c>
      <c r="D540" s="12" t="str">
        <f ca="1">IFERROR(__xludf.DUMMYFUNCTION("""COMPUTED_VALUE"""),"菅野 ぎんが")</f>
        <v>菅野 ぎんが</v>
      </c>
    </row>
    <row r="541" spans="2:4" ht="13">
      <c r="B541" s="12">
        <f ca="1">IFERROR(__xludf.DUMMYFUNCTION("""COMPUTED_VALUE"""),102542)</f>
        <v>102542</v>
      </c>
      <c r="C541" s="14">
        <f ca="1">IFERROR(__xludf.DUMMYFUNCTION("""COMPUTED_VALUE"""),5)</f>
        <v>5</v>
      </c>
      <c r="D541" s="12" t="str">
        <f ca="1">IFERROR(__xludf.DUMMYFUNCTION("""COMPUTED_VALUE"""),"菅野 ぎんが")</f>
        <v>菅野 ぎんが</v>
      </c>
    </row>
    <row r="542" spans="2:4" ht="13">
      <c r="B542" s="12">
        <f ca="1">IFERROR(__xludf.DUMMYFUNCTION("""COMPUTED_VALUE"""),102543)</f>
        <v>102543</v>
      </c>
      <c r="C542" s="14">
        <f ca="1">IFERROR(__xludf.DUMMYFUNCTION("""COMPUTED_VALUE"""),0)</f>
        <v>0</v>
      </c>
      <c r="D542" s="12" t="str">
        <f ca="1">IFERROR(__xludf.DUMMYFUNCTION("""COMPUTED_VALUE"""),"長谷川 陸朗")</f>
        <v>長谷川 陸朗</v>
      </c>
    </row>
    <row r="543" spans="2:4" ht="13">
      <c r="B543" s="12">
        <f ca="1">IFERROR(__xludf.DUMMYFUNCTION("""COMPUTED_VALUE"""),102545)</f>
        <v>102545</v>
      </c>
      <c r="C543" s="14">
        <f ca="1">IFERROR(__xludf.DUMMYFUNCTION("""COMPUTED_VALUE"""),0)</f>
        <v>0</v>
      </c>
      <c r="D543" s="12" t="str">
        <f ca="1">IFERROR(__xludf.DUMMYFUNCTION("""COMPUTED_VALUE"""),"田嶋 将太")</f>
        <v>田嶋 将太</v>
      </c>
    </row>
    <row r="544" spans="2:4" ht="13">
      <c r="B544" s="12">
        <f ca="1">IFERROR(__xludf.DUMMYFUNCTION("""COMPUTED_VALUE"""),102546)</f>
        <v>102546</v>
      </c>
      <c r="C544" s="14">
        <f ca="1">IFERROR(__xludf.DUMMYFUNCTION("""COMPUTED_VALUE"""),6)</f>
        <v>6</v>
      </c>
      <c r="D544" s="12" t="str">
        <f ca="1">IFERROR(__xludf.DUMMYFUNCTION("""COMPUTED_VALUE"""),"菅野 ぎんが")</f>
        <v>菅野 ぎんが</v>
      </c>
    </row>
    <row r="545" spans="2:4" ht="13">
      <c r="B545" s="12">
        <f ca="1">IFERROR(__xludf.DUMMYFUNCTION("""COMPUTED_VALUE"""),102551)</f>
        <v>102551</v>
      </c>
      <c r="C545" s="14">
        <f ca="1">IFERROR(__xludf.DUMMYFUNCTION("""COMPUTED_VALUE"""),55)</f>
        <v>55</v>
      </c>
      <c r="D545" s="12" t="str">
        <f ca="1">IFERROR(__xludf.DUMMYFUNCTION("""COMPUTED_VALUE"""),"奥野 貴大")</f>
        <v>奥野 貴大</v>
      </c>
    </row>
    <row r="546" spans="2:4" ht="13">
      <c r="B546" s="12">
        <f ca="1">IFERROR(__xludf.DUMMYFUNCTION("""COMPUTED_VALUE"""),102554)</f>
        <v>102554</v>
      </c>
      <c r="C546" s="14">
        <f ca="1">IFERROR(__xludf.DUMMYFUNCTION("""COMPUTED_VALUE"""),0)</f>
        <v>0</v>
      </c>
      <c r="D546" s="12" t="str">
        <f ca="1">IFERROR(__xludf.DUMMYFUNCTION("""COMPUTED_VALUE"""),"奥野 貴大")</f>
        <v>奥野 貴大</v>
      </c>
    </row>
    <row r="547" spans="2:4" ht="13">
      <c r="B547" s="12">
        <f ca="1">IFERROR(__xludf.DUMMYFUNCTION("""COMPUTED_VALUE"""),102577)</f>
        <v>102577</v>
      </c>
      <c r="C547" s="14">
        <f ca="1">IFERROR(__xludf.DUMMYFUNCTION("""COMPUTED_VALUE"""),0)</f>
        <v>0</v>
      </c>
      <c r="D547" s="12" t="str">
        <f ca="1">IFERROR(__xludf.DUMMYFUNCTION("""COMPUTED_VALUE"""),"辻村 将大")</f>
        <v>辻村 将大</v>
      </c>
    </row>
    <row r="548" spans="2:4" ht="13">
      <c r="B548" s="12">
        <f ca="1">IFERROR(__xludf.DUMMYFUNCTION("""COMPUTED_VALUE"""),102578)</f>
        <v>102578</v>
      </c>
      <c r="C548" s="14">
        <f ca="1">IFERROR(__xludf.DUMMYFUNCTION("""COMPUTED_VALUE"""),16)</f>
        <v>16</v>
      </c>
      <c r="D548" s="12" t="str">
        <f ca="1">IFERROR(__xludf.DUMMYFUNCTION("""COMPUTED_VALUE"""),"奥野 貴大")</f>
        <v>奥野 貴大</v>
      </c>
    </row>
    <row r="549" spans="2:4" ht="13">
      <c r="B549" s="12">
        <f ca="1">IFERROR(__xludf.DUMMYFUNCTION("""COMPUTED_VALUE"""),102599)</f>
        <v>102599</v>
      </c>
      <c r="C549" s="14">
        <f ca="1">IFERROR(__xludf.DUMMYFUNCTION("""COMPUTED_VALUE"""),3)</f>
        <v>3</v>
      </c>
      <c r="D549" s="12" t="str">
        <f ca="1">IFERROR(__xludf.DUMMYFUNCTION("""COMPUTED_VALUE"""),"荻曽 克輝")</f>
        <v>荻曽 克輝</v>
      </c>
    </row>
    <row r="550" spans="2:4" ht="13">
      <c r="B550" s="12">
        <f ca="1">IFERROR(__xludf.DUMMYFUNCTION("""COMPUTED_VALUE"""),102601)</f>
        <v>102601</v>
      </c>
      <c r="C550" s="14">
        <f ca="1">IFERROR(__xludf.DUMMYFUNCTION("""COMPUTED_VALUE"""),4)</f>
        <v>4</v>
      </c>
      <c r="D550" s="12" t="str">
        <f ca="1">IFERROR(__xludf.DUMMYFUNCTION("""COMPUTED_VALUE"""),"老田 純輝")</f>
        <v>老田 純輝</v>
      </c>
    </row>
    <row r="551" spans="2:4" ht="13">
      <c r="B551" s="12">
        <f ca="1">IFERROR(__xludf.DUMMYFUNCTION("""COMPUTED_VALUE"""),102604)</f>
        <v>102604</v>
      </c>
      <c r="C551" s="14">
        <f ca="1">IFERROR(__xludf.DUMMYFUNCTION("""COMPUTED_VALUE"""),1)</f>
        <v>1</v>
      </c>
      <c r="D551" s="12" t="str">
        <f ca="1">IFERROR(__xludf.DUMMYFUNCTION("""COMPUTED_VALUE"""),"老田 純輝")</f>
        <v>老田 純輝</v>
      </c>
    </row>
    <row r="552" spans="2:4" ht="13">
      <c r="B552" s="12">
        <f ca="1">IFERROR(__xludf.DUMMYFUNCTION("""COMPUTED_VALUE"""),102637)</f>
        <v>102637</v>
      </c>
      <c r="C552" s="14">
        <f ca="1">IFERROR(__xludf.DUMMYFUNCTION("""COMPUTED_VALUE"""),0)</f>
        <v>0</v>
      </c>
      <c r="D552" s="12" t="str">
        <f ca="1">IFERROR(__xludf.DUMMYFUNCTION("""COMPUTED_VALUE"""),"小関 麻起")</f>
        <v>小関 麻起</v>
      </c>
    </row>
    <row r="553" spans="2:4" ht="13">
      <c r="B553" s="12">
        <f ca="1">IFERROR(__xludf.DUMMYFUNCTION("""COMPUTED_VALUE"""),102656)</f>
        <v>102656</v>
      </c>
      <c r="C553" s="14">
        <f ca="1">IFERROR(__xludf.DUMMYFUNCTION("""COMPUTED_VALUE"""),0)</f>
        <v>0</v>
      </c>
      <c r="D553" s="12" t="str">
        <f ca="1">IFERROR(__xludf.DUMMYFUNCTION("""COMPUTED_VALUE"""),"菅野 ぎんが")</f>
        <v>菅野 ぎんが</v>
      </c>
    </row>
    <row r="554" spans="2:4" ht="13">
      <c r="B554" s="12">
        <f ca="1">IFERROR(__xludf.DUMMYFUNCTION("""COMPUTED_VALUE"""),102666)</f>
        <v>102666</v>
      </c>
      <c r="C554" s="14">
        <f ca="1">IFERROR(__xludf.DUMMYFUNCTION("""COMPUTED_VALUE"""),74)</f>
        <v>74</v>
      </c>
      <c r="D554" s="12" t="str">
        <f ca="1">IFERROR(__xludf.DUMMYFUNCTION("""COMPUTED_VALUE"""),"菅野 ぎんが")</f>
        <v>菅野 ぎんが</v>
      </c>
    </row>
    <row r="555" spans="2:4" ht="13">
      <c r="B555" s="12">
        <f ca="1">IFERROR(__xludf.DUMMYFUNCTION("""COMPUTED_VALUE"""),102678)</f>
        <v>102678</v>
      </c>
      <c r="C555" s="14">
        <f ca="1">IFERROR(__xludf.DUMMYFUNCTION("""COMPUTED_VALUE"""),0)</f>
        <v>0</v>
      </c>
      <c r="D555" s="12" t="str">
        <f ca="1">IFERROR(__xludf.DUMMYFUNCTION("""COMPUTED_VALUE"""),"小関 麻起")</f>
        <v>小関 麻起</v>
      </c>
    </row>
    <row r="556" spans="2:4" ht="13">
      <c r="B556" s="12">
        <f ca="1">IFERROR(__xludf.DUMMYFUNCTION("""COMPUTED_VALUE"""),102687)</f>
        <v>102687</v>
      </c>
      <c r="C556" s="14">
        <f ca="1">IFERROR(__xludf.DUMMYFUNCTION("""COMPUTED_VALUE"""),0)</f>
        <v>0</v>
      </c>
      <c r="D556" s="12" t="str">
        <f ca="1">IFERROR(__xludf.DUMMYFUNCTION("""COMPUTED_VALUE"""),"松尾 尚樹")</f>
        <v>松尾 尚樹</v>
      </c>
    </row>
    <row r="557" spans="2:4" ht="13">
      <c r="B557" s="12">
        <f ca="1">IFERROR(__xludf.DUMMYFUNCTION("""COMPUTED_VALUE"""),102688)</f>
        <v>102688</v>
      </c>
      <c r="C557" s="14">
        <f ca="1">IFERROR(__xludf.DUMMYFUNCTION("""COMPUTED_VALUE"""),43)</f>
        <v>43</v>
      </c>
      <c r="D557" s="12" t="str">
        <f ca="1">IFERROR(__xludf.DUMMYFUNCTION("""COMPUTED_VALUE"""),"菅野 ぎんが")</f>
        <v>菅野 ぎんが</v>
      </c>
    </row>
    <row r="558" spans="2:4" ht="13">
      <c r="B558" s="12">
        <f ca="1">IFERROR(__xludf.DUMMYFUNCTION("""COMPUTED_VALUE"""),102700)</f>
        <v>102700</v>
      </c>
      <c r="C558" s="14">
        <f ca="1">IFERROR(__xludf.DUMMYFUNCTION("""COMPUTED_VALUE"""),2)</f>
        <v>2</v>
      </c>
      <c r="D558" s="12" t="str">
        <f ca="1">IFERROR(__xludf.DUMMYFUNCTION("""COMPUTED_VALUE"""),"老田 純輝")</f>
        <v>老田 純輝</v>
      </c>
    </row>
    <row r="559" spans="2:4" ht="13">
      <c r="B559" s="12">
        <f ca="1">IFERROR(__xludf.DUMMYFUNCTION("""COMPUTED_VALUE"""),102703)</f>
        <v>102703</v>
      </c>
      <c r="C559" s="14">
        <f ca="1">IFERROR(__xludf.DUMMYFUNCTION("""COMPUTED_VALUE"""),2)</f>
        <v>2</v>
      </c>
      <c r="D559" s="12" t="str">
        <f ca="1">IFERROR(__xludf.DUMMYFUNCTION("""COMPUTED_VALUE"""),"松尾 尚樹")</f>
        <v>松尾 尚樹</v>
      </c>
    </row>
    <row r="560" spans="2:4" ht="13">
      <c r="B560" s="12">
        <f ca="1">IFERROR(__xludf.DUMMYFUNCTION("""COMPUTED_VALUE"""),102704)</f>
        <v>102704</v>
      </c>
      <c r="C560" s="14">
        <f ca="1">IFERROR(__xludf.DUMMYFUNCTION("""COMPUTED_VALUE"""),0)</f>
        <v>0</v>
      </c>
      <c r="D560" s="12" t="str">
        <f ca="1">IFERROR(__xludf.DUMMYFUNCTION("""COMPUTED_VALUE"""),"小関 麻起")</f>
        <v>小関 麻起</v>
      </c>
    </row>
    <row r="561" spans="2:4" ht="13">
      <c r="B561" s="12">
        <f ca="1">IFERROR(__xludf.DUMMYFUNCTION("""COMPUTED_VALUE"""),102707)</f>
        <v>102707</v>
      </c>
      <c r="C561" s="14">
        <f ca="1">IFERROR(__xludf.DUMMYFUNCTION("""COMPUTED_VALUE"""),0)</f>
        <v>0</v>
      </c>
      <c r="D561" s="12" t="str">
        <f ca="1">IFERROR(__xludf.DUMMYFUNCTION("""COMPUTED_VALUE"""),"荻曽 克輝")</f>
        <v>荻曽 克輝</v>
      </c>
    </row>
    <row r="562" spans="2:4" ht="13">
      <c r="B562" s="12">
        <f ca="1">IFERROR(__xludf.DUMMYFUNCTION("""COMPUTED_VALUE"""),102714)</f>
        <v>102714</v>
      </c>
      <c r="C562" s="14">
        <f ca="1">IFERROR(__xludf.DUMMYFUNCTION("""COMPUTED_VALUE"""),13)</f>
        <v>13</v>
      </c>
      <c r="D562" s="12" t="str">
        <f ca="1">IFERROR(__xludf.DUMMYFUNCTION("""COMPUTED_VALUE"""),"荻曽 克輝")</f>
        <v>荻曽 克輝</v>
      </c>
    </row>
    <row r="563" spans="2:4" ht="13">
      <c r="B563" s="12">
        <f ca="1">IFERROR(__xludf.DUMMYFUNCTION("""COMPUTED_VALUE"""),102721)</f>
        <v>102721</v>
      </c>
      <c r="C563" s="14">
        <f ca="1">IFERROR(__xludf.DUMMYFUNCTION("""COMPUTED_VALUE"""),21)</f>
        <v>21</v>
      </c>
      <c r="D563" s="12" t="str">
        <f ca="1">IFERROR(__xludf.DUMMYFUNCTION("""COMPUTED_VALUE"""),"長谷川 陸朗")</f>
        <v>長谷川 陸朗</v>
      </c>
    </row>
    <row r="564" spans="2:4" ht="13">
      <c r="B564" s="12">
        <f ca="1">IFERROR(__xludf.DUMMYFUNCTION("""COMPUTED_VALUE"""),102730)</f>
        <v>102730</v>
      </c>
      <c r="C564" s="14">
        <f ca="1">IFERROR(__xludf.DUMMYFUNCTION("""COMPUTED_VALUE"""),0)</f>
        <v>0</v>
      </c>
      <c r="D564" s="12" t="str">
        <f ca="1">IFERROR(__xludf.DUMMYFUNCTION("""COMPUTED_VALUE"""),"成嶋 夏未")</f>
        <v>成嶋 夏未</v>
      </c>
    </row>
    <row r="565" spans="2:4" ht="13">
      <c r="B565" s="12">
        <f ca="1">IFERROR(__xludf.DUMMYFUNCTION("""COMPUTED_VALUE"""),102754)</f>
        <v>102754</v>
      </c>
      <c r="C565" s="14">
        <f ca="1">IFERROR(__xludf.DUMMYFUNCTION("""COMPUTED_VALUE"""),0)</f>
        <v>0</v>
      </c>
      <c r="D565" s="12" t="str">
        <f ca="1">IFERROR(__xludf.DUMMYFUNCTION("""COMPUTED_VALUE"""),"成嶋 夏未")</f>
        <v>成嶋 夏未</v>
      </c>
    </row>
    <row r="566" spans="2:4" ht="13">
      <c r="B566" s="12">
        <f ca="1">IFERROR(__xludf.DUMMYFUNCTION("""COMPUTED_VALUE"""),102755)</f>
        <v>102755</v>
      </c>
      <c r="C566" s="14">
        <f ca="1">IFERROR(__xludf.DUMMYFUNCTION("""COMPUTED_VALUE"""),0)</f>
        <v>0</v>
      </c>
      <c r="D566" s="12" t="str">
        <f ca="1">IFERROR(__xludf.DUMMYFUNCTION("""COMPUTED_VALUE"""),"堀越 駿")</f>
        <v>堀越 駿</v>
      </c>
    </row>
    <row r="567" spans="2:4" ht="13">
      <c r="B567" s="12">
        <f ca="1">IFERROR(__xludf.DUMMYFUNCTION("""COMPUTED_VALUE"""),102769)</f>
        <v>102769</v>
      </c>
      <c r="C567" s="14">
        <f ca="1">IFERROR(__xludf.DUMMYFUNCTION("""COMPUTED_VALUE"""),0)</f>
        <v>0</v>
      </c>
      <c r="D567" s="12" t="str">
        <f ca="1">IFERROR(__xludf.DUMMYFUNCTION("""COMPUTED_VALUE"""),"菅野 ぎんが")</f>
        <v>菅野 ぎんが</v>
      </c>
    </row>
    <row r="568" spans="2:4" ht="13">
      <c r="B568" s="12">
        <f ca="1">IFERROR(__xludf.DUMMYFUNCTION("""COMPUTED_VALUE"""),102795)</f>
        <v>102795</v>
      </c>
      <c r="C568" s="14">
        <f ca="1">IFERROR(__xludf.DUMMYFUNCTION("""COMPUTED_VALUE"""),5)</f>
        <v>5</v>
      </c>
      <c r="D568" s="12" t="str">
        <f ca="1">IFERROR(__xludf.DUMMYFUNCTION("""COMPUTED_VALUE"""),"松尾 尚樹")</f>
        <v>松尾 尚樹</v>
      </c>
    </row>
    <row r="569" spans="2:4" ht="13">
      <c r="B569" s="12">
        <f ca="1">IFERROR(__xludf.DUMMYFUNCTION("""COMPUTED_VALUE"""),102797)</f>
        <v>102797</v>
      </c>
      <c r="C569" s="14">
        <f ca="1">IFERROR(__xludf.DUMMYFUNCTION("""COMPUTED_VALUE"""),2)</f>
        <v>2</v>
      </c>
      <c r="D569" s="12" t="str">
        <f ca="1">IFERROR(__xludf.DUMMYFUNCTION("""COMPUTED_VALUE"""),"菅野 ぎんが")</f>
        <v>菅野 ぎんが</v>
      </c>
    </row>
    <row r="570" spans="2:4" ht="13">
      <c r="B570" s="12">
        <f ca="1">IFERROR(__xludf.DUMMYFUNCTION("""COMPUTED_VALUE"""),102800)</f>
        <v>102800</v>
      </c>
      <c r="C570" s="14">
        <f ca="1">IFERROR(__xludf.DUMMYFUNCTION("""COMPUTED_VALUE"""),51)</f>
        <v>51</v>
      </c>
      <c r="D570" s="12" t="str">
        <f ca="1">IFERROR(__xludf.DUMMYFUNCTION("""COMPUTED_VALUE"""),"小川 純")</f>
        <v>小川 純</v>
      </c>
    </row>
    <row r="571" spans="2:4" ht="13">
      <c r="B571" s="12">
        <f ca="1">IFERROR(__xludf.DUMMYFUNCTION("""COMPUTED_VALUE"""),102832)</f>
        <v>102832</v>
      </c>
      <c r="C571" s="14">
        <f ca="1">IFERROR(__xludf.DUMMYFUNCTION("""COMPUTED_VALUE"""),0)</f>
        <v>0</v>
      </c>
      <c r="D571" s="12" t="str">
        <f ca="1">IFERROR(__xludf.DUMMYFUNCTION("""COMPUTED_VALUE"""),"荻曽 克輝")</f>
        <v>荻曽 克輝</v>
      </c>
    </row>
    <row r="572" spans="2:4" ht="13">
      <c r="B572" s="12">
        <f ca="1">IFERROR(__xludf.DUMMYFUNCTION("""COMPUTED_VALUE"""),102860)</f>
        <v>102860</v>
      </c>
      <c r="C572" s="14">
        <f ca="1">IFERROR(__xludf.DUMMYFUNCTION("""COMPUTED_VALUE"""),0)</f>
        <v>0</v>
      </c>
      <c r="D572" s="12" t="str">
        <f ca="1">IFERROR(__xludf.DUMMYFUNCTION("""COMPUTED_VALUE"""),"菅野 ぎんが")</f>
        <v>菅野 ぎんが</v>
      </c>
    </row>
    <row r="573" spans="2:4" ht="13">
      <c r="B573" s="12">
        <f ca="1">IFERROR(__xludf.DUMMYFUNCTION("""COMPUTED_VALUE"""),102884)</f>
        <v>102884</v>
      </c>
      <c r="C573" s="14">
        <f ca="1">IFERROR(__xludf.DUMMYFUNCTION("""COMPUTED_VALUE"""),7)</f>
        <v>7</v>
      </c>
      <c r="D573" s="12" t="str">
        <f ca="1">IFERROR(__xludf.DUMMYFUNCTION("""COMPUTED_VALUE"""),"森 光智")</f>
        <v>森 光智</v>
      </c>
    </row>
    <row r="574" spans="2:4" ht="13">
      <c r="B574" s="12">
        <f ca="1">IFERROR(__xludf.DUMMYFUNCTION("""COMPUTED_VALUE"""),102885)</f>
        <v>102885</v>
      </c>
      <c r="C574" s="14">
        <f ca="1">IFERROR(__xludf.DUMMYFUNCTION("""COMPUTED_VALUE"""),25)</f>
        <v>25</v>
      </c>
      <c r="D574" s="12" t="str">
        <f ca="1">IFERROR(__xludf.DUMMYFUNCTION("""COMPUTED_VALUE"""),"稲場 勇介")</f>
        <v>稲場 勇介</v>
      </c>
    </row>
    <row r="575" spans="2:4" ht="13">
      <c r="B575" s="12">
        <f ca="1">IFERROR(__xludf.DUMMYFUNCTION("""COMPUTED_VALUE"""),102886)</f>
        <v>102886</v>
      </c>
      <c r="C575" s="14">
        <f ca="1">IFERROR(__xludf.DUMMYFUNCTION("""COMPUTED_VALUE"""),25)</f>
        <v>25</v>
      </c>
      <c r="D575" s="12" t="str">
        <f ca="1">IFERROR(__xludf.DUMMYFUNCTION("""COMPUTED_VALUE"""),"稲場 勇介")</f>
        <v>稲場 勇介</v>
      </c>
    </row>
    <row r="576" spans="2:4" ht="13">
      <c r="B576" s="12">
        <f ca="1">IFERROR(__xludf.DUMMYFUNCTION("""COMPUTED_VALUE"""),102887)</f>
        <v>102887</v>
      </c>
      <c r="C576" s="14">
        <f ca="1">IFERROR(__xludf.DUMMYFUNCTION("""COMPUTED_VALUE"""),0)</f>
        <v>0</v>
      </c>
      <c r="D576" s="12" t="str">
        <f ca="1">IFERROR(__xludf.DUMMYFUNCTION("""COMPUTED_VALUE"""),"稲場 勇介")</f>
        <v>稲場 勇介</v>
      </c>
    </row>
    <row r="577" spans="2:4" ht="13">
      <c r="B577" s="12">
        <f ca="1">IFERROR(__xludf.DUMMYFUNCTION("""COMPUTED_VALUE"""),102911)</f>
        <v>102911</v>
      </c>
      <c r="C577" s="14">
        <f ca="1">IFERROR(__xludf.DUMMYFUNCTION("""COMPUTED_VALUE"""),0)</f>
        <v>0</v>
      </c>
      <c r="D577" s="12" t="str">
        <f ca="1">IFERROR(__xludf.DUMMYFUNCTION("""COMPUTED_VALUE"""),"老田 純輝")</f>
        <v>老田 純輝</v>
      </c>
    </row>
    <row r="578" spans="2:4" ht="13">
      <c r="B578" s="12">
        <f ca="1">IFERROR(__xludf.DUMMYFUNCTION("""COMPUTED_VALUE"""),102941)</f>
        <v>102941</v>
      </c>
      <c r="C578" s="14">
        <f ca="1">IFERROR(__xludf.DUMMYFUNCTION("""COMPUTED_VALUE"""),0)</f>
        <v>0</v>
      </c>
      <c r="D578" s="12" t="str">
        <f ca="1">IFERROR(__xludf.DUMMYFUNCTION("""COMPUTED_VALUE"""),"松尾 尚樹")</f>
        <v>松尾 尚樹</v>
      </c>
    </row>
    <row r="579" spans="2:4" ht="13">
      <c r="B579" s="12">
        <f ca="1">IFERROR(__xludf.DUMMYFUNCTION("""COMPUTED_VALUE"""),102945)</f>
        <v>102945</v>
      </c>
      <c r="C579" s="14">
        <f ca="1">IFERROR(__xludf.DUMMYFUNCTION("""COMPUTED_VALUE"""),10)</f>
        <v>10</v>
      </c>
      <c r="D579" s="12" t="str">
        <f ca="1">IFERROR(__xludf.DUMMYFUNCTION("""COMPUTED_VALUE"""),"桐山 勝気")</f>
        <v>桐山 勝気</v>
      </c>
    </row>
    <row r="580" spans="2:4" ht="13">
      <c r="B580" s="12">
        <f ca="1">IFERROR(__xludf.DUMMYFUNCTION("""COMPUTED_VALUE"""),102946)</f>
        <v>102946</v>
      </c>
      <c r="C580" s="14">
        <f ca="1">IFERROR(__xludf.DUMMYFUNCTION("""COMPUTED_VALUE"""),1)</f>
        <v>1</v>
      </c>
      <c r="D580" s="12" t="str">
        <f ca="1">IFERROR(__xludf.DUMMYFUNCTION("""COMPUTED_VALUE"""),"小関 麻起")</f>
        <v>小関 麻起</v>
      </c>
    </row>
    <row r="581" spans="2:4" ht="13">
      <c r="B581" s="12">
        <f ca="1">IFERROR(__xludf.DUMMYFUNCTION("""COMPUTED_VALUE"""),102999)</f>
        <v>102999</v>
      </c>
      <c r="C581" s="14">
        <f ca="1">IFERROR(__xludf.DUMMYFUNCTION("""COMPUTED_VALUE"""),6)</f>
        <v>6</v>
      </c>
      <c r="D581" s="12" t="str">
        <f ca="1">IFERROR(__xludf.DUMMYFUNCTION("""COMPUTED_VALUE"""),"菅野 ぎんが")</f>
        <v>菅野 ぎんが</v>
      </c>
    </row>
    <row r="582" spans="2:4" ht="13">
      <c r="B582" s="12">
        <f ca="1">IFERROR(__xludf.DUMMYFUNCTION("""COMPUTED_VALUE"""),103004)</f>
        <v>103004</v>
      </c>
      <c r="C582" s="14">
        <f ca="1">IFERROR(__xludf.DUMMYFUNCTION("""COMPUTED_VALUE"""),1)</f>
        <v>1</v>
      </c>
      <c r="D582" s="12" t="str">
        <f ca="1">IFERROR(__xludf.DUMMYFUNCTION("""COMPUTED_VALUE"""),"成嶋 夏未")</f>
        <v>成嶋 夏未</v>
      </c>
    </row>
    <row r="583" spans="2:4" ht="13">
      <c r="B583" s="12">
        <f ca="1">IFERROR(__xludf.DUMMYFUNCTION("""COMPUTED_VALUE"""),103032)</f>
        <v>103032</v>
      </c>
      <c r="C583" s="14">
        <f ca="1">IFERROR(__xludf.DUMMYFUNCTION("""COMPUTED_VALUE"""),0)</f>
        <v>0</v>
      </c>
      <c r="D583" s="12" t="str">
        <f ca="1">IFERROR(__xludf.DUMMYFUNCTION("""COMPUTED_VALUE"""),"辻村 将大")</f>
        <v>辻村 将大</v>
      </c>
    </row>
    <row r="584" spans="2:4" ht="13">
      <c r="B584" s="12">
        <f ca="1">IFERROR(__xludf.DUMMYFUNCTION("""COMPUTED_VALUE"""),103047)</f>
        <v>103047</v>
      </c>
      <c r="C584" s="14">
        <f ca="1">IFERROR(__xludf.DUMMYFUNCTION("""COMPUTED_VALUE"""),0)</f>
        <v>0</v>
      </c>
      <c r="D584" s="12" t="str">
        <f ca="1">IFERROR(__xludf.DUMMYFUNCTION("""COMPUTED_VALUE"""),"松尾 尚樹")</f>
        <v>松尾 尚樹</v>
      </c>
    </row>
    <row r="585" spans="2:4" ht="13">
      <c r="B585" s="12">
        <f ca="1">IFERROR(__xludf.DUMMYFUNCTION("""COMPUTED_VALUE"""),103058)</f>
        <v>103058</v>
      </c>
      <c r="C585" s="14">
        <f ca="1">IFERROR(__xludf.DUMMYFUNCTION("""COMPUTED_VALUE"""),2)</f>
        <v>2</v>
      </c>
      <c r="D585" s="12" t="str">
        <f ca="1">IFERROR(__xludf.DUMMYFUNCTION("""COMPUTED_VALUE"""),"辻村 将大")</f>
        <v>辻村 将大</v>
      </c>
    </row>
    <row r="586" spans="2:4" ht="13">
      <c r="B586" s="12">
        <f ca="1">IFERROR(__xludf.DUMMYFUNCTION("""COMPUTED_VALUE"""),103059)</f>
        <v>103059</v>
      </c>
      <c r="C586" s="14">
        <f ca="1">IFERROR(__xludf.DUMMYFUNCTION("""COMPUTED_VALUE"""),0)</f>
        <v>0</v>
      </c>
      <c r="D586" s="12" t="str">
        <f ca="1">IFERROR(__xludf.DUMMYFUNCTION("""COMPUTED_VALUE"""),"辻村 将大")</f>
        <v>辻村 将大</v>
      </c>
    </row>
    <row r="587" spans="2:4" ht="13">
      <c r="B587" s="12">
        <f ca="1">IFERROR(__xludf.DUMMYFUNCTION("""COMPUTED_VALUE"""),103061)</f>
        <v>103061</v>
      </c>
      <c r="C587" s="14">
        <f ca="1">IFERROR(__xludf.DUMMYFUNCTION("""COMPUTED_VALUE"""),4)</f>
        <v>4</v>
      </c>
      <c r="D587" s="12" t="str">
        <f ca="1">IFERROR(__xludf.DUMMYFUNCTION("""COMPUTED_VALUE"""),"川島 幹也")</f>
        <v>川島 幹也</v>
      </c>
    </row>
    <row r="588" spans="2:4" ht="13">
      <c r="B588" s="12">
        <f ca="1">IFERROR(__xludf.DUMMYFUNCTION("""COMPUTED_VALUE"""),103062)</f>
        <v>103062</v>
      </c>
      <c r="C588" s="14">
        <f ca="1">IFERROR(__xludf.DUMMYFUNCTION("""COMPUTED_VALUE"""),0)</f>
        <v>0</v>
      </c>
      <c r="D588" s="12" t="str">
        <f ca="1">IFERROR(__xludf.DUMMYFUNCTION("""COMPUTED_VALUE"""),"成嶋 夏未")</f>
        <v>成嶋 夏未</v>
      </c>
    </row>
    <row r="589" spans="2:4" ht="13">
      <c r="B589" s="12">
        <f ca="1">IFERROR(__xludf.DUMMYFUNCTION("""COMPUTED_VALUE"""),103066)</f>
        <v>103066</v>
      </c>
      <c r="C589" s="14">
        <f ca="1">IFERROR(__xludf.DUMMYFUNCTION("""COMPUTED_VALUE"""),0)</f>
        <v>0</v>
      </c>
      <c r="D589" s="12" t="str">
        <f ca="1">IFERROR(__xludf.DUMMYFUNCTION("""COMPUTED_VALUE"""),"小関 麻起")</f>
        <v>小関 麻起</v>
      </c>
    </row>
    <row r="590" spans="2:4" ht="13">
      <c r="B590" s="12">
        <f ca="1">IFERROR(__xludf.DUMMYFUNCTION("""COMPUTED_VALUE"""),103068)</f>
        <v>103068</v>
      </c>
      <c r="C590" s="14">
        <f ca="1">IFERROR(__xludf.DUMMYFUNCTION("""COMPUTED_VALUE"""),11)</f>
        <v>11</v>
      </c>
      <c r="D590" s="12" t="str">
        <f ca="1">IFERROR(__xludf.DUMMYFUNCTION("""COMPUTED_VALUE"""),"成嶋 夏未")</f>
        <v>成嶋 夏未</v>
      </c>
    </row>
    <row r="591" spans="2:4" ht="13">
      <c r="B591" s="12">
        <f ca="1">IFERROR(__xludf.DUMMYFUNCTION("""COMPUTED_VALUE"""),103078)</f>
        <v>103078</v>
      </c>
      <c r="C591" s="14">
        <f ca="1">IFERROR(__xludf.DUMMYFUNCTION("""COMPUTED_VALUE"""),0)</f>
        <v>0</v>
      </c>
      <c r="D591" s="12" t="str">
        <f ca="1">IFERROR(__xludf.DUMMYFUNCTION("""COMPUTED_VALUE"""),"森 光智")</f>
        <v>森 光智</v>
      </c>
    </row>
    <row r="592" spans="2:4" ht="13">
      <c r="B592" s="12">
        <f ca="1">IFERROR(__xludf.DUMMYFUNCTION("""COMPUTED_VALUE"""),103081)</f>
        <v>103081</v>
      </c>
      <c r="C592" s="14">
        <f ca="1">IFERROR(__xludf.DUMMYFUNCTION("""COMPUTED_VALUE"""),3)</f>
        <v>3</v>
      </c>
      <c r="D592" s="12" t="str">
        <f ca="1">IFERROR(__xludf.DUMMYFUNCTION("""COMPUTED_VALUE"""),"松尾 尚樹")</f>
        <v>松尾 尚樹</v>
      </c>
    </row>
    <row r="593" spans="2:4" ht="13">
      <c r="B593" s="12">
        <f ca="1">IFERROR(__xludf.DUMMYFUNCTION("""COMPUTED_VALUE"""),103082)</f>
        <v>103082</v>
      </c>
      <c r="C593" s="14">
        <f ca="1">IFERROR(__xludf.DUMMYFUNCTION("""COMPUTED_VALUE"""),0)</f>
        <v>0</v>
      </c>
      <c r="D593" s="12" t="str">
        <f ca="1">IFERROR(__xludf.DUMMYFUNCTION("""COMPUTED_VALUE"""),"稲場 勇介")</f>
        <v>稲場 勇介</v>
      </c>
    </row>
    <row r="594" spans="2:4" ht="13">
      <c r="B594" s="12">
        <f ca="1">IFERROR(__xludf.DUMMYFUNCTION("""COMPUTED_VALUE"""),103098)</f>
        <v>103098</v>
      </c>
      <c r="C594" s="14">
        <f ca="1">IFERROR(__xludf.DUMMYFUNCTION("""COMPUTED_VALUE"""),16)</f>
        <v>16</v>
      </c>
      <c r="D594" s="12" t="str">
        <f ca="1">IFERROR(__xludf.DUMMYFUNCTION("""COMPUTED_VALUE"""),"小関 麻起")</f>
        <v>小関 麻起</v>
      </c>
    </row>
    <row r="595" spans="2:4" ht="13">
      <c r="B595" s="12">
        <f ca="1">IFERROR(__xludf.DUMMYFUNCTION("""COMPUTED_VALUE"""),103106)</f>
        <v>103106</v>
      </c>
      <c r="C595" s="14">
        <f ca="1">IFERROR(__xludf.DUMMYFUNCTION("""COMPUTED_VALUE"""),5)</f>
        <v>5</v>
      </c>
      <c r="D595" s="12" t="str">
        <f ca="1">IFERROR(__xludf.DUMMYFUNCTION("""COMPUTED_VALUE"""),"村上 浩一朗")</f>
        <v>村上 浩一朗</v>
      </c>
    </row>
    <row r="596" spans="2:4" ht="13">
      <c r="B596" s="12">
        <f ca="1">IFERROR(__xludf.DUMMYFUNCTION("""COMPUTED_VALUE"""),103141)</f>
        <v>103141</v>
      </c>
      <c r="C596" s="14">
        <f ca="1">IFERROR(__xludf.DUMMYFUNCTION("""COMPUTED_VALUE"""),11)</f>
        <v>11</v>
      </c>
      <c r="D596" s="12" t="str">
        <f ca="1">IFERROR(__xludf.DUMMYFUNCTION("""COMPUTED_VALUE"""),"松尾 尚樹")</f>
        <v>松尾 尚樹</v>
      </c>
    </row>
    <row r="597" spans="2:4" ht="13">
      <c r="B597" s="12">
        <f ca="1">IFERROR(__xludf.DUMMYFUNCTION("""COMPUTED_VALUE"""),103154)</f>
        <v>103154</v>
      </c>
      <c r="C597" s="14">
        <f ca="1">IFERROR(__xludf.DUMMYFUNCTION("""COMPUTED_VALUE"""),0)</f>
        <v>0</v>
      </c>
      <c r="D597" s="12" t="str">
        <f ca="1">IFERROR(__xludf.DUMMYFUNCTION("""COMPUTED_VALUE"""),"成嶋 夏未")</f>
        <v>成嶋 夏未</v>
      </c>
    </row>
    <row r="598" spans="2:4" ht="13">
      <c r="B598" s="12">
        <f ca="1">IFERROR(__xludf.DUMMYFUNCTION("""COMPUTED_VALUE"""),103162)</f>
        <v>103162</v>
      </c>
      <c r="C598" s="14">
        <f ca="1">IFERROR(__xludf.DUMMYFUNCTION("""COMPUTED_VALUE"""),74)</f>
        <v>74</v>
      </c>
      <c r="D598" s="12" t="str">
        <f ca="1">IFERROR(__xludf.DUMMYFUNCTION("""COMPUTED_VALUE"""),"菅野 ぎんが")</f>
        <v>菅野 ぎんが</v>
      </c>
    </row>
    <row r="599" spans="2:4" ht="13">
      <c r="B599" s="12">
        <f ca="1">IFERROR(__xludf.DUMMYFUNCTION("""COMPUTED_VALUE"""),103181)</f>
        <v>103181</v>
      </c>
      <c r="C599" s="14">
        <f ca="1">IFERROR(__xludf.DUMMYFUNCTION("""COMPUTED_VALUE"""),0)</f>
        <v>0</v>
      </c>
      <c r="D599" s="12" t="str">
        <f ca="1">IFERROR(__xludf.DUMMYFUNCTION("""COMPUTED_VALUE"""),"荻曽 克輝")</f>
        <v>荻曽 克輝</v>
      </c>
    </row>
    <row r="600" spans="2:4" ht="13">
      <c r="B600" s="12">
        <f ca="1">IFERROR(__xludf.DUMMYFUNCTION("""COMPUTED_VALUE"""),103187)</f>
        <v>103187</v>
      </c>
      <c r="C600" s="14">
        <f ca="1">IFERROR(__xludf.DUMMYFUNCTION("""COMPUTED_VALUE"""),7)</f>
        <v>7</v>
      </c>
      <c r="D600" s="12" t="str">
        <f ca="1">IFERROR(__xludf.DUMMYFUNCTION("""COMPUTED_VALUE"""),"菅野 ぎんが")</f>
        <v>菅野 ぎんが</v>
      </c>
    </row>
    <row r="601" spans="2:4" ht="13">
      <c r="B601" s="12">
        <f ca="1">IFERROR(__xludf.DUMMYFUNCTION("""COMPUTED_VALUE"""),103207)</f>
        <v>103207</v>
      </c>
      <c r="C601" s="14">
        <f ca="1">IFERROR(__xludf.DUMMYFUNCTION("""COMPUTED_VALUE"""),0)</f>
        <v>0</v>
      </c>
      <c r="D601" s="12" t="str">
        <f ca="1">IFERROR(__xludf.DUMMYFUNCTION("""COMPUTED_VALUE"""),"稲場 勇介")</f>
        <v>稲場 勇介</v>
      </c>
    </row>
    <row r="602" spans="2:4" ht="13">
      <c r="B602" s="12">
        <f ca="1">IFERROR(__xludf.DUMMYFUNCTION("""COMPUTED_VALUE"""),103218)</f>
        <v>103218</v>
      </c>
      <c r="C602" s="14">
        <f ca="1">IFERROR(__xludf.DUMMYFUNCTION("""COMPUTED_VALUE"""),0)</f>
        <v>0</v>
      </c>
      <c r="D602" s="12" t="str">
        <f ca="1">IFERROR(__xludf.DUMMYFUNCTION("""COMPUTED_VALUE"""),"小関 麻起")</f>
        <v>小関 麻起</v>
      </c>
    </row>
    <row r="603" spans="2:4" ht="13">
      <c r="B603" s="12">
        <f ca="1">IFERROR(__xludf.DUMMYFUNCTION("""COMPUTED_VALUE"""),103222)</f>
        <v>103222</v>
      </c>
      <c r="C603" s="14">
        <f ca="1">IFERROR(__xludf.DUMMYFUNCTION("""COMPUTED_VALUE"""),3)</f>
        <v>3</v>
      </c>
      <c r="D603" s="12" t="str">
        <f ca="1">IFERROR(__xludf.DUMMYFUNCTION("""COMPUTED_VALUE"""),"村上 浩一朗")</f>
        <v>村上 浩一朗</v>
      </c>
    </row>
    <row r="604" spans="2:4" ht="13">
      <c r="B604" s="12">
        <f ca="1">IFERROR(__xludf.DUMMYFUNCTION("""COMPUTED_VALUE"""),103238)</f>
        <v>103238</v>
      </c>
      <c r="C604" s="14">
        <f ca="1">IFERROR(__xludf.DUMMYFUNCTION("""COMPUTED_VALUE"""),0)</f>
        <v>0</v>
      </c>
      <c r="D604" s="12" t="str">
        <f ca="1">IFERROR(__xludf.DUMMYFUNCTION("""COMPUTED_VALUE"""),"稲場 勇介")</f>
        <v>稲場 勇介</v>
      </c>
    </row>
    <row r="605" spans="2:4" ht="13">
      <c r="B605" s="12">
        <f ca="1">IFERROR(__xludf.DUMMYFUNCTION("""COMPUTED_VALUE"""),103253)</f>
        <v>103253</v>
      </c>
      <c r="C605" s="14">
        <f ca="1">IFERROR(__xludf.DUMMYFUNCTION("""COMPUTED_VALUE"""),0)</f>
        <v>0</v>
      </c>
      <c r="D605" s="12" t="str">
        <f ca="1">IFERROR(__xludf.DUMMYFUNCTION("""COMPUTED_VALUE"""),"長谷川 陸朗")</f>
        <v>長谷川 陸朗</v>
      </c>
    </row>
    <row r="606" spans="2:4" ht="13">
      <c r="B606" s="12">
        <f ca="1">IFERROR(__xludf.DUMMYFUNCTION("""COMPUTED_VALUE"""),103264)</f>
        <v>103264</v>
      </c>
      <c r="C606" s="14">
        <f ca="1">IFERROR(__xludf.DUMMYFUNCTION("""COMPUTED_VALUE"""),0)</f>
        <v>0</v>
      </c>
      <c r="D606" s="12" t="str">
        <f ca="1">IFERROR(__xludf.DUMMYFUNCTION("""COMPUTED_VALUE"""),"村上 浩一朗")</f>
        <v>村上 浩一朗</v>
      </c>
    </row>
    <row r="607" spans="2:4" ht="13">
      <c r="B607" s="12">
        <f ca="1">IFERROR(__xludf.DUMMYFUNCTION("""COMPUTED_VALUE"""),103267)</f>
        <v>103267</v>
      </c>
      <c r="C607" s="14">
        <f ca="1">IFERROR(__xludf.DUMMYFUNCTION("""COMPUTED_VALUE"""),1)</f>
        <v>1</v>
      </c>
      <c r="D607" s="12" t="str">
        <f ca="1">IFERROR(__xludf.DUMMYFUNCTION("""COMPUTED_VALUE"""),"菅野 ぎんが")</f>
        <v>菅野 ぎんが</v>
      </c>
    </row>
    <row r="608" spans="2:4" ht="13">
      <c r="B608" s="12">
        <f ca="1">IFERROR(__xludf.DUMMYFUNCTION("""COMPUTED_VALUE"""),103281)</f>
        <v>103281</v>
      </c>
      <c r="C608" s="14">
        <f ca="1">IFERROR(__xludf.DUMMYFUNCTION("""COMPUTED_VALUE"""),0)</f>
        <v>0</v>
      </c>
      <c r="D608" s="12" t="str">
        <f ca="1">IFERROR(__xludf.DUMMYFUNCTION("""COMPUTED_VALUE"""),"稲場 勇介")</f>
        <v>稲場 勇介</v>
      </c>
    </row>
    <row r="609" spans="2:4" ht="13">
      <c r="B609" s="12">
        <f ca="1">IFERROR(__xludf.DUMMYFUNCTION("""COMPUTED_VALUE"""),103307)</f>
        <v>103307</v>
      </c>
      <c r="C609" s="14">
        <f ca="1">IFERROR(__xludf.DUMMYFUNCTION("""COMPUTED_VALUE"""),8)</f>
        <v>8</v>
      </c>
      <c r="D609" s="12" t="str">
        <f ca="1">IFERROR(__xludf.DUMMYFUNCTION("""COMPUTED_VALUE"""),"堀越 駿")</f>
        <v>堀越 駿</v>
      </c>
    </row>
    <row r="610" spans="2:4" ht="13">
      <c r="B610" s="12">
        <f ca="1">IFERROR(__xludf.DUMMYFUNCTION("""COMPUTED_VALUE"""),103309)</f>
        <v>103309</v>
      </c>
      <c r="C610" s="14">
        <f ca="1">IFERROR(__xludf.DUMMYFUNCTION("""COMPUTED_VALUE"""),0)</f>
        <v>0</v>
      </c>
      <c r="D610" s="12" t="str">
        <f ca="1">IFERROR(__xludf.DUMMYFUNCTION("""COMPUTED_VALUE"""),"栗原 大武")</f>
        <v>栗原 大武</v>
      </c>
    </row>
    <row r="611" spans="2:4" ht="13">
      <c r="B611" s="12">
        <f ca="1">IFERROR(__xludf.DUMMYFUNCTION("""COMPUTED_VALUE"""),103312)</f>
        <v>103312</v>
      </c>
      <c r="C611" s="14">
        <f ca="1">IFERROR(__xludf.DUMMYFUNCTION("""COMPUTED_VALUE"""),0)</f>
        <v>0</v>
      </c>
      <c r="D611" s="12" t="str">
        <f ca="1">IFERROR(__xludf.DUMMYFUNCTION("""COMPUTED_VALUE"""),"小関 麻起")</f>
        <v>小関 麻起</v>
      </c>
    </row>
    <row r="612" spans="2:4" ht="13">
      <c r="B612" s="12">
        <f ca="1">IFERROR(__xludf.DUMMYFUNCTION("""COMPUTED_VALUE"""),103313)</f>
        <v>103313</v>
      </c>
      <c r="C612" s="14">
        <f ca="1">IFERROR(__xludf.DUMMYFUNCTION("""COMPUTED_VALUE"""),3)</f>
        <v>3</v>
      </c>
      <c r="D612" s="12" t="str">
        <f ca="1">IFERROR(__xludf.DUMMYFUNCTION("""COMPUTED_VALUE"""),"辻村 将大")</f>
        <v>辻村 将大</v>
      </c>
    </row>
    <row r="613" spans="2:4" ht="13">
      <c r="B613" s="12">
        <f ca="1">IFERROR(__xludf.DUMMYFUNCTION("""COMPUTED_VALUE"""),103314)</f>
        <v>103314</v>
      </c>
      <c r="C613" s="14">
        <f ca="1">IFERROR(__xludf.DUMMYFUNCTION("""COMPUTED_VALUE"""),5)</f>
        <v>5</v>
      </c>
      <c r="D613" s="12" t="str">
        <f ca="1">IFERROR(__xludf.DUMMYFUNCTION("""COMPUTED_VALUE"""),"稲場 勇介")</f>
        <v>稲場 勇介</v>
      </c>
    </row>
    <row r="614" spans="2:4" ht="13">
      <c r="B614" s="12">
        <f ca="1">IFERROR(__xludf.DUMMYFUNCTION("""COMPUTED_VALUE"""),103327)</f>
        <v>103327</v>
      </c>
      <c r="C614" s="14">
        <f ca="1">IFERROR(__xludf.DUMMYFUNCTION("""COMPUTED_VALUE"""),0)</f>
        <v>0</v>
      </c>
      <c r="D614" s="12" t="str">
        <f ca="1">IFERROR(__xludf.DUMMYFUNCTION("""COMPUTED_VALUE"""),"松尾 尚樹")</f>
        <v>松尾 尚樹</v>
      </c>
    </row>
    <row r="615" spans="2:4" ht="13">
      <c r="B615" s="12">
        <f ca="1">IFERROR(__xludf.DUMMYFUNCTION("""COMPUTED_VALUE"""),103331)</f>
        <v>103331</v>
      </c>
      <c r="C615" s="14">
        <f ca="1">IFERROR(__xludf.DUMMYFUNCTION("""COMPUTED_VALUE"""),6)</f>
        <v>6</v>
      </c>
      <c r="D615" s="12" t="str">
        <f ca="1">IFERROR(__xludf.DUMMYFUNCTION("""COMPUTED_VALUE"""),"成嶋 夏未")</f>
        <v>成嶋 夏未</v>
      </c>
    </row>
    <row r="616" spans="2:4" ht="13">
      <c r="B616" s="12">
        <f ca="1">IFERROR(__xludf.DUMMYFUNCTION("""COMPUTED_VALUE"""),103336)</f>
        <v>103336</v>
      </c>
      <c r="C616" s="14">
        <f ca="1">IFERROR(__xludf.DUMMYFUNCTION("""COMPUTED_VALUE"""),93)</f>
        <v>93</v>
      </c>
      <c r="D616" s="12" t="str">
        <f ca="1">IFERROR(__xludf.DUMMYFUNCTION("""COMPUTED_VALUE"""),"栗原 大武")</f>
        <v>栗原 大武</v>
      </c>
    </row>
    <row r="617" spans="2:4" ht="13">
      <c r="B617" s="12">
        <f ca="1">IFERROR(__xludf.DUMMYFUNCTION("""COMPUTED_VALUE"""),103380)</f>
        <v>103380</v>
      </c>
      <c r="C617" s="14">
        <f ca="1">IFERROR(__xludf.DUMMYFUNCTION("""COMPUTED_VALUE"""),0)</f>
        <v>0</v>
      </c>
      <c r="D617" s="12" t="str">
        <f ca="1">IFERROR(__xludf.DUMMYFUNCTION("""COMPUTED_VALUE"""),"松尾 尚樹")</f>
        <v>松尾 尚樹</v>
      </c>
    </row>
    <row r="618" spans="2:4" ht="13">
      <c r="B618" s="12">
        <f ca="1">IFERROR(__xludf.DUMMYFUNCTION("""COMPUTED_VALUE"""),103381)</f>
        <v>103381</v>
      </c>
      <c r="C618" s="14">
        <f ca="1">IFERROR(__xludf.DUMMYFUNCTION("""COMPUTED_VALUE"""),2)</f>
        <v>2</v>
      </c>
      <c r="D618" s="12" t="str">
        <f ca="1">IFERROR(__xludf.DUMMYFUNCTION("""COMPUTED_VALUE"""),"小関 麻起")</f>
        <v>小関 麻起</v>
      </c>
    </row>
    <row r="619" spans="2:4" ht="13">
      <c r="B619" s="12">
        <f ca="1">IFERROR(__xludf.DUMMYFUNCTION("""COMPUTED_VALUE"""),103392)</f>
        <v>103392</v>
      </c>
      <c r="C619" s="14">
        <f ca="1">IFERROR(__xludf.DUMMYFUNCTION("""COMPUTED_VALUE"""),0)</f>
        <v>0</v>
      </c>
      <c r="D619" s="12" t="str">
        <f ca="1">IFERROR(__xludf.DUMMYFUNCTION("""COMPUTED_VALUE"""),"老田 純輝")</f>
        <v>老田 純輝</v>
      </c>
    </row>
    <row r="620" spans="2:4" ht="13">
      <c r="B620" s="12">
        <f ca="1">IFERROR(__xludf.DUMMYFUNCTION("""COMPUTED_VALUE"""),103393)</f>
        <v>103393</v>
      </c>
      <c r="C620" s="14">
        <f ca="1">IFERROR(__xludf.DUMMYFUNCTION("""COMPUTED_VALUE"""),0)</f>
        <v>0</v>
      </c>
      <c r="D620" s="12" t="str">
        <f ca="1">IFERROR(__xludf.DUMMYFUNCTION("""COMPUTED_VALUE"""),"長谷川 陸朗")</f>
        <v>長谷川 陸朗</v>
      </c>
    </row>
    <row r="621" spans="2:4" ht="13">
      <c r="B621" s="12">
        <f ca="1">IFERROR(__xludf.DUMMYFUNCTION("""COMPUTED_VALUE"""),103399)</f>
        <v>103399</v>
      </c>
      <c r="C621" s="14">
        <f ca="1">IFERROR(__xludf.DUMMYFUNCTION("""COMPUTED_VALUE"""),0)</f>
        <v>0</v>
      </c>
      <c r="D621" s="12" t="str">
        <f ca="1">IFERROR(__xludf.DUMMYFUNCTION("""COMPUTED_VALUE"""),"松尾 尚樹")</f>
        <v>松尾 尚樹</v>
      </c>
    </row>
    <row r="622" spans="2:4" ht="13">
      <c r="B622" s="12">
        <f ca="1">IFERROR(__xludf.DUMMYFUNCTION("""COMPUTED_VALUE"""),103405)</f>
        <v>103405</v>
      </c>
      <c r="C622" s="14">
        <f ca="1">IFERROR(__xludf.DUMMYFUNCTION("""COMPUTED_VALUE"""),43)</f>
        <v>43</v>
      </c>
      <c r="D622" s="12" t="str">
        <f ca="1">IFERROR(__xludf.DUMMYFUNCTION("""COMPUTED_VALUE"""),"老田 純輝")</f>
        <v>老田 純輝</v>
      </c>
    </row>
    <row r="623" spans="2:4" ht="13">
      <c r="B623" s="12">
        <f ca="1">IFERROR(__xludf.DUMMYFUNCTION("""COMPUTED_VALUE"""),103411)</f>
        <v>103411</v>
      </c>
      <c r="C623" s="14">
        <f ca="1">IFERROR(__xludf.DUMMYFUNCTION("""COMPUTED_VALUE"""),0)</f>
        <v>0</v>
      </c>
      <c r="D623" s="12" t="str">
        <f ca="1">IFERROR(__xludf.DUMMYFUNCTION("""COMPUTED_VALUE"""),"松尾 尚樹")</f>
        <v>松尾 尚樹</v>
      </c>
    </row>
    <row r="624" spans="2:4" ht="13">
      <c r="B624" s="12">
        <f ca="1">IFERROR(__xludf.DUMMYFUNCTION("""COMPUTED_VALUE"""),103431)</f>
        <v>103431</v>
      </c>
      <c r="C624" s="14">
        <f ca="1">IFERROR(__xludf.DUMMYFUNCTION("""COMPUTED_VALUE"""),1)</f>
        <v>1</v>
      </c>
      <c r="D624" s="12" t="str">
        <f ca="1">IFERROR(__xludf.DUMMYFUNCTION("""COMPUTED_VALUE"""),"荻曽 克輝")</f>
        <v>荻曽 克輝</v>
      </c>
    </row>
    <row r="625" spans="2:4" ht="13">
      <c r="B625" s="12">
        <f ca="1">IFERROR(__xludf.DUMMYFUNCTION("""COMPUTED_VALUE"""),103432)</f>
        <v>103432</v>
      </c>
      <c r="C625" s="14">
        <f ca="1">IFERROR(__xludf.DUMMYFUNCTION("""COMPUTED_VALUE"""),8)</f>
        <v>8</v>
      </c>
      <c r="D625" s="12" t="str">
        <f ca="1">IFERROR(__xludf.DUMMYFUNCTION("""COMPUTED_VALUE"""),"長谷川 陸朗")</f>
        <v>長谷川 陸朗</v>
      </c>
    </row>
    <row r="626" spans="2:4" ht="13">
      <c r="B626" s="12">
        <f ca="1">IFERROR(__xludf.DUMMYFUNCTION("""COMPUTED_VALUE"""),103433)</f>
        <v>103433</v>
      </c>
      <c r="C626" s="14">
        <f ca="1">IFERROR(__xludf.DUMMYFUNCTION("""COMPUTED_VALUE"""),2)</f>
        <v>2</v>
      </c>
      <c r="D626" s="12" t="str">
        <f ca="1">IFERROR(__xludf.DUMMYFUNCTION("""COMPUTED_VALUE"""),"成嶋 夏未")</f>
        <v>成嶋 夏未</v>
      </c>
    </row>
    <row r="627" spans="2:4" ht="13">
      <c r="B627" s="12">
        <f ca="1">IFERROR(__xludf.DUMMYFUNCTION("""COMPUTED_VALUE"""),103440)</f>
        <v>103440</v>
      </c>
      <c r="C627" s="14">
        <f ca="1">IFERROR(__xludf.DUMMYFUNCTION("""COMPUTED_VALUE"""),7)</f>
        <v>7</v>
      </c>
      <c r="D627" s="12" t="str">
        <f ca="1">IFERROR(__xludf.DUMMYFUNCTION("""COMPUTED_VALUE"""),"稲場 勇介")</f>
        <v>稲場 勇介</v>
      </c>
    </row>
    <row r="628" spans="2:4" ht="13">
      <c r="B628" s="12">
        <f ca="1">IFERROR(__xludf.DUMMYFUNCTION("""COMPUTED_VALUE"""),103441)</f>
        <v>103441</v>
      </c>
      <c r="C628" s="14">
        <f ca="1">IFERROR(__xludf.DUMMYFUNCTION("""COMPUTED_VALUE"""),7)</f>
        <v>7</v>
      </c>
      <c r="D628" s="12" t="str">
        <f ca="1">IFERROR(__xludf.DUMMYFUNCTION("""COMPUTED_VALUE"""),"桐山 勝気")</f>
        <v>桐山 勝気</v>
      </c>
    </row>
    <row r="629" spans="2:4" ht="13">
      <c r="B629" s="12">
        <f ca="1">IFERROR(__xludf.DUMMYFUNCTION("""COMPUTED_VALUE"""),103443)</f>
        <v>103443</v>
      </c>
      <c r="C629" s="14">
        <f ca="1">IFERROR(__xludf.DUMMYFUNCTION("""COMPUTED_VALUE"""),29)</f>
        <v>29</v>
      </c>
      <c r="D629" s="12" t="str">
        <f ca="1">IFERROR(__xludf.DUMMYFUNCTION("""COMPUTED_VALUE"""),"辻村 将大")</f>
        <v>辻村 将大</v>
      </c>
    </row>
    <row r="630" spans="2:4" ht="13">
      <c r="B630" s="12">
        <f ca="1">IFERROR(__xludf.DUMMYFUNCTION("""COMPUTED_VALUE"""),103444)</f>
        <v>103444</v>
      </c>
      <c r="C630" s="14">
        <f ca="1">IFERROR(__xludf.DUMMYFUNCTION("""COMPUTED_VALUE"""),59)</f>
        <v>59</v>
      </c>
      <c r="D630" s="12" t="str">
        <f ca="1">IFERROR(__xludf.DUMMYFUNCTION("""COMPUTED_VALUE"""),"辻村 将大")</f>
        <v>辻村 将大</v>
      </c>
    </row>
    <row r="631" spans="2:4" ht="13">
      <c r="B631" s="12">
        <f ca="1">IFERROR(__xludf.DUMMYFUNCTION("""COMPUTED_VALUE"""),103445)</f>
        <v>103445</v>
      </c>
      <c r="C631" s="14">
        <f ca="1">IFERROR(__xludf.DUMMYFUNCTION("""COMPUTED_VALUE"""),59)</f>
        <v>59</v>
      </c>
      <c r="D631" s="12" t="str">
        <f ca="1">IFERROR(__xludf.DUMMYFUNCTION("""COMPUTED_VALUE"""),"辻村 将大")</f>
        <v>辻村 将大</v>
      </c>
    </row>
    <row r="632" spans="2:4" ht="13">
      <c r="B632" s="12">
        <f ca="1">IFERROR(__xludf.DUMMYFUNCTION("""COMPUTED_VALUE"""),103447)</f>
        <v>103447</v>
      </c>
      <c r="C632" s="14">
        <f ca="1">IFERROR(__xludf.DUMMYFUNCTION("""COMPUTED_VALUE"""),59)</f>
        <v>59</v>
      </c>
      <c r="D632" s="12" t="str">
        <f ca="1">IFERROR(__xludf.DUMMYFUNCTION("""COMPUTED_VALUE"""),"辻村 将大")</f>
        <v>辻村 将大</v>
      </c>
    </row>
    <row r="633" spans="2:4" ht="13">
      <c r="B633" s="12">
        <f ca="1">IFERROR(__xludf.DUMMYFUNCTION("""COMPUTED_VALUE"""),103448)</f>
        <v>103448</v>
      </c>
      <c r="C633" s="14">
        <f ca="1">IFERROR(__xludf.DUMMYFUNCTION("""COMPUTED_VALUE"""),71)</f>
        <v>71</v>
      </c>
      <c r="D633" s="12" t="str">
        <f ca="1">IFERROR(__xludf.DUMMYFUNCTION("""COMPUTED_VALUE"""),"辻村 将大")</f>
        <v>辻村 将大</v>
      </c>
    </row>
    <row r="634" spans="2:4" ht="13">
      <c r="B634" s="12">
        <f ca="1">IFERROR(__xludf.DUMMYFUNCTION("""COMPUTED_VALUE"""),103449)</f>
        <v>103449</v>
      </c>
      <c r="C634" s="14">
        <f ca="1">IFERROR(__xludf.DUMMYFUNCTION("""COMPUTED_VALUE"""),73)</f>
        <v>73</v>
      </c>
      <c r="D634" s="12" t="str">
        <f ca="1">IFERROR(__xludf.DUMMYFUNCTION("""COMPUTED_VALUE"""),"辻村 将大")</f>
        <v>辻村 将大</v>
      </c>
    </row>
    <row r="635" spans="2:4" ht="13">
      <c r="B635" s="12">
        <f ca="1">IFERROR(__xludf.DUMMYFUNCTION("""COMPUTED_VALUE"""),103451)</f>
        <v>103451</v>
      </c>
      <c r="C635" s="14">
        <f ca="1">IFERROR(__xludf.DUMMYFUNCTION("""COMPUTED_VALUE"""),72)</f>
        <v>72</v>
      </c>
      <c r="D635" s="12" t="str">
        <f ca="1">IFERROR(__xludf.DUMMYFUNCTION("""COMPUTED_VALUE"""),"辻村 将大")</f>
        <v>辻村 将大</v>
      </c>
    </row>
    <row r="636" spans="2:4" ht="13">
      <c r="B636" s="12">
        <f ca="1">IFERROR(__xludf.DUMMYFUNCTION("""COMPUTED_VALUE"""),103452)</f>
        <v>103452</v>
      </c>
      <c r="C636" s="14">
        <f ca="1">IFERROR(__xludf.DUMMYFUNCTION("""COMPUTED_VALUE"""),41)</f>
        <v>41</v>
      </c>
      <c r="D636" s="12" t="str">
        <f ca="1">IFERROR(__xludf.DUMMYFUNCTION("""COMPUTED_VALUE"""),"辻村 将大")</f>
        <v>辻村 将大</v>
      </c>
    </row>
    <row r="637" spans="2:4" ht="13">
      <c r="B637" s="12">
        <f ca="1">IFERROR(__xludf.DUMMYFUNCTION("""COMPUTED_VALUE"""),103453)</f>
        <v>103453</v>
      </c>
      <c r="C637" s="14">
        <f ca="1">IFERROR(__xludf.DUMMYFUNCTION("""COMPUTED_VALUE"""),62)</f>
        <v>62</v>
      </c>
      <c r="D637" s="12" t="str">
        <f ca="1">IFERROR(__xludf.DUMMYFUNCTION("""COMPUTED_VALUE"""),"辻村 将大")</f>
        <v>辻村 将大</v>
      </c>
    </row>
    <row r="638" spans="2:4" ht="13">
      <c r="B638" s="12">
        <f ca="1">IFERROR(__xludf.DUMMYFUNCTION("""COMPUTED_VALUE"""),103454)</f>
        <v>103454</v>
      </c>
      <c r="C638" s="14">
        <f ca="1">IFERROR(__xludf.DUMMYFUNCTION("""COMPUTED_VALUE"""),53)</f>
        <v>53</v>
      </c>
      <c r="D638" s="12" t="str">
        <f ca="1">IFERROR(__xludf.DUMMYFUNCTION("""COMPUTED_VALUE"""),"辻村 将大")</f>
        <v>辻村 将大</v>
      </c>
    </row>
    <row r="639" spans="2:4" ht="13">
      <c r="B639" s="12">
        <f ca="1">IFERROR(__xludf.DUMMYFUNCTION("""COMPUTED_VALUE"""),103470)</f>
        <v>103470</v>
      </c>
      <c r="C639" s="14">
        <f ca="1">IFERROR(__xludf.DUMMYFUNCTION("""COMPUTED_VALUE"""),6)</f>
        <v>6</v>
      </c>
      <c r="D639" s="12" t="str">
        <f ca="1">IFERROR(__xludf.DUMMYFUNCTION("""COMPUTED_VALUE"""),"稲場 勇介")</f>
        <v>稲場 勇介</v>
      </c>
    </row>
    <row r="640" spans="2:4" ht="13">
      <c r="B640" s="12">
        <f ca="1">IFERROR(__xludf.DUMMYFUNCTION("""COMPUTED_VALUE"""),103478)</f>
        <v>103478</v>
      </c>
      <c r="C640" s="14">
        <f ca="1">IFERROR(__xludf.DUMMYFUNCTION("""COMPUTED_VALUE"""),62)</f>
        <v>62</v>
      </c>
      <c r="D640" s="12" t="str">
        <f ca="1">IFERROR(__xludf.DUMMYFUNCTION("""COMPUTED_VALUE"""),"稲場 勇介")</f>
        <v>稲場 勇介</v>
      </c>
    </row>
    <row r="641" spans="2:4" ht="13">
      <c r="B641" s="12">
        <f ca="1">IFERROR(__xludf.DUMMYFUNCTION("""COMPUTED_VALUE"""),103479)</f>
        <v>103479</v>
      </c>
      <c r="C641" s="14">
        <f ca="1">IFERROR(__xludf.DUMMYFUNCTION("""COMPUTED_VALUE"""),74)</f>
        <v>74</v>
      </c>
      <c r="D641" s="12" t="str">
        <f ca="1">IFERROR(__xludf.DUMMYFUNCTION("""COMPUTED_VALUE"""),"稲場 勇介")</f>
        <v>稲場 勇介</v>
      </c>
    </row>
    <row r="642" spans="2:4" ht="13">
      <c r="B642" s="12">
        <f ca="1">IFERROR(__xludf.DUMMYFUNCTION("""COMPUTED_VALUE"""),103481)</f>
        <v>103481</v>
      </c>
      <c r="C642" s="14">
        <f ca="1">IFERROR(__xludf.DUMMYFUNCTION("""COMPUTED_VALUE"""),65)</f>
        <v>65</v>
      </c>
      <c r="D642" s="12" t="str">
        <f ca="1">IFERROR(__xludf.DUMMYFUNCTION("""COMPUTED_VALUE"""),"稲場 勇介")</f>
        <v>稲場 勇介</v>
      </c>
    </row>
    <row r="643" spans="2:4" ht="13">
      <c r="B643" s="12">
        <f ca="1">IFERROR(__xludf.DUMMYFUNCTION("""COMPUTED_VALUE"""),103488)</f>
        <v>103488</v>
      </c>
      <c r="C643" s="14">
        <f ca="1">IFERROR(__xludf.DUMMYFUNCTION("""COMPUTED_VALUE"""),0)</f>
        <v>0</v>
      </c>
      <c r="D643" s="12" t="str">
        <f ca="1">IFERROR(__xludf.DUMMYFUNCTION("""COMPUTED_VALUE"""),"松尾 尚樹")</f>
        <v>松尾 尚樹</v>
      </c>
    </row>
    <row r="644" spans="2:4" ht="13">
      <c r="B644" s="12">
        <f ca="1">IFERROR(__xludf.DUMMYFUNCTION("""COMPUTED_VALUE"""),103493)</f>
        <v>103493</v>
      </c>
      <c r="C644" s="14">
        <f ca="1">IFERROR(__xludf.DUMMYFUNCTION("""COMPUTED_VALUE"""),0)</f>
        <v>0</v>
      </c>
      <c r="D644" s="12" t="str">
        <f ca="1">IFERROR(__xludf.DUMMYFUNCTION("""COMPUTED_VALUE"""),"大木 優香")</f>
        <v>大木 優香</v>
      </c>
    </row>
    <row r="645" spans="2:4" ht="13">
      <c r="B645" s="12">
        <f ca="1">IFERROR(__xludf.DUMMYFUNCTION("""COMPUTED_VALUE"""),103497)</f>
        <v>103497</v>
      </c>
      <c r="C645" s="14">
        <f ca="1">IFERROR(__xludf.DUMMYFUNCTION("""COMPUTED_VALUE"""),5)</f>
        <v>5</v>
      </c>
      <c r="D645" s="12" t="str">
        <f ca="1">IFERROR(__xludf.DUMMYFUNCTION("""COMPUTED_VALUE"""),"大木 優香")</f>
        <v>大木 優香</v>
      </c>
    </row>
    <row r="646" spans="2:4" ht="13">
      <c r="B646" s="12">
        <f ca="1">IFERROR(__xludf.DUMMYFUNCTION("""COMPUTED_VALUE"""),103498)</f>
        <v>103498</v>
      </c>
      <c r="C646" s="14">
        <f ca="1">IFERROR(__xludf.DUMMYFUNCTION("""COMPUTED_VALUE"""),4)</f>
        <v>4</v>
      </c>
      <c r="D646" s="12" t="str">
        <f ca="1">IFERROR(__xludf.DUMMYFUNCTION("""COMPUTED_VALUE"""),"大木 優香")</f>
        <v>大木 優香</v>
      </c>
    </row>
    <row r="647" spans="2:4" ht="13">
      <c r="B647" s="12">
        <f ca="1">IFERROR(__xludf.DUMMYFUNCTION("""COMPUTED_VALUE"""),103499)</f>
        <v>103499</v>
      </c>
      <c r="C647" s="14">
        <f ca="1">IFERROR(__xludf.DUMMYFUNCTION("""COMPUTED_VALUE"""),4)</f>
        <v>4</v>
      </c>
      <c r="D647" s="12" t="str">
        <f ca="1">IFERROR(__xludf.DUMMYFUNCTION("""COMPUTED_VALUE"""),"大木 優香")</f>
        <v>大木 優香</v>
      </c>
    </row>
    <row r="648" spans="2:4" ht="13">
      <c r="B648" s="12">
        <f ca="1">IFERROR(__xludf.DUMMYFUNCTION("""COMPUTED_VALUE"""),103500)</f>
        <v>103500</v>
      </c>
      <c r="C648" s="14">
        <f ca="1">IFERROR(__xludf.DUMMYFUNCTION("""COMPUTED_VALUE"""),5)</f>
        <v>5</v>
      </c>
      <c r="D648" s="12" t="str">
        <f ca="1">IFERROR(__xludf.DUMMYFUNCTION("""COMPUTED_VALUE"""),"大木 優香")</f>
        <v>大木 優香</v>
      </c>
    </row>
    <row r="649" spans="2:4" ht="13">
      <c r="B649" s="12">
        <f ca="1">IFERROR(__xludf.DUMMYFUNCTION("""COMPUTED_VALUE"""),103501)</f>
        <v>103501</v>
      </c>
      <c r="C649" s="14">
        <f ca="1">IFERROR(__xludf.DUMMYFUNCTION("""COMPUTED_VALUE"""),12)</f>
        <v>12</v>
      </c>
      <c r="D649" s="12" t="str">
        <f ca="1">IFERROR(__xludf.DUMMYFUNCTION("""COMPUTED_VALUE"""),"大木 優香")</f>
        <v>大木 優香</v>
      </c>
    </row>
    <row r="650" spans="2:4" ht="13">
      <c r="B650" s="12">
        <f ca="1">IFERROR(__xludf.DUMMYFUNCTION("""COMPUTED_VALUE"""),103502)</f>
        <v>103502</v>
      </c>
      <c r="C650" s="14">
        <f ca="1">IFERROR(__xludf.DUMMYFUNCTION("""COMPUTED_VALUE"""),8)</f>
        <v>8</v>
      </c>
      <c r="D650" s="12" t="str">
        <f ca="1">IFERROR(__xludf.DUMMYFUNCTION("""COMPUTED_VALUE"""),"大木 優香")</f>
        <v>大木 優香</v>
      </c>
    </row>
    <row r="651" spans="2:4" ht="13">
      <c r="B651" s="12">
        <f ca="1">IFERROR(__xludf.DUMMYFUNCTION("""COMPUTED_VALUE"""),103503)</f>
        <v>103503</v>
      </c>
      <c r="C651" s="14">
        <f ca="1">IFERROR(__xludf.DUMMYFUNCTION("""COMPUTED_VALUE"""),12)</f>
        <v>12</v>
      </c>
      <c r="D651" s="12" t="str">
        <f ca="1">IFERROR(__xludf.DUMMYFUNCTION("""COMPUTED_VALUE"""),"大木 優香")</f>
        <v>大木 優香</v>
      </c>
    </row>
    <row r="652" spans="2:4" ht="13">
      <c r="B652" s="12">
        <f ca="1">IFERROR(__xludf.DUMMYFUNCTION("""COMPUTED_VALUE"""),103504)</f>
        <v>103504</v>
      </c>
      <c r="C652" s="14">
        <f ca="1">IFERROR(__xludf.DUMMYFUNCTION("""COMPUTED_VALUE"""),4)</f>
        <v>4</v>
      </c>
      <c r="D652" s="12" t="str">
        <f ca="1">IFERROR(__xludf.DUMMYFUNCTION("""COMPUTED_VALUE"""),"大木 優香")</f>
        <v>大木 優香</v>
      </c>
    </row>
    <row r="653" spans="2:4" ht="13">
      <c r="B653" s="12">
        <f ca="1">IFERROR(__xludf.DUMMYFUNCTION("""COMPUTED_VALUE"""),103509)</f>
        <v>103509</v>
      </c>
      <c r="C653" s="14">
        <f ca="1">IFERROR(__xludf.DUMMYFUNCTION("""COMPUTED_VALUE"""),63)</f>
        <v>63</v>
      </c>
      <c r="D653" s="12" t="str">
        <f ca="1">IFERROR(__xludf.DUMMYFUNCTION("""COMPUTED_VALUE"""),"奥野 貴大")</f>
        <v>奥野 貴大</v>
      </c>
    </row>
    <row r="654" spans="2:4" ht="13">
      <c r="B654" s="12">
        <f ca="1">IFERROR(__xludf.DUMMYFUNCTION("""COMPUTED_VALUE"""),103513)</f>
        <v>103513</v>
      </c>
      <c r="C654" s="14">
        <f ca="1">IFERROR(__xludf.DUMMYFUNCTION("""COMPUTED_VALUE"""),18)</f>
        <v>18</v>
      </c>
      <c r="D654" s="12" t="str">
        <f ca="1">IFERROR(__xludf.DUMMYFUNCTION("""COMPUTED_VALUE"""),"村上 浩一朗")</f>
        <v>村上 浩一朗</v>
      </c>
    </row>
    <row r="655" spans="2:4" ht="13">
      <c r="B655" s="12">
        <f ca="1">IFERROR(__xludf.DUMMYFUNCTION("""COMPUTED_VALUE"""),103537)</f>
        <v>103537</v>
      </c>
      <c r="C655" s="14">
        <f ca="1">IFERROR(__xludf.DUMMYFUNCTION("""COMPUTED_VALUE"""),0)</f>
        <v>0</v>
      </c>
      <c r="D655" s="12" t="str">
        <f ca="1">IFERROR(__xludf.DUMMYFUNCTION("""COMPUTED_VALUE"""),"稲場 勇介")</f>
        <v>稲場 勇介</v>
      </c>
    </row>
    <row r="656" spans="2:4" ht="13">
      <c r="B656" s="12">
        <f ca="1">IFERROR(__xludf.DUMMYFUNCTION("""COMPUTED_VALUE"""),103539)</f>
        <v>103539</v>
      </c>
      <c r="C656" s="14">
        <f ca="1">IFERROR(__xludf.DUMMYFUNCTION("""COMPUTED_VALUE"""),0)</f>
        <v>0</v>
      </c>
      <c r="D656" s="12" t="str">
        <f ca="1">IFERROR(__xludf.DUMMYFUNCTION("""COMPUTED_VALUE"""),"松尾 尚樹")</f>
        <v>松尾 尚樹</v>
      </c>
    </row>
    <row r="657" spans="2:4" ht="13">
      <c r="B657" s="12">
        <f ca="1">IFERROR(__xludf.DUMMYFUNCTION("""COMPUTED_VALUE"""),103557)</f>
        <v>103557</v>
      </c>
      <c r="C657" s="14">
        <f ca="1">IFERROR(__xludf.DUMMYFUNCTION("""COMPUTED_VALUE"""),0)</f>
        <v>0</v>
      </c>
      <c r="D657" s="12" t="str">
        <f ca="1">IFERROR(__xludf.DUMMYFUNCTION("""COMPUTED_VALUE"""),"小関 麻起")</f>
        <v>小関 麻起</v>
      </c>
    </row>
    <row r="658" spans="2:4" ht="13">
      <c r="B658" s="12">
        <f ca="1">IFERROR(__xludf.DUMMYFUNCTION("""COMPUTED_VALUE"""),103558)</f>
        <v>103558</v>
      </c>
      <c r="C658" s="14">
        <f ca="1">IFERROR(__xludf.DUMMYFUNCTION("""COMPUTED_VALUE"""),2)</f>
        <v>2</v>
      </c>
      <c r="D658" s="12" t="str">
        <f ca="1">IFERROR(__xludf.DUMMYFUNCTION("""COMPUTED_VALUE"""),"稲場 勇介")</f>
        <v>稲場 勇介</v>
      </c>
    </row>
    <row r="659" spans="2:4" ht="13">
      <c r="B659" s="12">
        <f ca="1">IFERROR(__xludf.DUMMYFUNCTION("""COMPUTED_VALUE"""),103563)</f>
        <v>103563</v>
      </c>
      <c r="C659" s="14">
        <f ca="1">IFERROR(__xludf.DUMMYFUNCTION("""COMPUTED_VALUE"""),0)</f>
        <v>0</v>
      </c>
      <c r="D659" s="12" t="str">
        <f ca="1">IFERROR(__xludf.DUMMYFUNCTION("""COMPUTED_VALUE"""),"松尾 尚樹")</f>
        <v>松尾 尚樹</v>
      </c>
    </row>
    <row r="660" spans="2:4" ht="13">
      <c r="B660" s="12">
        <f ca="1">IFERROR(__xludf.DUMMYFUNCTION("""COMPUTED_VALUE"""),103586)</f>
        <v>103586</v>
      </c>
      <c r="C660" s="14">
        <f ca="1">IFERROR(__xludf.DUMMYFUNCTION("""COMPUTED_VALUE"""),2)</f>
        <v>2</v>
      </c>
      <c r="D660" s="12" t="str">
        <f ca="1">IFERROR(__xludf.DUMMYFUNCTION("""COMPUTED_VALUE"""),"成嶋 夏未")</f>
        <v>成嶋 夏未</v>
      </c>
    </row>
    <row r="661" spans="2:4" ht="13">
      <c r="B661" s="12">
        <f ca="1">IFERROR(__xludf.DUMMYFUNCTION("""COMPUTED_VALUE"""),103587)</f>
        <v>103587</v>
      </c>
      <c r="C661" s="14">
        <f ca="1">IFERROR(__xludf.DUMMYFUNCTION("""COMPUTED_VALUE"""),0)</f>
        <v>0</v>
      </c>
      <c r="D661" s="12" t="str">
        <f ca="1">IFERROR(__xludf.DUMMYFUNCTION("""COMPUTED_VALUE"""),"大木 優香")</f>
        <v>大木 優香</v>
      </c>
    </row>
    <row r="662" spans="2:4" ht="13">
      <c r="B662" s="12">
        <f ca="1">IFERROR(__xludf.DUMMYFUNCTION("""COMPUTED_VALUE"""),103598)</f>
        <v>103598</v>
      </c>
      <c r="C662" s="14">
        <f ca="1">IFERROR(__xludf.DUMMYFUNCTION("""COMPUTED_VALUE"""),3)</f>
        <v>3</v>
      </c>
      <c r="D662" s="12" t="str">
        <f ca="1">IFERROR(__xludf.DUMMYFUNCTION("""COMPUTED_VALUE"""),"小関 麻起")</f>
        <v>小関 麻起</v>
      </c>
    </row>
    <row r="663" spans="2:4" ht="13">
      <c r="B663" s="12">
        <f ca="1">IFERROR(__xludf.DUMMYFUNCTION("""COMPUTED_VALUE"""),103613)</f>
        <v>103613</v>
      </c>
      <c r="C663" s="14">
        <f ca="1">IFERROR(__xludf.DUMMYFUNCTION("""COMPUTED_VALUE"""),0)</f>
        <v>0</v>
      </c>
      <c r="D663" s="12" t="str">
        <f ca="1">IFERROR(__xludf.DUMMYFUNCTION("""COMPUTED_VALUE"""),"稲場 勇介")</f>
        <v>稲場 勇介</v>
      </c>
    </row>
    <row r="664" spans="2:4" ht="13">
      <c r="B664" s="12">
        <f ca="1">IFERROR(__xludf.DUMMYFUNCTION("""COMPUTED_VALUE"""),103615)</f>
        <v>103615</v>
      </c>
      <c r="C664" s="14">
        <f ca="1">IFERROR(__xludf.DUMMYFUNCTION("""COMPUTED_VALUE"""),0)</f>
        <v>0</v>
      </c>
      <c r="D664" s="12" t="str">
        <f ca="1">IFERROR(__xludf.DUMMYFUNCTION("""COMPUTED_VALUE"""),"荻曽 克輝")</f>
        <v>荻曽 克輝</v>
      </c>
    </row>
    <row r="665" spans="2:4" ht="13">
      <c r="B665" s="12">
        <f ca="1">IFERROR(__xludf.DUMMYFUNCTION("""COMPUTED_VALUE"""),103616)</f>
        <v>103616</v>
      </c>
      <c r="C665" s="14">
        <f ca="1">IFERROR(__xludf.DUMMYFUNCTION("""COMPUTED_VALUE"""),0)</f>
        <v>0</v>
      </c>
      <c r="D665" s="12" t="str">
        <f ca="1">IFERROR(__xludf.DUMMYFUNCTION("""COMPUTED_VALUE"""),"荻曽 克輝")</f>
        <v>荻曽 克輝</v>
      </c>
    </row>
    <row r="666" spans="2:4" ht="13">
      <c r="B666" s="12">
        <f ca="1">IFERROR(__xludf.DUMMYFUNCTION("""COMPUTED_VALUE"""),103617)</f>
        <v>103617</v>
      </c>
      <c r="C666" s="14">
        <f ca="1">IFERROR(__xludf.DUMMYFUNCTION("""COMPUTED_VALUE"""),0)</f>
        <v>0</v>
      </c>
      <c r="D666" s="12" t="str">
        <f ca="1">IFERROR(__xludf.DUMMYFUNCTION("""COMPUTED_VALUE"""),"荻曽 克輝")</f>
        <v>荻曽 克輝</v>
      </c>
    </row>
    <row r="667" spans="2:4" ht="13">
      <c r="B667" s="12">
        <f ca="1">IFERROR(__xludf.DUMMYFUNCTION("""COMPUTED_VALUE"""),103618)</f>
        <v>103618</v>
      </c>
      <c r="C667" s="14">
        <f ca="1">IFERROR(__xludf.DUMMYFUNCTION("""COMPUTED_VALUE"""),0)</f>
        <v>0</v>
      </c>
      <c r="D667" s="12" t="str">
        <f ca="1">IFERROR(__xludf.DUMMYFUNCTION("""COMPUTED_VALUE"""),"荻曽 克輝")</f>
        <v>荻曽 克輝</v>
      </c>
    </row>
    <row r="668" spans="2:4" ht="13">
      <c r="B668" s="12">
        <f ca="1">IFERROR(__xludf.DUMMYFUNCTION("""COMPUTED_VALUE"""),103619)</f>
        <v>103619</v>
      </c>
      <c r="C668" s="14">
        <f ca="1">IFERROR(__xludf.DUMMYFUNCTION("""COMPUTED_VALUE"""),0)</f>
        <v>0</v>
      </c>
      <c r="D668" s="12" t="str">
        <f ca="1">IFERROR(__xludf.DUMMYFUNCTION("""COMPUTED_VALUE"""),"荻曽 克輝")</f>
        <v>荻曽 克輝</v>
      </c>
    </row>
    <row r="669" spans="2:4" ht="13">
      <c r="B669" s="12">
        <f ca="1">IFERROR(__xludf.DUMMYFUNCTION("""COMPUTED_VALUE"""),103620)</f>
        <v>103620</v>
      </c>
      <c r="C669" s="14">
        <f ca="1">IFERROR(__xludf.DUMMYFUNCTION("""COMPUTED_VALUE"""),0)</f>
        <v>0</v>
      </c>
      <c r="D669" s="12" t="str">
        <f ca="1">IFERROR(__xludf.DUMMYFUNCTION("""COMPUTED_VALUE"""),"荻曽 克輝")</f>
        <v>荻曽 克輝</v>
      </c>
    </row>
    <row r="670" spans="2:4" ht="13">
      <c r="B670" s="12">
        <f ca="1">IFERROR(__xludf.DUMMYFUNCTION("""COMPUTED_VALUE"""),103621)</f>
        <v>103621</v>
      </c>
      <c r="C670" s="14">
        <f ca="1">IFERROR(__xludf.DUMMYFUNCTION("""COMPUTED_VALUE"""),0)</f>
        <v>0</v>
      </c>
      <c r="D670" s="12" t="str">
        <f ca="1">IFERROR(__xludf.DUMMYFUNCTION("""COMPUTED_VALUE"""),"荻曽 克輝")</f>
        <v>荻曽 克輝</v>
      </c>
    </row>
    <row r="671" spans="2:4" ht="13">
      <c r="B671" s="12">
        <f ca="1">IFERROR(__xludf.DUMMYFUNCTION("""COMPUTED_VALUE"""),103622)</f>
        <v>103622</v>
      </c>
      <c r="C671" s="14">
        <f ca="1">IFERROR(__xludf.DUMMYFUNCTION("""COMPUTED_VALUE"""),0)</f>
        <v>0</v>
      </c>
      <c r="D671" s="12" t="str">
        <f ca="1">IFERROR(__xludf.DUMMYFUNCTION("""COMPUTED_VALUE"""),"稲場 勇介")</f>
        <v>稲場 勇介</v>
      </c>
    </row>
    <row r="672" spans="2:4" ht="13">
      <c r="B672" s="12">
        <f ca="1">IFERROR(__xludf.DUMMYFUNCTION("""COMPUTED_VALUE"""),103708)</f>
        <v>103708</v>
      </c>
      <c r="C672" s="14">
        <f ca="1">IFERROR(__xludf.DUMMYFUNCTION("""COMPUTED_VALUE"""),0)</f>
        <v>0</v>
      </c>
      <c r="D672" s="12" t="str">
        <f ca="1">IFERROR(__xludf.DUMMYFUNCTION("""COMPUTED_VALUE"""),"稲場 勇介")</f>
        <v>稲場 勇介</v>
      </c>
    </row>
    <row r="673" spans="2:4" ht="13">
      <c r="B673" s="12">
        <f ca="1">IFERROR(__xludf.DUMMYFUNCTION("""COMPUTED_VALUE"""),103728)</f>
        <v>103728</v>
      </c>
      <c r="C673" s="14">
        <f ca="1">IFERROR(__xludf.DUMMYFUNCTION("""COMPUTED_VALUE"""),0)</f>
        <v>0</v>
      </c>
      <c r="D673" s="12" t="str">
        <f ca="1">IFERROR(__xludf.DUMMYFUNCTION("""COMPUTED_VALUE"""),"栗原 大武")</f>
        <v>栗原 大武</v>
      </c>
    </row>
    <row r="674" spans="2:4" ht="13">
      <c r="B674" s="12">
        <f ca="1">IFERROR(__xludf.DUMMYFUNCTION("""COMPUTED_VALUE"""),103729)</f>
        <v>103729</v>
      </c>
      <c r="C674" s="14">
        <f ca="1">IFERROR(__xludf.DUMMYFUNCTION("""COMPUTED_VALUE"""),21)</f>
        <v>21</v>
      </c>
      <c r="D674" s="12" t="str">
        <f ca="1">IFERROR(__xludf.DUMMYFUNCTION("""COMPUTED_VALUE"""),"栗原 大武")</f>
        <v>栗原 大武</v>
      </c>
    </row>
    <row r="675" spans="2:4" ht="13">
      <c r="B675" s="12">
        <f ca="1">IFERROR(__xludf.DUMMYFUNCTION("""COMPUTED_VALUE"""),103730)</f>
        <v>103730</v>
      </c>
      <c r="C675" s="14">
        <f ca="1">IFERROR(__xludf.DUMMYFUNCTION("""COMPUTED_VALUE"""),0)</f>
        <v>0</v>
      </c>
      <c r="D675" s="12" t="str">
        <f ca="1">IFERROR(__xludf.DUMMYFUNCTION("""COMPUTED_VALUE"""),"小関 麻起")</f>
        <v>小関 麻起</v>
      </c>
    </row>
    <row r="676" spans="2:4" ht="13">
      <c r="B676" s="12">
        <f ca="1">IFERROR(__xludf.DUMMYFUNCTION("""COMPUTED_VALUE"""),103733)</f>
        <v>103733</v>
      </c>
      <c r="C676" s="14">
        <f ca="1">IFERROR(__xludf.DUMMYFUNCTION("""COMPUTED_VALUE"""),103)</f>
        <v>103</v>
      </c>
      <c r="D676" s="12" t="str">
        <f ca="1">IFERROR(__xludf.DUMMYFUNCTION("""COMPUTED_VALUE"""),"柿崎 晃司")</f>
        <v>柿崎 晃司</v>
      </c>
    </row>
    <row r="677" spans="2:4" ht="13">
      <c r="B677" s="12">
        <f ca="1">IFERROR(__xludf.DUMMYFUNCTION("""COMPUTED_VALUE"""),103792)</f>
        <v>103792</v>
      </c>
      <c r="C677" s="14">
        <f ca="1">IFERROR(__xludf.DUMMYFUNCTION("""COMPUTED_VALUE"""),11)</f>
        <v>11</v>
      </c>
      <c r="D677" s="12" t="str">
        <f ca="1">IFERROR(__xludf.DUMMYFUNCTION("""COMPUTED_VALUE"""),"小関 麻起")</f>
        <v>小関 麻起</v>
      </c>
    </row>
    <row r="678" spans="2:4" ht="13">
      <c r="B678" s="12">
        <f ca="1">IFERROR(__xludf.DUMMYFUNCTION("""COMPUTED_VALUE"""),103795)</f>
        <v>103795</v>
      </c>
      <c r="C678" s="14">
        <f ca="1">IFERROR(__xludf.DUMMYFUNCTION("""COMPUTED_VALUE"""),0)</f>
        <v>0</v>
      </c>
      <c r="D678" s="12" t="str">
        <f ca="1">IFERROR(__xludf.DUMMYFUNCTION("""COMPUTED_VALUE"""),"老田 純輝")</f>
        <v>老田 純輝</v>
      </c>
    </row>
    <row r="679" spans="2:4" ht="13">
      <c r="B679" s="12">
        <f ca="1">IFERROR(__xludf.DUMMYFUNCTION("""COMPUTED_VALUE"""),103806)</f>
        <v>103806</v>
      </c>
      <c r="C679" s="14">
        <f ca="1">IFERROR(__xludf.DUMMYFUNCTION("""COMPUTED_VALUE"""),0)</f>
        <v>0</v>
      </c>
      <c r="D679" s="12" t="str">
        <f ca="1">IFERROR(__xludf.DUMMYFUNCTION("""COMPUTED_VALUE"""),"稲場 勇介")</f>
        <v>稲場 勇介</v>
      </c>
    </row>
    <row r="680" spans="2:4" ht="13">
      <c r="B680" s="12">
        <f ca="1">IFERROR(__xludf.DUMMYFUNCTION("""COMPUTED_VALUE"""),103821)</f>
        <v>103821</v>
      </c>
      <c r="C680" s="14">
        <f ca="1">IFERROR(__xludf.DUMMYFUNCTION("""COMPUTED_VALUE"""),7)</f>
        <v>7</v>
      </c>
      <c r="D680" s="12" t="str">
        <f ca="1">IFERROR(__xludf.DUMMYFUNCTION("""COMPUTED_VALUE"""),"大木 優香")</f>
        <v>大木 優香</v>
      </c>
    </row>
    <row r="681" spans="2:4" ht="13">
      <c r="B681" s="12">
        <f ca="1">IFERROR(__xludf.DUMMYFUNCTION("""COMPUTED_VALUE"""),103822)</f>
        <v>103822</v>
      </c>
      <c r="C681" s="14">
        <f ca="1">IFERROR(__xludf.DUMMYFUNCTION("""COMPUTED_VALUE"""),4)</f>
        <v>4</v>
      </c>
      <c r="D681" s="12" t="str">
        <f ca="1">IFERROR(__xludf.DUMMYFUNCTION("""COMPUTED_VALUE"""),"大木 優香")</f>
        <v>大木 優香</v>
      </c>
    </row>
    <row r="682" spans="2:4" ht="13">
      <c r="B682" s="12">
        <f ca="1">IFERROR(__xludf.DUMMYFUNCTION("""COMPUTED_VALUE"""),103823)</f>
        <v>103823</v>
      </c>
      <c r="C682" s="14">
        <f ca="1">IFERROR(__xludf.DUMMYFUNCTION("""COMPUTED_VALUE"""),3)</f>
        <v>3</v>
      </c>
      <c r="D682" s="12" t="str">
        <f ca="1">IFERROR(__xludf.DUMMYFUNCTION("""COMPUTED_VALUE"""),"大木 優香")</f>
        <v>大木 優香</v>
      </c>
    </row>
    <row r="683" spans="2:4" ht="13">
      <c r="B683" s="12">
        <f ca="1">IFERROR(__xludf.DUMMYFUNCTION("""COMPUTED_VALUE"""),103824)</f>
        <v>103824</v>
      </c>
      <c r="C683" s="14">
        <f ca="1">IFERROR(__xludf.DUMMYFUNCTION("""COMPUTED_VALUE"""),40)</f>
        <v>40</v>
      </c>
      <c r="D683" s="12" t="str">
        <f ca="1">IFERROR(__xludf.DUMMYFUNCTION("""COMPUTED_VALUE"""),"大木 優香")</f>
        <v>大木 優香</v>
      </c>
    </row>
    <row r="684" spans="2:4" ht="13">
      <c r="B684" s="12">
        <f ca="1">IFERROR(__xludf.DUMMYFUNCTION("""COMPUTED_VALUE"""),103825)</f>
        <v>103825</v>
      </c>
      <c r="C684" s="14">
        <f ca="1">IFERROR(__xludf.DUMMYFUNCTION("""COMPUTED_VALUE"""),5)</f>
        <v>5</v>
      </c>
      <c r="D684" s="12" t="str">
        <f ca="1">IFERROR(__xludf.DUMMYFUNCTION("""COMPUTED_VALUE"""),"大木 優香")</f>
        <v>大木 優香</v>
      </c>
    </row>
    <row r="685" spans="2:4" ht="13">
      <c r="B685" s="12">
        <f ca="1">IFERROR(__xludf.DUMMYFUNCTION("""COMPUTED_VALUE"""),103826)</f>
        <v>103826</v>
      </c>
      <c r="C685" s="14">
        <f ca="1">IFERROR(__xludf.DUMMYFUNCTION("""COMPUTED_VALUE"""),8)</f>
        <v>8</v>
      </c>
      <c r="D685" s="12" t="str">
        <f ca="1">IFERROR(__xludf.DUMMYFUNCTION("""COMPUTED_VALUE"""),"大木 優香")</f>
        <v>大木 優香</v>
      </c>
    </row>
    <row r="686" spans="2:4" ht="13">
      <c r="B686" s="12">
        <f ca="1">IFERROR(__xludf.DUMMYFUNCTION("""COMPUTED_VALUE"""),103827)</f>
        <v>103827</v>
      </c>
      <c r="C686" s="14">
        <f ca="1">IFERROR(__xludf.DUMMYFUNCTION("""COMPUTED_VALUE"""),6)</f>
        <v>6</v>
      </c>
      <c r="D686" s="12" t="str">
        <f ca="1">IFERROR(__xludf.DUMMYFUNCTION("""COMPUTED_VALUE"""),"大木 優香")</f>
        <v>大木 優香</v>
      </c>
    </row>
    <row r="687" spans="2:4" ht="13">
      <c r="B687" s="12">
        <f ca="1">IFERROR(__xludf.DUMMYFUNCTION("""COMPUTED_VALUE"""),103828)</f>
        <v>103828</v>
      </c>
      <c r="C687" s="14">
        <f ca="1">IFERROR(__xludf.DUMMYFUNCTION("""COMPUTED_VALUE"""),6)</f>
        <v>6</v>
      </c>
      <c r="D687" s="12" t="str">
        <f ca="1">IFERROR(__xludf.DUMMYFUNCTION("""COMPUTED_VALUE"""),"大木 優香")</f>
        <v>大木 優香</v>
      </c>
    </row>
    <row r="688" spans="2:4" ht="13">
      <c r="B688" s="12">
        <f ca="1">IFERROR(__xludf.DUMMYFUNCTION("""COMPUTED_VALUE"""),103829)</f>
        <v>103829</v>
      </c>
      <c r="C688" s="14">
        <f ca="1">IFERROR(__xludf.DUMMYFUNCTION("""COMPUTED_VALUE"""),3)</f>
        <v>3</v>
      </c>
      <c r="D688" s="12" t="str">
        <f ca="1">IFERROR(__xludf.DUMMYFUNCTION("""COMPUTED_VALUE"""),"大木 優香")</f>
        <v>大木 優香</v>
      </c>
    </row>
    <row r="689" spans="2:4" ht="13">
      <c r="B689" s="12">
        <f ca="1">IFERROR(__xludf.DUMMYFUNCTION("""COMPUTED_VALUE"""),103836)</f>
        <v>103836</v>
      </c>
      <c r="C689" s="14">
        <f ca="1">IFERROR(__xludf.DUMMYFUNCTION("""COMPUTED_VALUE"""),42)</f>
        <v>42</v>
      </c>
      <c r="D689" s="12" t="str">
        <f ca="1">IFERROR(__xludf.DUMMYFUNCTION("""COMPUTED_VALUE"""),"稲場 勇介")</f>
        <v>稲場 勇介</v>
      </c>
    </row>
    <row r="690" spans="2:4" ht="13">
      <c r="B690" s="12">
        <f ca="1">IFERROR(__xludf.DUMMYFUNCTION("""COMPUTED_VALUE"""),103874)</f>
        <v>103874</v>
      </c>
      <c r="C690" s="14">
        <f ca="1">IFERROR(__xludf.DUMMYFUNCTION("""COMPUTED_VALUE"""),6)</f>
        <v>6</v>
      </c>
      <c r="D690" s="12" t="str">
        <f ca="1">IFERROR(__xludf.DUMMYFUNCTION("""COMPUTED_VALUE"""),"辻村 将大")</f>
        <v>辻村 将大</v>
      </c>
    </row>
    <row r="691" spans="2:4" ht="13">
      <c r="B691" s="12">
        <f ca="1">IFERROR(__xludf.DUMMYFUNCTION("""COMPUTED_VALUE"""),103877)</f>
        <v>103877</v>
      </c>
      <c r="C691" s="14">
        <f ca="1">IFERROR(__xludf.DUMMYFUNCTION("""COMPUTED_VALUE"""),0)</f>
        <v>0</v>
      </c>
      <c r="D691" s="12" t="str">
        <f ca="1">IFERROR(__xludf.DUMMYFUNCTION("""COMPUTED_VALUE"""),"小関 麻起")</f>
        <v>小関 麻起</v>
      </c>
    </row>
    <row r="692" spans="2:4" ht="13">
      <c r="B692" s="12">
        <f ca="1">IFERROR(__xludf.DUMMYFUNCTION("""COMPUTED_VALUE"""),103883)</f>
        <v>103883</v>
      </c>
      <c r="C692" s="14">
        <f ca="1">IFERROR(__xludf.DUMMYFUNCTION("""COMPUTED_VALUE"""),4)</f>
        <v>4</v>
      </c>
      <c r="D692" s="12" t="str">
        <f ca="1">IFERROR(__xludf.DUMMYFUNCTION("""COMPUTED_VALUE"""),"村上 浩一朗")</f>
        <v>村上 浩一朗</v>
      </c>
    </row>
    <row r="693" spans="2:4" ht="13">
      <c r="B693" s="12">
        <f ca="1">IFERROR(__xludf.DUMMYFUNCTION("""COMPUTED_VALUE"""),103887)</f>
        <v>103887</v>
      </c>
      <c r="C693" s="14">
        <f ca="1">IFERROR(__xludf.DUMMYFUNCTION("""COMPUTED_VALUE"""),0)</f>
        <v>0</v>
      </c>
      <c r="D693" s="12" t="str">
        <f ca="1">IFERROR(__xludf.DUMMYFUNCTION("""COMPUTED_VALUE"""),"松尾 尚樹")</f>
        <v>松尾 尚樹</v>
      </c>
    </row>
    <row r="694" spans="2:4" ht="13">
      <c r="B694" s="12">
        <f ca="1">IFERROR(__xludf.DUMMYFUNCTION("""COMPUTED_VALUE"""),103896)</f>
        <v>103896</v>
      </c>
      <c r="C694" s="14">
        <f ca="1">IFERROR(__xludf.DUMMYFUNCTION("""COMPUTED_VALUE"""),11)</f>
        <v>11</v>
      </c>
      <c r="D694" s="12" t="str">
        <f ca="1">IFERROR(__xludf.DUMMYFUNCTION("""COMPUTED_VALUE"""),"辻村 将大")</f>
        <v>辻村 将大</v>
      </c>
    </row>
    <row r="695" spans="2:4" ht="13">
      <c r="B695" s="12">
        <f ca="1">IFERROR(__xludf.DUMMYFUNCTION("""COMPUTED_VALUE"""),103906)</f>
        <v>103906</v>
      </c>
      <c r="C695" s="14">
        <f ca="1">IFERROR(__xludf.DUMMYFUNCTION("""COMPUTED_VALUE"""),0)</f>
        <v>0</v>
      </c>
      <c r="D695" s="12" t="str">
        <f ca="1">IFERROR(__xludf.DUMMYFUNCTION("""COMPUTED_VALUE"""),"荻曽 克輝")</f>
        <v>荻曽 克輝</v>
      </c>
    </row>
    <row r="696" spans="2:4" ht="13">
      <c r="B696" s="12">
        <f ca="1">IFERROR(__xludf.DUMMYFUNCTION("""COMPUTED_VALUE"""),103909)</f>
        <v>103909</v>
      </c>
      <c r="C696" s="14">
        <f ca="1">IFERROR(__xludf.DUMMYFUNCTION("""COMPUTED_VALUE"""),3)</f>
        <v>3</v>
      </c>
      <c r="D696" s="12" t="str">
        <f ca="1">IFERROR(__xludf.DUMMYFUNCTION("""COMPUTED_VALUE"""),"老田 純輝")</f>
        <v>老田 純輝</v>
      </c>
    </row>
    <row r="697" spans="2:4" ht="13">
      <c r="B697" s="12">
        <f ca="1">IFERROR(__xludf.DUMMYFUNCTION("""COMPUTED_VALUE"""),103911)</f>
        <v>103911</v>
      </c>
      <c r="C697" s="14">
        <f ca="1">IFERROR(__xludf.DUMMYFUNCTION("""COMPUTED_VALUE"""),0)</f>
        <v>0</v>
      </c>
      <c r="D697" s="12" t="str">
        <f ca="1">IFERROR(__xludf.DUMMYFUNCTION("""COMPUTED_VALUE"""),"稲場 勇介")</f>
        <v>稲場 勇介</v>
      </c>
    </row>
    <row r="698" spans="2:4" ht="13">
      <c r="B698" s="12">
        <f ca="1">IFERROR(__xludf.DUMMYFUNCTION("""COMPUTED_VALUE"""),103912)</f>
        <v>103912</v>
      </c>
      <c r="C698" s="14">
        <f ca="1">IFERROR(__xludf.DUMMYFUNCTION("""COMPUTED_VALUE"""),4)</f>
        <v>4</v>
      </c>
      <c r="D698" s="12" t="str">
        <f ca="1">IFERROR(__xludf.DUMMYFUNCTION("""COMPUTED_VALUE"""),"松尾 尚樹")</f>
        <v>松尾 尚樹</v>
      </c>
    </row>
    <row r="699" spans="2:4" ht="13">
      <c r="B699" s="12">
        <f ca="1">IFERROR(__xludf.DUMMYFUNCTION("""COMPUTED_VALUE"""),103915)</f>
        <v>103915</v>
      </c>
      <c r="C699" s="14">
        <f ca="1">IFERROR(__xludf.DUMMYFUNCTION("""COMPUTED_VALUE"""),5)</f>
        <v>5</v>
      </c>
      <c r="D699" s="12" t="str">
        <f ca="1">IFERROR(__xludf.DUMMYFUNCTION("""COMPUTED_VALUE"""),"辻村 将大")</f>
        <v>辻村 将大</v>
      </c>
    </row>
    <row r="700" spans="2:4" ht="13">
      <c r="B700" s="12">
        <f ca="1">IFERROR(__xludf.DUMMYFUNCTION("""COMPUTED_VALUE"""),103918)</f>
        <v>103918</v>
      </c>
      <c r="C700" s="14">
        <f ca="1">IFERROR(__xludf.DUMMYFUNCTION("""COMPUTED_VALUE"""),46)</f>
        <v>46</v>
      </c>
      <c r="D700" s="12" t="str">
        <f ca="1">IFERROR(__xludf.DUMMYFUNCTION("""COMPUTED_VALUE"""),"桐山 勝気")</f>
        <v>桐山 勝気</v>
      </c>
    </row>
    <row r="701" spans="2:4" ht="13">
      <c r="B701" s="12">
        <f ca="1">IFERROR(__xludf.DUMMYFUNCTION("""COMPUTED_VALUE"""),103919)</f>
        <v>103919</v>
      </c>
      <c r="C701" s="14">
        <f ca="1">IFERROR(__xludf.DUMMYFUNCTION("""COMPUTED_VALUE"""),27)</f>
        <v>27</v>
      </c>
      <c r="D701" s="12" t="str">
        <f ca="1">IFERROR(__xludf.DUMMYFUNCTION("""COMPUTED_VALUE"""),"奥野 貴大")</f>
        <v>奥野 貴大</v>
      </c>
    </row>
    <row r="702" spans="2:4" ht="13">
      <c r="B702" s="12">
        <f ca="1">IFERROR(__xludf.DUMMYFUNCTION("""COMPUTED_VALUE"""),103920)</f>
        <v>103920</v>
      </c>
      <c r="C702" s="14">
        <f ca="1">IFERROR(__xludf.DUMMYFUNCTION("""COMPUTED_VALUE"""),39)</f>
        <v>39</v>
      </c>
      <c r="D702" s="12" t="str">
        <f ca="1">IFERROR(__xludf.DUMMYFUNCTION("""COMPUTED_VALUE"""),"奥野 貴大")</f>
        <v>奥野 貴大</v>
      </c>
    </row>
    <row r="703" spans="2:4" ht="13">
      <c r="B703" s="12">
        <f ca="1">IFERROR(__xludf.DUMMYFUNCTION("""COMPUTED_VALUE"""),103922)</f>
        <v>103922</v>
      </c>
      <c r="C703" s="14">
        <f ca="1">IFERROR(__xludf.DUMMYFUNCTION("""COMPUTED_VALUE"""),48)</f>
        <v>48</v>
      </c>
      <c r="D703" s="12" t="str">
        <f ca="1">IFERROR(__xludf.DUMMYFUNCTION("""COMPUTED_VALUE"""),"桐山 勝気")</f>
        <v>桐山 勝気</v>
      </c>
    </row>
    <row r="704" spans="2:4" ht="13">
      <c r="B704" s="12">
        <f ca="1">IFERROR(__xludf.DUMMYFUNCTION("""COMPUTED_VALUE"""),103923)</f>
        <v>103923</v>
      </c>
      <c r="C704" s="14">
        <f ca="1">IFERROR(__xludf.DUMMYFUNCTION("""COMPUTED_VALUE"""),7)</f>
        <v>7</v>
      </c>
      <c r="D704" s="12" t="str">
        <f ca="1">IFERROR(__xludf.DUMMYFUNCTION("""COMPUTED_VALUE"""),"奥野 貴大")</f>
        <v>奥野 貴大</v>
      </c>
    </row>
    <row r="705" spans="2:4" ht="13">
      <c r="B705" s="12">
        <f ca="1">IFERROR(__xludf.DUMMYFUNCTION("""COMPUTED_VALUE"""),103924)</f>
        <v>103924</v>
      </c>
      <c r="C705" s="14">
        <f ca="1">IFERROR(__xludf.DUMMYFUNCTION("""COMPUTED_VALUE"""),29)</f>
        <v>29</v>
      </c>
      <c r="D705" s="12" t="str">
        <f ca="1">IFERROR(__xludf.DUMMYFUNCTION("""COMPUTED_VALUE"""),"桐山 勝気")</f>
        <v>桐山 勝気</v>
      </c>
    </row>
    <row r="706" spans="2:4" ht="13">
      <c r="B706" s="12">
        <f ca="1">IFERROR(__xludf.DUMMYFUNCTION("""COMPUTED_VALUE"""),103925)</f>
        <v>103925</v>
      </c>
      <c r="C706" s="14">
        <f ca="1">IFERROR(__xludf.DUMMYFUNCTION("""COMPUTED_VALUE"""),10)</f>
        <v>10</v>
      </c>
      <c r="D706" s="12" t="str">
        <f ca="1">IFERROR(__xludf.DUMMYFUNCTION("""COMPUTED_VALUE"""),"桐山 勝気")</f>
        <v>桐山 勝気</v>
      </c>
    </row>
    <row r="707" spans="2:4" ht="13">
      <c r="B707" s="12">
        <f ca="1">IFERROR(__xludf.DUMMYFUNCTION("""COMPUTED_VALUE"""),103926)</f>
        <v>103926</v>
      </c>
      <c r="C707" s="14">
        <f ca="1">IFERROR(__xludf.DUMMYFUNCTION("""COMPUTED_VALUE"""),4)</f>
        <v>4</v>
      </c>
      <c r="D707" s="12" t="str">
        <f ca="1">IFERROR(__xludf.DUMMYFUNCTION("""COMPUTED_VALUE"""),"奥野 貴大")</f>
        <v>奥野 貴大</v>
      </c>
    </row>
    <row r="708" spans="2:4" ht="13">
      <c r="B708" s="12">
        <f ca="1">IFERROR(__xludf.DUMMYFUNCTION("""COMPUTED_VALUE"""),103927)</f>
        <v>103927</v>
      </c>
      <c r="C708" s="14">
        <f ca="1">IFERROR(__xludf.DUMMYFUNCTION("""COMPUTED_VALUE"""),51)</f>
        <v>51</v>
      </c>
      <c r="D708" s="12" t="str">
        <f ca="1">IFERROR(__xludf.DUMMYFUNCTION("""COMPUTED_VALUE"""),"桐山 勝気")</f>
        <v>桐山 勝気</v>
      </c>
    </row>
    <row r="709" spans="2:4" ht="13">
      <c r="B709" s="12">
        <f ca="1">IFERROR(__xludf.DUMMYFUNCTION("""COMPUTED_VALUE"""),103928)</f>
        <v>103928</v>
      </c>
      <c r="C709" s="14">
        <f ca="1">IFERROR(__xludf.DUMMYFUNCTION("""COMPUTED_VALUE"""),76)</f>
        <v>76</v>
      </c>
      <c r="D709" s="12" t="str">
        <f ca="1">IFERROR(__xludf.DUMMYFUNCTION("""COMPUTED_VALUE"""),"奥野 貴大")</f>
        <v>奥野 貴大</v>
      </c>
    </row>
    <row r="710" spans="2:4" ht="13">
      <c r="B710" s="12">
        <f ca="1">IFERROR(__xludf.DUMMYFUNCTION("""COMPUTED_VALUE"""),103929)</f>
        <v>103929</v>
      </c>
      <c r="C710" s="14">
        <f ca="1">IFERROR(__xludf.DUMMYFUNCTION("""COMPUTED_VALUE"""),18)</f>
        <v>18</v>
      </c>
      <c r="D710" s="12" t="str">
        <f ca="1">IFERROR(__xludf.DUMMYFUNCTION("""COMPUTED_VALUE"""),"桐山 勝気")</f>
        <v>桐山 勝気</v>
      </c>
    </row>
    <row r="711" spans="2:4" ht="13">
      <c r="B711" s="12">
        <f ca="1">IFERROR(__xludf.DUMMYFUNCTION("""COMPUTED_VALUE"""),103930)</f>
        <v>103930</v>
      </c>
      <c r="C711" s="14">
        <f ca="1">IFERROR(__xludf.DUMMYFUNCTION("""COMPUTED_VALUE"""),17)</f>
        <v>17</v>
      </c>
      <c r="D711" s="12" t="str">
        <f ca="1">IFERROR(__xludf.DUMMYFUNCTION("""COMPUTED_VALUE"""),"桐山 勝気")</f>
        <v>桐山 勝気</v>
      </c>
    </row>
    <row r="712" spans="2:4" ht="13">
      <c r="B712" s="12">
        <f ca="1">IFERROR(__xludf.DUMMYFUNCTION("""COMPUTED_VALUE"""),103931)</f>
        <v>103931</v>
      </c>
      <c r="C712" s="14">
        <f ca="1">IFERROR(__xludf.DUMMYFUNCTION("""COMPUTED_VALUE"""),60)</f>
        <v>60</v>
      </c>
      <c r="D712" s="12" t="str">
        <f ca="1">IFERROR(__xludf.DUMMYFUNCTION("""COMPUTED_VALUE"""),"桐山 勝気")</f>
        <v>桐山 勝気</v>
      </c>
    </row>
    <row r="713" spans="2:4" ht="13">
      <c r="B713" s="12">
        <f ca="1">IFERROR(__xludf.DUMMYFUNCTION("""COMPUTED_VALUE"""),103932)</f>
        <v>103932</v>
      </c>
      <c r="C713" s="14">
        <f ca="1">IFERROR(__xludf.DUMMYFUNCTION("""COMPUTED_VALUE"""),30)</f>
        <v>30</v>
      </c>
      <c r="D713" s="12" t="str">
        <f ca="1">IFERROR(__xludf.DUMMYFUNCTION("""COMPUTED_VALUE"""),"桐山 勝気")</f>
        <v>桐山 勝気</v>
      </c>
    </row>
    <row r="714" spans="2:4" ht="13">
      <c r="B714" s="12">
        <f ca="1">IFERROR(__xludf.DUMMYFUNCTION("""COMPUTED_VALUE"""),103934)</f>
        <v>103934</v>
      </c>
      <c r="C714" s="14">
        <f ca="1">IFERROR(__xludf.DUMMYFUNCTION("""COMPUTED_VALUE"""),9)</f>
        <v>9</v>
      </c>
      <c r="D714" s="12" t="str">
        <f ca="1">IFERROR(__xludf.DUMMYFUNCTION("""COMPUTED_VALUE"""),"桐山 勝気")</f>
        <v>桐山 勝気</v>
      </c>
    </row>
    <row r="715" spans="2:4" ht="13">
      <c r="B715" s="12">
        <f ca="1">IFERROR(__xludf.DUMMYFUNCTION("""COMPUTED_VALUE"""),103935)</f>
        <v>103935</v>
      </c>
      <c r="C715" s="14">
        <f ca="1">IFERROR(__xludf.DUMMYFUNCTION("""COMPUTED_VALUE"""),29)</f>
        <v>29</v>
      </c>
      <c r="D715" s="12" t="str">
        <f ca="1">IFERROR(__xludf.DUMMYFUNCTION("""COMPUTED_VALUE"""),"奥野 貴大")</f>
        <v>奥野 貴大</v>
      </c>
    </row>
    <row r="716" spans="2:4" ht="13">
      <c r="B716" s="12">
        <f ca="1">IFERROR(__xludf.DUMMYFUNCTION("""COMPUTED_VALUE"""),103936)</f>
        <v>103936</v>
      </c>
      <c r="C716" s="14">
        <f ca="1">IFERROR(__xludf.DUMMYFUNCTION("""COMPUTED_VALUE"""),7)</f>
        <v>7</v>
      </c>
      <c r="D716" s="12" t="str">
        <f ca="1">IFERROR(__xludf.DUMMYFUNCTION("""COMPUTED_VALUE"""),"桐山 勝気")</f>
        <v>桐山 勝気</v>
      </c>
    </row>
    <row r="717" spans="2:4" ht="13">
      <c r="B717" s="12">
        <f ca="1">IFERROR(__xludf.DUMMYFUNCTION("""COMPUTED_VALUE"""),103937)</f>
        <v>103937</v>
      </c>
      <c r="C717" s="14">
        <f ca="1">IFERROR(__xludf.DUMMYFUNCTION("""COMPUTED_VALUE"""),9)</f>
        <v>9</v>
      </c>
      <c r="D717" s="12" t="str">
        <f ca="1">IFERROR(__xludf.DUMMYFUNCTION("""COMPUTED_VALUE"""),"奥野 貴大")</f>
        <v>奥野 貴大</v>
      </c>
    </row>
    <row r="718" spans="2:4" ht="13">
      <c r="B718" s="12">
        <f ca="1">IFERROR(__xludf.DUMMYFUNCTION("""COMPUTED_VALUE"""),103939)</f>
        <v>103939</v>
      </c>
      <c r="C718" s="14">
        <f ca="1">IFERROR(__xludf.DUMMYFUNCTION("""COMPUTED_VALUE"""),19)</f>
        <v>19</v>
      </c>
      <c r="D718" s="12" t="str">
        <f ca="1">IFERROR(__xludf.DUMMYFUNCTION("""COMPUTED_VALUE"""),"桐山 勝気")</f>
        <v>桐山 勝気</v>
      </c>
    </row>
    <row r="719" spans="2:4" ht="13">
      <c r="B719" s="12">
        <f ca="1">IFERROR(__xludf.DUMMYFUNCTION("""COMPUTED_VALUE"""),103941)</f>
        <v>103941</v>
      </c>
      <c r="C719" s="14">
        <f ca="1">IFERROR(__xludf.DUMMYFUNCTION("""COMPUTED_VALUE"""),13)</f>
        <v>13</v>
      </c>
      <c r="D719" s="12" t="str">
        <f ca="1">IFERROR(__xludf.DUMMYFUNCTION("""COMPUTED_VALUE"""),"桐山 勝気")</f>
        <v>桐山 勝気</v>
      </c>
    </row>
    <row r="720" spans="2:4" ht="13">
      <c r="B720" s="12">
        <f ca="1">IFERROR(__xludf.DUMMYFUNCTION("""COMPUTED_VALUE"""),103972)</f>
        <v>103972</v>
      </c>
      <c r="C720" s="14">
        <f ca="1">IFERROR(__xludf.DUMMYFUNCTION("""COMPUTED_VALUE"""),67)</f>
        <v>67</v>
      </c>
      <c r="D720" s="12" t="str">
        <f ca="1">IFERROR(__xludf.DUMMYFUNCTION("""COMPUTED_VALUE"""),"辻村 将大")</f>
        <v>辻村 将大</v>
      </c>
    </row>
    <row r="721" spans="2:4" ht="13">
      <c r="B721" s="12">
        <f ca="1">IFERROR(__xludf.DUMMYFUNCTION("""COMPUTED_VALUE"""),103996)</f>
        <v>103996</v>
      </c>
      <c r="C721" s="14">
        <f ca="1">IFERROR(__xludf.DUMMYFUNCTION("""COMPUTED_VALUE"""),0)</f>
        <v>0</v>
      </c>
      <c r="D721" s="12" t="str">
        <f ca="1">IFERROR(__xludf.DUMMYFUNCTION("""COMPUTED_VALUE"""),"稲場 勇介")</f>
        <v>稲場 勇介</v>
      </c>
    </row>
    <row r="722" spans="2:4" ht="13">
      <c r="B722" s="12">
        <f ca="1">IFERROR(__xludf.DUMMYFUNCTION("""COMPUTED_VALUE"""),104002)</f>
        <v>104002</v>
      </c>
      <c r="C722" s="14">
        <f ca="1">IFERROR(__xludf.DUMMYFUNCTION("""COMPUTED_VALUE"""),0)</f>
        <v>0</v>
      </c>
      <c r="D722" s="12" t="str">
        <f ca="1">IFERROR(__xludf.DUMMYFUNCTION("""COMPUTED_VALUE"""),"小関 麻起")</f>
        <v>小関 麻起</v>
      </c>
    </row>
    <row r="723" spans="2:4" ht="13">
      <c r="B723" s="12">
        <f ca="1">IFERROR(__xludf.DUMMYFUNCTION("""COMPUTED_VALUE"""),104008)</f>
        <v>104008</v>
      </c>
      <c r="C723" s="14">
        <f ca="1">IFERROR(__xludf.DUMMYFUNCTION("""COMPUTED_VALUE"""),34)</f>
        <v>34</v>
      </c>
      <c r="D723" s="12" t="str">
        <f ca="1">IFERROR(__xludf.DUMMYFUNCTION("""COMPUTED_VALUE"""),"稲場 勇介")</f>
        <v>稲場 勇介</v>
      </c>
    </row>
    <row r="724" spans="2:4" ht="13">
      <c r="B724" s="12">
        <f ca="1">IFERROR(__xludf.DUMMYFUNCTION("""COMPUTED_VALUE"""),104048)</f>
        <v>104048</v>
      </c>
      <c r="C724" s="14">
        <f ca="1">IFERROR(__xludf.DUMMYFUNCTION("""COMPUTED_VALUE"""),1)</f>
        <v>1</v>
      </c>
      <c r="D724" s="12" t="str">
        <f ca="1">IFERROR(__xludf.DUMMYFUNCTION("""COMPUTED_VALUE"""),"小関 麻起")</f>
        <v>小関 麻起</v>
      </c>
    </row>
    <row r="725" spans="2:4" ht="13">
      <c r="B725" s="12">
        <f ca="1">IFERROR(__xludf.DUMMYFUNCTION("""COMPUTED_VALUE"""),104055)</f>
        <v>104055</v>
      </c>
      <c r="C725" s="14">
        <f ca="1">IFERROR(__xludf.DUMMYFUNCTION("""COMPUTED_VALUE"""),2)</f>
        <v>2</v>
      </c>
      <c r="D725" s="12" t="str">
        <f ca="1">IFERROR(__xludf.DUMMYFUNCTION("""COMPUTED_VALUE"""),"菅野 ぎんが")</f>
        <v>菅野 ぎんが</v>
      </c>
    </row>
    <row r="726" spans="2:4" ht="13">
      <c r="B726" s="12">
        <f ca="1">IFERROR(__xludf.DUMMYFUNCTION("""COMPUTED_VALUE"""),104066)</f>
        <v>104066</v>
      </c>
      <c r="C726" s="14">
        <f ca="1">IFERROR(__xludf.DUMMYFUNCTION("""COMPUTED_VALUE"""),0)</f>
        <v>0</v>
      </c>
      <c r="D726" s="12" t="str">
        <f ca="1">IFERROR(__xludf.DUMMYFUNCTION("""COMPUTED_VALUE"""),"奥野 貴大")</f>
        <v>奥野 貴大</v>
      </c>
    </row>
    <row r="727" spans="2:4" ht="13">
      <c r="B727" s="12">
        <f ca="1">IFERROR(__xludf.DUMMYFUNCTION("""COMPUTED_VALUE"""),104074)</f>
        <v>104074</v>
      </c>
      <c r="C727" s="14">
        <f ca="1">IFERROR(__xludf.DUMMYFUNCTION("""COMPUTED_VALUE"""),0)</f>
        <v>0</v>
      </c>
      <c r="D727" s="12" t="str">
        <f ca="1">IFERROR(__xludf.DUMMYFUNCTION("""COMPUTED_VALUE"""),"村上 浩一朗")</f>
        <v>村上 浩一朗</v>
      </c>
    </row>
    <row r="728" spans="2:4" ht="13">
      <c r="B728" s="12">
        <f ca="1">IFERROR(__xludf.DUMMYFUNCTION("""COMPUTED_VALUE"""),104079)</f>
        <v>104079</v>
      </c>
      <c r="C728" s="14">
        <f ca="1">IFERROR(__xludf.DUMMYFUNCTION("""COMPUTED_VALUE"""),1)</f>
        <v>1</v>
      </c>
      <c r="D728" s="12" t="str">
        <f ca="1">IFERROR(__xludf.DUMMYFUNCTION("""COMPUTED_VALUE"""),"森 光智")</f>
        <v>森 光智</v>
      </c>
    </row>
    <row r="729" spans="2:4" ht="13">
      <c r="B729" s="12">
        <f ca="1">IFERROR(__xludf.DUMMYFUNCTION("""COMPUTED_VALUE"""),104081)</f>
        <v>104081</v>
      </c>
      <c r="C729" s="14">
        <f ca="1">IFERROR(__xludf.DUMMYFUNCTION("""COMPUTED_VALUE"""),2)</f>
        <v>2</v>
      </c>
      <c r="D729" s="12" t="str">
        <f ca="1">IFERROR(__xludf.DUMMYFUNCTION("""COMPUTED_VALUE"""),"大木 優香")</f>
        <v>大木 優香</v>
      </c>
    </row>
    <row r="730" spans="2:4" ht="13">
      <c r="B730" s="12">
        <f ca="1">IFERROR(__xludf.DUMMYFUNCTION("""COMPUTED_VALUE"""),104099)</f>
        <v>104099</v>
      </c>
      <c r="C730" s="14">
        <f ca="1">IFERROR(__xludf.DUMMYFUNCTION("""COMPUTED_VALUE"""),85)</f>
        <v>85</v>
      </c>
      <c r="D730" s="12" t="str">
        <f ca="1">IFERROR(__xludf.DUMMYFUNCTION("""COMPUTED_VALUE"""),"小関 麻起")</f>
        <v>小関 麻起</v>
      </c>
    </row>
    <row r="731" spans="2:4" ht="13">
      <c r="B731" s="12">
        <f ca="1">IFERROR(__xludf.DUMMYFUNCTION("""COMPUTED_VALUE"""),104100)</f>
        <v>104100</v>
      </c>
      <c r="C731" s="14">
        <f ca="1">IFERROR(__xludf.DUMMYFUNCTION("""COMPUTED_VALUE"""),29)</f>
        <v>29</v>
      </c>
      <c r="D731" s="12" t="str">
        <f ca="1">IFERROR(__xludf.DUMMYFUNCTION("""COMPUTED_VALUE"""),"老田 純輝")</f>
        <v>老田 純輝</v>
      </c>
    </row>
    <row r="732" spans="2:4" ht="13">
      <c r="B732" s="12">
        <f ca="1">IFERROR(__xludf.DUMMYFUNCTION("""COMPUTED_VALUE"""),104113)</f>
        <v>104113</v>
      </c>
      <c r="C732" s="14">
        <f ca="1">IFERROR(__xludf.DUMMYFUNCTION("""COMPUTED_VALUE"""),1)</f>
        <v>1</v>
      </c>
      <c r="D732" s="12" t="str">
        <f ca="1">IFERROR(__xludf.DUMMYFUNCTION("""COMPUTED_VALUE"""),"松尾 尚樹")</f>
        <v>松尾 尚樹</v>
      </c>
    </row>
    <row r="733" spans="2:4" ht="13">
      <c r="B733" s="12">
        <f ca="1">IFERROR(__xludf.DUMMYFUNCTION("""COMPUTED_VALUE"""),104118)</f>
        <v>104118</v>
      </c>
      <c r="C733" s="14">
        <f ca="1">IFERROR(__xludf.DUMMYFUNCTION("""COMPUTED_VALUE"""),5)</f>
        <v>5</v>
      </c>
      <c r="D733" s="12" t="str">
        <f ca="1">IFERROR(__xludf.DUMMYFUNCTION("""COMPUTED_VALUE"""),"柿崎 晃司")</f>
        <v>柿崎 晃司</v>
      </c>
    </row>
    <row r="734" spans="2:4" ht="13">
      <c r="B734" s="12">
        <f ca="1">IFERROR(__xludf.DUMMYFUNCTION("""COMPUTED_VALUE"""),104119)</f>
        <v>104119</v>
      </c>
      <c r="C734" s="14">
        <f ca="1">IFERROR(__xludf.DUMMYFUNCTION("""COMPUTED_VALUE"""),4)</f>
        <v>4</v>
      </c>
      <c r="D734" s="12" t="str">
        <f ca="1">IFERROR(__xludf.DUMMYFUNCTION("""COMPUTED_VALUE"""),"柿崎 晃司")</f>
        <v>柿崎 晃司</v>
      </c>
    </row>
    <row r="735" spans="2:4" ht="13">
      <c r="B735" s="12">
        <f ca="1">IFERROR(__xludf.DUMMYFUNCTION("""COMPUTED_VALUE"""),104120)</f>
        <v>104120</v>
      </c>
      <c r="C735" s="14">
        <f ca="1">IFERROR(__xludf.DUMMYFUNCTION("""COMPUTED_VALUE"""),7)</f>
        <v>7</v>
      </c>
      <c r="D735" s="12" t="str">
        <f ca="1">IFERROR(__xludf.DUMMYFUNCTION("""COMPUTED_VALUE"""),"柿崎 晃司")</f>
        <v>柿崎 晃司</v>
      </c>
    </row>
    <row r="736" spans="2:4" ht="13">
      <c r="B736" s="12">
        <f ca="1">IFERROR(__xludf.DUMMYFUNCTION("""COMPUTED_VALUE"""),104122)</f>
        <v>104122</v>
      </c>
      <c r="C736" s="14">
        <f ca="1">IFERROR(__xludf.DUMMYFUNCTION("""COMPUTED_VALUE"""),3)</f>
        <v>3</v>
      </c>
      <c r="D736" s="12" t="str">
        <f ca="1">IFERROR(__xludf.DUMMYFUNCTION("""COMPUTED_VALUE"""),"柿崎 晃司")</f>
        <v>柿崎 晃司</v>
      </c>
    </row>
    <row r="737" spans="2:4" ht="13">
      <c r="B737" s="12">
        <f ca="1">IFERROR(__xludf.DUMMYFUNCTION("""COMPUTED_VALUE"""),104131)</f>
        <v>104131</v>
      </c>
      <c r="C737" s="14">
        <f ca="1">IFERROR(__xludf.DUMMYFUNCTION("""COMPUTED_VALUE"""),0)</f>
        <v>0</v>
      </c>
      <c r="D737" s="12" t="str">
        <f ca="1">IFERROR(__xludf.DUMMYFUNCTION("""COMPUTED_VALUE"""),"長谷川 陸朗")</f>
        <v>長谷川 陸朗</v>
      </c>
    </row>
    <row r="738" spans="2:4" ht="13">
      <c r="B738" s="12">
        <f ca="1">IFERROR(__xludf.DUMMYFUNCTION("""COMPUTED_VALUE"""),104141)</f>
        <v>104141</v>
      </c>
      <c r="C738" s="14">
        <f ca="1">IFERROR(__xludf.DUMMYFUNCTION("""COMPUTED_VALUE"""),0)</f>
        <v>0</v>
      </c>
      <c r="D738" s="12" t="str">
        <f ca="1">IFERROR(__xludf.DUMMYFUNCTION("""COMPUTED_VALUE"""),"菅野 ぎんが")</f>
        <v>菅野 ぎんが</v>
      </c>
    </row>
    <row r="739" spans="2:4" ht="13">
      <c r="B739" s="12">
        <f ca="1">IFERROR(__xludf.DUMMYFUNCTION("""COMPUTED_VALUE"""),104157)</f>
        <v>104157</v>
      </c>
      <c r="C739" s="14">
        <f ca="1">IFERROR(__xludf.DUMMYFUNCTION("""COMPUTED_VALUE"""),0)</f>
        <v>0</v>
      </c>
      <c r="D739" s="12" t="str">
        <f ca="1">IFERROR(__xludf.DUMMYFUNCTION("""COMPUTED_VALUE"""),"成嶋 夏未")</f>
        <v>成嶋 夏未</v>
      </c>
    </row>
    <row r="740" spans="2:4" ht="13">
      <c r="B740" s="12">
        <f ca="1">IFERROR(__xludf.DUMMYFUNCTION("""COMPUTED_VALUE"""),104161)</f>
        <v>104161</v>
      </c>
      <c r="C740" s="14">
        <f ca="1">IFERROR(__xludf.DUMMYFUNCTION("""COMPUTED_VALUE"""),1)</f>
        <v>1</v>
      </c>
      <c r="D740" s="12" t="str">
        <f ca="1">IFERROR(__xludf.DUMMYFUNCTION("""COMPUTED_VALUE"""),"桐山 勝気")</f>
        <v>桐山 勝気</v>
      </c>
    </row>
    <row r="741" spans="2:4" ht="13">
      <c r="B741" s="12">
        <f ca="1">IFERROR(__xludf.DUMMYFUNCTION("""COMPUTED_VALUE"""),104168)</f>
        <v>104168</v>
      </c>
      <c r="C741" s="14">
        <f ca="1">IFERROR(__xludf.DUMMYFUNCTION("""COMPUTED_VALUE"""),162)</f>
        <v>162</v>
      </c>
      <c r="D741" s="12" t="str">
        <f ca="1">IFERROR(__xludf.DUMMYFUNCTION("""COMPUTED_VALUE"""),"辻村 将大")</f>
        <v>辻村 将大</v>
      </c>
    </row>
    <row r="742" spans="2:4" ht="13">
      <c r="B742" s="12">
        <f ca="1">IFERROR(__xludf.DUMMYFUNCTION("""COMPUTED_VALUE"""),104175)</f>
        <v>104175</v>
      </c>
      <c r="C742" s="14">
        <f ca="1">IFERROR(__xludf.DUMMYFUNCTION("""COMPUTED_VALUE"""),41)</f>
        <v>41</v>
      </c>
      <c r="D742" s="12" t="str">
        <f ca="1">IFERROR(__xludf.DUMMYFUNCTION("""COMPUTED_VALUE"""),"桐山 勝気")</f>
        <v>桐山 勝気</v>
      </c>
    </row>
    <row r="743" spans="2:4" ht="13">
      <c r="B743" s="12">
        <f ca="1">IFERROR(__xludf.DUMMYFUNCTION("""COMPUTED_VALUE"""),104179)</f>
        <v>104179</v>
      </c>
      <c r="C743" s="14">
        <f ca="1">IFERROR(__xludf.DUMMYFUNCTION("""COMPUTED_VALUE"""),9)</f>
        <v>9</v>
      </c>
      <c r="D743" s="12" t="str">
        <f ca="1">IFERROR(__xludf.DUMMYFUNCTION("""COMPUTED_VALUE"""),"成嶋 夏未")</f>
        <v>成嶋 夏未</v>
      </c>
    </row>
    <row r="744" spans="2:4" ht="13">
      <c r="B744" s="12">
        <f ca="1">IFERROR(__xludf.DUMMYFUNCTION("""COMPUTED_VALUE"""),104189)</f>
        <v>104189</v>
      </c>
      <c r="C744" s="14">
        <f ca="1">IFERROR(__xludf.DUMMYFUNCTION("""COMPUTED_VALUE"""),0)</f>
        <v>0</v>
      </c>
      <c r="D744" s="12" t="str">
        <f ca="1">IFERROR(__xludf.DUMMYFUNCTION("""COMPUTED_VALUE"""),"栗原 大武")</f>
        <v>栗原 大武</v>
      </c>
    </row>
    <row r="745" spans="2:4" ht="13">
      <c r="B745" s="12">
        <f ca="1">IFERROR(__xludf.DUMMYFUNCTION("""COMPUTED_VALUE"""),104193)</f>
        <v>104193</v>
      </c>
      <c r="C745" s="14">
        <f ca="1">IFERROR(__xludf.DUMMYFUNCTION("""COMPUTED_VALUE"""),49)</f>
        <v>49</v>
      </c>
      <c r="D745" s="12" t="str">
        <f ca="1">IFERROR(__xludf.DUMMYFUNCTION("""COMPUTED_VALUE"""),"老田 純輝")</f>
        <v>老田 純輝</v>
      </c>
    </row>
    <row r="746" spans="2:4" ht="13">
      <c r="B746" s="12">
        <f ca="1">IFERROR(__xludf.DUMMYFUNCTION("""COMPUTED_VALUE"""),104197)</f>
        <v>104197</v>
      </c>
      <c r="C746" s="14">
        <f ca="1">IFERROR(__xludf.DUMMYFUNCTION("""COMPUTED_VALUE"""),11)</f>
        <v>11</v>
      </c>
      <c r="D746" s="12" t="str">
        <f ca="1">IFERROR(__xludf.DUMMYFUNCTION("""COMPUTED_VALUE"""),"堀越 駿")</f>
        <v>堀越 駿</v>
      </c>
    </row>
    <row r="747" spans="2:4" ht="13">
      <c r="B747" s="12">
        <f ca="1">IFERROR(__xludf.DUMMYFUNCTION("""COMPUTED_VALUE"""),104202)</f>
        <v>104202</v>
      </c>
      <c r="C747" s="14">
        <f ca="1">IFERROR(__xludf.DUMMYFUNCTION("""COMPUTED_VALUE"""),61)</f>
        <v>61</v>
      </c>
      <c r="D747" s="12" t="str">
        <f ca="1">IFERROR(__xludf.DUMMYFUNCTION("""COMPUTED_VALUE"""),"桐山 勝気")</f>
        <v>桐山 勝気</v>
      </c>
    </row>
    <row r="748" spans="2:4" ht="13">
      <c r="B748" s="12">
        <f ca="1">IFERROR(__xludf.DUMMYFUNCTION("""COMPUTED_VALUE"""),104207)</f>
        <v>104207</v>
      </c>
      <c r="C748" s="14">
        <f ca="1">IFERROR(__xludf.DUMMYFUNCTION("""COMPUTED_VALUE"""),0)</f>
        <v>0</v>
      </c>
      <c r="D748" s="12" t="str">
        <f ca="1">IFERROR(__xludf.DUMMYFUNCTION("""COMPUTED_VALUE"""),"松尾 尚樹")</f>
        <v>松尾 尚樹</v>
      </c>
    </row>
    <row r="749" spans="2:4" ht="13">
      <c r="B749" s="12">
        <f ca="1">IFERROR(__xludf.DUMMYFUNCTION("""COMPUTED_VALUE"""),104208)</f>
        <v>104208</v>
      </c>
      <c r="C749" s="14">
        <f ca="1">IFERROR(__xludf.DUMMYFUNCTION("""COMPUTED_VALUE"""),0)</f>
        <v>0</v>
      </c>
      <c r="D749" s="12" t="str">
        <f ca="1">IFERROR(__xludf.DUMMYFUNCTION("""COMPUTED_VALUE"""),"辻村 将大")</f>
        <v>辻村 将大</v>
      </c>
    </row>
    <row r="750" spans="2:4" ht="13">
      <c r="B750" s="12">
        <f ca="1">IFERROR(__xludf.DUMMYFUNCTION("""COMPUTED_VALUE"""),104209)</f>
        <v>104209</v>
      </c>
      <c r="C750" s="14">
        <f ca="1">IFERROR(__xludf.DUMMYFUNCTION("""COMPUTED_VALUE"""),1)</f>
        <v>1</v>
      </c>
      <c r="D750" s="12" t="str">
        <f ca="1">IFERROR(__xludf.DUMMYFUNCTION("""COMPUTED_VALUE"""),"菅野 ぎんが")</f>
        <v>菅野 ぎんが</v>
      </c>
    </row>
    <row r="751" spans="2:4" ht="13">
      <c r="B751" s="12">
        <f ca="1">IFERROR(__xludf.DUMMYFUNCTION("""COMPUTED_VALUE"""),104210)</f>
        <v>104210</v>
      </c>
      <c r="C751" s="14">
        <f ca="1">IFERROR(__xludf.DUMMYFUNCTION("""COMPUTED_VALUE"""),0)</f>
        <v>0</v>
      </c>
      <c r="D751" s="12" t="str">
        <f ca="1">IFERROR(__xludf.DUMMYFUNCTION("""COMPUTED_VALUE"""),"荻曽 克輝")</f>
        <v>荻曽 克輝</v>
      </c>
    </row>
    <row r="752" spans="2:4" ht="13">
      <c r="B752" s="12">
        <f ca="1">IFERROR(__xludf.DUMMYFUNCTION("""COMPUTED_VALUE"""),104211)</f>
        <v>104211</v>
      </c>
      <c r="C752" s="14">
        <f ca="1">IFERROR(__xludf.DUMMYFUNCTION("""COMPUTED_VALUE"""),17)</f>
        <v>17</v>
      </c>
      <c r="D752" s="12" t="str">
        <f ca="1">IFERROR(__xludf.DUMMYFUNCTION("""COMPUTED_VALUE"""),"桐山 勝気")</f>
        <v>桐山 勝気</v>
      </c>
    </row>
    <row r="753" spans="2:4" ht="13">
      <c r="B753" s="12">
        <f ca="1">IFERROR(__xludf.DUMMYFUNCTION("""COMPUTED_VALUE"""),104212)</f>
        <v>104212</v>
      </c>
      <c r="C753" s="14">
        <f ca="1">IFERROR(__xludf.DUMMYFUNCTION("""COMPUTED_VALUE"""),36)</f>
        <v>36</v>
      </c>
      <c r="D753" s="12" t="str">
        <f ca="1">IFERROR(__xludf.DUMMYFUNCTION("""COMPUTED_VALUE"""),"小関 麻起")</f>
        <v>小関 麻起</v>
      </c>
    </row>
    <row r="754" spans="2:4" ht="13">
      <c r="B754" s="12">
        <f ca="1">IFERROR(__xludf.DUMMYFUNCTION("""COMPUTED_VALUE"""),104231)</f>
        <v>104231</v>
      </c>
      <c r="C754" s="14">
        <f ca="1">IFERROR(__xludf.DUMMYFUNCTION("""COMPUTED_VALUE"""),0)</f>
        <v>0</v>
      </c>
      <c r="D754" s="12" t="str">
        <f ca="1">IFERROR(__xludf.DUMMYFUNCTION("""COMPUTED_VALUE"""),"成嶋 夏未")</f>
        <v>成嶋 夏未</v>
      </c>
    </row>
    <row r="755" spans="2:4" ht="13">
      <c r="B755" s="12">
        <f ca="1">IFERROR(__xludf.DUMMYFUNCTION("""COMPUTED_VALUE"""),104233)</f>
        <v>104233</v>
      </c>
      <c r="C755" s="14">
        <f ca="1">IFERROR(__xludf.DUMMYFUNCTION("""COMPUTED_VALUE"""),2)</f>
        <v>2</v>
      </c>
      <c r="D755" s="12" t="str">
        <f ca="1">IFERROR(__xludf.DUMMYFUNCTION("""COMPUTED_VALUE"""),"小関 麻起")</f>
        <v>小関 麻起</v>
      </c>
    </row>
    <row r="756" spans="2:4" ht="13">
      <c r="B756" s="12">
        <f ca="1">IFERROR(__xludf.DUMMYFUNCTION("""COMPUTED_VALUE"""),104239)</f>
        <v>104239</v>
      </c>
      <c r="C756" s="14">
        <f ca="1">IFERROR(__xludf.DUMMYFUNCTION("""COMPUTED_VALUE"""),2)</f>
        <v>2</v>
      </c>
      <c r="D756" s="12" t="str">
        <f ca="1">IFERROR(__xludf.DUMMYFUNCTION("""COMPUTED_VALUE"""),"長谷川 陸朗")</f>
        <v>長谷川 陸朗</v>
      </c>
    </row>
    <row r="757" spans="2:4" ht="13">
      <c r="B757" s="12">
        <f ca="1">IFERROR(__xludf.DUMMYFUNCTION("""COMPUTED_VALUE"""),104258)</f>
        <v>104258</v>
      </c>
      <c r="C757" s="14">
        <f ca="1">IFERROR(__xludf.DUMMYFUNCTION("""COMPUTED_VALUE"""),1)</f>
        <v>1</v>
      </c>
      <c r="D757" s="12" t="str">
        <f ca="1">IFERROR(__xludf.DUMMYFUNCTION("""COMPUTED_VALUE"""),"小関 麻起")</f>
        <v>小関 麻起</v>
      </c>
    </row>
    <row r="758" spans="2:4" ht="13">
      <c r="B758" s="12">
        <f ca="1">IFERROR(__xludf.DUMMYFUNCTION("""COMPUTED_VALUE"""),104259)</f>
        <v>104259</v>
      </c>
      <c r="C758" s="14">
        <f ca="1">IFERROR(__xludf.DUMMYFUNCTION("""COMPUTED_VALUE"""),0)</f>
        <v>0</v>
      </c>
      <c r="D758" s="12" t="str">
        <f ca="1">IFERROR(__xludf.DUMMYFUNCTION("""COMPUTED_VALUE"""),"稲場 勇介")</f>
        <v>稲場 勇介</v>
      </c>
    </row>
    <row r="759" spans="2:4" ht="13">
      <c r="B759" s="12">
        <f ca="1">IFERROR(__xludf.DUMMYFUNCTION("""COMPUTED_VALUE"""),104286)</f>
        <v>104286</v>
      </c>
      <c r="C759" s="14">
        <f ca="1">IFERROR(__xludf.DUMMYFUNCTION("""COMPUTED_VALUE"""),0)</f>
        <v>0</v>
      </c>
      <c r="D759" s="12" t="str">
        <f ca="1">IFERROR(__xludf.DUMMYFUNCTION("""COMPUTED_VALUE"""),"辻村 将大")</f>
        <v>辻村 将大</v>
      </c>
    </row>
    <row r="760" spans="2:4" ht="13">
      <c r="B760" s="12">
        <f ca="1">IFERROR(__xludf.DUMMYFUNCTION("""COMPUTED_VALUE"""),104288)</f>
        <v>104288</v>
      </c>
      <c r="C760" s="14">
        <f ca="1">IFERROR(__xludf.DUMMYFUNCTION("""COMPUTED_VALUE"""),2)</f>
        <v>2</v>
      </c>
      <c r="D760" s="12" t="str">
        <f ca="1">IFERROR(__xludf.DUMMYFUNCTION("""COMPUTED_VALUE"""),"菅野 ぎんが")</f>
        <v>菅野 ぎんが</v>
      </c>
    </row>
    <row r="761" spans="2:4" ht="13">
      <c r="B761" s="12">
        <f ca="1">IFERROR(__xludf.DUMMYFUNCTION("""COMPUTED_VALUE"""),104289)</f>
        <v>104289</v>
      </c>
      <c r="C761" s="14">
        <f ca="1">IFERROR(__xludf.DUMMYFUNCTION("""COMPUTED_VALUE"""),10)</f>
        <v>10</v>
      </c>
      <c r="D761" s="12" t="str">
        <f ca="1">IFERROR(__xludf.DUMMYFUNCTION("""COMPUTED_VALUE"""),"稲場 勇介")</f>
        <v>稲場 勇介</v>
      </c>
    </row>
    <row r="762" spans="2:4" ht="13">
      <c r="B762" s="12">
        <f ca="1">IFERROR(__xludf.DUMMYFUNCTION("""COMPUTED_VALUE"""),104291)</f>
        <v>104291</v>
      </c>
      <c r="C762" s="14">
        <f ca="1">IFERROR(__xludf.DUMMYFUNCTION("""COMPUTED_VALUE"""),0)</f>
        <v>0</v>
      </c>
      <c r="D762" s="12" t="str">
        <f ca="1">IFERROR(__xludf.DUMMYFUNCTION("""COMPUTED_VALUE"""),"老田 純輝")</f>
        <v>老田 純輝</v>
      </c>
    </row>
    <row r="763" spans="2:4" ht="13">
      <c r="B763" s="12">
        <f ca="1">IFERROR(__xludf.DUMMYFUNCTION("""COMPUTED_VALUE"""),104304)</f>
        <v>104304</v>
      </c>
      <c r="C763" s="14">
        <f ca="1">IFERROR(__xludf.DUMMYFUNCTION("""COMPUTED_VALUE"""),12)</f>
        <v>12</v>
      </c>
      <c r="D763" s="12" t="str">
        <f ca="1">IFERROR(__xludf.DUMMYFUNCTION("""COMPUTED_VALUE"""),"大木 優香")</f>
        <v>大木 優香</v>
      </c>
    </row>
    <row r="764" spans="2:4" ht="13">
      <c r="B764" s="12">
        <f ca="1">IFERROR(__xludf.DUMMYFUNCTION("""COMPUTED_VALUE"""),104306)</f>
        <v>104306</v>
      </c>
      <c r="C764" s="14">
        <f ca="1">IFERROR(__xludf.DUMMYFUNCTION("""COMPUTED_VALUE"""),25)</f>
        <v>25</v>
      </c>
      <c r="D764" s="12" t="str">
        <f ca="1">IFERROR(__xludf.DUMMYFUNCTION("""COMPUTED_VALUE"""),"桐山 勝気")</f>
        <v>桐山 勝気</v>
      </c>
    </row>
    <row r="765" spans="2:4" ht="13">
      <c r="B765" s="12">
        <f ca="1">IFERROR(__xludf.DUMMYFUNCTION("""COMPUTED_VALUE"""),104307)</f>
        <v>104307</v>
      </c>
      <c r="C765" s="14">
        <f ca="1">IFERROR(__xludf.DUMMYFUNCTION("""COMPUTED_VALUE"""),17)</f>
        <v>17</v>
      </c>
      <c r="D765" s="12" t="str">
        <f ca="1">IFERROR(__xludf.DUMMYFUNCTION("""COMPUTED_VALUE"""),"桐山 勝気")</f>
        <v>桐山 勝気</v>
      </c>
    </row>
    <row r="766" spans="2:4" ht="13">
      <c r="B766" s="12">
        <f ca="1">IFERROR(__xludf.DUMMYFUNCTION("""COMPUTED_VALUE"""),104343)</f>
        <v>104343</v>
      </c>
      <c r="C766" s="14">
        <f ca="1">IFERROR(__xludf.DUMMYFUNCTION("""COMPUTED_VALUE"""),0)</f>
        <v>0</v>
      </c>
      <c r="D766" s="12" t="str">
        <f ca="1">IFERROR(__xludf.DUMMYFUNCTION("""COMPUTED_VALUE"""),"菅野 ぎんが")</f>
        <v>菅野 ぎんが</v>
      </c>
    </row>
    <row r="767" spans="2:4" ht="13">
      <c r="B767" s="12">
        <f ca="1">IFERROR(__xludf.DUMMYFUNCTION("""COMPUTED_VALUE"""),104345)</f>
        <v>104345</v>
      </c>
      <c r="C767" s="14">
        <f ca="1">IFERROR(__xludf.DUMMYFUNCTION("""COMPUTED_VALUE"""),1)</f>
        <v>1</v>
      </c>
      <c r="D767" s="12" t="str">
        <f ca="1">IFERROR(__xludf.DUMMYFUNCTION("""COMPUTED_VALUE"""),"栗原 大武")</f>
        <v>栗原 大武</v>
      </c>
    </row>
    <row r="768" spans="2:4" ht="13">
      <c r="B768" s="12">
        <f ca="1">IFERROR(__xludf.DUMMYFUNCTION("""COMPUTED_VALUE"""),104351)</f>
        <v>104351</v>
      </c>
      <c r="C768" s="14">
        <f ca="1">IFERROR(__xludf.DUMMYFUNCTION("""COMPUTED_VALUE"""),3)</f>
        <v>3</v>
      </c>
      <c r="D768" s="12" t="str">
        <f ca="1">IFERROR(__xludf.DUMMYFUNCTION("""COMPUTED_VALUE"""),"長谷川 陸朗")</f>
        <v>長谷川 陸朗</v>
      </c>
    </row>
    <row r="769" spans="2:4" ht="13">
      <c r="B769" s="12">
        <f ca="1">IFERROR(__xludf.DUMMYFUNCTION("""COMPUTED_VALUE"""),104356)</f>
        <v>104356</v>
      </c>
      <c r="C769" s="14">
        <f ca="1">IFERROR(__xludf.DUMMYFUNCTION("""COMPUTED_VALUE"""),0)</f>
        <v>0</v>
      </c>
      <c r="D769" s="12" t="str">
        <f ca="1">IFERROR(__xludf.DUMMYFUNCTION("""COMPUTED_VALUE"""),"小関 麻起")</f>
        <v>小関 麻起</v>
      </c>
    </row>
    <row r="770" spans="2:4" ht="13">
      <c r="B770" s="12">
        <f ca="1">IFERROR(__xludf.DUMMYFUNCTION("""COMPUTED_VALUE"""),104403)</f>
        <v>104403</v>
      </c>
      <c r="C770" s="14">
        <f ca="1">IFERROR(__xludf.DUMMYFUNCTION("""COMPUTED_VALUE"""),12)</f>
        <v>12</v>
      </c>
      <c r="D770" s="12" t="str">
        <f ca="1">IFERROR(__xludf.DUMMYFUNCTION("""COMPUTED_VALUE"""),"成嶋 夏未")</f>
        <v>成嶋 夏未</v>
      </c>
    </row>
    <row r="771" spans="2:4" ht="13">
      <c r="B771" s="12">
        <f ca="1">IFERROR(__xludf.DUMMYFUNCTION("""COMPUTED_VALUE"""),104408)</f>
        <v>104408</v>
      </c>
      <c r="C771" s="14">
        <f ca="1">IFERROR(__xludf.DUMMYFUNCTION("""COMPUTED_VALUE"""),5)</f>
        <v>5</v>
      </c>
      <c r="D771" s="12" t="str">
        <f ca="1">IFERROR(__xludf.DUMMYFUNCTION("""COMPUTED_VALUE"""),"稲場 勇介")</f>
        <v>稲場 勇介</v>
      </c>
    </row>
    <row r="772" spans="2:4" ht="13">
      <c r="B772" s="12">
        <f ca="1">IFERROR(__xludf.DUMMYFUNCTION("""COMPUTED_VALUE"""),104427)</f>
        <v>104427</v>
      </c>
      <c r="C772" s="14">
        <f ca="1">IFERROR(__xludf.DUMMYFUNCTION("""COMPUTED_VALUE"""),38)</f>
        <v>38</v>
      </c>
      <c r="D772" s="12" t="str">
        <f ca="1">IFERROR(__xludf.DUMMYFUNCTION("""COMPUTED_VALUE"""),"小川 純")</f>
        <v>小川 純</v>
      </c>
    </row>
    <row r="773" spans="2:4" ht="13">
      <c r="B773" s="12">
        <f ca="1">IFERROR(__xludf.DUMMYFUNCTION("""COMPUTED_VALUE"""),104440)</f>
        <v>104440</v>
      </c>
      <c r="C773" s="14">
        <f ca="1">IFERROR(__xludf.DUMMYFUNCTION("""COMPUTED_VALUE"""),0)</f>
        <v>0</v>
      </c>
      <c r="D773" s="12" t="str">
        <f ca="1">IFERROR(__xludf.DUMMYFUNCTION("""COMPUTED_VALUE"""),"小関 麻起")</f>
        <v>小関 麻起</v>
      </c>
    </row>
    <row r="774" spans="2:4" ht="13">
      <c r="B774" s="12">
        <f ca="1">IFERROR(__xludf.DUMMYFUNCTION("""COMPUTED_VALUE"""),104443)</f>
        <v>104443</v>
      </c>
      <c r="C774" s="14">
        <f ca="1">IFERROR(__xludf.DUMMYFUNCTION("""COMPUTED_VALUE"""),3)</f>
        <v>3</v>
      </c>
      <c r="D774" s="12" t="str">
        <f ca="1">IFERROR(__xludf.DUMMYFUNCTION("""COMPUTED_VALUE"""),"稲場 勇介")</f>
        <v>稲場 勇介</v>
      </c>
    </row>
    <row r="775" spans="2:4" ht="13">
      <c r="B775" s="12">
        <f ca="1">IFERROR(__xludf.DUMMYFUNCTION("""COMPUTED_VALUE"""),104449)</f>
        <v>104449</v>
      </c>
      <c r="C775" s="14">
        <f ca="1">IFERROR(__xludf.DUMMYFUNCTION("""COMPUTED_VALUE"""),1)</f>
        <v>1</v>
      </c>
      <c r="D775" s="12" t="str">
        <f ca="1">IFERROR(__xludf.DUMMYFUNCTION("""COMPUTED_VALUE"""),"稲場 勇介")</f>
        <v>稲場 勇介</v>
      </c>
    </row>
    <row r="776" spans="2:4" ht="13">
      <c r="B776" s="12">
        <f ca="1">IFERROR(__xludf.DUMMYFUNCTION("""COMPUTED_VALUE"""),104451)</f>
        <v>104451</v>
      </c>
      <c r="C776" s="14">
        <f ca="1">IFERROR(__xludf.DUMMYFUNCTION("""COMPUTED_VALUE"""),0)</f>
        <v>0</v>
      </c>
      <c r="D776" s="12" t="str">
        <f ca="1">IFERROR(__xludf.DUMMYFUNCTION("""COMPUTED_VALUE"""),"長谷川 陸朗")</f>
        <v>長谷川 陸朗</v>
      </c>
    </row>
    <row r="777" spans="2:4" ht="13">
      <c r="B777" s="12">
        <f ca="1">IFERROR(__xludf.DUMMYFUNCTION("""COMPUTED_VALUE"""),104495)</f>
        <v>104495</v>
      </c>
      <c r="C777" s="14">
        <f ca="1">IFERROR(__xludf.DUMMYFUNCTION("""COMPUTED_VALUE"""),0)</f>
        <v>0</v>
      </c>
      <c r="D777" s="12" t="str">
        <f ca="1">IFERROR(__xludf.DUMMYFUNCTION("""COMPUTED_VALUE"""),"成嶋 夏未")</f>
        <v>成嶋 夏未</v>
      </c>
    </row>
    <row r="778" spans="2:4" ht="13">
      <c r="B778" s="12">
        <f ca="1">IFERROR(__xludf.DUMMYFUNCTION("""COMPUTED_VALUE"""),104496)</f>
        <v>104496</v>
      </c>
      <c r="C778" s="14">
        <f ca="1">IFERROR(__xludf.DUMMYFUNCTION("""COMPUTED_VALUE"""),1)</f>
        <v>1</v>
      </c>
      <c r="D778" s="12" t="str">
        <f ca="1">IFERROR(__xludf.DUMMYFUNCTION("""COMPUTED_VALUE"""),"松尾 尚樹")</f>
        <v>松尾 尚樹</v>
      </c>
    </row>
    <row r="779" spans="2:4" ht="13">
      <c r="B779" s="12">
        <f ca="1">IFERROR(__xludf.DUMMYFUNCTION("""COMPUTED_VALUE"""),104497)</f>
        <v>104497</v>
      </c>
      <c r="C779" s="14">
        <f ca="1">IFERROR(__xludf.DUMMYFUNCTION("""COMPUTED_VALUE"""),6)</f>
        <v>6</v>
      </c>
      <c r="D779" s="12" t="str">
        <f ca="1">IFERROR(__xludf.DUMMYFUNCTION("""COMPUTED_VALUE"""),"小関 麻起")</f>
        <v>小関 麻起</v>
      </c>
    </row>
    <row r="780" spans="2:4" ht="13">
      <c r="B780" s="12">
        <f ca="1">IFERROR(__xludf.DUMMYFUNCTION("""COMPUTED_VALUE"""),104508)</f>
        <v>104508</v>
      </c>
      <c r="C780" s="14">
        <f ca="1">IFERROR(__xludf.DUMMYFUNCTION("""COMPUTED_VALUE"""),93)</f>
        <v>93</v>
      </c>
      <c r="D780" s="12" t="str">
        <f ca="1">IFERROR(__xludf.DUMMYFUNCTION("""COMPUTED_VALUE"""),"栗原 大武")</f>
        <v>栗原 大武</v>
      </c>
    </row>
    <row r="781" spans="2:4" ht="13">
      <c r="B781" s="12">
        <f ca="1">IFERROR(__xludf.DUMMYFUNCTION("""COMPUTED_VALUE"""),104550)</f>
        <v>104550</v>
      </c>
      <c r="C781" s="14">
        <f ca="1">IFERROR(__xludf.DUMMYFUNCTION("""COMPUTED_VALUE"""),0)</f>
        <v>0</v>
      </c>
      <c r="D781" s="12" t="str">
        <f ca="1">IFERROR(__xludf.DUMMYFUNCTION("""COMPUTED_VALUE"""),"稲場 勇介")</f>
        <v>稲場 勇介</v>
      </c>
    </row>
    <row r="782" spans="2:4" ht="13">
      <c r="B782" s="12">
        <f ca="1">IFERROR(__xludf.DUMMYFUNCTION("""COMPUTED_VALUE"""),104552)</f>
        <v>104552</v>
      </c>
      <c r="C782" s="14">
        <f ca="1">IFERROR(__xludf.DUMMYFUNCTION("""COMPUTED_VALUE"""),0)</f>
        <v>0</v>
      </c>
      <c r="D782" s="12" t="str">
        <f ca="1">IFERROR(__xludf.DUMMYFUNCTION("""COMPUTED_VALUE"""),"小関 麻起")</f>
        <v>小関 麻起</v>
      </c>
    </row>
    <row r="783" spans="2:4" ht="13">
      <c r="B783" s="12">
        <f ca="1">IFERROR(__xludf.DUMMYFUNCTION("""COMPUTED_VALUE"""),104571)</f>
        <v>104571</v>
      </c>
      <c r="C783" s="14">
        <f ca="1">IFERROR(__xludf.DUMMYFUNCTION("""COMPUTED_VALUE"""),1)</f>
        <v>1</v>
      </c>
      <c r="D783" s="12" t="str">
        <f ca="1">IFERROR(__xludf.DUMMYFUNCTION("""COMPUTED_VALUE"""),"長谷川 陸朗")</f>
        <v>長谷川 陸朗</v>
      </c>
    </row>
    <row r="784" spans="2:4" ht="13">
      <c r="B784" s="12">
        <f ca="1">IFERROR(__xludf.DUMMYFUNCTION("""COMPUTED_VALUE"""),104589)</f>
        <v>104589</v>
      </c>
      <c r="C784" s="14">
        <f ca="1">IFERROR(__xludf.DUMMYFUNCTION("""COMPUTED_VALUE"""),61)</f>
        <v>61</v>
      </c>
      <c r="D784" s="12" t="str">
        <f ca="1">IFERROR(__xludf.DUMMYFUNCTION("""COMPUTED_VALUE"""),"辻村 将大")</f>
        <v>辻村 将大</v>
      </c>
    </row>
    <row r="785" spans="2:4" ht="13">
      <c r="B785" s="12">
        <f ca="1">IFERROR(__xludf.DUMMYFUNCTION("""COMPUTED_VALUE"""),104603)</f>
        <v>104603</v>
      </c>
      <c r="C785" s="14">
        <f ca="1">IFERROR(__xludf.DUMMYFUNCTION("""COMPUTED_VALUE"""),0)</f>
        <v>0</v>
      </c>
      <c r="D785" s="12" t="str">
        <f ca="1">IFERROR(__xludf.DUMMYFUNCTION("""COMPUTED_VALUE"""),"奥野 貴大")</f>
        <v>奥野 貴大</v>
      </c>
    </row>
    <row r="786" spans="2:4" ht="13">
      <c r="B786" s="12">
        <f ca="1">IFERROR(__xludf.DUMMYFUNCTION("""COMPUTED_VALUE"""),104606)</f>
        <v>104606</v>
      </c>
      <c r="C786" s="14">
        <f ca="1">IFERROR(__xludf.DUMMYFUNCTION("""COMPUTED_VALUE"""),0)</f>
        <v>0</v>
      </c>
      <c r="D786" s="12" t="str">
        <f ca="1">IFERROR(__xludf.DUMMYFUNCTION("""COMPUTED_VALUE"""),"成嶋 夏未")</f>
        <v>成嶋 夏未</v>
      </c>
    </row>
    <row r="787" spans="2:4" ht="13">
      <c r="B787" s="12">
        <f ca="1">IFERROR(__xludf.DUMMYFUNCTION("""COMPUTED_VALUE"""),104612)</f>
        <v>104612</v>
      </c>
      <c r="C787" s="14">
        <f ca="1">IFERROR(__xludf.DUMMYFUNCTION("""COMPUTED_VALUE"""),0)</f>
        <v>0</v>
      </c>
      <c r="D787" s="12" t="str">
        <f ca="1">IFERROR(__xludf.DUMMYFUNCTION("""COMPUTED_VALUE"""),"芳賀 亮輔")</f>
        <v>芳賀 亮輔</v>
      </c>
    </row>
    <row r="788" spans="2:4" ht="13">
      <c r="B788" s="12">
        <f ca="1">IFERROR(__xludf.DUMMYFUNCTION("""COMPUTED_VALUE"""),104644)</f>
        <v>104644</v>
      </c>
      <c r="C788" s="14">
        <f ca="1">IFERROR(__xludf.DUMMYFUNCTION("""COMPUTED_VALUE"""),5)</f>
        <v>5</v>
      </c>
      <c r="D788" s="12" t="str">
        <f ca="1">IFERROR(__xludf.DUMMYFUNCTION("""COMPUTED_VALUE"""),"大木 優香")</f>
        <v>大木 優香</v>
      </c>
    </row>
    <row r="789" spans="2:4" ht="13">
      <c r="B789" s="12">
        <f ca="1">IFERROR(__xludf.DUMMYFUNCTION("""COMPUTED_VALUE"""),104645)</f>
        <v>104645</v>
      </c>
      <c r="C789" s="14">
        <f ca="1">IFERROR(__xludf.DUMMYFUNCTION("""COMPUTED_VALUE"""),2)</f>
        <v>2</v>
      </c>
      <c r="D789" s="12" t="str">
        <f ca="1">IFERROR(__xludf.DUMMYFUNCTION("""COMPUTED_VALUE"""),"大木 優香")</f>
        <v>大木 優香</v>
      </c>
    </row>
    <row r="790" spans="2:4" ht="13">
      <c r="B790" s="12">
        <f ca="1">IFERROR(__xludf.DUMMYFUNCTION("""COMPUTED_VALUE"""),104646)</f>
        <v>104646</v>
      </c>
      <c r="C790" s="14">
        <f ca="1">IFERROR(__xludf.DUMMYFUNCTION("""COMPUTED_VALUE"""),2)</f>
        <v>2</v>
      </c>
      <c r="D790" s="12" t="str">
        <f ca="1">IFERROR(__xludf.DUMMYFUNCTION("""COMPUTED_VALUE"""),"大木 優香")</f>
        <v>大木 優香</v>
      </c>
    </row>
    <row r="791" spans="2:4" ht="13">
      <c r="B791" s="12">
        <f ca="1">IFERROR(__xludf.DUMMYFUNCTION("""COMPUTED_VALUE"""),104648)</f>
        <v>104648</v>
      </c>
      <c r="C791" s="14">
        <f ca="1">IFERROR(__xludf.DUMMYFUNCTION("""COMPUTED_VALUE"""),5)</f>
        <v>5</v>
      </c>
      <c r="D791" s="12" t="str">
        <f ca="1">IFERROR(__xludf.DUMMYFUNCTION("""COMPUTED_VALUE"""),"大木 優香")</f>
        <v>大木 優香</v>
      </c>
    </row>
    <row r="792" spans="2:4" ht="13">
      <c r="B792" s="12">
        <f ca="1">IFERROR(__xludf.DUMMYFUNCTION("""COMPUTED_VALUE"""),104649)</f>
        <v>104649</v>
      </c>
      <c r="C792" s="14">
        <f ca="1">IFERROR(__xludf.DUMMYFUNCTION("""COMPUTED_VALUE"""),38)</f>
        <v>38</v>
      </c>
      <c r="D792" s="12" t="str">
        <f ca="1">IFERROR(__xludf.DUMMYFUNCTION("""COMPUTED_VALUE"""),"大木 優香")</f>
        <v>大木 優香</v>
      </c>
    </row>
    <row r="793" spans="2:4" ht="13">
      <c r="B793" s="12">
        <f ca="1">IFERROR(__xludf.DUMMYFUNCTION("""COMPUTED_VALUE"""),104650)</f>
        <v>104650</v>
      </c>
      <c r="C793" s="14">
        <f ca="1">IFERROR(__xludf.DUMMYFUNCTION("""COMPUTED_VALUE"""),6)</f>
        <v>6</v>
      </c>
      <c r="D793" s="12" t="str">
        <f ca="1">IFERROR(__xludf.DUMMYFUNCTION("""COMPUTED_VALUE"""),"大木 優香")</f>
        <v>大木 優香</v>
      </c>
    </row>
    <row r="794" spans="2:4" ht="13">
      <c r="B794" s="12">
        <f ca="1">IFERROR(__xludf.DUMMYFUNCTION("""COMPUTED_VALUE"""),104657)</f>
        <v>104657</v>
      </c>
      <c r="C794" s="14">
        <f ca="1">IFERROR(__xludf.DUMMYFUNCTION("""COMPUTED_VALUE"""),2)</f>
        <v>2</v>
      </c>
      <c r="D794" s="12" t="str">
        <f ca="1">IFERROR(__xludf.DUMMYFUNCTION("""COMPUTED_VALUE"""),"小関 麻起")</f>
        <v>小関 麻起</v>
      </c>
    </row>
    <row r="795" spans="2:4" ht="13">
      <c r="B795" s="12">
        <f ca="1">IFERROR(__xludf.DUMMYFUNCTION("""COMPUTED_VALUE"""),104664)</f>
        <v>104664</v>
      </c>
      <c r="C795" s="14">
        <f ca="1">IFERROR(__xludf.DUMMYFUNCTION("""COMPUTED_VALUE"""),1)</f>
        <v>1</v>
      </c>
      <c r="D795" s="12" t="str">
        <f ca="1">IFERROR(__xludf.DUMMYFUNCTION("""COMPUTED_VALUE"""),"松尾 尚樹")</f>
        <v>松尾 尚樹</v>
      </c>
    </row>
    <row r="796" spans="2:4" ht="13">
      <c r="B796" s="12">
        <f ca="1">IFERROR(__xludf.DUMMYFUNCTION("""COMPUTED_VALUE"""),104669)</f>
        <v>104669</v>
      </c>
      <c r="C796" s="14">
        <f ca="1">IFERROR(__xludf.DUMMYFUNCTION("""COMPUTED_VALUE"""),0)</f>
        <v>0</v>
      </c>
      <c r="D796" s="12" t="str">
        <f ca="1">IFERROR(__xludf.DUMMYFUNCTION("""COMPUTED_VALUE"""),"稲場 勇介")</f>
        <v>稲場 勇介</v>
      </c>
    </row>
    <row r="797" spans="2:4" ht="13">
      <c r="B797" s="12">
        <f ca="1">IFERROR(__xludf.DUMMYFUNCTION("""COMPUTED_VALUE"""),104674)</f>
        <v>104674</v>
      </c>
      <c r="C797" s="14">
        <f ca="1">IFERROR(__xludf.DUMMYFUNCTION("""COMPUTED_VALUE"""),0)</f>
        <v>0</v>
      </c>
      <c r="D797" s="12" t="str">
        <f ca="1">IFERROR(__xludf.DUMMYFUNCTION("""COMPUTED_VALUE"""),"老田 純輝")</f>
        <v>老田 純輝</v>
      </c>
    </row>
    <row r="798" spans="2:4" ht="13">
      <c r="B798" s="12">
        <f ca="1">IFERROR(__xludf.DUMMYFUNCTION("""COMPUTED_VALUE"""),104682)</f>
        <v>104682</v>
      </c>
      <c r="C798" s="14">
        <f ca="1">IFERROR(__xludf.DUMMYFUNCTION("""COMPUTED_VALUE"""),0)</f>
        <v>0</v>
      </c>
      <c r="D798" s="12" t="str">
        <f ca="1">IFERROR(__xludf.DUMMYFUNCTION("""COMPUTED_VALUE"""),"稲場 勇介")</f>
        <v>稲場 勇介</v>
      </c>
    </row>
    <row r="799" spans="2:4" ht="13">
      <c r="B799" s="12">
        <f ca="1">IFERROR(__xludf.DUMMYFUNCTION("""COMPUTED_VALUE"""),104697)</f>
        <v>104697</v>
      </c>
      <c r="C799" s="14">
        <f ca="1">IFERROR(__xludf.DUMMYFUNCTION("""COMPUTED_VALUE"""),9)</f>
        <v>9</v>
      </c>
      <c r="D799" s="12" t="str">
        <f ca="1">IFERROR(__xludf.DUMMYFUNCTION("""COMPUTED_VALUE"""),"松尾 尚樹")</f>
        <v>松尾 尚樹</v>
      </c>
    </row>
    <row r="800" spans="2:4" ht="13">
      <c r="B800" s="12">
        <f ca="1">IFERROR(__xludf.DUMMYFUNCTION("""COMPUTED_VALUE"""),104700)</f>
        <v>104700</v>
      </c>
      <c r="C800" s="14">
        <f ca="1">IFERROR(__xludf.DUMMYFUNCTION("""COMPUTED_VALUE"""),0)</f>
        <v>0</v>
      </c>
      <c r="D800" s="12" t="str">
        <f ca="1">IFERROR(__xludf.DUMMYFUNCTION("""COMPUTED_VALUE"""),"松尾 尚樹")</f>
        <v>松尾 尚樹</v>
      </c>
    </row>
    <row r="801" spans="2:4" ht="13">
      <c r="B801" s="12">
        <f ca="1">IFERROR(__xludf.DUMMYFUNCTION("""COMPUTED_VALUE"""),104702)</f>
        <v>104702</v>
      </c>
      <c r="C801" s="14">
        <f ca="1">IFERROR(__xludf.DUMMYFUNCTION("""COMPUTED_VALUE"""),4)</f>
        <v>4</v>
      </c>
      <c r="D801" s="12" t="str">
        <f ca="1">IFERROR(__xludf.DUMMYFUNCTION("""COMPUTED_VALUE"""),"稲場 勇介")</f>
        <v>稲場 勇介</v>
      </c>
    </row>
    <row r="802" spans="2:4" ht="13">
      <c r="B802" s="12">
        <f ca="1">IFERROR(__xludf.DUMMYFUNCTION("""COMPUTED_VALUE"""),104709)</f>
        <v>104709</v>
      </c>
      <c r="C802" s="14">
        <f ca="1">IFERROR(__xludf.DUMMYFUNCTION("""COMPUTED_VALUE"""),0)</f>
        <v>0</v>
      </c>
      <c r="D802" s="12" t="str">
        <f ca="1">IFERROR(__xludf.DUMMYFUNCTION("""COMPUTED_VALUE"""),"村上 浩一朗")</f>
        <v>村上 浩一朗</v>
      </c>
    </row>
    <row r="803" spans="2:4" ht="13">
      <c r="B803" s="12">
        <f ca="1">IFERROR(__xludf.DUMMYFUNCTION("""COMPUTED_VALUE"""),104712)</f>
        <v>104712</v>
      </c>
      <c r="C803" s="14">
        <f ca="1">IFERROR(__xludf.DUMMYFUNCTION("""COMPUTED_VALUE"""),4)</f>
        <v>4</v>
      </c>
      <c r="D803" s="12" t="str">
        <f ca="1">IFERROR(__xludf.DUMMYFUNCTION("""COMPUTED_VALUE"""),"長谷川 陸朗")</f>
        <v>長谷川 陸朗</v>
      </c>
    </row>
    <row r="804" spans="2:4" ht="13">
      <c r="B804" s="12">
        <f ca="1">IFERROR(__xludf.DUMMYFUNCTION("""COMPUTED_VALUE"""),104713)</f>
        <v>104713</v>
      </c>
      <c r="C804" s="14">
        <f ca="1">IFERROR(__xludf.DUMMYFUNCTION("""COMPUTED_VALUE"""),15)</f>
        <v>15</v>
      </c>
      <c r="D804" s="12" t="str">
        <f ca="1">IFERROR(__xludf.DUMMYFUNCTION("""COMPUTED_VALUE"""),"長谷川 陸朗")</f>
        <v>長谷川 陸朗</v>
      </c>
    </row>
    <row r="805" spans="2:4" ht="13">
      <c r="B805" s="12">
        <f ca="1">IFERROR(__xludf.DUMMYFUNCTION("""COMPUTED_VALUE"""),104717)</f>
        <v>104717</v>
      </c>
      <c r="C805" s="14">
        <f ca="1">IFERROR(__xludf.DUMMYFUNCTION("""COMPUTED_VALUE"""),6)</f>
        <v>6</v>
      </c>
      <c r="D805" s="12" t="str">
        <f ca="1">IFERROR(__xludf.DUMMYFUNCTION("""COMPUTED_VALUE"""),"辻村 将大")</f>
        <v>辻村 将大</v>
      </c>
    </row>
    <row r="806" spans="2:4" ht="13">
      <c r="B806" s="12">
        <f ca="1">IFERROR(__xludf.DUMMYFUNCTION("""COMPUTED_VALUE"""),104719)</f>
        <v>104719</v>
      </c>
      <c r="C806" s="14">
        <f ca="1">IFERROR(__xludf.DUMMYFUNCTION("""COMPUTED_VALUE"""),2)</f>
        <v>2</v>
      </c>
      <c r="D806" s="12" t="str">
        <f ca="1">IFERROR(__xludf.DUMMYFUNCTION("""COMPUTED_VALUE"""),"辻村 将大")</f>
        <v>辻村 将大</v>
      </c>
    </row>
    <row r="807" spans="2:4" ht="13">
      <c r="B807" s="12">
        <f ca="1">IFERROR(__xludf.DUMMYFUNCTION("""COMPUTED_VALUE"""),104720)</f>
        <v>104720</v>
      </c>
      <c r="C807" s="14">
        <f ca="1">IFERROR(__xludf.DUMMYFUNCTION("""COMPUTED_VALUE"""),2)</f>
        <v>2</v>
      </c>
      <c r="D807" s="12" t="str">
        <f ca="1">IFERROR(__xludf.DUMMYFUNCTION("""COMPUTED_VALUE"""),"辻村 将大")</f>
        <v>辻村 将大</v>
      </c>
    </row>
    <row r="808" spans="2:4" ht="13">
      <c r="B808" s="12">
        <f ca="1">IFERROR(__xludf.DUMMYFUNCTION("""COMPUTED_VALUE"""),104739)</f>
        <v>104739</v>
      </c>
      <c r="C808" s="14">
        <f ca="1">IFERROR(__xludf.DUMMYFUNCTION("""COMPUTED_VALUE"""),1)</f>
        <v>1</v>
      </c>
      <c r="D808" s="12" t="str">
        <f ca="1">IFERROR(__xludf.DUMMYFUNCTION("""COMPUTED_VALUE"""),"稲場 勇介")</f>
        <v>稲場 勇介</v>
      </c>
    </row>
    <row r="809" spans="2:4" ht="13">
      <c r="B809" s="12">
        <f ca="1">IFERROR(__xludf.DUMMYFUNCTION("""COMPUTED_VALUE"""),104833)</f>
        <v>104833</v>
      </c>
      <c r="C809" s="14">
        <f ca="1">IFERROR(__xludf.DUMMYFUNCTION("""COMPUTED_VALUE"""),84)</f>
        <v>84</v>
      </c>
      <c r="D809" s="12" t="str">
        <f ca="1">IFERROR(__xludf.DUMMYFUNCTION("""COMPUTED_VALUE"""),"菅野 ぎんが")</f>
        <v>菅野 ぎんが</v>
      </c>
    </row>
    <row r="810" spans="2:4" ht="13">
      <c r="B810" s="12">
        <f ca="1">IFERROR(__xludf.DUMMYFUNCTION("""COMPUTED_VALUE"""),104838)</f>
        <v>104838</v>
      </c>
      <c r="C810" s="14">
        <f ca="1">IFERROR(__xludf.DUMMYFUNCTION("""COMPUTED_VALUE"""),1)</f>
        <v>1</v>
      </c>
      <c r="D810" s="12" t="str">
        <f ca="1">IFERROR(__xludf.DUMMYFUNCTION("""COMPUTED_VALUE"""),"稲場 勇介")</f>
        <v>稲場 勇介</v>
      </c>
    </row>
    <row r="811" spans="2:4" ht="13">
      <c r="B811" s="12">
        <f ca="1">IFERROR(__xludf.DUMMYFUNCTION("""COMPUTED_VALUE"""),104861)</f>
        <v>104861</v>
      </c>
      <c r="C811" s="14">
        <f ca="1">IFERROR(__xludf.DUMMYFUNCTION("""COMPUTED_VALUE"""),0)</f>
        <v>0</v>
      </c>
      <c r="D811" s="12" t="str">
        <f ca="1">IFERROR(__xludf.DUMMYFUNCTION("""COMPUTED_VALUE"""),"稲場 勇介")</f>
        <v>稲場 勇介</v>
      </c>
    </row>
    <row r="812" spans="2:4" ht="13">
      <c r="B812" s="12">
        <f ca="1">IFERROR(__xludf.DUMMYFUNCTION("""COMPUTED_VALUE"""),104864)</f>
        <v>104864</v>
      </c>
      <c r="C812" s="14">
        <f ca="1">IFERROR(__xludf.DUMMYFUNCTION("""COMPUTED_VALUE"""),0)</f>
        <v>0</v>
      </c>
      <c r="D812" s="12" t="str">
        <f ca="1">IFERROR(__xludf.DUMMYFUNCTION("""COMPUTED_VALUE"""),"長谷川 陸朗")</f>
        <v>長谷川 陸朗</v>
      </c>
    </row>
    <row r="813" spans="2:4" ht="13">
      <c r="B813" s="12">
        <f ca="1">IFERROR(__xludf.DUMMYFUNCTION("""COMPUTED_VALUE"""),104891)</f>
        <v>104891</v>
      </c>
      <c r="C813" s="14">
        <f ca="1">IFERROR(__xludf.DUMMYFUNCTION("""COMPUTED_VALUE"""),10)</f>
        <v>10</v>
      </c>
      <c r="D813" s="12" t="str">
        <f ca="1">IFERROR(__xludf.DUMMYFUNCTION("""COMPUTED_VALUE"""),"松尾 尚樹")</f>
        <v>松尾 尚樹</v>
      </c>
    </row>
    <row r="814" spans="2:4" ht="13">
      <c r="B814" s="12">
        <f ca="1">IFERROR(__xludf.DUMMYFUNCTION("""COMPUTED_VALUE"""),104892)</f>
        <v>104892</v>
      </c>
      <c r="C814" s="14">
        <f ca="1">IFERROR(__xludf.DUMMYFUNCTION("""COMPUTED_VALUE"""),0)</f>
        <v>0</v>
      </c>
      <c r="D814" s="12" t="str">
        <f ca="1">IFERROR(__xludf.DUMMYFUNCTION("""COMPUTED_VALUE"""),"松尾 尚樹")</f>
        <v>松尾 尚樹</v>
      </c>
    </row>
    <row r="815" spans="2:4" ht="13">
      <c r="B815" s="12">
        <f ca="1">IFERROR(__xludf.DUMMYFUNCTION("""COMPUTED_VALUE"""),105093)</f>
        <v>105093</v>
      </c>
      <c r="C815" s="14">
        <f ca="1">IFERROR(__xludf.DUMMYFUNCTION("""COMPUTED_VALUE"""),0)</f>
        <v>0</v>
      </c>
      <c r="D815" s="12" t="str">
        <f ca="1">IFERROR(__xludf.DUMMYFUNCTION("""COMPUTED_VALUE"""),"松尾 尚樹")</f>
        <v>松尾 尚樹</v>
      </c>
    </row>
    <row r="816" spans="2:4" ht="13">
      <c r="B816" s="12">
        <f ca="1">IFERROR(__xludf.DUMMYFUNCTION("""COMPUTED_VALUE"""),105096)</f>
        <v>105096</v>
      </c>
      <c r="C816" s="14">
        <f ca="1">IFERROR(__xludf.DUMMYFUNCTION("""COMPUTED_VALUE"""),4)</f>
        <v>4</v>
      </c>
      <c r="D816" s="12" t="str">
        <f ca="1">IFERROR(__xludf.DUMMYFUNCTION("""COMPUTED_VALUE"""),"成嶋 夏未")</f>
        <v>成嶋 夏未</v>
      </c>
    </row>
    <row r="817" spans="2:4" ht="13">
      <c r="B817" s="12">
        <f ca="1">IFERROR(__xludf.DUMMYFUNCTION("""COMPUTED_VALUE"""),105101)</f>
        <v>105101</v>
      </c>
      <c r="C817" s="14">
        <f ca="1">IFERROR(__xludf.DUMMYFUNCTION("""COMPUTED_VALUE"""),0)</f>
        <v>0</v>
      </c>
      <c r="D817" s="12" t="str">
        <f ca="1">IFERROR(__xludf.DUMMYFUNCTION("""COMPUTED_VALUE"""),"老田 純輝")</f>
        <v>老田 純輝</v>
      </c>
    </row>
    <row r="818" spans="2:4" ht="13">
      <c r="B818" s="12">
        <f ca="1">IFERROR(__xludf.DUMMYFUNCTION("""COMPUTED_VALUE"""),105102)</f>
        <v>105102</v>
      </c>
      <c r="C818" s="14">
        <f ca="1">IFERROR(__xludf.DUMMYFUNCTION("""COMPUTED_VALUE"""),0)</f>
        <v>0</v>
      </c>
      <c r="D818" s="12" t="str">
        <f ca="1">IFERROR(__xludf.DUMMYFUNCTION("""COMPUTED_VALUE"""),"柿崎 晃司")</f>
        <v>柿崎 晃司</v>
      </c>
    </row>
    <row r="819" spans="2:4" ht="13">
      <c r="B819" s="12">
        <f ca="1">IFERROR(__xludf.DUMMYFUNCTION("""COMPUTED_VALUE"""),105111)</f>
        <v>105111</v>
      </c>
      <c r="C819" s="14">
        <f ca="1">IFERROR(__xludf.DUMMYFUNCTION("""COMPUTED_VALUE"""),0)</f>
        <v>0</v>
      </c>
      <c r="D819" s="12" t="str">
        <f ca="1">IFERROR(__xludf.DUMMYFUNCTION("""COMPUTED_VALUE"""),"小関 麻起")</f>
        <v>小関 麻起</v>
      </c>
    </row>
    <row r="820" spans="2:4" ht="13">
      <c r="B820" s="12">
        <f ca="1">IFERROR(__xludf.DUMMYFUNCTION("""COMPUTED_VALUE"""),105135)</f>
        <v>105135</v>
      </c>
      <c r="C820" s="14">
        <f ca="1">IFERROR(__xludf.DUMMYFUNCTION("""COMPUTED_VALUE"""),0)</f>
        <v>0</v>
      </c>
      <c r="D820" s="12" t="str">
        <f ca="1">IFERROR(__xludf.DUMMYFUNCTION("""COMPUTED_VALUE"""),"栗原 大武")</f>
        <v>栗原 大武</v>
      </c>
    </row>
    <row r="821" spans="2:4" ht="13">
      <c r="B821" s="12">
        <f ca="1">IFERROR(__xludf.DUMMYFUNCTION("""COMPUTED_VALUE"""),105136)</f>
        <v>105136</v>
      </c>
      <c r="C821" s="14">
        <f ca="1">IFERROR(__xludf.DUMMYFUNCTION("""COMPUTED_VALUE"""),0)</f>
        <v>0</v>
      </c>
      <c r="D821" s="12" t="str">
        <f ca="1">IFERROR(__xludf.DUMMYFUNCTION("""COMPUTED_VALUE"""),"桐山 勝気")</f>
        <v>桐山 勝気</v>
      </c>
    </row>
    <row r="822" spans="2:4" ht="13">
      <c r="B822" s="12">
        <f ca="1">IFERROR(__xludf.DUMMYFUNCTION("""COMPUTED_VALUE"""),105147)</f>
        <v>105147</v>
      </c>
      <c r="C822" s="14">
        <f ca="1">IFERROR(__xludf.DUMMYFUNCTION("""COMPUTED_VALUE"""),23)</f>
        <v>23</v>
      </c>
      <c r="D822" s="12" t="str">
        <f ca="1">IFERROR(__xludf.DUMMYFUNCTION("""COMPUTED_VALUE"""),"長谷川 陸朗")</f>
        <v>長谷川 陸朗</v>
      </c>
    </row>
    <row r="823" spans="2:4" ht="13">
      <c r="B823" s="12">
        <f ca="1">IFERROR(__xludf.DUMMYFUNCTION("""COMPUTED_VALUE"""),105164)</f>
        <v>105164</v>
      </c>
      <c r="C823" s="14">
        <f ca="1">IFERROR(__xludf.DUMMYFUNCTION("""COMPUTED_VALUE"""),2)</f>
        <v>2</v>
      </c>
      <c r="D823" s="12" t="str">
        <f ca="1">IFERROR(__xludf.DUMMYFUNCTION("""COMPUTED_VALUE"""),"辻村 将大")</f>
        <v>辻村 将大</v>
      </c>
    </row>
    <row r="824" spans="2:4" ht="13">
      <c r="B824" s="12">
        <f ca="1">IFERROR(__xludf.DUMMYFUNCTION("""COMPUTED_VALUE"""),105171)</f>
        <v>105171</v>
      </c>
      <c r="C824" s="14">
        <f ca="1">IFERROR(__xludf.DUMMYFUNCTION("""COMPUTED_VALUE"""),60)</f>
        <v>60</v>
      </c>
      <c r="D824" s="12" t="str">
        <f ca="1">IFERROR(__xludf.DUMMYFUNCTION("""COMPUTED_VALUE"""),"辻村 将大")</f>
        <v>辻村 将大</v>
      </c>
    </row>
    <row r="825" spans="2:4" ht="13">
      <c r="B825" s="12">
        <f ca="1">IFERROR(__xludf.DUMMYFUNCTION("""COMPUTED_VALUE"""),105181)</f>
        <v>105181</v>
      </c>
      <c r="C825" s="14">
        <f ca="1">IFERROR(__xludf.DUMMYFUNCTION("""COMPUTED_VALUE"""),0)</f>
        <v>0</v>
      </c>
      <c r="D825" s="12" t="str">
        <f ca="1">IFERROR(__xludf.DUMMYFUNCTION("""COMPUTED_VALUE"""),"稲場 勇介")</f>
        <v>稲場 勇介</v>
      </c>
    </row>
    <row r="826" spans="2:4" ht="13">
      <c r="B826" s="12">
        <f ca="1">IFERROR(__xludf.DUMMYFUNCTION("""COMPUTED_VALUE"""),105185)</f>
        <v>105185</v>
      </c>
      <c r="C826" s="14">
        <f ca="1">IFERROR(__xludf.DUMMYFUNCTION("""COMPUTED_VALUE"""),8)</f>
        <v>8</v>
      </c>
      <c r="D826" s="12" t="str">
        <f ca="1">IFERROR(__xludf.DUMMYFUNCTION("""COMPUTED_VALUE"""),"小関 麻起")</f>
        <v>小関 麻起</v>
      </c>
    </row>
    <row r="827" spans="2:4" ht="13">
      <c r="B827" s="12">
        <f ca="1">IFERROR(__xludf.DUMMYFUNCTION("""COMPUTED_VALUE"""),105197)</f>
        <v>105197</v>
      </c>
      <c r="C827" s="14">
        <f ca="1">IFERROR(__xludf.DUMMYFUNCTION("""COMPUTED_VALUE"""),100)</f>
        <v>100</v>
      </c>
      <c r="D827" s="12" t="str">
        <f ca="1">IFERROR(__xludf.DUMMYFUNCTION("""COMPUTED_VALUE"""),"稲場 勇介")</f>
        <v>稲場 勇介</v>
      </c>
    </row>
    <row r="828" spans="2:4" ht="13">
      <c r="B828" s="12">
        <f ca="1">IFERROR(__xludf.DUMMYFUNCTION("""COMPUTED_VALUE"""),105205)</f>
        <v>105205</v>
      </c>
      <c r="C828" s="14">
        <f ca="1">IFERROR(__xludf.DUMMYFUNCTION("""COMPUTED_VALUE"""),1)</f>
        <v>1</v>
      </c>
      <c r="D828" s="12" t="str">
        <f ca="1">IFERROR(__xludf.DUMMYFUNCTION("""COMPUTED_VALUE"""),"松尾 尚樹")</f>
        <v>松尾 尚樹</v>
      </c>
    </row>
    <row r="829" spans="2:4" ht="13">
      <c r="B829" s="12">
        <f ca="1">IFERROR(__xludf.DUMMYFUNCTION("""COMPUTED_VALUE"""),105208)</f>
        <v>105208</v>
      </c>
      <c r="C829" s="14">
        <f ca="1">IFERROR(__xludf.DUMMYFUNCTION("""COMPUTED_VALUE"""),0)</f>
        <v>0</v>
      </c>
      <c r="D829" s="12" t="str">
        <f ca="1">IFERROR(__xludf.DUMMYFUNCTION("""COMPUTED_VALUE"""),"稲場 勇介")</f>
        <v>稲場 勇介</v>
      </c>
    </row>
    <row r="830" spans="2:4" ht="13">
      <c r="B830" s="12">
        <f ca="1">IFERROR(__xludf.DUMMYFUNCTION("""COMPUTED_VALUE"""),105211)</f>
        <v>105211</v>
      </c>
      <c r="C830" s="14">
        <f ca="1">IFERROR(__xludf.DUMMYFUNCTION("""COMPUTED_VALUE"""),0)</f>
        <v>0</v>
      </c>
      <c r="D830" s="12" t="str">
        <f ca="1">IFERROR(__xludf.DUMMYFUNCTION("""COMPUTED_VALUE"""),"稲場 勇介")</f>
        <v>稲場 勇介</v>
      </c>
    </row>
    <row r="831" spans="2:4" ht="13">
      <c r="B831" s="12">
        <f ca="1">IFERROR(__xludf.DUMMYFUNCTION("""COMPUTED_VALUE"""),105244)</f>
        <v>105244</v>
      </c>
      <c r="C831" s="14">
        <f ca="1">IFERROR(__xludf.DUMMYFUNCTION("""COMPUTED_VALUE"""),0)</f>
        <v>0</v>
      </c>
      <c r="D831" s="12" t="str">
        <f ca="1">IFERROR(__xludf.DUMMYFUNCTION("""COMPUTED_VALUE"""),"小関 麻起")</f>
        <v>小関 麻起</v>
      </c>
    </row>
    <row r="832" spans="2:4" ht="13">
      <c r="B832" s="12">
        <f ca="1">IFERROR(__xludf.DUMMYFUNCTION("""COMPUTED_VALUE"""),105258)</f>
        <v>105258</v>
      </c>
      <c r="C832" s="14">
        <f ca="1">IFERROR(__xludf.DUMMYFUNCTION("""COMPUTED_VALUE"""),0)</f>
        <v>0</v>
      </c>
      <c r="D832" s="12" t="str">
        <f ca="1">IFERROR(__xludf.DUMMYFUNCTION("""COMPUTED_VALUE"""),"長谷川 陸朗")</f>
        <v>長谷川 陸朗</v>
      </c>
    </row>
    <row r="833" spans="2:4" ht="13">
      <c r="B833" s="12">
        <f ca="1">IFERROR(__xludf.DUMMYFUNCTION("""COMPUTED_VALUE"""),105278)</f>
        <v>105278</v>
      </c>
      <c r="C833" s="14">
        <f ca="1">IFERROR(__xludf.DUMMYFUNCTION("""COMPUTED_VALUE"""),0)</f>
        <v>0</v>
      </c>
      <c r="D833" s="12" t="str">
        <f ca="1">IFERROR(__xludf.DUMMYFUNCTION("""COMPUTED_VALUE"""),"芳賀 亮輔")</f>
        <v>芳賀 亮輔</v>
      </c>
    </row>
    <row r="834" spans="2:4" ht="13">
      <c r="B834" s="12">
        <f ca="1">IFERROR(__xludf.DUMMYFUNCTION("""COMPUTED_VALUE"""),105289)</f>
        <v>105289</v>
      </c>
      <c r="C834" s="14">
        <f ca="1">IFERROR(__xludf.DUMMYFUNCTION("""COMPUTED_VALUE"""),5)</f>
        <v>5</v>
      </c>
      <c r="D834" s="12" t="str">
        <f ca="1">IFERROR(__xludf.DUMMYFUNCTION("""COMPUTED_VALUE"""),"小川 純")</f>
        <v>小川 純</v>
      </c>
    </row>
    <row r="835" spans="2:4" ht="13">
      <c r="B835" s="12">
        <f ca="1">IFERROR(__xludf.DUMMYFUNCTION("""COMPUTED_VALUE"""),105290)</f>
        <v>105290</v>
      </c>
      <c r="C835" s="14">
        <f ca="1">IFERROR(__xludf.DUMMYFUNCTION("""COMPUTED_VALUE"""),0)</f>
        <v>0</v>
      </c>
      <c r="D835" s="12" t="str">
        <f ca="1">IFERROR(__xludf.DUMMYFUNCTION("""COMPUTED_VALUE"""),"辻村 将大")</f>
        <v>辻村 将大</v>
      </c>
    </row>
    <row r="836" spans="2:4" ht="13">
      <c r="B836" s="12">
        <f ca="1">IFERROR(__xludf.DUMMYFUNCTION("""COMPUTED_VALUE"""),105305)</f>
        <v>105305</v>
      </c>
      <c r="C836" s="14">
        <f ca="1">IFERROR(__xludf.DUMMYFUNCTION("""COMPUTED_VALUE"""),0)</f>
        <v>0</v>
      </c>
      <c r="D836" s="12" t="str">
        <f ca="1">IFERROR(__xludf.DUMMYFUNCTION("""COMPUTED_VALUE"""),"稲場 勇介")</f>
        <v>稲場 勇介</v>
      </c>
    </row>
    <row r="837" spans="2:4" ht="13">
      <c r="B837" s="12">
        <f ca="1">IFERROR(__xludf.DUMMYFUNCTION("""COMPUTED_VALUE"""),105308)</f>
        <v>105308</v>
      </c>
      <c r="C837" s="14">
        <f ca="1">IFERROR(__xludf.DUMMYFUNCTION("""COMPUTED_VALUE"""),1)</f>
        <v>1</v>
      </c>
      <c r="D837" s="12" t="str">
        <f ca="1">IFERROR(__xludf.DUMMYFUNCTION("""COMPUTED_VALUE"""),"稲場 勇介")</f>
        <v>稲場 勇介</v>
      </c>
    </row>
    <row r="838" spans="2:4" ht="13">
      <c r="B838" s="12">
        <f ca="1">IFERROR(__xludf.DUMMYFUNCTION("""COMPUTED_VALUE"""),105317)</f>
        <v>105317</v>
      </c>
      <c r="C838" s="14">
        <f ca="1">IFERROR(__xludf.DUMMYFUNCTION("""COMPUTED_VALUE"""),2)</f>
        <v>2</v>
      </c>
      <c r="D838" s="12" t="str">
        <f ca="1">IFERROR(__xludf.DUMMYFUNCTION("""COMPUTED_VALUE"""),"柿崎 晃司")</f>
        <v>柿崎 晃司</v>
      </c>
    </row>
    <row r="839" spans="2:4" ht="13">
      <c r="B839" s="12">
        <f ca="1">IFERROR(__xludf.DUMMYFUNCTION("""COMPUTED_VALUE"""),105318)</f>
        <v>105318</v>
      </c>
      <c r="C839" s="14">
        <f ca="1">IFERROR(__xludf.DUMMYFUNCTION("""COMPUTED_VALUE"""),0)</f>
        <v>0</v>
      </c>
      <c r="D839" s="12" t="str">
        <f ca="1">IFERROR(__xludf.DUMMYFUNCTION("""COMPUTED_VALUE"""),"小関 麻起")</f>
        <v>小関 麻起</v>
      </c>
    </row>
    <row r="840" spans="2:4" ht="13">
      <c r="B840" s="12">
        <f ca="1">IFERROR(__xludf.DUMMYFUNCTION("""COMPUTED_VALUE"""),105322)</f>
        <v>105322</v>
      </c>
      <c r="C840" s="14">
        <f ca="1">IFERROR(__xludf.DUMMYFUNCTION("""COMPUTED_VALUE"""),0)</f>
        <v>0</v>
      </c>
      <c r="D840" s="12" t="str">
        <f ca="1">IFERROR(__xludf.DUMMYFUNCTION("""COMPUTED_VALUE"""),"松尾 尚樹")</f>
        <v>松尾 尚樹</v>
      </c>
    </row>
    <row r="841" spans="2:4" ht="13">
      <c r="B841" s="12">
        <f ca="1">IFERROR(__xludf.DUMMYFUNCTION("""COMPUTED_VALUE"""),105331)</f>
        <v>105331</v>
      </c>
      <c r="C841" s="14">
        <f ca="1">IFERROR(__xludf.DUMMYFUNCTION("""COMPUTED_VALUE"""),0)</f>
        <v>0</v>
      </c>
      <c r="D841" s="12" t="str">
        <f ca="1">IFERROR(__xludf.DUMMYFUNCTION("""COMPUTED_VALUE"""),"稲場 勇介")</f>
        <v>稲場 勇介</v>
      </c>
    </row>
    <row r="842" spans="2:4" ht="13">
      <c r="B842" s="12">
        <f ca="1">IFERROR(__xludf.DUMMYFUNCTION("""COMPUTED_VALUE"""),105363)</f>
        <v>105363</v>
      </c>
      <c r="C842" s="14">
        <f ca="1">IFERROR(__xludf.DUMMYFUNCTION("""COMPUTED_VALUE"""),6)</f>
        <v>6</v>
      </c>
      <c r="D842" s="12" t="str">
        <f ca="1">IFERROR(__xludf.DUMMYFUNCTION("""COMPUTED_VALUE"""),"松尾 尚樹")</f>
        <v>松尾 尚樹</v>
      </c>
    </row>
    <row r="843" spans="2:4" ht="13">
      <c r="B843" s="12">
        <f ca="1">IFERROR(__xludf.DUMMYFUNCTION("""COMPUTED_VALUE"""),105382)</f>
        <v>105382</v>
      </c>
      <c r="C843" s="14">
        <f ca="1">IFERROR(__xludf.DUMMYFUNCTION("""COMPUTED_VALUE"""),18)</f>
        <v>18</v>
      </c>
      <c r="D843" s="12" t="str">
        <f ca="1">IFERROR(__xludf.DUMMYFUNCTION("""COMPUTED_VALUE"""),"奥野 貴大")</f>
        <v>奥野 貴大</v>
      </c>
    </row>
    <row r="844" spans="2:4" ht="13">
      <c r="B844" s="12">
        <f ca="1">IFERROR(__xludf.DUMMYFUNCTION("""COMPUTED_VALUE"""),105385)</f>
        <v>105385</v>
      </c>
      <c r="C844" s="14">
        <f ca="1">IFERROR(__xludf.DUMMYFUNCTION("""COMPUTED_VALUE"""),9)</f>
        <v>9</v>
      </c>
      <c r="D844" s="12" t="str">
        <f ca="1">IFERROR(__xludf.DUMMYFUNCTION("""COMPUTED_VALUE"""),"松尾 尚樹")</f>
        <v>松尾 尚樹</v>
      </c>
    </row>
    <row r="845" spans="2:4" ht="13">
      <c r="B845" s="12">
        <f ca="1">IFERROR(__xludf.DUMMYFUNCTION("""COMPUTED_VALUE"""),105434)</f>
        <v>105434</v>
      </c>
      <c r="C845" s="14">
        <f ca="1">IFERROR(__xludf.DUMMYFUNCTION("""COMPUTED_VALUE"""),1)</f>
        <v>1</v>
      </c>
      <c r="D845" s="12" t="str">
        <f ca="1">IFERROR(__xludf.DUMMYFUNCTION("""COMPUTED_VALUE"""),"辻村 将大")</f>
        <v>辻村 将大</v>
      </c>
    </row>
    <row r="846" spans="2:4" ht="13">
      <c r="B846" s="12">
        <f ca="1">IFERROR(__xludf.DUMMYFUNCTION("""COMPUTED_VALUE"""),105441)</f>
        <v>105441</v>
      </c>
      <c r="C846" s="14">
        <f ca="1">IFERROR(__xludf.DUMMYFUNCTION("""COMPUTED_VALUE"""),6)</f>
        <v>6</v>
      </c>
      <c r="D846" s="12" t="str">
        <f ca="1">IFERROR(__xludf.DUMMYFUNCTION("""COMPUTED_VALUE"""),"稲場 勇介")</f>
        <v>稲場 勇介</v>
      </c>
    </row>
    <row r="847" spans="2:4" ht="13">
      <c r="B847" s="12">
        <f ca="1">IFERROR(__xludf.DUMMYFUNCTION("""COMPUTED_VALUE"""),105445)</f>
        <v>105445</v>
      </c>
      <c r="C847" s="14">
        <f ca="1">IFERROR(__xludf.DUMMYFUNCTION("""COMPUTED_VALUE"""),0)</f>
        <v>0</v>
      </c>
      <c r="D847" s="12" t="str">
        <f ca="1">IFERROR(__xludf.DUMMYFUNCTION("""COMPUTED_VALUE"""),"小関 麻起")</f>
        <v>小関 麻起</v>
      </c>
    </row>
    <row r="848" spans="2:4" ht="13">
      <c r="B848" s="12">
        <f ca="1">IFERROR(__xludf.DUMMYFUNCTION("""COMPUTED_VALUE"""),105461)</f>
        <v>105461</v>
      </c>
      <c r="C848" s="14">
        <f ca="1">IFERROR(__xludf.DUMMYFUNCTION("""COMPUTED_VALUE"""),84)</f>
        <v>84</v>
      </c>
      <c r="D848" s="12" t="str">
        <f ca="1">IFERROR(__xludf.DUMMYFUNCTION("""COMPUTED_VALUE"""),"稲場 勇介")</f>
        <v>稲場 勇介</v>
      </c>
    </row>
    <row r="849" spans="2:4" ht="13">
      <c r="B849" s="12">
        <f ca="1">IFERROR(__xludf.DUMMYFUNCTION("""COMPUTED_VALUE"""),105462)</f>
        <v>105462</v>
      </c>
      <c r="C849" s="14">
        <f ca="1">IFERROR(__xludf.DUMMYFUNCTION("""COMPUTED_VALUE"""),74)</f>
        <v>74</v>
      </c>
      <c r="D849" s="12" t="str">
        <f ca="1">IFERROR(__xludf.DUMMYFUNCTION("""COMPUTED_VALUE"""),"稲場 勇介")</f>
        <v>稲場 勇介</v>
      </c>
    </row>
    <row r="850" spans="2:4" ht="13">
      <c r="B850" s="12">
        <f ca="1">IFERROR(__xludf.DUMMYFUNCTION("""COMPUTED_VALUE"""),105463)</f>
        <v>105463</v>
      </c>
      <c r="C850" s="14">
        <f ca="1">IFERROR(__xludf.DUMMYFUNCTION("""COMPUTED_VALUE"""),77)</f>
        <v>77</v>
      </c>
      <c r="D850" s="12" t="str">
        <f ca="1">IFERROR(__xludf.DUMMYFUNCTION("""COMPUTED_VALUE"""),"稲場 勇介")</f>
        <v>稲場 勇介</v>
      </c>
    </row>
    <row r="851" spans="2:4" ht="13">
      <c r="B851" s="12">
        <f ca="1">IFERROR(__xludf.DUMMYFUNCTION("""COMPUTED_VALUE"""),105464)</f>
        <v>105464</v>
      </c>
      <c r="C851" s="14">
        <f ca="1">IFERROR(__xludf.DUMMYFUNCTION("""COMPUTED_VALUE"""),63)</f>
        <v>63</v>
      </c>
      <c r="D851" s="12" t="str">
        <f ca="1">IFERROR(__xludf.DUMMYFUNCTION("""COMPUTED_VALUE"""),"稲場 勇介")</f>
        <v>稲場 勇介</v>
      </c>
    </row>
    <row r="852" spans="2:4" ht="13">
      <c r="B852" s="12">
        <f ca="1">IFERROR(__xludf.DUMMYFUNCTION("""COMPUTED_VALUE"""),105466)</f>
        <v>105466</v>
      </c>
      <c r="C852" s="14">
        <f ca="1">IFERROR(__xludf.DUMMYFUNCTION("""COMPUTED_VALUE"""),3)</f>
        <v>3</v>
      </c>
      <c r="D852" s="12" t="str">
        <f ca="1">IFERROR(__xludf.DUMMYFUNCTION("""COMPUTED_VALUE"""),"菅野 ぎんが")</f>
        <v>菅野 ぎんが</v>
      </c>
    </row>
    <row r="853" spans="2:4" ht="13">
      <c r="B853" s="12">
        <f ca="1">IFERROR(__xludf.DUMMYFUNCTION("""COMPUTED_VALUE"""),105485)</f>
        <v>105485</v>
      </c>
      <c r="C853" s="14">
        <f ca="1">IFERROR(__xludf.DUMMYFUNCTION("""COMPUTED_VALUE"""),0)</f>
        <v>0</v>
      </c>
      <c r="D853" s="12" t="str">
        <f ca="1">IFERROR(__xludf.DUMMYFUNCTION("""COMPUTED_VALUE"""),"小関 麻起")</f>
        <v>小関 麻起</v>
      </c>
    </row>
    <row r="854" spans="2:4" ht="13">
      <c r="B854" s="12">
        <f ca="1">IFERROR(__xludf.DUMMYFUNCTION("""COMPUTED_VALUE"""),105491)</f>
        <v>105491</v>
      </c>
      <c r="C854" s="14">
        <f ca="1">IFERROR(__xludf.DUMMYFUNCTION("""COMPUTED_VALUE"""),9)</f>
        <v>9</v>
      </c>
      <c r="D854" s="12" t="str">
        <f ca="1">IFERROR(__xludf.DUMMYFUNCTION("""COMPUTED_VALUE"""),"小関 麻起")</f>
        <v>小関 麻起</v>
      </c>
    </row>
    <row r="855" spans="2:4" ht="13">
      <c r="B855" s="12">
        <f ca="1">IFERROR(__xludf.DUMMYFUNCTION("""COMPUTED_VALUE"""),105504)</f>
        <v>105504</v>
      </c>
      <c r="C855" s="14">
        <f ca="1">IFERROR(__xludf.DUMMYFUNCTION("""COMPUTED_VALUE"""),11)</f>
        <v>11</v>
      </c>
      <c r="D855" s="12" t="str">
        <f ca="1">IFERROR(__xludf.DUMMYFUNCTION("""COMPUTED_VALUE"""),"成嶋 夏未")</f>
        <v>成嶋 夏未</v>
      </c>
    </row>
    <row r="856" spans="2:4" ht="13">
      <c r="B856" s="12">
        <f ca="1">IFERROR(__xludf.DUMMYFUNCTION("""COMPUTED_VALUE"""),105512)</f>
        <v>105512</v>
      </c>
      <c r="C856" s="14">
        <f ca="1">IFERROR(__xludf.DUMMYFUNCTION("""COMPUTED_VALUE"""),72)</f>
        <v>72</v>
      </c>
      <c r="D856" s="12" t="str">
        <f ca="1">IFERROR(__xludf.DUMMYFUNCTION("""COMPUTED_VALUE"""),"桐山 勝気")</f>
        <v>桐山 勝気</v>
      </c>
    </row>
    <row r="857" spans="2:4" ht="13">
      <c r="B857" s="12">
        <f ca="1">IFERROR(__xludf.DUMMYFUNCTION("""COMPUTED_VALUE"""),105513)</f>
        <v>105513</v>
      </c>
      <c r="C857" s="14">
        <f ca="1">IFERROR(__xludf.DUMMYFUNCTION("""COMPUTED_VALUE"""),0)</f>
        <v>0</v>
      </c>
      <c r="D857" s="12" t="str">
        <f ca="1">IFERROR(__xludf.DUMMYFUNCTION("""COMPUTED_VALUE"""),"菅野 ぎんが")</f>
        <v>菅野 ぎんが</v>
      </c>
    </row>
    <row r="858" spans="2:4" ht="13">
      <c r="B858" s="12">
        <f ca="1">IFERROR(__xludf.DUMMYFUNCTION("""COMPUTED_VALUE"""),105517)</f>
        <v>105517</v>
      </c>
      <c r="C858" s="14">
        <f ca="1">IFERROR(__xludf.DUMMYFUNCTION("""COMPUTED_VALUE"""),0)</f>
        <v>0</v>
      </c>
      <c r="D858" s="12" t="str">
        <f ca="1">IFERROR(__xludf.DUMMYFUNCTION("""COMPUTED_VALUE"""),"老田 純輝")</f>
        <v>老田 純輝</v>
      </c>
    </row>
    <row r="859" spans="2:4" ht="13">
      <c r="B859" s="12">
        <f ca="1">IFERROR(__xludf.DUMMYFUNCTION("""COMPUTED_VALUE"""),105518)</f>
        <v>105518</v>
      </c>
      <c r="C859" s="14">
        <f ca="1">IFERROR(__xludf.DUMMYFUNCTION("""COMPUTED_VALUE"""),14)</f>
        <v>14</v>
      </c>
      <c r="D859" s="12" t="str">
        <f ca="1">IFERROR(__xludf.DUMMYFUNCTION("""COMPUTED_VALUE"""),"老田 純輝")</f>
        <v>老田 純輝</v>
      </c>
    </row>
    <row r="860" spans="2:4" ht="13">
      <c r="B860" s="12">
        <f ca="1">IFERROR(__xludf.DUMMYFUNCTION("""COMPUTED_VALUE"""),105528)</f>
        <v>105528</v>
      </c>
      <c r="C860" s="14">
        <f ca="1">IFERROR(__xludf.DUMMYFUNCTION("""COMPUTED_VALUE"""),0)</f>
        <v>0</v>
      </c>
      <c r="D860" s="12" t="str">
        <f ca="1">IFERROR(__xludf.DUMMYFUNCTION("""COMPUTED_VALUE"""),"稲場 勇介")</f>
        <v>稲場 勇介</v>
      </c>
    </row>
    <row r="861" spans="2:4" ht="13">
      <c r="B861" s="12">
        <f ca="1">IFERROR(__xludf.DUMMYFUNCTION("""COMPUTED_VALUE"""),105543)</f>
        <v>105543</v>
      </c>
      <c r="C861" s="14">
        <f ca="1">IFERROR(__xludf.DUMMYFUNCTION("""COMPUTED_VALUE"""),2)</f>
        <v>2</v>
      </c>
      <c r="D861" s="12" t="str">
        <f ca="1">IFERROR(__xludf.DUMMYFUNCTION("""COMPUTED_VALUE"""),"長谷川 陸朗")</f>
        <v>長谷川 陸朗</v>
      </c>
    </row>
    <row r="862" spans="2:4" ht="13">
      <c r="B862" s="12">
        <f ca="1">IFERROR(__xludf.DUMMYFUNCTION("""COMPUTED_VALUE"""),105582)</f>
        <v>105582</v>
      </c>
      <c r="C862" s="14">
        <f ca="1">IFERROR(__xludf.DUMMYFUNCTION("""COMPUTED_VALUE"""),17)</f>
        <v>17</v>
      </c>
      <c r="D862" s="12" t="str">
        <f ca="1">IFERROR(__xludf.DUMMYFUNCTION("""COMPUTED_VALUE"""),"老田 純輝")</f>
        <v>老田 純輝</v>
      </c>
    </row>
    <row r="863" spans="2:4" ht="13">
      <c r="B863" s="12">
        <f ca="1">IFERROR(__xludf.DUMMYFUNCTION("""COMPUTED_VALUE"""),105596)</f>
        <v>105596</v>
      </c>
      <c r="C863" s="14">
        <f ca="1">IFERROR(__xludf.DUMMYFUNCTION("""COMPUTED_VALUE"""),1)</f>
        <v>1</v>
      </c>
      <c r="D863" s="12" t="str">
        <f ca="1">IFERROR(__xludf.DUMMYFUNCTION("""COMPUTED_VALUE"""),"松尾 尚樹")</f>
        <v>松尾 尚樹</v>
      </c>
    </row>
    <row r="864" spans="2:4" ht="13">
      <c r="B864" s="12">
        <f ca="1">IFERROR(__xludf.DUMMYFUNCTION("""COMPUTED_VALUE"""),105623)</f>
        <v>105623</v>
      </c>
      <c r="C864" s="14">
        <f ca="1">IFERROR(__xludf.DUMMYFUNCTION("""COMPUTED_VALUE"""),6)</f>
        <v>6</v>
      </c>
      <c r="D864" s="12" t="str">
        <f ca="1">IFERROR(__xludf.DUMMYFUNCTION("""COMPUTED_VALUE"""),"栗原 大武")</f>
        <v>栗原 大武</v>
      </c>
    </row>
    <row r="865" spans="2:4" ht="13">
      <c r="B865" s="12">
        <f ca="1">IFERROR(__xludf.DUMMYFUNCTION("""COMPUTED_VALUE"""),105627)</f>
        <v>105627</v>
      </c>
      <c r="C865" s="14">
        <f ca="1">IFERROR(__xludf.DUMMYFUNCTION("""COMPUTED_VALUE"""),78)</f>
        <v>78</v>
      </c>
      <c r="D865" s="12" t="str">
        <f ca="1">IFERROR(__xludf.DUMMYFUNCTION("""COMPUTED_VALUE"""),"辻村 将大")</f>
        <v>辻村 将大</v>
      </c>
    </row>
    <row r="866" spans="2:4" ht="13">
      <c r="B866" s="12">
        <f ca="1">IFERROR(__xludf.DUMMYFUNCTION("""COMPUTED_VALUE"""),105648)</f>
        <v>105648</v>
      </c>
      <c r="C866" s="14">
        <f ca="1">IFERROR(__xludf.DUMMYFUNCTION("""COMPUTED_VALUE"""),0)</f>
        <v>0</v>
      </c>
      <c r="D866" s="12" t="str">
        <f ca="1">IFERROR(__xludf.DUMMYFUNCTION("""COMPUTED_VALUE"""),"森 光智")</f>
        <v>森 光智</v>
      </c>
    </row>
    <row r="867" spans="2:4" ht="13">
      <c r="B867" s="12">
        <f ca="1">IFERROR(__xludf.DUMMYFUNCTION("""COMPUTED_VALUE"""),105672)</f>
        <v>105672</v>
      </c>
      <c r="C867" s="14">
        <f ca="1">IFERROR(__xludf.DUMMYFUNCTION("""COMPUTED_VALUE"""),3)</f>
        <v>3</v>
      </c>
      <c r="D867" s="12" t="str">
        <f ca="1">IFERROR(__xludf.DUMMYFUNCTION("""COMPUTED_VALUE"""),"菅野 ぎんが")</f>
        <v>菅野 ぎんが</v>
      </c>
    </row>
    <row r="868" spans="2:4" ht="13">
      <c r="B868" s="12">
        <f ca="1">IFERROR(__xludf.DUMMYFUNCTION("""COMPUTED_VALUE"""),105681)</f>
        <v>105681</v>
      </c>
      <c r="C868" s="14">
        <f ca="1">IFERROR(__xludf.DUMMYFUNCTION("""COMPUTED_VALUE"""),0)</f>
        <v>0</v>
      </c>
      <c r="D868" s="12" t="str">
        <f ca="1">IFERROR(__xludf.DUMMYFUNCTION("""COMPUTED_VALUE"""),"松尾 尚樹")</f>
        <v>松尾 尚樹</v>
      </c>
    </row>
    <row r="869" spans="2:4" ht="13">
      <c r="B869" s="12">
        <f ca="1">IFERROR(__xludf.DUMMYFUNCTION("""COMPUTED_VALUE"""),105714)</f>
        <v>105714</v>
      </c>
      <c r="C869" s="14">
        <f ca="1">IFERROR(__xludf.DUMMYFUNCTION("""COMPUTED_VALUE"""),8)</f>
        <v>8</v>
      </c>
      <c r="D869" s="12" t="str">
        <f ca="1">IFERROR(__xludf.DUMMYFUNCTION("""COMPUTED_VALUE"""),"大木 優香")</f>
        <v>大木 優香</v>
      </c>
    </row>
    <row r="870" spans="2:4" ht="13">
      <c r="B870" s="12">
        <f ca="1">IFERROR(__xludf.DUMMYFUNCTION("""COMPUTED_VALUE"""),105715)</f>
        <v>105715</v>
      </c>
      <c r="C870" s="14">
        <f ca="1">IFERROR(__xludf.DUMMYFUNCTION("""COMPUTED_VALUE"""),5)</f>
        <v>5</v>
      </c>
      <c r="D870" s="12" t="str">
        <f ca="1">IFERROR(__xludf.DUMMYFUNCTION("""COMPUTED_VALUE"""),"大木 優香")</f>
        <v>大木 優香</v>
      </c>
    </row>
    <row r="871" spans="2:4" ht="13">
      <c r="B871" s="12">
        <f ca="1">IFERROR(__xludf.DUMMYFUNCTION("""COMPUTED_VALUE"""),105721)</f>
        <v>105721</v>
      </c>
      <c r="C871" s="14">
        <f ca="1">IFERROR(__xludf.DUMMYFUNCTION("""COMPUTED_VALUE"""),0)</f>
        <v>0</v>
      </c>
      <c r="D871" s="12" t="str">
        <f ca="1">IFERROR(__xludf.DUMMYFUNCTION("""COMPUTED_VALUE"""),"菅野 ぎんが")</f>
        <v>菅野 ぎんが</v>
      </c>
    </row>
    <row r="872" spans="2:4" ht="13">
      <c r="B872" s="12">
        <f ca="1">IFERROR(__xludf.DUMMYFUNCTION("""COMPUTED_VALUE"""),105747)</f>
        <v>105747</v>
      </c>
      <c r="C872" s="14">
        <f ca="1">IFERROR(__xludf.DUMMYFUNCTION("""COMPUTED_VALUE"""),9)</f>
        <v>9</v>
      </c>
      <c r="D872" s="12" t="str">
        <f ca="1">IFERROR(__xludf.DUMMYFUNCTION("""COMPUTED_VALUE"""),"稲場 勇介")</f>
        <v>稲場 勇介</v>
      </c>
    </row>
    <row r="873" spans="2:4" ht="13">
      <c r="B873" s="12">
        <f ca="1">IFERROR(__xludf.DUMMYFUNCTION("""COMPUTED_VALUE"""),105751)</f>
        <v>105751</v>
      </c>
      <c r="C873" s="14">
        <f ca="1">IFERROR(__xludf.DUMMYFUNCTION("""COMPUTED_VALUE"""),0)</f>
        <v>0</v>
      </c>
      <c r="D873" s="12" t="str">
        <f ca="1">IFERROR(__xludf.DUMMYFUNCTION("""COMPUTED_VALUE"""),"荻曽 克輝")</f>
        <v>荻曽 克輝</v>
      </c>
    </row>
    <row r="874" spans="2:4" ht="13">
      <c r="B874" s="12">
        <f ca="1">IFERROR(__xludf.DUMMYFUNCTION("""COMPUTED_VALUE"""),105756)</f>
        <v>105756</v>
      </c>
      <c r="C874" s="14">
        <f ca="1">IFERROR(__xludf.DUMMYFUNCTION("""COMPUTED_VALUE"""),0)</f>
        <v>0</v>
      </c>
      <c r="D874" s="12" t="str">
        <f ca="1">IFERROR(__xludf.DUMMYFUNCTION("""COMPUTED_VALUE"""),"松尾 尚樹")</f>
        <v>松尾 尚樹</v>
      </c>
    </row>
    <row r="875" spans="2:4" ht="13">
      <c r="B875" s="12">
        <f ca="1">IFERROR(__xludf.DUMMYFUNCTION("""COMPUTED_VALUE"""),105757)</f>
        <v>105757</v>
      </c>
      <c r="C875" s="14">
        <f ca="1">IFERROR(__xludf.DUMMYFUNCTION("""COMPUTED_VALUE"""),34)</f>
        <v>34</v>
      </c>
      <c r="D875" s="12" t="str">
        <f ca="1">IFERROR(__xludf.DUMMYFUNCTION("""COMPUTED_VALUE"""),"奥野 貴大")</f>
        <v>奥野 貴大</v>
      </c>
    </row>
    <row r="876" spans="2:4" ht="13">
      <c r="B876" s="12">
        <f ca="1">IFERROR(__xludf.DUMMYFUNCTION("""COMPUTED_VALUE"""),105764)</f>
        <v>105764</v>
      </c>
      <c r="C876" s="14">
        <f ca="1">IFERROR(__xludf.DUMMYFUNCTION("""COMPUTED_VALUE"""),16)</f>
        <v>16</v>
      </c>
      <c r="D876" s="12" t="str">
        <f ca="1">IFERROR(__xludf.DUMMYFUNCTION("""COMPUTED_VALUE"""),"稲場 勇介")</f>
        <v>稲場 勇介</v>
      </c>
    </row>
    <row r="877" spans="2:4" ht="13">
      <c r="B877" s="12">
        <f ca="1">IFERROR(__xludf.DUMMYFUNCTION("""COMPUTED_VALUE"""),105770)</f>
        <v>105770</v>
      </c>
      <c r="C877" s="14">
        <f ca="1">IFERROR(__xludf.DUMMYFUNCTION("""COMPUTED_VALUE"""),0)</f>
        <v>0</v>
      </c>
      <c r="D877" s="12" t="str">
        <f ca="1">IFERROR(__xludf.DUMMYFUNCTION("""COMPUTED_VALUE"""),"稲場 勇介")</f>
        <v>稲場 勇介</v>
      </c>
    </row>
    <row r="878" spans="2:4" ht="13">
      <c r="B878" s="12">
        <f ca="1">IFERROR(__xludf.DUMMYFUNCTION("""COMPUTED_VALUE"""),105779)</f>
        <v>105779</v>
      </c>
      <c r="C878" s="14">
        <f ca="1">IFERROR(__xludf.DUMMYFUNCTION("""COMPUTED_VALUE"""),49)</f>
        <v>49</v>
      </c>
      <c r="D878" s="12" t="str">
        <f ca="1">IFERROR(__xludf.DUMMYFUNCTION("""COMPUTED_VALUE"""),"柿崎 晃司")</f>
        <v>柿崎 晃司</v>
      </c>
    </row>
    <row r="879" spans="2:4" ht="13">
      <c r="B879" s="12">
        <f ca="1">IFERROR(__xludf.DUMMYFUNCTION("""COMPUTED_VALUE"""),105792)</f>
        <v>105792</v>
      </c>
      <c r="C879" s="14">
        <f ca="1">IFERROR(__xludf.DUMMYFUNCTION("""COMPUTED_VALUE"""),0)</f>
        <v>0</v>
      </c>
      <c r="D879" s="12" t="str">
        <f ca="1">IFERROR(__xludf.DUMMYFUNCTION("""COMPUTED_VALUE"""),"成嶋 夏未")</f>
        <v>成嶋 夏未</v>
      </c>
    </row>
    <row r="880" spans="2:4" ht="13">
      <c r="B880" s="12">
        <f ca="1">IFERROR(__xludf.DUMMYFUNCTION("""COMPUTED_VALUE"""),105794)</f>
        <v>105794</v>
      </c>
      <c r="C880" s="14">
        <f ca="1">IFERROR(__xludf.DUMMYFUNCTION("""COMPUTED_VALUE"""),0)</f>
        <v>0</v>
      </c>
      <c r="D880" s="12" t="str">
        <f ca="1">IFERROR(__xludf.DUMMYFUNCTION("""COMPUTED_VALUE"""),"芳賀 亮輔")</f>
        <v>芳賀 亮輔</v>
      </c>
    </row>
    <row r="881" spans="2:4" ht="13">
      <c r="B881" s="12">
        <f ca="1">IFERROR(__xludf.DUMMYFUNCTION("""COMPUTED_VALUE"""),105795)</f>
        <v>105795</v>
      </c>
      <c r="C881" s="14">
        <f ca="1">IFERROR(__xludf.DUMMYFUNCTION("""COMPUTED_VALUE"""),0)</f>
        <v>0</v>
      </c>
      <c r="D881" s="12" t="str">
        <f ca="1">IFERROR(__xludf.DUMMYFUNCTION("""COMPUTED_VALUE"""),"松尾 尚樹")</f>
        <v>松尾 尚樹</v>
      </c>
    </row>
    <row r="882" spans="2:4" ht="13">
      <c r="B882" s="12">
        <f ca="1">IFERROR(__xludf.DUMMYFUNCTION("""COMPUTED_VALUE"""),105798)</f>
        <v>105798</v>
      </c>
      <c r="C882" s="14">
        <f ca="1">IFERROR(__xludf.DUMMYFUNCTION("""COMPUTED_VALUE"""),6)</f>
        <v>6</v>
      </c>
      <c r="D882" s="12" t="str">
        <f ca="1">IFERROR(__xludf.DUMMYFUNCTION("""COMPUTED_VALUE"""),"松尾 尚樹")</f>
        <v>松尾 尚樹</v>
      </c>
    </row>
    <row r="883" spans="2:4" ht="13">
      <c r="B883" s="12">
        <f ca="1">IFERROR(__xludf.DUMMYFUNCTION("""COMPUTED_VALUE"""),105801)</f>
        <v>105801</v>
      </c>
      <c r="C883" s="14">
        <f ca="1">IFERROR(__xludf.DUMMYFUNCTION("""COMPUTED_VALUE"""),3)</f>
        <v>3</v>
      </c>
      <c r="D883" s="12" t="str">
        <f ca="1">IFERROR(__xludf.DUMMYFUNCTION("""COMPUTED_VALUE"""),"小関 麻起")</f>
        <v>小関 麻起</v>
      </c>
    </row>
    <row r="884" spans="2:4" ht="13">
      <c r="B884" s="12">
        <f ca="1">IFERROR(__xludf.DUMMYFUNCTION("""COMPUTED_VALUE"""),105812)</f>
        <v>105812</v>
      </c>
      <c r="C884" s="14">
        <f ca="1">IFERROR(__xludf.DUMMYFUNCTION("""COMPUTED_VALUE"""),3)</f>
        <v>3</v>
      </c>
      <c r="D884" s="12" t="str">
        <f ca="1">IFERROR(__xludf.DUMMYFUNCTION("""COMPUTED_VALUE"""),"菅野 ぎんが")</f>
        <v>菅野 ぎんが</v>
      </c>
    </row>
    <row r="885" spans="2:4" ht="13">
      <c r="B885" s="12">
        <f ca="1">IFERROR(__xludf.DUMMYFUNCTION("""COMPUTED_VALUE"""),105817)</f>
        <v>105817</v>
      </c>
      <c r="C885" s="14">
        <f ca="1">IFERROR(__xludf.DUMMYFUNCTION("""COMPUTED_VALUE"""),0)</f>
        <v>0</v>
      </c>
      <c r="D885" s="12" t="str">
        <f ca="1">IFERROR(__xludf.DUMMYFUNCTION("""COMPUTED_VALUE"""),"稲場 勇介")</f>
        <v>稲場 勇介</v>
      </c>
    </row>
    <row r="886" spans="2:4" ht="13">
      <c r="B886" s="12">
        <f ca="1">IFERROR(__xludf.DUMMYFUNCTION("""COMPUTED_VALUE"""),105822)</f>
        <v>105822</v>
      </c>
      <c r="C886" s="14">
        <f ca="1">IFERROR(__xludf.DUMMYFUNCTION("""COMPUTED_VALUE"""),0)</f>
        <v>0</v>
      </c>
      <c r="D886" s="12" t="str">
        <f ca="1">IFERROR(__xludf.DUMMYFUNCTION("""COMPUTED_VALUE"""),"小川 純")</f>
        <v>小川 純</v>
      </c>
    </row>
    <row r="887" spans="2:4" ht="13">
      <c r="B887" s="12">
        <f ca="1">IFERROR(__xludf.DUMMYFUNCTION("""COMPUTED_VALUE"""),105829)</f>
        <v>105829</v>
      </c>
      <c r="C887" s="14">
        <f ca="1">IFERROR(__xludf.DUMMYFUNCTION("""COMPUTED_VALUE"""),53)</f>
        <v>53</v>
      </c>
      <c r="D887" s="12" t="str">
        <f ca="1">IFERROR(__xludf.DUMMYFUNCTION("""COMPUTED_VALUE"""),"田嶋 将太")</f>
        <v>田嶋 将太</v>
      </c>
    </row>
    <row r="888" spans="2:4" ht="13">
      <c r="B888" s="12">
        <f ca="1">IFERROR(__xludf.DUMMYFUNCTION("""COMPUTED_VALUE"""),105836)</f>
        <v>105836</v>
      </c>
      <c r="C888" s="14">
        <f ca="1">IFERROR(__xludf.DUMMYFUNCTION("""COMPUTED_VALUE"""),0)</f>
        <v>0</v>
      </c>
      <c r="D888" s="12" t="str">
        <f ca="1">IFERROR(__xludf.DUMMYFUNCTION("""COMPUTED_VALUE"""),"芳賀 亮輔")</f>
        <v>芳賀 亮輔</v>
      </c>
    </row>
    <row r="889" spans="2:4" ht="13">
      <c r="B889" s="12">
        <f ca="1">IFERROR(__xludf.DUMMYFUNCTION("""COMPUTED_VALUE"""),105840)</f>
        <v>105840</v>
      </c>
      <c r="C889" s="14">
        <f ca="1">IFERROR(__xludf.DUMMYFUNCTION("""COMPUTED_VALUE"""),6)</f>
        <v>6</v>
      </c>
      <c r="D889" s="12" t="str">
        <f ca="1">IFERROR(__xludf.DUMMYFUNCTION("""COMPUTED_VALUE"""),"稲場 勇介")</f>
        <v>稲場 勇介</v>
      </c>
    </row>
    <row r="890" spans="2:4" ht="13">
      <c r="B890" s="12">
        <f ca="1">IFERROR(__xludf.DUMMYFUNCTION("""COMPUTED_VALUE"""),105856)</f>
        <v>105856</v>
      </c>
      <c r="C890" s="14">
        <f ca="1">IFERROR(__xludf.DUMMYFUNCTION("""COMPUTED_VALUE"""),8)</f>
        <v>8</v>
      </c>
      <c r="D890" s="12" t="str">
        <f ca="1">IFERROR(__xludf.DUMMYFUNCTION("""COMPUTED_VALUE"""),"長谷川 陸朗")</f>
        <v>長谷川 陸朗</v>
      </c>
    </row>
    <row r="891" spans="2:4" ht="13">
      <c r="B891" s="12">
        <f ca="1">IFERROR(__xludf.DUMMYFUNCTION("""COMPUTED_VALUE"""),105858)</f>
        <v>105858</v>
      </c>
      <c r="C891" s="14">
        <f ca="1">IFERROR(__xludf.DUMMYFUNCTION("""COMPUTED_VALUE"""),20)</f>
        <v>20</v>
      </c>
      <c r="D891" s="12" t="str">
        <f ca="1">IFERROR(__xludf.DUMMYFUNCTION("""COMPUTED_VALUE"""),"奥野 貴大")</f>
        <v>奥野 貴大</v>
      </c>
    </row>
    <row r="892" spans="2:4" ht="13">
      <c r="B892" s="12">
        <f ca="1">IFERROR(__xludf.DUMMYFUNCTION("""COMPUTED_VALUE"""),105875)</f>
        <v>105875</v>
      </c>
      <c r="C892" s="14">
        <f ca="1">IFERROR(__xludf.DUMMYFUNCTION("""COMPUTED_VALUE"""),13)</f>
        <v>13</v>
      </c>
      <c r="D892" s="12" t="str">
        <f ca="1">IFERROR(__xludf.DUMMYFUNCTION("""COMPUTED_VALUE"""),"小関 麻起")</f>
        <v>小関 麻起</v>
      </c>
    </row>
    <row r="893" spans="2:4" ht="13">
      <c r="B893" s="12">
        <f ca="1">IFERROR(__xludf.DUMMYFUNCTION("""COMPUTED_VALUE"""),105880)</f>
        <v>105880</v>
      </c>
      <c r="C893" s="14">
        <f ca="1">IFERROR(__xludf.DUMMYFUNCTION("""COMPUTED_VALUE"""),0)</f>
        <v>0</v>
      </c>
      <c r="D893" s="12" t="str">
        <f ca="1">IFERROR(__xludf.DUMMYFUNCTION("""COMPUTED_VALUE"""),"稲場 勇介")</f>
        <v>稲場 勇介</v>
      </c>
    </row>
    <row r="894" spans="2:4" ht="13">
      <c r="B894" s="12">
        <f ca="1">IFERROR(__xludf.DUMMYFUNCTION("""COMPUTED_VALUE"""),105883)</f>
        <v>105883</v>
      </c>
      <c r="C894" s="14">
        <f ca="1">IFERROR(__xludf.DUMMYFUNCTION("""COMPUTED_VALUE"""),0)</f>
        <v>0</v>
      </c>
      <c r="D894" s="12" t="str">
        <f ca="1">IFERROR(__xludf.DUMMYFUNCTION("""COMPUTED_VALUE"""),"柿崎 晃司")</f>
        <v>柿崎 晃司</v>
      </c>
    </row>
    <row r="895" spans="2:4" ht="13">
      <c r="B895" s="12">
        <f ca="1">IFERROR(__xludf.DUMMYFUNCTION("""COMPUTED_VALUE"""),105901)</f>
        <v>105901</v>
      </c>
      <c r="C895" s="14">
        <f ca="1">IFERROR(__xludf.DUMMYFUNCTION("""COMPUTED_VALUE"""),0)</f>
        <v>0</v>
      </c>
      <c r="D895" s="12" t="str">
        <f ca="1">IFERROR(__xludf.DUMMYFUNCTION("""COMPUTED_VALUE"""),"辻村 将大")</f>
        <v>辻村 将大</v>
      </c>
    </row>
    <row r="896" spans="2:4" ht="13">
      <c r="B896" s="12">
        <f ca="1">IFERROR(__xludf.DUMMYFUNCTION("""COMPUTED_VALUE"""),105912)</f>
        <v>105912</v>
      </c>
      <c r="C896" s="14">
        <f ca="1">IFERROR(__xludf.DUMMYFUNCTION("""COMPUTED_VALUE"""),2)</f>
        <v>2</v>
      </c>
      <c r="D896" s="12" t="str">
        <f ca="1">IFERROR(__xludf.DUMMYFUNCTION("""COMPUTED_VALUE"""),"川島 幹也")</f>
        <v>川島 幹也</v>
      </c>
    </row>
    <row r="897" spans="2:4" ht="13">
      <c r="B897" s="12">
        <f ca="1">IFERROR(__xludf.DUMMYFUNCTION("""COMPUTED_VALUE"""),105949)</f>
        <v>105949</v>
      </c>
      <c r="C897" s="14">
        <f ca="1">IFERROR(__xludf.DUMMYFUNCTION("""COMPUTED_VALUE"""),1)</f>
        <v>1</v>
      </c>
      <c r="D897" s="12" t="str">
        <f ca="1">IFERROR(__xludf.DUMMYFUNCTION("""COMPUTED_VALUE"""),"辻村 将大")</f>
        <v>辻村 将大</v>
      </c>
    </row>
    <row r="898" spans="2:4" ht="13">
      <c r="B898" s="12">
        <f ca="1">IFERROR(__xludf.DUMMYFUNCTION("""COMPUTED_VALUE"""),105977)</f>
        <v>105977</v>
      </c>
      <c r="C898" s="14">
        <f ca="1">IFERROR(__xludf.DUMMYFUNCTION("""COMPUTED_VALUE"""),0)</f>
        <v>0</v>
      </c>
      <c r="D898" s="12" t="str">
        <f ca="1">IFERROR(__xludf.DUMMYFUNCTION("""COMPUTED_VALUE"""),"松尾 尚樹")</f>
        <v>松尾 尚樹</v>
      </c>
    </row>
    <row r="899" spans="2:4" ht="13">
      <c r="B899" s="12">
        <f ca="1">IFERROR(__xludf.DUMMYFUNCTION("""COMPUTED_VALUE"""),105987)</f>
        <v>105987</v>
      </c>
      <c r="C899" s="14">
        <f ca="1">IFERROR(__xludf.DUMMYFUNCTION("""COMPUTED_VALUE"""),0)</f>
        <v>0</v>
      </c>
      <c r="D899" s="12" t="str">
        <f ca="1">IFERROR(__xludf.DUMMYFUNCTION("""COMPUTED_VALUE"""),"稲場 勇介")</f>
        <v>稲場 勇介</v>
      </c>
    </row>
    <row r="900" spans="2:4" ht="13">
      <c r="B900" s="12">
        <f ca="1">IFERROR(__xludf.DUMMYFUNCTION("""COMPUTED_VALUE"""),105997)</f>
        <v>105997</v>
      </c>
      <c r="C900" s="14">
        <f ca="1">IFERROR(__xludf.DUMMYFUNCTION("""COMPUTED_VALUE"""),2)</f>
        <v>2</v>
      </c>
      <c r="D900" s="12" t="str">
        <f ca="1">IFERROR(__xludf.DUMMYFUNCTION("""COMPUTED_VALUE"""),"柿崎 晃司")</f>
        <v>柿崎 晃司</v>
      </c>
    </row>
    <row r="901" spans="2:4" ht="13">
      <c r="B901" s="12">
        <f ca="1">IFERROR(__xludf.DUMMYFUNCTION("""COMPUTED_VALUE"""),105998)</f>
        <v>105998</v>
      </c>
      <c r="C901" s="14">
        <f ca="1">IFERROR(__xludf.DUMMYFUNCTION("""COMPUTED_VALUE"""),1)</f>
        <v>1</v>
      </c>
      <c r="D901" s="12" t="str">
        <f ca="1">IFERROR(__xludf.DUMMYFUNCTION("""COMPUTED_VALUE"""),"柿崎 晃司")</f>
        <v>柿崎 晃司</v>
      </c>
    </row>
    <row r="902" spans="2:4" ht="13">
      <c r="B902" s="12">
        <f ca="1">IFERROR(__xludf.DUMMYFUNCTION("""COMPUTED_VALUE"""),106000)</f>
        <v>106000</v>
      </c>
      <c r="C902" s="14">
        <f ca="1">IFERROR(__xludf.DUMMYFUNCTION("""COMPUTED_VALUE"""),41)</f>
        <v>41</v>
      </c>
      <c r="D902" s="12" t="str">
        <f ca="1">IFERROR(__xludf.DUMMYFUNCTION("""COMPUTED_VALUE"""),"老田 純輝")</f>
        <v>老田 純輝</v>
      </c>
    </row>
    <row r="903" spans="2:4" ht="13">
      <c r="B903" s="12">
        <f ca="1">IFERROR(__xludf.DUMMYFUNCTION("""COMPUTED_VALUE"""),106001)</f>
        <v>106001</v>
      </c>
      <c r="C903" s="14">
        <f ca="1">IFERROR(__xludf.DUMMYFUNCTION("""COMPUTED_VALUE"""),0)</f>
        <v>0</v>
      </c>
      <c r="D903" s="12" t="str">
        <f ca="1">IFERROR(__xludf.DUMMYFUNCTION("""COMPUTED_VALUE"""),"成嶋 夏未")</f>
        <v>成嶋 夏未</v>
      </c>
    </row>
    <row r="904" spans="2:4" ht="13">
      <c r="B904" s="12">
        <f ca="1">IFERROR(__xludf.DUMMYFUNCTION("""COMPUTED_VALUE"""),106010)</f>
        <v>106010</v>
      </c>
      <c r="C904" s="14">
        <f ca="1">IFERROR(__xludf.DUMMYFUNCTION("""COMPUTED_VALUE"""),3)</f>
        <v>3</v>
      </c>
      <c r="D904" s="12" t="str">
        <f ca="1">IFERROR(__xludf.DUMMYFUNCTION("""COMPUTED_VALUE"""),"柿崎 晃司")</f>
        <v>柿崎 晃司</v>
      </c>
    </row>
    <row r="905" spans="2:4" ht="13">
      <c r="B905" s="12">
        <f ca="1">IFERROR(__xludf.DUMMYFUNCTION("""COMPUTED_VALUE"""),106011)</f>
        <v>106011</v>
      </c>
      <c r="C905" s="14">
        <f ca="1">IFERROR(__xludf.DUMMYFUNCTION("""COMPUTED_VALUE"""),36)</f>
        <v>36</v>
      </c>
      <c r="D905" s="12" t="str">
        <f ca="1">IFERROR(__xludf.DUMMYFUNCTION("""COMPUTED_VALUE"""),"奥野 貴大")</f>
        <v>奥野 貴大</v>
      </c>
    </row>
    <row r="906" spans="2:4" ht="13">
      <c r="B906" s="12">
        <f ca="1">IFERROR(__xludf.DUMMYFUNCTION("""COMPUTED_VALUE"""),106013)</f>
        <v>106013</v>
      </c>
      <c r="C906" s="14">
        <f ca="1">IFERROR(__xludf.DUMMYFUNCTION("""COMPUTED_VALUE"""),0)</f>
        <v>0</v>
      </c>
      <c r="D906" s="12" t="str">
        <f ca="1">IFERROR(__xludf.DUMMYFUNCTION("""COMPUTED_VALUE"""),"稲場 勇介")</f>
        <v>稲場 勇介</v>
      </c>
    </row>
    <row r="907" spans="2:4" ht="13">
      <c r="B907" s="12">
        <f ca="1">IFERROR(__xludf.DUMMYFUNCTION("""COMPUTED_VALUE"""),106016)</f>
        <v>106016</v>
      </c>
      <c r="C907" s="14">
        <f ca="1">IFERROR(__xludf.DUMMYFUNCTION("""COMPUTED_VALUE"""),0)</f>
        <v>0</v>
      </c>
      <c r="D907" s="12" t="str">
        <f ca="1">IFERROR(__xludf.DUMMYFUNCTION("""COMPUTED_VALUE"""),"菅野 ぎんが")</f>
        <v>菅野 ぎんが</v>
      </c>
    </row>
    <row r="908" spans="2:4" ht="13">
      <c r="B908" s="12">
        <f ca="1">IFERROR(__xludf.DUMMYFUNCTION("""COMPUTED_VALUE"""),106018)</f>
        <v>106018</v>
      </c>
      <c r="C908" s="14">
        <f ca="1">IFERROR(__xludf.DUMMYFUNCTION("""COMPUTED_VALUE"""),37)</f>
        <v>37</v>
      </c>
      <c r="D908" s="12" t="str">
        <f ca="1">IFERROR(__xludf.DUMMYFUNCTION("""COMPUTED_VALUE"""),"稲場 勇介")</f>
        <v>稲場 勇介</v>
      </c>
    </row>
    <row r="909" spans="2:4" ht="13">
      <c r="B909" s="12">
        <f ca="1">IFERROR(__xludf.DUMMYFUNCTION("""COMPUTED_VALUE"""),106024)</f>
        <v>106024</v>
      </c>
      <c r="C909" s="14">
        <f ca="1">IFERROR(__xludf.DUMMYFUNCTION("""COMPUTED_VALUE"""),1)</f>
        <v>1</v>
      </c>
      <c r="D909" s="12" t="str">
        <f ca="1">IFERROR(__xludf.DUMMYFUNCTION("""COMPUTED_VALUE"""),"老田 純輝")</f>
        <v>老田 純輝</v>
      </c>
    </row>
    <row r="910" spans="2:4" ht="13">
      <c r="B910" s="12">
        <f ca="1">IFERROR(__xludf.DUMMYFUNCTION("""COMPUTED_VALUE"""),106026)</f>
        <v>106026</v>
      </c>
      <c r="C910" s="14">
        <f ca="1">IFERROR(__xludf.DUMMYFUNCTION("""COMPUTED_VALUE"""),13)</f>
        <v>13</v>
      </c>
      <c r="D910" s="12" t="str">
        <f ca="1">IFERROR(__xludf.DUMMYFUNCTION("""COMPUTED_VALUE"""),"村上 浩一朗")</f>
        <v>村上 浩一朗</v>
      </c>
    </row>
    <row r="911" spans="2:4" ht="13">
      <c r="B911" s="12">
        <f ca="1">IFERROR(__xludf.DUMMYFUNCTION("""COMPUTED_VALUE"""),106037)</f>
        <v>106037</v>
      </c>
      <c r="C911" s="14">
        <f ca="1">IFERROR(__xludf.DUMMYFUNCTION("""COMPUTED_VALUE"""),0)</f>
        <v>0</v>
      </c>
      <c r="D911" s="12" t="str">
        <f ca="1">IFERROR(__xludf.DUMMYFUNCTION("""COMPUTED_VALUE"""),"長谷川 陸朗")</f>
        <v>長谷川 陸朗</v>
      </c>
    </row>
    <row r="912" spans="2:4" ht="13">
      <c r="B912" s="12">
        <f ca="1">IFERROR(__xludf.DUMMYFUNCTION("""COMPUTED_VALUE"""),106046)</f>
        <v>106046</v>
      </c>
      <c r="C912" s="14">
        <f ca="1">IFERROR(__xludf.DUMMYFUNCTION("""COMPUTED_VALUE"""),0)</f>
        <v>0</v>
      </c>
      <c r="D912" s="12" t="str">
        <f ca="1">IFERROR(__xludf.DUMMYFUNCTION("""COMPUTED_VALUE"""),"内丸 裕子")</f>
        <v>内丸 裕子</v>
      </c>
    </row>
    <row r="913" spans="2:4" ht="13">
      <c r="B913" s="12">
        <f ca="1">IFERROR(__xludf.DUMMYFUNCTION("""COMPUTED_VALUE"""),106052)</f>
        <v>106052</v>
      </c>
      <c r="C913" s="14">
        <f ca="1">IFERROR(__xludf.DUMMYFUNCTION("""COMPUTED_VALUE"""),1)</f>
        <v>1</v>
      </c>
      <c r="D913" s="12" t="str">
        <f ca="1">IFERROR(__xludf.DUMMYFUNCTION("""COMPUTED_VALUE"""),"長谷川 陸朗")</f>
        <v>長谷川 陸朗</v>
      </c>
    </row>
    <row r="914" spans="2:4" ht="13">
      <c r="B914" s="12">
        <f ca="1">IFERROR(__xludf.DUMMYFUNCTION("""COMPUTED_VALUE"""),106054)</f>
        <v>106054</v>
      </c>
      <c r="C914" s="14">
        <f ca="1">IFERROR(__xludf.DUMMYFUNCTION("""COMPUTED_VALUE"""),15)</f>
        <v>15</v>
      </c>
      <c r="D914" s="12" t="str">
        <f ca="1">IFERROR(__xludf.DUMMYFUNCTION("""COMPUTED_VALUE"""),"芳賀 亮輔")</f>
        <v>芳賀 亮輔</v>
      </c>
    </row>
    <row r="915" spans="2:4" ht="13">
      <c r="B915" s="12">
        <f ca="1">IFERROR(__xludf.DUMMYFUNCTION("""COMPUTED_VALUE"""),106059)</f>
        <v>106059</v>
      </c>
      <c r="C915" s="14">
        <f ca="1">IFERROR(__xludf.DUMMYFUNCTION("""COMPUTED_VALUE"""),55)</f>
        <v>55</v>
      </c>
      <c r="D915" s="12" t="str">
        <f ca="1">IFERROR(__xludf.DUMMYFUNCTION("""COMPUTED_VALUE"""),"稲場 勇介")</f>
        <v>稲場 勇介</v>
      </c>
    </row>
    <row r="916" spans="2:4" ht="13">
      <c r="B916" s="12">
        <f ca="1">IFERROR(__xludf.DUMMYFUNCTION("""COMPUTED_VALUE"""),106067)</f>
        <v>106067</v>
      </c>
      <c r="C916" s="14">
        <f ca="1">IFERROR(__xludf.DUMMYFUNCTION("""COMPUTED_VALUE"""),2)</f>
        <v>2</v>
      </c>
      <c r="D916" s="12" t="str">
        <f ca="1">IFERROR(__xludf.DUMMYFUNCTION("""COMPUTED_VALUE"""),"成嶋 夏未")</f>
        <v>成嶋 夏未</v>
      </c>
    </row>
    <row r="917" spans="2:4" ht="13">
      <c r="B917" s="12">
        <f ca="1">IFERROR(__xludf.DUMMYFUNCTION("""COMPUTED_VALUE"""),106088)</f>
        <v>106088</v>
      </c>
      <c r="C917" s="14">
        <f ca="1">IFERROR(__xludf.DUMMYFUNCTION("""COMPUTED_VALUE"""),0)</f>
        <v>0</v>
      </c>
      <c r="D917" s="12" t="str">
        <f ca="1">IFERROR(__xludf.DUMMYFUNCTION("""COMPUTED_VALUE"""),"松尾 尚樹")</f>
        <v>松尾 尚樹</v>
      </c>
    </row>
    <row r="918" spans="2:4" ht="13">
      <c r="B918" s="12">
        <f ca="1">IFERROR(__xludf.DUMMYFUNCTION("""COMPUTED_VALUE"""),106092)</f>
        <v>106092</v>
      </c>
      <c r="C918" s="14">
        <f ca="1">IFERROR(__xludf.DUMMYFUNCTION("""COMPUTED_VALUE"""),1)</f>
        <v>1</v>
      </c>
      <c r="D918" s="12" t="str">
        <f ca="1">IFERROR(__xludf.DUMMYFUNCTION("""COMPUTED_VALUE"""),"成嶋 夏未")</f>
        <v>成嶋 夏未</v>
      </c>
    </row>
    <row r="919" spans="2:4" ht="13">
      <c r="B919" s="12">
        <f ca="1">IFERROR(__xludf.DUMMYFUNCTION("""COMPUTED_VALUE"""),106094)</f>
        <v>106094</v>
      </c>
      <c r="C919" s="14">
        <f ca="1">IFERROR(__xludf.DUMMYFUNCTION("""COMPUTED_VALUE"""),0)</f>
        <v>0</v>
      </c>
      <c r="D919" s="12" t="str">
        <f ca="1">IFERROR(__xludf.DUMMYFUNCTION("""COMPUTED_VALUE"""),"小関 麻起")</f>
        <v>小関 麻起</v>
      </c>
    </row>
    <row r="920" spans="2:4" ht="13">
      <c r="B920" s="12">
        <f ca="1">IFERROR(__xludf.DUMMYFUNCTION("""COMPUTED_VALUE"""),106099)</f>
        <v>106099</v>
      </c>
      <c r="C920" s="14">
        <f ca="1">IFERROR(__xludf.DUMMYFUNCTION("""COMPUTED_VALUE"""),36)</f>
        <v>36</v>
      </c>
      <c r="D920" s="12" t="str">
        <f ca="1">IFERROR(__xludf.DUMMYFUNCTION("""COMPUTED_VALUE"""),"稲場 勇介")</f>
        <v>稲場 勇介</v>
      </c>
    </row>
    <row r="921" spans="2:4" ht="13">
      <c r="B921" s="12">
        <f ca="1">IFERROR(__xludf.DUMMYFUNCTION("""COMPUTED_VALUE"""),106101)</f>
        <v>106101</v>
      </c>
      <c r="C921" s="14">
        <f ca="1">IFERROR(__xludf.DUMMYFUNCTION("""COMPUTED_VALUE"""),4)</f>
        <v>4</v>
      </c>
      <c r="D921" s="12" t="str">
        <f ca="1">IFERROR(__xludf.DUMMYFUNCTION("""COMPUTED_VALUE"""),"栗原 大武")</f>
        <v>栗原 大武</v>
      </c>
    </row>
    <row r="922" spans="2:4" ht="13">
      <c r="B922" s="12">
        <f ca="1">IFERROR(__xludf.DUMMYFUNCTION("""COMPUTED_VALUE"""),106111)</f>
        <v>106111</v>
      </c>
      <c r="C922" s="14">
        <f ca="1">IFERROR(__xludf.DUMMYFUNCTION("""COMPUTED_VALUE"""),5)</f>
        <v>5</v>
      </c>
      <c r="D922" s="12" t="str">
        <f ca="1">IFERROR(__xludf.DUMMYFUNCTION("""COMPUTED_VALUE"""),"辻村 将大")</f>
        <v>辻村 将大</v>
      </c>
    </row>
    <row r="923" spans="2:4" ht="13">
      <c r="B923" s="12">
        <f ca="1">IFERROR(__xludf.DUMMYFUNCTION("""COMPUTED_VALUE"""),106118)</f>
        <v>106118</v>
      </c>
      <c r="C923" s="14">
        <f ca="1">IFERROR(__xludf.DUMMYFUNCTION("""COMPUTED_VALUE"""),3)</f>
        <v>3</v>
      </c>
      <c r="D923" s="12" t="str">
        <f ca="1">IFERROR(__xludf.DUMMYFUNCTION("""COMPUTED_VALUE"""),"成嶋 夏未")</f>
        <v>成嶋 夏未</v>
      </c>
    </row>
    <row r="924" spans="2:4" ht="13">
      <c r="B924" s="12">
        <f ca="1">IFERROR(__xludf.DUMMYFUNCTION("""COMPUTED_VALUE"""),106123)</f>
        <v>106123</v>
      </c>
      <c r="C924" s="14">
        <f ca="1">IFERROR(__xludf.DUMMYFUNCTION("""COMPUTED_VALUE"""),30)</f>
        <v>30</v>
      </c>
      <c r="D924" s="12" t="str">
        <f ca="1">IFERROR(__xludf.DUMMYFUNCTION("""COMPUTED_VALUE"""),"松尾 尚樹")</f>
        <v>松尾 尚樹</v>
      </c>
    </row>
    <row r="925" spans="2:4" ht="13">
      <c r="B925" s="12">
        <f ca="1">IFERROR(__xludf.DUMMYFUNCTION("""COMPUTED_VALUE"""),106125)</f>
        <v>106125</v>
      </c>
      <c r="C925" s="14">
        <f ca="1">IFERROR(__xludf.DUMMYFUNCTION("""COMPUTED_VALUE"""),73)</f>
        <v>73</v>
      </c>
      <c r="D925" s="12" t="str">
        <f ca="1">IFERROR(__xludf.DUMMYFUNCTION("""COMPUTED_VALUE"""),"小川 純")</f>
        <v>小川 純</v>
      </c>
    </row>
    <row r="926" spans="2:4" ht="13">
      <c r="B926" s="12">
        <f ca="1">IFERROR(__xludf.DUMMYFUNCTION("""COMPUTED_VALUE"""),106126)</f>
        <v>106126</v>
      </c>
      <c r="C926" s="14">
        <f ca="1">IFERROR(__xludf.DUMMYFUNCTION("""COMPUTED_VALUE"""),40)</f>
        <v>40</v>
      </c>
      <c r="D926" s="12" t="str">
        <f ca="1">IFERROR(__xludf.DUMMYFUNCTION("""COMPUTED_VALUE"""),"小川 純")</f>
        <v>小川 純</v>
      </c>
    </row>
    <row r="927" spans="2:4" ht="13">
      <c r="B927" s="12">
        <f ca="1">IFERROR(__xludf.DUMMYFUNCTION("""COMPUTED_VALUE"""),106133)</f>
        <v>106133</v>
      </c>
      <c r="C927" s="14">
        <f ca="1">IFERROR(__xludf.DUMMYFUNCTION("""COMPUTED_VALUE"""),26)</f>
        <v>26</v>
      </c>
      <c r="D927" s="12" t="str">
        <f ca="1">IFERROR(__xludf.DUMMYFUNCTION("""COMPUTED_VALUE"""),"柿崎 晃司")</f>
        <v>柿崎 晃司</v>
      </c>
    </row>
    <row r="928" spans="2:4" ht="13">
      <c r="B928" s="12">
        <f ca="1">IFERROR(__xludf.DUMMYFUNCTION("""COMPUTED_VALUE"""),106134)</f>
        <v>106134</v>
      </c>
      <c r="C928" s="14">
        <f ca="1">IFERROR(__xludf.DUMMYFUNCTION("""COMPUTED_VALUE"""),33)</f>
        <v>33</v>
      </c>
      <c r="D928" s="12" t="str">
        <f ca="1">IFERROR(__xludf.DUMMYFUNCTION("""COMPUTED_VALUE"""),"柿崎 晃司")</f>
        <v>柿崎 晃司</v>
      </c>
    </row>
    <row r="929" spans="2:4" ht="13">
      <c r="B929" s="12">
        <f ca="1">IFERROR(__xludf.DUMMYFUNCTION("""COMPUTED_VALUE"""),106135)</f>
        <v>106135</v>
      </c>
      <c r="C929" s="14">
        <f ca="1">IFERROR(__xludf.DUMMYFUNCTION("""COMPUTED_VALUE"""),13)</f>
        <v>13</v>
      </c>
      <c r="D929" s="12" t="str">
        <f ca="1">IFERROR(__xludf.DUMMYFUNCTION("""COMPUTED_VALUE"""),"柿崎 晃司")</f>
        <v>柿崎 晃司</v>
      </c>
    </row>
    <row r="930" spans="2:4" ht="13">
      <c r="B930" s="12">
        <f ca="1">IFERROR(__xludf.DUMMYFUNCTION("""COMPUTED_VALUE"""),106136)</f>
        <v>106136</v>
      </c>
      <c r="C930" s="14">
        <f ca="1">IFERROR(__xludf.DUMMYFUNCTION("""COMPUTED_VALUE"""),17)</f>
        <v>17</v>
      </c>
      <c r="D930" s="12" t="str">
        <f ca="1">IFERROR(__xludf.DUMMYFUNCTION("""COMPUTED_VALUE"""),"柿崎 晃司")</f>
        <v>柿崎 晃司</v>
      </c>
    </row>
    <row r="931" spans="2:4" ht="13">
      <c r="B931" s="12">
        <f ca="1">IFERROR(__xludf.DUMMYFUNCTION("""COMPUTED_VALUE"""),106137)</f>
        <v>106137</v>
      </c>
      <c r="C931" s="14">
        <f ca="1">IFERROR(__xludf.DUMMYFUNCTION("""COMPUTED_VALUE"""),13)</f>
        <v>13</v>
      </c>
      <c r="D931" s="12" t="str">
        <f ca="1">IFERROR(__xludf.DUMMYFUNCTION("""COMPUTED_VALUE"""),"柿崎 晃司")</f>
        <v>柿崎 晃司</v>
      </c>
    </row>
    <row r="932" spans="2:4" ht="13">
      <c r="B932" s="12">
        <f ca="1">IFERROR(__xludf.DUMMYFUNCTION("""COMPUTED_VALUE"""),106138)</f>
        <v>106138</v>
      </c>
      <c r="C932" s="14">
        <f ca="1">IFERROR(__xludf.DUMMYFUNCTION("""COMPUTED_VALUE"""),13)</f>
        <v>13</v>
      </c>
      <c r="D932" s="12" t="str">
        <f ca="1">IFERROR(__xludf.DUMMYFUNCTION("""COMPUTED_VALUE"""),"柿崎 晃司")</f>
        <v>柿崎 晃司</v>
      </c>
    </row>
    <row r="933" spans="2:4" ht="13">
      <c r="B933" s="12">
        <f ca="1">IFERROR(__xludf.DUMMYFUNCTION("""COMPUTED_VALUE"""),106139)</f>
        <v>106139</v>
      </c>
      <c r="C933" s="14">
        <f ca="1">IFERROR(__xludf.DUMMYFUNCTION("""COMPUTED_VALUE"""),24)</f>
        <v>24</v>
      </c>
      <c r="D933" s="12" t="str">
        <f ca="1">IFERROR(__xludf.DUMMYFUNCTION("""COMPUTED_VALUE"""),"柿崎 晃司")</f>
        <v>柿崎 晃司</v>
      </c>
    </row>
    <row r="934" spans="2:4" ht="13">
      <c r="B934" s="12">
        <f ca="1">IFERROR(__xludf.DUMMYFUNCTION("""COMPUTED_VALUE"""),106141)</f>
        <v>106141</v>
      </c>
      <c r="C934" s="14">
        <f ca="1">IFERROR(__xludf.DUMMYFUNCTION("""COMPUTED_VALUE"""),10)</f>
        <v>10</v>
      </c>
      <c r="D934" s="12" t="str">
        <f ca="1">IFERROR(__xludf.DUMMYFUNCTION("""COMPUTED_VALUE"""),"柿崎 晃司")</f>
        <v>柿崎 晃司</v>
      </c>
    </row>
    <row r="935" spans="2:4" ht="13">
      <c r="B935" s="12">
        <f ca="1">IFERROR(__xludf.DUMMYFUNCTION("""COMPUTED_VALUE"""),106142)</f>
        <v>106142</v>
      </c>
      <c r="C935" s="14">
        <f ca="1">IFERROR(__xludf.DUMMYFUNCTION("""COMPUTED_VALUE"""),35)</f>
        <v>35</v>
      </c>
      <c r="D935" s="12" t="str">
        <f ca="1">IFERROR(__xludf.DUMMYFUNCTION("""COMPUTED_VALUE"""),"柿崎 晃司")</f>
        <v>柿崎 晃司</v>
      </c>
    </row>
    <row r="936" spans="2:4" ht="13">
      <c r="B936" s="12">
        <f ca="1">IFERROR(__xludf.DUMMYFUNCTION("""COMPUTED_VALUE"""),106143)</f>
        <v>106143</v>
      </c>
      <c r="C936" s="14">
        <f ca="1">IFERROR(__xludf.DUMMYFUNCTION("""COMPUTED_VALUE"""),24)</f>
        <v>24</v>
      </c>
      <c r="D936" s="12" t="str">
        <f ca="1">IFERROR(__xludf.DUMMYFUNCTION("""COMPUTED_VALUE"""),"柿崎 晃司")</f>
        <v>柿崎 晃司</v>
      </c>
    </row>
    <row r="937" spans="2:4" ht="13">
      <c r="B937" s="12">
        <f ca="1">IFERROR(__xludf.DUMMYFUNCTION("""COMPUTED_VALUE"""),106144)</f>
        <v>106144</v>
      </c>
      <c r="C937" s="14">
        <f ca="1">IFERROR(__xludf.DUMMYFUNCTION("""COMPUTED_VALUE"""),12)</f>
        <v>12</v>
      </c>
      <c r="D937" s="12" t="str">
        <f ca="1">IFERROR(__xludf.DUMMYFUNCTION("""COMPUTED_VALUE"""),"柿崎 晃司")</f>
        <v>柿崎 晃司</v>
      </c>
    </row>
    <row r="938" spans="2:4" ht="13">
      <c r="B938" s="12">
        <f ca="1">IFERROR(__xludf.DUMMYFUNCTION("""COMPUTED_VALUE"""),106145)</f>
        <v>106145</v>
      </c>
      <c r="C938" s="14">
        <f ca="1">IFERROR(__xludf.DUMMYFUNCTION("""COMPUTED_VALUE"""),27)</f>
        <v>27</v>
      </c>
      <c r="D938" s="12" t="str">
        <f ca="1">IFERROR(__xludf.DUMMYFUNCTION("""COMPUTED_VALUE"""),"柿崎 晃司")</f>
        <v>柿崎 晃司</v>
      </c>
    </row>
    <row r="939" spans="2:4" ht="13">
      <c r="B939" s="12">
        <f ca="1">IFERROR(__xludf.DUMMYFUNCTION("""COMPUTED_VALUE"""),106146)</f>
        <v>106146</v>
      </c>
      <c r="C939" s="14">
        <f ca="1">IFERROR(__xludf.DUMMYFUNCTION("""COMPUTED_VALUE"""),21)</f>
        <v>21</v>
      </c>
      <c r="D939" s="12" t="str">
        <f ca="1">IFERROR(__xludf.DUMMYFUNCTION("""COMPUTED_VALUE"""),"柿崎 晃司")</f>
        <v>柿崎 晃司</v>
      </c>
    </row>
    <row r="940" spans="2:4" ht="13">
      <c r="B940" s="12">
        <f ca="1">IFERROR(__xludf.DUMMYFUNCTION("""COMPUTED_VALUE"""),106147)</f>
        <v>106147</v>
      </c>
      <c r="C940" s="14">
        <f ca="1">IFERROR(__xludf.DUMMYFUNCTION("""COMPUTED_VALUE"""),17)</f>
        <v>17</v>
      </c>
      <c r="D940" s="12" t="str">
        <f ca="1">IFERROR(__xludf.DUMMYFUNCTION("""COMPUTED_VALUE"""),"柿崎 晃司")</f>
        <v>柿崎 晃司</v>
      </c>
    </row>
    <row r="941" spans="2:4" ht="13">
      <c r="B941" s="12">
        <f ca="1">IFERROR(__xludf.DUMMYFUNCTION("""COMPUTED_VALUE"""),106148)</f>
        <v>106148</v>
      </c>
      <c r="C941" s="14">
        <f ca="1">IFERROR(__xludf.DUMMYFUNCTION("""COMPUTED_VALUE"""),23)</f>
        <v>23</v>
      </c>
      <c r="D941" s="12" t="str">
        <f ca="1">IFERROR(__xludf.DUMMYFUNCTION("""COMPUTED_VALUE"""),"柿崎 晃司")</f>
        <v>柿崎 晃司</v>
      </c>
    </row>
    <row r="942" spans="2:4" ht="13">
      <c r="B942" s="12">
        <f ca="1">IFERROR(__xludf.DUMMYFUNCTION("""COMPUTED_VALUE"""),106149)</f>
        <v>106149</v>
      </c>
      <c r="C942" s="14">
        <f ca="1">IFERROR(__xludf.DUMMYFUNCTION("""COMPUTED_VALUE"""),36)</f>
        <v>36</v>
      </c>
      <c r="D942" s="12" t="str">
        <f ca="1">IFERROR(__xludf.DUMMYFUNCTION("""COMPUTED_VALUE"""),"柿崎 晃司")</f>
        <v>柿崎 晃司</v>
      </c>
    </row>
    <row r="943" spans="2:4" ht="13">
      <c r="B943" s="12">
        <f ca="1">IFERROR(__xludf.DUMMYFUNCTION("""COMPUTED_VALUE"""),106150)</f>
        <v>106150</v>
      </c>
      <c r="C943" s="14">
        <f ca="1">IFERROR(__xludf.DUMMYFUNCTION("""COMPUTED_VALUE"""),24)</f>
        <v>24</v>
      </c>
      <c r="D943" s="12" t="str">
        <f ca="1">IFERROR(__xludf.DUMMYFUNCTION("""COMPUTED_VALUE"""),"柿崎 晃司")</f>
        <v>柿崎 晃司</v>
      </c>
    </row>
    <row r="944" spans="2:4" ht="13">
      <c r="B944" s="12">
        <f ca="1">IFERROR(__xludf.DUMMYFUNCTION("""COMPUTED_VALUE"""),106158)</f>
        <v>106158</v>
      </c>
      <c r="C944" s="14">
        <f ca="1">IFERROR(__xludf.DUMMYFUNCTION("""COMPUTED_VALUE"""),0)</f>
        <v>0</v>
      </c>
      <c r="D944" s="12" t="str">
        <f ca="1">IFERROR(__xludf.DUMMYFUNCTION("""COMPUTED_VALUE"""),"辻村 将大")</f>
        <v>辻村 将大</v>
      </c>
    </row>
    <row r="945" spans="2:4" ht="13">
      <c r="B945" s="12">
        <f ca="1">IFERROR(__xludf.DUMMYFUNCTION("""COMPUTED_VALUE"""),106172)</f>
        <v>106172</v>
      </c>
      <c r="C945" s="14">
        <f ca="1">IFERROR(__xludf.DUMMYFUNCTION("""COMPUTED_VALUE"""),15)</f>
        <v>15</v>
      </c>
      <c r="D945" s="12" t="str">
        <f ca="1">IFERROR(__xludf.DUMMYFUNCTION("""COMPUTED_VALUE"""),"松尾 尚樹")</f>
        <v>松尾 尚樹</v>
      </c>
    </row>
    <row r="946" spans="2:4" ht="13">
      <c r="B946" s="12">
        <f ca="1">IFERROR(__xludf.DUMMYFUNCTION("""COMPUTED_VALUE"""),106176)</f>
        <v>106176</v>
      </c>
      <c r="C946" s="14">
        <f ca="1">IFERROR(__xludf.DUMMYFUNCTION("""COMPUTED_VALUE"""),17)</f>
        <v>17</v>
      </c>
      <c r="D946" s="12" t="str">
        <f ca="1">IFERROR(__xludf.DUMMYFUNCTION("""COMPUTED_VALUE"""),"長谷川 陸朗")</f>
        <v>長谷川 陸朗</v>
      </c>
    </row>
    <row r="947" spans="2:4" ht="13">
      <c r="B947" s="12">
        <f ca="1">IFERROR(__xludf.DUMMYFUNCTION("""COMPUTED_VALUE"""),106180)</f>
        <v>106180</v>
      </c>
      <c r="C947" s="14">
        <f ca="1">IFERROR(__xludf.DUMMYFUNCTION("""COMPUTED_VALUE"""),5)</f>
        <v>5</v>
      </c>
      <c r="D947" s="12" t="str">
        <f ca="1">IFERROR(__xludf.DUMMYFUNCTION("""COMPUTED_VALUE"""),"小関 麻起")</f>
        <v>小関 麻起</v>
      </c>
    </row>
    <row r="948" spans="2:4" ht="13">
      <c r="B948" s="12">
        <f ca="1">IFERROR(__xludf.DUMMYFUNCTION("""COMPUTED_VALUE"""),106182)</f>
        <v>106182</v>
      </c>
      <c r="C948" s="14">
        <f ca="1">IFERROR(__xludf.DUMMYFUNCTION("""COMPUTED_VALUE"""),0)</f>
        <v>0</v>
      </c>
      <c r="D948" s="12" t="str">
        <f ca="1">IFERROR(__xludf.DUMMYFUNCTION("""COMPUTED_VALUE"""),"桐山 勝気")</f>
        <v>桐山 勝気</v>
      </c>
    </row>
    <row r="949" spans="2:4" ht="13">
      <c r="B949" s="12">
        <f ca="1">IFERROR(__xludf.DUMMYFUNCTION("""COMPUTED_VALUE"""),106186)</f>
        <v>106186</v>
      </c>
      <c r="C949" s="14">
        <f ca="1">IFERROR(__xludf.DUMMYFUNCTION("""COMPUTED_VALUE"""),40)</f>
        <v>40</v>
      </c>
      <c r="D949" s="12" t="str">
        <f ca="1">IFERROR(__xludf.DUMMYFUNCTION("""COMPUTED_VALUE"""),"村上 浩一朗")</f>
        <v>村上 浩一朗</v>
      </c>
    </row>
    <row r="950" spans="2:4" ht="13">
      <c r="B950" s="12">
        <f ca="1">IFERROR(__xludf.DUMMYFUNCTION("""COMPUTED_VALUE"""),106187)</f>
        <v>106187</v>
      </c>
      <c r="C950" s="14">
        <f ca="1">IFERROR(__xludf.DUMMYFUNCTION("""COMPUTED_VALUE"""),43)</f>
        <v>43</v>
      </c>
      <c r="D950" s="12" t="str">
        <f ca="1">IFERROR(__xludf.DUMMYFUNCTION("""COMPUTED_VALUE"""),"村上 浩一朗")</f>
        <v>村上 浩一朗</v>
      </c>
    </row>
    <row r="951" spans="2:4" ht="13">
      <c r="B951" s="12">
        <f ca="1">IFERROR(__xludf.DUMMYFUNCTION("""COMPUTED_VALUE"""),106199)</f>
        <v>106199</v>
      </c>
      <c r="C951" s="14">
        <f ca="1">IFERROR(__xludf.DUMMYFUNCTION("""COMPUTED_VALUE"""),26)</f>
        <v>26</v>
      </c>
      <c r="D951" s="12" t="str">
        <f ca="1">IFERROR(__xludf.DUMMYFUNCTION("""COMPUTED_VALUE"""),"老田 純輝")</f>
        <v>老田 純輝</v>
      </c>
    </row>
    <row r="952" spans="2:4" ht="13">
      <c r="B952" s="12">
        <f ca="1">IFERROR(__xludf.DUMMYFUNCTION("""COMPUTED_VALUE"""),106200)</f>
        <v>106200</v>
      </c>
      <c r="C952" s="14">
        <f ca="1">IFERROR(__xludf.DUMMYFUNCTION("""COMPUTED_VALUE"""),28)</f>
        <v>28</v>
      </c>
      <c r="D952" s="12" t="str">
        <f ca="1">IFERROR(__xludf.DUMMYFUNCTION("""COMPUTED_VALUE"""),"老田 純輝")</f>
        <v>老田 純輝</v>
      </c>
    </row>
    <row r="953" spans="2:4" ht="13">
      <c r="B953" s="12">
        <f ca="1">IFERROR(__xludf.DUMMYFUNCTION("""COMPUTED_VALUE"""),106201)</f>
        <v>106201</v>
      </c>
      <c r="C953" s="14">
        <f ca="1">IFERROR(__xludf.DUMMYFUNCTION("""COMPUTED_VALUE"""),47)</f>
        <v>47</v>
      </c>
      <c r="D953" s="12" t="str">
        <f ca="1">IFERROR(__xludf.DUMMYFUNCTION("""COMPUTED_VALUE"""),"老田 純輝")</f>
        <v>老田 純輝</v>
      </c>
    </row>
    <row r="954" spans="2:4" ht="13">
      <c r="B954" s="12">
        <f ca="1">IFERROR(__xludf.DUMMYFUNCTION("""COMPUTED_VALUE"""),106202)</f>
        <v>106202</v>
      </c>
      <c r="C954" s="14">
        <f ca="1">IFERROR(__xludf.DUMMYFUNCTION("""COMPUTED_VALUE"""),19)</f>
        <v>19</v>
      </c>
      <c r="D954" s="12" t="str">
        <f ca="1">IFERROR(__xludf.DUMMYFUNCTION("""COMPUTED_VALUE"""),"老田 純輝")</f>
        <v>老田 純輝</v>
      </c>
    </row>
    <row r="955" spans="2:4" ht="13">
      <c r="B955" s="12">
        <f ca="1">IFERROR(__xludf.DUMMYFUNCTION("""COMPUTED_VALUE"""),106203)</f>
        <v>106203</v>
      </c>
      <c r="C955" s="14">
        <f ca="1">IFERROR(__xludf.DUMMYFUNCTION("""COMPUTED_VALUE"""),16)</f>
        <v>16</v>
      </c>
      <c r="D955" s="12" t="str">
        <f ca="1">IFERROR(__xludf.DUMMYFUNCTION("""COMPUTED_VALUE"""),"老田 純輝")</f>
        <v>老田 純輝</v>
      </c>
    </row>
    <row r="956" spans="2:4" ht="13">
      <c r="B956" s="12">
        <f ca="1">IFERROR(__xludf.DUMMYFUNCTION("""COMPUTED_VALUE"""),106204)</f>
        <v>106204</v>
      </c>
      <c r="C956" s="14">
        <f ca="1">IFERROR(__xludf.DUMMYFUNCTION("""COMPUTED_VALUE"""),8)</f>
        <v>8</v>
      </c>
      <c r="D956" s="12" t="str">
        <f ca="1">IFERROR(__xludf.DUMMYFUNCTION("""COMPUTED_VALUE"""),"老田 純輝")</f>
        <v>老田 純輝</v>
      </c>
    </row>
    <row r="957" spans="2:4" ht="13">
      <c r="B957" s="12">
        <f ca="1">IFERROR(__xludf.DUMMYFUNCTION("""COMPUTED_VALUE"""),106219)</f>
        <v>106219</v>
      </c>
      <c r="C957" s="14">
        <f ca="1">IFERROR(__xludf.DUMMYFUNCTION("""COMPUTED_VALUE"""),7)</f>
        <v>7</v>
      </c>
      <c r="D957" s="12" t="str">
        <f ca="1">IFERROR(__xludf.DUMMYFUNCTION("""COMPUTED_VALUE"""),"成嶋 夏未")</f>
        <v>成嶋 夏未</v>
      </c>
    </row>
    <row r="958" spans="2:4" ht="13">
      <c r="B958" s="12">
        <f ca="1">IFERROR(__xludf.DUMMYFUNCTION("""COMPUTED_VALUE"""),106225)</f>
        <v>106225</v>
      </c>
      <c r="C958" s="14">
        <f ca="1">IFERROR(__xludf.DUMMYFUNCTION("""COMPUTED_VALUE"""),143)</f>
        <v>143</v>
      </c>
      <c r="D958" s="12" t="str">
        <f ca="1">IFERROR(__xludf.DUMMYFUNCTION("""COMPUTED_VALUE"""),"辻村 将大")</f>
        <v>辻村 将大</v>
      </c>
    </row>
    <row r="959" spans="2:4" ht="13">
      <c r="B959" s="12">
        <f ca="1">IFERROR(__xludf.DUMMYFUNCTION("""COMPUTED_VALUE"""),106232)</f>
        <v>106232</v>
      </c>
      <c r="C959" s="14">
        <f ca="1">IFERROR(__xludf.DUMMYFUNCTION("""COMPUTED_VALUE"""),0)</f>
        <v>0</v>
      </c>
      <c r="D959" s="12" t="str">
        <f ca="1">IFERROR(__xludf.DUMMYFUNCTION("""COMPUTED_VALUE"""),"成嶋 夏未")</f>
        <v>成嶋 夏未</v>
      </c>
    </row>
    <row r="960" spans="2:4" ht="13">
      <c r="B960" s="12">
        <f ca="1">IFERROR(__xludf.DUMMYFUNCTION("""COMPUTED_VALUE"""),106233)</f>
        <v>106233</v>
      </c>
      <c r="C960" s="14">
        <f ca="1">IFERROR(__xludf.DUMMYFUNCTION("""COMPUTED_VALUE"""),11)</f>
        <v>11</v>
      </c>
      <c r="D960" s="12" t="str">
        <f ca="1">IFERROR(__xludf.DUMMYFUNCTION("""COMPUTED_VALUE"""),"老田 純輝")</f>
        <v>老田 純輝</v>
      </c>
    </row>
    <row r="961" spans="2:4" ht="13">
      <c r="B961" s="12">
        <f ca="1">IFERROR(__xludf.DUMMYFUNCTION("""COMPUTED_VALUE"""),106249)</f>
        <v>106249</v>
      </c>
      <c r="C961" s="14">
        <f ca="1">IFERROR(__xludf.DUMMYFUNCTION("""COMPUTED_VALUE"""),0)</f>
        <v>0</v>
      </c>
      <c r="D961" s="12" t="str">
        <f ca="1">IFERROR(__xludf.DUMMYFUNCTION("""COMPUTED_VALUE"""),"長谷川 陸朗")</f>
        <v>長谷川 陸朗</v>
      </c>
    </row>
    <row r="962" spans="2:4" ht="13">
      <c r="B962" s="12">
        <f ca="1">IFERROR(__xludf.DUMMYFUNCTION("""COMPUTED_VALUE"""),106252)</f>
        <v>106252</v>
      </c>
      <c r="C962" s="14">
        <f ca="1">IFERROR(__xludf.DUMMYFUNCTION("""COMPUTED_VALUE"""),0)</f>
        <v>0</v>
      </c>
      <c r="D962" s="12" t="str">
        <f ca="1">IFERROR(__xludf.DUMMYFUNCTION("""COMPUTED_VALUE"""),"村上 浩一朗")</f>
        <v>村上 浩一朗</v>
      </c>
    </row>
    <row r="963" spans="2:4" ht="13">
      <c r="B963" s="12">
        <f ca="1">IFERROR(__xludf.DUMMYFUNCTION("""COMPUTED_VALUE"""),106264)</f>
        <v>106264</v>
      </c>
      <c r="C963" s="14">
        <f ca="1">IFERROR(__xludf.DUMMYFUNCTION("""COMPUTED_VALUE"""),1)</f>
        <v>1</v>
      </c>
      <c r="D963" s="12" t="str">
        <f ca="1">IFERROR(__xludf.DUMMYFUNCTION("""COMPUTED_VALUE"""),"稲場 勇介")</f>
        <v>稲場 勇介</v>
      </c>
    </row>
    <row r="964" spans="2:4" ht="13">
      <c r="B964" s="12">
        <f ca="1">IFERROR(__xludf.DUMMYFUNCTION("""COMPUTED_VALUE"""),106265)</f>
        <v>106265</v>
      </c>
      <c r="C964" s="14">
        <f ca="1">IFERROR(__xludf.DUMMYFUNCTION("""COMPUTED_VALUE"""),0)</f>
        <v>0</v>
      </c>
      <c r="D964" s="12" t="str">
        <f ca="1">IFERROR(__xludf.DUMMYFUNCTION("""COMPUTED_VALUE"""),"小関 麻起")</f>
        <v>小関 麻起</v>
      </c>
    </row>
    <row r="965" spans="2:4" ht="13">
      <c r="B965" s="12">
        <f ca="1">IFERROR(__xludf.DUMMYFUNCTION("""COMPUTED_VALUE"""),106268)</f>
        <v>106268</v>
      </c>
      <c r="C965" s="14">
        <f ca="1">IFERROR(__xludf.DUMMYFUNCTION("""COMPUTED_VALUE"""),12)</f>
        <v>12</v>
      </c>
      <c r="D965" s="12" t="str">
        <f ca="1">IFERROR(__xludf.DUMMYFUNCTION("""COMPUTED_VALUE"""),"稲場 勇介")</f>
        <v>稲場 勇介</v>
      </c>
    </row>
    <row r="966" spans="2:4" ht="13">
      <c r="B966" s="12">
        <f ca="1">IFERROR(__xludf.DUMMYFUNCTION("""COMPUTED_VALUE"""),106269)</f>
        <v>106269</v>
      </c>
      <c r="C966" s="14">
        <f ca="1">IFERROR(__xludf.DUMMYFUNCTION("""COMPUTED_VALUE"""),6)</f>
        <v>6</v>
      </c>
      <c r="D966" s="12" t="str">
        <f ca="1">IFERROR(__xludf.DUMMYFUNCTION("""COMPUTED_VALUE"""),"稲場 勇介")</f>
        <v>稲場 勇介</v>
      </c>
    </row>
    <row r="967" spans="2:4" ht="13">
      <c r="B967" s="12">
        <f ca="1">IFERROR(__xludf.DUMMYFUNCTION("""COMPUTED_VALUE"""),106270)</f>
        <v>106270</v>
      </c>
      <c r="C967" s="14">
        <f ca="1">IFERROR(__xludf.DUMMYFUNCTION("""COMPUTED_VALUE"""),5)</f>
        <v>5</v>
      </c>
      <c r="D967" s="12" t="str">
        <f ca="1">IFERROR(__xludf.DUMMYFUNCTION("""COMPUTED_VALUE"""),"稲場 勇介")</f>
        <v>稲場 勇介</v>
      </c>
    </row>
    <row r="968" spans="2:4" ht="13">
      <c r="B968" s="12">
        <f ca="1">IFERROR(__xludf.DUMMYFUNCTION("""COMPUTED_VALUE"""),106271)</f>
        <v>106271</v>
      </c>
      <c r="C968" s="14">
        <f ca="1">IFERROR(__xludf.DUMMYFUNCTION("""COMPUTED_VALUE"""),9)</f>
        <v>9</v>
      </c>
      <c r="D968" s="12" t="str">
        <f ca="1">IFERROR(__xludf.DUMMYFUNCTION("""COMPUTED_VALUE"""),"稲場 勇介")</f>
        <v>稲場 勇介</v>
      </c>
    </row>
    <row r="969" spans="2:4" ht="13">
      <c r="B969" s="12">
        <f ca="1">IFERROR(__xludf.DUMMYFUNCTION("""COMPUTED_VALUE"""),106272)</f>
        <v>106272</v>
      </c>
      <c r="C969" s="14">
        <f ca="1">IFERROR(__xludf.DUMMYFUNCTION("""COMPUTED_VALUE"""),7)</f>
        <v>7</v>
      </c>
      <c r="D969" s="12" t="str">
        <f ca="1">IFERROR(__xludf.DUMMYFUNCTION("""COMPUTED_VALUE"""),"稲場 勇介")</f>
        <v>稲場 勇介</v>
      </c>
    </row>
    <row r="970" spans="2:4" ht="13">
      <c r="B970" s="12">
        <f ca="1">IFERROR(__xludf.DUMMYFUNCTION("""COMPUTED_VALUE"""),106273)</f>
        <v>106273</v>
      </c>
      <c r="C970" s="14">
        <f ca="1">IFERROR(__xludf.DUMMYFUNCTION("""COMPUTED_VALUE"""),5)</f>
        <v>5</v>
      </c>
      <c r="D970" s="12" t="str">
        <f ca="1">IFERROR(__xludf.DUMMYFUNCTION("""COMPUTED_VALUE"""),"稲場 勇介")</f>
        <v>稲場 勇介</v>
      </c>
    </row>
    <row r="971" spans="2:4" ht="13">
      <c r="B971" s="12">
        <f ca="1">IFERROR(__xludf.DUMMYFUNCTION("""COMPUTED_VALUE"""),106284)</f>
        <v>106284</v>
      </c>
      <c r="C971" s="14">
        <f ca="1">IFERROR(__xludf.DUMMYFUNCTION("""COMPUTED_VALUE"""),75)</f>
        <v>75</v>
      </c>
      <c r="D971" s="12" t="str">
        <f ca="1">IFERROR(__xludf.DUMMYFUNCTION("""COMPUTED_VALUE"""),"成嶋 夏未")</f>
        <v>成嶋 夏未</v>
      </c>
    </row>
    <row r="972" spans="2:4" ht="13">
      <c r="B972" s="12">
        <f ca="1">IFERROR(__xludf.DUMMYFUNCTION("""COMPUTED_VALUE"""),106285)</f>
        <v>106285</v>
      </c>
      <c r="C972" s="14">
        <f ca="1">IFERROR(__xludf.DUMMYFUNCTION("""COMPUTED_VALUE"""),4)</f>
        <v>4</v>
      </c>
      <c r="D972" s="12" t="str">
        <f ca="1">IFERROR(__xludf.DUMMYFUNCTION("""COMPUTED_VALUE"""),"荻曽 克輝")</f>
        <v>荻曽 克輝</v>
      </c>
    </row>
    <row r="973" spans="2:4" ht="13">
      <c r="B973" s="12">
        <f ca="1">IFERROR(__xludf.DUMMYFUNCTION("""COMPUTED_VALUE"""),106329)</f>
        <v>106329</v>
      </c>
      <c r="C973" s="14">
        <f ca="1">IFERROR(__xludf.DUMMYFUNCTION("""COMPUTED_VALUE"""),0)</f>
        <v>0</v>
      </c>
      <c r="D973" s="12" t="str">
        <f ca="1">IFERROR(__xludf.DUMMYFUNCTION("""COMPUTED_VALUE"""),"菅野 ぎんが")</f>
        <v>菅野 ぎんが</v>
      </c>
    </row>
    <row r="974" spans="2:4" ht="13">
      <c r="B974" s="12">
        <f ca="1">IFERROR(__xludf.DUMMYFUNCTION("""COMPUTED_VALUE"""),106339)</f>
        <v>106339</v>
      </c>
      <c r="C974" s="14">
        <f ca="1">IFERROR(__xludf.DUMMYFUNCTION("""COMPUTED_VALUE"""),2)</f>
        <v>2</v>
      </c>
      <c r="D974" s="12" t="str">
        <f ca="1">IFERROR(__xludf.DUMMYFUNCTION("""COMPUTED_VALUE"""),"長谷川 陸朗")</f>
        <v>長谷川 陸朗</v>
      </c>
    </row>
    <row r="975" spans="2:4" ht="13">
      <c r="B975" s="12">
        <f ca="1">IFERROR(__xludf.DUMMYFUNCTION("""COMPUTED_VALUE"""),106345)</f>
        <v>106345</v>
      </c>
      <c r="C975" s="14">
        <f ca="1">IFERROR(__xludf.DUMMYFUNCTION("""COMPUTED_VALUE"""),0)</f>
        <v>0</v>
      </c>
      <c r="D975" s="12" t="str">
        <f ca="1">IFERROR(__xludf.DUMMYFUNCTION("""COMPUTED_VALUE"""),"松尾 尚樹")</f>
        <v>松尾 尚樹</v>
      </c>
    </row>
    <row r="976" spans="2:4" ht="13">
      <c r="B976" s="12">
        <f ca="1">IFERROR(__xludf.DUMMYFUNCTION("""COMPUTED_VALUE"""),106355)</f>
        <v>106355</v>
      </c>
      <c r="C976" s="14">
        <f ca="1">IFERROR(__xludf.DUMMYFUNCTION("""COMPUTED_VALUE"""),7)</f>
        <v>7</v>
      </c>
      <c r="D976" s="12" t="str">
        <f ca="1">IFERROR(__xludf.DUMMYFUNCTION("""COMPUTED_VALUE"""),"柿崎 晃司")</f>
        <v>柿崎 晃司</v>
      </c>
    </row>
    <row r="977" spans="2:4" ht="13">
      <c r="B977" s="12">
        <f ca="1">IFERROR(__xludf.DUMMYFUNCTION("""COMPUTED_VALUE"""),106366)</f>
        <v>106366</v>
      </c>
      <c r="C977" s="14">
        <f ca="1">IFERROR(__xludf.DUMMYFUNCTION("""COMPUTED_VALUE"""),2)</f>
        <v>2</v>
      </c>
      <c r="D977" s="12" t="str">
        <f ca="1">IFERROR(__xludf.DUMMYFUNCTION("""COMPUTED_VALUE"""),"大木 優香")</f>
        <v>大木 優香</v>
      </c>
    </row>
    <row r="978" spans="2:4" ht="13">
      <c r="B978" s="12">
        <f ca="1">IFERROR(__xludf.DUMMYFUNCTION("""COMPUTED_VALUE"""),106368)</f>
        <v>106368</v>
      </c>
      <c r="C978" s="14">
        <f ca="1">IFERROR(__xludf.DUMMYFUNCTION("""COMPUTED_VALUE"""),3)</f>
        <v>3</v>
      </c>
      <c r="D978" s="12" t="str">
        <f ca="1">IFERROR(__xludf.DUMMYFUNCTION("""COMPUTED_VALUE"""),"稲場 勇介")</f>
        <v>稲場 勇介</v>
      </c>
    </row>
    <row r="979" spans="2:4" ht="13">
      <c r="B979" s="12">
        <f ca="1">IFERROR(__xludf.DUMMYFUNCTION("""COMPUTED_VALUE"""),106377)</f>
        <v>106377</v>
      </c>
      <c r="C979" s="14">
        <f ca="1">IFERROR(__xludf.DUMMYFUNCTION("""COMPUTED_VALUE"""),0)</f>
        <v>0</v>
      </c>
      <c r="D979" s="12" t="str">
        <f ca="1">IFERROR(__xludf.DUMMYFUNCTION("""COMPUTED_VALUE"""),"小関 麻起")</f>
        <v>小関 麻起</v>
      </c>
    </row>
    <row r="980" spans="2:4" ht="13">
      <c r="B980" s="12">
        <f ca="1">IFERROR(__xludf.DUMMYFUNCTION("""COMPUTED_VALUE"""),106383)</f>
        <v>106383</v>
      </c>
      <c r="C980" s="14">
        <f ca="1">IFERROR(__xludf.DUMMYFUNCTION("""COMPUTED_VALUE"""),0)</f>
        <v>0</v>
      </c>
      <c r="D980" s="12" t="str">
        <f ca="1">IFERROR(__xludf.DUMMYFUNCTION("""COMPUTED_VALUE"""),"芳賀 亮輔")</f>
        <v>芳賀 亮輔</v>
      </c>
    </row>
    <row r="981" spans="2:4" ht="13">
      <c r="B981" s="12">
        <f ca="1">IFERROR(__xludf.DUMMYFUNCTION("""COMPUTED_VALUE"""),106384)</f>
        <v>106384</v>
      </c>
      <c r="C981" s="14">
        <f ca="1">IFERROR(__xludf.DUMMYFUNCTION("""COMPUTED_VALUE"""),0)</f>
        <v>0</v>
      </c>
      <c r="D981" s="12" t="str">
        <f ca="1">IFERROR(__xludf.DUMMYFUNCTION("""COMPUTED_VALUE"""),"小関 麻起")</f>
        <v>小関 麻起</v>
      </c>
    </row>
    <row r="982" spans="2:4" ht="13">
      <c r="B982" s="12">
        <f ca="1">IFERROR(__xludf.DUMMYFUNCTION("""COMPUTED_VALUE"""),106387)</f>
        <v>106387</v>
      </c>
      <c r="C982" s="14">
        <f ca="1">IFERROR(__xludf.DUMMYFUNCTION("""COMPUTED_VALUE"""),0)</f>
        <v>0</v>
      </c>
      <c r="D982" s="12" t="str">
        <f ca="1">IFERROR(__xludf.DUMMYFUNCTION("""COMPUTED_VALUE"""),"菅野 ぎんが")</f>
        <v>菅野 ぎんが</v>
      </c>
    </row>
    <row r="983" spans="2:4" ht="13">
      <c r="B983" s="12">
        <f ca="1">IFERROR(__xludf.DUMMYFUNCTION("""COMPUTED_VALUE"""),106393)</f>
        <v>106393</v>
      </c>
      <c r="C983" s="14">
        <f ca="1">IFERROR(__xludf.DUMMYFUNCTION("""COMPUTED_VALUE"""),0)</f>
        <v>0</v>
      </c>
      <c r="D983" s="12" t="str">
        <f ca="1">IFERROR(__xludf.DUMMYFUNCTION("""COMPUTED_VALUE"""),"柿崎 晃司")</f>
        <v>柿崎 晃司</v>
      </c>
    </row>
    <row r="984" spans="2:4" ht="13">
      <c r="B984" s="12">
        <f ca="1">IFERROR(__xludf.DUMMYFUNCTION("""COMPUTED_VALUE"""),106403)</f>
        <v>106403</v>
      </c>
      <c r="C984" s="14">
        <f ca="1">IFERROR(__xludf.DUMMYFUNCTION("""COMPUTED_VALUE"""),15)</f>
        <v>15</v>
      </c>
      <c r="D984" s="12" t="str">
        <f ca="1">IFERROR(__xludf.DUMMYFUNCTION("""COMPUTED_VALUE"""),"松尾 尚樹")</f>
        <v>松尾 尚樹</v>
      </c>
    </row>
    <row r="985" spans="2:4" ht="13">
      <c r="B985" s="12">
        <f ca="1">IFERROR(__xludf.DUMMYFUNCTION("""COMPUTED_VALUE"""),106423)</f>
        <v>106423</v>
      </c>
      <c r="C985" s="14">
        <f ca="1">IFERROR(__xludf.DUMMYFUNCTION("""COMPUTED_VALUE"""),18)</f>
        <v>18</v>
      </c>
      <c r="D985" s="12" t="str">
        <f ca="1">IFERROR(__xludf.DUMMYFUNCTION("""COMPUTED_VALUE"""),"稲場 勇介")</f>
        <v>稲場 勇介</v>
      </c>
    </row>
    <row r="986" spans="2:4" ht="13">
      <c r="B986" s="12">
        <f ca="1">IFERROR(__xludf.DUMMYFUNCTION("""COMPUTED_VALUE"""),106424)</f>
        <v>106424</v>
      </c>
      <c r="C986" s="14">
        <f ca="1">IFERROR(__xludf.DUMMYFUNCTION("""COMPUTED_VALUE"""),4)</f>
        <v>4</v>
      </c>
      <c r="D986" s="12" t="str">
        <f ca="1">IFERROR(__xludf.DUMMYFUNCTION("""COMPUTED_VALUE"""),"松尾 尚樹")</f>
        <v>松尾 尚樹</v>
      </c>
    </row>
    <row r="987" spans="2:4" ht="13">
      <c r="B987" s="12">
        <f ca="1">IFERROR(__xludf.DUMMYFUNCTION("""COMPUTED_VALUE"""),106426)</f>
        <v>106426</v>
      </c>
      <c r="C987" s="14">
        <f ca="1">IFERROR(__xludf.DUMMYFUNCTION("""COMPUTED_VALUE"""),0)</f>
        <v>0</v>
      </c>
      <c r="D987" s="12" t="str">
        <f ca="1">IFERROR(__xludf.DUMMYFUNCTION("""COMPUTED_VALUE"""),"稲場 勇介")</f>
        <v>稲場 勇介</v>
      </c>
    </row>
    <row r="988" spans="2:4" ht="13">
      <c r="B988" s="12">
        <f ca="1">IFERROR(__xludf.DUMMYFUNCTION("""COMPUTED_VALUE"""),106431)</f>
        <v>106431</v>
      </c>
      <c r="C988" s="14">
        <f ca="1">IFERROR(__xludf.DUMMYFUNCTION("""COMPUTED_VALUE"""),0)</f>
        <v>0</v>
      </c>
      <c r="D988" s="12" t="str">
        <f ca="1">IFERROR(__xludf.DUMMYFUNCTION("""COMPUTED_VALUE"""),"大木 優香")</f>
        <v>大木 優香</v>
      </c>
    </row>
    <row r="989" spans="2:4" ht="13">
      <c r="B989" s="12">
        <f ca="1">IFERROR(__xludf.DUMMYFUNCTION("""COMPUTED_VALUE"""),106448)</f>
        <v>106448</v>
      </c>
      <c r="C989" s="14">
        <f ca="1">IFERROR(__xludf.DUMMYFUNCTION("""COMPUTED_VALUE"""),24)</f>
        <v>24</v>
      </c>
      <c r="D989" s="12" t="str">
        <f ca="1">IFERROR(__xludf.DUMMYFUNCTION("""COMPUTED_VALUE"""),"松尾 尚樹")</f>
        <v>松尾 尚樹</v>
      </c>
    </row>
    <row r="990" spans="2:4" ht="13">
      <c r="B990" s="12">
        <f ca="1">IFERROR(__xludf.DUMMYFUNCTION("""COMPUTED_VALUE"""),106465)</f>
        <v>106465</v>
      </c>
      <c r="C990" s="14">
        <f ca="1">IFERROR(__xludf.DUMMYFUNCTION("""COMPUTED_VALUE"""),25)</f>
        <v>25</v>
      </c>
      <c r="D990" s="12" t="str">
        <f ca="1">IFERROR(__xludf.DUMMYFUNCTION("""COMPUTED_VALUE"""),"小関 麻起")</f>
        <v>小関 麻起</v>
      </c>
    </row>
    <row r="991" spans="2:4" ht="13">
      <c r="B991" s="12">
        <f ca="1">IFERROR(__xludf.DUMMYFUNCTION("""COMPUTED_VALUE"""),106474)</f>
        <v>106474</v>
      </c>
      <c r="C991" s="14">
        <f ca="1">IFERROR(__xludf.DUMMYFUNCTION("""COMPUTED_VALUE"""),0)</f>
        <v>0</v>
      </c>
      <c r="D991" s="12" t="str">
        <f ca="1">IFERROR(__xludf.DUMMYFUNCTION("""COMPUTED_VALUE"""),"小関 麻起")</f>
        <v>小関 麻起</v>
      </c>
    </row>
    <row r="992" spans="2:4" ht="13">
      <c r="B992" s="12">
        <f ca="1">IFERROR(__xludf.DUMMYFUNCTION("""COMPUTED_VALUE"""),106492)</f>
        <v>106492</v>
      </c>
      <c r="C992" s="14">
        <f ca="1">IFERROR(__xludf.DUMMYFUNCTION("""COMPUTED_VALUE"""),0)</f>
        <v>0</v>
      </c>
      <c r="D992" s="12" t="str">
        <f ca="1">IFERROR(__xludf.DUMMYFUNCTION("""COMPUTED_VALUE"""),"長谷川 陸朗")</f>
        <v>長谷川 陸朗</v>
      </c>
    </row>
    <row r="993" spans="2:4" ht="13">
      <c r="B993" s="12">
        <f ca="1">IFERROR(__xludf.DUMMYFUNCTION("""COMPUTED_VALUE"""),106498)</f>
        <v>106498</v>
      </c>
      <c r="C993" s="14">
        <f ca="1">IFERROR(__xludf.DUMMYFUNCTION("""COMPUTED_VALUE"""),0)</f>
        <v>0</v>
      </c>
      <c r="D993" s="12" t="str">
        <f ca="1">IFERROR(__xludf.DUMMYFUNCTION("""COMPUTED_VALUE"""),"長谷川 陸朗")</f>
        <v>長谷川 陸朗</v>
      </c>
    </row>
    <row r="994" spans="2:4" ht="13">
      <c r="B994" s="12">
        <f ca="1">IFERROR(__xludf.DUMMYFUNCTION("""COMPUTED_VALUE"""),106499)</f>
        <v>106499</v>
      </c>
      <c r="C994" s="14">
        <f ca="1">IFERROR(__xludf.DUMMYFUNCTION("""COMPUTED_VALUE"""),52)</f>
        <v>52</v>
      </c>
      <c r="D994" s="12" t="str">
        <f ca="1">IFERROR(__xludf.DUMMYFUNCTION("""COMPUTED_VALUE"""),"松尾 尚樹")</f>
        <v>松尾 尚樹</v>
      </c>
    </row>
    <row r="995" spans="2:4" ht="13">
      <c r="B995" s="12">
        <f ca="1">IFERROR(__xludf.DUMMYFUNCTION("""COMPUTED_VALUE"""),106505)</f>
        <v>106505</v>
      </c>
      <c r="C995" s="14">
        <f ca="1">IFERROR(__xludf.DUMMYFUNCTION("""COMPUTED_VALUE"""),0)</f>
        <v>0</v>
      </c>
      <c r="D995" s="12" t="str">
        <f ca="1">IFERROR(__xludf.DUMMYFUNCTION("""COMPUTED_VALUE"""),"長谷川 陸朗")</f>
        <v>長谷川 陸朗</v>
      </c>
    </row>
    <row r="996" spans="2:4" ht="13">
      <c r="B996" s="12">
        <f ca="1">IFERROR(__xludf.DUMMYFUNCTION("""COMPUTED_VALUE"""),106509)</f>
        <v>106509</v>
      </c>
      <c r="C996" s="14">
        <f ca="1">IFERROR(__xludf.DUMMYFUNCTION("""COMPUTED_VALUE"""),0)</f>
        <v>0</v>
      </c>
      <c r="D996" s="12" t="str">
        <f ca="1">IFERROR(__xludf.DUMMYFUNCTION("""COMPUTED_VALUE"""),"小関 麻起")</f>
        <v>小関 麻起</v>
      </c>
    </row>
    <row r="997" spans="2:4" ht="13">
      <c r="B997" s="12">
        <f ca="1">IFERROR(__xludf.DUMMYFUNCTION("""COMPUTED_VALUE"""),106519)</f>
        <v>106519</v>
      </c>
      <c r="C997" s="14">
        <f ca="1">IFERROR(__xludf.DUMMYFUNCTION("""COMPUTED_VALUE"""),0)</f>
        <v>0</v>
      </c>
      <c r="D997" s="12" t="str">
        <f ca="1">IFERROR(__xludf.DUMMYFUNCTION("""COMPUTED_VALUE"""),"村上 浩一朗")</f>
        <v>村上 浩一朗</v>
      </c>
    </row>
    <row r="998" spans="2:4" ht="13">
      <c r="B998" s="12">
        <f ca="1">IFERROR(__xludf.DUMMYFUNCTION("""COMPUTED_VALUE"""),106523)</f>
        <v>106523</v>
      </c>
      <c r="C998" s="14">
        <f ca="1">IFERROR(__xludf.DUMMYFUNCTION("""COMPUTED_VALUE"""),2)</f>
        <v>2</v>
      </c>
      <c r="D998" s="12" t="str">
        <f ca="1">IFERROR(__xludf.DUMMYFUNCTION("""COMPUTED_VALUE"""),"大木 優香")</f>
        <v>大木 優香</v>
      </c>
    </row>
    <row r="999" spans="2:4" ht="13">
      <c r="B999" s="12">
        <f ca="1">IFERROR(__xludf.DUMMYFUNCTION("""COMPUTED_VALUE"""),106524)</f>
        <v>106524</v>
      </c>
      <c r="C999" s="14">
        <f ca="1">IFERROR(__xludf.DUMMYFUNCTION("""COMPUTED_VALUE"""),6)</f>
        <v>6</v>
      </c>
      <c r="D999" s="12" t="str">
        <f ca="1">IFERROR(__xludf.DUMMYFUNCTION("""COMPUTED_VALUE"""),"大木 優香")</f>
        <v>大木 優香</v>
      </c>
    </row>
    <row r="1000" spans="2:4" ht="13">
      <c r="B1000" s="12">
        <f ca="1">IFERROR(__xludf.DUMMYFUNCTION("""COMPUTED_VALUE"""),106526)</f>
        <v>106526</v>
      </c>
      <c r="C1000" s="14">
        <f ca="1">IFERROR(__xludf.DUMMYFUNCTION("""COMPUTED_VALUE"""),0)</f>
        <v>0</v>
      </c>
      <c r="D1000" s="12" t="str">
        <f ca="1">IFERROR(__xludf.DUMMYFUNCTION("""COMPUTED_VALUE"""),"長谷川 陸朗")</f>
        <v>長谷川 陸朗</v>
      </c>
    </row>
    <row r="1001" spans="2:4" ht="13">
      <c r="B1001" s="12">
        <f ca="1">IFERROR(__xludf.DUMMYFUNCTION("""COMPUTED_VALUE"""),106532)</f>
        <v>106532</v>
      </c>
      <c r="C1001" s="14">
        <f ca="1">IFERROR(__xludf.DUMMYFUNCTION("""COMPUTED_VALUE"""),0)</f>
        <v>0</v>
      </c>
      <c r="D1001" s="12" t="str">
        <f ca="1">IFERROR(__xludf.DUMMYFUNCTION("""COMPUTED_VALUE"""),"稲場 勇介")</f>
        <v>稲場 勇介</v>
      </c>
    </row>
    <row r="1002" spans="2:4" ht="13">
      <c r="B1002" s="12">
        <f ca="1">IFERROR(__xludf.DUMMYFUNCTION("""COMPUTED_VALUE"""),106534)</f>
        <v>106534</v>
      </c>
      <c r="C1002" s="14">
        <f ca="1">IFERROR(__xludf.DUMMYFUNCTION("""COMPUTED_VALUE"""),26)</f>
        <v>26</v>
      </c>
      <c r="D1002" s="12" t="str">
        <f ca="1">IFERROR(__xludf.DUMMYFUNCTION("""COMPUTED_VALUE"""),"松尾 尚樹")</f>
        <v>松尾 尚樹</v>
      </c>
    </row>
    <row r="1003" spans="2:4" ht="13">
      <c r="B1003" s="12">
        <f ca="1">IFERROR(__xludf.DUMMYFUNCTION("""COMPUTED_VALUE"""),106535)</f>
        <v>106535</v>
      </c>
      <c r="C1003" s="14">
        <f ca="1">IFERROR(__xludf.DUMMYFUNCTION("""COMPUTED_VALUE"""),1)</f>
        <v>1</v>
      </c>
      <c r="D1003" s="12" t="str">
        <f ca="1">IFERROR(__xludf.DUMMYFUNCTION("""COMPUTED_VALUE"""),"長谷川 陸朗")</f>
        <v>長谷川 陸朗</v>
      </c>
    </row>
    <row r="1004" spans="2:4" ht="13">
      <c r="B1004" s="12">
        <f ca="1">IFERROR(__xludf.DUMMYFUNCTION("""COMPUTED_VALUE"""),106558)</f>
        <v>106558</v>
      </c>
      <c r="C1004" s="14">
        <f ca="1">IFERROR(__xludf.DUMMYFUNCTION("""COMPUTED_VALUE"""),8)</f>
        <v>8</v>
      </c>
      <c r="D1004" s="12" t="str">
        <f ca="1">IFERROR(__xludf.DUMMYFUNCTION("""COMPUTED_VALUE"""),"小関 麻起")</f>
        <v>小関 麻起</v>
      </c>
    </row>
    <row r="1005" spans="2:4" ht="13">
      <c r="B1005" s="12">
        <f ca="1">IFERROR(__xludf.DUMMYFUNCTION("""COMPUTED_VALUE"""),106568)</f>
        <v>106568</v>
      </c>
      <c r="C1005" s="14">
        <f ca="1">IFERROR(__xludf.DUMMYFUNCTION("""COMPUTED_VALUE"""),4)</f>
        <v>4</v>
      </c>
      <c r="D1005" s="12" t="str">
        <f ca="1">IFERROR(__xludf.DUMMYFUNCTION("""COMPUTED_VALUE"""),"内丸 裕子")</f>
        <v>内丸 裕子</v>
      </c>
    </row>
    <row r="1006" spans="2:4" ht="13">
      <c r="B1006" s="12">
        <f ca="1">IFERROR(__xludf.DUMMYFUNCTION("""COMPUTED_VALUE"""),106569)</f>
        <v>106569</v>
      </c>
      <c r="C1006" s="14">
        <f ca="1">IFERROR(__xludf.DUMMYFUNCTION("""COMPUTED_VALUE"""),0)</f>
        <v>0</v>
      </c>
      <c r="D1006" s="12" t="str">
        <f ca="1">IFERROR(__xludf.DUMMYFUNCTION("""COMPUTED_VALUE"""),"菅野 ぎんが")</f>
        <v>菅野 ぎんが</v>
      </c>
    </row>
    <row r="1007" spans="2:4" ht="13">
      <c r="B1007" s="12">
        <f ca="1">IFERROR(__xludf.DUMMYFUNCTION("""COMPUTED_VALUE"""),106575)</f>
        <v>106575</v>
      </c>
      <c r="C1007" s="14">
        <f ca="1">IFERROR(__xludf.DUMMYFUNCTION("""COMPUTED_VALUE"""),4)</f>
        <v>4</v>
      </c>
      <c r="D1007" s="12" t="str">
        <f ca="1">IFERROR(__xludf.DUMMYFUNCTION("""COMPUTED_VALUE"""),"小関 麻起")</f>
        <v>小関 麻起</v>
      </c>
    </row>
    <row r="1008" spans="2:4" ht="13">
      <c r="B1008" s="12">
        <f ca="1">IFERROR(__xludf.DUMMYFUNCTION("""COMPUTED_VALUE"""),106598)</f>
        <v>106598</v>
      </c>
      <c r="C1008" s="14">
        <f ca="1">IFERROR(__xludf.DUMMYFUNCTION("""COMPUTED_VALUE"""),1)</f>
        <v>1</v>
      </c>
      <c r="D1008" s="12" t="str">
        <f ca="1">IFERROR(__xludf.DUMMYFUNCTION("""COMPUTED_VALUE"""),"長谷川 陸朗")</f>
        <v>長谷川 陸朗</v>
      </c>
    </row>
    <row r="1009" spans="2:4" ht="13">
      <c r="B1009" s="12">
        <f ca="1">IFERROR(__xludf.DUMMYFUNCTION("""COMPUTED_VALUE"""),106660)</f>
        <v>106660</v>
      </c>
      <c r="C1009" s="14">
        <f ca="1">IFERROR(__xludf.DUMMYFUNCTION("""COMPUTED_VALUE"""),3)</f>
        <v>3</v>
      </c>
      <c r="D1009" s="12" t="str">
        <f ca="1">IFERROR(__xludf.DUMMYFUNCTION("""COMPUTED_VALUE"""),"荻曽 克輝")</f>
        <v>荻曽 克輝</v>
      </c>
    </row>
    <row r="1010" spans="2:4" ht="13">
      <c r="B1010" s="12">
        <f ca="1">IFERROR(__xludf.DUMMYFUNCTION("""COMPUTED_VALUE"""),106664)</f>
        <v>106664</v>
      </c>
      <c r="C1010" s="14">
        <f ca="1">IFERROR(__xludf.DUMMYFUNCTION("""COMPUTED_VALUE"""),0)</f>
        <v>0</v>
      </c>
      <c r="D1010" s="12" t="str">
        <f ca="1">IFERROR(__xludf.DUMMYFUNCTION("""COMPUTED_VALUE"""),"老田 純輝")</f>
        <v>老田 純輝</v>
      </c>
    </row>
    <row r="1011" spans="2:4" ht="13">
      <c r="B1011" s="12">
        <f ca="1">IFERROR(__xludf.DUMMYFUNCTION("""COMPUTED_VALUE"""),106670)</f>
        <v>106670</v>
      </c>
      <c r="C1011" s="14">
        <f ca="1">IFERROR(__xludf.DUMMYFUNCTION("""COMPUTED_VALUE"""),41)</f>
        <v>41</v>
      </c>
      <c r="D1011" s="12" t="str">
        <f ca="1">IFERROR(__xludf.DUMMYFUNCTION("""COMPUTED_VALUE"""),"内丸 裕子")</f>
        <v>内丸 裕子</v>
      </c>
    </row>
    <row r="1012" spans="2:4" ht="13">
      <c r="B1012" s="12">
        <f ca="1">IFERROR(__xludf.DUMMYFUNCTION("""COMPUTED_VALUE"""),106671)</f>
        <v>106671</v>
      </c>
      <c r="C1012" s="14">
        <f ca="1">IFERROR(__xludf.DUMMYFUNCTION("""COMPUTED_VALUE"""),104)</f>
        <v>104</v>
      </c>
      <c r="D1012" s="12" t="str">
        <f ca="1">IFERROR(__xludf.DUMMYFUNCTION("""COMPUTED_VALUE"""),"内丸 裕子")</f>
        <v>内丸 裕子</v>
      </c>
    </row>
    <row r="1013" spans="2:4" ht="13">
      <c r="B1013" s="12">
        <f ca="1">IFERROR(__xludf.DUMMYFUNCTION("""COMPUTED_VALUE"""),106693)</f>
        <v>106693</v>
      </c>
      <c r="C1013" s="14">
        <f ca="1">IFERROR(__xludf.DUMMYFUNCTION("""COMPUTED_VALUE"""),2)</f>
        <v>2</v>
      </c>
      <c r="D1013" s="12" t="str">
        <f ca="1">IFERROR(__xludf.DUMMYFUNCTION("""COMPUTED_VALUE"""),"大木 優香")</f>
        <v>大木 優香</v>
      </c>
    </row>
    <row r="1014" spans="2:4" ht="13">
      <c r="B1014" s="12">
        <f ca="1">IFERROR(__xludf.DUMMYFUNCTION("""COMPUTED_VALUE"""),106697)</f>
        <v>106697</v>
      </c>
      <c r="C1014" s="14">
        <f ca="1">IFERROR(__xludf.DUMMYFUNCTION("""COMPUTED_VALUE"""),1)</f>
        <v>1</v>
      </c>
      <c r="D1014" s="12" t="str">
        <f ca="1">IFERROR(__xludf.DUMMYFUNCTION("""COMPUTED_VALUE"""),"成嶋 夏未")</f>
        <v>成嶋 夏未</v>
      </c>
    </row>
    <row r="1015" spans="2:4" ht="13">
      <c r="B1015" s="12">
        <f ca="1">IFERROR(__xludf.DUMMYFUNCTION("""COMPUTED_VALUE"""),106726)</f>
        <v>106726</v>
      </c>
      <c r="C1015" s="14">
        <f ca="1">IFERROR(__xludf.DUMMYFUNCTION("""COMPUTED_VALUE"""),0)</f>
        <v>0</v>
      </c>
      <c r="D1015" s="12" t="str">
        <f ca="1">IFERROR(__xludf.DUMMYFUNCTION("""COMPUTED_VALUE"""),"柿崎 晃司")</f>
        <v>柿崎 晃司</v>
      </c>
    </row>
    <row r="1016" spans="2:4" ht="13">
      <c r="B1016" s="12">
        <f ca="1">IFERROR(__xludf.DUMMYFUNCTION("""COMPUTED_VALUE"""),106727)</f>
        <v>106727</v>
      </c>
      <c r="C1016" s="14">
        <f ca="1">IFERROR(__xludf.DUMMYFUNCTION("""COMPUTED_VALUE"""),0)</f>
        <v>0</v>
      </c>
      <c r="D1016" s="12" t="str">
        <f ca="1">IFERROR(__xludf.DUMMYFUNCTION("""COMPUTED_VALUE"""),"松尾 尚樹")</f>
        <v>松尾 尚樹</v>
      </c>
    </row>
    <row r="1017" spans="2:4" ht="13">
      <c r="B1017" s="12">
        <f ca="1">IFERROR(__xludf.DUMMYFUNCTION("""COMPUTED_VALUE"""),106729)</f>
        <v>106729</v>
      </c>
      <c r="C1017" s="14">
        <f ca="1">IFERROR(__xludf.DUMMYFUNCTION("""COMPUTED_VALUE"""),6)</f>
        <v>6</v>
      </c>
      <c r="D1017" s="12" t="str">
        <f ca="1">IFERROR(__xludf.DUMMYFUNCTION("""COMPUTED_VALUE"""),"長谷川 陸朗")</f>
        <v>長谷川 陸朗</v>
      </c>
    </row>
    <row r="1018" spans="2:4" ht="13">
      <c r="B1018" s="12">
        <f ca="1">IFERROR(__xludf.DUMMYFUNCTION("""COMPUTED_VALUE"""),106730)</f>
        <v>106730</v>
      </c>
      <c r="C1018" s="14">
        <f ca="1">IFERROR(__xludf.DUMMYFUNCTION("""COMPUTED_VALUE"""),0)</f>
        <v>0</v>
      </c>
      <c r="D1018" s="12" t="str">
        <f ca="1">IFERROR(__xludf.DUMMYFUNCTION("""COMPUTED_VALUE"""),"松尾 尚樹")</f>
        <v>松尾 尚樹</v>
      </c>
    </row>
    <row r="1019" spans="2:4" ht="13">
      <c r="B1019" s="12">
        <f ca="1">IFERROR(__xludf.DUMMYFUNCTION("""COMPUTED_VALUE"""),106735)</f>
        <v>106735</v>
      </c>
      <c r="C1019" s="14">
        <f ca="1">IFERROR(__xludf.DUMMYFUNCTION("""COMPUTED_VALUE"""),43)</f>
        <v>43</v>
      </c>
      <c r="D1019" s="12" t="str">
        <f ca="1">IFERROR(__xludf.DUMMYFUNCTION("""COMPUTED_VALUE"""),"菅野 ぎんが")</f>
        <v>菅野 ぎんが</v>
      </c>
    </row>
    <row r="1020" spans="2:4" ht="13">
      <c r="B1020" s="12">
        <f ca="1">IFERROR(__xludf.DUMMYFUNCTION("""COMPUTED_VALUE"""),106744)</f>
        <v>106744</v>
      </c>
      <c r="C1020" s="14">
        <f ca="1">IFERROR(__xludf.DUMMYFUNCTION("""COMPUTED_VALUE"""),2)</f>
        <v>2</v>
      </c>
      <c r="D1020" s="12" t="str">
        <f ca="1">IFERROR(__xludf.DUMMYFUNCTION("""COMPUTED_VALUE"""),"小関 麻起")</f>
        <v>小関 麻起</v>
      </c>
    </row>
    <row r="1021" spans="2:4" ht="13">
      <c r="B1021" s="12">
        <f ca="1">IFERROR(__xludf.DUMMYFUNCTION("""COMPUTED_VALUE"""),106746)</f>
        <v>106746</v>
      </c>
      <c r="C1021" s="14">
        <f ca="1">IFERROR(__xludf.DUMMYFUNCTION("""COMPUTED_VALUE"""),8)</f>
        <v>8</v>
      </c>
      <c r="D1021" s="12" t="str">
        <f ca="1">IFERROR(__xludf.DUMMYFUNCTION("""COMPUTED_VALUE"""),"小関 麻起")</f>
        <v>小関 麻起</v>
      </c>
    </row>
    <row r="1022" spans="2:4" ht="13">
      <c r="B1022" s="12">
        <f ca="1">IFERROR(__xludf.DUMMYFUNCTION("""COMPUTED_VALUE"""),106772)</f>
        <v>106772</v>
      </c>
      <c r="C1022" s="14">
        <f ca="1">IFERROR(__xludf.DUMMYFUNCTION("""COMPUTED_VALUE"""),0)</f>
        <v>0</v>
      </c>
      <c r="D1022" s="12" t="str">
        <f ca="1">IFERROR(__xludf.DUMMYFUNCTION("""COMPUTED_VALUE"""),"辻村 将大")</f>
        <v>辻村 将大</v>
      </c>
    </row>
    <row r="1023" spans="2:4" ht="13">
      <c r="B1023" s="12">
        <f ca="1">IFERROR(__xludf.DUMMYFUNCTION("""COMPUTED_VALUE"""),106776)</f>
        <v>106776</v>
      </c>
      <c r="C1023" s="14">
        <f ca="1">IFERROR(__xludf.DUMMYFUNCTION("""COMPUTED_VALUE"""),0)</f>
        <v>0</v>
      </c>
      <c r="D1023" s="12" t="str">
        <f ca="1">IFERROR(__xludf.DUMMYFUNCTION("""COMPUTED_VALUE"""),"長谷川 陸朗")</f>
        <v>長谷川 陸朗</v>
      </c>
    </row>
    <row r="1024" spans="2:4" ht="13">
      <c r="B1024" s="12">
        <f ca="1">IFERROR(__xludf.DUMMYFUNCTION("""COMPUTED_VALUE"""),106816)</f>
        <v>106816</v>
      </c>
      <c r="C1024" s="14">
        <f ca="1">IFERROR(__xludf.DUMMYFUNCTION("""COMPUTED_VALUE"""),6)</f>
        <v>6</v>
      </c>
      <c r="D1024" s="12" t="str">
        <f ca="1">IFERROR(__xludf.DUMMYFUNCTION("""COMPUTED_VALUE"""),"柿崎 晃司")</f>
        <v>柿崎 晃司</v>
      </c>
    </row>
    <row r="1025" spans="2:4" ht="13">
      <c r="B1025" s="12">
        <f ca="1">IFERROR(__xludf.DUMMYFUNCTION("""COMPUTED_VALUE"""),106818)</f>
        <v>106818</v>
      </c>
      <c r="C1025" s="14">
        <f ca="1">IFERROR(__xludf.DUMMYFUNCTION("""COMPUTED_VALUE"""),2)</f>
        <v>2</v>
      </c>
      <c r="D1025" s="12" t="str">
        <f ca="1">IFERROR(__xludf.DUMMYFUNCTION("""COMPUTED_VALUE"""),"柿崎 晃司")</f>
        <v>柿崎 晃司</v>
      </c>
    </row>
    <row r="1026" spans="2:4" ht="13">
      <c r="B1026" s="12">
        <f ca="1">IFERROR(__xludf.DUMMYFUNCTION("""COMPUTED_VALUE"""),106820)</f>
        <v>106820</v>
      </c>
      <c r="C1026" s="14">
        <f ca="1">IFERROR(__xludf.DUMMYFUNCTION("""COMPUTED_VALUE"""),2)</f>
        <v>2</v>
      </c>
      <c r="D1026" s="12" t="str">
        <f ca="1">IFERROR(__xludf.DUMMYFUNCTION("""COMPUTED_VALUE"""),"柿崎 晃司")</f>
        <v>柿崎 晃司</v>
      </c>
    </row>
    <row r="1027" spans="2:4" ht="13">
      <c r="B1027" s="12">
        <f ca="1">IFERROR(__xludf.DUMMYFUNCTION("""COMPUTED_VALUE"""),106821)</f>
        <v>106821</v>
      </c>
      <c r="C1027" s="14">
        <f ca="1">IFERROR(__xludf.DUMMYFUNCTION("""COMPUTED_VALUE"""),19)</f>
        <v>19</v>
      </c>
      <c r="D1027" s="12" t="str">
        <f ca="1">IFERROR(__xludf.DUMMYFUNCTION("""COMPUTED_VALUE"""),"稲場 勇介")</f>
        <v>稲場 勇介</v>
      </c>
    </row>
    <row r="1028" spans="2:4" ht="13">
      <c r="B1028" s="12">
        <f ca="1">IFERROR(__xludf.DUMMYFUNCTION("""COMPUTED_VALUE"""),106822)</f>
        <v>106822</v>
      </c>
      <c r="C1028" s="14">
        <f ca="1">IFERROR(__xludf.DUMMYFUNCTION("""COMPUTED_VALUE"""),8)</f>
        <v>8</v>
      </c>
      <c r="D1028" s="12" t="str">
        <f ca="1">IFERROR(__xludf.DUMMYFUNCTION("""COMPUTED_VALUE"""),"柿崎 晃司")</f>
        <v>柿崎 晃司</v>
      </c>
    </row>
    <row r="1029" spans="2:4" ht="13">
      <c r="B1029" s="12">
        <f ca="1">IFERROR(__xludf.DUMMYFUNCTION("""COMPUTED_VALUE"""),106823)</f>
        <v>106823</v>
      </c>
      <c r="C1029" s="14">
        <f ca="1">IFERROR(__xludf.DUMMYFUNCTION("""COMPUTED_VALUE"""),4)</f>
        <v>4</v>
      </c>
      <c r="D1029" s="12" t="str">
        <f ca="1">IFERROR(__xludf.DUMMYFUNCTION("""COMPUTED_VALUE"""),"柿崎 晃司")</f>
        <v>柿崎 晃司</v>
      </c>
    </row>
    <row r="1030" spans="2:4" ht="13">
      <c r="B1030" s="12">
        <f ca="1">IFERROR(__xludf.DUMMYFUNCTION("""COMPUTED_VALUE"""),106824)</f>
        <v>106824</v>
      </c>
      <c r="C1030" s="14">
        <f ca="1">IFERROR(__xludf.DUMMYFUNCTION("""COMPUTED_VALUE"""),2)</f>
        <v>2</v>
      </c>
      <c r="D1030" s="12" t="str">
        <f ca="1">IFERROR(__xludf.DUMMYFUNCTION("""COMPUTED_VALUE"""),"柿崎 晃司")</f>
        <v>柿崎 晃司</v>
      </c>
    </row>
    <row r="1031" spans="2:4" ht="13">
      <c r="B1031" s="12">
        <f ca="1">IFERROR(__xludf.DUMMYFUNCTION("""COMPUTED_VALUE"""),106826)</f>
        <v>106826</v>
      </c>
      <c r="C1031" s="14">
        <f ca="1">IFERROR(__xludf.DUMMYFUNCTION("""COMPUTED_VALUE"""),1)</f>
        <v>1</v>
      </c>
      <c r="D1031" s="12" t="str">
        <f ca="1">IFERROR(__xludf.DUMMYFUNCTION("""COMPUTED_VALUE"""),"柿崎 晃司")</f>
        <v>柿崎 晃司</v>
      </c>
    </row>
    <row r="1032" spans="2:4" ht="13">
      <c r="B1032" s="12">
        <f ca="1">IFERROR(__xludf.DUMMYFUNCTION("""COMPUTED_VALUE"""),106829)</f>
        <v>106829</v>
      </c>
      <c r="C1032" s="14">
        <f ca="1">IFERROR(__xludf.DUMMYFUNCTION("""COMPUTED_VALUE"""),1)</f>
        <v>1</v>
      </c>
      <c r="D1032" s="12" t="str">
        <f ca="1">IFERROR(__xludf.DUMMYFUNCTION("""COMPUTED_VALUE"""),"柿崎 晃司")</f>
        <v>柿崎 晃司</v>
      </c>
    </row>
    <row r="1033" spans="2:4" ht="13">
      <c r="B1033" s="12">
        <f ca="1">IFERROR(__xludf.DUMMYFUNCTION("""COMPUTED_VALUE"""),106830)</f>
        <v>106830</v>
      </c>
      <c r="C1033" s="14">
        <f ca="1">IFERROR(__xludf.DUMMYFUNCTION("""COMPUTED_VALUE"""),0)</f>
        <v>0</v>
      </c>
      <c r="D1033" s="12" t="str">
        <f ca="1">IFERROR(__xludf.DUMMYFUNCTION("""COMPUTED_VALUE"""),"柿崎 晃司")</f>
        <v>柿崎 晃司</v>
      </c>
    </row>
    <row r="1034" spans="2:4" ht="13">
      <c r="B1034" s="12">
        <f ca="1">IFERROR(__xludf.DUMMYFUNCTION("""COMPUTED_VALUE"""),106831)</f>
        <v>106831</v>
      </c>
      <c r="C1034" s="14">
        <f ca="1">IFERROR(__xludf.DUMMYFUNCTION("""COMPUTED_VALUE"""),0)</f>
        <v>0</v>
      </c>
      <c r="D1034" s="12" t="str">
        <f ca="1">IFERROR(__xludf.DUMMYFUNCTION("""COMPUTED_VALUE"""),"柿崎 晃司")</f>
        <v>柿崎 晃司</v>
      </c>
    </row>
    <row r="1035" spans="2:4" ht="13">
      <c r="B1035" s="12">
        <f ca="1">IFERROR(__xludf.DUMMYFUNCTION("""COMPUTED_VALUE"""),106845)</f>
        <v>106845</v>
      </c>
      <c r="C1035" s="14">
        <f ca="1">IFERROR(__xludf.DUMMYFUNCTION("""COMPUTED_VALUE"""),71)</f>
        <v>71</v>
      </c>
      <c r="D1035" s="12" t="str">
        <f ca="1">IFERROR(__xludf.DUMMYFUNCTION("""COMPUTED_VALUE"""),"柿崎 晃司")</f>
        <v>柿崎 晃司</v>
      </c>
    </row>
    <row r="1036" spans="2:4" ht="13">
      <c r="B1036" s="12">
        <f ca="1">IFERROR(__xludf.DUMMYFUNCTION("""COMPUTED_VALUE"""),106859)</f>
        <v>106859</v>
      </c>
      <c r="C1036" s="14">
        <f ca="1">IFERROR(__xludf.DUMMYFUNCTION("""COMPUTED_VALUE"""),0)</f>
        <v>0</v>
      </c>
      <c r="D1036" s="12" t="str">
        <f ca="1">IFERROR(__xludf.DUMMYFUNCTION("""COMPUTED_VALUE"""),"老田 純輝")</f>
        <v>老田 純輝</v>
      </c>
    </row>
    <row r="1037" spans="2:4" ht="13">
      <c r="B1037" s="12">
        <f ca="1">IFERROR(__xludf.DUMMYFUNCTION("""COMPUTED_VALUE"""),106867)</f>
        <v>106867</v>
      </c>
      <c r="C1037" s="14">
        <f ca="1">IFERROR(__xludf.DUMMYFUNCTION("""COMPUTED_VALUE"""),0)</f>
        <v>0</v>
      </c>
      <c r="D1037" s="12" t="str">
        <f ca="1">IFERROR(__xludf.DUMMYFUNCTION("""COMPUTED_VALUE"""),"森 光智")</f>
        <v>森 光智</v>
      </c>
    </row>
    <row r="1038" spans="2:4" ht="13">
      <c r="B1038" s="12">
        <f ca="1">IFERROR(__xludf.DUMMYFUNCTION("""COMPUTED_VALUE"""),106871)</f>
        <v>106871</v>
      </c>
      <c r="C1038" s="14">
        <f ca="1">IFERROR(__xludf.DUMMYFUNCTION("""COMPUTED_VALUE"""),0)</f>
        <v>0</v>
      </c>
      <c r="D1038" s="12" t="str">
        <f ca="1">IFERROR(__xludf.DUMMYFUNCTION("""COMPUTED_VALUE"""),"菅野 ぎんが")</f>
        <v>菅野 ぎんが</v>
      </c>
    </row>
    <row r="1039" spans="2:4" ht="13">
      <c r="B1039" s="12">
        <f ca="1">IFERROR(__xludf.DUMMYFUNCTION("""COMPUTED_VALUE"""),106875)</f>
        <v>106875</v>
      </c>
      <c r="C1039" s="14">
        <f ca="1">IFERROR(__xludf.DUMMYFUNCTION("""COMPUTED_VALUE"""),0)</f>
        <v>0</v>
      </c>
      <c r="D1039" s="12" t="str">
        <f ca="1">IFERROR(__xludf.DUMMYFUNCTION("""COMPUTED_VALUE"""),"村上 浩一朗")</f>
        <v>村上 浩一朗</v>
      </c>
    </row>
    <row r="1040" spans="2:4" ht="13">
      <c r="B1040" s="12">
        <f ca="1">IFERROR(__xludf.DUMMYFUNCTION("""COMPUTED_VALUE"""),106881)</f>
        <v>106881</v>
      </c>
      <c r="C1040" s="14">
        <f ca="1">IFERROR(__xludf.DUMMYFUNCTION("""COMPUTED_VALUE"""),0)</f>
        <v>0</v>
      </c>
      <c r="D1040" s="12" t="str">
        <f ca="1">IFERROR(__xludf.DUMMYFUNCTION("""COMPUTED_VALUE"""),"辻村 将大")</f>
        <v>辻村 将大</v>
      </c>
    </row>
    <row r="1041" spans="2:4" ht="13">
      <c r="B1041" s="12">
        <f ca="1">IFERROR(__xludf.DUMMYFUNCTION("""COMPUTED_VALUE"""),106883)</f>
        <v>106883</v>
      </c>
      <c r="C1041" s="14">
        <f ca="1">IFERROR(__xludf.DUMMYFUNCTION("""COMPUTED_VALUE"""),0)</f>
        <v>0</v>
      </c>
      <c r="D1041" s="12" t="str">
        <f ca="1">IFERROR(__xludf.DUMMYFUNCTION("""COMPUTED_VALUE"""),"辻村 将大")</f>
        <v>辻村 将大</v>
      </c>
    </row>
    <row r="1042" spans="2:4" ht="13">
      <c r="B1042" s="12">
        <f ca="1">IFERROR(__xludf.DUMMYFUNCTION("""COMPUTED_VALUE"""),106890)</f>
        <v>106890</v>
      </c>
      <c r="C1042" s="14">
        <f ca="1">IFERROR(__xludf.DUMMYFUNCTION("""COMPUTED_VALUE"""),82)</f>
        <v>82</v>
      </c>
      <c r="D1042" s="12" t="str">
        <f ca="1">IFERROR(__xludf.DUMMYFUNCTION("""COMPUTED_VALUE"""),"内丸 裕子")</f>
        <v>内丸 裕子</v>
      </c>
    </row>
    <row r="1043" spans="2:4" ht="13">
      <c r="B1043" s="12">
        <f ca="1">IFERROR(__xludf.DUMMYFUNCTION("""COMPUTED_VALUE"""),106891)</f>
        <v>106891</v>
      </c>
      <c r="C1043" s="14">
        <f ca="1">IFERROR(__xludf.DUMMYFUNCTION("""COMPUTED_VALUE"""),122)</f>
        <v>122</v>
      </c>
      <c r="D1043" s="12" t="str">
        <f ca="1">IFERROR(__xludf.DUMMYFUNCTION("""COMPUTED_VALUE"""),"内丸 裕子")</f>
        <v>内丸 裕子</v>
      </c>
    </row>
    <row r="1044" spans="2:4" ht="13">
      <c r="B1044" s="12">
        <f ca="1">IFERROR(__xludf.DUMMYFUNCTION("""COMPUTED_VALUE"""),106901)</f>
        <v>106901</v>
      </c>
      <c r="C1044" s="14">
        <f ca="1">IFERROR(__xludf.DUMMYFUNCTION("""COMPUTED_VALUE"""),0)</f>
        <v>0</v>
      </c>
      <c r="D1044" s="12" t="str">
        <f ca="1">IFERROR(__xludf.DUMMYFUNCTION("""COMPUTED_VALUE"""),"森 光智")</f>
        <v>森 光智</v>
      </c>
    </row>
    <row r="1045" spans="2:4" ht="13">
      <c r="B1045" s="12">
        <f ca="1">IFERROR(__xludf.DUMMYFUNCTION("""COMPUTED_VALUE"""),106902)</f>
        <v>106902</v>
      </c>
      <c r="C1045" s="14">
        <f ca="1">IFERROR(__xludf.DUMMYFUNCTION("""COMPUTED_VALUE"""),0)</f>
        <v>0</v>
      </c>
      <c r="D1045" s="12" t="str">
        <f ca="1">IFERROR(__xludf.DUMMYFUNCTION("""COMPUTED_VALUE"""),"稲場 勇介")</f>
        <v>稲場 勇介</v>
      </c>
    </row>
    <row r="1046" spans="2:4" ht="13">
      <c r="B1046" s="12">
        <f ca="1">IFERROR(__xludf.DUMMYFUNCTION("""COMPUTED_VALUE"""),106912)</f>
        <v>106912</v>
      </c>
      <c r="C1046" s="14">
        <f ca="1">IFERROR(__xludf.DUMMYFUNCTION("""COMPUTED_VALUE"""),16)</f>
        <v>16</v>
      </c>
      <c r="D1046" s="12" t="str">
        <f ca="1">IFERROR(__xludf.DUMMYFUNCTION("""COMPUTED_VALUE"""),"桑原 明子")</f>
        <v>桑原 明子</v>
      </c>
    </row>
    <row r="1047" spans="2:4" ht="13">
      <c r="B1047" s="12">
        <f ca="1">IFERROR(__xludf.DUMMYFUNCTION("""COMPUTED_VALUE"""),106913)</f>
        <v>106913</v>
      </c>
      <c r="C1047" s="14">
        <f ca="1">IFERROR(__xludf.DUMMYFUNCTION("""COMPUTED_VALUE"""),16)</f>
        <v>16</v>
      </c>
      <c r="D1047" s="12" t="str">
        <f ca="1">IFERROR(__xludf.DUMMYFUNCTION("""COMPUTED_VALUE"""),"桑原 明子")</f>
        <v>桑原 明子</v>
      </c>
    </row>
    <row r="1048" spans="2:4" ht="13">
      <c r="B1048" s="12">
        <f ca="1">IFERROR(__xludf.DUMMYFUNCTION("""COMPUTED_VALUE"""),106914)</f>
        <v>106914</v>
      </c>
      <c r="C1048" s="14">
        <f ca="1">IFERROR(__xludf.DUMMYFUNCTION("""COMPUTED_VALUE"""),10)</f>
        <v>10</v>
      </c>
      <c r="D1048" s="12" t="str">
        <f ca="1">IFERROR(__xludf.DUMMYFUNCTION("""COMPUTED_VALUE"""),"桑原 明子")</f>
        <v>桑原 明子</v>
      </c>
    </row>
    <row r="1049" spans="2:4" ht="13">
      <c r="B1049" s="12">
        <f ca="1">IFERROR(__xludf.DUMMYFUNCTION("""COMPUTED_VALUE"""),106917)</f>
        <v>106917</v>
      </c>
      <c r="C1049" s="14">
        <f ca="1">IFERROR(__xludf.DUMMYFUNCTION("""COMPUTED_VALUE"""),50)</f>
        <v>50</v>
      </c>
      <c r="D1049" s="12" t="str">
        <f ca="1">IFERROR(__xludf.DUMMYFUNCTION("""COMPUTED_VALUE"""),"成嶋 夏未")</f>
        <v>成嶋 夏未</v>
      </c>
    </row>
    <row r="1050" spans="2:4" ht="13">
      <c r="B1050" s="12">
        <f ca="1">IFERROR(__xludf.DUMMYFUNCTION("""COMPUTED_VALUE"""),106919)</f>
        <v>106919</v>
      </c>
      <c r="C1050" s="14">
        <f ca="1">IFERROR(__xludf.DUMMYFUNCTION("""COMPUTED_VALUE"""),154)</f>
        <v>154</v>
      </c>
      <c r="D1050" s="12" t="str">
        <f ca="1">IFERROR(__xludf.DUMMYFUNCTION("""COMPUTED_VALUE"""),"村上 浩一朗")</f>
        <v>村上 浩一朗</v>
      </c>
    </row>
    <row r="1051" spans="2:4" ht="13">
      <c r="B1051" s="12">
        <f ca="1">IFERROR(__xludf.DUMMYFUNCTION("""COMPUTED_VALUE"""),106920)</f>
        <v>106920</v>
      </c>
      <c r="C1051" s="14">
        <f ca="1">IFERROR(__xludf.DUMMYFUNCTION("""COMPUTED_VALUE"""),150)</f>
        <v>150</v>
      </c>
      <c r="D1051" s="12" t="str">
        <f ca="1">IFERROR(__xludf.DUMMYFUNCTION("""COMPUTED_VALUE"""),"村上 浩一朗")</f>
        <v>村上 浩一朗</v>
      </c>
    </row>
    <row r="1052" spans="2:4" ht="13">
      <c r="B1052" s="12">
        <f ca="1">IFERROR(__xludf.DUMMYFUNCTION("""COMPUTED_VALUE"""),106921)</f>
        <v>106921</v>
      </c>
      <c r="C1052" s="14">
        <f ca="1">IFERROR(__xludf.DUMMYFUNCTION("""COMPUTED_VALUE"""),159)</f>
        <v>159</v>
      </c>
      <c r="D1052" s="12" t="str">
        <f ca="1">IFERROR(__xludf.DUMMYFUNCTION("""COMPUTED_VALUE"""),"村上 浩一朗")</f>
        <v>村上 浩一朗</v>
      </c>
    </row>
    <row r="1053" spans="2:4" ht="13">
      <c r="B1053" s="12">
        <f ca="1">IFERROR(__xludf.DUMMYFUNCTION("""COMPUTED_VALUE"""),106922)</f>
        <v>106922</v>
      </c>
      <c r="C1053" s="14">
        <f ca="1">IFERROR(__xludf.DUMMYFUNCTION("""COMPUTED_VALUE"""),158)</f>
        <v>158</v>
      </c>
      <c r="D1053" s="12" t="str">
        <f ca="1">IFERROR(__xludf.DUMMYFUNCTION("""COMPUTED_VALUE"""),"村上 浩一朗")</f>
        <v>村上 浩一朗</v>
      </c>
    </row>
    <row r="1054" spans="2:4" ht="13">
      <c r="B1054" s="12">
        <f ca="1">IFERROR(__xludf.DUMMYFUNCTION("""COMPUTED_VALUE"""),106923)</f>
        <v>106923</v>
      </c>
      <c r="C1054" s="14">
        <f ca="1">IFERROR(__xludf.DUMMYFUNCTION("""COMPUTED_VALUE"""),0)</f>
        <v>0</v>
      </c>
      <c r="D1054" s="12" t="str">
        <f ca="1">IFERROR(__xludf.DUMMYFUNCTION("""COMPUTED_VALUE"""),"桑原 明子")</f>
        <v>桑原 明子</v>
      </c>
    </row>
    <row r="1055" spans="2:4" ht="13">
      <c r="B1055" s="12">
        <f ca="1">IFERROR(__xludf.DUMMYFUNCTION("""COMPUTED_VALUE"""),106928)</f>
        <v>106928</v>
      </c>
      <c r="C1055" s="14">
        <f ca="1">IFERROR(__xludf.DUMMYFUNCTION("""COMPUTED_VALUE"""),0)</f>
        <v>0</v>
      </c>
      <c r="D1055" s="12" t="str">
        <f ca="1">IFERROR(__xludf.DUMMYFUNCTION("""COMPUTED_VALUE"""),"森 光智")</f>
        <v>森 光智</v>
      </c>
    </row>
    <row r="1056" spans="2:4" ht="13">
      <c r="B1056" s="12">
        <f ca="1">IFERROR(__xludf.DUMMYFUNCTION("""COMPUTED_VALUE"""),106929)</f>
        <v>106929</v>
      </c>
      <c r="C1056" s="14">
        <f ca="1">IFERROR(__xludf.DUMMYFUNCTION("""COMPUTED_VALUE"""),3)</f>
        <v>3</v>
      </c>
      <c r="D1056" s="12" t="str">
        <f ca="1">IFERROR(__xludf.DUMMYFUNCTION("""COMPUTED_VALUE"""),"辻村 将大")</f>
        <v>辻村 将大</v>
      </c>
    </row>
    <row r="1057" spans="2:4" ht="13">
      <c r="B1057" s="12">
        <f ca="1">IFERROR(__xludf.DUMMYFUNCTION("""COMPUTED_VALUE"""),106940)</f>
        <v>106940</v>
      </c>
      <c r="C1057" s="14">
        <f ca="1">IFERROR(__xludf.DUMMYFUNCTION("""COMPUTED_VALUE"""),0)</f>
        <v>0</v>
      </c>
      <c r="D1057" s="12" t="str">
        <f ca="1">IFERROR(__xludf.DUMMYFUNCTION("""COMPUTED_VALUE"""),"成嶋 夏未")</f>
        <v>成嶋 夏未</v>
      </c>
    </row>
    <row r="1058" spans="2:4" ht="13">
      <c r="B1058" s="12">
        <f ca="1">IFERROR(__xludf.DUMMYFUNCTION("""COMPUTED_VALUE"""),106943)</f>
        <v>106943</v>
      </c>
      <c r="C1058" s="14">
        <f ca="1">IFERROR(__xludf.DUMMYFUNCTION("""COMPUTED_VALUE"""),0)</f>
        <v>0</v>
      </c>
      <c r="D1058" s="12" t="str">
        <f ca="1">IFERROR(__xludf.DUMMYFUNCTION("""COMPUTED_VALUE"""),"成嶋 夏未")</f>
        <v>成嶋 夏未</v>
      </c>
    </row>
    <row r="1059" spans="2:4" ht="13">
      <c r="B1059" s="12">
        <f ca="1">IFERROR(__xludf.DUMMYFUNCTION("""COMPUTED_VALUE"""),106947)</f>
        <v>106947</v>
      </c>
      <c r="C1059" s="14">
        <f ca="1">IFERROR(__xludf.DUMMYFUNCTION("""COMPUTED_VALUE"""),25)</f>
        <v>25</v>
      </c>
      <c r="D1059" s="12" t="str">
        <f ca="1">IFERROR(__xludf.DUMMYFUNCTION("""COMPUTED_VALUE"""),"松尾 尚樹")</f>
        <v>松尾 尚樹</v>
      </c>
    </row>
    <row r="1060" spans="2:4" ht="13">
      <c r="B1060" s="12">
        <f ca="1">IFERROR(__xludf.DUMMYFUNCTION("""COMPUTED_VALUE"""),106949)</f>
        <v>106949</v>
      </c>
      <c r="C1060" s="14">
        <f ca="1">IFERROR(__xludf.DUMMYFUNCTION("""COMPUTED_VALUE"""),7)</f>
        <v>7</v>
      </c>
      <c r="D1060" s="12" t="str">
        <f ca="1">IFERROR(__xludf.DUMMYFUNCTION("""COMPUTED_VALUE"""),"菅野 ぎんが")</f>
        <v>菅野 ぎんが</v>
      </c>
    </row>
    <row r="1061" spans="2:4" ht="13">
      <c r="B1061" s="12">
        <f ca="1">IFERROR(__xludf.DUMMYFUNCTION("""COMPUTED_VALUE"""),106957)</f>
        <v>106957</v>
      </c>
      <c r="C1061" s="14">
        <f ca="1">IFERROR(__xludf.DUMMYFUNCTION("""COMPUTED_VALUE"""),54)</f>
        <v>54</v>
      </c>
      <c r="D1061" s="12" t="str">
        <f ca="1">IFERROR(__xludf.DUMMYFUNCTION("""COMPUTED_VALUE"""),"内丸 裕子")</f>
        <v>内丸 裕子</v>
      </c>
    </row>
    <row r="1062" spans="2:4" ht="13">
      <c r="B1062" s="12">
        <f ca="1">IFERROR(__xludf.DUMMYFUNCTION("""COMPUTED_VALUE"""),106972)</f>
        <v>106972</v>
      </c>
      <c r="C1062" s="14">
        <f ca="1">IFERROR(__xludf.DUMMYFUNCTION("""COMPUTED_VALUE"""),0)</f>
        <v>0</v>
      </c>
      <c r="D1062" s="12" t="str">
        <f ca="1">IFERROR(__xludf.DUMMYFUNCTION("""COMPUTED_VALUE"""),"松尾 尚樹")</f>
        <v>松尾 尚樹</v>
      </c>
    </row>
    <row r="1063" spans="2:4" ht="13">
      <c r="B1063" s="12">
        <f ca="1">IFERROR(__xludf.DUMMYFUNCTION("""COMPUTED_VALUE"""),106981)</f>
        <v>106981</v>
      </c>
      <c r="C1063" s="14">
        <f ca="1">IFERROR(__xludf.DUMMYFUNCTION("""COMPUTED_VALUE"""),2)</f>
        <v>2</v>
      </c>
      <c r="D1063" s="12" t="str">
        <f ca="1">IFERROR(__xludf.DUMMYFUNCTION("""COMPUTED_VALUE"""),"辻村 将大")</f>
        <v>辻村 将大</v>
      </c>
    </row>
    <row r="1064" spans="2:4" ht="13">
      <c r="B1064" s="12">
        <f ca="1">IFERROR(__xludf.DUMMYFUNCTION("""COMPUTED_VALUE"""),106983)</f>
        <v>106983</v>
      </c>
      <c r="C1064" s="14">
        <f ca="1">IFERROR(__xludf.DUMMYFUNCTION("""COMPUTED_VALUE"""),0)</f>
        <v>0</v>
      </c>
      <c r="D1064" s="12" t="str">
        <f ca="1">IFERROR(__xludf.DUMMYFUNCTION("""COMPUTED_VALUE"""),"松尾 尚樹")</f>
        <v>松尾 尚樹</v>
      </c>
    </row>
    <row r="1065" spans="2:4" ht="13">
      <c r="B1065" s="12">
        <f ca="1">IFERROR(__xludf.DUMMYFUNCTION("""COMPUTED_VALUE"""),106990)</f>
        <v>106990</v>
      </c>
      <c r="C1065" s="14">
        <f ca="1">IFERROR(__xludf.DUMMYFUNCTION("""COMPUTED_VALUE"""),0)</f>
        <v>0</v>
      </c>
      <c r="D1065" s="12" t="str">
        <f ca="1">IFERROR(__xludf.DUMMYFUNCTION("""COMPUTED_VALUE"""),"堀越 駿")</f>
        <v>堀越 駿</v>
      </c>
    </row>
    <row r="1066" spans="2:4" ht="13">
      <c r="B1066" s="12">
        <f ca="1">IFERROR(__xludf.DUMMYFUNCTION("""COMPUTED_VALUE"""),106991)</f>
        <v>106991</v>
      </c>
      <c r="C1066" s="14">
        <f ca="1">IFERROR(__xludf.DUMMYFUNCTION("""COMPUTED_VALUE"""),0)</f>
        <v>0</v>
      </c>
      <c r="D1066" s="12" t="str">
        <f ca="1">IFERROR(__xludf.DUMMYFUNCTION("""COMPUTED_VALUE"""),"長谷川 陸朗")</f>
        <v>長谷川 陸朗</v>
      </c>
    </row>
    <row r="1067" spans="2:4" ht="13">
      <c r="B1067" s="12">
        <f ca="1">IFERROR(__xludf.DUMMYFUNCTION("""COMPUTED_VALUE"""),106993)</f>
        <v>106993</v>
      </c>
      <c r="C1067" s="14">
        <f ca="1">IFERROR(__xludf.DUMMYFUNCTION("""COMPUTED_VALUE"""),0)</f>
        <v>0</v>
      </c>
      <c r="D1067" s="12" t="str">
        <f ca="1">IFERROR(__xludf.DUMMYFUNCTION("""COMPUTED_VALUE"""),"松尾 尚樹")</f>
        <v>松尾 尚樹</v>
      </c>
    </row>
    <row r="1068" spans="2:4" ht="13">
      <c r="B1068" s="12">
        <f ca="1">IFERROR(__xludf.DUMMYFUNCTION("""COMPUTED_VALUE"""),106998)</f>
        <v>106998</v>
      </c>
      <c r="C1068" s="14">
        <f ca="1">IFERROR(__xludf.DUMMYFUNCTION("""COMPUTED_VALUE"""),11)</f>
        <v>11</v>
      </c>
      <c r="D1068" s="12" t="str">
        <f ca="1">IFERROR(__xludf.DUMMYFUNCTION("""COMPUTED_VALUE"""),"老田 純輝")</f>
        <v>老田 純輝</v>
      </c>
    </row>
    <row r="1069" spans="2:4" ht="13">
      <c r="B1069" s="12">
        <f ca="1">IFERROR(__xludf.DUMMYFUNCTION("""COMPUTED_VALUE"""),107046)</f>
        <v>107046</v>
      </c>
      <c r="C1069" s="14">
        <f ca="1">IFERROR(__xludf.DUMMYFUNCTION("""COMPUTED_VALUE"""),40)</f>
        <v>40</v>
      </c>
      <c r="D1069" s="12" t="str">
        <f ca="1">IFERROR(__xludf.DUMMYFUNCTION("""COMPUTED_VALUE"""),"柿崎 晃司")</f>
        <v>柿崎 晃司</v>
      </c>
    </row>
    <row r="1070" spans="2:4" ht="13">
      <c r="B1070" s="12">
        <f ca="1">IFERROR(__xludf.DUMMYFUNCTION("""COMPUTED_VALUE"""),107049)</f>
        <v>107049</v>
      </c>
      <c r="C1070" s="14">
        <f ca="1">IFERROR(__xludf.DUMMYFUNCTION("""COMPUTED_VALUE"""),13)</f>
        <v>13</v>
      </c>
      <c r="D1070" s="12" t="str">
        <f ca="1">IFERROR(__xludf.DUMMYFUNCTION("""COMPUTED_VALUE"""),"小関 麻起")</f>
        <v>小関 麻起</v>
      </c>
    </row>
    <row r="1071" spans="2:4" ht="13">
      <c r="B1071" s="12">
        <f ca="1">IFERROR(__xludf.DUMMYFUNCTION("""COMPUTED_VALUE"""),107080)</f>
        <v>107080</v>
      </c>
      <c r="C1071" s="14">
        <f ca="1">IFERROR(__xludf.DUMMYFUNCTION("""COMPUTED_VALUE"""),0)</f>
        <v>0</v>
      </c>
      <c r="D1071" s="12" t="str">
        <f ca="1">IFERROR(__xludf.DUMMYFUNCTION("""COMPUTED_VALUE"""),"長谷川 陸朗")</f>
        <v>長谷川 陸朗</v>
      </c>
    </row>
    <row r="1072" spans="2:4" ht="13">
      <c r="B1072" s="12">
        <f ca="1">IFERROR(__xludf.DUMMYFUNCTION("""COMPUTED_VALUE"""),107081)</f>
        <v>107081</v>
      </c>
      <c r="C1072" s="14">
        <f ca="1">IFERROR(__xludf.DUMMYFUNCTION("""COMPUTED_VALUE"""),2)</f>
        <v>2</v>
      </c>
      <c r="D1072" s="12" t="str">
        <f ca="1">IFERROR(__xludf.DUMMYFUNCTION("""COMPUTED_VALUE"""),"村上 浩一朗")</f>
        <v>村上 浩一朗</v>
      </c>
    </row>
    <row r="1073" spans="2:4" ht="13">
      <c r="B1073" s="12">
        <f ca="1">IFERROR(__xludf.DUMMYFUNCTION("""COMPUTED_VALUE"""),107082)</f>
        <v>107082</v>
      </c>
      <c r="C1073" s="14">
        <f ca="1">IFERROR(__xludf.DUMMYFUNCTION("""COMPUTED_VALUE"""),14)</f>
        <v>14</v>
      </c>
      <c r="D1073" s="12" t="str">
        <f ca="1">IFERROR(__xludf.DUMMYFUNCTION("""COMPUTED_VALUE"""),"桑原 明子")</f>
        <v>桑原 明子</v>
      </c>
    </row>
    <row r="1074" spans="2:4" ht="13">
      <c r="B1074" s="12">
        <f ca="1">IFERROR(__xludf.DUMMYFUNCTION("""COMPUTED_VALUE"""),107091)</f>
        <v>107091</v>
      </c>
      <c r="C1074" s="14">
        <f ca="1">IFERROR(__xludf.DUMMYFUNCTION("""COMPUTED_VALUE"""),42)</f>
        <v>42</v>
      </c>
      <c r="D1074" s="12" t="str">
        <f ca="1">IFERROR(__xludf.DUMMYFUNCTION("""COMPUTED_VALUE"""),"辻村 将大")</f>
        <v>辻村 将大</v>
      </c>
    </row>
    <row r="1075" spans="2:4" ht="13">
      <c r="B1075" s="12">
        <f ca="1">IFERROR(__xludf.DUMMYFUNCTION("""COMPUTED_VALUE"""),107094)</f>
        <v>107094</v>
      </c>
      <c r="C1075" s="14">
        <f ca="1">IFERROR(__xludf.DUMMYFUNCTION("""COMPUTED_VALUE"""),0)</f>
        <v>0</v>
      </c>
      <c r="D1075" s="12" t="str">
        <f ca="1">IFERROR(__xludf.DUMMYFUNCTION("""COMPUTED_VALUE"""),"芳賀 亮輔")</f>
        <v>芳賀 亮輔</v>
      </c>
    </row>
    <row r="1076" spans="2:4" ht="13">
      <c r="B1076" s="12">
        <f ca="1">IFERROR(__xludf.DUMMYFUNCTION("""COMPUTED_VALUE"""),107095)</f>
        <v>107095</v>
      </c>
      <c r="C1076" s="14">
        <f ca="1">IFERROR(__xludf.DUMMYFUNCTION("""COMPUTED_VALUE"""),9)</f>
        <v>9</v>
      </c>
      <c r="D1076" s="12" t="str">
        <f ca="1">IFERROR(__xludf.DUMMYFUNCTION("""COMPUTED_VALUE"""),"成嶋 夏未")</f>
        <v>成嶋 夏未</v>
      </c>
    </row>
    <row r="1077" spans="2:4" ht="13">
      <c r="B1077" s="12">
        <f ca="1">IFERROR(__xludf.DUMMYFUNCTION("""COMPUTED_VALUE"""),107108)</f>
        <v>107108</v>
      </c>
      <c r="C1077" s="14">
        <f ca="1">IFERROR(__xludf.DUMMYFUNCTION("""COMPUTED_VALUE"""),0)</f>
        <v>0</v>
      </c>
      <c r="D1077" s="12" t="str">
        <f ca="1">IFERROR(__xludf.DUMMYFUNCTION("""COMPUTED_VALUE"""),"小関 麻起")</f>
        <v>小関 麻起</v>
      </c>
    </row>
    <row r="1078" spans="2:4" ht="13">
      <c r="B1078" s="12">
        <f ca="1">IFERROR(__xludf.DUMMYFUNCTION("""COMPUTED_VALUE"""),107111)</f>
        <v>107111</v>
      </c>
      <c r="C1078" s="14">
        <f ca="1">IFERROR(__xludf.DUMMYFUNCTION("""COMPUTED_VALUE"""),0)</f>
        <v>0</v>
      </c>
      <c r="D1078" s="12" t="str">
        <f ca="1">IFERROR(__xludf.DUMMYFUNCTION("""COMPUTED_VALUE"""),"稲場 勇介")</f>
        <v>稲場 勇介</v>
      </c>
    </row>
    <row r="1079" spans="2:4" ht="13">
      <c r="B1079" s="12">
        <f ca="1">IFERROR(__xludf.DUMMYFUNCTION("""COMPUTED_VALUE"""),107128)</f>
        <v>107128</v>
      </c>
      <c r="C1079" s="14">
        <f ca="1">IFERROR(__xludf.DUMMYFUNCTION("""COMPUTED_VALUE"""),0)</f>
        <v>0</v>
      </c>
      <c r="D1079" s="12" t="str">
        <f ca="1">IFERROR(__xludf.DUMMYFUNCTION("""COMPUTED_VALUE"""),"辻村 将大")</f>
        <v>辻村 将大</v>
      </c>
    </row>
    <row r="1080" spans="2:4" ht="13">
      <c r="B1080" s="12">
        <f ca="1">IFERROR(__xludf.DUMMYFUNCTION("""COMPUTED_VALUE"""),107132)</f>
        <v>107132</v>
      </c>
      <c r="C1080" s="14">
        <f ca="1">IFERROR(__xludf.DUMMYFUNCTION("""COMPUTED_VALUE"""),0)</f>
        <v>0</v>
      </c>
      <c r="D1080" s="12" t="str">
        <f ca="1">IFERROR(__xludf.DUMMYFUNCTION("""COMPUTED_VALUE"""),"村上 浩一朗")</f>
        <v>村上 浩一朗</v>
      </c>
    </row>
    <row r="1081" spans="2:4" ht="13">
      <c r="B1081" s="12">
        <f ca="1">IFERROR(__xludf.DUMMYFUNCTION("""COMPUTED_VALUE"""),107150)</f>
        <v>107150</v>
      </c>
      <c r="C1081" s="14">
        <f ca="1">IFERROR(__xludf.DUMMYFUNCTION("""COMPUTED_VALUE"""),0)</f>
        <v>0</v>
      </c>
      <c r="D1081" s="12" t="str">
        <f ca="1">IFERROR(__xludf.DUMMYFUNCTION("""COMPUTED_VALUE"""),"菅野 ぎんが")</f>
        <v>菅野 ぎんが</v>
      </c>
    </row>
    <row r="1082" spans="2:4" ht="13">
      <c r="B1082" s="12">
        <f ca="1">IFERROR(__xludf.DUMMYFUNCTION("""COMPUTED_VALUE"""),107154)</f>
        <v>107154</v>
      </c>
      <c r="C1082" s="14">
        <f ca="1">IFERROR(__xludf.DUMMYFUNCTION("""COMPUTED_VALUE"""),0)</f>
        <v>0</v>
      </c>
      <c r="D1082" s="12" t="str">
        <f ca="1">IFERROR(__xludf.DUMMYFUNCTION("""COMPUTED_VALUE"""),"堀越 駿")</f>
        <v>堀越 駿</v>
      </c>
    </row>
    <row r="1083" spans="2:4" ht="13">
      <c r="B1083" s="12">
        <f ca="1">IFERROR(__xludf.DUMMYFUNCTION("""COMPUTED_VALUE"""),107156)</f>
        <v>107156</v>
      </c>
      <c r="C1083" s="14">
        <f ca="1">IFERROR(__xludf.DUMMYFUNCTION("""COMPUTED_VALUE"""),0)</f>
        <v>0</v>
      </c>
      <c r="D1083" s="12" t="str">
        <f ca="1">IFERROR(__xludf.DUMMYFUNCTION("""COMPUTED_VALUE"""),"芳賀 亮輔")</f>
        <v>芳賀 亮輔</v>
      </c>
    </row>
    <row r="1084" spans="2:4" ht="13">
      <c r="B1084" s="12">
        <f ca="1">IFERROR(__xludf.DUMMYFUNCTION("""COMPUTED_VALUE"""),107158)</f>
        <v>107158</v>
      </c>
      <c r="C1084" s="14">
        <f ca="1">IFERROR(__xludf.DUMMYFUNCTION("""COMPUTED_VALUE"""),0)</f>
        <v>0</v>
      </c>
      <c r="D1084" s="12" t="str">
        <f ca="1">IFERROR(__xludf.DUMMYFUNCTION("""COMPUTED_VALUE"""),"小関 麻起")</f>
        <v>小関 麻起</v>
      </c>
    </row>
    <row r="1085" spans="2:4" ht="13">
      <c r="B1085" s="12">
        <f ca="1">IFERROR(__xludf.DUMMYFUNCTION("""COMPUTED_VALUE"""),107162)</f>
        <v>107162</v>
      </c>
      <c r="C1085" s="14">
        <f ca="1">IFERROR(__xludf.DUMMYFUNCTION("""COMPUTED_VALUE"""),0)</f>
        <v>0</v>
      </c>
      <c r="D1085" s="12" t="str">
        <f ca="1">IFERROR(__xludf.DUMMYFUNCTION("""COMPUTED_VALUE"""),"老田 純輝")</f>
        <v>老田 純輝</v>
      </c>
    </row>
    <row r="1086" spans="2:4" ht="13">
      <c r="B1086" s="12">
        <f ca="1">IFERROR(__xludf.DUMMYFUNCTION("""COMPUTED_VALUE"""),107193)</f>
        <v>107193</v>
      </c>
      <c r="C1086" s="14">
        <f ca="1">IFERROR(__xludf.DUMMYFUNCTION("""COMPUTED_VALUE"""),5)</f>
        <v>5</v>
      </c>
      <c r="D1086" s="12" t="str">
        <f ca="1">IFERROR(__xludf.DUMMYFUNCTION("""COMPUTED_VALUE"""),"稲場 勇介")</f>
        <v>稲場 勇介</v>
      </c>
    </row>
    <row r="1087" spans="2:4" ht="13">
      <c r="B1087" s="12">
        <f ca="1">IFERROR(__xludf.DUMMYFUNCTION("""COMPUTED_VALUE"""),107196)</f>
        <v>107196</v>
      </c>
      <c r="C1087" s="14">
        <f ca="1">IFERROR(__xludf.DUMMYFUNCTION("""COMPUTED_VALUE"""),15)</f>
        <v>15</v>
      </c>
      <c r="D1087" s="12" t="str">
        <f ca="1">IFERROR(__xludf.DUMMYFUNCTION("""COMPUTED_VALUE"""),"稲場 勇介")</f>
        <v>稲場 勇介</v>
      </c>
    </row>
    <row r="1088" spans="2:4" ht="13">
      <c r="B1088" s="12">
        <f ca="1">IFERROR(__xludf.DUMMYFUNCTION("""COMPUTED_VALUE"""),107202)</f>
        <v>107202</v>
      </c>
      <c r="C1088" s="14">
        <f ca="1">IFERROR(__xludf.DUMMYFUNCTION("""COMPUTED_VALUE"""),0)</f>
        <v>0</v>
      </c>
      <c r="D1088" s="12" t="str">
        <f ca="1">IFERROR(__xludf.DUMMYFUNCTION("""COMPUTED_VALUE"""),"小関 麻起")</f>
        <v>小関 麻起</v>
      </c>
    </row>
    <row r="1089" spans="2:4" ht="13">
      <c r="B1089" s="12">
        <f ca="1">IFERROR(__xludf.DUMMYFUNCTION("""COMPUTED_VALUE"""),107260)</f>
        <v>107260</v>
      </c>
      <c r="C1089" s="14">
        <f ca="1">IFERROR(__xludf.DUMMYFUNCTION("""COMPUTED_VALUE"""),4)</f>
        <v>4</v>
      </c>
      <c r="D1089" s="12" t="str">
        <f ca="1">IFERROR(__xludf.DUMMYFUNCTION("""COMPUTED_VALUE"""),"稲場 勇介")</f>
        <v>稲場 勇介</v>
      </c>
    </row>
    <row r="1090" spans="2:4" ht="13">
      <c r="B1090" s="12">
        <f ca="1">IFERROR(__xludf.DUMMYFUNCTION("""COMPUTED_VALUE"""),107264)</f>
        <v>107264</v>
      </c>
      <c r="C1090" s="14">
        <f ca="1">IFERROR(__xludf.DUMMYFUNCTION("""COMPUTED_VALUE"""),0)</f>
        <v>0</v>
      </c>
      <c r="D1090" s="12" t="str">
        <f ca="1">IFERROR(__xludf.DUMMYFUNCTION("""COMPUTED_VALUE"""),"小関 麻起")</f>
        <v>小関 麻起</v>
      </c>
    </row>
    <row r="1091" spans="2:4" ht="13">
      <c r="B1091" s="12">
        <f ca="1">IFERROR(__xludf.DUMMYFUNCTION("""COMPUTED_VALUE"""),107270)</f>
        <v>107270</v>
      </c>
      <c r="C1091" s="14">
        <f ca="1">IFERROR(__xludf.DUMMYFUNCTION("""COMPUTED_VALUE"""),0)</f>
        <v>0</v>
      </c>
      <c r="D1091" s="12" t="str">
        <f ca="1">IFERROR(__xludf.DUMMYFUNCTION("""COMPUTED_VALUE"""),"菅野 ぎんが")</f>
        <v>菅野 ぎんが</v>
      </c>
    </row>
    <row r="1092" spans="2:4" ht="13">
      <c r="B1092" s="12">
        <f ca="1">IFERROR(__xludf.DUMMYFUNCTION("""COMPUTED_VALUE"""),107274)</f>
        <v>107274</v>
      </c>
      <c r="C1092" s="14">
        <f ca="1">IFERROR(__xludf.DUMMYFUNCTION("""COMPUTED_VALUE"""),4)</f>
        <v>4</v>
      </c>
      <c r="D1092" s="12" t="str">
        <f ca="1">IFERROR(__xludf.DUMMYFUNCTION("""COMPUTED_VALUE"""),"大木 優香")</f>
        <v>大木 優香</v>
      </c>
    </row>
    <row r="1093" spans="2:4" ht="13">
      <c r="B1093" s="12">
        <f ca="1">IFERROR(__xludf.DUMMYFUNCTION("""COMPUTED_VALUE"""),107311)</f>
        <v>107311</v>
      </c>
      <c r="C1093" s="14">
        <f ca="1">IFERROR(__xludf.DUMMYFUNCTION("""COMPUTED_VALUE"""),0)</f>
        <v>0</v>
      </c>
      <c r="D1093" s="12" t="str">
        <f ca="1">IFERROR(__xludf.DUMMYFUNCTION("""COMPUTED_VALUE"""),"菅野 ぎんが")</f>
        <v>菅野 ぎんが</v>
      </c>
    </row>
    <row r="1094" spans="2:4" ht="13">
      <c r="B1094" s="12">
        <f ca="1">IFERROR(__xludf.DUMMYFUNCTION("""COMPUTED_VALUE"""),107330)</f>
        <v>107330</v>
      </c>
      <c r="C1094" s="14">
        <f ca="1">IFERROR(__xludf.DUMMYFUNCTION("""COMPUTED_VALUE"""),0)</f>
        <v>0</v>
      </c>
      <c r="D1094" s="12" t="str">
        <f ca="1">IFERROR(__xludf.DUMMYFUNCTION("""COMPUTED_VALUE"""),"辻村 将大")</f>
        <v>辻村 将大</v>
      </c>
    </row>
    <row r="1095" spans="2:4" ht="13">
      <c r="B1095" s="12">
        <f ca="1">IFERROR(__xludf.DUMMYFUNCTION("""COMPUTED_VALUE"""),107331)</f>
        <v>107331</v>
      </c>
      <c r="C1095" s="14">
        <f ca="1">IFERROR(__xludf.DUMMYFUNCTION("""COMPUTED_VALUE"""),0)</f>
        <v>0</v>
      </c>
      <c r="D1095" s="12" t="str">
        <f ca="1">IFERROR(__xludf.DUMMYFUNCTION("""COMPUTED_VALUE"""),"辻村 将大")</f>
        <v>辻村 将大</v>
      </c>
    </row>
    <row r="1096" spans="2:4" ht="13">
      <c r="B1096" s="12">
        <f ca="1">IFERROR(__xludf.DUMMYFUNCTION("""COMPUTED_VALUE"""),107336)</f>
        <v>107336</v>
      </c>
      <c r="C1096" s="14">
        <f ca="1">IFERROR(__xludf.DUMMYFUNCTION("""COMPUTED_VALUE"""),3)</f>
        <v>3</v>
      </c>
      <c r="D1096" s="12" t="str">
        <f ca="1">IFERROR(__xludf.DUMMYFUNCTION("""COMPUTED_VALUE"""),"小関 麻起")</f>
        <v>小関 麻起</v>
      </c>
    </row>
    <row r="1097" spans="2:4" ht="13">
      <c r="B1097" s="12">
        <f ca="1">IFERROR(__xludf.DUMMYFUNCTION("""COMPUTED_VALUE"""),107346)</f>
        <v>107346</v>
      </c>
      <c r="C1097" s="14">
        <f ca="1">IFERROR(__xludf.DUMMYFUNCTION("""COMPUTED_VALUE"""),29)</f>
        <v>29</v>
      </c>
      <c r="D1097" s="12" t="str">
        <f ca="1">IFERROR(__xludf.DUMMYFUNCTION("""COMPUTED_VALUE"""),"稲場 勇介")</f>
        <v>稲場 勇介</v>
      </c>
    </row>
    <row r="1098" spans="2:4" ht="13">
      <c r="B1098" s="12">
        <f ca="1">IFERROR(__xludf.DUMMYFUNCTION("""COMPUTED_VALUE"""),107372)</f>
        <v>107372</v>
      </c>
      <c r="C1098" s="14">
        <f ca="1">IFERROR(__xludf.DUMMYFUNCTION("""COMPUTED_VALUE"""),9)</f>
        <v>9</v>
      </c>
      <c r="D1098" s="12" t="str">
        <f ca="1">IFERROR(__xludf.DUMMYFUNCTION("""COMPUTED_VALUE"""),"松尾 尚樹")</f>
        <v>松尾 尚樹</v>
      </c>
    </row>
    <row r="1099" spans="2:4" ht="13">
      <c r="B1099" s="12">
        <f ca="1">IFERROR(__xludf.DUMMYFUNCTION("""COMPUTED_VALUE"""),107380)</f>
        <v>107380</v>
      </c>
      <c r="C1099" s="14">
        <f ca="1">IFERROR(__xludf.DUMMYFUNCTION("""COMPUTED_VALUE"""),0)</f>
        <v>0</v>
      </c>
      <c r="D1099" s="12" t="str">
        <f ca="1">IFERROR(__xludf.DUMMYFUNCTION("""COMPUTED_VALUE"""),"小関 麻起")</f>
        <v>小関 麻起</v>
      </c>
    </row>
    <row r="1100" spans="2:4" ht="13">
      <c r="B1100" s="12">
        <f ca="1">IFERROR(__xludf.DUMMYFUNCTION("""COMPUTED_VALUE"""),107381)</f>
        <v>107381</v>
      </c>
      <c r="C1100" s="14">
        <f ca="1">IFERROR(__xludf.DUMMYFUNCTION("""COMPUTED_VALUE"""),73)</f>
        <v>73</v>
      </c>
      <c r="D1100" s="12" t="str">
        <f ca="1">IFERROR(__xludf.DUMMYFUNCTION("""COMPUTED_VALUE"""),"内丸 裕子")</f>
        <v>内丸 裕子</v>
      </c>
    </row>
    <row r="1101" spans="2:4" ht="13">
      <c r="B1101" s="12">
        <f ca="1">IFERROR(__xludf.DUMMYFUNCTION("""COMPUTED_VALUE"""),107400)</f>
        <v>107400</v>
      </c>
      <c r="C1101" s="14">
        <f ca="1">IFERROR(__xludf.DUMMYFUNCTION("""COMPUTED_VALUE"""),27)</f>
        <v>27</v>
      </c>
      <c r="D1101" s="12" t="str">
        <f ca="1">IFERROR(__xludf.DUMMYFUNCTION("""COMPUTED_VALUE"""),"老田 純輝")</f>
        <v>老田 純輝</v>
      </c>
    </row>
    <row r="1102" spans="2:4" ht="13">
      <c r="B1102" s="12">
        <f ca="1">IFERROR(__xludf.DUMMYFUNCTION("""COMPUTED_VALUE"""),107401)</f>
        <v>107401</v>
      </c>
      <c r="C1102" s="14">
        <f ca="1">IFERROR(__xludf.DUMMYFUNCTION("""COMPUTED_VALUE"""),0)</f>
        <v>0</v>
      </c>
      <c r="D1102" s="12" t="str">
        <f ca="1">IFERROR(__xludf.DUMMYFUNCTION("""COMPUTED_VALUE"""),"老田 純輝")</f>
        <v>老田 純輝</v>
      </c>
    </row>
    <row r="1103" spans="2:4" ht="13">
      <c r="B1103" s="12">
        <f ca="1">IFERROR(__xludf.DUMMYFUNCTION("""COMPUTED_VALUE"""),107403)</f>
        <v>107403</v>
      </c>
      <c r="C1103" s="14">
        <f ca="1">IFERROR(__xludf.DUMMYFUNCTION("""COMPUTED_VALUE"""),0)</f>
        <v>0</v>
      </c>
      <c r="D1103" s="12" t="str">
        <f ca="1">IFERROR(__xludf.DUMMYFUNCTION("""COMPUTED_VALUE"""),"辻村 将大")</f>
        <v>辻村 将大</v>
      </c>
    </row>
    <row r="1104" spans="2:4" ht="13">
      <c r="B1104" s="12">
        <f ca="1">IFERROR(__xludf.DUMMYFUNCTION("""COMPUTED_VALUE"""),107407)</f>
        <v>107407</v>
      </c>
      <c r="C1104" s="14">
        <f ca="1">IFERROR(__xludf.DUMMYFUNCTION("""COMPUTED_VALUE"""),0)</f>
        <v>0</v>
      </c>
      <c r="D1104" s="12" t="str">
        <f ca="1">IFERROR(__xludf.DUMMYFUNCTION("""COMPUTED_VALUE"""),"菅野 ぎんが")</f>
        <v>菅野 ぎんが</v>
      </c>
    </row>
    <row r="1105" spans="2:4" ht="13">
      <c r="B1105" s="12">
        <f ca="1">IFERROR(__xludf.DUMMYFUNCTION("""COMPUTED_VALUE"""),107408)</f>
        <v>107408</v>
      </c>
      <c r="C1105" s="14">
        <f ca="1">IFERROR(__xludf.DUMMYFUNCTION("""COMPUTED_VALUE"""),4)</f>
        <v>4</v>
      </c>
      <c r="D1105" s="12" t="str">
        <f ca="1">IFERROR(__xludf.DUMMYFUNCTION("""COMPUTED_VALUE"""),"大木 優香")</f>
        <v>大木 優香</v>
      </c>
    </row>
    <row r="1106" spans="2:4" ht="13">
      <c r="B1106" s="12">
        <f ca="1">IFERROR(__xludf.DUMMYFUNCTION("""COMPUTED_VALUE"""),107411)</f>
        <v>107411</v>
      </c>
      <c r="C1106" s="14">
        <f ca="1">IFERROR(__xludf.DUMMYFUNCTION("""COMPUTED_VALUE"""),162)</f>
        <v>162</v>
      </c>
      <c r="D1106" s="12" t="str">
        <f ca="1">IFERROR(__xludf.DUMMYFUNCTION("""COMPUTED_VALUE"""),"柿崎 晃司")</f>
        <v>柿崎 晃司</v>
      </c>
    </row>
    <row r="1107" spans="2:4" ht="13">
      <c r="B1107" s="12">
        <f ca="1">IFERROR(__xludf.DUMMYFUNCTION("""COMPUTED_VALUE"""),107422)</f>
        <v>107422</v>
      </c>
      <c r="C1107" s="14">
        <f ca="1">IFERROR(__xludf.DUMMYFUNCTION("""COMPUTED_VALUE"""),0)</f>
        <v>0</v>
      </c>
      <c r="D1107" s="12" t="str">
        <f ca="1">IFERROR(__xludf.DUMMYFUNCTION("""COMPUTED_VALUE"""),"成嶋 夏未")</f>
        <v>成嶋 夏未</v>
      </c>
    </row>
    <row r="1108" spans="2:4" ht="13">
      <c r="B1108" s="12">
        <f ca="1">IFERROR(__xludf.DUMMYFUNCTION("""COMPUTED_VALUE"""),107423)</f>
        <v>107423</v>
      </c>
      <c r="C1108" s="14">
        <f ca="1">IFERROR(__xludf.DUMMYFUNCTION("""COMPUTED_VALUE"""),0)</f>
        <v>0</v>
      </c>
      <c r="D1108" s="12" t="str">
        <f ca="1">IFERROR(__xludf.DUMMYFUNCTION("""COMPUTED_VALUE"""),"成嶋 夏未")</f>
        <v>成嶋 夏未</v>
      </c>
    </row>
    <row r="1109" spans="2:4" ht="13">
      <c r="B1109" s="12">
        <f ca="1">IFERROR(__xludf.DUMMYFUNCTION("""COMPUTED_VALUE"""),107456)</f>
        <v>107456</v>
      </c>
      <c r="C1109" s="14">
        <f ca="1">IFERROR(__xludf.DUMMYFUNCTION("""COMPUTED_VALUE"""),10)</f>
        <v>10</v>
      </c>
      <c r="D1109" s="12" t="str">
        <f ca="1">IFERROR(__xludf.DUMMYFUNCTION("""COMPUTED_VALUE"""),"菅野 ぎんが")</f>
        <v>菅野 ぎんが</v>
      </c>
    </row>
    <row r="1110" spans="2:4" ht="13">
      <c r="B1110" s="12">
        <f ca="1">IFERROR(__xludf.DUMMYFUNCTION("""COMPUTED_VALUE"""),107459)</f>
        <v>107459</v>
      </c>
      <c r="C1110" s="14">
        <f ca="1">IFERROR(__xludf.DUMMYFUNCTION("""COMPUTED_VALUE"""),1)</f>
        <v>1</v>
      </c>
      <c r="D1110" s="12" t="str">
        <f ca="1">IFERROR(__xludf.DUMMYFUNCTION("""COMPUTED_VALUE"""),"松尾 尚樹")</f>
        <v>松尾 尚樹</v>
      </c>
    </row>
    <row r="1111" spans="2:4" ht="13">
      <c r="B1111" s="12">
        <f ca="1">IFERROR(__xludf.DUMMYFUNCTION("""COMPUTED_VALUE"""),107462)</f>
        <v>107462</v>
      </c>
      <c r="C1111" s="14">
        <f ca="1">IFERROR(__xludf.DUMMYFUNCTION("""COMPUTED_VALUE"""),2)</f>
        <v>2</v>
      </c>
      <c r="D1111" s="12" t="str">
        <f ca="1">IFERROR(__xludf.DUMMYFUNCTION("""COMPUTED_VALUE"""),"柿崎 晃司")</f>
        <v>柿崎 晃司</v>
      </c>
    </row>
    <row r="1112" spans="2:4" ht="13">
      <c r="B1112" s="12">
        <f ca="1">IFERROR(__xludf.DUMMYFUNCTION("""COMPUTED_VALUE"""),107464)</f>
        <v>107464</v>
      </c>
      <c r="C1112" s="14">
        <f ca="1">IFERROR(__xludf.DUMMYFUNCTION("""COMPUTED_VALUE"""),0)</f>
        <v>0</v>
      </c>
      <c r="D1112" s="12" t="str">
        <f ca="1">IFERROR(__xludf.DUMMYFUNCTION("""COMPUTED_VALUE"""),"稲場 勇介")</f>
        <v>稲場 勇介</v>
      </c>
    </row>
    <row r="1113" spans="2:4" ht="13">
      <c r="B1113" s="12">
        <f ca="1">IFERROR(__xludf.DUMMYFUNCTION("""COMPUTED_VALUE"""),107495)</f>
        <v>107495</v>
      </c>
      <c r="C1113" s="14">
        <f ca="1">IFERROR(__xludf.DUMMYFUNCTION("""COMPUTED_VALUE"""),7)</f>
        <v>7</v>
      </c>
      <c r="D1113" s="12" t="str">
        <f ca="1">IFERROR(__xludf.DUMMYFUNCTION("""COMPUTED_VALUE"""),"稲場 勇介")</f>
        <v>稲場 勇介</v>
      </c>
    </row>
    <row r="1114" spans="2:4" ht="13">
      <c r="B1114" s="12">
        <f ca="1">IFERROR(__xludf.DUMMYFUNCTION("""COMPUTED_VALUE"""),107558)</f>
        <v>107558</v>
      </c>
      <c r="C1114" s="14">
        <f ca="1">IFERROR(__xludf.DUMMYFUNCTION("""COMPUTED_VALUE"""),0)</f>
        <v>0</v>
      </c>
      <c r="D1114" s="12" t="str">
        <f ca="1">IFERROR(__xludf.DUMMYFUNCTION("""COMPUTED_VALUE"""),"村上 浩一朗")</f>
        <v>村上 浩一朗</v>
      </c>
    </row>
    <row r="1115" spans="2:4" ht="13">
      <c r="B1115" s="12">
        <f ca="1">IFERROR(__xludf.DUMMYFUNCTION("""COMPUTED_VALUE"""),107582)</f>
        <v>107582</v>
      </c>
      <c r="C1115" s="14">
        <f ca="1">IFERROR(__xludf.DUMMYFUNCTION("""COMPUTED_VALUE"""),37)</f>
        <v>37</v>
      </c>
      <c r="D1115" s="12" t="str">
        <f ca="1">IFERROR(__xludf.DUMMYFUNCTION("""COMPUTED_VALUE"""),"桐山 勝気")</f>
        <v>桐山 勝気</v>
      </c>
    </row>
    <row r="1116" spans="2:4" ht="13">
      <c r="B1116" s="12">
        <f ca="1">IFERROR(__xludf.DUMMYFUNCTION("""COMPUTED_VALUE"""),107592)</f>
        <v>107592</v>
      </c>
      <c r="C1116" s="14">
        <f ca="1">IFERROR(__xludf.DUMMYFUNCTION("""COMPUTED_VALUE"""),0)</f>
        <v>0</v>
      </c>
      <c r="D1116" s="12" t="str">
        <f ca="1">IFERROR(__xludf.DUMMYFUNCTION("""COMPUTED_VALUE"""),"小関 麻起")</f>
        <v>小関 麻起</v>
      </c>
    </row>
    <row r="1117" spans="2:4" ht="13">
      <c r="B1117" s="12">
        <f ca="1">IFERROR(__xludf.DUMMYFUNCTION("""COMPUTED_VALUE"""),107593)</f>
        <v>107593</v>
      </c>
      <c r="C1117" s="14">
        <f ca="1">IFERROR(__xludf.DUMMYFUNCTION("""COMPUTED_VALUE"""),0)</f>
        <v>0</v>
      </c>
      <c r="D1117" s="12" t="str">
        <f ca="1">IFERROR(__xludf.DUMMYFUNCTION("""COMPUTED_VALUE"""),"松尾 尚樹")</f>
        <v>松尾 尚樹</v>
      </c>
    </row>
    <row r="1118" spans="2:4" ht="13">
      <c r="B1118" s="12">
        <f ca="1">IFERROR(__xludf.DUMMYFUNCTION("""COMPUTED_VALUE"""),107610)</f>
        <v>107610</v>
      </c>
      <c r="C1118" s="14">
        <f ca="1">IFERROR(__xludf.DUMMYFUNCTION("""COMPUTED_VALUE"""),0)</f>
        <v>0</v>
      </c>
      <c r="D1118" s="12" t="str">
        <f ca="1">IFERROR(__xludf.DUMMYFUNCTION("""COMPUTED_VALUE"""),"成嶋 夏未")</f>
        <v>成嶋 夏未</v>
      </c>
    </row>
    <row r="1119" spans="2:4" ht="13">
      <c r="B1119" s="12">
        <f ca="1">IFERROR(__xludf.DUMMYFUNCTION("""COMPUTED_VALUE"""),107611)</f>
        <v>107611</v>
      </c>
      <c r="C1119" s="14">
        <f ca="1">IFERROR(__xludf.DUMMYFUNCTION("""COMPUTED_VALUE"""),0)</f>
        <v>0</v>
      </c>
      <c r="D1119" s="12" t="str">
        <f ca="1">IFERROR(__xludf.DUMMYFUNCTION("""COMPUTED_VALUE"""),"菅野 ぎんが")</f>
        <v>菅野 ぎんが</v>
      </c>
    </row>
    <row r="1120" spans="2:4" ht="13">
      <c r="B1120" s="12">
        <f ca="1">IFERROR(__xludf.DUMMYFUNCTION("""COMPUTED_VALUE"""),107642)</f>
        <v>107642</v>
      </c>
      <c r="C1120" s="14">
        <f ca="1">IFERROR(__xludf.DUMMYFUNCTION("""COMPUTED_VALUE"""),4)</f>
        <v>4</v>
      </c>
      <c r="D1120" s="12" t="str">
        <f ca="1">IFERROR(__xludf.DUMMYFUNCTION("""COMPUTED_VALUE"""),"稲場 勇介")</f>
        <v>稲場 勇介</v>
      </c>
    </row>
    <row r="1121" spans="2:4" ht="13">
      <c r="B1121" s="12">
        <f ca="1">IFERROR(__xludf.DUMMYFUNCTION("""COMPUTED_VALUE"""),107653)</f>
        <v>107653</v>
      </c>
      <c r="C1121" s="14">
        <f ca="1">IFERROR(__xludf.DUMMYFUNCTION("""COMPUTED_VALUE"""),0)</f>
        <v>0</v>
      </c>
      <c r="D1121" s="12" t="str">
        <f ca="1">IFERROR(__xludf.DUMMYFUNCTION("""COMPUTED_VALUE"""),"小関 麻起")</f>
        <v>小関 麻起</v>
      </c>
    </row>
    <row r="1122" spans="2:4" ht="13">
      <c r="B1122" s="12">
        <f ca="1">IFERROR(__xludf.DUMMYFUNCTION("""COMPUTED_VALUE"""),107664)</f>
        <v>107664</v>
      </c>
      <c r="C1122" s="14">
        <f ca="1">IFERROR(__xludf.DUMMYFUNCTION("""COMPUTED_VALUE"""),15)</f>
        <v>15</v>
      </c>
      <c r="D1122" s="12" t="str">
        <f ca="1">IFERROR(__xludf.DUMMYFUNCTION("""COMPUTED_VALUE"""),"桐山 勝気")</f>
        <v>桐山 勝気</v>
      </c>
    </row>
    <row r="1123" spans="2:4" ht="13">
      <c r="B1123" s="12">
        <f ca="1">IFERROR(__xludf.DUMMYFUNCTION("""COMPUTED_VALUE"""),107703)</f>
        <v>107703</v>
      </c>
      <c r="C1123" s="14">
        <f ca="1">IFERROR(__xludf.DUMMYFUNCTION("""COMPUTED_VALUE"""),21)</f>
        <v>21</v>
      </c>
      <c r="D1123" s="12" t="str">
        <f ca="1">IFERROR(__xludf.DUMMYFUNCTION("""COMPUTED_VALUE"""),"松尾 尚樹")</f>
        <v>松尾 尚樹</v>
      </c>
    </row>
    <row r="1124" spans="2:4" ht="13">
      <c r="B1124" s="12">
        <f ca="1">IFERROR(__xludf.DUMMYFUNCTION("""COMPUTED_VALUE"""),107705)</f>
        <v>107705</v>
      </c>
      <c r="C1124" s="14">
        <f ca="1">IFERROR(__xludf.DUMMYFUNCTION("""COMPUTED_VALUE"""),16)</f>
        <v>16</v>
      </c>
      <c r="D1124" s="12" t="str">
        <f ca="1">IFERROR(__xludf.DUMMYFUNCTION("""COMPUTED_VALUE"""),"栗原 大武")</f>
        <v>栗原 大武</v>
      </c>
    </row>
    <row r="1125" spans="2:4" ht="13">
      <c r="B1125" s="12">
        <f ca="1">IFERROR(__xludf.DUMMYFUNCTION("""COMPUTED_VALUE"""),107740)</f>
        <v>107740</v>
      </c>
      <c r="C1125" s="14">
        <f ca="1">IFERROR(__xludf.DUMMYFUNCTION("""COMPUTED_VALUE"""),0)</f>
        <v>0</v>
      </c>
      <c r="D1125" s="12" t="str">
        <f ca="1">IFERROR(__xludf.DUMMYFUNCTION("""COMPUTED_VALUE"""),"小川 純")</f>
        <v>小川 純</v>
      </c>
    </row>
    <row r="1126" spans="2:4" ht="13">
      <c r="B1126" s="12">
        <f ca="1">IFERROR(__xludf.DUMMYFUNCTION("""COMPUTED_VALUE"""),107741)</f>
        <v>107741</v>
      </c>
      <c r="C1126" s="14">
        <f ca="1">IFERROR(__xludf.DUMMYFUNCTION("""COMPUTED_VALUE"""),0)</f>
        <v>0</v>
      </c>
      <c r="D1126" s="12" t="str">
        <f ca="1">IFERROR(__xludf.DUMMYFUNCTION("""COMPUTED_VALUE"""),"菅野 ぎんが")</f>
        <v>菅野 ぎんが</v>
      </c>
    </row>
    <row r="1127" spans="2:4" ht="13">
      <c r="B1127" s="12">
        <f ca="1">IFERROR(__xludf.DUMMYFUNCTION("""COMPUTED_VALUE"""),107746)</f>
        <v>107746</v>
      </c>
      <c r="C1127" s="14">
        <f ca="1">IFERROR(__xludf.DUMMYFUNCTION("""COMPUTED_VALUE"""),15)</f>
        <v>15</v>
      </c>
      <c r="D1127" s="12" t="str">
        <f ca="1">IFERROR(__xludf.DUMMYFUNCTION("""COMPUTED_VALUE"""),"田嶋 将太")</f>
        <v>田嶋 将太</v>
      </c>
    </row>
    <row r="1128" spans="2:4" ht="13">
      <c r="B1128" s="12">
        <f ca="1">IFERROR(__xludf.DUMMYFUNCTION("""COMPUTED_VALUE"""),107799)</f>
        <v>107799</v>
      </c>
      <c r="C1128" s="14">
        <f ca="1">IFERROR(__xludf.DUMMYFUNCTION("""COMPUTED_VALUE"""),0)</f>
        <v>0</v>
      </c>
      <c r="D1128" s="12" t="str">
        <f ca="1">IFERROR(__xludf.DUMMYFUNCTION("""COMPUTED_VALUE"""),"小関 麻起")</f>
        <v>小関 麻起</v>
      </c>
    </row>
    <row r="1129" spans="2:4" ht="13">
      <c r="B1129" s="12">
        <f ca="1">IFERROR(__xludf.DUMMYFUNCTION("""COMPUTED_VALUE"""),107811)</f>
        <v>107811</v>
      </c>
      <c r="C1129" s="14">
        <f ca="1">IFERROR(__xludf.DUMMYFUNCTION("""COMPUTED_VALUE"""),2)</f>
        <v>2</v>
      </c>
      <c r="D1129" s="12" t="str">
        <f ca="1">IFERROR(__xludf.DUMMYFUNCTION("""COMPUTED_VALUE"""),"稲場 勇介")</f>
        <v>稲場 勇介</v>
      </c>
    </row>
    <row r="1130" spans="2:4" ht="13">
      <c r="B1130" s="12">
        <f ca="1">IFERROR(__xludf.DUMMYFUNCTION("""COMPUTED_VALUE"""),107814)</f>
        <v>107814</v>
      </c>
      <c r="C1130" s="14">
        <f ca="1">IFERROR(__xludf.DUMMYFUNCTION("""COMPUTED_VALUE"""),6)</f>
        <v>6</v>
      </c>
      <c r="D1130" s="12" t="str">
        <f ca="1">IFERROR(__xludf.DUMMYFUNCTION("""COMPUTED_VALUE"""),"小川 純")</f>
        <v>小川 純</v>
      </c>
    </row>
    <row r="1131" spans="2:4" ht="13">
      <c r="B1131" s="12">
        <f ca="1">IFERROR(__xludf.DUMMYFUNCTION("""COMPUTED_VALUE"""),107815)</f>
        <v>107815</v>
      </c>
      <c r="C1131" s="14">
        <f ca="1">IFERROR(__xludf.DUMMYFUNCTION("""COMPUTED_VALUE"""),1)</f>
        <v>1</v>
      </c>
      <c r="D1131" s="12" t="str">
        <f ca="1">IFERROR(__xludf.DUMMYFUNCTION("""COMPUTED_VALUE"""),"小関 麻起")</f>
        <v>小関 麻起</v>
      </c>
    </row>
    <row r="1132" spans="2:4" ht="13">
      <c r="B1132" s="12">
        <f ca="1">IFERROR(__xludf.DUMMYFUNCTION("""COMPUTED_VALUE"""),107816)</f>
        <v>107816</v>
      </c>
      <c r="C1132" s="14">
        <f ca="1">IFERROR(__xludf.DUMMYFUNCTION("""COMPUTED_VALUE"""),10)</f>
        <v>10</v>
      </c>
      <c r="D1132" s="12" t="str">
        <f ca="1">IFERROR(__xludf.DUMMYFUNCTION("""COMPUTED_VALUE"""),"松尾 尚樹")</f>
        <v>松尾 尚樹</v>
      </c>
    </row>
    <row r="1133" spans="2:4" ht="13">
      <c r="B1133" s="12">
        <f ca="1">IFERROR(__xludf.DUMMYFUNCTION("""COMPUTED_VALUE"""),107821)</f>
        <v>107821</v>
      </c>
      <c r="C1133" s="14">
        <f ca="1">IFERROR(__xludf.DUMMYFUNCTION("""COMPUTED_VALUE"""),2)</f>
        <v>2</v>
      </c>
      <c r="D1133" s="12" t="str">
        <f ca="1">IFERROR(__xludf.DUMMYFUNCTION("""COMPUTED_VALUE"""),"小関 麻起")</f>
        <v>小関 麻起</v>
      </c>
    </row>
    <row r="1134" spans="2:4" ht="13">
      <c r="B1134" s="12">
        <f ca="1">IFERROR(__xludf.DUMMYFUNCTION("""COMPUTED_VALUE"""),107822)</f>
        <v>107822</v>
      </c>
      <c r="C1134" s="14">
        <f ca="1">IFERROR(__xludf.DUMMYFUNCTION("""COMPUTED_VALUE"""),106)</f>
        <v>106</v>
      </c>
      <c r="D1134" s="12" t="str">
        <f ca="1">IFERROR(__xludf.DUMMYFUNCTION("""COMPUTED_VALUE"""),"菅野 ぎんが")</f>
        <v>菅野 ぎんが</v>
      </c>
    </row>
    <row r="1135" spans="2:4" ht="13">
      <c r="B1135" s="12">
        <f ca="1">IFERROR(__xludf.DUMMYFUNCTION("""COMPUTED_VALUE"""),107836)</f>
        <v>107836</v>
      </c>
      <c r="C1135" s="14">
        <f ca="1">IFERROR(__xludf.DUMMYFUNCTION("""COMPUTED_VALUE"""),0)</f>
        <v>0</v>
      </c>
      <c r="D1135" s="12" t="str">
        <f ca="1">IFERROR(__xludf.DUMMYFUNCTION("""COMPUTED_VALUE"""),"長谷川 陸朗")</f>
        <v>長谷川 陸朗</v>
      </c>
    </row>
    <row r="1136" spans="2:4" ht="13">
      <c r="B1136" s="12">
        <f ca="1">IFERROR(__xludf.DUMMYFUNCTION("""COMPUTED_VALUE"""),107852)</f>
        <v>107852</v>
      </c>
      <c r="C1136" s="14">
        <f ca="1">IFERROR(__xludf.DUMMYFUNCTION("""COMPUTED_VALUE"""),0)</f>
        <v>0</v>
      </c>
      <c r="D1136" s="12" t="str">
        <f ca="1">IFERROR(__xludf.DUMMYFUNCTION("""COMPUTED_VALUE"""),"小関 麻起")</f>
        <v>小関 麻起</v>
      </c>
    </row>
    <row r="1137" spans="2:4" ht="13">
      <c r="B1137" s="12">
        <f ca="1">IFERROR(__xludf.DUMMYFUNCTION("""COMPUTED_VALUE"""),107861)</f>
        <v>107861</v>
      </c>
      <c r="C1137" s="14">
        <f ca="1">IFERROR(__xludf.DUMMYFUNCTION("""COMPUTED_VALUE"""),0)</f>
        <v>0</v>
      </c>
      <c r="D1137" s="12" t="str">
        <f ca="1">IFERROR(__xludf.DUMMYFUNCTION("""COMPUTED_VALUE"""),"小関 麻起")</f>
        <v>小関 麻起</v>
      </c>
    </row>
    <row r="1138" spans="2:4" ht="13">
      <c r="B1138" s="12">
        <f ca="1">IFERROR(__xludf.DUMMYFUNCTION("""COMPUTED_VALUE"""),107867)</f>
        <v>107867</v>
      </c>
      <c r="C1138" s="14">
        <f ca="1">IFERROR(__xludf.DUMMYFUNCTION("""COMPUTED_VALUE"""),0)</f>
        <v>0</v>
      </c>
      <c r="D1138" s="12" t="str">
        <f ca="1">IFERROR(__xludf.DUMMYFUNCTION("""COMPUTED_VALUE"""),"桐山 勝気")</f>
        <v>桐山 勝気</v>
      </c>
    </row>
    <row r="1139" spans="2:4" ht="13">
      <c r="B1139" s="12">
        <f ca="1">IFERROR(__xludf.DUMMYFUNCTION("""COMPUTED_VALUE"""),107897)</f>
        <v>107897</v>
      </c>
      <c r="C1139" s="14">
        <f ca="1">IFERROR(__xludf.DUMMYFUNCTION("""COMPUTED_VALUE"""),0)</f>
        <v>0</v>
      </c>
      <c r="D1139" s="12" t="str">
        <f ca="1">IFERROR(__xludf.DUMMYFUNCTION("""COMPUTED_VALUE"""),"菅野 ぎんが")</f>
        <v>菅野 ぎんが</v>
      </c>
    </row>
    <row r="1140" spans="2:4" ht="13">
      <c r="B1140" s="12">
        <f ca="1">IFERROR(__xludf.DUMMYFUNCTION("""COMPUTED_VALUE"""),107898)</f>
        <v>107898</v>
      </c>
      <c r="C1140" s="14">
        <f ca="1">IFERROR(__xludf.DUMMYFUNCTION("""COMPUTED_VALUE"""),0)</f>
        <v>0</v>
      </c>
      <c r="D1140" s="12" t="str">
        <f ca="1">IFERROR(__xludf.DUMMYFUNCTION("""COMPUTED_VALUE"""),"稲場 勇介")</f>
        <v>稲場 勇介</v>
      </c>
    </row>
    <row r="1141" spans="2:4" ht="13">
      <c r="B1141" s="12">
        <f ca="1">IFERROR(__xludf.DUMMYFUNCTION("""COMPUTED_VALUE"""),107910)</f>
        <v>107910</v>
      </c>
      <c r="C1141" s="14">
        <f ca="1">IFERROR(__xludf.DUMMYFUNCTION("""COMPUTED_VALUE"""),0)</f>
        <v>0</v>
      </c>
      <c r="D1141" s="12" t="str">
        <f ca="1">IFERROR(__xludf.DUMMYFUNCTION("""COMPUTED_VALUE"""),"小川 純")</f>
        <v>小川 純</v>
      </c>
    </row>
    <row r="1142" spans="2:4" ht="13">
      <c r="B1142" s="12">
        <f ca="1">IFERROR(__xludf.DUMMYFUNCTION("""COMPUTED_VALUE"""),107916)</f>
        <v>107916</v>
      </c>
      <c r="C1142" s="14">
        <f ca="1">IFERROR(__xludf.DUMMYFUNCTION("""COMPUTED_VALUE"""),70)</f>
        <v>70</v>
      </c>
      <c r="D1142" s="12" t="str">
        <f ca="1">IFERROR(__xludf.DUMMYFUNCTION("""COMPUTED_VALUE"""),"桐山 勝気")</f>
        <v>桐山 勝気</v>
      </c>
    </row>
    <row r="1143" spans="2:4" ht="13">
      <c r="B1143" s="12">
        <f ca="1">IFERROR(__xludf.DUMMYFUNCTION("""COMPUTED_VALUE"""),107917)</f>
        <v>107917</v>
      </c>
      <c r="C1143" s="14">
        <f ca="1">IFERROR(__xludf.DUMMYFUNCTION("""COMPUTED_VALUE"""),0)</f>
        <v>0</v>
      </c>
      <c r="D1143" s="12" t="str">
        <f ca="1">IFERROR(__xludf.DUMMYFUNCTION("""COMPUTED_VALUE"""),"小関 麻起")</f>
        <v>小関 麻起</v>
      </c>
    </row>
    <row r="1144" spans="2:4" ht="13">
      <c r="B1144" s="12">
        <f ca="1">IFERROR(__xludf.DUMMYFUNCTION("""COMPUTED_VALUE"""),107918)</f>
        <v>107918</v>
      </c>
      <c r="C1144" s="14">
        <f ca="1">IFERROR(__xludf.DUMMYFUNCTION("""COMPUTED_VALUE"""),2)</f>
        <v>2</v>
      </c>
      <c r="D1144" s="12" t="str">
        <f ca="1">IFERROR(__xludf.DUMMYFUNCTION("""COMPUTED_VALUE"""),"大木 優香")</f>
        <v>大木 優香</v>
      </c>
    </row>
    <row r="1145" spans="2:4" ht="13">
      <c r="B1145" s="12">
        <f ca="1">IFERROR(__xludf.DUMMYFUNCTION("""COMPUTED_VALUE"""),107920)</f>
        <v>107920</v>
      </c>
      <c r="C1145" s="14">
        <f ca="1">IFERROR(__xludf.DUMMYFUNCTION("""COMPUTED_VALUE"""),4)</f>
        <v>4</v>
      </c>
      <c r="D1145" s="12" t="str">
        <f ca="1">IFERROR(__xludf.DUMMYFUNCTION("""COMPUTED_VALUE"""),"大木 優香")</f>
        <v>大木 優香</v>
      </c>
    </row>
    <row r="1146" spans="2:4" ht="13">
      <c r="B1146" s="12">
        <f ca="1">IFERROR(__xludf.DUMMYFUNCTION("""COMPUTED_VALUE"""),107921)</f>
        <v>107921</v>
      </c>
      <c r="C1146" s="14">
        <f ca="1">IFERROR(__xludf.DUMMYFUNCTION("""COMPUTED_VALUE"""),1)</f>
        <v>1</v>
      </c>
      <c r="D1146" s="12" t="str">
        <f ca="1">IFERROR(__xludf.DUMMYFUNCTION("""COMPUTED_VALUE"""),"大木 優香")</f>
        <v>大木 優香</v>
      </c>
    </row>
    <row r="1147" spans="2:4" ht="13">
      <c r="B1147" s="12">
        <f ca="1">IFERROR(__xludf.DUMMYFUNCTION("""COMPUTED_VALUE"""),107922)</f>
        <v>107922</v>
      </c>
      <c r="C1147" s="14">
        <f ca="1">IFERROR(__xludf.DUMMYFUNCTION("""COMPUTED_VALUE"""),1)</f>
        <v>1</v>
      </c>
      <c r="D1147" s="12" t="str">
        <f ca="1">IFERROR(__xludf.DUMMYFUNCTION("""COMPUTED_VALUE"""),"大木 優香")</f>
        <v>大木 優香</v>
      </c>
    </row>
    <row r="1148" spans="2:4" ht="13">
      <c r="B1148" s="12">
        <f ca="1">IFERROR(__xludf.DUMMYFUNCTION("""COMPUTED_VALUE"""),107923)</f>
        <v>107923</v>
      </c>
      <c r="C1148" s="14">
        <f ca="1">IFERROR(__xludf.DUMMYFUNCTION("""COMPUTED_VALUE"""),3)</f>
        <v>3</v>
      </c>
      <c r="D1148" s="12" t="str">
        <f ca="1">IFERROR(__xludf.DUMMYFUNCTION("""COMPUTED_VALUE"""),"大木 優香")</f>
        <v>大木 優香</v>
      </c>
    </row>
    <row r="1149" spans="2:4" ht="13">
      <c r="B1149" s="12">
        <f ca="1">IFERROR(__xludf.DUMMYFUNCTION("""COMPUTED_VALUE"""),107925)</f>
        <v>107925</v>
      </c>
      <c r="C1149" s="14">
        <f ca="1">IFERROR(__xludf.DUMMYFUNCTION("""COMPUTED_VALUE"""),11)</f>
        <v>11</v>
      </c>
      <c r="D1149" s="12" t="str">
        <f ca="1">IFERROR(__xludf.DUMMYFUNCTION("""COMPUTED_VALUE"""),"菅野 ぎんが")</f>
        <v>菅野 ぎんが</v>
      </c>
    </row>
    <row r="1150" spans="2:4" ht="13">
      <c r="B1150" s="12">
        <f ca="1">IFERROR(__xludf.DUMMYFUNCTION("""COMPUTED_VALUE"""),107929)</f>
        <v>107929</v>
      </c>
      <c r="C1150" s="14">
        <f ca="1">IFERROR(__xludf.DUMMYFUNCTION("""COMPUTED_VALUE"""),49)</f>
        <v>49</v>
      </c>
      <c r="D1150" s="12" t="str">
        <f ca="1">IFERROR(__xludf.DUMMYFUNCTION("""COMPUTED_VALUE"""),"桐山 勝気")</f>
        <v>桐山 勝気</v>
      </c>
    </row>
    <row r="1151" spans="2:4" ht="13">
      <c r="B1151" s="12">
        <f ca="1">IFERROR(__xludf.DUMMYFUNCTION("""COMPUTED_VALUE"""),107934)</f>
        <v>107934</v>
      </c>
      <c r="C1151" s="14">
        <f ca="1">IFERROR(__xludf.DUMMYFUNCTION("""COMPUTED_VALUE"""),0)</f>
        <v>0</v>
      </c>
      <c r="D1151" s="12" t="str">
        <f ca="1">IFERROR(__xludf.DUMMYFUNCTION("""COMPUTED_VALUE"""),"成嶋 夏未")</f>
        <v>成嶋 夏未</v>
      </c>
    </row>
    <row r="1152" spans="2:4" ht="13">
      <c r="B1152" s="12">
        <f ca="1">IFERROR(__xludf.DUMMYFUNCTION("""COMPUTED_VALUE"""),107941)</f>
        <v>107941</v>
      </c>
      <c r="C1152" s="14">
        <f ca="1">IFERROR(__xludf.DUMMYFUNCTION("""COMPUTED_VALUE"""),2)</f>
        <v>2</v>
      </c>
      <c r="D1152" s="12" t="str">
        <f ca="1">IFERROR(__xludf.DUMMYFUNCTION("""COMPUTED_VALUE"""),"小関 麻起")</f>
        <v>小関 麻起</v>
      </c>
    </row>
    <row r="1153" spans="2:4" ht="13">
      <c r="B1153" s="12">
        <f ca="1">IFERROR(__xludf.DUMMYFUNCTION("""COMPUTED_VALUE"""),107942)</f>
        <v>107942</v>
      </c>
      <c r="C1153" s="14">
        <f ca="1">IFERROR(__xludf.DUMMYFUNCTION("""COMPUTED_VALUE"""),1)</f>
        <v>1</v>
      </c>
      <c r="D1153" s="12" t="str">
        <f ca="1">IFERROR(__xludf.DUMMYFUNCTION("""COMPUTED_VALUE"""),"大木 優香")</f>
        <v>大木 優香</v>
      </c>
    </row>
    <row r="1154" spans="2:4" ht="13">
      <c r="B1154" s="12">
        <f ca="1">IFERROR(__xludf.DUMMYFUNCTION("""COMPUTED_VALUE"""),107943)</f>
        <v>107943</v>
      </c>
      <c r="C1154" s="14">
        <f ca="1">IFERROR(__xludf.DUMMYFUNCTION("""COMPUTED_VALUE"""),0)</f>
        <v>0</v>
      </c>
      <c r="D1154" s="12" t="str">
        <f ca="1">IFERROR(__xludf.DUMMYFUNCTION("""COMPUTED_VALUE"""),"大木 優香")</f>
        <v>大木 優香</v>
      </c>
    </row>
    <row r="1155" spans="2:4" ht="13">
      <c r="B1155" s="12">
        <f ca="1">IFERROR(__xludf.DUMMYFUNCTION("""COMPUTED_VALUE"""),107944)</f>
        <v>107944</v>
      </c>
      <c r="C1155" s="14">
        <f ca="1">IFERROR(__xludf.DUMMYFUNCTION("""COMPUTED_VALUE"""),14)</f>
        <v>14</v>
      </c>
      <c r="D1155" s="12" t="str">
        <f ca="1">IFERROR(__xludf.DUMMYFUNCTION("""COMPUTED_VALUE"""),"大木 優香")</f>
        <v>大木 優香</v>
      </c>
    </row>
    <row r="1156" spans="2:4" ht="13">
      <c r="B1156" s="12">
        <f ca="1">IFERROR(__xludf.DUMMYFUNCTION("""COMPUTED_VALUE"""),107945)</f>
        <v>107945</v>
      </c>
      <c r="C1156" s="14">
        <f ca="1">IFERROR(__xludf.DUMMYFUNCTION("""COMPUTED_VALUE"""),2)</f>
        <v>2</v>
      </c>
      <c r="D1156" s="12" t="str">
        <f ca="1">IFERROR(__xludf.DUMMYFUNCTION("""COMPUTED_VALUE"""),"大木 優香")</f>
        <v>大木 優香</v>
      </c>
    </row>
    <row r="1157" spans="2:4" ht="13">
      <c r="B1157" s="12">
        <f ca="1">IFERROR(__xludf.DUMMYFUNCTION("""COMPUTED_VALUE"""),107946)</f>
        <v>107946</v>
      </c>
      <c r="C1157" s="14">
        <f ca="1">IFERROR(__xludf.DUMMYFUNCTION("""COMPUTED_VALUE"""),2)</f>
        <v>2</v>
      </c>
      <c r="D1157" s="12" t="str">
        <f ca="1">IFERROR(__xludf.DUMMYFUNCTION("""COMPUTED_VALUE"""),"大木 優香")</f>
        <v>大木 優香</v>
      </c>
    </row>
    <row r="1158" spans="2:4" ht="13">
      <c r="B1158" s="12">
        <f ca="1">IFERROR(__xludf.DUMMYFUNCTION("""COMPUTED_VALUE"""),107948)</f>
        <v>107948</v>
      </c>
      <c r="C1158" s="14">
        <f ca="1">IFERROR(__xludf.DUMMYFUNCTION("""COMPUTED_VALUE"""),8)</f>
        <v>8</v>
      </c>
      <c r="D1158" s="12" t="str">
        <f ca="1">IFERROR(__xludf.DUMMYFUNCTION("""COMPUTED_VALUE"""),"大木 優香")</f>
        <v>大木 優香</v>
      </c>
    </row>
    <row r="1159" spans="2:4" ht="13">
      <c r="B1159" s="12">
        <f ca="1">IFERROR(__xludf.DUMMYFUNCTION("""COMPUTED_VALUE"""),107949)</f>
        <v>107949</v>
      </c>
      <c r="C1159" s="14">
        <f ca="1">IFERROR(__xludf.DUMMYFUNCTION("""COMPUTED_VALUE"""),2)</f>
        <v>2</v>
      </c>
      <c r="D1159" s="12" t="str">
        <f ca="1">IFERROR(__xludf.DUMMYFUNCTION("""COMPUTED_VALUE"""),"大木 優香")</f>
        <v>大木 優香</v>
      </c>
    </row>
    <row r="1160" spans="2:4" ht="13">
      <c r="B1160" s="12">
        <f ca="1">IFERROR(__xludf.DUMMYFUNCTION("""COMPUTED_VALUE"""),107953)</f>
        <v>107953</v>
      </c>
      <c r="C1160" s="14">
        <f ca="1">IFERROR(__xludf.DUMMYFUNCTION("""COMPUTED_VALUE"""),0)</f>
        <v>0</v>
      </c>
      <c r="D1160" s="12" t="str">
        <f ca="1">IFERROR(__xludf.DUMMYFUNCTION("""COMPUTED_VALUE"""),"奥野 貴大")</f>
        <v>奥野 貴大</v>
      </c>
    </row>
    <row r="1161" spans="2:4" ht="13">
      <c r="B1161" s="12">
        <f ca="1">IFERROR(__xludf.DUMMYFUNCTION("""COMPUTED_VALUE"""),107964)</f>
        <v>107964</v>
      </c>
      <c r="C1161" s="14">
        <f ca="1">IFERROR(__xludf.DUMMYFUNCTION("""COMPUTED_VALUE"""),0)</f>
        <v>0</v>
      </c>
      <c r="D1161" s="12" t="str">
        <f ca="1">IFERROR(__xludf.DUMMYFUNCTION("""COMPUTED_VALUE"""),"松尾 尚樹")</f>
        <v>松尾 尚樹</v>
      </c>
    </row>
    <row r="1162" spans="2:4" ht="13">
      <c r="B1162" s="12">
        <f ca="1">IFERROR(__xludf.DUMMYFUNCTION("""COMPUTED_VALUE"""),107970)</f>
        <v>107970</v>
      </c>
      <c r="C1162" s="14">
        <f ca="1">IFERROR(__xludf.DUMMYFUNCTION("""COMPUTED_VALUE"""),0)</f>
        <v>0</v>
      </c>
      <c r="D1162" s="12" t="str">
        <f ca="1">IFERROR(__xludf.DUMMYFUNCTION("""COMPUTED_VALUE"""),"稲場 勇介")</f>
        <v>稲場 勇介</v>
      </c>
    </row>
    <row r="1163" spans="2:4" ht="13">
      <c r="B1163" s="12">
        <f ca="1">IFERROR(__xludf.DUMMYFUNCTION("""COMPUTED_VALUE"""),107986)</f>
        <v>107986</v>
      </c>
      <c r="C1163" s="14">
        <f ca="1">IFERROR(__xludf.DUMMYFUNCTION("""COMPUTED_VALUE"""),3)</f>
        <v>3</v>
      </c>
      <c r="D1163" s="12" t="str">
        <f ca="1">IFERROR(__xludf.DUMMYFUNCTION("""COMPUTED_VALUE"""),"稲場 勇介")</f>
        <v>稲場 勇介</v>
      </c>
    </row>
    <row r="1164" spans="2:4" ht="13">
      <c r="B1164" s="12">
        <f ca="1">IFERROR(__xludf.DUMMYFUNCTION("""COMPUTED_VALUE"""),107990)</f>
        <v>107990</v>
      </c>
      <c r="C1164" s="14">
        <f ca="1">IFERROR(__xludf.DUMMYFUNCTION("""COMPUTED_VALUE"""),14)</f>
        <v>14</v>
      </c>
      <c r="D1164" s="12" t="str">
        <f ca="1">IFERROR(__xludf.DUMMYFUNCTION("""COMPUTED_VALUE"""),"老田 純輝")</f>
        <v>老田 純輝</v>
      </c>
    </row>
    <row r="1165" spans="2:4" ht="13">
      <c r="B1165" s="12">
        <f ca="1">IFERROR(__xludf.DUMMYFUNCTION("""COMPUTED_VALUE"""),107991)</f>
        <v>107991</v>
      </c>
      <c r="C1165" s="14">
        <f ca="1">IFERROR(__xludf.DUMMYFUNCTION("""COMPUTED_VALUE"""),1)</f>
        <v>1</v>
      </c>
      <c r="D1165" s="12" t="str">
        <f ca="1">IFERROR(__xludf.DUMMYFUNCTION("""COMPUTED_VALUE"""),"長谷川 陸朗")</f>
        <v>長谷川 陸朗</v>
      </c>
    </row>
    <row r="1166" spans="2:4" ht="13">
      <c r="B1166" s="12">
        <f ca="1">IFERROR(__xludf.DUMMYFUNCTION("""COMPUTED_VALUE"""),107998)</f>
        <v>107998</v>
      </c>
      <c r="C1166" s="14">
        <f ca="1">IFERROR(__xludf.DUMMYFUNCTION("""COMPUTED_VALUE"""),0)</f>
        <v>0</v>
      </c>
      <c r="D1166" s="12" t="str">
        <f ca="1">IFERROR(__xludf.DUMMYFUNCTION("""COMPUTED_VALUE"""),"松尾 尚樹")</f>
        <v>松尾 尚樹</v>
      </c>
    </row>
    <row r="1167" spans="2:4" ht="13">
      <c r="B1167" s="12">
        <f ca="1">IFERROR(__xludf.DUMMYFUNCTION("""COMPUTED_VALUE"""),108000)</f>
        <v>108000</v>
      </c>
      <c r="C1167" s="14">
        <f ca="1">IFERROR(__xludf.DUMMYFUNCTION("""COMPUTED_VALUE"""),0)</f>
        <v>0</v>
      </c>
      <c r="D1167" s="12" t="str">
        <f ca="1">IFERROR(__xludf.DUMMYFUNCTION("""COMPUTED_VALUE"""),"内丸 裕子")</f>
        <v>内丸 裕子</v>
      </c>
    </row>
    <row r="1168" spans="2:4" ht="13">
      <c r="B1168" s="12">
        <f ca="1">IFERROR(__xludf.DUMMYFUNCTION("""COMPUTED_VALUE"""),108006)</f>
        <v>108006</v>
      </c>
      <c r="C1168" s="14">
        <f ca="1">IFERROR(__xludf.DUMMYFUNCTION("""COMPUTED_VALUE"""),0)</f>
        <v>0</v>
      </c>
      <c r="D1168" s="12" t="str">
        <f ca="1">IFERROR(__xludf.DUMMYFUNCTION("""COMPUTED_VALUE"""),"成嶋 夏未")</f>
        <v>成嶋 夏未</v>
      </c>
    </row>
    <row r="1169" spans="2:4" ht="13">
      <c r="B1169" s="12">
        <f ca="1">IFERROR(__xludf.DUMMYFUNCTION("""COMPUTED_VALUE"""),108008)</f>
        <v>108008</v>
      </c>
      <c r="C1169" s="14">
        <f ca="1">IFERROR(__xludf.DUMMYFUNCTION("""COMPUTED_VALUE"""),0)</f>
        <v>0</v>
      </c>
      <c r="D1169" s="12" t="str">
        <f ca="1">IFERROR(__xludf.DUMMYFUNCTION("""COMPUTED_VALUE"""),"小川 純")</f>
        <v>小川 純</v>
      </c>
    </row>
    <row r="1170" spans="2:4" ht="13">
      <c r="B1170" s="12">
        <f ca="1">IFERROR(__xludf.DUMMYFUNCTION("""COMPUTED_VALUE"""),108024)</f>
        <v>108024</v>
      </c>
      <c r="C1170" s="14">
        <f ca="1">IFERROR(__xludf.DUMMYFUNCTION("""COMPUTED_VALUE"""),0)</f>
        <v>0</v>
      </c>
      <c r="D1170" s="12" t="str">
        <f ca="1">IFERROR(__xludf.DUMMYFUNCTION("""COMPUTED_VALUE"""),"松尾 尚樹")</f>
        <v>松尾 尚樹</v>
      </c>
    </row>
    <row r="1171" spans="2:4" ht="13">
      <c r="B1171" s="12">
        <f ca="1">IFERROR(__xludf.DUMMYFUNCTION("""COMPUTED_VALUE"""),108026)</f>
        <v>108026</v>
      </c>
      <c r="C1171" s="14">
        <f ca="1">IFERROR(__xludf.DUMMYFUNCTION("""COMPUTED_VALUE"""),0)</f>
        <v>0</v>
      </c>
      <c r="D1171" s="12" t="str">
        <f ca="1">IFERROR(__xludf.DUMMYFUNCTION("""COMPUTED_VALUE"""),"内丸 裕子")</f>
        <v>内丸 裕子</v>
      </c>
    </row>
    <row r="1172" spans="2:4" ht="13">
      <c r="B1172" s="12">
        <f ca="1">IFERROR(__xludf.DUMMYFUNCTION("""COMPUTED_VALUE"""),108034)</f>
        <v>108034</v>
      </c>
      <c r="C1172" s="14">
        <f ca="1">IFERROR(__xludf.DUMMYFUNCTION("""COMPUTED_VALUE"""),0)</f>
        <v>0</v>
      </c>
      <c r="D1172" s="12" t="str">
        <f ca="1">IFERROR(__xludf.DUMMYFUNCTION("""COMPUTED_VALUE"""),"成嶋 夏未")</f>
        <v>成嶋 夏未</v>
      </c>
    </row>
    <row r="1173" spans="2:4" ht="13">
      <c r="B1173" s="12">
        <f ca="1">IFERROR(__xludf.DUMMYFUNCTION("""COMPUTED_VALUE"""),108043)</f>
        <v>108043</v>
      </c>
      <c r="C1173" s="14">
        <f ca="1">IFERROR(__xludf.DUMMYFUNCTION("""COMPUTED_VALUE"""),0)</f>
        <v>0</v>
      </c>
      <c r="D1173" s="12" t="str">
        <f ca="1">IFERROR(__xludf.DUMMYFUNCTION("""COMPUTED_VALUE"""),"荻曽 克輝")</f>
        <v>荻曽 克輝</v>
      </c>
    </row>
    <row r="1174" spans="2:4" ht="13">
      <c r="B1174" s="12">
        <f ca="1">IFERROR(__xludf.DUMMYFUNCTION("""COMPUTED_VALUE"""),108046)</f>
        <v>108046</v>
      </c>
      <c r="C1174" s="14">
        <f ca="1">IFERROR(__xludf.DUMMYFUNCTION("""COMPUTED_VALUE"""),0)</f>
        <v>0</v>
      </c>
      <c r="D1174" s="12" t="str">
        <f ca="1">IFERROR(__xludf.DUMMYFUNCTION("""COMPUTED_VALUE"""),"稲場 勇介")</f>
        <v>稲場 勇介</v>
      </c>
    </row>
    <row r="1175" spans="2:4" ht="13">
      <c r="B1175" s="12">
        <f ca="1">IFERROR(__xludf.DUMMYFUNCTION("""COMPUTED_VALUE"""),108052)</f>
        <v>108052</v>
      </c>
      <c r="C1175" s="14">
        <f ca="1">IFERROR(__xludf.DUMMYFUNCTION("""COMPUTED_VALUE"""),93)</f>
        <v>93</v>
      </c>
      <c r="D1175" s="12" t="str">
        <f ca="1">IFERROR(__xludf.DUMMYFUNCTION("""COMPUTED_VALUE"""),"稲場 勇介")</f>
        <v>稲場 勇介</v>
      </c>
    </row>
    <row r="1176" spans="2:4" ht="13">
      <c r="B1176" s="12">
        <f ca="1">IFERROR(__xludf.DUMMYFUNCTION("""COMPUTED_VALUE"""),108059)</f>
        <v>108059</v>
      </c>
      <c r="C1176" s="14">
        <f ca="1">IFERROR(__xludf.DUMMYFUNCTION("""COMPUTED_VALUE"""),29)</f>
        <v>29</v>
      </c>
      <c r="D1176" s="12" t="str">
        <f ca="1">IFERROR(__xludf.DUMMYFUNCTION("""COMPUTED_VALUE"""),"栗原 大武")</f>
        <v>栗原 大武</v>
      </c>
    </row>
    <row r="1177" spans="2:4" ht="13">
      <c r="B1177" s="12">
        <f ca="1">IFERROR(__xludf.DUMMYFUNCTION("""COMPUTED_VALUE"""),108070)</f>
        <v>108070</v>
      </c>
      <c r="C1177" s="14">
        <f ca="1">IFERROR(__xludf.DUMMYFUNCTION("""COMPUTED_VALUE"""),9)</f>
        <v>9</v>
      </c>
      <c r="D1177" s="12" t="str">
        <f ca="1">IFERROR(__xludf.DUMMYFUNCTION("""COMPUTED_VALUE"""),"辻村 将大")</f>
        <v>辻村 将大</v>
      </c>
    </row>
    <row r="1178" spans="2:4" ht="13">
      <c r="B1178" s="12">
        <f ca="1">IFERROR(__xludf.DUMMYFUNCTION("""COMPUTED_VALUE"""),108075)</f>
        <v>108075</v>
      </c>
      <c r="C1178" s="14">
        <f ca="1">IFERROR(__xludf.DUMMYFUNCTION("""COMPUTED_VALUE"""),9)</f>
        <v>9</v>
      </c>
      <c r="D1178" s="12" t="str">
        <f ca="1">IFERROR(__xludf.DUMMYFUNCTION("""COMPUTED_VALUE"""),"大木 優香")</f>
        <v>大木 優香</v>
      </c>
    </row>
    <row r="1179" spans="2:4" ht="13">
      <c r="B1179" s="12">
        <f ca="1">IFERROR(__xludf.DUMMYFUNCTION("""COMPUTED_VALUE"""),108076)</f>
        <v>108076</v>
      </c>
      <c r="C1179" s="14">
        <f ca="1">IFERROR(__xludf.DUMMYFUNCTION("""COMPUTED_VALUE"""),3)</f>
        <v>3</v>
      </c>
      <c r="D1179" s="12" t="str">
        <f ca="1">IFERROR(__xludf.DUMMYFUNCTION("""COMPUTED_VALUE"""),"大木 優香")</f>
        <v>大木 優香</v>
      </c>
    </row>
    <row r="1180" spans="2:4" ht="13">
      <c r="B1180" s="12">
        <f ca="1">IFERROR(__xludf.DUMMYFUNCTION("""COMPUTED_VALUE"""),108077)</f>
        <v>108077</v>
      </c>
      <c r="C1180" s="14">
        <f ca="1">IFERROR(__xludf.DUMMYFUNCTION("""COMPUTED_VALUE"""),1)</f>
        <v>1</v>
      </c>
      <c r="D1180" s="12" t="str">
        <f ca="1">IFERROR(__xludf.DUMMYFUNCTION("""COMPUTED_VALUE"""),"大木 優香")</f>
        <v>大木 優香</v>
      </c>
    </row>
    <row r="1181" spans="2:4" ht="13">
      <c r="B1181" s="12">
        <f ca="1">IFERROR(__xludf.DUMMYFUNCTION("""COMPUTED_VALUE"""),108078)</f>
        <v>108078</v>
      </c>
      <c r="C1181" s="14">
        <f ca="1">IFERROR(__xludf.DUMMYFUNCTION("""COMPUTED_VALUE"""),1)</f>
        <v>1</v>
      </c>
      <c r="D1181" s="12" t="str">
        <f ca="1">IFERROR(__xludf.DUMMYFUNCTION("""COMPUTED_VALUE"""),"大木 優香")</f>
        <v>大木 優香</v>
      </c>
    </row>
    <row r="1182" spans="2:4" ht="13">
      <c r="B1182" s="12">
        <f ca="1">IFERROR(__xludf.DUMMYFUNCTION("""COMPUTED_VALUE"""),108079)</f>
        <v>108079</v>
      </c>
      <c r="C1182" s="14">
        <f ca="1">IFERROR(__xludf.DUMMYFUNCTION("""COMPUTED_VALUE"""),3)</f>
        <v>3</v>
      </c>
      <c r="D1182" s="12" t="str">
        <f ca="1">IFERROR(__xludf.DUMMYFUNCTION("""COMPUTED_VALUE"""),"大木 優香")</f>
        <v>大木 優香</v>
      </c>
    </row>
    <row r="1183" spans="2:4" ht="13">
      <c r="B1183" s="12">
        <f ca="1">IFERROR(__xludf.DUMMYFUNCTION("""COMPUTED_VALUE"""),108084)</f>
        <v>108084</v>
      </c>
      <c r="C1183" s="14">
        <f ca="1">IFERROR(__xludf.DUMMYFUNCTION("""COMPUTED_VALUE"""),1)</f>
        <v>1</v>
      </c>
      <c r="D1183" s="12" t="str">
        <f ca="1">IFERROR(__xludf.DUMMYFUNCTION("""COMPUTED_VALUE"""),"成嶋 夏未")</f>
        <v>成嶋 夏未</v>
      </c>
    </row>
    <row r="1184" spans="2:4" ht="13">
      <c r="B1184" s="12">
        <f ca="1">IFERROR(__xludf.DUMMYFUNCTION("""COMPUTED_VALUE"""),108086)</f>
        <v>108086</v>
      </c>
      <c r="C1184" s="14">
        <f ca="1">IFERROR(__xludf.DUMMYFUNCTION("""COMPUTED_VALUE"""),1)</f>
        <v>1</v>
      </c>
      <c r="D1184" s="12" t="str">
        <f ca="1">IFERROR(__xludf.DUMMYFUNCTION("""COMPUTED_VALUE"""),"菅野 ぎんが")</f>
        <v>菅野 ぎんが</v>
      </c>
    </row>
    <row r="1185" spans="2:4" ht="13">
      <c r="B1185" s="12">
        <f ca="1">IFERROR(__xludf.DUMMYFUNCTION("""COMPUTED_VALUE"""),108099)</f>
        <v>108099</v>
      </c>
      <c r="C1185" s="14">
        <f ca="1">IFERROR(__xludf.DUMMYFUNCTION("""COMPUTED_VALUE"""),93)</f>
        <v>93</v>
      </c>
      <c r="D1185" s="12" t="str">
        <f ca="1">IFERROR(__xludf.DUMMYFUNCTION("""COMPUTED_VALUE"""),"栗原 大武")</f>
        <v>栗原 大武</v>
      </c>
    </row>
    <row r="1186" spans="2:4" ht="13">
      <c r="B1186" s="12">
        <f ca="1">IFERROR(__xludf.DUMMYFUNCTION("""COMPUTED_VALUE"""),108107)</f>
        <v>108107</v>
      </c>
      <c r="C1186" s="14">
        <f ca="1">IFERROR(__xludf.DUMMYFUNCTION("""COMPUTED_VALUE"""),0)</f>
        <v>0</v>
      </c>
      <c r="D1186" s="12" t="str">
        <f ca="1">IFERROR(__xludf.DUMMYFUNCTION("""COMPUTED_VALUE"""),"長谷川 陸朗")</f>
        <v>長谷川 陸朗</v>
      </c>
    </row>
    <row r="1187" spans="2:4" ht="13">
      <c r="B1187" s="12">
        <f ca="1">IFERROR(__xludf.DUMMYFUNCTION("""COMPUTED_VALUE"""),108122)</f>
        <v>108122</v>
      </c>
      <c r="C1187" s="14">
        <f ca="1">IFERROR(__xludf.DUMMYFUNCTION("""COMPUTED_VALUE"""),4)</f>
        <v>4</v>
      </c>
      <c r="D1187" s="12" t="str">
        <f ca="1">IFERROR(__xludf.DUMMYFUNCTION("""COMPUTED_VALUE"""),"松尾 尚樹")</f>
        <v>松尾 尚樹</v>
      </c>
    </row>
    <row r="1188" spans="2:4" ht="13">
      <c r="B1188" s="12">
        <f ca="1">IFERROR(__xludf.DUMMYFUNCTION("""COMPUTED_VALUE"""),108135)</f>
        <v>108135</v>
      </c>
      <c r="C1188" s="14">
        <f ca="1">IFERROR(__xludf.DUMMYFUNCTION("""COMPUTED_VALUE"""),0)</f>
        <v>0</v>
      </c>
      <c r="D1188" s="12" t="str">
        <f ca="1">IFERROR(__xludf.DUMMYFUNCTION("""COMPUTED_VALUE"""),"小関 麻起")</f>
        <v>小関 麻起</v>
      </c>
    </row>
    <row r="1189" spans="2:4" ht="13">
      <c r="B1189" s="12">
        <f ca="1">IFERROR(__xludf.DUMMYFUNCTION("""COMPUTED_VALUE"""),108147)</f>
        <v>108147</v>
      </c>
      <c r="C1189" s="14">
        <f ca="1">IFERROR(__xludf.DUMMYFUNCTION("""COMPUTED_VALUE"""),0)</f>
        <v>0</v>
      </c>
      <c r="D1189" s="12" t="str">
        <f ca="1">IFERROR(__xludf.DUMMYFUNCTION("""COMPUTED_VALUE"""),"小関 麻起")</f>
        <v>小関 麻起</v>
      </c>
    </row>
    <row r="1190" spans="2:4" ht="13">
      <c r="B1190" s="12">
        <f ca="1">IFERROR(__xludf.DUMMYFUNCTION("""COMPUTED_VALUE"""),108151)</f>
        <v>108151</v>
      </c>
      <c r="C1190" s="14">
        <f ca="1">IFERROR(__xludf.DUMMYFUNCTION("""COMPUTED_VALUE"""),0)</f>
        <v>0</v>
      </c>
      <c r="D1190" s="12" t="str">
        <f ca="1">IFERROR(__xludf.DUMMYFUNCTION("""COMPUTED_VALUE"""),"成嶋 夏未")</f>
        <v>成嶋 夏未</v>
      </c>
    </row>
    <row r="1191" spans="2:4" ht="13">
      <c r="B1191" s="12">
        <f ca="1">IFERROR(__xludf.DUMMYFUNCTION("""COMPUTED_VALUE"""),108157)</f>
        <v>108157</v>
      </c>
      <c r="C1191" s="14">
        <f ca="1">IFERROR(__xludf.DUMMYFUNCTION("""COMPUTED_VALUE"""),0)</f>
        <v>0</v>
      </c>
      <c r="D1191" s="12" t="str">
        <f ca="1">IFERROR(__xludf.DUMMYFUNCTION("""COMPUTED_VALUE"""),"稲場 勇介")</f>
        <v>稲場 勇介</v>
      </c>
    </row>
    <row r="1192" spans="2:4" ht="13">
      <c r="B1192" s="12">
        <f ca="1">IFERROR(__xludf.DUMMYFUNCTION("""COMPUTED_VALUE"""),108165)</f>
        <v>108165</v>
      </c>
      <c r="C1192" s="14">
        <f ca="1">IFERROR(__xludf.DUMMYFUNCTION("""COMPUTED_VALUE"""),0)</f>
        <v>0</v>
      </c>
      <c r="D1192" s="12" t="str">
        <f ca="1">IFERROR(__xludf.DUMMYFUNCTION("""COMPUTED_VALUE"""),"成嶋 夏未")</f>
        <v>成嶋 夏未</v>
      </c>
    </row>
    <row r="1193" spans="2:4" ht="13">
      <c r="B1193" s="12">
        <f ca="1">IFERROR(__xludf.DUMMYFUNCTION("""COMPUTED_VALUE"""),108175)</f>
        <v>108175</v>
      </c>
      <c r="C1193" s="14">
        <f ca="1">IFERROR(__xludf.DUMMYFUNCTION("""COMPUTED_VALUE"""),0)</f>
        <v>0</v>
      </c>
      <c r="D1193" s="12" t="str">
        <f ca="1">IFERROR(__xludf.DUMMYFUNCTION("""COMPUTED_VALUE"""),"田嶋 将太")</f>
        <v>田嶋 将太</v>
      </c>
    </row>
    <row r="1194" spans="2:4" ht="13">
      <c r="B1194" s="12">
        <f ca="1">IFERROR(__xludf.DUMMYFUNCTION("""COMPUTED_VALUE"""),108198)</f>
        <v>108198</v>
      </c>
      <c r="C1194" s="14">
        <f ca="1">IFERROR(__xludf.DUMMYFUNCTION("""COMPUTED_VALUE"""),0)</f>
        <v>0</v>
      </c>
      <c r="D1194" s="12" t="str">
        <f ca="1">IFERROR(__xludf.DUMMYFUNCTION("""COMPUTED_VALUE"""),"稲場 勇介")</f>
        <v>稲場 勇介</v>
      </c>
    </row>
    <row r="1195" spans="2:4" ht="13">
      <c r="B1195" s="12">
        <f ca="1">IFERROR(__xludf.DUMMYFUNCTION("""COMPUTED_VALUE"""),108200)</f>
        <v>108200</v>
      </c>
      <c r="C1195" s="14">
        <f ca="1">IFERROR(__xludf.DUMMYFUNCTION("""COMPUTED_VALUE"""),3)</f>
        <v>3</v>
      </c>
      <c r="D1195" s="12" t="str">
        <f ca="1">IFERROR(__xludf.DUMMYFUNCTION("""COMPUTED_VALUE"""),"長谷川 陸朗")</f>
        <v>長谷川 陸朗</v>
      </c>
    </row>
    <row r="1196" spans="2:4" ht="13">
      <c r="B1196" s="12">
        <f ca="1">IFERROR(__xludf.DUMMYFUNCTION("""COMPUTED_VALUE"""),108206)</f>
        <v>108206</v>
      </c>
      <c r="C1196" s="14">
        <f ca="1">IFERROR(__xludf.DUMMYFUNCTION("""COMPUTED_VALUE"""),9)</f>
        <v>9</v>
      </c>
      <c r="D1196" s="12" t="str">
        <f ca="1">IFERROR(__xludf.DUMMYFUNCTION("""COMPUTED_VALUE"""),"稲場 勇介")</f>
        <v>稲場 勇介</v>
      </c>
    </row>
    <row r="1197" spans="2:4" ht="13">
      <c r="B1197" s="12">
        <f ca="1">IFERROR(__xludf.DUMMYFUNCTION("""COMPUTED_VALUE"""),108214)</f>
        <v>108214</v>
      </c>
      <c r="C1197" s="14">
        <f ca="1">IFERROR(__xludf.DUMMYFUNCTION("""COMPUTED_VALUE"""),0)</f>
        <v>0</v>
      </c>
      <c r="D1197" s="12" t="str">
        <f ca="1">IFERROR(__xludf.DUMMYFUNCTION("""COMPUTED_VALUE"""),"稲場 勇介")</f>
        <v>稲場 勇介</v>
      </c>
    </row>
    <row r="1198" spans="2:4" ht="13">
      <c r="B1198" s="12">
        <f ca="1">IFERROR(__xludf.DUMMYFUNCTION("""COMPUTED_VALUE"""),108216)</f>
        <v>108216</v>
      </c>
      <c r="C1198" s="14">
        <f ca="1">IFERROR(__xludf.DUMMYFUNCTION("""COMPUTED_VALUE"""),18)</f>
        <v>18</v>
      </c>
      <c r="D1198" s="12" t="str">
        <f ca="1">IFERROR(__xludf.DUMMYFUNCTION("""COMPUTED_VALUE"""),"桐山 勝気")</f>
        <v>桐山 勝気</v>
      </c>
    </row>
    <row r="1199" spans="2:4" ht="13">
      <c r="B1199" s="12">
        <f ca="1">IFERROR(__xludf.DUMMYFUNCTION("""COMPUTED_VALUE"""),108218)</f>
        <v>108218</v>
      </c>
      <c r="C1199" s="14">
        <f ca="1">IFERROR(__xludf.DUMMYFUNCTION("""COMPUTED_VALUE"""),0)</f>
        <v>0</v>
      </c>
      <c r="D1199" s="12" t="str">
        <f ca="1">IFERROR(__xludf.DUMMYFUNCTION("""COMPUTED_VALUE"""),"稲場 勇介")</f>
        <v>稲場 勇介</v>
      </c>
    </row>
    <row r="1200" spans="2:4" ht="13">
      <c r="B1200" s="12">
        <f ca="1">IFERROR(__xludf.DUMMYFUNCTION("""COMPUTED_VALUE"""),108226)</f>
        <v>108226</v>
      </c>
      <c r="C1200" s="14">
        <f ca="1">IFERROR(__xludf.DUMMYFUNCTION("""COMPUTED_VALUE"""),0)</f>
        <v>0</v>
      </c>
      <c r="D1200" s="12" t="str">
        <f ca="1">IFERROR(__xludf.DUMMYFUNCTION("""COMPUTED_VALUE"""),"栗原 大武")</f>
        <v>栗原 大武</v>
      </c>
    </row>
    <row r="1201" spans="2:4" ht="13">
      <c r="B1201" s="12">
        <f ca="1">IFERROR(__xludf.DUMMYFUNCTION("""COMPUTED_VALUE"""),108238)</f>
        <v>108238</v>
      </c>
      <c r="C1201" s="14">
        <f ca="1">IFERROR(__xludf.DUMMYFUNCTION("""COMPUTED_VALUE"""),17)</f>
        <v>17</v>
      </c>
      <c r="D1201" s="12" t="str">
        <f ca="1">IFERROR(__xludf.DUMMYFUNCTION("""COMPUTED_VALUE"""),"菅野 ぎんが")</f>
        <v>菅野 ぎんが</v>
      </c>
    </row>
    <row r="1202" spans="2:4" ht="13">
      <c r="B1202" s="12">
        <f ca="1">IFERROR(__xludf.DUMMYFUNCTION("""COMPUTED_VALUE"""),108239)</f>
        <v>108239</v>
      </c>
      <c r="C1202" s="14">
        <f ca="1">IFERROR(__xludf.DUMMYFUNCTION("""COMPUTED_VALUE"""),0)</f>
        <v>0</v>
      </c>
      <c r="D1202" s="12" t="str">
        <f ca="1">IFERROR(__xludf.DUMMYFUNCTION("""COMPUTED_VALUE"""),"小関 麻起")</f>
        <v>小関 麻起</v>
      </c>
    </row>
    <row r="1203" spans="2:4" ht="13">
      <c r="B1203" s="12">
        <f ca="1">IFERROR(__xludf.DUMMYFUNCTION("""COMPUTED_VALUE"""),108241)</f>
        <v>108241</v>
      </c>
      <c r="C1203" s="14">
        <f ca="1">IFERROR(__xludf.DUMMYFUNCTION("""COMPUTED_VALUE"""),1)</f>
        <v>1</v>
      </c>
      <c r="D1203" s="12" t="str">
        <f ca="1">IFERROR(__xludf.DUMMYFUNCTION("""COMPUTED_VALUE"""),"辻村 将大")</f>
        <v>辻村 将大</v>
      </c>
    </row>
    <row r="1204" spans="2:4" ht="13">
      <c r="B1204" s="12">
        <f ca="1">IFERROR(__xludf.DUMMYFUNCTION("""COMPUTED_VALUE"""),108242)</f>
        <v>108242</v>
      </c>
      <c r="C1204" s="14">
        <f ca="1">IFERROR(__xludf.DUMMYFUNCTION("""COMPUTED_VALUE"""),3)</f>
        <v>3</v>
      </c>
      <c r="D1204" s="12" t="str">
        <f ca="1">IFERROR(__xludf.DUMMYFUNCTION("""COMPUTED_VALUE"""),"辻村 将大")</f>
        <v>辻村 将大</v>
      </c>
    </row>
    <row r="1205" spans="2:4" ht="13">
      <c r="B1205" s="12">
        <f ca="1">IFERROR(__xludf.DUMMYFUNCTION("""COMPUTED_VALUE"""),108247)</f>
        <v>108247</v>
      </c>
      <c r="C1205" s="14">
        <f ca="1">IFERROR(__xludf.DUMMYFUNCTION("""COMPUTED_VALUE"""),1)</f>
        <v>1</v>
      </c>
      <c r="D1205" s="12" t="str">
        <f ca="1">IFERROR(__xludf.DUMMYFUNCTION("""COMPUTED_VALUE"""),"辻村 将大")</f>
        <v>辻村 将大</v>
      </c>
    </row>
    <row r="1206" spans="2:4" ht="13">
      <c r="B1206" s="12">
        <f ca="1">IFERROR(__xludf.DUMMYFUNCTION("""COMPUTED_VALUE"""),108256)</f>
        <v>108256</v>
      </c>
      <c r="C1206" s="14">
        <f ca="1">IFERROR(__xludf.DUMMYFUNCTION("""COMPUTED_VALUE"""),0)</f>
        <v>0</v>
      </c>
      <c r="D1206" s="12" t="str">
        <f ca="1">IFERROR(__xludf.DUMMYFUNCTION("""COMPUTED_VALUE"""),"村上 浩一朗")</f>
        <v>村上 浩一朗</v>
      </c>
    </row>
    <row r="1207" spans="2:4" ht="13">
      <c r="B1207" s="12">
        <f ca="1">IFERROR(__xludf.DUMMYFUNCTION("""COMPUTED_VALUE"""),108258)</f>
        <v>108258</v>
      </c>
      <c r="C1207" s="14">
        <f ca="1">IFERROR(__xludf.DUMMYFUNCTION("""COMPUTED_VALUE"""),10)</f>
        <v>10</v>
      </c>
      <c r="D1207" s="12" t="str">
        <f ca="1">IFERROR(__xludf.DUMMYFUNCTION("""COMPUTED_VALUE"""),"菅野 ぎんが")</f>
        <v>菅野 ぎんが</v>
      </c>
    </row>
    <row r="1208" spans="2:4" ht="13">
      <c r="B1208" s="12">
        <f ca="1">IFERROR(__xludf.DUMMYFUNCTION("""COMPUTED_VALUE"""),108266)</f>
        <v>108266</v>
      </c>
      <c r="C1208" s="14">
        <f ca="1">IFERROR(__xludf.DUMMYFUNCTION("""COMPUTED_VALUE"""),0)</f>
        <v>0</v>
      </c>
      <c r="D1208" s="12" t="str">
        <f ca="1">IFERROR(__xludf.DUMMYFUNCTION("""COMPUTED_VALUE"""),"成嶋 夏未")</f>
        <v>成嶋 夏未</v>
      </c>
    </row>
    <row r="1209" spans="2:4" ht="13">
      <c r="B1209" s="12">
        <f ca="1">IFERROR(__xludf.DUMMYFUNCTION("""COMPUTED_VALUE"""),108275)</f>
        <v>108275</v>
      </c>
      <c r="C1209" s="14">
        <f ca="1">IFERROR(__xludf.DUMMYFUNCTION("""COMPUTED_VALUE"""),70)</f>
        <v>70</v>
      </c>
      <c r="D1209" s="12" t="str">
        <f ca="1">IFERROR(__xludf.DUMMYFUNCTION("""COMPUTED_VALUE"""),"小川 純")</f>
        <v>小川 純</v>
      </c>
    </row>
    <row r="1210" spans="2:4" ht="13">
      <c r="B1210" s="12">
        <f ca="1">IFERROR(__xludf.DUMMYFUNCTION("""COMPUTED_VALUE"""),108281)</f>
        <v>108281</v>
      </c>
      <c r="C1210" s="14">
        <f ca="1">IFERROR(__xludf.DUMMYFUNCTION("""COMPUTED_VALUE"""),53)</f>
        <v>53</v>
      </c>
      <c r="D1210" s="12" t="str">
        <f ca="1">IFERROR(__xludf.DUMMYFUNCTION("""COMPUTED_VALUE"""),"内丸 裕子")</f>
        <v>内丸 裕子</v>
      </c>
    </row>
    <row r="1211" spans="2:4" ht="13">
      <c r="B1211" s="12">
        <f ca="1">IFERROR(__xludf.DUMMYFUNCTION("""COMPUTED_VALUE"""),108293)</f>
        <v>108293</v>
      </c>
      <c r="C1211" s="14">
        <f ca="1">IFERROR(__xludf.DUMMYFUNCTION("""COMPUTED_VALUE"""),2)</f>
        <v>2</v>
      </c>
      <c r="D1211" s="12" t="str">
        <f ca="1">IFERROR(__xludf.DUMMYFUNCTION("""COMPUTED_VALUE"""),"菅野 ぎんが")</f>
        <v>菅野 ぎんが</v>
      </c>
    </row>
    <row r="1212" spans="2:4" ht="13">
      <c r="B1212" s="12">
        <f ca="1">IFERROR(__xludf.DUMMYFUNCTION("""COMPUTED_VALUE"""),108297)</f>
        <v>108297</v>
      </c>
      <c r="C1212" s="14">
        <f ca="1">IFERROR(__xludf.DUMMYFUNCTION("""COMPUTED_VALUE"""),1)</f>
        <v>1</v>
      </c>
      <c r="D1212" s="12" t="str">
        <f ca="1">IFERROR(__xludf.DUMMYFUNCTION("""COMPUTED_VALUE"""),"辻村 将大")</f>
        <v>辻村 将大</v>
      </c>
    </row>
    <row r="1213" spans="2:4" ht="13">
      <c r="B1213" s="12">
        <f ca="1">IFERROR(__xludf.DUMMYFUNCTION("""COMPUTED_VALUE"""),108314)</f>
        <v>108314</v>
      </c>
      <c r="C1213" s="14">
        <f ca="1">IFERROR(__xludf.DUMMYFUNCTION("""COMPUTED_VALUE"""),7)</f>
        <v>7</v>
      </c>
      <c r="D1213" s="12" t="str">
        <f ca="1">IFERROR(__xludf.DUMMYFUNCTION("""COMPUTED_VALUE"""),"稲場 勇介")</f>
        <v>稲場 勇介</v>
      </c>
    </row>
    <row r="1214" spans="2:4" ht="13">
      <c r="B1214" s="12">
        <f ca="1">IFERROR(__xludf.DUMMYFUNCTION("""COMPUTED_VALUE"""),108324)</f>
        <v>108324</v>
      </c>
      <c r="C1214" s="14">
        <f ca="1">IFERROR(__xludf.DUMMYFUNCTION("""COMPUTED_VALUE"""),0)</f>
        <v>0</v>
      </c>
      <c r="D1214" s="12" t="str">
        <f ca="1">IFERROR(__xludf.DUMMYFUNCTION("""COMPUTED_VALUE"""),"長谷川 陸朗")</f>
        <v>長谷川 陸朗</v>
      </c>
    </row>
    <row r="1215" spans="2:4" ht="13">
      <c r="B1215" s="12">
        <f ca="1">IFERROR(__xludf.DUMMYFUNCTION("""COMPUTED_VALUE"""),108325)</f>
        <v>108325</v>
      </c>
      <c r="C1215" s="14">
        <f ca="1">IFERROR(__xludf.DUMMYFUNCTION("""COMPUTED_VALUE"""),6)</f>
        <v>6</v>
      </c>
      <c r="D1215" s="12" t="str">
        <f ca="1">IFERROR(__xludf.DUMMYFUNCTION("""COMPUTED_VALUE"""),"菅野 ぎんが")</f>
        <v>菅野 ぎんが</v>
      </c>
    </row>
    <row r="1216" spans="2:4" ht="13">
      <c r="B1216" s="12">
        <f ca="1">IFERROR(__xludf.DUMMYFUNCTION("""COMPUTED_VALUE"""),108327)</f>
        <v>108327</v>
      </c>
      <c r="C1216" s="14">
        <f ca="1">IFERROR(__xludf.DUMMYFUNCTION("""COMPUTED_VALUE"""),1)</f>
        <v>1</v>
      </c>
      <c r="D1216" s="12" t="str">
        <f ca="1">IFERROR(__xludf.DUMMYFUNCTION("""COMPUTED_VALUE"""),"菅野 ぎんが")</f>
        <v>菅野 ぎんが</v>
      </c>
    </row>
    <row r="1217" spans="2:4" ht="13">
      <c r="B1217" s="12">
        <f ca="1">IFERROR(__xludf.DUMMYFUNCTION("""COMPUTED_VALUE"""),108335)</f>
        <v>108335</v>
      </c>
      <c r="C1217" s="14">
        <f ca="1">IFERROR(__xludf.DUMMYFUNCTION("""COMPUTED_VALUE"""),0)</f>
        <v>0</v>
      </c>
      <c r="D1217" s="12" t="str">
        <f ca="1">IFERROR(__xludf.DUMMYFUNCTION("""COMPUTED_VALUE"""),"長谷川 陸朗")</f>
        <v>長谷川 陸朗</v>
      </c>
    </row>
    <row r="1218" spans="2:4" ht="13">
      <c r="B1218" s="12">
        <f ca="1">IFERROR(__xludf.DUMMYFUNCTION("""COMPUTED_VALUE"""),108336)</f>
        <v>108336</v>
      </c>
      <c r="C1218" s="14">
        <f ca="1">IFERROR(__xludf.DUMMYFUNCTION("""COMPUTED_VALUE"""),1)</f>
        <v>1</v>
      </c>
      <c r="D1218" s="12" t="str">
        <f ca="1">IFERROR(__xludf.DUMMYFUNCTION("""COMPUTED_VALUE"""),"菅野 ぎんが")</f>
        <v>菅野 ぎんが</v>
      </c>
    </row>
    <row r="1219" spans="2:4" ht="13">
      <c r="B1219" s="12">
        <f ca="1">IFERROR(__xludf.DUMMYFUNCTION("""COMPUTED_VALUE"""),108341)</f>
        <v>108341</v>
      </c>
      <c r="C1219" s="14">
        <f ca="1">IFERROR(__xludf.DUMMYFUNCTION("""COMPUTED_VALUE"""),0)</f>
        <v>0</v>
      </c>
      <c r="D1219" s="12" t="str">
        <f ca="1">IFERROR(__xludf.DUMMYFUNCTION("""COMPUTED_VALUE"""),"松尾 尚樹")</f>
        <v>松尾 尚樹</v>
      </c>
    </row>
    <row r="1220" spans="2:4" ht="13">
      <c r="B1220" s="12">
        <f ca="1">IFERROR(__xludf.DUMMYFUNCTION("""COMPUTED_VALUE"""),108355)</f>
        <v>108355</v>
      </c>
      <c r="C1220" s="14">
        <f ca="1">IFERROR(__xludf.DUMMYFUNCTION("""COMPUTED_VALUE"""),0)</f>
        <v>0</v>
      </c>
      <c r="D1220" s="12" t="str">
        <f ca="1">IFERROR(__xludf.DUMMYFUNCTION("""COMPUTED_VALUE"""),"成嶋 夏未")</f>
        <v>成嶋 夏未</v>
      </c>
    </row>
    <row r="1221" spans="2:4" ht="13">
      <c r="B1221" s="12">
        <f ca="1">IFERROR(__xludf.DUMMYFUNCTION("""COMPUTED_VALUE"""),108359)</f>
        <v>108359</v>
      </c>
      <c r="C1221" s="14">
        <f ca="1">IFERROR(__xludf.DUMMYFUNCTION("""COMPUTED_VALUE"""),57)</f>
        <v>57</v>
      </c>
      <c r="D1221" s="12" t="str">
        <f ca="1">IFERROR(__xludf.DUMMYFUNCTION("""COMPUTED_VALUE"""),"松尾 尚樹")</f>
        <v>松尾 尚樹</v>
      </c>
    </row>
    <row r="1222" spans="2:4" ht="13">
      <c r="B1222" s="12">
        <f ca="1">IFERROR(__xludf.DUMMYFUNCTION("""COMPUTED_VALUE"""),108382)</f>
        <v>108382</v>
      </c>
      <c r="C1222" s="14">
        <f ca="1">IFERROR(__xludf.DUMMYFUNCTION("""COMPUTED_VALUE"""),50)</f>
        <v>50</v>
      </c>
      <c r="D1222" s="12" t="str">
        <f ca="1">IFERROR(__xludf.DUMMYFUNCTION("""COMPUTED_VALUE"""),"松尾 尚樹")</f>
        <v>松尾 尚樹</v>
      </c>
    </row>
    <row r="1223" spans="2:4" ht="13">
      <c r="B1223" s="12">
        <f ca="1">IFERROR(__xludf.DUMMYFUNCTION("""COMPUTED_VALUE"""),108385)</f>
        <v>108385</v>
      </c>
      <c r="C1223" s="14">
        <f ca="1">IFERROR(__xludf.DUMMYFUNCTION("""COMPUTED_VALUE"""),0)</f>
        <v>0</v>
      </c>
      <c r="D1223" s="12" t="str">
        <f ca="1">IFERROR(__xludf.DUMMYFUNCTION("""COMPUTED_VALUE"""),"松尾 尚樹")</f>
        <v>松尾 尚樹</v>
      </c>
    </row>
    <row r="1224" spans="2:4" ht="13">
      <c r="B1224" s="12">
        <f ca="1">IFERROR(__xludf.DUMMYFUNCTION("""COMPUTED_VALUE"""),108440)</f>
        <v>108440</v>
      </c>
      <c r="C1224" s="14">
        <f ca="1">IFERROR(__xludf.DUMMYFUNCTION("""COMPUTED_VALUE"""),29)</f>
        <v>29</v>
      </c>
      <c r="D1224" s="12" t="str">
        <f ca="1">IFERROR(__xludf.DUMMYFUNCTION("""COMPUTED_VALUE"""),"稲場 勇介")</f>
        <v>稲場 勇介</v>
      </c>
    </row>
    <row r="1225" spans="2:4" ht="13">
      <c r="B1225" s="12">
        <f ca="1">IFERROR(__xludf.DUMMYFUNCTION("""COMPUTED_VALUE"""),108441)</f>
        <v>108441</v>
      </c>
      <c r="C1225" s="14">
        <f ca="1">IFERROR(__xludf.DUMMYFUNCTION("""COMPUTED_VALUE"""),0)</f>
        <v>0</v>
      </c>
      <c r="D1225" s="12" t="str">
        <f ca="1">IFERROR(__xludf.DUMMYFUNCTION("""COMPUTED_VALUE"""),"稲場 勇介")</f>
        <v>稲場 勇介</v>
      </c>
    </row>
    <row r="1226" spans="2:4" ht="13">
      <c r="B1226" s="12">
        <f ca="1">IFERROR(__xludf.DUMMYFUNCTION("""COMPUTED_VALUE"""),108451)</f>
        <v>108451</v>
      </c>
      <c r="C1226" s="14">
        <f ca="1">IFERROR(__xludf.DUMMYFUNCTION("""COMPUTED_VALUE"""),12)</f>
        <v>12</v>
      </c>
      <c r="D1226" s="12" t="str">
        <f ca="1">IFERROR(__xludf.DUMMYFUNCTION("""COMPUTED_VALUE"""),"小川 純")</f>
        <v>小川 純</v>
      </c>
    </row>
    <row r="1227" spans="2:4" ht="13">
      <c r="B1227" s="12">
        <f ca="1">IFERROR(__xludf.DUMMYFUNCTION("""COMPUTED_VALUE"""),108455)</f>
        <v>108455</v>
      </c>
      <c r="C1227" s="14">
        <f ca="1">IFERROR(__xludf.DUMMYFUNCTION("""COMPUTED_VALUE"""),0)</f>
        <v>0</v>
      </c>
      <c r="D1227" s="12" t="str">
        <f ca="1">IFERROR(__xludf.DUMMYFUNCTION("""COMPUTED_VALUE"""),"成嶋 夏未")</f>
        <v>成嶋 夏未</v>
      </c>
    </row>
    <row r="1228" spans="2:4" ht="13">
      <c r="B1228" s="12">
        <f ca="1">IFERROR(__xludf.DUMMYFUNCTION("""COMPUTED_VALUE"""),108458)</f>
        <v>108458</v>
      </c>
      <c r="C1228" s="14">
        <f ca="1">IFERROR(__xludf.DUMMYFUNCTION("""COMPUTED_VALUE"""),0)</f>
        <v>0</v>
      </c>
      <c r="D1228" s="12" t="str">
        <f ca="1">IFERROR(__xludf.DUMMYFUNCTION("""COMPUTED_VALUE"""),"小関 麻起")</f>
        <v>小関 麻起</v>
      </c>
    </row>
    <row r="1229" spans="2:4" ht="13">
      <c r="B1229" s="12">
        <f ca="1">IFERROR(__xludf.DUMMYFUNCTION("""COMPUTED_VALUE"""),108464)</f>
        <v>108464</v>
      </c>
      <c r="C1229" s="14">
        <f ca="1">IFERROR(__xludf.DUMMYFUNCTION("""COMPUTED_VALUE"""),2)</f>
        <v>2</v>
      </c>
      <c r="D1229" s="12" t="str">
        <f ca="1">IFERROR(__xludf.DUMMYFUNCTION("""COMPUTED_VALUE"""),"大木 優香")</f>
        <v>大木 優香</v>
      </c>
    </row>
    <row r="1230" spans="2:4" ht="13">
      <c r="B1230" s="12">
        <f ca="1">IFERROR(__xludf.DUMMYFUNCTION("""COMPUTED_VALUE"""),108465)</f>
        <v>108465</v>
      </c>
      <c r="C1230" s="14">
        <f ca="1">IFERROR(__xludf.DUMMYFUNCTION("""COMPUTED_VALUE"""),8)</f>
        <v>8</v>
      </c>
      <c r="D1230" s="12" t="str">
        <f ca="1">IFERROR(__xludf.DUMMYFUNCTION("""COMPUTED_VALUE"""),"大木 優香")</f>
        <v>大木 優香</v>
      </c>
    </row>
    <row r="1231" spans="2:4" ht="13">
      <c r="B1231" s="12">
        <f ca="1">IFERROR(__xludf.DUMMYFUNCTION("""COMPUTED_VALUE"""),108467)</f>
        <v>108467</v>
      </c>
      <c r="C1231" s="14">
        <f ca="1">IFERROR(__xludf.DUMMYFUNCTION("""COMPUTED_VALUE"""),1)</f>
        <v>1</v>
      </c>
      <c r="D1231" s="12" t="str">
        <f ca="1">IFERROR(__xludf.DUMMYFUNCTION("""COMPUTED_VALUE"""),"老田 純輝")</f>
        <v>老田 純輝</v>
      </c>
    </row>
    <row r="1232" spans="2:4" ht="13">
      <c r="B1232" s="12">
        <f ca="1">IFERROR(__xludf.DUMMYFUNCTION("""COMPUTED_VALUE"""),108468)</f>
        <v>108468</v>
      </c>
      <c r="C1232" s="14">
        <f ca="1">IFERROR(__xludf.DUMMYFUNCTION("""COMPUTED_VALUE"""),15)</f>
        <v>15</v>
      </c>
      <c r="D1232" s="12" t="str">
        <f ca="1">IFERROR(__xludf.DUMMYFUNCTION("""COMPUTED_VALUE"""),"辻村 将大")</f>
        <v>辻村 将大</v>
      </c>
    </row>
    <row r="1233" spans="2:4" ht="13">
      <c r="B1233" s="12">
        <f ca="1">IFERROR(__xludf.DUMMYFUNCTION("""COMPUTED_VALUE"""),108475)</f>
        <v>108475</v>
      </c>
      <c r="C1233" s="14">
        <f ca="1">IFERROR(__xludf.DUMMYFUNCTION("""COMPUTED_VALUE"""),0)</f>
        <v>0</v>
      </c>
      <c r="D1233" s="12" t="str">
        <f ca="1">IFERROR(__xludf.DUMMYFUNCTION("""COMPUTED_VALUE"""),"村上 浩一朗")</f>
        <v>村上 浩一朗</v>
      </c>
    </row>
    <row r="1234" spans="2:4" ht="13">
      <c r="B1234" s="12">
        <f ca="1">IFERROR(__xludf.DUMMYFUNCTION("""COMPUTED_VALUE"""),108479)</f>
        <v>108479</v>
      </c>
      <c r="C1234" s="14">
        <f ca="1">IFERROR(__xludf.DUMMYFUNCTION("""COMPUTED_VALUE"""),2)</f>
        <v>2</v>
      </c>
      <c r="D1234" s="12" t="str">
        <f ca="1">IFERROR(__xludf.DUMMYFUNCTION("""COMPUTED_VALUE"""),"桑原 明子")</f>
        <v>桑原 明子</v>
      </c>
    </row>
    <row r="1235" spans="2:4" ht="13">
      <c r="B1235" s="12">
        <f ca="1">IFERROR(__xludf.DUMMYFUNCTION("""COMPUTED_VALUE"""),108500)</f>
        <v>108500</v>
      </c>
      <c r="C1235" s="14">
        <f ca="1">IFERROR(__xludf.DUMMYFUNCTION("""COMPUTED_VALUE"""),0)</f>
        <v>0</v>
      </c>
      <c r="D1235" s="12" t="str">
        <f ca="1">IFERROR(__xludf.DUMMYFUNCTION("""COMPUTED_VALUE"""),"菅野 ぎんが")</f>
        <v>菅野 ぎんが</v>
      </c>
    </row>
    <row r="1236" spans="2:4" ht="13">
      <c r="B1236" s="12">
        <f ca="1">IFERROR(__xludf.DUMMYFUNCTION("""COMPUTED_VALUE"""),108511)</f>
        <v>108511</v>
      </c>
      <c r="C1236" s="14">
        <f ca="1">IFERROR(__xludf.DUMMYFUNCTION("""COMPUTED_VALUE"""),6)</f>
        <v>6</v>
      </c>
      <c r="D1236" s="12" t="str">
        <f ca="1">IFERROR(__xludf.DUMMYFUNCTION("""COMPUTED_VALUE"""),"荻曽 克輝")</f>
        <v>荻曽 克輝</v>
      </c>
    </row>
    <row r="1237" spans="2:4" ht="13">
      <c r="B1237" s="12">
        <f ca="1">IFERROR(__xludf.DUMMYFUNCTION("""COMPUTED_VALUE"""),108520)</f>
        <v>108520</v>
      </c>
      <c r="C1237" s="14">
        <f ca="1">IFERROR(__xludf.DUMMYFUNCTION("""COMPUTED_VALUE"""),1)</f>
        <v>1</v>
      </c>
      <c r="D1237" s="12" t="str">
        <f ca="1">IFERROR(__xludf.DUMMYFUNCTION("""COMPUTED_VALUE"""),"大木 優香")</f>
        <v>大木 優香</v>
      </c>
    </row>
    <row r="1238" spans="2:4" ht="13">
      <c r="B1238" s="12">
        <f ca="1">IFERROR(__xludf.DUMMYFUNCTION("""COMPUTED_VALUE"""),108534)</f>
        <v>108534</v>
      </c>
      <c r="C1238" s="14">
        <f ca="1">IFERROR(__xludf.DUMMYFUNCTION("""COMPUTED_VALUE"""),4)</f>
        <v>4</v>
      </c>
      <c r="D1238" s="12" t="str">
        <f ca="1">IFERROR(__xludf.DUMMYFUNCTION("""COMPUTED_VALUE"""),"大木 優香")</f>
        <v>大木 優香</v>
      </c>
    </row>
    <row r="1239" spans="2:4" ht="13">
      <c r="B1239" s="12">
        <f ca="1">IFERROR(__xludf.DUMMYFUNCTION("""COMPUTED_VALUE"""),108535)</f>
        <v>108535</v>
      </c>
      <c r="C1239" s="14">
        <f ca="1">IFERROR(__xludf.DUMMYFUNCTION("""COMPUTED_VALUE"""),6)</f>
        <v>6</v>
      </c>
      <c r="D1239" s="12" t="str">
        <f ca="1">IFERROR(__xludf.DUMMYFUNCTION("""COMPUTED_VALUE"""),"大木 優香")</f>
        <v>大木 優香</v>
      </c>
    </row>
    <row r="1240" spans="2:4" ht="13">
      <c r="B1240" s="12">
        <f ca="1">IFERROR(__xludf.DUMMYFUNCTION("""COMPUTED_VALUE"""),108541)</f>
        <v>108541</v>
      </c>
      <c r="C1240" s="14">
        <f ca="1">IFERROR(__xludf.DUMMYFUNCTION("""COMPUTED_VALUE"""),1)</f>
        <v>1</v>
      </c>
      <c r="D1240" s="12" t="str">
        <f ca="1">IFERROR(__xludf.DUMMYFUNCTION("""COMPUTED_VALUE"""),"大木 優香")</f>
        <v>大木 優香</v>
      </c>
    </row>
    <row r="1241" spans="2:4" ht="13">
      <c r="B1241" s="12">
        <f ca="1">IFERROR(__xludf.DUMMYFUNCTION("""COMPUTED_VALUE"""),108542)</f>
        <v>108542</v>
      </c>
      <c r="C1241" s="14">
        <f ca="1">IFERROR(__xludf.DUMMYFUNCTION("""COMPUTED_VALUE"""),5)</f>
        <v>5</v>
      </c>
      <c r="D1241" s="12" t="str">
        <f ca="1">IFERROR(__xludf.DUMMYFUNCTION("""COMPUTED_VALUE"""),"稲場 勇介")</f>
        <v>稲場 勇介</v>
      </c>
    </row>
    <row r="1242" spans="2:4" ht="13">
      <c r="B1242" s="12">
        <f ca="1">IFERROR(__xludf.DUMMYFUNCTION("""COMPUTED_VALUE"""),108543)</f>
        <v>108543</v>
      </c>
      <c r="C1242" s="14">
        <f ca="1">IFERROR(__xludf.DUMMYFUNCTION("""COMPUTED_VALUE"""),3)</f>
        <v>3</v>
      </c>
      <c r="D1242" s="12" t="str">
        <f ca="1">IFERROR(__xludf.DUMMYFUNCTION("""COMPUTED_VALUE"""),"稲場 勇介")</f>
        <v>稲場 勇介</v>
      </c>
    </row>
    <row r="1243" spans="2:4" ht="13">
      <c r="B1243" s="12">
        <f ca="1">IFERROR(__xludf.DUMMYFUNCTION("""COMPUTED_VALUE"""),108556)</f>
        <v>108556</v>
      </c>
      <c r="C1243" s="14">
        <f ca="1">IFERROR(__xludf.DUMMYFUNCTION("""COMPUTED_VALUE"""),82)</f>
        <v>82</v>
      </c>
      <c r="D1243" s="12" t="str">
        <f ca="1">IFERROR(__xludf.DUMMYFUNCTION("""COMPUTED_VALUE"""),"栗原 大武")</f>
        <v>栗原 大武</v>
      </c>
    </row>
    <row r="1244" spans="2:4" ht="13">
      <c r="B1244" s="12">
        <f ca="1">IFERROR(__xludf.DUMMYFUNCTION("""COMPUTED_VALUE"""),108557)</f>
        <v>108557</v>
      </c>
      <c r="C1244" s="14">
        <f ca="1">IFERROR(__xludf.DUMMYFUNCTION("""COMPUTED_VALUE"""),12)</f>
        <v>12</v>
      </c>
      <c r="D1244" s="12" t="str">
        <f ca="1">IFERROR(__xludf.DUMMYFUNCTION("""COMPUTED_VALUE"""),"大木 優香")</f>
        <v>大木 優香</v>
      </c>
    </row>
    <row r="1245" spans="2:4" ht="13">
      <c r="B1245" s="12">
        <f ca="1">IFERROR(__xludf.DUMMYFUNCTION("""COMPUTED_VALUE"""),108559)</f>
        <v>108559</v>
      </c>
      <c r="C1245" s="14">
        <f ca="1">IFERROR(__xludf.DUMMYFUNCTION("""COMPUTED_VALUE"""),9)</f>
        <v>9</v>
      </c>
      <c r="D1245" s="12" t="str">
        <f ca="1">IFERROR(__xludf.DUMMYFUNCTION("""COMPUTED_VALUE"""),"老田 純輝")</f>
        <v>老田 純輝</v>
      </c>
    </row>
    <row r="1246" spans="2:4" ht="13">
      <c r="B1246" s="12">
        <f ca="1">IFERROR(__xludf.DUMMYFUNCTION("""COMPUTED_VALUE"""),108565)</f>
        <v>108565</v>
      </c>
      <c r="C1246" s="14">
        <f ca="1">IFERROR(__xludf.DUMMYFUNCTION("""COMPUTED_VALUE"""),0)</f>
        <v>0</v>
      </c>
      <c r="D1246" s="12" t="str">
        <f ca="1">IFERROR(__xludf.DUMMYFUNCTION("""COMPUTED_VALUE"""),"村上 浩一朗")</f>
        <v>村上 浩一朗</v>
      </c>
    </row>
    <row r="1247" spans="2:4" ht="13">
      <c r="B1247" s="12">
        <f ca="1">IFERROR(__xludf.DUMMYFUNCTION("""COMPUTED_VALUE"""),108570)</f>
        <v>108570</v>
      </c>
      <c r="C1247" s="14">
        <f ca="1">IFERROR(__xludf.DUMMYFUNCTION("""COMPUTED_VALUE"""),1)</f>
        <v>1</v>
      </c>
      <c r="D1247" s="12" t="str">
        <f ca="1">IFERROR(__xludf.DUMMYFUNCTION("""COMPUTED_VALUE"""),"松尾 尚樹")</f>
        <v>松尾 尚樹</v>
      </c>
    </row>
    <row r="1248" spans="2:4" ht="13">
      <c r="B1248" s="12">
        <f ca="1">IFERROR(__xludf.DUMMYFUNCTION("""COMPUTED_VALUE"""),108574)</f>
        <v>108574</v>
      </c>
      <c r="C1248" s="14">
        <f ca="1">IFERROR(__xludf.DUMMYFUNCTION("""COMPUTED_VALUE"""),0)</f>
        <v>0</v>
      </c>
      <c r="D1248" s="12" t="str">
        <f ca="1">IFERROR(__xludf.DUMMYFUNCTION("""COMPUTED_VALUE"""),"松尾 尚樹")</f>
        <v>松尾 尚樹</v>
      </c>
    </row>
    <row r="1249" spans="2:4" ht="13">
      <c r="B1249" s="12">
        <f ca="1">IFERROR(__xludf.DUMMYFUNCTION("""COMPUTED_VALUE"""),108586)</f>
        <v>108586</v>
      </c>
      <c r="C1249" s="14">
        <f ca="1">IFERROR(__xludf.DUMMYFUNCTION("""COMPUTED_VALUE"""),0)</f>
        <v>0</v>
      </c>
      <c r="D1249" s="12" t="str">
        <f ca="1">IFERROR(__xludf.DUMMYFUNCTION("""COMPUTED_VALUE"""),"成嶋 夏未")</f>
        <v>成嶋 夏未</v>
      </c>
    </row>
    <row r="1250" spans="2:4" ht="13">
      <c r="B1250" s="12">
        <f ca="1">IFERROR(__xludf.DUMMYFUNCTION("""COMPUTED_VALUE"""),108593)</f>
        <v>108593</v>
      </c>
      <c r="C1250" s="14">
        <f ca="1">IFERROR(__xludf.DUMMYFUNCTION("""COMPUTED_VALUE"""),4)</f>
        <v>4</v>
      </c>
      <c r="D1250" s="12" t="str">
        <f ca="1">IFERROR(__xludf.DUMMYFUNCTION("""COMPUTED_VALUE"""),"大木 優香")</f>
        <v>大木 優香</v>
      </c>
    </row>
    <row r="1251" spans="2:4" ht="13">
      <c r="B1251" s="12">
        <f ca="1">IFERROR(__xludf.DUMMYFUNCTION("""COMPUTED_VALUE"""),108602)</f>
        <v>108602</v>
      </c>
      <c r="C1251" s="14">
        <f ca="1">IFERROR(__xludf.DUMMYFUNCTION("""COMPUTED_VALUE"""),2)</f>
        <v>2</v>
      </c>
      <c r="D1251" s="12" t="str">
        <f ca="1">IFERROR(__xludf.DUMMYFUNCTION("""COMPUTED_VALUE"""),"松尾 尚樹")</f>
        <v>松尾 尚樹</v>
      </c>
    </row>
    <row r="1252" spans="2:4" ht="13">
      <c r="B1252" s="12">
        <f ca="1">IFERROR(__xludf.DUMMYFUNCTION("""COMPUTED_VALUE"""),108607)</f>
        <v>108607</v>
      </c>
      <c r="C1252" s="14">
        <f ca="1">IFERROR(__xludf.DUMMYFUNCTION("""COMPUTED_VALUE"""),3)</f>
        <v>3</v>
      </c>
      <c r="D1252" s="12" t="str">
        <f ca="1">IFERROR(__xludf.DUMMYFUNCTION("""COMPUTED_VALUE"""),"大木 優香")</f>
        <v>大木 優香</v>
      </c>
    </row>
    <row r="1253" spans="2:4" ht="13">
      <c r="B1253" s="12">
        <f ca="1">IFERROR(__xludf.DUMMYFUNCTION("""COMPUTED_VALUE"""),108612)</f>
        <v>108612</v>
      </c>
      <c r="C1253" s="14">
        <f ca="1">IFERROR(__xludf.DUMMYFUNCTION("""COMPUTED_VALUE"""),0)</f>
        <v>0</v>
      </c>
      <c r="D1253" s="12" t="str">
        <f ca="1">IFERROR(__xludf.DUMMYFUNCTION("""COMPUTED_VALUE"""),"松尾 尚樹")</f>
        <v>松尾 尚樹</v>
      </c>
    </row>
    <row r="1254" spans="2:4" ht="13">
      <c r="B1254" s="12">
        <f ca="1">IFERROR(__xludf.DUMMYFUNCTION("""COMPUTED_VALUE"""),108625)</f>
        <v>108625</v>
      </c>
      <c r="C1254" s="14">
        <f ca="1">IFERROR(__xludf.DUMMYFUNCTION("""COMPUTED_VALUE"""),2)</f>
        <v>2</v>
      </c>
      <c r="D1254" s="12" t="str">
        <f ca="1">IFERROR(__xludf.DUMMYFUNCTION("""COMPUTED_VALUE"""),"成嶋 夏未")</f>
        <v>成嶋 夏未</v>
      </c>
    </row>
    <row r="1255" spans="2:4" ht="13">
      <c r="B1255" s="12">
        <f ca="1">IFERROR(__xludf.DUMMYFUNCTION("""COMPUTED_VALUE"""),108626)</f>
        <v>108626</v>
      </c>
      <c r="C1255" s="14">
        <f ca="1">IFERROR(__xludf.DUMMYFUNCTION("""COMPUTED_VALUE"""),0)</f>
        <v>0</v>
      </c>
      <c r="D1255" s="12" t="str">
        <f ca="1">IFERROR(__xludf.DUMMYFUNCTION("""COMPUTED_VALUE"""),"成嶋 夏未")</f>
        <v>成嶋 夏未</v>
      </c>
    </row>
    <row r="1256" spans="2:4" ht="13">
      <c r="B1256" s="12">
        <f ca="1">IFERROR(__xludf.DUMMYFUNCTION("""COMPUTED_VALUE"""),108627)</f>
        <v>108627</v>
      </c>
      <c r="C1256" s="14">
        <f ca="1">IFERROR(__xludf.DUMMYFUNCTION("""COMPUTED_VALUE"""),4)</f>
        <v>4</v>
      </c>
      <c r="D1256" s="12" t="str">
        <f ca="1">IFERROR(__xludf.DUMMYFUNCTION("""COMPUTED_VALUE"""),"成嶋 夏未")</f>
        <v>成嶋 夏未</v>
      </c>
    </row>
    <row r="1257" spans="2:4" ht="13">
      <c r="B1257" s="12">
        <f ca="1">IFERROR(__xludf.DUMMYFUNCTION("""COMPUTED_VALUE"""),108628)</f>
        <v>108628</v>
      </c>
      <c r="C1257" s="14">
        <f ca="1">IFERROR(__xludf.DUMMYFUNCTION("""COMPUTED_VALUE"""),0)</f>
        <v>0</v>
      </c>
      <c r="D1257" s="12" t="str">
        <f ca="1">IFERROR(__xludf.DUMMYFUNCTION("""COMPUTED_VALUE"""),"成嶋 夏未")</f>
        <v>成嶋 夏未</v>
      </c>
    </row>
    <row r="1258" spans="2:4" ht="13">
      <c r="B1258" s="12">
        <f ca="1">IFERROR(__xludf.DUMMYFUNCTION("""COMPUTED_VALUE"""),108641)</f>
        <v>108641</v>
      </c>
      <c r="C1258" s="14">
        <f ca="1">IFERROR(__xludf.DUMMYFUNCTION("""COMPUTED_VALUE"""),14)</f>
        <v>14</v>
      </c>
      <c r="D1258" s="12" t="str">
        <f ca="1">IFERROR(__xludf.DUMMYFUNCTION("""COMPUTED_VALUE"""),"松尾 尚樹")</f>
        <v>松尾 尚樹</v>
      </c>
    </row>
    <row r="1259" spans="2:4" ht="13">
      <c r="B1259" s="12">
        <f ca="1">IFERROR(__xludf.DUMMYFUNCTION("""COMPUTED_VALUE"""),108642)</f>
        <v>108642</v>
      </c>
      <c r="C1259" s="14">
        <f ca="1">IFERROR(__xludf.DUMMYFUNCTION("""COMPUTED_VALUE"""),0)</f>
        <v>0</v>
      </c>
      <c r="D1259" s="12" t="str">
        <f ca="1">IFERROR(__xludf.DUMMYFUNCTION("""COMPUTED_VALUE"""),"小関 麻起")</f>
        <v>小関 麻起</v>
      </c>
    </row>
    <row r="1260" spans="2:4" ht="13">
      <c r="B1260" s="12">
        <f ca="1">IFERROR(__xludf.DUMMYFUNCTION("""COMPUTED_VALUE"""),108646)</f>
        <v>108646</v>
      </c>
      <c r="C1260" s="14">
        <f ca="1">IFERROR(__xludf.DUMMYFUNCTION("""COMPUTED_VALUE"""),0)</f>
        <v>0</v>
      </c>
      <c r="D1260" s="12" t="str">
        <f ca="1">IFERROR(__xludf.DUMMYFUNCTION("""COMPUTED_VALUE"""),"奥野 貴大")</f>
        <v>奥野 貴大</v>
      </c>
    </row>
    <row r="1261" spans="2:4" ht="13">
      <c r="B1261" s="12">
        <f ca="1">IFERROR(__xludf.DUMMYFUNCTION("""COMPUTED_VALUE"""),108648)</f>
        <v>108648</v>
      </c>
      <c r="C1261" s="14">
        <f ca="1">IFERROR(__xludf.DUMMYFUNCTION("""COMPUTED_VALUE"""),10)</f>
        <v>10</v>
      </c>
      <c r="D1261" s="12" t="str">
        <f ca="1">IFERROR(__xludf.DUMMYFUNCTION("""COMPUTED_VALUE"""),"田嶋 将太")</f>
        <v>田嶋 将太</v>
      </c>
    </row>
    <row r="1262" spans="2:4" ht="13">
      <c r="B1262" s="12">
        <f ca="1">IFERROR(__xludf.DUMMYFUNCTION("""COMPUTED_VALUE"""),108649)</f>
        <v>108649</v>
      </c>
      <c r="C1262" s="14">
        <f ca="1">IFERROR(__xludf.DUMMYFUNCTION("""COMPUTED_VALUE"""),0)</f>
        <v>0</v>
      </c>
      <c r="D1262" s="12" t="str">
        <f ca="1">IFERROR(__xludf.DUMMYFUNCTION("""COMPUTED_VALUE"""),"田嶋 将太")</f>
        <v>田嶋 将太</v>
      </c>
    </row>
    <row r="1263" spans="2:4" ht="13">
      <c r="B1263" s="12">
        <f ca="1">IFERROR(__xludf.DUMMYFUNCTION("""COMPUTED_VALUE"""),108650)</f>
        <v>108650</v>
      </c>
      <c r="C1263" s="14">
        <f ca="1">IFERROR(__xludf.DUMMYFUNCTION("""COMPUTED_VALUE"""),5)</f>
        <v>5</v>
      </c>
      <c r="D1263" s="12" t="str">
        <f ca="1">IFERROR(__xludf.DUMMYFUNCTION("""COMPUTED_VALUE"""),"田嶋 将太")</f>
        <v>田嶋 将太</v>
      </c>
    </row>
    <row r="1264" spans="2:4" ht="13">
      <c r="B1264" s="12">
        <f ca="1">IFERROR(__xludf.DUMMYFUNCTION("""COMPUTED_VALUE"""),108657)</f>
        <v>108657</v>
      </c>
      <c r="C1264" s="14">
        <f ca="1">IFERROR(__xludf.DUMMYFUNCTION("""COMPUTED_VALUE"""),0)</f>
        <v>0</v>
      </c>
      <c r="D1264" s="12" t="str">
        <f ca="1">IFERROR(__xludf.DUMMYFUNCTION("""COMPUTED_VALUE"""),"成嶋 夏未")</f>
        <v>成嶋 夏未</v>
      </c>
    </row>
    <row r="1265" spans="2:4" ht="13">
      <c r="B1265" s="12">
        <f ca="1">IFERROR(__xludf.DUMMYFUNCTION("""COMPUTED_VALUE"""),108658)</f>
        <v>108658</v>
      </c>
      <c r="C1265" s="14">
        <f ca="1">IFERROR(__xludf.DUMMYFUNCTION("""COMPUTED_VALUE"""),3)</f>
        <v>3</v>
      </c>
      <c r="D1265" s="12" t="str">
        <f ca="1">IFERROR(__xludf.DUMMYFUNCTION("""COMPUTED_VALUE"""),"長谷川 陸朗")</f>
        <v>長谷川 陸朗</v>
      </c>
    </row>
    <row r="1266" spans="2:4" ht="13">
      <c r="B1266" s="12">
        <f ca="1">IFERROR(__xludf.DUMMYFUNCTION("""COMPUTED_VALUE"""),108666)</f>
        <v>108666</v>
      </c>
      <c r="C1266" s="14">
        <f ca="1">IFERROR(__xludf.DUMMYFUNCTION("""COMPUTED_VALUE"""),36)</f>
        <v>36</v>
      </c>
      <c r="D1266" s="12" t="str">
        <f ca="1">IFERROR(__xludf.DUMMYFUNCTION("""COMPUTED_VALUE"""),"小川 純")</f>
        <v>小川 純</v>
      </c>
    </row>
    <row r="1267" spans="2:4" ht="13">
      <c r="B1267" s="12">
        <f ca="1">IFERROR(__xludf.DUMMYFUNCTION("""COMPUTED_VALUE"""),108668)</f>
        <v>108668</v>
      </c>
      <c r="C1267" s="14">
        <f ca="1">IFERROR(__xludf.DUMMYFUNCTION("""COMPUTED_VALUE"""),1)</f>
        <v>1</v>
      </c>
      <c r="D1267" s="12" t="str">
        <f ca="1">IFERROR(__xludf.DUMMYFUNCTION("""COMPUTED_VALUE"""),"大木 優香")</f>
        <v>大木 優香</v>
      </c>
    </row>
    <row r="1268" spans="2:4" ht="13">
      <c r="B1268" s="12">
        <f ca="1">IFERROR(__xludf.DUMMYFUNCTION("""COMPUTED_VALUE"""),108670)</f>
        <v>108670</v>
      </c>
      <c r="C1268" s="14">
        <f ca="1">IFERROR(__xludf.DUMMYFUNCTION("""COMPUTED_VALUE"""),40)</f>
        <v>40</v>
      </c>
      <c r="D1268" s="12" t="str">
        <f ca="1">IFERROR(__xludf.DUMMYFUNCTION("""COMPUTED_VALUE"""),"小川 純")</f>
        <v>小川 純</v>
      </c>
    </row>
    <row r="1269" spans="2:4" ht="13">
      <c r="B1269" s="12">
        <f ca="1">IFERROR(__xludf.DUMMYFUNCTION("""COMPUTED_VALUE"""),108671)</f>
        <v>108671</v>
      </c>
      <c r="C1269" s="14">
        <f ca="1">IFERROR(__xludf.DUMMYFUNCTION("""COMPUTED_VALUE"""),36)</f>
        <v>36</v>
      </c>
      <c r="D1269" s="12" t="str">
        <f ca="1">IFERROR(__xludf.DUMMYFUNCTION("""COMPUTED_VALUE"""),"小川 純")</f>
        <v>小川 純</v>
      </c>
    </row>
    <row r="1270" spans="2:4" ht="13">
      <c r="B1270" s="12">
        <f ca="1">IFERROR(__xludf.DUMMYFUNCTION("""COMPUTED_VALUE"""),108672)</f>
        <v>108672</v>
      </c>
      <c r="C1270" s="14">
        <f ca="1">IFERROR(__xludf.DUMMYFUNCTION("""COMPUTED_VALUE"""),2)</f>
        <v>2</v>
      </c>
      <c r="D1270" s="12" t="str">
        <f ca="1">IFERROR(__xludf.DUMMYFUNCTION("""COMPUTED_VALUE"""),"小川 純")</f>
        <v>小川 純</v>
      </c>
    </row>
    <row r="1271" spans="2:4" ht="13">
      <c r="B1271" s="12">
        <f ca="1">IFERROR(__xludf.DUMMYFUNCTION("""COMPUTED_VALUE"""),108692)</f>
        <v>108692</v>
      </c>
      <c r="C1271" s="14">
        <f ca="1">IFERROR(__xludf.DUMMYFUNCTION("""COMPUTED_VALUE"""),0)</f>
        <v>0</v>
      </c>
      <c r="D1271" s="12" t="str">
        <f ca="1">IFERROR(__xludf.DUMMYFUNCTION("""COMPUTED_VALUE"""),"松尾 尚樹")</f>
        <v>松尾 尚樹</v>
      </c>
    </row>
    <row r="1272" spans="2:4" ht="13">
      <c r="B1272" s="12">
        <f ca="1">IFERROR(__xludf.DUMMYFUNCTION("""COMPUTED_VALUE"""),108693)</f>
        <v>108693</v>
      </c>
      <c r="C1272" s="14">
        <f ca="1">IFERROR(__xludf.DUMMYFUNCTION("""COMPUTED_VALUE"""),1)</f>
        <v>1</v>
      </c>
      <c r="D1272" s="12" t="str">
        <f ca="1">IFERROR(__xludf.DUMMYFUNCTION("""COMPUTED_VALUE"""),"松尾 尚樹")</f>
        <v>松尾 尚樹</v>
      </c>
    </row>
    <row r="1273" spans="2:4" ht="13">
      <c r="B1273" s="12">
        <f ca="1">IFERROR(__xludf.DUMMYFUNCTION("""COMPUTED_VALUE"""),108701)</f>
        <v>108701</v>
      </c>
      <c r="C1273" s="14">
        <f ca="1">IFERROR(__xludf.DUMMYFUNCTION("""COMPUTED_VALUE"""),0)</f>
        <v>0</v>
      </c>
      <c r="D1273" s="12" t="str">
        <f ca="1">IFERROR(__xludf.DUMMYFUNCTION("""COMPUTED_VALUE"""),"長谷川 陸朗")</f>
        <v>長谷川 陸朗</v>
      </c>
    </row>
    <row r="1274" spans="2:4" ht="13">
      <c r="B1274" s="12">
        <f ca="1">IFERROR(__xludf.DUMMYFUNCTION("""COMPUTED_VALUE"""),108721)</f>
        <v>108721</v>
      </c>
      <c r="C1274" s="14">
        <f ca="1">IFERROR(__xludf.DUMMYFUNCTION("""COMPUTED_VALUE"""),0)</f>
        <v>0</v>
      </c>
      <c r="D1274" s="12" t="str">
        <f ca="1">IFERROR(__xludf.DUMMYFUNCTION("""COMPUTED_VALUE"""),"小関 麻起")</f>
        <v>小関 麻起</v>
      </c>
    </row>
    <row r="1275" spans="2:4" ht="13">
      <c r="B1275" s="12">
        <f ca="1">IFERROR(__xludf.DUMMYFUNCTION("""COMPUTED_VALUE"""),108728)</f>
        <v>108728</v>
      </c>
      <c r="C1275" s="14">
        <f ca="1">IFERROR(__xludf.DUMMYFUNCTION("""COMPUTED_VALUE"""),5)</f>
        <v>5</v>
      </c>
      <c r="D1275" s="12" t="str">
        <f ca="1">IFERROR(__xludf.DUMMYFUNCTION("""COMPUTED_VALUE"""),"老田 純輝")</f>
        <v>老田 純輝</v>
      </c>
    </row>
    <row r="1276" spans="2:4" ht="13">
      <c r="B1276" s="12">
        <f ca="1">IFERROR(__xludf.DUMMYFUNCTION("""COMPUTED_VALUE"""),108741)</f>
        <v>108741</v>
      </c>
      <c r="C1276" s="14">
        <f ca="1">IFERROR(__xludf.DUMMYFUNCTION("""COMPUTED_VALUE"""),3)</f>
        <v>3</v>
      </c>
      <c r="D1276" s="12" t="str">
        <f ca="1">IFERROR(__xludf.DUMMYFUNCTION("""COMPUTED_VALUE"""),"桑原 明子")</f>
        <v>桑原 明子</v>
      </c>
    </row>
    <row r="1277" spans="2:4" ht="13">
      <c r="B1277" s="12">
        <f ca="1">IFERROR(__xludf.DUMMYFUNCTION("""COMPUTED_VALUE"""),108750)</f>
        <v>108750</v>
      </c>
      <c r="C1277" s="14">
        <f ca="1">IFERROR(__xludf.DUMMYFUNCTION("""COMPUTED_VALUE"""),0)</f>
        <v>0</v>
      </c>
      <c r="D1277" s="12" t="str">
        <f ca="1">IFERROR(__xludf.DUMMYFUNCTION("""COMPUTED_VALUE"""),"桐山 勝気")</f>
        <v>桐山 勝気</v>
      </c>
    </row>
    <row r="1278" spans="2:4" ht="13">
      <c r="B1278" s="12">
        <f ca="1">IFERROR(__xludf.DUMMYFUNCTION("""COMPUTED_VALUE"""),108753)</f>
        <v>108753</v>
      </c>
      <c r="C1278" s="14">
        <f ca="1">IFERROR(__xludf.DUMMYFUNCTION("""COMPUTED_VALUE"""),1)</f>
        <v>1</v>
      </c>
      <c r="D1278" s="12" t="str">
        <f ca="1">IFERROR(__xludf.DUMMYFUNCTION("""COMPUTED_VALUE"""),"老田 純輝")</f>
        <v>老田 純輝</v>
      </c>
    </row>
    <row r="1279" spans="2:4" ht="13">
      <c r="B1279" s="12">
        <f ca="1">IFERROR(__xludf.DUMMYFUNCTION("""COMPUTED_VALUE"""),108759)</f>
        <v>108759</v>
      </c>
      <c r="C1279" s="14">
        <f ca="1">IFERROR(__xludf.DUMMYFUNCTION("""COMPUTED_VALUE"""),0)</f>
        <v>0</v>
      </c>
      <c r="D1279" s="12" t="str">
        <f ca="1">IFERROR(__xludf.DUMMYFUNCTION("""COMPUTED_VALUE"""),"小関 麻起")</f>
        <v>小関 麻起</v>
      </c>
    </row>
    <row r="1280" spans="2:4" ht="13">
      <c r="B1280" s="12">
        <f ca="1">IFERROR(__xludf.DUMMYFUNCTION("""COMPUTED_VALUE"""),108760)</f>
        <v>108760</v>
      </c>
      <c r="C1280" s="14">
        <f ca="1">IFERROR(__xludf.DUMMYFUNCTION("""COMPUTED_VALUE"""),0)</f>
        <v>0</v>
      </c>
      <c r="D1280" s="12" t="str">
        <f ca="1">IFERROR(__xludf.DUMMYFUNCTION("""COMPUTED_VALUE"""),"小関 麻起")</f>
        <v>小関 麻起</v>
      </c>
    </row>
    <row r="1281" spans="2:4" ht="13">
      <c r="B1281" s="12">
        <f ca="1">IFERROR(__xludf.DUMMYFUNCTION("""COMPUTED_VALUE"""),108763)</f>
        <v>108763</v>
      </c>
      <c r="C1281" s="14">
        <f ca="1">IFERROR(__xludf.DUMMYFUNCTION("""COMPUTED_VALUE"""),0)</f>
        <v>0</v>
      </c>
      <c r="D1281" s="12" t="str">
        <f ca="1">IFERROR(__xludf.DUMMYFUNCTION("""COMPUTED_VALUE"""),"松尾 尚樹")</f>
        <v>松尾 尚樹</v>
      </c>
    </row>
    <row r="1282" spans="2:4" ht="13">
      <c r="B1282" s="12">
        <f ca="1">IFERROR(__xludf.DUMMYFUNCTION("""COMPUTED_VALUE"""),108773)</f>
        <v>108773</v>
      </c>
      <c r="C1282" s="14">
        <f ca="1">IFERROR(__xludf.DUMMYFUNCTION("""COMPUTED_VALUE"""),0)</f>
        <v>0</v>
      </c>
      <c r="D1282" s="12" t="str">
        <f ca="1">IFERROR(__xludf.DUMMYFUNCTION("""COMPUTED_VALUE"""),"菅野 ぎんが")</f>
        <v>菅野 ぎんが</v>
      </c>
    </row>
    <row r="1283" spans="2:4" ht="13">
      <c r="B1283" s="12">
        <f ca="1">IFERROR(__xludf.DUMMYFUNCTION("""COMPUTED_VALUE"""),108780)</f>
        <v>108780</v>
      </c>
      <c r="C1283" s="14">
        <f ca="1">IFERROR(__xludf.DUMMYFUNCTION("""COMPUTED_VALUE"""),0)</f>
        <v>0</v>
      </c>
      <c r="D1283" s="12" t="str">
        <f ca="1">IFERROR(__xludf.DUMMYFUNCTION("""COMPUTED_VALUE"""),"松尾 尚樹")</f>
        <v>松尾 尚樹</v>
      </c>
    </row>
    <row r="1284" spans="2:4" ht="13">
      <c r="B1284" s="12">
        <f ca="1">IFERROR(__xludf.DUMMYFUNCTION("""COMPUTED_VALUE"""),108785)</f>
        <v>108785</v>
      </c>
      <c r="C1284" s="14">
        <f ca="1">IFERROR(__xludf.DUMMYFUNCTION("""COMPUTED_VALUE"""),3)</f>
        <v>3</v>
      </c>
      <c r="D1284" s="12" t="str">
        <f ca="1">IFERROR(__xludf.DUMMYFUNCTION("""COMPUTED_VALUE"""),"松尾 尚樹")</f>
        <v>松尾 尚樹</v>
      </c>
    </row>
    <row r="1285" spans="2:4" ht="13">
      <c r="B1285" s="12">
        <f ca="1">IFERROR(__xludf.DUMMYFUNCTION("""COMPUTED_VALUE"""),108808)</f>
        <v>108808</v>
      </c>
      <c r="C1285" s="14">
        <f ca="1">IFERROR(__xludf.DUMMYFUNCTION("""COMPUTED_VALUE"""),3)</f>
        <v>3</v>
      </c>
      <c r="D1285" s="12" t="str">
        <f ca="1">IFERROR(__xludf.DUMMYFUNCTION("""COMPUTED_VALUE"""),"大木 優香")</f>
        <v>大木 優香</v>
      </c>
    </row>
    <row r="1286" spans="2:4" ht="13">
      <c r="B1286" s="12">
        <f ca="1">IFERROR(__xludf.DUMMYFUNCTION("""COMPUTED_VALUE"""),108810)</f>
        <v>108810</v>
      </c>
      <c r="C1286" s="14">
        <f ca="1">IFERROR(__xludf.DUMMYFUNCTION("""COMPUTED_VALUE"""),27)</f>
        <v>27</v>
      </c>
      <c r="D1286" s="12" t="str">
        <f ca="1">IFERROR(__xludf.DUMMYFUNCTION("""COMPUTED_VALUE"""),"菅野 ぎんが")</f>
        <v>菅野 ぎんが</v>
      </c>
    </row>
    <row r="1287" spans="2:4" ht="13">
      <c r="B1287" s="12">
        <f ca="1">IFERROR(__xludf.DUMMYFUNCTION("""COMPUTED_VALUE"""),108813)</f>
        <v>108813</v>
      </c>
      <c r="C1287" s="14">
        <f ca="1">IFERROR(__xludf.DUMMYFUNCTION("""COMPUTED_VALUE"""),53)</f>
        <v>53</v>
      </c>
      <c r="D1287" s="12" t="str">
        <f ca="1">IFERROR(__xludf.DUMMYFUNCTION("""COMPUTED_VALUE"""),"老田 純輝")</f>
        <v>老田 純輝</v>
      </c>
    </row>
    <row r="1288" spans="2:4" ht="13">
      <c r="B1288" s="12">
        <f ca="1">IFERROR(__xludf.DUMMYFUNCTION("""COMPUTED_VALUE"""),108815)</f>
        <v>108815</v>
      </c>
      <c r="C1288" s="14">
        <f ca="1">IFERROR(__xludf.DUMMYFUNCTION("""COMPUTED_VALUE"""),0)</f>
        <v>0</v>
      </c>
      <c r="D1288" s="12" t="str">
        <f ca="1">IFERROR(__xludf.DUMMYFUNCTION("""COMPUTED_VALUE"""),"松尾 尚樹")</f>
        <v>松尾 尚樹</v>
      </c>
    </row>
    <row r="1289" spans="2:4" ht="13">
      <c r="B1289" s="12">
        <f ca="1">IFERROR(__xludf.DUMMYFUNCTION("""COMPUTED_VALUE"""),108831)</f>
        <v>108831</v>
      </c>
      <c r="C1289" s="14">
        <f ca="1">IFERROR(__xludf.DUMMYFUNCTION("""COMPUTED_VALUE"""),61)</f>
        <v>61</v>
      </c>
      <c r="D1289" s="12" t="str">
        <f ca="1">IFERROR(__xludf.DUMMYFUNCTION("""COMPUTED_VALUE"""),"辻村 将大")</f>
        <v>辻村 将大</v>
      </c>
    </row>
    <row r="1290" spans="2:4" ht="13">
      <c r="B1290" s="12">
        <f ca="1">IFERROR(__xludf.DUMMYFUNCTION("""COMPUTED_VALUE"""),108833)</f>
        <v>108833</v>
      </c>
      <c r="C1290" s="14">
        <f ca="1">IFERROR(__xludf.DUMMYFUNCTION("""COMPUTED_VALUE"""),18)</f>
        <v>18</v>
      </c>
      <c r="D1290" s="12" t="str">
        <f ca="1">IFERROR(__xludf.DUMMYFUNCTION("""COMPUTED_VALUE"""),"桐山 勝気")</f>
        <v>桐山 勝気</v>
      </c>
    </row>
    <row r="1291" spans="2:4" ht="13">
      <c r="B1291" s="12">
        <f ca="1">IFERROR(__xludf.DUMMYFUNCTION("""COMPUTED_VALUE"""),108834)</f>
        <v>108834</v>
      </c>
      <c r="C1291" s="14">
        <f ca="1">IFERROR(__xludf.DUMMYFUNCTION("""COMPUTED_VALUE"""),1)</f>
        <v>1</v>
      </c>
      <c r="D1291" s="12" t="str">
        <f ca="1">IFERROR(__xludf.DUMMYFUNCTION("""COMPUTED_VALUE"""),"成嶋 夏未")</f>
        <v>成嶋 夏未</v>
      </c>
    </row>
    <row r="1292" spans="2:4" ht="13">
      <c r="B1292" s="12">
        <f ca="1">IFERROR(__xludf.DUMMYFUNCTION("""COMPUTED_VALUE"""),108836)</f>
        <v>108836</v>
      </c>
      <c r="C1292" s="14">
        <f ca="1">IFERROR(__xludf.DUMMYFUNCTION("""COMPUTED_VALUE"""),2)</f>
        <v>2</v>
      </c>
      <c r="D1292" s="12" t="str">
        <f ca="1">IFERROR(__xludf.DUMMYFUNCTION("""COMPUTED_VALUE"""),"大木 優香")</f>
        <v>大木 優香</v>
      </c>
    </row>
    <row r="1293" spans="2:4" ht="13">
      <c r="B1293" s="12">
        <f ca="1">IFERROR(__xludf.DUMMYFUNCTION("""COMPUTED_VALUE"""),108844)</f>
        <v>108844</v>
      </c>
      <c r="C1293" s="14">
        <f ca="1">IFERROR(__xludf.DUMMYFUNCTION("""COMPUTED_VALUE"""),0)</f>
        <v>0</v>
      </c>
      <c r="D1293" s="12" t="str">
        <f ca="1">IFERROR(__xludf.DUMMYFUNCTION("""COMPUTED_VALUE"""),"菅野 ぎんが")</f>
        <v>菅野 ぎんが</v>
      </c>
    </row>
    <row r="1294" spans="2:4" ht="13">
      <c r="B1294" s="12">
        <f ca="1">IFERROR(__xludf.DUMMYFUNCTION("""COMPUTED_VALUE"""),108851)</f>
        <v>108851</v>
      </c>
      <c r="C1294" s="14">
        <f ca="1">IFERROR(__xludf.DUMMYFUNCTION("""COMPUTED_VALUE"""),0)</f>
        <v>0</v>
      </c>
      <c r="D1294" s="12" t="str">
        <f ca="1">IFERROR(__xludf.DUMMYFUNCTION("""COMPUTED_VALUE"""),"成嶋 夏未")</f>
        <v>成嶋 夏未</v>
      </c>
    </row>
    <row r="1295" spans="2:4" ht="13">
      <c r="B1295" s="12">
        <f ca="1">IFERROR(__xludf.DUMMYFUNCTION("""COMPUTED_VALUE"""),108852)</f>
        <v>108852</v>
      </c>
      <c r="C1295" s="14">
        <f ca="1">IFERROR(__xludf.DUMMYFUNCTION("""COMPUTED_VALUE"""),2)</f>
        <v>2</v>
      </c>
      <c r="D1295" s="12" t="str">
        <f ca="1">IFERROR(__xludf.DUMMYFUNCTION("""COMPUTED_VALUE"""),"大木 優香")</f>
        <v>大木 優香</v>
      </c>
    </row>
    <row r="1296" spans="2:4" ht="13">
      <c r="B1296" s="12">
        <f ca="1">IFERROR(__xludf.DUMMYFUNCTION("""COMPUTED_VALUE"""),108856)</f>
        <v>108856</v>
      </c>
      <c r="C1296" s="14">
        <f ca="1">IFERROR(__xludf.DUMMYFUNCTION("""COMPUTED_VALUE"""),0)</f>
        <v>0</v>
      </c>
      <c r="D1296" s="12" t="str">
        <f ca="1">IFERROR(__xludf.DUMMYFUNCTION("""COMPUTED_VALUE"""),"桐山 勝気")</f>
        <v>桐山 勝気</v>
      </c>
    </row>
    <row r="1297" spans="2:4" ht="13">
      <c r="B1297" s="12">
        <f ca="1">IFERROR(__xludf.DUMMYFUNCTION("""COMPUTED_VALUE"""),108859)</f>
        <v>108859</v>
      </c>
      <c r="C1297" s="14">
        <f ca="1">IFERROR(__xludf.DUMMYFUNCTION("""COMPUTED_VALUE"""),0)</f>
        <v>0</v>
      </c>
      <c r="D1297" s="12" t="str">
        <f ca="1">IFERROR(__xludf.DUMMYFUNCTION("""COMPUTED_VALUE"""),"長谷川 陸朗")</f>
        <v>長谷川 陸朗</v>
      </c>
    </row>
    <row r="1298" spans="2:4" ht="13">
      <c r="B1298" s="12">
        <f ca="1">IFERROR(__xludf.DUMMYFUNCTION("""COMPUTED_VALUE"""),108879)</f>
        <v>108879</v>
      </c>
      <c r="C1298" s="14">
        <f ca="1">IFERROR(__xludf.DUMMYFUNCTION("""COMPUTED_VALUE"""),132)</f>
        <v>132</v>
      </c>
      <c r="D1298" s="12" t="str">
        <f ca="1">IFERROR(__xludf.DUMMYFUNCTION("""COMPUTED_VALUE"""),"辻村 将大")</f>
        <v>辻村 将大</v>
      </c>
    </row>
    <row r="1299" spans="2:4" ht="13">
      <c r="B1299" s="12">
        <f ca="1">IFERROR(__xludf.DUMMYFUNCTION("""COMPUTED_VALUE"""),108881)</f>
        <v>108881</v>
      </c>
      <c r="C1299" s="14">
        <f ca="1">IFERROR(__xludf.DUMMYFUNCTION("""COMPUTED_VALUE"""),0)</f>
        <v>0</v>
      </c>
      <c r="D1299" s="12" t="str">
        <f ca="1">IFERROR(__xludf.DUMMYFUNCTION("""COMPUTED_VALUE"""),"松尾 尚樹")</f>
        <v>松尾 尚樹</v>
      </c>
    </row>
    <row r="1300" spans="2:4" ht="13">
      <c r="B1300" s="12">
        <f ca="1">IFERROR(__xludf.DUMMYFUNCTION("""COMPUTED_VALUE"""),108889)</f>
        <v>108889</v>
      </c>
      <c r="C1300" s="14">
        <f ca="1">IFERROR(__xludf.DUMMYFUNCTION("""COMPUTED_VALUE"""),3)</f>
        <v>3</v>
      </c>
      <c r="D1300" s="12" t="str">
        <f ca="1">IFERROR(__xludf.DUMMYFUNCTION("""COMPUTED_VALUE"""),"松尾 尚樹")</f>
        <v>松尾 尚樹</v>
      </c>
    </row>
    <row r="1301" spans="2:4" ht="13">
      <c r="B1301" s="12">
        <f ca="1">IFERROR(__xludf.DUMMYFUNCTION("""COMPUTED_VALUE"""),108890)</f>
        <v>108890</v>
      </c>
      <c r="C1301" s="14">
        <f ca="1">IFERROR(__xludf.DUMMYFUNCTION("""COMPUTED_VALUE"""),15)</f>
        <v>15</v>
      </c>
      <c r="D1301" s="12" t="str">
        <f ca="1">IFERROR(__xludf.DUMMYFUNCTION("""COMPUTED_VALUE"""),"松尾 尚樹")</f>
        <v>松尾 尚樹</v>
      </c>
    </row>
    <row r="1302" spans="2:4" ht="13">
      <c r="B1302" s="12">
        <f ca="1">IFERROR(__xludf.DUMMYFUNCTION("""COMPUTED_VALUE"""),108897)</f>
        <v>108897</v>
      </c>
      <c r="C1302" s="14">
        <f ca="1">IFERROR(__xludf.DUMMYFUNCTION("""COMPUTED_VALUE"""),24)</f>
        <v>24</v>
      </c>
      <c r="D1302" s="12" t="str">
        <f ca="1">IFERROR(__xludf.DUMMYFUNCTION("""COMPUTED_VALUE"""),"奥野 貴大")</f>
        <v>奥野 貴大</v>
      </c>
    </row>
    <row r="1303" spans="2:4" ht="13">
      <c r="B1303" s="12">
        <f ca="1">IFERROR(__xludf.DUMMYFUNCTION("""COMPUTED_VALUE"""),108923)</f>
        <v>108923</v>
      </c>
      <c r="C1303" s="14">
        <f ca="1">IFERROR(__xludf.DUMMYFUNCTION("""COMPUTED_VALUE"""),0)</f>
        <v>0</v>
      </c>
      <c r="D1303" s="12" t="str">
        <f ca="1">IFERROR(__xludf.DUMMYFUNCTION("""COMPUTED_VALUE"""),"成嶋 夏未")</f>
        <v>成嶋 夏未</v>
      </c>
    </row>
    <row r="1304" spans="2:4" ht="13">
      <c r="B1304" s="12">
        <f ca="1">IFERROR(__xludf.DUMMYFUNCTION("""COMPUTED_VALUE"""),108925)</f>
        <v>108925</v>
      </c>
      <c r="C1304" s="14">
        <f ca="1">IFERROR(__xludf.DUMMYFUNCTION("""COMPUTED_VALUE"""),0)</f>
        <v>0</v>
      </c>
      <c r="D1304" s="12" t="str">
        <f ca="1">IFERROR(__xludf.DUMMYFUNCTION("""COMPUTED_VALUE"""),"松尾 尚樹")</f>
        <v>松尾 尚樹</v>
      </c>
    </row>
    <row r="1305" spans="2:4" ht="13">
      <c r="B1305" s="12">
        <f ca="1">IFERROR(__xludf.DUMMYFUNCTION("""COMPUTED_VALUE"""),108926)</f>
        <v>108926</v>
      </c>
      <c r="C1305" s="14">
        <f ca="1">IFERROR(__xludf.DUMMYFUNCTION("""COMPUTED_VALUE"""),8)</f>
        <v>8</v>
      </c>
      <c r="D1305" s="12" t="str">
        <f ca="1">IFERROR(__xludf.DUMMYFUNCTION("""COMPUTED_VALUE"""),"稲場 勇介")</f>
        <v>稲場 勇介</v>
      </c>
    </row>
    <row r="1306" spans="2:4" ht="13">
      <c r="B1306" s="12">
        <f ca="1">IFERROR(__xludf.DUMMYFUNCTION("""COMPUTED_VALUE"""),108929)</f>
        <v>108929</v>
      </c>
      <c r="C1306" s="14">
        <f ca="1">IFERROR(__xludf.DUMMYFUNCTION("""COMPUTED_VALUE"""),0)</f>
        <v>0</v>
      </c>
      <c r="D1306" s="12" t="str">
        <f ca="1">IFERROR(__xludf.DUMMYFUNCTION("""COMPUTED_VALUE"""),"森 光智")</f>
        <v>森 光智</v>
      </c>
    </row>
    <row r="1307" spans="2:4" ht="13">
      <c r="B1307" s="12">
        <f ca="1">IFERROR(__xludf.DUMMYFUNCTION("""COMPUTED_VALUE"""),108930)</f>
        <v>108930</v>
      </c>
      <c r="C1307" s="14">
        <f ca="1">IFERROR(__xludf.DUMMYFUNCTION("""COMPUTED_VALUE"""),1)</f>
        <v>1</v>
      </c>
      <c r="D1307" s="12" t="str">
        <f ca="1">IFERROR(__xludf.DUMMYFUNCTION("""COMPUTED_VALUE"""),"大木 優香")</f>
        <v>大木 優香</v>
      </c>
    </row>
    <row r="1308" spans="2:4" ht="13">
      <c r="B1308" s="12">
        <f ca="1">IFERROR(__xludf.DUMMYFUNCTION("""COMPUTED_VALUE"""),108931)</f>
        <v>108931</v>
      </c>
      <c r="C1308" s="14">
        <f ca="1">IFERROR(__xludf.DUMMYFUNCTION("""COMPUTED_VALUE"""),0)</f>
        <v>0</v>
      </c>
      <c r="D1308" s="12" t="str">
        <f ca="1">IFERROR(__xludf.DUMMYFUNCTION("""COMPUTED_VALUE"""),"大木 優香")</f>
        <v>大木 優香</v>
      </c>
    </row>
    <row r="1309" spans="2:4" ht="13">
      <c r="B1309" s="12">
        <f ca="1">IFERROR(__xludf.DUMMYFUNCTION("""COMPUTED_VALUE"""),108932)</f>
        <v>108932</v>
      </c>
      <c r="C1309" s="14">
        <f ca="1">IFERROR(__xludf.DUMMYFUNCTION("""COMPUTED_VALUE"""),2)</f>
        <v>2</v>
      </c>
      <c r="D1309" s="12" t="str">
        <f ca="1">IFERROR(__xludf.DUMMYFUNCTION("""COMPUTED_VALUE"""),"大木 優香")</f>
        <v>大木 優香</v>
      </c>
    </row>
    <row r="1310" spans="2:4" ht="13">
      <c r="B1310" s="12">
        <f ca="1">IFERROR(__xludf.DUMMYFUNCTION("""COMPUTED_VALUE"""),108933)</f>
        <v>108933</v>
      </c>
      <c r="C1310" s="14">
        <f ca="1">IFERROR(__xludf.DUMMYFUNCTION("""COMPUTED_VALUE"""),4)</f>
        <v>4</v>
      </c>
      <c r="D1310" s="12" t="str">
        <f ca="1">IFERROR(__xludf.DUMMYFUNCTION("""COMPUTED_VALUE"""),"大木 優香")</f>
        <v>大木 優香</v>
      </c>
    </row>
    <row r="1311" spans="2:4" ht="13">
      <c r="B1311" s="12">
        <f ca="1">IFERROR(__xludf.DUMMYFUNCTION("""COMPUTED_VALUE"""),108936)</f>
        <v>108936</v>
      </c>
      <c r="C1311" s="14">
        <f ca="1">IFERROR(__xludf.DUMMYFUNCTION("""COMPUTED_VALUE"""),1)</f>
        <v>1</v>
      </c>
      <c r="D1311" s="12" t="str">
        <f ca="1">IFERROR(__xludf.DUMMYFUNCTION("""COMPUTED_VALUE"""),"大木 優香")</f>
        <v>大木 優香</v>
      </c>
    </row>
    <row r="1312" spans="2:4" ht="13">
      <c r="B1312" s="12">
        <f ca="1">IFERROR(__xludf.DUMMYFUNCTION("""COMPUTED_VALUE"""),108937)</f>
        <v>108937</v>
      </c>
      <c r="C1312" s="14">
        <f ca="1">IFERROR(__xludf.DUMMYFUNCTION("""COMPUTED_VALUE"""),5)</f>
        <v>5</v>
      </c>
      <c r="D1312" s="12" t="str">
        <f ca="1">IFERROR(__xludf.DUMMYFUNCTION("""COMPUTED_VALUE"""),"大木 優香")</f>
        <v>大木 優香</v>
      </c>
    </row>
    <row r="1313" spans="2:4" ht="13">
      <c r="B1313" s="12">
        <f ca="1">IFERROR(__xludf.DUMMYFUNCTION("""COMPUTED_VALUE"""),108938)</f>
        <v>108938</v>
      </c>
      <c r="C1313" s="14">
        <f ca="1">IFERROR(__xludf.DUMMYFUNCTION("""COMPUTED_VALUE"""),2)</f>
        <v>2</v>
      </c>
      <c r="D1313" s="12" t="str">
        <f ca="1">IFERROR(__xludf.DUMMYFUNCTION("""COMPUTED_VALUE"""),"大木 優香")</f>
        <v>大木 優香</v>
      </c>
    </row>
    <row r="1314" spans="2:4" ht="13">
      <c r="B1314" s="12">
        <f ca="1">IFERROR(__xludf.DUMMYFUNCTION("""COMPUTED_VALUE"""),108939)</f>
        <v>108939</v>
      </c>
      <c r="C1314" s="14">
        <f ca="1">IFERROR(__xludf.DUMMYFUNCTION("""COMPUTED_VALUE"""),3)</f>
        <v>3</v>
      </c>
      <c r="D1314" s="12" t="str">
        <f ca="1">IFERROR(__xludf.DUMMYFUNCTION("""COMPUTED_VALUE"""),"大木 優香")</f>
        <v>大木 優香</v>
      </c>
    </row>
    <row r="1315" spans="2:4" ht="13">
      <c r="B1315" s="12">
        <f ca="1">IFERROR(__xludf.DUMMYFUNCTION("""COMPUTED_VALUE"""),108940)</f>
        <v>108940</v>
      </c>
      <c r="C1315" s="14">
        <f ca="1">IFERROR(__xludf.DUMMYFUNCTION("""COMPUTED_VALUE"""),2)</f>
        <v>2</v>
      </c>
      <c r="D1315" s="12" t="str">
        <f ca="1">IFERROR(__xludf.DUMMYFUNCTION("""COMPUTED_VALUE"""),"大木 優香")</f>
        <v>大木 優香</v>
      </c>
    </row>
    <row r="1316" spans="2:4" ht="13">
      <c r="B1316" s="12">
        <f ca="1">IFERROR(__xludf.DUMMYFUNCTION("""COMPUTED_VALUE"""),108945)</f>
        <v>108945</v>
      </c>
      <c r="C1316" s="14">
        <f ca="1">IFERROR(__xludf.DUMMYFUNCTION("""COMPUTED_VALUE"""),2)</f>
        <v>2</v>
      </c>
      <c r="D1316" s="12" t="str">
        <f ca="1">IFERROR(__xludf.DUMMYFUNCTION("""COMPUTED_VALUE"""),"大木 優香")</f>
        <v>大木 優香</v>
      </c>
    </row>
    <row r="1317" spans="2:4" ht="13">
      <c r="B1317" s="12">
        <f ca="1">IFERROR(__xludf.DUMMYFUNCTION("""COMPUTED_VALUE"""),108947)</f>
        <v>108947</v>
      </c>
      <c r="C1317" s="14">
        <f ca="1">IFERROR(__xludf.DUMMYFUNCTION("""COMPUTED_VALUE"""),7)</f>
        <v>7</v>
      </c>
      <c r="D1317" s="12" t="str">
        <f ca="1">IFERROR(__xludf.DUMMYFUNCTION("""COMPUTED_VALUE"""),"大木 優香")</f>
        <v>大木 優香</v>
      </c>
    </row>
    <row r="1318" spans="2:4" ht="13">
      <c r="B1318" s="12">
        <f ca="1">IFERROR(__xludf.DUMMYFUNCTION("""COMPUTED_VALUE"""),108951)</f>
        <v>108951</v>
      </c>
      <c r="C1318" s="14">
        <f ca="1">IFERROR(__xludf.DUMMYFUNCTION("""COMPUTED_VALUE"""),0)</f>
        <v>0</v>
      </c>
      <c r="D1318" s="12" t="str">
        <f ca="1">IFERROR(__xludf.DUMMYFUNCTION("""COMPUTED_VALUE"""),"大木 優香")</f>
        <v>大木 優香</v>
      </c>
    </row>
    <row r="1319" spans="2:4" ht="13">
      <c r="B1319" s="12">
        <f ca="1">IFERROR(__xludf.DUMMYFUNCTION("""COMPUTED_VALUE"""),108952)</f>
        <v>108952</v>
      </c>
      <c r="C1319" s="14">
        <f ca="1">IFERROR(__xludf.DUMMYFUNCTION("""COMPUTED_VALUE"""),3)</f>
        <v>3</v>
      </c>
      <c r="D1319" s="12" t="str">
        <f ca="1">IFERROR(__xludf.DUMMYFUNCTION("""COMPUTED_VALUE"""),"大木 優香")</f>
        <v>大木 優香</v>
      </c>
    </row>
    <row r="1320" spans="2:4" ht="13">
      <c r="B1320" s="12">
        <f ca="1">IFERROR(__xludf.DUMMYFUNCTION("""COMPUTED_VALUE"""),108953)</f>
        <v>108953</v>
      </c>
      <c r="C1320" s="14">
        <f ca="1">IFERROR(__xludf.DUMMYFUNCTION("""COMPUTED_VALUE"""),4)</f>
        <v>4</v>
      </c>
      <c r="D1320" s="12" t="str">
        <f ca="1">IFERROR(__xludf.DUMMYFUNCTION("""COMPUTED_VALUE"""),"大木 優香")</f>
        <v>大木 優香</v>
      </c>
    </row>
    <row r="1321" spans="2:4" ht="13">
      <c r="B1321" s="12">
        <f ca="1">IFERROR(__xludf.DUMMYFUNCTION("""COMPUTED_VALUE"""),108961)</f>
        <v>108961</v>
      </c>
      <c r="C1321" s="14">
        <f ca="1">IFERROR(__xludf.DUMMYFUNCTION("""COMPUTED_VALUE"""),0)</f>
        <v>0</v>
      </c>
      <c r="D1321" s="12" t="str">
        <f ca="1">IFERROR(__xludf.DUMMYFUNCTION("""COMPUTED_VALUE"""),"松尾 尚樹")</f>
        <v>松尾 尚樹</v>
      </c>
    </row>
    <row r="1322" spans="2:4" ht="13">
      <c r="B1322" s="12">
        <f ca="1">IFERROR(__xludf.DUMMYFUNCTION("""COMPUTED_VALUE"""),108968)</f>
        <v>108968</v>
      </c>
      <c r="C1322" s="14">
        <f ca="1">IFERROR(__xludf.DUMMYFUNCTION("""COMPUTED_VALUE"""),1)</f>
        <v>1</v>
      </c>
      <c r="D1322" s="12" t="str">
        <f ca="1">IFERROR(__xludf.DUMMYFUNCTION("""COMPUTED_VALUE"""),"荻曽 克輝")</f>
        <v>荻曽 克輝</v>
      </c>
    </row>
    <row r="1323" spans="2:4" ht="13">
      <c r="B1323" s="12">
        <f ca="1">IFERROR(__xludf.DUMMYFUNCTION("""COMPUTED_VALUE"""),108973)</f>
        <v>108973</v>
      </c>
      <c r="C1323" s="14">
        <f ca="1">IFERROR(__xludf.DUMMYFUNCTION("""COMPUTED_VALUE"""),0)</f>
        <v>0</v>
      </c>
      <c r="D1323" s="12" t="str">
        <f ca="1">IFERROR(__xludf.DUMMYFUNCTION("""COMPUTED_VALUE"""),"松尾 尚樹")</f>
        <v>松尾 尚樹</v>
      </c>
    </row>
    <row r="1324" spans="2:4" ht="13">
      <c r="B1324" s="12">
        <f ca="1">IFERROR(__xludf.DUMMYFUNCTION("""COMPUTED_VALUE"""),108984)</f>
        <v>108984</v>
      </c>
      <c r="C1324" s="14">
        <f ca="1">IFERROR(__xludf.DUMMYFUNCTION("""COMPUTED_VALUE"""),0)</f>
        <v>0</v>
      </c>
      <c r="D1324" s="12" t="str">
        <f ca="1">IFERROR(__xludf.DUMMYFUNCTION("""COMPUTED_VALUE"""),"稲場 勇介")</f>
        <v>稲場 勇介</v>
      </c>
    </row>
    <row r="1325" spans="2:4" ht="13">
      <c r="B1325" s="12">
        <f ca="1">IFERROR(__xludf.DUMMYFUNCTION("""COMPUTED_VALUE"""),108990)</f>
        <v>108990</v>
      </c>
      <c r="C1325" s="14">
        <f ca="1">IFERROR(__xludf.DUMMYFUNCTION("""COMPUTED_VALUE"""),12)</f>
        <v>12</v>
      </c>
      <c r="D1325" s="12" t="str">
        <f ca="1">IFERROR(__xludf.DUMMYFUNCTION("""COMPUTED_VALUE"""),"菅野 ぎんが")</f>
        <v>菅野 ぎんが</v>
      </c>
    </row>
    <row r="1326" spans="2:4" ht="13">
      <c r="B1326" s="12">
        <f ca="1">IFERROR(__xludf.DUMMYFUNCTION("""COMPUTED_VALUE"""),109000)</f>
        <v>109000</v>
      </c>
      <c r="C1326" s="14">
        <f ca="1">IFERROR(__xludf.DUMMYFUNCTION("""COMPUTED_VALUE"""),34)</f>
        <v>34</v>
      </c>
      <c r="D1326" s="12" t="str">
        <f ca="1">IFERROR(__xludf.DUMMYFUNCTION("""COMPUTED_VALUE"""),"村上 浩一朗")</f>
        <v>村上 浩一朗</v>
      </c>
    </row>
    <row r="1327" spans="2:4" ht="13">
      <c r="B1327" s="12">
        <f ca="1">IFERROR(__xludf.DUMMYFUNCTION("""COMPUTED_VALUE"""),109002)</f>
        <v>109002</v>
      </c>
      <c r="C1327" s="14">
        <f ca="1">IFERROR(__xludf.DUMMYFUNCTION("""COMPUTED_VALUE"""),10)</f>
        <v>10</v>
      </c>
      <c r="D1327" s="12" t="str">
        <f ca="1">IFERROR(__xludf.DUMMYFUNCTION("""COMPUTED_VALUE"""),"長谷川 陸朗")</f>
        <v>長谷川 陸朗</v>
      </c>
    </row>
    <row r="1328" spans="2:4" ht="13">
      <c r="B1328" s="12">
        <f ca="1">IFERROR(__xludf.DUMMYFUNCTION("""COMPUTED_VALUE"""),109009)</f>
        <v>109009</v>
      </c>
      <c r="C1328" s="14">
        <f ca="1">IFERROR(__xludf.DUMMYFUNCTION("""COMPUTED_VALUE"""),11)</f>
        <v>11</v>
      </c>
      <c r="D1328" s="12" t="str">
        <f ca="1">IFERROR(__xludf.DUMMYFUNCTION("""COMPUTED_VALUE"""),"松尾 尚樹")</f>
        <v>松尾 尚樹</v>
      </c>
    </row>
    <row r="1329" spans="2:4" ht="13">
      <c r="B1329" s="12">
        <f ca="1">IFERROR(__xludf.DUMMYFUNCTION("""COMPUTED_VALUE"""),109035)</f>
        <v>109035</v>
      </c>
      <c r="C1329" s="14">
        <f ca="1">IFERROR(__xludf.DUMMYFUNCTION("""COMPUTED_VALUE"""),1)</f>
        <v>1</v>
      </c>
      <c r="D1329" s="12" t="str">
        <f ca="1">IFERROR(__xludf.DUMMYFUNCTION("""COMPUTED_VALUE"""),"稲場 勇介")</f>
        <v>稲場 勇介</v>
      </c>
    </row>
    <row r="1330" spans="2:4" ht="13">
      <c r="B1330" s="12">
        <f ca="1">IFERROR(__xludf.DUMMYFUNCTION("""COMPUTED_VALUE"""),109048)</f>
        <v>109048</v>
      </c>
      <c r="C1330" s="14">
        <f ca="1">IFERROR(__xludf.DUMMYFUNCTION("""COMPUTED_VALUE"""),9)</f>
        <v>9</v>
      </c>
      <c r="D1330" s="12" t="str">
        <f ca="1">IFERROR(__xludf.DUMMYFUNCTION("""COMPUTED_VALUE"""),"堀越 駿")</f>
        <v>堀越 駿</v>
      </c>
    </row>
    <row r="1331" spans="2:4" ht="13">
      <c r="B1331" s="12">
        <f ca="1">IFERROR(__xludf.DUMMYFUNCTION("""COMPUTED_VALUE"""),109053)</f>
        <v>109053</v>
      </c>
      <c r="C1331" s="14">
        <f ca="1">IFERROR(__xludf.DUMMYFUNCTION("""COMPUTED_VALUE"""),17)</f>
        <v>17</v>
      </c>
      <c r="D1331" s="12" t="str">
        <f ca="1">IFERROR(__xludf.DUMMYFUNCTION("""COMPUTED_VALUE"""),"松尾 尚樹")</f>
        <v>松尾 尚樹</v>
      </c>
    </row>
    <row r="1332" spans="2:4" ht="13">
      <c r="B1332" s="12">
        <f ca="1">IFERROR(__xludf.DUMMYFUNCTION("""COMPUTED_VALUE"""),109055)</f>
        <v>109055</v>
      </c>
      <c r="C1332" s="14">
        <f ca="1">IFERROR(__xludf.DUMMYFUNCTION("""COMPUTED_VALUE"""),0)</f>
        <v>0</v>
      </c>
      <c r="D1332" s="12" t="str">
        <f ca="1">IFERROR(__xludf.DUMMYFUNCTION("""COMPUTED_VALUE"""),"小関 麻起")</f>
        <v>小関 麻起</v>
      </c>
    </row>
    <row r="1333" spans="2:4" ht="13">
      <c r="B1333" s="12">
        <f ca="1">IFERROR(__xludf.DUMMYFUNCTION("""COMPUTED_VALUE"""),109062)</f>
        <v>109062</v>
      </c>
      <c r="C1333" s="14">
        <f ca="1">IFERROR(__xludf.DUMMYFUNCTION("""COMPUTED_VALUE"""),2)</f>
        <v>2</v>
      </c>
      <c r="D1333" s="12" t="str">
        <f ca="1">IFERROR(__xludf.DUMMYFUNCTION("""COMPUTED_VALUE"""),"大木 優香")</f>
        <v>大木 優香</v>
      </c>
    </row>
    <row r="1334" spans="2:4" ht="13">
      <c r="B1334" s="12">
        <f ca="1">IFERROR(__xludf.DUMMYFUNCTION("""COMPUTED_VALUE"""),109066)</f>
        <v>109066</v>
      </c>
      <c r="C1334" s="14">
        <f ca="1">IFERROR(__xludf.DUMMYFUNCTION("""COMPUTED_VALUE"""),0)</f>
        <v>0</v>
      </c>
      <c r="D1334" s="12" t="str">
        <f ca="1">IFERROR(__xludf.DUMMYFUNCTION("""COMPUTED_VALUE"""),"松尾 尚樹")</f>
        <v>松尾 尚樹</v>
      </c>
    </row>
    <row r="1335" spans="2:4" ht="13">
      <c r="B1335" s="12">
        <f ca="1">IFERROR(__xludf.DUMMYFUNCTION("""COMPUTED_VALUE"""),109067)</f>
        <v>109067</v>
      </c>
      <c r="C1335" s="14">
        <f ca="1">IFERROR(__xludf.DUMMYFUNCTION("""COMPUTED_VALUE"""),9)</f>
        <v>9</v>
      </c>
      <c r="D1335" s="12" t="str">
        <f ca="1">IFERROR(__xludf.DUMMYFUNCTION("""COMPUTED_VALUE"""),"松尾 尚樹")</f>
        <v>松尾 尚樹</v>
      </c>
    </row>
    <row r="1336" spans="2:4" ht="13">
      <c r="B1336" s="12">
        <f ca="1">IFERROR(__xludf.DUMMYFUNCTION("""COMPUTED_VALUE"""),109068)</f>
        <v>109068</v>
      </c>
      <c r="C1336" s="14">
        <f ca="1">IFERROR(__xludf.DUMMYFUNCTION("""COMPUTED_VALUE"""),0)</f>
        <v>0</v>
      </c>
      <c r="D1336" s="12" t="str">
        <f ca="1">IFERROR(__xludf.DUMMYFUNCTION("""COMPUTED_VALUE"""),"成嶋 夏未")</f>
        <v>成嶋 夏未</v>
      </c>
    </row>
    <row r="1337" spans="2:4" ht="13">
      <c r="B1337" s="12">
        <f ca="1">IFERROR(__xludf.DUMMYFUNCTION("""COMPUTED_VALUE"""),109069)</f>
        <v>109069</v>
      </c>
      <c r="C1337" s="14">
        <f ca="1">IFERROR(__xludf.DUMMYFUNCTION("""COMPUTED_VALUE"""),45)</f>
        <v>45</v>
      </c>
      <c r="D1337" s="12" t="str">
        <f ca="1">IFERROR(__xludf.DUMMYFUNCTION("""COMPUTED_VALUE"""),"辻村 将大")</f>
        <v>辻村 将大</v>
      </c>
    </row>
    <row r="1338" spans="2:4" ht="13">
      <c r="B1338" s="12">
        <f ca="1">IFERROR(__xludf.DUMMYFUNCTION("""COMPUTED_VALUE"""),109070)</f>
        <v>109070</v>
      </c>
      <c r="C1338" s="14">
        <f ca="1">IFERROR(__xludf.DUMMYFUNCTION("""COMPUTED_VALUE"""),0)</f>
        <v>0</v>
      </c>
      <c r="D1338" s="12" t="str">
        <f ca="1">IFERROR(__xludf.DUMMYFUNCTION("""COMPUTED_VALUE"""),"松尾 尚樹")</f>
        <v>松尾 尚樹</v>
      </c>
    </row>
    <row r="1339" spans="2:4" ht="13">
      <c r="B1339" s="12">
        <f ca="1">IFERROR(__xludf.DUMMYFUNCTION("""COMPUTED_VALUE"""),109071)</f>
        <v>109071</v>
      </c>
      <c r="C1339" s="14">
        <f ca="1">IFERROR(__xludf.DUMMYFUNCTION("""COMPUTED_VALUE"""),1)</f>
        <v>1</v>
      </c>
      <c r="D1339" s="12" t="str">
        <f ca="1">IFERROR(__xludf.DUMMYFUNCTION("""COMPUTED_VALUE"""),"松尾 尚樹")</f>
        <v>松尾 尚樹</v>
      </c>
    </row>
    <row r="1340" spans="2:4" ht="13">
      <c r="B1340" s="12">
        <f ca="1">IFERROR(__xludf.DUMMYFUNCTION("""COMPUTED_VALUE"""),109072)</f>
        <v>109072</v>
      </c>
      <c r="C1340" s="14">
        <f ca="1">IFERROR(__xludf.DUMMYFUNCTION("""COMPUTED_VALUE"""),2)</f>
        <v>2</v>
      </c>
      <c r="D1340" s="12" t="str">
        <f ca="1">IFERROR(__xludf.DUMMYFUNCTION("""COMPUTED_VALUE"""),"松尾 尚樹")</f>
        <v>松尾 尚樹</v>
      </c>
    </row>
    <row r="1341" spans="2:4" ht="13">
      <c r="B1341" s="12">
        <f ca="1">IFERROR(__xludf.DUMMYFUNCTION("""COMPUTED_VALUE"""),109073)</f>
        <v>109073</v>
      </c>
      <c r="C1341" s="14">
        <f ca="1">IFERROR(__xludf.DUMMYFUNCTION("""COMPUTED_VALUE"""),0)</f>
        <v>0</v>
      </c>
      <c r="D1341" s="12" t="str">
        <f ca="1">IFERROR(__xludf.DUMMYFUNCTION("""COMPUTED_VALUE"""),"松尾 尚樹")</f>
        <v>松尾 尚樹</v>
      </c>
    </row>
    <row r="1342" spans="2:4" ht="13">
      <c r="B1342" s="12">
        <f ca="1">IFERROR(__xludf.DUMMYFUNCTION("""COMPUTED_VALUE"""),109074)</f>
        <v>109074</v>
      </c>
      <c r="C1342" s="14">
        <f ca="1">IFERROR(__xludf.DUMMYFUNCTION("""COMPUTED_VALUE"""),2)</f>
        <v>2</v>
      </c>
      <c r="D1342" s="12" t="str">
        <f ca="1">IFERROR(__xludf.DUMMYFUNCTION("""COMPUTED_VALUE"""),"松尾 尚樹")</f>
        <v>松尾 尚樹</v>
      </c>
    </row>
    <row r="1343" spans="2:4" ht="13">
      <c r="B1343" s="12">
        <f ca="1">IFERROR(__xludf.DUMMYFUNCTION("""COMPUTED_VALUE"""),109075)</f>
        <v>109075</v>
      </c>
      <c r="C1343" s="14">
        <f ca="1">IFERROR(__xludf.DUMMYFUNCTION("""COMPUTED_VALUE"""),2)</f>
        <v>2</v>
      </c>
      <c r="D1343" s="12" t="str">
        <f ca="1">IFERROR(__xludf.DUMMYFUNCTION("""COMPUTED_VALUE"""),"松尾 尚樹")</f>
        <v>松尾 尚樹</v>
      </c>
    </row>
    <row r="1344" spans="2:4" ht="13">
      <c r="B1344" s="12">
        <f ca="1">IFERROR(__xludf.DUMMYFUNCTION("""COMPUTED_VALUE"""),109077)</f>
        <v>109077</v>
      </c>
      <c r="C1344" s="14">
        <f ca="1">IFERROR(__xludf.DUMMYFUNCTION("""COMPUTED_VALUE"""),0)</f>
        <v>0</v>
      </c>
      <c r="D1344" s="12" t="str">
        <f ca="1">IFERROR(__xludf.DUMMYFUNCTION("""COMPUTED_VALUE"""),"松尾 尚樹")</f>
        <v>松尾 尚樹</v>
      </c>
    </row>
    <row r="1345" spans="2:4" ht="13">
      <c r="B1345" s="12">
        <f ca="1">IFERROR(__xludf.DUMMYFUNCTION("""COMPUTED_VALUE"""),109078)</f>
        <v>109078</v>
      </c>
      <c r="C1345" s="14">
        <f ca="1">IFERROR(__xludf.DUMMYFUNCTION("""COMPUTED_VALUE"""),2)</f>
        <v>2</v>
      </c>
      <c r="D1345" s="12" t="str">
        <f ca="1">IFERROR(__xludf.DUMMYFUNCTION("""COMPUTED_VALUE"""),"松尾 尚樹")</f>
        <v>松尾 尚樹</v>
      </c>
    </row>
    <row r="1346" spans="2:4" ht="13">
      <c r="B1346" s="12">
        <f ca="1">IFERROR(__xludf.DUMMYFUNCTION("""COMPUTED_VALUE"""),109079)</f>
        <v>109079</v>
      </c>
      <c r="C1346" s="14">
        <f ca="1">IFERROR(__xludf.DUMMYFUNCTION("""COMPUTED_VALUE"""),1)</f>
        <v>1</v>
      </c>
      <c r="D1346" s="12" t="str">
        <f ca="1">IFERROR(__xludf.DUMMYFUNCTION("""COMPUTED_VALUE"""),"松尾 尚樹")</f>
        <v>松尾 尚樹</v>
      </c>
    </row>
    <row r="1347" spans="2:4" ht="13">
      <c r="B1347" s="12">
        <f ca="1">IFERROR(__xludf.DUMMYFUNCTION("""COMPUTED_VALUE"""),109081)</f>
        <v>109081</v>
      </c>
      <c r="C1347" s="14">
        <f ca="1">IFERROR(__xludf.DUMMYFUNCTION("""COMPUTED_VALUE"""),0)</f>
        <v>0</v>
      </c>
      <c r="D1347" s="12" t="str">
        <f ca="1">IFERROR(__xludf.DUMMYFUNCTION("""COMPUTED_VALUE"""),"稲場 勇介")</f>
        <v>稲場 勇介</v>
      </c>
    </row>
    <row r="1348" spans="2:4" ht="13">
      <c r="B1348" s="12">
        <f ca="1">IFERROR(__xludf.DUMMYFUNCTION("""COMPUTED_VALUE"""),109131)</f>
        <v>109131</v>
      </c>
      <c r="C1348" s="14">
        <f ca="1">IFERROR(__xludf.DUMMYFUNCTION("""COMPUTED_VALUE"""),0)</f>
        <v>0</v>
      </c>
      <c r="D1348" s="12" t="str">
        <f ca="1">IFERROR(__xludf.DUMMYFUNCTION("""COMPUTED_VALUE"""),"成嶋 夏未")</f>
        <v>成嶋 夏未</v>
      </c>
    </row>
    <row r="1349" spans="2:4" ht="13">
      <c r="B1349" s="12">
        <f ca="1">IFERROR(__xludf.DUMMYFUNCTION("""COMPUTED_VALUE"""),109137)</f>
        <v>109137</v>
      </c>
      <c r="C1349" s="14">
        <f ca="1">IFERROR(__xludf.DUMMYFUNCTION("""COMPUTED_VALUE"""),43)</f>
        <v>43</v>
      </c>
      <c r="D1349" s="12" t="str">
        <f ca="1">IFERROR(__xludf.DUMMYFUNCTION("""COMPUTED_VALUE"""),"内丸 裕子")</f>
        <v>内丸 裕子</v>
      </c>
    </row>
    <row r="1350" spans="2:4" ht="13">
      <c r="B1350" s="12">
        <f ca="1">IFERROR(__xludf.DUMMYFUNCTION("""COMPUTED_VALUE"""),109138)</f>
        <v>109138</v>
      </c>
      <c r="C1350" s="14">
        <f ca="1">IFERROR(__xludf.DUMMYFUNCTION("""COMPUTED_VALUE"""),0)</f>
        <v>0</v>
      </c>
      <c r="D1350" s="12" t="str">
        <f ca="1">IFERROR(__xludf.DUMMYFUNCTION("""COMPUTED_VALUE"""),"小関 麻起")</f>
        <v>小関 麻起</v>
      </c>
    </row>
    <row r="1351" spans="2:4" ht="13">
      <c r="B1351" s="12">
        <f ca="1">IFERROR(__xludf.DUMMYFUNCTION("""COMPUTED_VALUE"""),109142)</f>
        <v>109142</v>
      </c>
      <c r="C1351" s="14">
        <f ca="1">IFERROR(__xludf.DUMMYFUNCTION("""COMPUTED_VALUE"""),0)</f>
        <v>0</v>
      </c>
      <c r="D1351" s="12" t="str">
        <f ca="1">IFERROR(__xludf.DUMMYFUNCTION("""COMPUTED_VALUE"""),"堀越 駿")</f>
        <v>堀越 駿</v>
      </c>
    </row>
    <row r="1352" spans="2:4" ht="13">
      <c r="B1352" s="12">
        <f ca="1">IFERROR(__xludf.DUMMYFUNCTION("""COMPUTED_VALUE"""),109146)</f>
        <v>109146</v>
      </c>
      <c r="C1352" s="14">
        <f ca="1">IFERROR(__xludf.DUMMYFUNCTION("""COMPUTED_VALUE"""),2)</f>
        <v>2</v>
      </c>
      <c r="D1352" s="12" t="str">
        <f ca="1">IFERROR(__xludf.DUMMYFUNCTION("""COMPUTED_VALUE"""),"長谷川 陸朗")</f>
        <v>長谷川 陸朗</v>
      </c>
    </row>
    <row r="1353" spans="2:4" ht="13">
      <c r="B1353" s="12">
        <f ca="1">IFERROR(__xludf.DUMMYFUNCTION("""COMPUTED_VALUE"""),109147)</f>
        <v>109147</v>
      </c>
      <c r="C1353" s="14">
        <f ca="1">IFERROR(__xludf.DUMMYFUNCTION("""COMPUTED_VALUE"""),21)</f>
        <v>21</v>
      </c>
      <c r="D1353" s="12" t="str">
        <f ca="1">IFERROR(__xludf.DUMMYFUNCTION("""COMPUTED_VALUE"""),"荻曽 克輝")</f>
        <v>荻曽 克輝</v>
      </c>
    </row>
    <row r="1354" spans="2:4" ht="13">
      <c r="B1354" s="12">
        <f ca="1">IFERROR(__xludf.DUMMYFUNCTION("""COMPUTED_VALUE"""),109158)</f>
        <v>109158</v>
      </c>
      <c r="C1354" s="14">
        <f ca="1">IFERROR(__xludf.DUMMYFUNCTION("""COMPUTED_VALUE"""),2)</f>
        <v>2</v>
      </c>
      <c r="D1354" s="12" t="str">
        <f ca="1">IFERROR(__xludf.DUMMYFUNCTION("""COMPUTED_VALUE"""),"松尾 尚樹")</f>
        <v>松尾 尚樹</v>
      </c>
    </row>
    <row r="1355" spans="2:4" ht="13">
      <c r="B1355" s="12">
        <f ca="1">IFERROR(__xludf.DUMMYFUNCTION("""COMPUTED_VALUE"""),109166)</f>
        <v>109166</v>
      </c>
      <c r="C1355" s="14">
        <f ca="1">IFERROR(__xludf.DUMMYFUNCTION("""COMPUTED_VALUE"""),0)</f>
        <v>0</v>
      </c>
      <c r="D1355" s="12" t="str">
        <f ca="1">IFERROR(__xludf.DUMMYFUNCTION("""COMPUTED_VALUE"""),"辻村 将大")</f>
        <v>辻村 将大</v>
      </c>
    </row>
    <row r="1356" spans="2:4" ht="13">
      <c r="B1356" s="12">
        <f ca="1">IFERROR(__xludf.DUMMYFUNCTION("""COMPUTED_VALUE"""),109169)</f>
        <v>109169</v>
      </c>
      <c r="C1356" s="14">
        <f ca="1">IFERROR(__xludf.DUMMYFUNCTION("""COMPUTED_VALUE"""),0)</f>
        <v>0</v>
      </c>
      <c r="D1356" s="12" t="str">
        <f ca="1">IFERROR(__xludf.DUMMYFUNCTION("""COMPUTED_VALUE"""),"松尾 尚樹")</f>
        <v>松尾 尚樹</v>
      </c>
    </row>
    <row r="1357" spans="2:4" ht="13">
      <c r="B1357" s="12">
        <f ca="1">IFERROR(__xludf.DUMMYFUNCTION("""COMPUTED_VALUE"""),109175)</f>
        <v>109175</v>
      </c>
      <c r="C1357" s="14">
        <f ca="1">IFERROR(__xludf.DUMMYFUNCTION("""COMPUTED_VALUE"""),1)</f>
        <v>1</v>
      </c>
      <c r="D1357" s="12" t="str">
        <f ca="1">IFERROR(__xludf.DUMMYFUNCTION("""COMPUTED_VALUE"""),"成嶋 夏未")</f>
        <v>成嶋 夏未</v>
      </c>
    </row>
    <row r="1358" spans="2:4" ht="13">
      <c r="B1358" s="12">
        <f ca="1">IFERROR(__xludf.DUMMYFUNCTION("""COMPUTED_VALUE"""),109177)</f>
        <v>109177</v>
      </c>
      <c r="C1358" s="14">
        <f ca="1">IFERROR(__xludf.DUMMYFUNCTION("""COMPUTED_VALUE"""),0)</f>
        <v>0</v>
      </c>
      <c r="D1358" s="12" t="str">
        <f ca="1">IFERROR(__xludf.DUMMYFUNCTION("""COMPUTED_VALUE"""),"老田 純輝")</f>
        <v>老田 純輝</v>
      </c>
    </row>
    <row r="1359" spans="2:4" ht="13">
      <c r="B1359" s="12">
        <f ca="1">IFERROR(__xludf.DUMMYFUNCTION("""COMPUTED_VALUE"""),109190)</f>
        <v>109190</v>
      </c>
      <c r="C1359" s="14">
        <f ca="1">IFERROR(__xludf.DUMMYFUNCTION("""COMPUTED_VALUE"""),13)</f>
        <v>13</v>
      </c>
      <c r="D1359" s="12" t="str">
        <f ca="1">IFERROR(__xludf.DUMMYFUNCTION("""COMPUTED_VALUE"""),"柿崎 晃司")</f>
        <v>柿崎 晃司</v>
      </c>
    </row>
    <row r="1360" spans="2:4" ht="13">
      <c r="B1360" s="12">
        <f ca="1">IFERROR(__xludf.DUMMYFUNCTION("""COMPUTED_VALUE"""),109197)</f>
        <v>109197</v>
      </c>
      <c r="C1360" s="14">
        <f ca="1">IFERROR(__xludf.DUMMYFUNCTION("""COMPUTED_VALUE"""),0)</f>
        <v>0</v>
      </c>
      <c r="D1360" s="12" t="str">
        <f ca="1">IFERROR(__xludf.DUMMYFUNCTION("""COMPUTED_VALUE"""),"松尾 尚樹")</f>
        <v>松尾 尚樹</v>
      </c>
    </row>
    <row r="1361" spans="2:4" ht="13">
      <c r="B1361" s="12">
        <f ca="1">IFERROR(__xludf.DUMMYFUNCTION("""COMPUTED_VALUE"""),109211)</f>
        <v>109211</v>
      </c>
      <c r="C1361" s="14">
        <f ca="1">IFERROR(__xludf.DUMMYFUNCTION("""COMPUTED_VALUE"""),0)</f>
        <v>0</v>
      </c>
      <c r="D1361" s="12" t="str">
        <f ca="1">IFERROR(__xludf.DUMMYFUNCTION("""COMPUTED_VALUE"""),"松尾 尚樹")</f>
        <v>松尾 尚樹</v>
      </c>
    </row>
    <row r="1362" spans="2:4" ht="13">
      <c r="B1362" s="12">
        <f ca="1">IFERROR(__xludf.DUMMYFUNCTION("""COMPUTED_VALUE"""),109218)</f>
        <v>109218</v>
      </c>
      <c r="C1362" s="14">
        <f ca="1">IFERROR(__xludf.DUMMYFUNCTION("""COMPUTED_VALUE"""),0)</f>
        <v>0</v>
      </c>
      <c r="D1362" s="12" t="str">
        <f ca="1">IFERROR(__xludf.DUMMYFUNCTION("""COMPUTED_VALUE"""),"松尾 尚樹")</f>
        <v>松尾 尚樹</v>
      </c>
    </row>
    <row r="1363" spans="2:4" ht="13">
      <c r="B1363" s="12">
        <f ca="1">IFERROR(__xludf.DUMMYFUNCTION("""COMPUTED_VALUE"""),109235)</f>
        <v>109235</v>
      </c>
      <c r="C1363" s="14">
        <f ca="1">IFERROR(__xludf.DUMMYFUNCTION("""COMPUTED_VALUE"""),8)</f>
        <v>8</v>
      </c>
      <c r="D1363" s="12" t="str">
        <f ca="1">IFERROR(__xludf.DUMMYFUNCTION("""COMPUTED_VALUE"""),"老田 純輝")</f>
        <v>老田 純輝</v>
      </c>
    </row>
    <row r="1364" spans="2:4" ht="13">
      <c r="B1364" s="12">
        <f ca="1">IFERROR(__xludf.DUMMYFUNCTION("""COMPUTED_VALUE"""),109245)</f>
        <v>109245</v>
      </c>
      <c r="C1364" s="14">
        <f ca="1">IFERROR(__xludf.DUMMYFUNCTION("""COMPUTED_VALUE"""),2)</f>
        <v>2</v>
      </c>
      <c r="D1364" s="12" t="str">
        <f ca="1">IFERROR(__xludf.DUMMYFUNCTION("""COMPUTED_VALUE"""),"松尾 尚樹")</f>
        <v>松尾 尚樹</v>
      </c>
    </row>
    <row r="1365" spans="2:4" ht="13">
      <c r="B1365" s="12">
        <f ca="1">IFERROR(__xludf.DUMMYFUNCTION("""COMPUTED_VALUE"""),109251)</f>
        <v>109251</v>
      </c>
      <c r="C1365" s="14">
        <f ca="1">IFERROR(__xludf.DUMMYFUNCTION("""COMPUTED_VALUE"""),13)</f>
        <v>13</v>
      </c>
      <c r="D1365" s="12" t="str">
        <f ca="1">IFERROR(__xludf.DUMMYFUNCTION("""COMPUTED_VALUE"""),"小関 麻起")</f>
        <v>小関 麻起</v>
      </c>
    </row>
    <row r="1366" spans="2:4" ht="13">
      <c r="B1366" s="12">
        <f ca="1">IFERROR(__xludf.DUMMYFUNCTION("""COMPUTED_VALUE"""),109252)</f>
        <v>109252</v>
      </c>
      <c r="C1366" s="14">
        <f ca="1">IFERROR(__xludf.DUMMYFUNCTION("""COMPUTED_VALUE"""),0)</f>
        <v>0</v>
      </c>
      <c r="D1366" s="12" t="str">
        <f ca="1">IFERROR(__xludf.DUMMYFUNCTION("""COMPUTED_VALUE"""),"小関 麻起")</f>
        <v>小関 麻起</v>
      </c>
    </row>
    <row r="1367" spans="2:4" ht="13">
      <c r="B1367" s="12">
        <f ca="1">IFERROR(__xludf.DUMMYFUNCTION("""COMPUTED_VALUE"""),109280)</f>
        <v>109280</v>
      </c>
      <c r="C1367" s="14">
        <f ca="1">IFERROR(__xludf.DUMMYFUNCTION("""COMPUTED_VALUE"""),10)</f>
        <v>10</v>
      </c>
      <c r="D1367" s="12" t="str">
        <f ca="1">IFERROR(__xludf.DUMMYFUNCTION("""COMPUTED_VALUE"""),"成嶋 夏未")</f>
        <v>成嶋 夏未</v>
      </c>
    </row>
    <row r="1368" spans="2:4" ht="13">
      <c r="B1368" s="12">
        <f ca="1">IFERROR(__xludf.DUMMYFUNCTION("""COMPUTED_VALUE"""),109281)</f>
        <v>109281</v>
      </c>
      <c r="C1368" s="14">
        <f ca="1">IFERROR(__xludf.DUMMYFUNCTION("""COMPUTED_VALUE"""),10)</f>
        <v>10</v>
      </c>
      <c r="D1368" s="12" t="str">
        <f ca="1">IFERROR(__xludf.DUMMYFUNCTION("""COMPUTED_VALUE"""),"成嶋 夏未")</f>
        <v>成嶋 夏未</v>
      </c>
    </row>
    <row r="1369" spans="2:4" ht="13">
      <c r="B1369" s="12">
        <f ca="1">IFERROR(__xludf.DUMMYFUNCTION("""COMPUTED_VALUE"""),109285)</f>
        <v>109285</v>
      </c>
      <c r="C1369" s="14">
        <f ca="1">IFERROR(__xludf.DUMMYFUNCTION("""COMPUTED_VALUE"""),0)</f>
        <v>0</v>
      </c>
      <c r="D1369" s="12" t="str">
        <f ca="1">IFERROR(__xludf.DUMMYFUNCTION("""COMPUTED_VALUE"""),"老田 純輝")</f>
        <v>老田 純輝</v>
      </c>
    </row>
    <row r="1370" spans="2:4" ht="13">
      <c r="B1370" s="12">
        <f ca="1">IFERROR(__xludf.DUMMYFUNCTION("""COMPUTED_VALUE"""),109288)</f>
        <v>109288</v>
      </c>
      <c r="C1370" s="14">
        <f ca="1">IFERROR(__xludf.DUMMYFUNCTION("""COMPUTED_VALUE"""),17)</f>
        <v>17</v>
      </c>
      <c r="D1370" s="12" t="str">
        <f ca="1">IFERROR(__xludf.DUMMYFUNCTION("""COMPUTED_VALUE"""),"奥野 貴大")</f>
        <v>奥野 貴大</v>
      </c>
    </row>
    <row r="1371" spans="2:4" ht="13">
      <c r="B1371" s="12">
        <f ca="1">IFERROR(__xludf.DUMMYFUNCTION("""COMPUTED_VALUE"""),109304)</f>
        <v>109304</v>
      </c>
      <c r="C1371" s="14">
        <f ca="1">IFERROR(__xludf.DUMMYFUNCTION("""COMPUTED_VALUE"""),4)</f>
        <v>4</v>
      </c>
      <c r="D1371" s="12" t="str">
        <f ca="1">IFERROR(__xludf.DUMMYFUNCTION("""COMPUTED_VALUE"""),"成嶋 夏未")</f>
        <v>成嶋 夏未</v>
      </c>
    </row>
    <row r="1372" spans="2:4" ht="13">
      <c r="B1372" s="12">
        <f ca="1">IFERROR(__xludf.DUMMYFUNCTION("""COMPUTED_VALUE"""),109306)</f>
        <v>109306</v>
      </c>
      <c r="C1372" s="14">
        <f ca="1">IFERROR(__xludf.DUMMYFUNCTION("""COMPUTED_VALUE"""),2)</f>
        <v>2</v>
      </c>
      <c r="D1372" s="12" t="str">
        <f ca="1">IFERROR(__xludf.DUMMYFUNCTION("""COMPUTED_VALUE"""),"長谷川 陸朗")</f>
        <v>長谷川 陸朗</v>
      </c>
    </row>
    <row r="1373" spans="2:4" ht="13">
      <c r="B1373" s="12">
        <f ca="1">IFERROR(__xludf.DUMMYFUNCTION("""COMPUTED_VALUE"""),109316)</f>
        <v>109316</v>
      </c>
      <c r="C1373" s="14">
        <f ca="1">IFERROR(__xludf.DUMMYFUNCTION("""COMPUTED_VALUE"""),0)</f>
        <v>0</v>
      </c>
      <c r="D1373" s="12" t="str">
        <f ca="1">IFERROR(__xludf.DUMMYFUNCTION("""COMPUTED_VALUE"""),"菅野 ぎんが")</f>
        <v>菅野 ぎんが</v>
      </c>
    </row>
    <row r="1374" spans="2:4" ht="13">
      <c r="B1374" s="12">
        <f ca="1">IFERROR(__xludf.DUMMYFUNCTION("""COMPUTED_VALUE"""),109319)</f>
        <v>109319</v>
      </c>
      <c r="C1374" s="14">
        <f ca="1">IFERROR(__xludf.DUMMYFUNCTION("""COMPUTED_VALUE"""),3)</f>
        <v>3</v>
      </c>
      <c r="D1374" s="12" t="str">
        <f ca="1">IFERROR(__xludf.DUMMYFUNCTION("""COMPUTED_VALUE"""),"辻村 将大")</f>
        <v>辻村 将大</v>
      </c>
    </row>
    <row r="1375" spans="2:4" ht="13">
      <c r="B1375" s="12">
        <f ca="1">IFERROR(__xludf.DUMMYFUNCTION("""COMPUTED_VALUE"""),109321)</f>
        <v>109321</v>
      </c>
      <c r="C1375" s="14">
        <f ca="1">IFERROR(__xludf.DUMMYFUNCTION("""COMPUTED_VALUE"""),9)</f>
        <v>9</v>
      </c>
      <c r="D1375" s="12" t="str">
        <f ca="1">IFERROR(__xludf.DUMMYFUNCTION("""COMPUTED_VALUE"""),"辻村 将大")</f>
        <v>辻村 将大</v>
      </c>
    </row>
    <row r="1376" spans="2:4" ht="13">
      <c r="B1376" s="12">
        <f ca="1">IFERROR(__xludf.DUMMYFUNCTION("""COMPUTED_VALUE"""),109344)</f>
        <v>109344</v>
      </c>
      <c r="C1376" s="14">
        <f ca="1">IFERROR(__xludf.DUMMYFUNCTION("""COMPUTED_VALUE"""),1)</f>
        <v>1</v>
      </c>
      <c r="D1376" s="12" t="str">
        <f ca="1">IFERROR(__xludf.DUMMYFUNCTION("""COMPUTED_VALUE"""),"村上 浩一朗")</f>
        <v>村上 浩一朗</v>
      </c>
    </row>
    <row r="1377" spans="2:4" ht="13">
      <c r="B1377" s="12">
        <f ca="1">IFERROR(__xludf.DUMMYFUNCTION("""COMPUTED_VALUE"""),109347)</f>
        <v>109347</v>
      </c>
      <c r="C1377" s="14">
        <f ca="1">IFERROR(__xludf.DUMMYFUNCTION("""COMPUTED_VALUE"""),1)</f>
        <v>1</v>
      </c>
      <c r="D1377" s="12" t="str">
        <f ca="1">IFERROR(__xludf.DUMMYFUNCTION("""COMPUTED_VALUE"""),"川島 幹也")</f>
        <v>川島 幹也</v>
      </c>
    </row>
    <row r="1378" spans="2:4" ht="13">
      <c r="B1378" s="12">
        <f ca="1">IFERROR(__xludf.DUMMYFUNCTION("""COMPUTED_VALUE"""),109349)</f>
        <v>109349</v>
      </c>
      <c r="C1378" s="14">
        <f ca="1">IFERROR(__xludf.DUMMYFUNCTION("""COMPUTED_VALUE"""),4)</f>
        <v>4</v>
      </c>
      <c r="D1378" s="12" t="str">
        <f ca="1">IFERROR(__xludf.DUMMYFUNCTION("""COMPUTED_VALUE"""),"堀越 駿")</f>
        <v>堀越 駿</v>
      </c>
    </row>
    <row r="1379" spans="2:4" ht="13">
      <c r="B1379" s="12">
        <f ca="1">IFERROR(__xludf.DUMMYFUNCTION("""COMPUTED_VALUE"""),109364)</f>
        <v>109364</v>
      </c>
      <c r="C1379" s="14">
        <f ca="1">IFERROR(__xludf.DUMMYFUNCTION("""COMPUTED_VALUE"""),7)</f>
        <v>7</v>
      </c>
      <c r="D1379" s="12" t="str">
        <f ca="1">IFERROR(__xludf.DUMMYFUNCTION("""COMPUTED_VALUE"""),"小川 純")</f>
        <v>小川 純</v>
      </c>
    </row>
    <row r="1380" spans="2:4" ht="13">
      <c r="B1380" s="12">
        <f ca="1">IFERROR(__xludf.DUMMYFUNCTION("""COMPUTED_VALUE"""),109365)</f>
        <v>109365</v>
      </c>
      <c r="C1380" s="14">
        <f ca="1">IFERROR(__xludf.DUMMYFUNCTION("""COMPUTED_VALUE"""),16)</f>
        <v>16</v>
      </c>
      <c r="D1380" s="12" t="str">
        <f ca="1">IFERROR(__xludf.DUMMYFUNCTION("""COMPUTED_VALUE"""),"小川 純")</f>
        <v>小川 純</v>
      </c>
    </row>
    <row r="1381" spans="2:4" ht="13">
      <c r="B1381" s="12">
        <f ca="1">IFERROR(__xludf.DUMMYFUNCTION("""COMPUTED_VALUE"""),109366)</f>
        <v>109366</v>
      </c>
      <c r="C1381" s="14">
        <f ca="1">IFERROR(__xludf.DUMMYFUNCTION("""COMPUTED_VALUE"""),11)</f>
        <v>11</v>
      </c>
      <c r="D1381" s="12" t="str">
        <f ca="1">IFERROR(__xludf.DUMMYFUNCTION("""COMPUTED_VALUE"""),"小川 純")</f>
        <v>小川 純</v>
      </c>
    </row>
    <row r="1382" spans="2:4" ht="13">
      <c r="B1382" s="12">
        <f ca="1">IFERROR(__xludf.DUMMYFUNCTION("""COMPUTED_VALUE"""),109367)</f>
        <v>109367</v>
      </c>
      <c r="C1382" s="14">
        <f ca="1">IFERROR(__xludf.DUMMYFUNCTION("""COMPUTED_VALUE"""),6)</f>
        <v>6</v>
      </c>
      <c r="D1382" s="12" t="str">
        <f ca="1">IFERROR(__xludf.DUMMYFUNCTION("""COMPUTED_VALUE"""),"小川 純")</f>
        <v>小川 純</v>
      </c>
    </row>
    <row r="1383" spans="2:4" ht="13">
      <c r="B1383" s="12">
        <f ca="1">IFERROR(__xludf.DUMMYFUNCTION("""COMPUTED_VALUE"""),109386)</f>
        <v>109386</v>
      </c>
      <c r="C1383" s="14">
        <f ca="1">IFERROR(__xludf.DUMMYFUNCTION("""COMPUTED_VALUE"""),0)</f>
        <v>0</v>
      </c>
      <c r="D1383" s="12" t="str">
        <f ca="1">IFERROR(__xludf.DUMMYFUNCTION("""COMPUTED_VALUE"""),"芳賀 亮輔")</f>
        <v>芳賀 亮輔</v>
      </c>
    </row>
    <row r="1384" spans="2:4" ht="13">
      <c r="B1384" s="12">
        <f ca="1">IFERROR(__xludf.DUMMYFUNCTION("""COMPUTED_VALUE"""),109412)</f>
        <v>109412</v>
      </c>
      <c r="C1384" s="14">
        <f ca="1">IFERROR(__xludf.DUMMYFUNCTION("""COMPUTED_VALUE"""),11)</f>
        <v>11</v>
      </c>
      <c r="D1384" s="12" t="str">
        <f ca="1">IFERROR(__xludf.DUMMYFUNCTION("""COMPUTED_VALUE"""),"小関 麻起")</f>
        <v>小関 麻起</v>
      </c>
    </row>
    <row r="1385" spans="2:4" ht="13">
      <c r="B1385" s="12">
        <f ca="1">IFERROR(__xludf.DUMMYFUNCTION("""COMPUTED_VALUE"""),109421)</f>
        <v>109421</v>
      </c>
      <c r="C1385" s="14">
        <f ca="1">IFERROR(__xludf.DUMMYFUNCTION("""COMPUTED_VALUE"""),0)</f>
        <v>0</v>
      </c>
      <c r="D1385" s="12" t="str">
        <f ca="1">IFERROR(__xludf.DUMMYFUNCTION("""COMPUTED_VALUE"""),"稲場 勇介")</f>
        <v>稲場 勇介</v>
      </c>
    </row>
    <row r="1386" spans="2:4" ht="13">
      <c r="B1386" s="12">
        <f ca="1">IFERROR(__xludf.DUMMYFUNCTION("""COMPUTED_VALUE"""),109428)</f>
        <v>109428</v>
      </c>
      <c r="C1386" s="14">
        <f ca="1">IFERROR(__xludf.DUMMYFUNCTION("""COMPUTED_VALUE"""),0)</f>
        <v>0</v>
      </c>
      <c r="D1386" s="12" t="str">
        <f ca="1">IFERROR(__xludf.DUMMYFUNCTION("""COMPUTED_VALUE"""),"稲場 勇介")</f>
        <v>稲場 勇介</v>
      </c>
    </row>
    <row r="1387" spans="2:4" ht="13">
      <c r="B1387" s="12">
        <f ca="1">IFERROR(__xludf.DUMMYFUNCTION("""COMPUTED_VALUE"""),109432)</f>
        <v>109432</v>
      </c>
      <c r="C1387" s="14">
        <f ca="1">IFERROR(__xludf.DUMMYFUNCTION("""COMPUTED_VALUE"""),0)</f>
        <v>0</v>
      </c>
      <c r="D1387" s="12" t="str">
        <f ca="1">IFERROR(__xludf.DUMMYFUNCTION("""COMPUTED_VALUE"""),"成嶋 夏未")</f>
        <v>成嶋 夏未</v>
      </c>
    </row>
    <row r="1388" spans="2:4" ht="13">
      <c r="B1388" s="12">
        <f ca="1">IFERROR(__xludf.DUMMYFUNCTION("""COMPUTED_VALUE"""),109437)</f>
        <v>109437</v>
      </c>
      <c r="C1388" s="14">
        <f ca="1">IFERROR(__xludf.DUMMYFUNCTION("""COMPUTED_VALUE"""),0)</f>
        <v>0</v>
      </c>
      <c r="D1388" s="12" t="str">
        <f ca="1">IFERROR(__xludf.DUMMYFUNCTION("""COMPUTED_VALUE"""),"荻曽 克輝")</f>
        <v>荻曽 克輝</v>
      </c>
    </row>
    <row r="1389" spans="2:4" ht="13">
      <c r="B1389" s="12">
        <f ca="1">IFERROR(__xludf.DUMMYFUNCTION("""COMPUTED_VALUE"""),109446)</f>
        <v>109446</v>
      </c>
      <c r="C1389" s="14">
        <f ca="1">IFERROR(__xludf.DUMMYFUNCTION("""COMPUTED_VALUE"""),1)</f>
        <v>1</v>
      </c>
      <c r="D1389" s="12" t="str">
        <f ca="1">IFERROR(__xludf.DUMMYFUNCTION("""COMPUTED_VALUE"""),"小関 麻起")</f>
        <v>小関 麻起</v>
      </c>
    </row>
    <row r="1390" spans="2:4" ht="13">
      <c r="B1390" s="12">
        <f ca="1">IFERROR(__xludf.DUMMYFUNCTION("""COMPUTED_VALUE"""),109451)</f>
        <v>109451</v>
      </c>
      <c r="C1390" s="14">
        <f ca="1">IFERROR(__xludf.DUMMYFUNCTION("""COMPUTED_VALUE"""),24)</f>
        <v>24</v>
      </c>
      <c r="D1390" s="12" t="str">
        <f ca="1">IFERROR(__xludf.DUMMYFUNCTION("""COMPUTED_VALUE"""),"奥野 貴大")</f>
        <v>奥野 貴大</v>
      </c>
    </row>
    <row r="1391" spans="2:4" ht="13">
      <c r="B1391" s="12">
        <f ca="1">IFERROR(__xludf.DUMMYFUNCTION("""COMPUTED_VALUE"""),109460)</f>
        <v>109460</v>
      </c>
      <c r="C1391" s="14">
        <f ca="1">IFERROR(__xludf.DUMMYFUNCTION("""COMPUTED_VALUE"""),0)</f>
        <v>0</v>
      </c>
      <c r="D1391" s="12" t="str">
        <f ca="1">IFERROR(__xludf.DUMMYFUNCTION("""COMPUTED_VALUE"""),"辻村 将大")</f>
        <v>辻村 将大</v>
      </c>
    </row>
    <row r="1392" spans="2:4" ht="13">
      <c r="B1392" s="12">
        <f ca="1">IFERROR(__xludf.DUMMYFUNCTION("""COMPUTED_VALUE"""),109463)</f>
        <v>109463</v>
      </c>
      <c r="C1392" s="14">
        <f ca="1">IFERROR(__xludf.DUMMYFUNCTION("""COMPUTED_VALUE"""),12)</f>
        <v>12</v>
      </c>
      <c r="D1392" s="12" t="str">
        <f ca="1">IFERROR(__xludf.DUMMYFUNCTION("""COMPUTED_VALUE"""),"桐山 勝気")</f>
        <v>桐山 勝気</v>
      </c>
    </row>
    <row r="1393" spans="2:4" ht="13">
      <c r="B1393" s="12">
        <f ca="1">IFERROR(__xludf.DUMMYFUNCTION("""COMPUTED_VALUE"""),109468)</f>
        <v>109468</v>
      </c>
      <c r="C1393" s="14">
        <f ca="1">IFERROR(__xludf.DUMMYFUNCTION("""COMPUTED_VALUE"""),0)</f>
        <v>0</v>
      </c>
      <c r="D1393" s="12" t="str">
        <f ca="1">IFERROR(__xludf.DUMMYFUNCTION("""COMPUTED_VALUE"""),"長谷川 陸朗")</f>
        <v>長谷川 陸朗</v>
      </c>
    </row>
    <row r="1394" spans="2:4" ht="13">
      <c r="B1394" s="12">
        <f ca="1">IFERROR(__xludf.DUMMYFUNCTION("""COMPUTED_VALUE"""),109475)</f>
        <v>109475</v>
      </c>
      <c r="C1394" s="14">
        <f ca="1">IFERROR(__xludf.DUMMYFUNCTION("""COMPUTED_VALUE"""),4)</f>
        <v>4</v>
      </c>
      <c r="D1394" s="12" t="str">
        <f ca="1">IFERROR(__xludf.DUMMYFUNCTION("""COMPUTED_VALUE"""),"芳賀 亮輔")</f>
        <v>芳賀 亮輔</v>
      </c>
    </row>
    <row r="1395" spans="2:4" ht="13">
      <c r="B1395" s="12">
        <f ca="1">IFERROR(__xludf.DUMMYFUNCTION("""COMPUTED_VALUE"""),109476)</f>
        <v>109476</v>
      </c>
      <c r="C1395" s="14">
        <f ca="1">IFERROR(__xludf.DUMMYFUNCTION("""COMPUTED_VALUE"""),23)</f>
        <v>23</v>
      </c>
      <c r="D1395" s="12" t="str">
        <f ca="1">IFERROR(__xludf.DUMMYFUNCTION("""COMPUTED_VALUE"""),"渋谷 雄大")</f>
        <v>渋谷 雄大</v>
      </c>
    </row>
    <row r="1396" spans="2:4" ht="13">
      <c r="B1396" s="12">
        <f ca="1">IFERROR(__xludf.DUMMYFUNCTION("""COMPUTED_VALUE"""),109479)</f>
        <v>109479</v>
      </c>
      <c r="C1396" s="14">
        <f ca="1">IFERROR(__xludf.DUMMYFUNCTION("""COMPUTED_VALUE"""),0)</f>
        <v>0</v>
      </c>
      <c r="D1396" s="12" t="str">
        <f ca="1">IFERROR(__xludf.DUMMYFUNCTION("""COMPUTED_VALUE"""),"渋谷 雄大")</f>
        <v>渋谷 雄大</v>
      </c>
    </row>
    <row r="1397" spans="2:4" ht="13">
      <c r="B1397" s="12">
        <f ca="1">IFERROR(__xludf.DUMMYFUNCTION("""COMPUTED_VALUE"""),109481)</f>
        <v>109481</v>
      </c>
      <c r="C1397" s="14">
        <f ca="1">IFERROR(__xludf.DUMMYFUNCTION("""COMPUTED_VALUE"""),2)</f>
        <v>2</v>
      </c>
      <c r="D1397" s="12" t="str">
        <f ca="1">IFERROR(__xludf.DUMMYFUNCTION("""COMPUTED_VALUE"""),"渋谷 雄大")</f>
        <v>渋谷 雄大</v>
      </c>
    </row>
    <row r="1398" spans="2:4" ht="13">
      <c r="B1398" s="12">
        <f ca="1">IFERROR(__xludf.DUMMYFUNCTION("""COMPUTED_VALUE"""),109507)</f>
        <v>109507</v>
      </c>
      <c r="C1398" s="14">
        <f ca="1">IFERROR(__xludf.DUMMYFUNCTION("""COMPUTED_VALUE"""),59)</f>
        <v>59</v>
      </c>
      <c r="D1398" s="12" t="str">
        <f ca="1">IFERROR(__xludf.DUMMYFUNCTION("""COMPUTED_VALUE"""),"奥野 貴大")</f>
        <v>奥野 貴大</v>
      </c>
    </row>
    <row r="1399" spans="2:4" ht="13">
      <c r="B1399" s="12">
        <f ca="1">IFERROR(__xludf.DUMMYFUNCTION("""COMPUTED_VALUE"""),109515)</f>
        <v>109515</v>
      </c>
      <c r="C1399" s="14">
        <f ca="1">IFERROR(__xludf.DUMMYFUNCTION("""COMPUTED_VALUE"""),0)</f>
        <v>0</v>
      </c>
      <c r="D1399" s="12" t="str">
        <f ca="1">IFERROR(__xludf.DUMMYFUNCTION("""COMPUTED_VALUE"""),"長谷川 陸朗")</f>
        <v>長谷川 陸朗</v>
      </c>
    </row>
    <row r="1400" spans="2:4" ht="13">
      <c r="B1400" s="12">
        <f ca="1">IFERROR(__xludf.DUMMYFUNCTION("""COMPUTED_VALUE"""),109532)</f>
        <v>109532</v>
      </c>
      <c r="C1400" s="14">
        <f ca="1">IFERROR(__xludf.DUMMYFUNCTION("""COMPUTED_VALUE"""),2)</f>
        <v>2</v>
      </c>
      <c r="D1400" s="12" t="str">
        <f ca="1">IFERROR(__xludf.DUMMYFUNCTION("""COMPUTED_VALUE"""),"田嶋 将太")</f>
        <v>田嶋 将太</v>
      </c>
    </row>
    <row r="1401" spans="2:4" ht="13">
      <c r="B1401" s="12">
        <f ca="1">IFERROR(__xludf.DUMMYFUNCTION("""COMPUTED_VALUE"""),109537)</f>
        <v>109537</v>
      </c>
      <c r="C1401" s="14">
        <f ca="1">IFERROR(__xludf.DUMMYFUNCTION("""COMPUTED_VALUE"""),0)</f>
        <v>0</v>
      </c>
      <c r="D1401" s="12" t="str">
        <f ca="1">IFERROR(__xludf.DUMMYFUNCTION("""COMPUTED_VALUE"""),"松尾 尚樹")</f>
        <v>松尾 尚樹</v>
      </c>
    </row>
    <row r="1402" spans="2:4" ht="13">
      <c r="B1402" s="12">
        <f ca="1">IFERROR(__xludf.DUMMYFUNCTION("""COMPUTED_VALUE"""),109542)</f>
        <v>109542</v>
      </c>
      <c r="C1402" s="14">
        <f ca="1">IFERROR(__xludf.DUMMYFUNCTION("""COMPUTED_VALUE"""),1)</f>
        <v>1</v>
      </c>
      <c r="D1402" s="12" t="str">
        <f ca="1">IFERROR(__xludf.DUMMYFUNCTION("""COMPUTED_VALUE"""),"荻曽 克輝")</f>
        <v>荻曽 克輝</v>
      </c>
    </row>
    <row r="1403" spans="2:4" ht="13">
      <c r="B1403" s="12">
        <f ca="1">IFERROR(__xludf.DUMMYFUNCTION("""COMPUTED_VALUE"""),109555)</f>
        <v>109555</v>
      </c>
      <c r="C1403" s="14">
        <f ca="1">IFERROR(__xludf.DUMMYFUNCTION("""COMPUTED_VALUE"""),0)</f>
        <v>0</v>
      </c>
      <c r="D1403" s="12" t="str">
        <f ca="1">IFERROR(__xludf.DUMMYFUNCTION("""COMPUTED_VALUE"""),"松尾 尚樹")</f>
        <v>松尾 尚樹</v>
      </c>
    </row>
    <row r="1404" spans="2:4" ht="13">
      <c r="B1404" s="12">
        <f ca="1">IFERROR(__xludf.DUMMYFUNCTION("""COMPUTED_VALUE"""),109562)</f>
        <v>109562</v>
      </c>
      <c r="C1404" s="14">
        <f ca="1">IFERROR(__xludf.DUMMYFUNCTION("""COMPUTED_VALUE"""),0)</f>
        <v>0</v>
      </c>
      <c r="D1404" s="12" t="str">
        <f ca="1">IFERROR(__xludf.DUMMYFUNCTION("""COMPUTED_VALUE"""),"成嶋 夏未")</f>
        <v>成嶋 夏未</v>
      </c>
    </row>
    <row r="1405" spans="2:4" ht="13">
      <c r="B1405" s="12">
        <f ca="1">IFERROR(__xludf.DUMMYFUNCTION("""COMPUTED_VALUE"""),109580)</f>
        <v>109580</v>
      </c>
      <c r="C1405" s="14">
        <f ca="1">IFERROR(__xludf.DUMMYFUNCTION("""COMPUTED_VALUE"""),0)</f>
        <v>0</v>
      </c>
      <c r="D1405" s="12" t="str">
        <f ca="1">IFERROR(__xludf.DUMMYFUNCTION("""COMPUTED_VALUE"""),"栗原 大武")</f>
        <v>栗原 大武</v>
      </c>
    </row>
    <row r="1406" spans="2:4" ht="13">
      <c r="B1406" s="12">
        <f ca="1">IFERROR(__xludf.DUMMYFUNCTION("""COMPUTED_VALUE"""),109593)</f>
        <v>109593</v>
      </c>
      <c r="C1406" s="14">
        <f ca="1">IFERROR(__xludf.DUMMYFUNCTION("""COMPUTED_VALUE"""),0)</f>
        <v>0</v>
      </c>
      <c r="D1406" s="12" t="str">
        <f ca="1">IFERROR(__xludf.DUMMYFUNCTION("""COMPUTED_VALUE"""),"成嶋 夏未")</f>
        <v>成嶋 夏未</v>
      </c>
    </row>
    <row r="1407" spans="2:4" ht="13">
      <c r="B1407" s="12">
        <f ca="1">IFERROR(__xludf.DUMMYFUNCTION("""COMPUTED_VALUE"""),109596)</f>
        <v>109596</v>
      </c>
      <c r="C1407" s="14">
        <f ca="1">IFERROR(__xludf.DUMMYFUNCTION("""COMPUTED_VALUE"""),0)</f>
        <v>0</v>
      </c>
      <c r="D1407" s="12" t="str">
        <f ca="1">IFERROR(__xludf.DUMMYFUNCTION("""COMPUTED_VALUE"""),"成嶋 夏未")</f>
        <v>成嶋 夏未</v>
      </c>
    </row>
    <row r="1408" spans="2:4" ht="13">
      <c r="B1408" s="12">
        <f ca="1">IFERROR(__xludf.DUMMYFUNCTION("""COMPUTED_VALUE"""),109629)</f>
        <v>109629</v>
      </c>
      <c r="C1408" s="14">
        <f ca="1">IFERROR(__xludf.DUMMYFUNCTION("""COMPUTED_VALUE"""),0)</f>
        <v>0</v>
      </c>
      <c r="D1408" s="12" t="str">
        <f ca="1">IFERROR(__xludf.DUMMYFUNCTION("""COMPUTED_VALUE"""),"小関 麻起")</f>
        <v>小関 麻起</v>
      </c>
    </row>
    <row r="1409" spans="2:4" ht="13">
      <c r="B1409" s="12">
        <f ca="1">IFERROR(__xludf.DUMMYFUNCTION("""COMPUTED_VALUE"""),109630)</f>
        <v>109630</v>
      </c>
      <c r="C1409" s="14">
        <f ca="1">IFERROR(__xludf.DUMMYFUNCTION("""COMPUTED_VALUE"""),0)</f>
        <v>0</v>
      </c>
      <c r="D1409" s="12" t="str">
        <f ca="1">IFERROR(__xludf.DUMMYFUNCTION("""COMPUTED_VALUE"""),"菅野 ぎんが")</f>
        <v>菅野 ぎんが</v>
      </c>
    </row>
    <row r="1410" spans="2:4" ht="13">
      <c r="B1410" s="12">
        <f ca="1">IFERROR(__xludf.DUMMYFUNCTION("""COMPUTED_VALUE"""),109637)</f>
        <v>109637</v>
      </c>
      <c r="C1410" s="14">
        <f ca="1">IFERROR(__xludf.DUMMYFUNCTION("""COMPUTED_VALUE"""),6)</f>
        <v>6</v>
      </c>
      <c r="D1410" s="12" t="str">
        <f ca="1">IFERROR(__xludf.DUMMYFUNCTION("""COMPUTED_VALUE"""),"桑原 明子")</f>
        <v>桑原 明子</v>
      </c>
    </row>
    <row r="1411" spans="2:4" ht="13">
      <c r="B1411" s="12">
        <f ca="1">IFERROR(__xludf.DUMMYFUNCTION("""COMPUTED_VALUE"""),109654)</f>
        <v>109654</v>
      </c>
      <c r="C1411" s="14">
        <f ca="1">IFERROR(__xludf.DUMMYFUNCTION("""COMPUTED_VALUE"""),2)</f>
        <v>2</v>
      </c>
      <c r="D1411" s="12" t="str">
        <f ca="1">IFERROR(__xludf.DUMMYFUNCTION("""COMPUTED_VALUE"""),"長谷川 陸朗")</f>
        <v>長谷川 陸朗</v>
      </c>
    </row>
    <row r="1412" spans="2:4" ht="13">
      <c r="B1412" s="12">
        <f ca="1">IFERROR(__xludf.DUMMYFUNCTION("""COMPUTED_VALUE"""),109665)</f>
        <v>109665</v>
      </c>
      <c r="C1412" s="14">
        <f ca="1">IFERROR(__xludf.DUMMYFUNCTION("""COMPUTED_VALUE"""),0)</f>
        <v>0</v>
      </c>
      <c r="D1412" s="12" t="str">
        <f ca="1">IFERROR(__xludf.DUMMYFUNCTION("""COMPUTED_VALUE"""),"稲場 勇介")</f>
        <v>稲場 勇介</v>
      </c>
    </row>
    <row r="1413" spans="2:4" ht="13">
      <c r="B1413" s="12">
        <f ca="1">IFERROR(__xludf.DUMMYFUNCTION("""COMPUTED_VALUE"""),109670)</f>
        <v>109670</v>
      </c>
      <c r="C1413" s="14">
        <f ca="1">IFERROR(__xludf.DUMMYFUNCTION("""COMPUTED_VALUE"""),2)</f>
        <v>2</v>
      </c>
      <c r="D1413" s="12" t="str">
        <f ca="1">IFERROR(__xludf.DUMMYFUNCTION("""COMPUTED_VALUE"""),"松尾 尚樹")</f>
        <v>松尾 尚樹</v>
      </c>
    </row>
    <row r="1414" spans="2:4" ht="13">
      <c r="B1414" s="12">
        <f ca="1">IFERROR(__xludf.DUMMYFUNCTION("""COMPUTED_VALUE"""),109682)</f>
        <v>109682</v>
      </c>
      <c r="C1414" s="14">
        <f ca="1">IFERROR(__xludf.DUMMYFUNCTION("""COMPUTED_VALUE"""),3)</f>
        <v>3</v>
      </c>
      <c r="D1414" s="12" t="str">
        <f ca="1">IFERROR(__xludf.DUMMYFUNCTION("""COMPUTED_VALUE"""),"栗原 大武")</f>
        <v>栗原 大武</v>
      </c>
    </row>
    <row r="1415" spans="2:4" ht="13">
      <c r="B1415" s="12">
        <f ca="1">IFERROR(__xludf.DUMMYFUNCTION("""COMPUTED_VALUE"""),109686)</f>
        <v>109686</v>
      </c>
      <c r="C1415" s="14">
        <f ca="1">IFERROR(__xludf.DUMMYFUNCTION("""COMPUTED_VALUE"""),0)</f>
        <v>0</v>
      </c>
      <c r="D1415" s="12" t="str">
        <f ca="1">IFERROR(__xludf.DUMMYFUNCTION("""COMPUTED_VALUE"""),"松尾 尚樹")</f>
        <v>松尾 尚樹</v>
      </c>
    </row>
    <row r="1416" spans="2:4" ht="13">
      <c r="B1416" s="12">
        <f ca="1">IFERROR(__xludf.DUMMYFUNCTION("""COMPUTED_VALUE"""),109698)</f>
        <v>109698</v>
      </c>
      <c r="C1416" s="14">
        <f ca="1">IFERROR(__xludf.DUMMYFUNCTION("""COMPUTED_VALUE"""),18)</f>
        <v>18</v>
      </c>
      <c r="D1416" s="12" t="str">
        <f ca="1">IFERROR(__xludf.DUMMYFUNCTION("""COMPUTED_VALUE"""),"稲場 勇介")</f>
        <v>稲場 勇介</v>
      </c>
    </row>
    <row r="1417" spans="2:4" ht="13">
      <c r="B1417" s="12">
        <f ca="1">IFERROR(__xludf.DUMMYFUNCTION("""COMPUTED_VALUE"""),109705)</f>
        <v>109705</v>
      </c>
      <c r="C1417" s="14">
        <f ca="1">IFERROR(__xludf.DUMMYFUNCTION("""COMPUTED_VALUE"""),1)</f>
        <v>1</v>
      </c>
      <c r="D1417" s="12" t="str">
        <f ca="1">IFERROR(__xludf.DUMMYFUNCTION("""COMPUTED_VALUE"""),"松尾 尚樹")</f>
        <v>松尾 尚樹</v>
      </c>
    </row>
    <row r="1418" spans="2:4" ht="13">
      <c r="B1418" s="12">
        <f ca="1">IFERROR(__xludf.DUMMYFUNCTION("""COMPUTED_VALUE"""),109706)</f>
        <v>109706</v>
      </c>
      <c r="C1418" s="14">
        <f ca="1">IFERROR(__xludf.DUMMYFUNCTION("""COMPUTED_VALUE"""),1)</f>
        <v>1</v>
      </c>
      <c r="D1418" s="12" t="str">
        <f ca="1">IFERROR(__xludf.DUMMYFUNCTION("""COMPUTED_VALUE"""),"松尾 尚樹")</f>
        <v>松尾 尚樹</v>
      </c>
    </row>
    <row r="1419" spans="2:4" ht="13">
      <c r="B1419" s="12">
        <f ca="1">IFERROR(__xludf.DUMMYFUNCTION("""COMPUTED_VALUE"""),109754)</f>
        <v>109754</v>
      </c>
      <c r="C1419" s="14">
        <f ca="1">IFERROR(__xludf.DUMMYFUNCTION("""COMPUTED_VALUE"""),1)</f>
        <v>1</v>
      </c>
      <c r="D1419" s="12" t="str">
        <f ca="1">IFERROR(__xludf.DUMMYFUNCTION("""COMPUTED_VALUE"""),"辻村 将大")</f>
        <v>辻村 将大</v>
      </c>
    </row>
    <row r="1420" spans="2:4" ht="13">
      <c r="B1420" s="12">
        <f ca="1">IFERROR(__xludf.DUMMYFUNCTION("""COMPUTED_VALUE"""),109762)</f>
        <v>109762</v>
      </c>
      <c r="C1420" s="14">
        <f ca="1">IFERROR(__xludf.DUMMYFUNCTION("""COMPUTED_VALUE"""),12)</f>
        <v>12</v>
      </c>
      <c r="D1420" s="12" t="str">
        <f ca="1">IFERROR(__xludf.DUMMYFUNCTION("""COMPUTED_VALUE"""),"小関 麻起")</f>
        <v>小関 麻起</v>
      </c>
    </row>
    <row r="1421" spans="2:4" ht="13">
      <c r="B1421" s="12">
        <f ca="1">IFERROR(__xludf.DUMMYFUNCTION("""COMPUTED_VALUE"""),109763)</f>
        <v>109763</v>
      </c>
      <c r="C1421" s="14">
        <f ca="1">IFERROR(__xludf.DUMMYFUNCTION("""COMPUTED_VALUE"""),0)</f>
        <v>0</v>
      </c>
      <c r="D1421" s="12" t="str">
        <f ca="1">IFERROR(__xludf.DUMMYFUNCTION("""COMPUTED_VALUE"""),"小関 麻起")</f>
        <v>小関 麻起</v>
      </c>
    </row>
    <row r="1422" spans="2:4" ht="13">
      <c r="B1422" s="12">
        <f ca="1">IFERROR(__xludf.DUMMYFUNCTION("""COMPUTED_VALUE"""),109784)</f>
        <v>109784</v>
      </c>
      <c r="C1422" s="14">
        <f ca="1">IFERROR(__xludf.DUMMYFUNCTION("""COMPUTED_VALUE"""),0)</f>
        <v>0</v>
      </c>
      <c r="D1422" s="12" t="str">
        <f ca="1">IFERROR(__xludf.DUMMYFUNCTION("""COMPUTED_VALUE"""),"桐山 勝気")</f>
        <v>桐山 勝気</v>
      </c>
    </row>
    <row r="1423" spans="2:4" ht="13">
      <c r="B1423" s="12">
        <f ca="1">IFERROR(__xludf.DUMMYFUNCTION("""COMPUTED_VALUE"""),109814)</f>
        <v>109814</v>
      </c>
      <c r="C1423" s="14">
        <f ca="1">IFERROR(__xludf.DUMMYFUNCTION("""COMPUTED_VALUE"""),0)</f>
        <v>0</v>
      </c>
      <c r="D1423" s="12" t="str">
        <f ca="1">IFERROR(__xludf.DUMMYFUNCTION("""COMPUTED_VALUE"""),"成嶋 夏未")</f>
        <v>成嶋 夏未</v>
      </c>
    </row>
    <row r="1424" spans="2:4" ht="13">
      <c r="B1424" s="12">
        <f ca="1">IFERROR(__xludf.DUMMYFUNCTION("""COMPUTED_VALUE"""),109854)</f>
        <v>109854</v>
      </c>
      <c r="C1424" s="14">
        <f ca="1">IFERROR(__xludf.DUMMYFUNCTION("""COMPUTED_VALUE"""),0)</f>
        <v>0</v>
      </c>
      <c r="D1424" s="12" t="str">
        <f ca="1">IFERROR(__xludf.DUMMYFUNCTION("""COMPUTED_VALUE"""),"村上 浩一朗")</f>
        <v>村上 浩一朗</v>
      </c>
    </row>
    <row r="1425" spans="2:4" ht="13">
      <c r="B1425" s="12">
        <f ca="1">IFERROR(__xludf.DUMMYFUNCTION("""COMPUTED_VALUE"""),109855)</f>
        <v>109855</v>
      </c>
      <c r="C1425" s="14">
        <f ca="1">IFERROR(__xludf.DUMMYFUNCTION("""COMPUTED_VALUE"""),59)</f>
        <v>59</v>
      </c>
      <c r="D1425" s="12" t="str">
        <f ca="1">IFERROR(__xludf.DUMMYFUNCTION("""COMPUTED_VALUE"""),"奥野 貴大")</f>
        <v>奥野 貴大</v>
      </c>
    </row>
    <row r="1426" spans="2:4" ht="13">
      <c r="B1426" s="12">
        <f ca="1">IFERROR(__xludf.DUMMYFUNCTION("""COMPUTED_VALUE"""),109862)</f>
        <v>109862</v>
      </c>
      <c r="C1426" s="14">
        <f ca="1">IFERROR(__xludf.DUMMYFUNCTION("""COMPUTED_VALUE"""),4)</f>
        <v>4</v>
      </c>
      <c r="D1426" s="12" t="str">
        <f ca="1">IFERROR(__xludf.DUMMYFUNCTION("""COMPUTED_VALUE"""),"栗原 大武")</f>
        <v>栗原 大武</v>
      </c>
    </row>
    <row r="1427" spans="2:4" ht="13">
      <c r="B1427" s="12">
        <f ca="1">IFERROR(__xludf.DUMMYFUNCTION("""COMPUTED_VALUE"""),109874)</f>
        <v>109874</v>
      </c>
      <c r="C1427" s="14">
        <f ca="1">IFERROR(__xludf.DUMMYFUNCTION("""COMPUTED_VALUE"""),0)</f>
        <v>0</v>
      </c>
      <c r="D1427" s="12" t="str">
        <f ca="1">IFERROR(__xludf.DUMMYFUNCTION("""COMPUTED_VALUE"""),"堀越 駿")</f>
        <v>堀越 駿</v>
      </c>
    </row>
    <row r="1428" spans="2:4" ht="13">
      <c r="B1428" s="12">
        <f ca="1">IFERROR(__xludf.DUMMYFUNCTION("""COMPUTED_VALUE"""),109893)</f>
        <v>109893</v>
      </c>
      <c r="C1428" s="14">
        <f ca="1">IFERROR(__xludf.DUMMYFUNCTION("""COMPUTED_VALUE"""),19)</f>
        <v>19</v>
      </c>
      <c r="D1428" s="12" t="str">
        <f ca="1">IFERROR(__xludf.DUMMYFUNCTION("""COMPUTED_VALUE"""),"老田 純輝")</f>
        <v>老田 純輝</v>
      </c>
    </row>
    <row r="1429" spans="2:4" ht="13">
      <c r="B1429" s="12">
        <f ca="1">IFERROR(__xludf.DUMMYFUNCTION("""COMPUTED_VALUE"""),109896)</f>
        <v>109896</v>
      </c>
      <c r="C1429" s="14">
        <f ca="1">IFERROR(__xludf.DUMMYFUNCTION("""COMPUTED_VALUE"""),0)</f>
        <v>0</v>
      </c>
      <c r="D1429" s="12" t="str">
        <f ca="1">IFERROR(__xludf.DUMMYFUNCTION("""COMPUTED_VALUE"""),"稲場 勇介")</f>
        <v>稲場 勇介</v>
      </c>
    </row>
    <row r="1430" spans="2:4" ht="13">
      <c r="B1430" s="12">
        <f ca="1">IFERROR(__xludf.DUMMYFUNCTION("""COMPUTED_VALUE"""),109909)</f>
        <v>109909</v>
      </c>
      <c r="C1430" s="14">
        <f ca="1">IFERROR(__xludf.DUMMYFUNCTION("""COMPUTED_VALUE"""),0)</f>
        <v>0</v>
      </c>
      <c r="D1430" s="12" t="str">
        <f ca="1">IFERROR(__xludf.DUMMYFUNCTION("""COMPUTED_VALUE"""),"川島 幹也")</f>
        <v>川島 幹也</v>
      </c>
    </row>
    <row r="1431" spans="2:4" ht="13">
      <c r="B1431" s="12">
        <f ca="1">IFERROR(__xludf.DUMMYFUNCTION("""COMPUTED_VALUE"""),109918)</f>
        <v>109918</v>
      </c>
      <c r="C1431" s="14">
        <f ca="1">IFERROR(__xludf.DUMMYFUNCTION("""COMPUTED_VALUE"""),5)</f>
        <v>5</v>
      </c>
      <c r="D1431" s="12" t="str">
        <f ca="1">IFERROR(__xludf.DUMMYFUNCTION("""COMPUTED_VALUE"""),"小関 麻起")</f>
        <v>小関 麻起</v>
      </c>
    </row>
    <row r="1432" spans="2:4" ht="13">
      <c r="B1432" s="12">
        <f ca="1">IFERROR(__xludf.DUMMYFUNCTION("""COMPUTED_VALUE"""),109923)</f>
        <v>109923</v>
      </c>
      <c r="C1432" s="14">
        <f ca="1">IFERROR(__xludf.DUMMYFUNCTION("""COMPUTED_VALUE"""),0)</f>
        <v>0</v>
      </c>
      <c r="D1432" s="12" t="str">
        <f ca="1">IFERROR(__xludf.DUMMYFUNCTION("""COMPUTED_VALUE"""),"小関 麻起")</f>
        <v>小関 麻起</v>
      </c>
    </row>
    <row r="1433" spans="2:4" ht="13">
      <c r="B1433" s="12">
        <f ca="1">IFERROR(__xludf.DUMMYFUNCTION("""COMPUTED_VALUE"""),109933)</f>
        <v>109933</v>
      </c>
      <c r="C1433" s="14">
        <f ca="1">IFERROR(__xludf.DUMMYFUNCTION("""COMPUTED_VALUE"""),0)</f>
        <v>0</v>
      </c>
      <c r="D1433" s="12" t="str">
        <f ca="1">IFERROR(__xludf.DUMMYFUNCTION("""COMPUTED_VALUE"""),"菅野 ぎんが")</f>
        <v>菅野 ぎんが</v>
      </c>
    </row>
    <row r="1434" spans="2:4" ht="13">
      <c r="B1434" s="12">
        <f ca="1">IFERROR(__xludf.DUMMYFUNCTION("""COMPUTED_VALUE"""),109956)</f>
        <v>109956</v>
      </c>
      <c r="C1434" s="14">
        <f ca="1">IFERROR(__xludf.DUMMYFUNCTION("""COMPUTED_VALUE"""),0)</f>
        <v>0</v>
      </c>
      <c r="D1434" s="12" t="str">
        <f ca="1">IFERROR(__xludf.DUMMYFUNCTION("""COMPUTED_VALUE"""),"菅野 ぎんが")</f>
        <v>菅野 ぎんが</v>
      </c>
    </row>
    <row r="1435" spans="2:4" ht="13">
      <c r="B1435" s="12">
        <f ca="1">IFERROR(__xludf.DUMMYFUNCTION("""COMPUTED_VALUE"""),109970)</f>
        <v>109970</v>
      </c>
      <c r="C1435" s="14">
        <f ca="1">IFERROR(__xludf.DUMMYFUNCTION("""COMPUTED_VALUE"""),18)</f>
        <v>18</v>
      </c>
      <c r="D1435" s="12" t="str">
        <f ca="1">IFERROR(__xludf.DUMMYFUNCTION("""COMPUTED_VALUE"""),"奥野 貴大")</f>
        <v>奥野 貴大</v>
      </c>
    </row>
    <row r="1436" spans="2:4" ht="13">
      <c r="B1436" s="12">
        <f ca="1">IFERROR(__xludf.DUMMYFUNCTION("""COMPUTED_VALUE"""),109971)</f>
        <v>109971</v>
      </c>
      <c r="C1436" s="14">
        <f ca="1">IFERROR(__xludf.DUMMYFUNCTION("""COMPUTED_VALUE"""),0)</f>
        <v>0</v>
      </c>
      <c r="D1436" s="12" t="str">
        <f ca="1">IFERROR(__xludf.DUMMYFUNCTION("""COMPUTED_VALUE"""),"小関 麻起")</f>
        <v>小関 麻起</v>
      </c>
    </row>
    <row r="1437" spans="2:4" ht="13">
      <c r="B1437" s="12">
        <f ca="1">IFERROR(__xludf.DUMMYFUNCTION("""COMPUTED_VALUE"""),109972)</f>
        <v>109972</v>
      </c>
      <c r="C1437" s="14">
        <f ca="1">IFERROR(__xludf.DUMMYFUNCTION("""COMPUTED_VALUE"""),0)</f>
        <v>0</v>
      </c>
      <c r="D1437" s="12" t="str">
        <f ca="1">IFERROR(__xludf.DUMMYFUNCTION("""COMPUTED_VALUE"""),"桑原 明子")</f>
        <v>桑原 明子</v>
      </c>
    </row>
    <row r="1438" spans="2:4" ht="13">
      <c r="B1438" s="12">
        <f ca="1">IFERROR(__xludf.DUMMYFUNCTION("""COMPUTED_VALUE"""),109992)</f>
        <v>109992</v>
      </c>
      <c r="C1438" s="14">
        <f ca="1">IFERROR(__xludf.DUMMYFUNCTION("""COMPUTED_VALUE"""),48)</f>
        <v>48</v>
      </c>
      <c r="D1438" s="12" t="str">
        <f ca="1">IFERROR(__xludf.DUMMYFUNCTION("""COMPUTED_VALUE"""),"奥野 貴大")</f>
        <v>奥野 貴大</v>
      </c>
    </row>
    <row r="1439" spans="2:4" ht="13">
      <c r="B1439" s="12">
        <f ca="1">IFERROR(__xludf.DUMMYFUNCTION("""COMPUTED_VALUE"""),110009)</f>
        <v>110009</v>
      </c>
      <c r="C1439" s="14">
        <f ca="1">IFERROR(__xludf.DUMMYFUNCTION("""COMPUTED_VALUE"""),5)</f>
        <v>5</v>
      </c>
      <c r="D1439" s="12" t="str">
        <f ca="1">IFERROR(__xludf.DUMMYFUNCTION("""COMPUTED_VALUE"""),"辻村 将大")</f>
        <v>辻村 将大</v>
      </c>
    </row>
    <row r="1440" spans="2:4" ht="13">
      <c r="B1440" s="12">
        <f ca="1">IFERROR(__xludf.DUMMYFUNCTION("""COMPUTED_VALUE"""),110014)</f>
        <v>110014</v>
      </c>
      <c r="C1440" s="14">
        <f ca="1">IFERROR(__xludf.DUMMYFUNCTION("""COMPUTED_VALUE"""),0)</f>
        <v>0</v>
      </c>
      <c r="D1440" s="12" t="str">
        <f ca="1">IFERROR(__xludf.DUMMYFUNCTION("""COMPUTED_VALUE"""),"小川 純")</f>
        <v>小川 純</v>
      </c>
    </row>
    <row r="1441" spans="2:4" ht="13">
      <c r="B1441" s="12">
        <f ca="1">IFERROR(__xludf.DUMMYFUNCTION("""COMPUTED_VALUE"""),110017)</f>
        <v>110017</v>
      </c>
      <c r="C1441" s="14">
        <f ca="1">IFERROR(__xludf.DUMMYFUNCTION("""COMPUTED_VALUE"""),1)</f>
        <v>1</v>
      </c>
      <c r="D1441" s="12" t="str">
        <f ca="1">IFERROR(__xludf.DUMMYFUNCTION("""COMPUTED_VALUE"""),"菅野 ぎんが")</f>
        <v>菅野 ぎんが</v>
      </c>
    </row>
    <row r="1442" spans="2:4" ht="13">
      <c r="B1442" s="12">
        <f ca="1">IFERROR(__xludf.DUMMYFUNCTION("""COMPUTED_VALUE"""),110020)</f>
        <v>110020</v>
      </c>
      <c r="C1442" s="14">
        <f ca="1">IFERROR(__xludf.DUMMYFUNCTION("""COMPUTED_VALUE"""),0)</f>
        <v>0</v>
      </c>
      <c r="D1442" s="12" t="str">
        <f ca="1">IFERROR(__xludf.DUMMYFUNCTION("""COMPUTED_VALUE"""),"稲場 勇介")</f>
        <v>稲場 勇介</v>
      </c>
    </row>
    <row r="1443" spans="2:4" ht="13">
      <c r="B1443" s="12">
        <f ca="1">IFERROR(__xludf.DUMMYFUNCTION("""COMPUTED_VALUE"""),110021)</f>
        <v>110021</v>
      </c>
      <c r="C1443" s="14">
        <f ca="1">IFERROR(__xludf.DUMMYFUNCTION("""COMPUTED_VALUE"""),0)</f>
        <v>0</v>
      </c>
      <c r="D1443" s="12" t="str">
        <f ca="1">IFERROR(__xludf.DUMMYFUNCTION("""COMPUTED_VALUE"""),"小関 麻起")</f>
        <v>小関 麻起</v>
      </c>
    </row>
    <row r="1444" spans="2:4" ht="13">
      <c r="B1444" s="12">
        <f ca="1">IFERROR(__xludf.DUMMYFUNCTION("""COMPUTED_VALUE"""),110029)</f>
        <v>110029</v>
      </c>
      <c r="C1444" s="14">
        <f ca="1">IFERROR(__xludf.DUMMYFUNCTION("""COMPUTED_VALUE"""),0)</f>
        <v>0</v>
      </c>
      <c r="D1444" s="12" t="str">
        <f ca="1">IFERROR(__xludf.DUMMYFUNCTION("""COMPUTED_VALUE"""),"稲場 勇介")</f>
        <v>稲場 勇介</v>
      </c>
    </row>
    <row r="1445" spans="2:4" ht="13">
      <c r="B1445" s="12">
        <f ca="1">IFERROR(__xludf.DUMMYFUNCTION("""COMPUTED_VALUE"""),110037)</f>
        <v>110037</v>
      </c>
      <c r="C1445" s="14">
        <f ca="1">IFERROR(__xludf.DUMMYFUNCTION("""COMPUTED_VALUE"""),0)</f>
        <v>0</v>
      </c>
      <c r="D1445" s="12" t="str">
        <f ca="1">IFERROR(__xludf.DUMMYFUNCTION("""COMPUTED_VALUE"""),"菅野 ぎんが")</f>
        <v>菅野 ぎんが</v>
      </c>
    </row>
    <row r="1446" spans="2:4" ht="13">
      <c r="B1446" s="12">
        <f ca="1">IFERROR(__xludf.DUMMYFUNCTION("""COMPUTED_VALUE"""),110038)</f>
        <v>110038</v>
      </c>
      <c r="C1446" s="14">
        <f ca="1">IFERROR(__xludf.DUMMYFUNCTION("""COMPUTED_VALUE"""),0)</f>
        <v>0</v>
      </c>
      <c r="D1446" s="12" t="str">
        <f ca="1">IFERROR(__xludf.DUMMYFUNCTION("""COMPUTED_VALUE"""),"菅野 ぎんが")</f>
        <v>菅野 ぎんが</v>
      </c>
    </row>
    <row r="1447" spans="2:4" ht="13">
      <c r="B1447" s="12">
        <f ca="1">IFERROR(__xludf.DUMMYFUNCTION("""COMPUTED_VALUE"""),110054)</f>
        <v>110054</v>
      </c>
      <c r="C1447" s="14">
        <f ca="1">IFERROR(__xludf.DUMMYFUNCTION("""COMPUTED_VALUE"""),73)</f>
        <v>73</v>
      </c>
      <c r="D1447" s="12" t="str">
        <f ca="1">IFERROR(__xludf.DUMMYFUNCTION("""COMPUTED_VALUE"""),"芳賀 亮輔")</f>
        <v>芳賀 亮輔</v>
      </c>
    </row>
    <row r="1448" spans="2:4" ht="13">
      <c r="B1448" s="12">
        <f ca="1">IFERROR(__xludf.DUMMYFUNCTION("""COMPUTED_VALUE"""),110059)</f>
        <v>110059</v>
      </c>
      <c r="C1448" s="14">
        <f ca="1">IFERROR(__xludf.DUMMYFUNCTION("""COMPUTED_VALUE"""),1)</f>
        <v>1</v>
      </c>
      <c r="D1448" s="12" t="str">
        <f ca="1">IFERROR(__xludf.DUMMYFUNCTION("""COMPUTED_VALUE"""),"小関 麻起")</f>
        <v>小関 麻起</v>
      </c>
    </row>
    <row r="1449" spans="2:4" ht="13">
      <c r="B1449" s="12">
        <f ca="1">IFERROR(__xludf.DUMMYFUNCTION("""COMPUTED_VALUE"""),110062)</f>
        <v>110062</v>
      </c>
      <c r="C1449" s="14">
        <f ca="1">IFERROR(__xludf.DUMMYFUNCTION("""COMPUTED_VALUE"""),10)</f>
        <v>10</v>
      </c>
      <c r="D1449" s="12" t="str">
        <f ca="1">IFERROR(__xludf.DUMMYFUNCTION("""COMPUTED_VALUE"""),"辻村 将大")</f>
        <v>辻村 将大</v>
      </c>
    </row>
    <row r="1450" spans="2:4" ht="13">
      <c r="B1450" s="12">
        <f ca="1">IFERROR(__xludf.DUMMYFUNCTION("""COMPUTED_VALUE"""),110065)</f>
        <v>110065</v>
      </c>
      <c r="C1450" s="14">
        <f ca="1">IFERROR(__xludf.DUMMYFUNCTION("""COMPUTED_VALUE"""),0)</f>
        <v>0</v>
      </c>
      <c r="D1450" s="12" t="str">
        <f ca="1">IFERROR(__xludf.DUMMYFUNCTION("""COMPUTED_VALUE"""),"老田 純輝")</f>
        <v>老田 純輝</v>
      </c>
    </row>
    <row r="1451" spans="2:4" ht="13">
      <c r="B1451" s="12">
        <f ca="1">IFERROR(__xludf.DUMMYFUNCTION("""COMPUTED_VALUE"""),110084)</f>
        <v>110084</v>
      </c>
      <c r="C1451" s="14">
        <f ca="1">IFERROR(__xludf.DUMMYFUNCTION("""COMPUTED_VALUE"""),88)</f>
        <v>88</v>
      </c>
      <c r="D1451" s="12" t="str">
        <f ca="1">IFERROR(__xludf.DUMMYFUNCTION("""COMPUTED_VALUE"""),"内丸 裕子")</f>
        <v>内丸 裕子</v>
      </c>
    </row>
    <row r="1452" spans="2:4" ht="13">
      <c r="B1452" s="12">
        <f ca="1">IFERROR(__xludf.DUMMYFUNCTION("""COMPUTED_VALUE"""),110085)</f>
        <v>110085</v>
      </c>
      <c r="C1452" s="14">
        <f ca="1">IFERROR(__xludf.DUMMYFUNCTION("""COMPUTED_VALUE"""),7)</f>
        <v>7</v>
      </c>
      <c r="D1452" s="12" t="str">
        <f ca="1">IFERROR(__xludf.DUMMYFUNCTION("""COMPUTED_VALUE"""),"老田 純輝")</f>
        <v>老田 純輝</v>
      </c>
    </row>
    <row r="1453" spans="2:4" ht="13">
      <c r="B1453" s="12">
        <f ca="1">IFERROR(__xludf.DUMMYFUNCTION("""COMPUTED_VALUE"""),110086)</f>
        <v>110086</v>
      </c>
      <c r="C1453" s="14">
        <f ca="1">IFERROR(__xludf.DUMMYFUNCTION("""COMPUTED_VALUE"""),0)</f>
        <v>0</v>
      </c>
      <c r="D1453" s="12" t="str">
        <f ca="1">IFERROR(__xludf.DUMMYFUNCTION("""COMPUTED_VALUE"""),"菅野 ぎんが")</f>
        <v>菅野 ぎんが</v>
      </c>
    </row>
    <row r="1454" spans="2:4" ht="13">
      <c r="B1454" s="12">
        <f ca="1">IFERROR(__xludf.DUMMYFUNCTION("""COMPUTED_VALUE"""),110110)</f>
        <v>110110</v>
      </c>
      <c r="C1454" s="14">
        <f ca="1">IFERROR(__xludf.DUMMYFUNCTION("""COMPUTED_VALUE"""),0)</f>
        <v>0</v>
      </c>
      <c r="D1454" s="12" t="str">
        <f ca="1">IFERROR(__xludf.DUMMYFUNCTION("""COMPUTED_VALUE"""),"小関 麻起")</f>
        <v>小関 麻起</v>
      </c>
    </row>
    <row r="1455" spans="2:4" ht="13">
      <c r="B1455" s="12">
        <f ca="1">IFERROR(__xludf.DUMMYFUNCTION("""COMPUTED_VALUE"""),110131)</f>
        <v>110131</v>
      </c>
      <c r="C1455" s="14">
        <f ca="1">IFERROR(__xludf.DUMMYFUNCTION("""COMPUTED_VALUE"""),0)</f>
        <v>0</v>
      </c>
      <c r="D1455" s="12" t="str">
        <f ca="1">IFERROR(__xludf.DUMMYFUNCTION("""COMPUTED_VALUE"""),"成嶋 夏未")</f>
        <v>成嶋 夏未</v>
      </c>
    </row>
    <row r="1456" spans="2:4" ht="13">
      <c r="B1456" s="12">
        <f ca="1">IFERROR(__xludf.DUMMYFUNCTION("""COMPUTED_VALUE"""),110135)</f>
        <v>110135</v>
      </c>
      <c r="C1456" s="14">
        <f ca="1">IFERROR(__xludf.DUMMYFUNCTION("""COMPUTED_VALUE"""),3)</f>
        <v>3</v>
      </c>
      <c r="D1456" s="12" t="str">
        <f ca="1">IFERROR(__xludf.DUMMYFUNCTION("""COMPUTED_VALUE"""),"奥野 貴大")</f>
        <v>奥野 貴大</v>
      </c>
    </row>
    <row r="1457" spans="2:4" ht="13">
      <c r="B1457" s="12">
        <f ca="1">IFERROR(__xludf.DUMMYFUNCTION("""COMPUTED_VALUE"""),110147)</f>
        <v>110147</v>
      </c>
      <c r="C1457" s="14">
        <f ca="1">IFERROR(__xludf.DUMMYFUNCTION("""COMPUTED_VALUE"""),83)</f>
        <v>83</v>
      </c>
      <c r="D1457" s="12" t="str">
        <f ca="1">IFERROR(__xludf.DUMMYFUNCTION("""COMPUTED_VALUE"""),"栗原 大武")</f>
        <v>栗原 大武</v>
      </c>
    </row>
    <row r="1458" spans="2:4" ht="13">
      <c r="B1458" s="12">
        <f ca="1">IFERROR(__xludf.DUMMYFUNCTION("""COMPUTED_VALUE"""),110171)</f>
        <v>110171</v>
      </c>
      <c r="C1458" s="14">
        <f ca="1">IFERROR(__xludf.DUMMYFUNCTION("""COMPUTED_VALUE"""),70)</f>
        <v>70</v>
      </c>
      <c r="D1458" s="12" t="str">
        <f ca="1">IFERROR(__xludf.DUMMYFUNCTION("""COMPUTED_VALUE"""),"辻村 将大")</f>
        <v>辻村 将大</v>
      </c>
    </row>
    <row r="1459" spans="2:4" ht="13">
      <c r="B1459" s="12">
        <f ca="1">IFERROR(__xludf.DUMMYFUNCTION("""COMPUTED_VALUE"""),110180)</f>
        <v>110180</v>
      </c>
      <c r="C1459" s="14">
        <f ca="1">IFERROR(__xludf.DUMMYFUNCTION("""COMPUTED_VALUE"""),10)</f>
        <v>10</v>
      </c>
      <c r="D1459" s="12" t="str">
        <f ca="1">IFERROR(__xludf.DUMMYFUNCTION("""COMPUTED_VALUE"""),"小川 純")</f>
        <v>小川 純</v>
      </c>
    </row>
    <row r="1460" spans="2:4" ht="13">
      <c r="B1460" s="12">
        <f ca="1">IFERROR(__xludf.DUMMYFUNCTION("""COMPUTED_VALUE"""),110183)</f>
        <v>110183</v>
      </c>
      <c r="C1460" s="14">
        <f ca="1">IFERROR(__xludf.DUMMYFUNCTION("""COMPUTED_VALUE"""),0)</f>
        <v>0</v>
      </c>
      <c r="D1460" s="12" t="str">
        <f ca="1">IFERROR(__xludf.DUMMYFUNCTION("""COMPUTED_VALUE"""),"菅野 ぎんが")</f>
        <v>菅野 ぎんが</v>
      </c>
    </row>
    <row r="1461" spans="2:4" ht="13">
      <c r="B1461" s="12">
        <f ca="1">IFERROR(__xludf.DUMMYFUNCTION("""COMPUTED_VALUE"""),110184)</f>
        <v>110184</v>
      </c>
      <c r="C1461" s="14">
        <f ca="1">IFERROR(__xludf.DUMMYFUNCTION("""COMPUTED_VALUE"""),2)</f>
        <v>2</v>
      </c>
      <c r="D1461" s="12" t="str">
        <f ca="1">IFERROR(__xludf.DUMMYFUNCTION("""COMPUTED_VALUE"""),"菅野 ぎんが")</f>
        <v>菅野 ぎんが</v>
      </c>
    </row>
    <row r="1462" spans="2:4" ht="13">
      <c r="B1462" s="12">
        <f ca="1">IFERROR(__xludf.DUMMYFUNCTION("""COMPUTED_VALUE"""),110197)</f>
        <v>110197</v>
      </c>
      <c r="C1462" s="14">
        <f ca="1">IFERROR(__xludf.DUMMYFUNCTION("""COMPUTED_VALUE"""),0)</f>
        <v>0</v>
      </c>
      <c r="D1462" s="12" t="str">
        <f ca="1">IFERROR(__xludf.DUMMYFUNCTION("""COMPUTED_VALUE"""),"稲場 勇介")</f>
        <v>稲場 勇介</v>
      </c>
    </row>
    <row r="1463" spans="2:4" ht="13">
      <c r="B1463" s="12">
        <f ca="1">IFERROR(__xludf.DUMMYFUNCTION("""COMPUTED_VALUE"""),110206)</f>
        <v>110206</v>
      </c>
      <c r="C1463" s="14">
        <f ca="1">IFERROR(__xludf.DUMMYFUNCTION("""COMPUTED_VALUE"""),0)</f>
        <v>0</v>
      </c>
      <c r="D1463" s="12" t="str">
        <f ca="1">IFERROR(__xludf.DUMMYFUNCTION("""COMPUTED_VALUE"""),"菅野 ぎんが")</f>
        <v>菅野 ぎんが</v>
      </c>
    </row>
    <row r="1464" spans="2:4" ht="13">
      <c r="B1464" s="12">
        <f ca="1">IFERROR(__xludf.DUMMYFUNCTION("""COMPUTED_VALUE"""),110237)</f>
        <v>110237</v>
      </c>
      <c r="C1464" s="14">
        <f ca="1">IFERROR(__xludf.DUMMYFUNCTION("""COMPUTED_VALUE"""),10)</f>
        <v>10</v>
      </c>
      <c r="D1464" s="12" t="str">
        <f ca="1">IFERROR(__xludf.DUMMYFUNCTION("""COMPUTED_VALUE"""),"成嶋 夏未")</f>
        <v>成嶋 夏未</v>
      </c>
    </row>
    <row r="1465" spans="2:4" ht="13">
      <c r="B1465" s="12">
        <f ca="1">IFERROR(__xludf.DUMMYFUNCTION("""COMPUTED_VALUE"""),110238)</f>
        <v>110238</v>
      </c>
      <c r="C1465" s="14">
        <f ca="1">IFERROR(__xludf.DUMMYFUNCTION("""COMPUTED_VALUE"""),0)</f>
        <v>0</v>
      </c>
      <c r="D1465" s="12" t="str">
        <f ca="1">IFERROR(__xludf.DUMMYFUNCTION("""COMPUTED_VALUE"""),"老田 純輝")</f>
        <v>老田 純輝</v>
      </c>
    </row>
    <row r="1466" spans="2:4" ht="13">
      <c r="B1466" s="12">
        <f ca="1">IFERROR(__xludf.DUMMYFUNCTION("""COMPUTED_VALUE"""),110246)</f>
        <v>110246</v>
      </c>
      <c r="C1466" s="14">
        <f ca="1">IFERROR(__xludf.DUMMYFUNCTION("""COMPUTED_VALUE"""),0)</f>
        <v>0</v>
      </c>
      <c r="D1466" s="12" t="str">
        <f ca="1">IFERROR(__xludf.DUMMYFUNCTION("""COMPUTED_VALUE"""),"栗原 大武")</f>
        <v>栗原 大武</v>
      </c>
    </row>
    <row r="1467" spans="2:4" ht="13">
      <c r="B1467" s="12">
        <f ca="1">IFERROR(__xludf.DUMMYFUNCTION("""COMPUTED_VALUE"""),110262)</f>
        <v>110262</v>
      </c>
      <c r="C1467" s="14">
        <f ca="1">IFERROR(__xludf.DUMMYFUNCTION("""COMPUTED_VALUE"""),9)</f>
        <v>9</v>
      </c>
      <c r="D1467" s="12" t="str">
        <f ca="1">IFERROR(__xludf.DUMMYFUNCTION("""COMPUTED_VALUE"""),"菅野 ぎんが")</f>
        <v>菅野 ぎんが</v>
      </c>
    </row>
    <row r="1468" spans="2:4" ht="13">
      <c r="B1468" s="12">
        <f ca="1">IFERROR(__xludf.DUMMYFUNCTION("""COMPUTED_VALUE"""),110282)</f>
        <v>110282</v>
      </c>
      <c r="C1468" s="14">
        <f ca="1">IFERROR(__xludf.DUMMYFUNCTION("""COMPUTED_VALUE"""),0)</f>
        <v>0</v>
      </c>
      <c r="D1468" s="12" t="str">
        <f ca="1">IFERROR(__xludf.DUMMYFUNCTION("""COMPUTED_VALUE"""),"栗原 大武")</f>
        <v>栗原 大武</v>
      </c>
    </row>
    <row r="1469" spans="2:4" ht="13">
      <c r="B1469" s="12">
        <f ca="1">IFERROR(__xludf.DUMMYFUNCTION("""COMPUTED_VALUE"""),110284)</f>
        <v>110284</v>
      </c>
      <c r="C1469" s="14">
        <f ca="1">IFERROR(__xludf.DUMMYFUNCTION("""COMPUTED_VALUE"""),2)</f>
        <v>2</v>
      </c>
      <c r="D1469" s="12" t="str">
        <f ca="1">IFERROR(__xludf.DUMMYFUNCTION("""COMPUTED_VALUE"""),"老田 純輝")</f>
        <v>老田 純輝</v>
      </c>
    </row>
    <row r="1470" spans="2:4" ht="13">
      <c r="B1470" s="12">
        <f ca="1">IFERROR(__xludf.DUMMYFUNCTION("""COMPUTED_VALUE"""),110308)</f>
        <v>110308</v>
      </c>
      <c r="C1470" s="14">
        <f ca="1">IFERROR(__xludf.DUMMYFUNCTION("""COMPUTED_VALUE"""),3)</f>
        <v>3</v>
      </c>
      <c r="D1470" s="12" t="str">
        <f ca="1">IFERROR(__xludf.DUMMYFUNCTION("""COMPUTED_VALUE"""),"松尾 尚樹")</f>
        <v>松尾 尚樹</v>
      </c>
    </row>
    <row r="1471" spans="2:4" ht="13">
      <c r="B1471" s="12">
        <f ca="1">IFERROR(__xludf.DUMMYFUNCTION("""COMPUTED_VALUE"""),110309)</f>
        <v>110309</v>
      </c>
      <c r="C1471" s="14">
        <f ca="1">IFERROR(__xludf.DUMMYFUNCTION("""COMPUTED_VALUE"""),0)</f>
        <v>0</v>
      </c>
      <c r="D1471" s="12" t="str">
        <f ca="1">IFERROR(__xludf.DUMMYFUNCTION("""COMPUTED_VALUE"""),"松尾 尚樹")</f>
        <v>松尾 尚樹</v>
      </c>
    </row>
    <row r="1472" spans="2:4" ht="13">
      <c r="B1472" s="12">
        <f ca="1">IFERROR(__xludf.DUMMYFUNCTION("""COMPUTED_VALUE"""),110311)</f>
        <v>110311</v>
      </c>
      <c r="C1472" s="14">
        <f ca="1">IFERROR(__xludf.DUMMYFUNCTION("""COMPUTED_VALUE"""),2)</f>
        <v>2</v>
      </c>
      <c r="D1472" s="12" t="str">
        <f ca="1">IFERROR(__xludf.DUMMYFUNCTION("""COMPUTED_VALUE"""),"松尾 尚樹")</f>
        <v>松尾 尚樹</v>
      </c>
    </row>
    <row r="1473" spans="2:4" ht="13">
      <c r="B1473" s="12">
        <f ca="1">IFERROR(__xludf.DUMMYFUNCTION("""COMPUTED_VALUE"""),110314)</f>
        <v>110314</v>
      </c>
      <c r="C1473" s="14">
        <f ca="1">IFERROR(__xludf.DUMMYFUNCTION("""COMPUTED_VALUE"""),59)</f>
        <v>59</v>
      </c>
      <c r="D1473" s="12" t="str">
        <f ca="1">IFERROR(__xludf.DUMMYFUNCTION("""COMPUTED_VALUE"""),"荻曽 克輝")</f>
        <v>荻曽 克輝</v>
      </c>
    </row>
    <row r="1474" spans="2:4" ht="13">
      <c r="B1474" s="12">
        <f ca="1">IFERROR(__xludf.DUMMYFUNCTION("""COMPUTED_VALUE"""),110322)</f>
        <v>110322</v>
      </c>
      <c r="C1474" s="14">
        <f ca="1">IFERROR(__xludf.DUMMYFUNCTION("""COMPUTED_VALUE"""),8)</f>
        <v>8</v>
      </c>
      <c r="D1474" s="12" t="str">
        <f ca="1">IFERROR(__xludf.DUMMYFUNCTION("""COMPUTED_VALUE"""),"松尾 尚樹")</f>
        <v>松尾 尚樹</v>
      </c>
    </row>
    <row r="1475" spans="2:4" ht="13">
      <c r="B1475" s="12">
        <f ca="1">IFERROR(__xludf.DUMMYFUNCTION("""COMPUTED_VALUE"""),110342)</f>
        <v>110342</v>
      </c>
      <c r="C1475" s="14">
        <f ca="1">IFERROR(__xludf.DUMMYFUNCTION("""COMPUTED_VALUE"""),0)</f>
        <v>0</v>
      </c>
      <c r="D1475" s="12" t="str">
        <f ca="1">IFERROR(__xludf.DUMMYFUNCTION("""COMPUTED_VALUE"""),"辻村 将大")</f>
        <v>辻村 将大</v>
      </c>
    </row>
    <row r="1476" spans="2:4" ht="13">
      <c r="B1476" s="12">
        <f ca="1">IFERROR(__xludf.DUMMYFUNCTION("""COMPUTED_VALUE"""),110346)</f>
        <v>110346</v>
      </c>
      <c r="C1476" s="14">
        <f ca="1">IFERROR(__xludf.DUMMYFUNCTION("""COMPUTED_VALUE"""),66)</f>
        <v>66</v>
      </c>
      <c r="D1476" s="12" t="str">
        <f ca="1">IFERROR(__xludf.DUMMYFUNCTION("""COMPUTED_VALUE"""),"菅野 ぎんが")</f>
        <v>菅野 ぎんが</v>
      </c>
    </row>
    <row r="1477" spans="2:4" ht="13">
      <c r="B1477" s="12">
        <f ca="1">IFERROR(__xludf.DUMMYFUNCTION("""COMPUTED_VALUE"""),110347)</f>
        <v>110347</v>
      </c>
      <c r="C1477" s="14">
        <f ca="1">IFERROR(__xludf.DUMMYFUNCTION("""COMPUTED_VALUE"""),58)</f>
        <v>58</v>
      </c>
      <c r="D1477" s="12" t="str">
        <f ca="1">IFERROR(__xludf.DUMMYFUNCTION("""COMPUTED_VALUE"""),"菅野 ぎんが")</f>
        <v>菅野 ぎんが</v>
      </c>
    </row>
    <row r="1478" spans="2:4" ht="13">
      <c r="B1478" s="12">
        <f ca="1">IFERROR(__xludf.DUMMYFUNCTION("""COMPUTED_VALUE"""),110354)</f>
        <v>110354</v>
      </c>
      <c r="C1478" s="14">
        <f ca="1">IFERROR(__xludf.DUMMYFUNCTION("""COMPUTED_VALUE"""),5)</f>
        <v>5</v>
      </c>
      <c r="D1478" s="12" t="str">
        <f ca="1">IFERROR(__xludf.DUMMYFUNCTION("""COMPUTED_VALUE"""),"桑原 明子")</f>
        <v>桑原 明子</v>
      </c>
    </row>
    <row r="1479" spans="2:4" ht="13">
      <c r="B1479" s="12">
        <f ca="1">IFERROR(__xludf.DUMMYFUNCTION("""COMPUTED_VALUE"""),110372)</f>
        <v>110372</v>
      </c>
      <c r="C1479" s="14">
        <f ca="1">IFERROR(__xludf.DUMMYFUNCTION("""COMPUTED_VALUE"""),0)</f>
        <v>0</v>
      </c>
      <c r="D1479" s="12" t="str">
        <f ca="1">IFERROR(__xludf.DUMMYFUNCTION("""COMPUTED_VALUE"""),"長谷川 陸朗")</f>
        <v>長谷川 陸朗</v>
      </c>
    </row>
    <row r="1480" spans="2:4" ht="13">
      <c r="B1480" s="12">
        <f ca="1">IFERROR(__xludf.DUMMYFUNCTION("""COMPUTED_VALUE"""),110382)</f>
        <v>110382</v>
      </c>
      <c r="C1480" s="14">
        <f ca="1">IFERROR(__xludf.DUMMYFUNCTION("""COMPUTED_VALUE"""),0)</f>
        <v>0</v>
      </c>
      <c r="D1480" s="12" t="str">
        <f ca="1">IFERROR(__xludf.DUMMYFUNCTION("""COMPUTED_VALUE"""),"堀越 駿")</f>
        <v>堀越 駿</v>
      </c>
    </row>
    <row r="1481" spans="2:4" ht="13">
      <c r="B1481" s="12">
        <f ca="1">IFERROR(__xludf.DUMMYFUNCTION("""COMPUTED_VALUE"""),110417)</f>
        <v>110417</v>
      </c>
      <c r="C1481" s="14">
        <f ca="1">IFERROR(__xludf.DUMMYFUNCTION("""COMPUTED_VALUE"""),6)</f>
        <v>6</v>
      </c>
      <c r="D1481" s="12" t="str">
        <f ca="1">IFERROR(__xludf.DUMMYFUNCTION("""COMPUTED_VALUE"""),"長谷川 陸朗")</f>
        <v>長谷川 陸朗</v>
      </c>
    </row>
    <row r="1482" spans="2:4" ht="13">
      <c r="B1482" s="12">
        <f ca="1">IFERROR(__xludf.DUMMYFUNCTION("""COMPUTED_VALUE"""),110419)</f>
        <v>110419</v>
      </c>
      <c r="C1482" s="14">
        <f ca="1">IFERROR(__xludf.DUMMYFUNCTION("""COMPUTED_VALUE"""),0)</f>
        <v>0</v>
      </c>
      <c r="D1482" s="12" t="str">
        <f ca="1">IFERROR(__xludf.DUMMYFUNCTION("""COMPUTED_VALUE"""),"長谷川 陸朗")</f>
        <v>長谷川 陸朗</v>
      </c>
    </row>
    <row r="1483" spans="2:4" ht="13">
      <c r="B1483" s="12">
        <f ca="1">IFERROR(__xludf.DUMMYFUNCTION("""COMPUTED_VALUE"""),110421)</f>
        <v>110421</v>
      </c>
      <c r="C1483" s="14">
        <f ca="1">IFERROR(__xludf.DUMMYFUNCTION("""COMPUTED_VALUE"""),0)</f>
        <v>0</v>
      </c>
      <c r="D1483" s="12" t="str">
        <f ca="1">IFERROR(__xludf.DUMMYFUNCTION("""COMPUTED_VALUE"""),"菅野 ぎんが")</f>
        <v>菅野 ぎんが</v>
      </c>
    </row>
    <row r="1484" spans="2:4" ht="13">
      <c r="B1484" s="12">
        <f ca="1">IFERROR(__xludf.DUMMYFUNCTION("""COMPUTED_VALUE"""),110439)</f>
        <v>110439</v>
      </c>
      <c r="C1484" s="14">
        <f ca="1">IFERROR(__xludf.DUMMYFUNCTION("""COMPUTED_VALUE"""),0)</f>
        <v>0</v>
      </c>
      <c r="D1484" s="12" t="str">
        <f ca="1">IFERROR(__xludf.DUMMYFUNCTION("""COMPUTED_VALUE"""),"松尾 尚樹")</f>
        <v>松尾 尚樹</v>
      </c>
    </row>
    <row r="1485" spans="2:4" ht="13">
      <c r="B1485" s="12">
        <f ca="1">IFERROR(__xludf.DUMMYFUNCTION("""COMPUTED_VALUE"""),110449)</f>
        <v>110449</v>
      </c>
      <c r="C1485" s="14">
        <f ca="1">IFERROR(__xludf.DUMMYFUNCTION("""COMPUTED_VALUE"""),9)</f>
        <v>9</v>
      </c>
      <c r="D1485" s="12" t="str">
        <f ca="1">IFERROR(__xludf.DUMMYFUNCTION("""COMPUTED_VALUE"""),"稲場 勇介")</f>
        <v>稲場 勇介</v>
      </c>
    </row>
    <row r="1486" spans="2:4" ht="13">
      <c r="B1486" s="12">
        <f ca="1">IFERROR(__xludf.DUMMYFUNCTION("""COMPUTED_VALUE"""),110452)</f>
        <v>110452</v>
      </c>
      <c r="C1486" s="14">
        <f ca="1">IFERROR(__xludf.DUMMYFUNCTION("""COMPUTED_VALUE"""),1)</f>
        <v>1</v>
      </c>
      <c r="D1486" s="12" t="str">
        <f ca="1">IFERROR(__xludf.DUMMYFUNCTION("""COMPUTED_VALUE"""),"堀越 駿")</f>
        <v>堀越 駿</v>
      </c>
    </row>
    <row r="1487" spans="2:4" ht="13">
      <c r="B1487" s="12">
        <f ca="1">IFERROR(__xludf.DUMMYFUNCTION("""COMPUTED_VALUE"""),110453)</f>
        <v>110453</v>
      </c>
      <c r="C1487" s="14">
        <f ca="1">IFERROR(__xludf.DUMMYFUNCTION("""COMPUTED_VALUE"""),12)</f>
        <v>12</v>
      </c>
      <c r="D1487" s="12" t="str">
        <f ca="1">IFERROR(__xludf.DUMMYFUNCTION("""COMPUTED_VALUE"""),"松尾 尚樹")</f>
        <v>松尾 尚樹</v>
      </c>
    </row>
    <row r="1488" spans="2:4" ht="13">
      <c r="B1488" s="12">
        <f ca="1">IFERROR(__xludf.DUMMYFUNCTION("""COMPUTED_VALUE"""),110459)</f>
        <v>110459</v>
      </c>
      <c r="C1488" s="14">
        <f ca="1">IFERROR(__xludf.DUMMYFUNCTION("""COMPUTED_VALUE"""),2)</f>
        <v>2</v>
      </c>
      <c r="D1488" s="12" t="str">
        <f ca="1">IFERROR(__xludf.DUMMYFUNCTION("""COMPUTED_VALUE"""),"荻曽 克輝")</f>
        <v>荻曽 克輝</v>
      </c>
    </row>
    <row r="1489" spans="2:4" ht="13">
      <c r="B1489" s="12">
        <f ca="1">IFERROR(__xludf.DUMMYFUNCTION("""COMPUTED_VALUE"""),110466)</f>
        <v>110466</v>
      </c>
      <c r="C1489" s="14">
        <f ca="1">IFERROR(__xludf.DUMMYFUNCTION("""COMPUTED_VALUE"""),6)</f>
        <v>6</v>
      </c>
      <c r="D1489" s="12" t="str">
        <f ca="1">IFERROR(__xludf.DUMMYFUNCTION("""COMPUTED_VALUE"""),"桑原 明子")</f>
        <v>桑原 明子</v>
      </c>
    </row>
    <row r="1490" spans="2:4" ht="13">
      <c r="B1490" s="12">
        <f ca="1">IFERROR(__xludf.DUMMYFUNCTION("""COMPUTED_VALUE"""),110468)</f>
        <v>110468</v>
      </c>
      <c r="C1490" s="14">
        <f ca="1">IFERROR(__xludf.DUMMYFUNCTION("""COMPUTED_VALUE"""),10)</f>
        <v>10</v>
      </c>
      <c r="D1490" s="12" t="str">
        <f ca="1">IFERROR(__xludf.DUMMYFUNCTION("""COMPUTED_VALUE"""),"桑原 明子")</f>
        <v>桑原 明子</v>
      </c>
    </row>
    <row r="1491" spans="2:4" ht="13">
      <c r="B1491" s="12">
        <f ca="1">IFERROR(__xludf.DUMMYFUNCTION("""COMPUTED_VALUE"""),110469)</f>
        <v>110469</v>
      </c>
      <c r="C1491" s="14">
        <f ca="1">IFERROR(__xludf.DUMMYFUNCTION("""COMPUTED_VALUE"""),13)</f>
        <v>13</v>
      </c>
      <c r="D1491" s="12" t="str">
        <f ca="1">IFERROR(__xludf.DUMMYFUNCTION("""COMPUTED_VALUE"""),"桑原 明子")</f>
        <v>桑原 明子</v>
      </c>
    </row>
    <row r="1492" spans="2:4" ht="13">
      <c r="B1492" s="12">
        <f ca="1">IFERROR(__xludf.DUMMYFUNCTION("""COMPUTED_VALUE"""),110479)</f>
        <v>110479</v>
      </c>
      <c r="C1492" s="14">
        <f ca="1">IFERROR(__xludf.DUMMYFUNCTION("""COMPUTED_VALUE"""),2)</f>
        <v>2</v>
      </c>
      <c r="D1492" s="12" t="str">
        <f ca="1">IFERROR(__xludf.DUMMYFUNCTION("""COMPUTED_VALUE"""),"川島 幹也")</f>
        <v>川島 幹也</v>
      </c>
    </row>
    <row r="1493" spans="2:4" ht="13">
      <c r="B1493" s="12">
        <f ca="1">IFERROR(__xludf.DUMMYFUNCTION("""COMPUTED_VALUE"""),110485)</f>
        <v>110485</v>
      </c>
      <c r="C1493" s="14">
        <f ca="1">IFERROR(__xludf.DUMMYFUNCTION("""COMPUTED_VALUE"""),0)</f>
        <v>0</v>
      </c>
      <c r="D1493" s="12" t="str">
        <f ca="1">IFERROR(__xludf.DUMMYFUNCTION("""COMPUTED_VALUE"""),"成嶋 夏未")</f>
        <v>成嶋 夏未</v>
      </c>
    </row>
    <row r="1494" spans="2:4" ht="13">
      <c r="B1494" s="12">
        <f ca="1">IFERROR(__xludf.DUMMYFUNCTION("""COMPUTED_VALUE"""),110497)</f>
        <v>110497</v>
      </c>
      <c r="C1494" s="14">
        <f ca="1">IFERROR(__xludf.DUMMYFUNCTION("""COMPUTED_VALUE"""),0)</f>
        <v>0</v>
      </c>
      <c r="D1494" s="12" t="str">
        <f ca="1">IFERROR(__xludf.DUMMYFUNCTION("""COMPUTED_VALUE"""),"栗原 大武")</f>
        <v>栗原 大武</v>
      </c>
    </row>
    <row r="1495" spans="2:4" ht="13">
      <c r="B1495" s="12">
        <f ca="1">IFERROR(__xludf.DUMMYFUNCTION("""COMPUTED_VALUE"""),110500)</f>
        <v>110500</v>
      </c>
      <c r="C1495" s="14">
        <f ca="1">IFERROR(__xludf.DUMMYFUNCTION("""COMPUTED_VALUE"""),16)</f>
        <v>16</v>
      </c>
      <c r="D1495" s="12" t="str">
        <f ca="1">IFERROR(__xludf.DUMMYFUNCTION("""COMPUTED_VALUE"""),"長谷川 陸朗")</f>
        <v>長谷川 陸朗</v>
      </c>
    </row>
    <row r="1496" spans="2:4" ht="13">
      <c r="B1496" s="12">
        <f ca="1">IFERROR(__xludf.DUMMYFUNCTION("""COMPUTED_VALUE"""),110503)</f>
        <v>110503</v>
      </c>
      <c r="C1496" s="14">
        <f ca="1">IFERROR(__xludf.DUMMYFUNCTION("""COMPUTED_VALUE"""),0)</f>
        <v>0</v>
      </c>
      <c r="D1496" s="12" t="str">
        <f ca="1">IFERROR(__xludf.DUMMYFUNCTION("""COMPUTED_VALUE"""),"奥野 貴大")</f>
        <v>奥野 貴大</v>
      </c>
    </row>
    <row r="1497" spans="2:4" ht="13">
      <c r="B1497" s="12">
        <f ca="1">IFERROR(__xludf.DUMMYFUNCTION("""COMPUTED_VALUE"""),110507)</f>
        <v>110507</v>
      </c>
      <c r="C1497" s="14">
        <f ca="1">IFERROR(__xludf.DUMMYFUNCTION("""COMPUTED_VALUE"""),0)</f>
        <v>0</v>
      </c>
      <c r="D1497" s="12" t="str">
        <f ca="1">IFERROR(__xludf.DUMMYFUNCTION("""COMPUTED_VALUE"""),"成嶋 夏未")</f>
        <v>成嶋 夏未</v>
      </c>
    </row>
    <row r="1498" spans="2:4" ht="13">
      <c r="B1498" s="12">
        <f ca="1">IFERROR(__xludf.DUMMYFUNCTION("""COMPUTED_VALUE"""),110515)</f>
        <v>110515</v>
      </c>
      <c r="C1498" s="14">
        <f ca="1">IFERROR(__xludf.DUMMYFUNCTION("""COMPUTED_VALUE"""),4)</f>
        <v>4</v>
      </c>
      <c r="D1498" s="12" t="str">
        <f ca="1">IFERROR(__xludf.DUMMYFUNCTION("""COMPUTED_VALUE"""),"森 光智")</f>
        <v>森 光智</v>
      </c>
    </row>
    <row r="1499" spans="2:4" ht="13">
      <c r="B1499" s="12">
        <f ca="1">IFERROR(__xludf.DUMMYFUNCTION("""COMPUTED_VALUE"""),110516)</f>
        <v>110516</v>
      </c>
      <c r="C1499" s="14">
        <f ca="1">IFERROR(__xludf.DUMMYFUNCTION("""COMPUTED_VALUE"""),3)</f>
        <v>3</v>
      </c>
      <c r="D1499" s="12" t="str">
        <f ca="1">IFERROR(__xludf.DUMMYFUNCTION("""COMPUTED_VALUE"""),"森 光智")</f>
        <v>森 光智</v>
      </c>
    </row>
    <row r="1500" spans="2:4" ht="13">
      <c r="B1500" s="12">
        <f ca="1">IFERROR(__xludf.DUMMYFUNCTION("""COMPUTED_VALUE"""),110518)</f>
        <v>110518</v>
      </c>
      <c r="C1500" s="14">
        <f ca="1">IFERROR(__xludf.DUMMYFUNCTION("""COMPUTED_VALUE"""),6)</f>
        <v>6</v>
      </c>
      <c r="D1500" s="12" t="str">
        <f ca="1">IFERROR(__xludf.DUMMYFUNCTION("""COMPUTED_VALUE"""),"森 光智")</f>
        <v>森 光智</v>
      </c>
    </row>
    <row r="1501" spans="2:4" ht="13">
      <c r="B1501" s="12">
        <f ca="1">IFERROR(__xludf.DUMMYFUNCTION("""COMPUTED_VALUE"""),110519)</f>
        <v>110519</v>
      </c>
      <c r="C1501" s="14">
        <f ca="1">IFERROR(__xludf.DUMMYFUNCTION("""COMPUTED_VALUE"""),5)</f>
        <v>5</v>
      </c>
      <c r="D1501" s="12" t="str">
        <f ca="1">IFERROR(__xludf.DUMMYFUNCTION("""COMPUTED_VALUE"""),"森 光智")</f>
        <v>森 光智</v>
      </c>
    </row>
    <row r="1502" spans="2:4" ht="13">
      <c r="B1502" s="12">
        <f ca="1">IFERROR(__xludf.DUMMYFUNCTION("""COMPUTED_VALUE"""),110520)</f>
        <v>110520</v>
      </c>
      <c r="C1502" s="14">
        <f ca="1">IFERROR(__xludf.DUMMYFUNCTION("""COMPUTED_VALUE"""),3)</f>
        <v>3</v>
      </c>
      <c r="D1502" s="12" t="str">
        <f ca="1">IFERROR(__xludf.DUMMYFUNCTION("""COMPUTED_VALUE"""),"森 光智")</f>
        <v>森 光智</v>
      </c>
    </row>
    <row r="1503" spans="2:4" ht="13">
      <c r="B1503" s="12">
        <f ca="1">IFERROR(__xludf.DUMMYFUNCTION("""COMPUTED_VALUE"""),110526)</f>
        <v>110526</v>
      </c>
      <c r="C1503" s="14">
        <f ca="1">IFERROR(__xludf.DUMMYFUNCTION("""COMPUTED_VALUE"""),53)</f>
        <v>53</v>
      </c>
      <c r="D1503" s="12" t="str">
        <f ca="1">IFERROR(__xludf.DUMMYFUNCTION("""COMPUTED_VALUE"""),"老田 純輝")</f>
        <v>老田 純輝</v>
      </c>
    </row>
    <row r="1504" spans="2:4" ht="13">
      <c r="B1504" s="12">
        <f ca="1">IFERROR(__xludf.DUMMYFUNCTION("""COMPUTED_VALUE"""),110550)</f>
        <v>110550</v>
      </c>
      <c r="C1504" s="14">
        <f ca="1">IFERROR(__xludf.DUMMYFUNCTION("""COMPUTED_VALUE"""),0)</f>
        <v>0</v>
      </c>
      <c r="D1504" s="12" t="str">
        <f ca="1">IFERROR(__xludf.DUMMYFUNCTION("""COMPUTED_VALUE"""),"長谷川 陸朗")</f>
        <v>長谷川 陸朗</v>
      </c>
    </row>
    <row r="1505" spans="2:4" ht="13">
      <c r="B1505" s="12">
        <f ca="1">IFERROR(__xludf.DUMMYFUNCTION("""COMPUTED_VALUE"""),110553)</f>
        <v>110553</v>
      </c>
      <c r="C1505" s="14">
        <f ca="1">IFERROR(__xludf.DUMMYFUNCTION("""COMPUTED_VALUE"""),8)</f>
        <v>8</v>
      </c>
      <c r="D1505" s="12" t="str">
        <f ca="1">IFERROR(__xludf.DUMMYFUNCTION("""COMPUTED_VALUE"""),"松尾 尚樹")</f>
        <v>松尾 尚樹</v>
      </c>
    </row>
    <row r="1506" spans="2:4" ht="13">
      <c r="B1506" s="12">
        <f ca="1">IFERROR(__xludf.DUMMYFUNCTION("""COMPUTED_VALUE"""),110583)</f>
        <v>110583</v>
      </c>
      <c r="C1506" s="14">
        <f ca="1">IFERROR(__xludf.DUMMYFUNCTION("""COMPUTED_VALUE"""),4)</f>
        <v>4</v>
      </c>
      <c r="D1506" s="12" t="str">
        <f ca="1">IFERROR(__xludf.DUMMYFUNCTION("""COMPUTED_VALUE"""),"稲場 勇介")</f>
        <v>稲場 勇介</v>
      </c>
    </row>
    <row r="1507" spans="2:4" ht="13">
      <c r="B1507" s="12">
        <f ca="1">IFERROR(__xludf.DUMMYFUNCTION("""COMPUTED_VALUE"""),110584)</f>
        <v>110584</v>
      </c>
      <c r="C1507" s="14">
        <f ca="1">IFERROR(__xludf.DUMMYFUNCTION("""COMPUTED_VALUE"""),0)</f>
        <v>0</v>
      </c>
      <c r="D1507" s="12" t="str">
        <f ca="1">IFERROR(__xludf.DUMMYFUNCTION("""COMPUTED_VALUE"""),"成嶋 夏未")</f>
        <v>成嶋 夏未</v>
      </c>
    </row>
    <row r="1508" spans="2:4" ht="13">
      <c r="B1508" s="12">
        <f ca="1">IFERROR(__xludf.DUMMYFUNCTION("""COMPUTED_VALUE"""),110588)</f>
        <v>110588</v>
      </c>
      <c r="C1508" s="14">
        <f ca="1">IFERROR(__xludf.DUMMYFUNCTION("""COMPUTED_VALUE"""),0)</f>
        <v>0</v>
      </c>
      <c r="D1508" s="12" t="str">
        <f ca="1">IFERROR(__xludf.DUMMYFUNCTION("""COMPUTED_VALUE"""),"栗原 大武")</f>
        <v>栗原 大武</v>
      </c>
    </row>
    <row r="1509" spans="2:4" ht="13">
      <c r="B1509" s="12">
        <f ca="1">IFERROR(__xludf.DUMMYFUNCTION("""COMPUTED_VALUE"""),110589)</f>
        <v>110589</v>
      </c>
      <c r="C1509" s="14">
        <f ca="1">IFERROR(__xludf.DUMMYFUNCTION("""COMPUTED_VALUE"""),0)</f>
        <v>0</v>
      </c>
      <c r="D1509" s="12" t="str">
        <f ca="1">IFERROR(__xludf.DUMMYFUNCTION("""COMPUTED_VALUE"""),"栗原 大武")</f>
        <v>栗原 大武</v>
      </c>
    </row>
    <row r="1510" spans="2:4" ht="13">
      <c r="B1510" s="12">
        <f ca="1">IFERROR(__xludf.DUMMYFUNCTION("""COMPUTED_VALUE"""),110590)</f>
        <v>110590</v>
      </c>
      <c r="C1510" s="14">
        <f ca="1">IFERROR(__xludf.DUMMYFUNCTION("""COMPUTED_VALUE"""),389)</f>
        <v>389</v>
      </c>
      <c r="D1510" s="12" t="str">
        <f ca="1">IFERROR(__xludf.DUMMYFUNCTION("""COMPUTED_VALUE"""),"栗原 大武")</f>
        <v>栗原 大武</v>
      </c>
    </row>
    <row r="1511" spans="2:4" ht="13">
      <c r="B1511" s="12">
        <f ca="1">IFERROR(__xludf.DUMMYFUNCTION("""COMPUTED_VALUE"""),110591)</f>
        <v>110591</v>
      </c>
      <c r="C1511" s="14">
        <f ca="1">IFERROR(__xludf.DUMMYFUNCTION("""COMPUTED_VALUE"""),395)</f>
        <v>395</v>
      </c>
      <c r="D1511" s="12" t="str">
        <f ca="1">IFERROR(__xludf.DUMMYFUNCTION("""COMPUTED_VALUE"""),"栗原 大武")</f>
        <v>栗原 大武</v>
      </c>
    </row>
    <row r="1512" spans="2:4" ht="13">
      <c r="B1512" s="12">
        <f ca="1">IFERROR(__xludf.DUMMYFUNCTION("""COMPUTED_VALUE"""),110592)</f>
        <v>110592</v>
      </c>
      <c r="C1512" s="14">
        <f ca="1">IFERROR(__xludf.DUMMYFUNCTION("""COMPUTED_VALUE"""),374)</f>
        <v>374</v>
      </c>
      <c r="D1512" s="12" t="str">
        <f ca="1">IFERROR(__xludf.DUMMYFUNCTION("""COMPUTED_VALUE"""),"栗原 大武")</f>
        <v>栗原 大武</v>
      </c>
    </row>
    <row r="1513" spans="2:4" ht="13">
      <c r="B1513" s="12">
        <f ca="1">IFERROR(__xludf.DUMMYFUNCTION("""COMPUTED_VALUE"""),110593)</f>
        <v>110593</v>
      </c>
      <c r="C1513" s="14">
        <f ca="1">IFERROR(__xludf.DUMMYFUNCTION("""COMPUTED_VALUE"""),214)</f>
        <v>214</v>
      </c>
      <c r="D1513" s="12" t="str">
        <f ca="1">IFERROR(__xludf.DUMMYFUNCTION("""COMPUTED_VALUE"""),"栗原 大武")</f>
        <v>栗原 大武</v>
      </c>
    </row>
    <row r="1514" spans="2:4" ht="13">
      <c r="B1514" s="12">
        <f ca="1">IFERROR(__xludf.DUMMYFUNCTION("""COMPUTED_VALUE"""),110594)</f>
        <v>110594</v>
      </c>
      <c r="C1514" s="14">
        <f ca="1">IFERROR(__xludf.DUMMYFUNCTION("""COMPUTED_VALUE"""),0)</f>
        <v>0</v>
      </c>
      <c r="D1514" s="12" t="str">
        <f ca="1">IFERROR(__xludf.DUMMYFUNCTION("""COMPUTED_VALUE"""),"栗原 大武")</f>
        <v>栗原 大武</v>
      </c>
    </row>
    <row r="1515" spans="2:4" ht="13">
      <c r="B1515" s="12">
        <f ca="1">IFERROR(__xludf.DUMMYFUNCTION("""COMPUTED_VALUE"""),110595)</f>
        <v>110595</v>
      </c>
      <c r="C1515" s="14">
        <f ca="1">IFERROR(__xludf.DUMMYFUNCTION("""COMPUTED_VALUE"""),382)</f>
        <v>382</v>
      </c>
      <c r="D1515" s="12" t="str">
        <f ca="1">IFERROR(__xludf.DUMMYFUNCTION("""COMPUTED_VALUE"""),"栗原 大武")</f>
        <v>栗原 大武</v>
      </c>
    </row>
    <row r="1516" spans="2:4" ht="13">
      <c r="B1516" s="12">
        <f ca="1">IFERROR(__xludf.DUMMYFUNCTION("""COMPUTED_VALUE"""),110596)</f>
        <v>110596</v>
      </c>
      <c r="C1516" s="14">
        <f ca="1">IFERROR(__xludf.DUMMYFUNCTION("""COMPUTED_VALUE"""),375)</f>
        <v>375</v>
      </c>
      <c r="D1516" s="12" t="str">
        <f ca="1">IFERROR(__xludf.DUMMYFUNCTION("""COMPUTED_VALUE"""),"栗原 大武")</f>
        <v>栗原 大武</v>
      </c>
    </row>
    <row r="1517" spans="2:4" ht="13">
      <c r="B1517" s="12">
        <f ca="1">IFERROR(__xludf.DUMMYFUNCTION("""COMPUTED_VALUE"""),110598)</f>
        <v>110598</v>
      </c>
      <c r="C1517" s="14">
        <f ca="1">IFERROR(__xludf.DUMMYFUNCTION("""COMPUTED_VALUE"""),355)</f>
        <v>355</v>
      </c>
      <c r="D1517" s="12" t="str">
        <f ca="1">IFERROR(__xludf.DUMMYFUNCTION("""COMPUTED_VALUE"""),"栗原 大武")</f>
        <v>栗原 大武</v>
      </c>
    </row>
    <row r="1518" spans="2:4" ht="13">
      <c r="B1518" s="12">
        <f ca="1">IFERROR(__xludf.DUMMYFUNCTION("""COMPUTED_VALUE"""),110601)</f>
        <v>110601</v>
      </c>
      <c r="C1518" s="14">
        <f ca="1">IFERROR(__xludf.DUMMYFUNCTION("""COMPUTED_VALUE"""),0)</f>
        <v>0</v>
      </c>
      <c r="D1518" s="12" t="str">
        <f ca="1">IFERROR(__xludf.DUMMYFUNCTION("""COMPUTED_VALUE"""),"村上 浩一朗")</f>
        <v>村上 浩一朗</v>
      </c>
    </row>
    <row r="1519" spans="2:4" ht="13">
      <c r="B1519" s="12">
        <f ca="1">IFERROR(__xludf.DUMMYFUNCTION("""COMPUTED_VALUE"""),110647)</f>
        <v>110647</v>
      </c>
      <c r="C1519" s="14">
        <f ca="1">IFERROR(__xludf.DUMMYFUNCTION("""COMPUTED_VALUE"""),17)</f>
        <v>17</v>
      </c>
      <c r="D1519" s="12" t="str">
        <f ca="1">IFERROR(__xludf.DUMMYFUNCTION("""COMPUTED_VALUE"""),"小川 純")</f>
        <v>小川 純</v>
      </c>
    </row>
    <row r="1520" spans="2:4" ht="13">
      <c r="B1520" s="12">
        <f ca="1">IFERROR(__xludf.DUMMYFUNCTION("""COMPUTED_VALUE"""),110651)</f>
        <v>110651</v>
      </c>
      <c r="C1520" s="14">
        <f ca="1">IFERROR(__xludf.DUMMYFUNCTION("""COMPUTED_VALUE"""),29)</f>
        <v>29</v>
      </c>
      <c r="D1520" s="12" t="str">
        <f ca="1">IFERROR(__xludf.DUMMYFUNCTION("""COMPUTED_VALUE"""),"辻村 将大")</f>
        <v>辻村 将大</v>
      </c>
    </row>
    <row r="1521" spans="2:4" ht="13">
      <c r="B1521" s="12">
        <f ca="1">IFERROR(__xludf.DUMMYFUNCTION("""COMPUTED_VALUE"""),110652)</f>
        <v>110652</v>
      </c>
      <c r="C1521" s="14">
        <f ca="1">IFERROR(__xludf.DUMMYFUNCTION("""COMPUTED_VALUE"""),0)</f>
        <v>0</v>
      </c>
      <c r="D1521" s="12" t="str">
        <f ca="1">IFERROR(__xludf.DUMMYFUNCTION("""COMPUTED_VALUE"""),"老田 純輝")</f>
        <v>老田 純輝</v>
      </c>
    </row>
    <row r="1522" spans="2:4" ht="13">
      <c r="B1522" s="12">
        <f ca="1">IFERROR(__xludf.DUMMYFUNCTION("""COMPUTED_VALUE"""),110662)</f>
        <v>110662</v>
      </c>
      <c r="C1522" s="14">
        <f ca="1">IFERROR(__xludf.DUMMYFUNCTION("""COMPUTED_VALUE"""),1)</f>
        <v>1</v>
      </c>
      <c r="D1522" s="12" t="str">
        <f ca="1">IFERROR(__xludf.DUMMYFUNCTION("""COMPUTED_VALUE"""),"長谷川 陸朗")</f>
        <v>長谷川 陸朗</v>
      </c>
    </row>
    <row r="1523" spans="2:4" ht="13">
      <c r="B1523" s="12">
        <f ca="1">IFERROR(__xludf.DUMMYFUNCTION("""COMPUTED_VALUE"""),110668)</f>
        <v>110668</v>
      </c>
      <c r="C1523" s="14">
        <f ca="1">IFERROR(__xludf.DUMMYFUNCTION("""COMPUTED_VALUE"""),6)</f>
        <v>6</v>
      </c>
      <c r="D1523" s="12" t="str">
        <f ca="1">IFERROR(__xludf.DUMMYFUNCTION("""COMPUTED_VALUE"""),"奥野 貴大")</f>
        <v>奥野 貴大</v>
      </c>
    </row>
    <row r="1524" spans="2:4" ht="13">
      <c r="B1524" s="12">
        <f ca="1">IFERROR(__xludf.DUMMYFUNCTION("""COMPUTED_VALUE"""),110676)</f>
        <v>110676</v>
      </c>
      <c r="C1524" s="14">
        <f ca="1">IFERROR(__xludf.DUMMYFUNCTION("""COMPUTED_VALUE"""),14)</f>
        <v>14</v>
      </c>
      <c r="D1524" s="12" t="str">
        <f ca="1">IFERROR(__xludf.DUMMYFUNCTION("""COMPUTED_VALUE"""),"老田 純輝")</f>
        <v>老田 純輝</v>
      </c>
    </row>
    <row r="1525" spans="2:4" ht="13">
      <c r="B1525" s="12">
        <f ca="1">IFERROR(__xludf.DUMMYFUNCTION("""COMPUTED_VALUE"""),110680)</f>
        <v>110680</v>
      </c>
      <c r="C1525" s="14">
        <f ca="1">IFERROR(__xludf.DUMMYFUNCTION("""COMPUTED_VALUE"""),11)</f>
        <v>11</v>
      </c>
      <c r="D1525" s="12" t="str">
        <f ca="1">IFERROR(__xludf.DUMMYFUNCTION("""COMPUTED_VALUE"""),"老田 純輝")</f>
        <v>老田 純輝</v>
      </c>
    </row>
    <row r="1526" spans="2:4" ht="13">
      <c r="B1526" s="12">
        <f ca="1">IFERROR(__xludf.DUMMYFUNCTION("""COMPUTED_VALUE"""),110681)</f>
        <v>110681</v>
      </c>
      <c r="C1526" s="14">
        <f ca="1">IFERROR(__xludf.DUMMYFUNCTION("""COMPUTED_VALUE"""),2)</f>
        <v>2</v>
      </c>
      <c r="D1526" s="12" t="str">
        <f ca="1">IFERROR(__xludf.DUMMYFUNCTION("""COMPUTED_VALUE"""),"老田 純輝")</f>
        <v>老田 純輝</v>
      </c>
    </row>
    <row r="1527" spans="2:4" ht="13">
      <c r="B1527" s="12">
        <f ca="1">IFERROR(__xludf.DUMMYFUNCTION("""COMPUTED_VALUE"""),110684)</f>
        <v>110684</v>
      </c>
      <c r="C1527" s="14">
        <f ca="1">IFERROR(__xludf.DUMMYFUNCTION("""COMPUTED_VALUE"""),17)</f>
        <v>17</v>
      </c>
      <c r="D1527" s="12" t="str">
        <f ca="1">IFERROR(__xludf.DUMMYFUNCTION("""COMPUTED_VALUE"""),"荻曽 克輝")</f>
        <v>荻曽 克輝</v>
      </c>
    </row>
    <row r="1528" spans="2:4" ht="13">
      <c r="B1528" s="12">
        <f ca="1">IFERROR(__xludf.DUMMYFUNCTION("""COMPUTED_VALUE"""),110689)</f>
        <v>110689</v>
      </c>
      <c r="C1528" s="14">
        <f ca="1">IFERROR(__xludf.DUMMYFUNCTION("""COMPUTED_VALUE"""),0)</f>
        <v>0</v>
      </c>
      <c r="D1528" s="12" t="str">
        <f ca="1">IFERROR(__xludf.DUMMYFUNCTION("""COMPUTED_VALUE"""),"稲場 勇介")</f>
        <v>稲場 勇介</v>
      </c>
    </row>
    <row r="1529" spans="2:4" ht="13">
      <c r="B1529" s="12">
        <f ca="1">IFERROR(__xludf.DUMMYFUNCTION("""COMPUTED_VALUE"""),110700)</f>
        <v>110700</v>
      </c>
      <c r="C1529" s="14">
        <f ca="1">IFERROR(__xludf.DUMMYFUNCTION("""COMPUTED_VALUE"""),5)</f>
        <v>5</v>
      </c>
      <c r="D1529" s="12" t="str">
        <f ca="1">IFERROR(__xludf.DUMMYFUNCTION("""COMPUTED_VALUE"""),"森 光智")</f>
        <v>森 光智</v>
      </c>
    </row>
    <row r="1530" spans="2:4" ht="13">
      <c r="B1530" s="12">
        <f ca="1">IFERROR(__xludf.DUMMYFUNCTION("""COMPUTED_VALUE"""),110701)</f>
        <v>110701</v>
      </c>
      <c r="C1530" s="14">
        <f ca="1">IFERROR(__xludf.DUMMYFUNCTION("""COMPUTED_VALUE"""),2)</f>
        <v>2</v>
      </c>
      <c r="D1530" s="12" t="str">
        <f ca="1">IFERROR(__xludf.DUMMYFUNCTION("""COMPUTED_VALUE"""),"森 光智")</f>
        <v>森 光智</v>
      </c>
    </row>
    <row r="1531" spans="2:4" ht="13">
      <c r="B1531" s="12">
        <f ca="1">IFERROR(__xludf.DUMMYFUNCTION("""COMPUTED_VALUE"""),110706)</f>
        <v>110706</v>
      </c>
      <c r="C1531" s="14">
        <f ca="1">IFERROR(__xludf.DUMMYFUNCTION("""COMPUTED_VALUE"""),0)</f>
        <v>0</v>
      </c>
      <c r="D1531" s="12" t="str">
        <f ca="1">IFERROR(__xludf.DUMMYFUNCTION("""COMPUTED_VALUE"""),"成嶋 夏未")</f>
        <v>成嶋 夏未</v>
      </c>
    </row>
    <row r="1532" spans="2:4" ht="13">
      <c r="B1532" s="12">
        <f ca="1">IFERROR(__xludf.DUMMYFUNCTION("""COMPUTED_VALUE"""),110714)</f>
        <v>110714</v>
      </c>
      <c r="C1532" s="14">
        <f ca="1">IFERROR(__xludf.DUMMYFUNCTION("""COMPUTED_VALUE"""),12)</f>
        <v>12</v>
      </c>
      <c r="D1532" s="12" t="str">
        <f ca="1">IFERROR(__xludf.DUMMYFUNCTION("""COMPUTED_VALUE"""),"老田 純輝")</f>
        <v>老田 純輝</v>
      </c>
    </row>
    <row r="1533" spans="2:4" ht="13">
      <c r="B1533" s="12">
        <f ca="1">IFERROR(__xludf.DUMMYFUNCTION("""COMPUTED_VALUE"""),110735)</f>
        <v>110735</v>
      </c>
      <c r="C1533" s="14">
        <f ca="1">IFERROR(__xludf.DUMMYFUNCTION("""COMPUTED_VALUE"""),55)</f>
        <v>55</v>
      </c>
      <c r="D1533" s="12" t="str">
        <f ca="1">IFERROR(__xludf.DUMMYFUNCTION("""COMPUTED_VALUE"""),"老田 純輝")</f>
        <v>老田 純輝</v>
      </c>
    </row>
    <row r="1534" spans="2:4" ht="13">
      <c r="B1534" s="12">
        <f ca="1">IFERROR(__xludf.DUMMYFUNCTION("""COMPUTED_VALUE"""),110738)</f>
        <v>110738</v>
      </c>
      <c r="C1534" s="14">
        <f ca="1">IFERROR(__xludf.DUMMYFUNCTION("""COMPUTED_VALUE"""),0)</f>
        <v>0</v>
      </c>
      <c r="D1534" s="12" t="str">
        <f ca="1">IFERROR(__xludf.DUMMYFUNCTION("""COMPUTED_VALUE"""),"長谷川 陸朗")</f>
        <v>長谷川 陸朗</v>
      </c>
    </row>
    <row r="1535" spans="2:4" ht="13">
      <c r="B1535" s="12">
        <f ca="1">IFERROR(__xludf.DUMMYFUNCTION("""COMPUTED_VALUE"""),110742)</f>
        <v>110742</v>
      </c>
      <c r="C1535" s="14">
        <f ca="1">IFERROR(__xludf.DUMMYFUNCTION("""COMPUTED_VALUE"""),0)</f>
        <v>0</v>
      </c>
      <c r="D1535" s="12" t="str">
        <f ca="1">IFERROR(__xludf.DUMMYFUNCTION("""COMPUTED_VALUE"""),"長谷川 陸朗")</f>
        <v>長谷川 陸朗</v>
      </c>
    </row>
    <row r="1536" spans="2:4" ht="13">
      <c r="B1536" s="12">
        <f ca="1">IFERROR(__xludf.DUMMYFUNCTION("""COMPUTED_VALUE"""),110752)</f>
        <v>110752</v>
      </c>
      <c r="C1536" s="14">
        <f ca="1">IFERROR(__xludf.DUMMYFUNCTION("""COMPUTED_VALUE"""),78)</f>
        <v>78</v>
      </c>
      <c r="D1536" s="12" t="str">
        <f ca="1">IFERROR(__xludf.DUMMYFUNCTION("""COMPUTED_VALUE"""),"辻村 将大")</f>
        <v>辻村 将大</v>
      </c>
    </row>
    <row r="1537" spans="2:4" ht="13">
      <c r="B1537" s="12">
        <f ca="1">IFERROR(__xludf.DUMMYFUNCTION("""COMPUTED_VALUE"""),110753)</f>
        <v>110753</v>
      </c>
      <c r="C1537" s="14">
        <f ca="1">IFERROR(__xludf.DUMMYFUNCTION("""COMPUTED_VALUE"""),35)</f>
        <v>35</v>
      </c>
      <c r="D1537" s="12" t="str">
        <f ca="1">IFERROR(__xludf.DUMMYFUNCTION("""COMPUTED_VALUE"""),"辻村 将大")</f>
        <v>辻村 将大</v>
      </c>
    </row>
    <row r="1538" spans="2:4" ht="13">
      <c r="B1538" s="12">
        <f ca="1">IFERROR(__xludf.DUMMYFUNCTION("""COMPUTED_VALUE"""),110754)</f>
        <v>110754</v>
      </c>
      <c r="C1538" s="14">
        <f ca="1">IFERROR(__xludf.DUMMYFUNCTION("""COMPUTED_VALUE"""),23)</f>
        <v>23</v>
      </c>
      <c r="D1538" s="12" t="str">
        <f ca="1">IFERROR(__xludf.DUMMYFUNCTION("""COMPUTED_VALUE"""),"辻村 将大")</f>
        <v>辻村 将大</v>
      </c>
    </row>
    <row r="1539" spans="2:4" ht="13">
      <c r="B1539" s="12">
        <f ca="1">IFERROR(__xludf.DUMMYFUNCTION("""COMPUTED_VALUE"""),110755)</f>
        <v>110755</v>
      </c>
      <c r="C1539" s="14">
        <f ca="1">IFERROR(__xludf.DUMMYFUNCTION("""COMPUTED_VALUE"""),29)</f>
        <v>29</v>
      </c>
      <c r="D1539" s="12" t="str">
        <f ca="1">IFERROR(__xludf.DUMMYFUNCTION("""COMPUTED_VALUE"""),"辻村 将大")</f>
        <v>辻村 将大</v>
      </c>
    </row>
    <row r="1540" spans="2:4" ht="13">
      <c r="B1540" s="12">
        <f ca="1">IFERROR(__xludf.DUMMYFUNCTION("""COMPUTED_VALUE"""),110760)</f>
        <v>110760</v>
      </c>
      <c r="C1540" s="14">
        <f ca="1">IFERROR(__xludf.DUMMYFUNCTION("""COMPUTED_VALUE"""),39)</f>
        <v>39</v>
      </c>
      <c r="D1540" s="12" t="str">
        <f ca="1">IFERROR(__xludf.DUMMYFUNCTION("""COMPUTED_VALUE"""),"桐山 勝気")</f>
        <v>桐山 勝気</v>
      </c>
    </row>
    <row r="1541" spans="2:4" ht="13">
      <c r="B1541" s="12">
        <f ca="1">IFERROR(__xludf.DUMMYFUNCTION("""COMPUTED_VALUE"""),110770)</f>
        <v>110770</v>
      </c>
      <c r="C1541" s="14">
        <f ca="1">IFERROR(__xludf.DUMMYFUNCTION("""COMPUTED_VALUE"""),0)</f>
        <v>0</v>
      </c>
      <c r="D1541" s="12" t="str">
        <f ca="1">IFERROR(__xludf.DUMMYFUNCTION("""COMPUTED_VALUE"""),"小川 純")</f>
        <v>小川 純</v>
      </c>
    </row>
    <row r="1542" spans="2:4" ht="13">
      <c r="B1542" s="12">
        <f ca="1">IFERROR(__xludf.DUMMYFUNCTION("""COMPUTED_VALUE"""),110780)</f>
        <v>110780</v>
      </c>
      <c r="C1542" s="14">
        <f ca="1">IFERROR(__xludf.DUMMYFUNCTION("""COMPUTED_VALUE"""),2)</f>
        <v>2</v>
      </c>
      <c r="D1542" s="12" t="str">
        <f ca="1">IFERROR(__xludf.DUMMYFUNCTION("""COMPUTED_VALUE"""),"栗原 大武")</f>
        <v>栗原 大武</v>
      </c>
    </row>
    <row r="1543" spans="2:4" ht="13">
      <c r="B1543" s="12">
        <f ca="1">IFERROR(__xludf.DUMMYFUNCTION("""COMPUTED_VALUE"""),110785)</f>
        <v>110785</v>
      </c>
      <c r="C1543" s="14">
        <f ca="1">IFERROR(__xludf.DUMMYFUNCTION("""COMPUTED_VALUE"""),12)</f>
        <v>12</v>
      </c>
      <c r="D1543" s="12" t="str">
        <f ca="1">IFERROR(__xludf.DUMMYFUNCTION("""COMPUTED_VALUE"""),"栗原 大武")</f>
        <v>栗原 大武</v>
      </c>
    </row>
    <row r="1544" spans="2:4" ht="13">
      <c r="B1544" s="12">
        <f ca="1">IFERROR(__xludf.DUMMYFUNCTION("""COMPUTED_VALUE"""),110815)</f>
        <v>110815</v>
      </c>
      <c r="C1544" s="14">
        <f ca="1">IFERROR(__xludf.DUMMYFUNCTION("""COMPUTED_VALUE"""),0)</f>
        <v>0</v>
      </c>
      <c r="D1544" s="12" t="str">
        <f ca="1">IFERROR(__xludf.DUMMYFUNCTION("""COMPUTED_VALUE"""),"松尾 尚樹")</f>
        <v>松尾 尚樹</v>
      </c>
    </row>
    <row r="1545" spans="2:4" ht="13">
      <c r="B1545" s="12">
        <f ca="1">IFERROR(__xludf.DUMMYFUNCTION("""COMPUTED_VALUE"""),110827)</f>
        <v>110827</v>
      </c>
      <c r="C1545" s="14">
        <f ca="1">IFERROR(__xludf.DUMMYFUNCTION("""COMPUTED_VALUE"""),0)</f>
        <v>0</v>
      </c>
      <c r="D1545" s="12" t="str">
        <f ca="1">IFERROR(__xludf.DUMMYFUNCTION("""COMPUTED_VALUE"""),"菅野 ぎんが")</f>
        <v>菅野 ぎんが</v>
      </c>
    </row>
    <row r="1546" spans="2:4" ht="13">
      <c r="B1546" s="12">
        <f ca="1">IFERROR(__xludf.DUMMYFUNCTION("""COMPUTED_VALUE"""),110828)</f>
        <v>110828</v>
      </c>
      <c r="C1546" s="14">
        <f ca="1">IFERROR(__xludf.DUMMYFUNCTION("""COMPUTED_VALUE"""),7)</f>
        <v>7</v>
      </c>
      <c r="D1546" s="12" t="str">
        <f ca="1">IFERROR(__xludf.DUMMYFUNCTION("""COMPUTED_VALUE"""),"菅野 ぎんが")</f>
        <v>菅野 ぎんが</v>
      </c>
    </row>
    <row r="1547" spans="2:4" ht="13">
      <c r="B1547" s="12">
        <f ca="1">IFERROR(__xludf.DUMMYFUNCTION("""COMPUTED_VALUE"""),110829)</f>
        <v>110829</v>
      </c>
      <c r="C1547" s="14">
        <f ca="1">IFERROR(__xludf.DUMMYFUNCTION("""COMPUTED_VALUE"""),1)</f>
        <v>1</v>
      </c>
      <c r="D1547" s="12" t="str">
        <f ca="1">IFERROR(__xludf.DUMMYFUNCTION("""COMPUTED_VALUE"""),"菅野 ぎんが")</f>
        <v>菅野 ぎんが</v>
      </c>
    </row>
    <row r="1548" spans="2:4" ht="13">
      <c r="B1548" s="12">
        <f ca="1">IFERROR(__xludf.DUMMYFUNCTION("""COMPUTED_VALUE"""),110830)</f>
        <v>110830</v>
      </c>
      <c r="C1548" s="14">
        <f ca="1">IFERROR(__xludf.DUMMYFUNCTION("""COMPUTED_VALUE"""),0)</f>
        <v>0</v>
      </c>
      <c r="D1548" s="12" t="str">
        <f ca="1">IFERROR(__xludf.DUMMYFUNCTION("""COMPUTED_VALUE"""),"大木 優香")</f>
        <v>大木 優香</v>
      </c>
    </row>
    <row r="1549" spans="2:4" ht="13">
      <c r="B1549" s="12">
        <f ca="1">IFERROR(__xludf.DUMMYFUNCTION("""COMPUTED_VALUE"""),110834)</f>
        <v>110834</v>
      </c>
      <c r="C1549" s="14">
        <f ca="1">IFERROR(__xludf.DUMMYFUNCTION("""COMPUTED_VALUE"""),0)</f>
        <v>0</v>
      </c>
      <c r="D1549" s="12" t="str">
        <f ca="1">IFERROR(__xludf.DUMMYFUNCTION("""COMPUTED_VALUE"""),"松尾 尚樹")</f>
        <v>松尾 尚樹</v>
      </c>
    </row>
    <row r="1550" spans="2:4" ht="13">
      <c r="B1550" s="12">
        <f ca="1">IFERROR(__xludf.DUMMYFUNCTION("""COMPUTED_VALUE"""),110847)</f>
        <v>110847</v>
      </c>
      <c r="C1550" s="14">
        <f ca="1">IFERROR(__xludf.DUMMYFUNCTION("""COMPUTED_VALUE"""),11)</f>
        <v>11</v>
      </c>
      <c r="D1550" s="12" t="str">
        <f ca="1">IFERROR(__xludf.DUMMYFUNCTION("""COMPUTED_VALUE"""),"成嶋 夏未")</f>
        <v>成嶋 夏未</v>
      </c>
    </row>
    <row r="1551" spans="2:4" ht="13">
      <c r="B1551" s="12">
        <f ca="1">IFERROR(__xludf.DUMMYFUNCTION("""COMPUTED_VALUE"""),110854)</f>
        <v>110854</v>
      </c>
      <c r="C1551" s="14">
        <f ca="1">IFERROR(__xludf.DUMMYFUNCTION("""COMPUTED_VALUE"""),21)</f>
        <v>21</v>
      </c>
      <c r="D1551" s="12" t="str">
        <f ca="1">IFERROR(__xludf.DUMMYFUNCTION("""COMPUTED_VALUE"""),"辻村 将大")</f>
        <v>辻村 将大</v>
      </c>
    </row>
    <row r="1552" spans="2:4" ht="13">
      <c r="B1552" s="12">
        <f ca="1">IFERROR(__xludf.DUMMYFUNCTION("""COMPUTED_VALUE"""),110855)</f>
        <v>110855</v>
      </c>
      <c r="C1552" s="14">
        <f ca="1">IFERROR(__xludf.DUMMYFUNCTION("""COMPUTED_VALUE"""),9)</f>
        <v>9</v>
      </c>
      <c r="D1552" s="12" t="str">
        <f ca="1">IFERROR(__xludf.DUMMYFUNCTION("""COMPUTED_VALUE"""),"辻村 将大")</f>
        <v>辻村 将大</v>
      </c>
    </row>
    <row r="1553" spans="2:4" ht="13">
      <c r="B1553" s="12">
        <f ca="1">IFERROR(__xludf.DUMMYFUNCTION("""COMPUTED_VALUE"""),110857)</f>
        <v>110857</v>
      </c>
      <c r="C1553" s="14">
        <f ca="1">IFERROR(__xludf.DUMMYFUNCTION("""COMPUTED_VALUE"""),0)</f>
        <v>0</v>
      </c>
      <c r="D1553" s="12" t="str">
        <f ca="1">IFERROR(__xludf.DUMMYFUNCTION("""COMPUTED_VALUE"""),"小関 麻起")</f>
        <v>小関 麻起</v>
      </c>
    </row>
    <row r="1554" spans="2:4" ht="13">
      <c r="B1554" s="12">
        <f ca="1">IFERROR(__xludf.DUMMYFUNCTION("""COMPUTED_VALUE"""),110860)</f>
        <v>110860</v>
      </c>
      <c r="C1554" s="14">
        <f ca="1">IFERROR(__xludf.DUMMYFUNCTION("""COMPUTED_VALUE"""),0)</f>
        <v>0</v>
      </c>
      <c r="D1554" s="12" t="str">
        <f ca="1">IFERROR(__xludf.DUMMYFUNCTION("""COMPUTED_VALUE"""),"松尾 尚樹")</f>
        <v>松尾 尚樹</v>
      </c>
    </row>
    <row r="1555" spans="2:4" ht="13">
      <c r="B1555" s="12">
        <f ca="1">IFERROR(__xludf.DUMMYFUNCTION("""COMPUTED_VALUE"""),110868)</f>
        <v>110868</v>
      </c>
      <c r="C1555" s="14">
        <f ca="1">IFERROR(__xludf.DUMMYFUNCTION("""COMPUTED_VALUE"""),0)</f>
        <v>0</v>
      </c>
      <c r="D1555" s="12" t="str">
        <f ca="1">IFERROR(__xludf.DUMMYFUNCTION("""COMPUTED_VALUE"""),"田嶋 将太")</f>
        <v>田嶋 将太</v>
      </c>
    </row>
    <row r="1556" spans="2:4" ht="13">
      <c r="B1556" s="12">
        <f ca="1">IFERROR(__xludf.DUMMYFUNCTION("""COMPUTED_VALUE"""),110876)</f>
        <v>110876</v>
      </c>
      <c r="C1556" s="14">
        <f ca="1">IFERROR(__xludf.DUMMYFUNCTION("""COMPUTED_VALUE"""),0)</f>
        <v>0</v>
      </c>
      <c r="D1556" s="12" t="str">
        <f ca="1">IFERROR(__xludf.DUMMYFUNCTION("""COMPUTED_VALUE"""),"菅野 ぎんが")</f>
        <v>菅野 ぎんが</v>
      </c>
    </row>
    <row r="1557" spans="2:4" ht="13">
      <c r="B1557" s="12">
        <f ca="1">IFERROR(__xludf.DUMMYFUNCTION("""COMPUTED_VALUE"""),110883)</f>
        <v>110883</v>
      </c>
      <c r="C1557" s="14">
        <f ca="1">IFERROR(__xludf.DUMMYFUNCTION("""COMPUTED_VALUE"""),0)</f>
        <v>0</v>
      </c>
      <c r="D1557" s="12" t="str">
        <f ca="1">IFERROR(__xludf.DUMMYFUNCTION("""COMPUTED_VALUE"""),"辻村 将大")</f>
        <v>辻村 将大</v>
      </c>
    </row>
    <row r="1558" spans="2:4" ht="13">
      <c r="B1558" s="12">
        <f ca="1">IFERROR(__xludf.DUMMYFUNCTION("""COMPUTED_VALUE"""),110889)</f>
        <v>110889</v>
      </c>
      <c r="C1558" s="14">
        <f ca="1">IFERROR(__xludf.DUMMYFUNCTION("""COMPUTED_VALUE"""),0)</f>
        <v>0</v>
      </c>
      <c r="D1558" s="12" t="str">
        <f ca="1">IFERROR(__xludf.DUMMYFUNCTION("""COMPUTED_VALUE"""),"森 光智")</f>
        <v>森 光智</v>
      </c>
    </row>
    <row r="1559" spans="2:4" ht="13">
      <c r="B1559" s="12">
        <f ca="1">IFERROR(__xludf.DUMMYFUNCTION("""COMPUTED_VALUE"""),110893)</f>
        <v>110893</v>
      </c>
      <c r="C1559" s="14">
        <f ca="1">IFERROR(__xludf.DUMMYFUNCTION("""COMPUTED_VALUE"""),4)</f>
        <v>4</v>
      </c>
      <c r="D1559" s="12" t="str">
        <f ca="1">IFERROR(__xludf.DUMMYFUNCTION("""COMPUTED_VALUE"""),"成嶋 夏未")</f>
        <v>成嶋 夏未</v>
      </c>
    </row>
    <row r="1560" spans="2:4" ht="13">
      <c r="B1560" s="12">
        <f ca="1">IFERROR(__xludf.DUMMYFUNCTION("""COMPUTED_VALUE"""),110905)</f>
        <v>110905</v>
      </c>
      <c r="C1560" s="14">
        <f ca="1">IFERROR(__xludf.DUMMYFUNCTION("""COMPUTED_VALUE"""),1)</f>
        <v>1</v>
      </c>
      <c r="D1560" s="12" t="str">
        <f ca="1">IFERROR(__xludf.DUMMYFUNCTION("""COMPUTED_VALUE"""),"成嶋 夏未")</f>
        <v>成嶋 夏未</v>
      </c>
    </row>
    <row r="1561" spans="2:4" ht="13">
      <c r="B1561" s="12">
        <f ca="1">IFERROR(__xludf.DUMMYFUNCTION("""COMPUTED_VALUE"""),110906)</f>
        <v>110906</v>
      </c>
      <c r="C1561" s="14">
        <f ca="1">IFERROR(__xludf.DUMMYFUNCTION("""COMPUTED_VALUE"""),0)</f>
        <v>0</v>
      </c>
      <c r="D1561" s="12" t="str">
        <f ca="1">IFERROR(__xludf.DUMMYFUNCTION("""COMPUTED_VALUE"""),"松尾 尚樹")</f>
        <v>松尾 尚樹</v>
      </c>
    </row>
    <row r="1562" spans="2:4" ht="13">
      <c r="B1562" s="12">
        <f ca="1">IFERROR(__xludf.DUMMYFUNCTION("""COMPUTED_VALUE"""),110907)</f>
        <v>110907</v>
      </c>
      <c r="C1562" s="14">
        <f ca="1">IFERROR(__xludf.DUMMYFUNCTION("""COMPUTED_VALUE"""),1)</f>
        <v>1</v>
      </c>
      <c r="D1562" s="12" t="str">
        <f ca="1">IFERROR(__xludf.DUMMYFUNCTION("""COMPUTED_VALUE"""),"長谷川 陸朗")</f>
        <v>長谷川 陸朗</v>
      </c>
    </row>
    <row r="1563" spans="2:4" ht="13">
      <c r="B1563" s="12">
        <f ca="1">IFERROR(__xludf.DUMMYFUNCTION("""COMPUTED_VALUE"""),110915)</f>
        <v>110915</v>
      </c>
      <c r="C1563" s="14">
        <f ca="1">IFERROR(__xludf.DUMMYFUNCTION("""COMPUTED_VALUE"""),0)</f>
        <v>0</v>
      </c>
      <c r="D1563" s="12" t="str">
        <f ca="1">IFERROR(__xludf.DUMMYFUNCTION("""COMPUTED_VALUE"""),"川島 幹也")</f>
        <v>川島 幹也</v>
      </c>
    </row>
    <row r="1564" spans="2:4" ht="13">
      <c r="B1564" s="12">
        <f ca="1">IFERROR(__xludf.DUMMYFUNCTION("""COMPUTED_VALUE"""),110943)</f>
        <v>110943</v>
      </c>
      <c r="C1564" s="14">
        <f ca="1">IFERROR(__xludf.DUMMYFUNCTION("""COMPUTED_VALUE"""),0)</f>
        <v>0</v>
      </c>
      <c r="D1564" s="12" t="str">
        <f ca="1">IFERROR(__xludf.DUMMYFUNCTION("""COMPUTED_VALUE"""),"老田 純輝")</f>
        <v>老田 純輝</v>
      </c>
    </row>
    <row r="1565" spans="2:4" ht="13">
      <c r="B1565" s="12">
        <f ca="1">IFERROR(__xludf.DUMMYFUNCTION("""COMPUTED_VALUE"""),110944)</f>
        <v>110944</v>
      </c>
      <c r="C1565" s="14">
        <f ca="1">IFERROR(__xludf.DUMMYFUNCTION("""COMPUTED_VALUE"""),0)</f>
        <v>0</v>
      </c>
      <c r="D1565" s="12" t="str">
        <f ca="1">IFERROR(__xludf.DUMMYFUNCTION("""COMPUTED_VALUE"""),"老田 純輝")</f>
        <v>老田 純輝</v>
      </c>
    </row>
    <row r="1566" spans="2:4" ht="13">
      <c r="B1566" s="12">
        <f ca="1">IFERROR(__xludf.DUMMYFUNCTION("""COMPUTED_VALUE"""),110949)</f>
        <v>110949</v>
      </c>
      <c r="C1566" s="14">
        <f ca="1">IFERROR(__xludf.DUMMYFUNCTION("""COMPUTED_VALUE"""),4)</f>
        <v>4</v>
      </c>
      <c r="D1566" s="12" t="str">
        <f ca="1">IFERROR(__xludf.DUMMYFUNCTION("""COMPUTED_VALUE"""),"小関 麻起")</f>
        <v>小関 麻起</v>
      </c>
    </row>
    <row r="1567" spans="2:4" ht="13">
      <c r="B1567" s="12">
        <f ca="1">IFERROR(__xludf.DUMMYFUNCTION("""COMPUTED_VALUE"""),110957)</f>
        <v>110957</v>
      </c>
      <c r="C1567" s="14">
        <f ca="1">IFERROR(__xludf.DUMMYFUNCTION("""COMPUTED_VALUE"""),5)</f>
        <v>5</v>
      </c>
      <c r="D1567" s="12" t="str">
        <f ca="1">IFERROR(__xludf.DUMMYFUNCTION("""COMPUTED_VALUE"""),"稲場 勇介")</f>
        <v>稲場 勇介</v>
      </c>
    </row>
    <row r="1568" spans="2:4" ht="13">
      <c r="B1568" s="12">
        <f ca="1">IFERROR(__xludf.DUMMYFUNCTION("""COMPUTED_VALUE"""),110963)</f>
        <v>110963</v>
      </c>
      <c r="C1568" s="14">
        <f ca="1">IFERROR(__xludf.DUMMYFUNCTION("""COMPUTED_VALUE"""),2)</f>
        <v>2</v>
      </c>
      <c r="D1568" s="12" t="str">
        <f ca="1">IFERROR(__xludf.DUMMYFUNCTION("""COMPUTED_VALUE"""),"老田 純輝")</f>
        <v>老田 純輝</v>
      </c>
    </row>
    <row r="1569" spans="2:4" ht="13">
      <c r="B1569" s="12">
        <f ca="1">IFERROR(__xludf.DUMMYFUNCTION("""COMPUTED_VALUE"""),110981)</f>
        <v>110981</v>
      </c>
      <c r="C1569" s="14">
        <f ca="1">IFERROR(__xludf.DUMMYFUNCTION("""COMPUTED_VALUE"""),40)</f>
        <v>40</v>
      </c>
      <c r="D1569" s="12" t="str">
        <f ca="1">IFERROR(__xludf.DUMMYFUNCTION("""COMPUTED_VALUE"""),"桐山 勝気")</f>
        <v>桐山 勝気</v>
      </c>
    </row>
    <row r="1570" spans="2:4" ht="13">
      <c r="B1570" s="12">
        <f ca="1">IFERROR(__xludf.DUMMYFUNCTION("""COMPUTED_VALUE"""),110992)</f>
        <v>110992</v>
      </c>
      <c r="C1570" s="14">
        <f ca="1">IFERROR(__xludf.DUMMYFUNCTION("""COMPUTED_VALUE"""),2)</f>
        <v>2</v>
      </c>
      <c r="D1570" s="12" t="str">
        <f ca="1">IFERROR(__xludf.DUMMYFUNCTION("""COMPUTED_VALUE"""),"小関 麻起")</f>
        <v>小関 麻起</v>
      </c>
    </row>
    <row r="1571" spans="2:4" ht="13">
      <c r="B1571" s="12">
        <f ca="1">IFERROR(__xludf.DUMMYFUNCTION("""COMPUTED_VALUE"""),111011)</f>
        <v>111011</v>
      </c>
      <c r="C1571" s="14">
        <f ca="1">IFERROR(__xludf.DUMMYFUNCTION("""COMPUTED_VALUE"""),0)</f>
        <v>0</v>
      </c>
      <c r="D1571" s="12" t="str">
        <f ca="1">IFERROR(__xludf.DUMMYFUNCTION("""COMPUTED_VALUE"""),"稲場 勇介")</f>
        <v>稲場 勇介</v>
      </c>
    </row>
    <row r="1572" spans="2:4" ht="13">
      <c r="B1572" s="12">
        <f ca="1">IFERROR(__xludf.DUMMYFUNCTION("""COMPUTED_VALUE"""),111030)</f>
        <v>111030</v>
      </c>
      <c r="C1572" s="14">
        <f ca="1">IFERROR(__xludf.DUMMYFUNCTION("""COMPUTED_VALUE"""),36)</f>
        <v>36</v>
      </c>
      <c r="D1572" s="12" t="str">
        <f ca="1">IFERROR(__xludf.DUMMYFUNCTION("""COMPUTED_VALUE"""),"稲場 勇介")</f>
        <v>稲場 勇介</v>
      </c>
    </row>
    <row r="1573" spans="2:4" ht="13">
      <c r="B1573" s="12">
        <f ca="1">IFERROR(__xludf.DUMMYFUNCTION("""COMPUTED_VALUE"""),111039)</f>
        <v>111039</v>
      </c>
      <c r="C1573" s="14">
        <f ca="1">IFERROR(__xludf.DUMMYFUNCTION("""COMPUTED_VALUE"""),5)</f>
        <v>5</v>
      </c>
      <c r="D1573" s="12" t="str">
        <f ca="1">IFERROR(__xludf.DUMMYFUNCTION("""COMPUTED_VALUE"""),"桑原 明子")</f>
        <v>桑原 明子</v>
      </c>
    </row>
    <row r="1574" spans="2:4" ht="13">
      <c r="B1574" s="12">
        <f ca="1">IFERROR(__xludf.DUMMYFUNCTION("""COMPUTED_VALUE"""),111047)</f>
        <v>111047</v>
      </c>
      <c r="C1574" s="14">
        <f ca="1">IFERROR(__xludf.DUMMYFUNCTION("""COMPUTED_VALUE"""),2)</f>
        <v>2</v>
      </c>
      <c r="D1574" s="12" t="str">
        <f ca="1">IFERROR(__xludf.DUMMYFUNCTION("""COMPUTED_VALUE"""),"松尾 尚樹")</f>
        <v>松尾 尚樹</v>
      </c>
    </row>
    <row r="1575" spans="2:4" ht="13">
      <c r="B1575" s="12">
        <f ca="1">IFERROR(__xludf.DUMMYFUNCTION("""COMPUTED_VALUE"""),111072)</f>
        <v>111072</v>
      </c>
      <c r="C1575" s="14">
        <f ca="1">IFERROR(__xludf.DUMMYFUNCTION("""COMPUTED_VALUE"""),0)</f>
        <v>0</v>
      </c>
      <c r="D1575" s="12" t="str">
        <f ca="1">IFERROR(__xludf.DUMMYFUNCTION("""COMPUTED_VALUE"""),"長谷川 陸朗")</f>
        <v>長谷川 陸朗</v>
      </c>
    </row>
    <row r="1576" spans="2:4" ht="13">
      <c r="B1576" s="12">
        <f ca="1">IFERROR(__xludf.DUMMYFUNCTION("""COMPUTED_VALUE"""),111088)</f>
        <v>111088</v>
      </c>
      <c r="C1576" s="14">
        <f ca="1">IFERROR(__xludf.DUMMYFUNCTION("""COMPUTED_VALUE"""),0)</f>
        <v>0</v>
      </c>
      <c r="D1576" s="12" t="str">
        <f ca="1">IFERROR(__xludf.DUMMYFUNCTION("""COMPUTED_VALUE"""),"成嶋 夏未")</f>
        <v>成嶋 夏未</v>
      </c>
    </row>
    <row r="1577" spans="2:4" ht="13">
      <c r="B1577" s="12">
        <f ca="1">IFERROR(__xludf.DUMMYFUNCTION("""COMPUTED_VALUE"""),111093)</f>
        <v>111093</v>
      </c>
      <c r="C1577" s="14">
        <f ca="1">IFERROR(__xludf.DUMMYFUNCTION("""COMPUTED_VALUE"""),14)</f>
        <v>14</v>
      </c>
      <c r="D1577" s="12" t="str">
        <f ca="1">IFERROR(__xludf.DUMMYFUNCTION("""COMPUTED_VALUE"""),"稲場 勇介")</f>
        <v>稲場 勇介</v>
      </c>
    </row>
    <row r="1578" spans="2:4" ht="13">
      <c r="B1578" s="12">
        <f ca="1">IFERROR(__xludf.DUMMYFUNCTION("""COMPUTED_VALUE"""),111102)</f>
        <v>111102</v>
      </c>
      <c r="C1578" s="14">
        <f ca="1">IFERROR(__xludf.DUMMYFUNCTION("""COMPUTED_VALUE"""),37)</f>
        <v>37</v>
      </c>
      <c r="D1578" s="12" t="str">
        <f ca="1">IFERROR(__xludf.DUMMYFUNCTION("""COMPUTED_VALUE"""),"栗原 大武")</f>
        <v>栗原 大武</v>
      </c>
    </row>
    <row r="1579" spans="2:4" ht="13">
      <c r="B1579" s="12">
        <f ca="1">IFERROR(__xludf.DUMMYFUNCTION("""COMPUTED_VALUE"""),111121)</f>
        <v>111121</v>
      </c>
      <c r="C1579" s="14">
        <f ca="1">IFERROR(__xludf.DUMMYFUNCTION("""COMPUTED_VALUE"""),9)</f>
        <v>9</v>
      </c>
      <c r="D1579" s="12" t="str">
        <f ca="1">IFERROR(__xludf.DUMMYFUNCTION("""COMPUTED_VALUE"""),"稲場 勇介")</f>
        <v>稲場 勇介</v>
      </c>
    </row>
    <row r="1580" spans="2:4" ht="13">
      <c r="B1580" s="12">
        <f ca="1">IFERROR(__xludf.DUMMYFUNCTION("""COMPUTED_VALUE"""),111127)</f>
        <v>111127</v>
      </c>
      <c r="C1580" s="14">
        <f ca="1">IFERROR(__xludf.DUMMYFUNCTION("""COMPUTED_VALUE"""),0)</f>
        <v>0</v>
      </c>
      <c r="D1580" s="12" t="str">
        <f ca="1">IFERROR(__xludf.DUMMYFUNCTION("""COMPUTED_VALUE"""),"桑原 明子")</f>
        <v>桑原 明子</v>
      </c>
    </row>
    <row r="1581" spans="2:4" ht="13">
      <c r="B1581" s="12">
        <f ca="1">IFERROR(__xludf.DUMMYFUNCTION("""COMPUTED_VALUE"""),111129)</f>
        <v>111129</v>
      </c>
      <c r="C1581" s="14">
        <f ca="1">IFERROR(__xludf.DUMMYFUNCTION("""COMPUTED_VALUE"""),18)</f>
        <v>18</v>
      </c>
      <c r="D1581" s="12" t="str">
        <f ca="1">IFERROR(__xludf.DUMMYFUNCTION("""COMPUTED_VALUE"""),"老田 純輝")</f>
        <v>老田 純輝</v>
      </c>
    </row>
    <row r="1582" spans="2:4" ht="13">
      <c r="B1582" s="12">
        <f ca="1">IFERROR(__xludf.DUMMYFUNCTION("""COMPUTED_VALUE"""),111136)</f>
        <v>111136</v>
      </c>
      <c r="C1582" s="14">
        <f ca="1">IFERROR(__xludf.DUMMYFUNCTION("""COMPUTED_VALUE"""),13)</f>
        <v>13</v>
      </c>
      <c r="D1582" s="12" t="str">
        <f ca="1">IFERROR(__xludf.DUMMYFUNCTION("""COMPUTED_VALUE"""),"内丸 裕子")</f>
        <v>内丸 裕子</v>
      </c>
    </row>
    <row r="1583" spans="2:4" ht="13">
      <c r="B1583" s="12">
        <f ca="1">IFERROR(__xludf.DUMMYFUNCTION("""COMPUTED_VALUE"""),111141)</f>
        <v>111141</v>
      </c>
      <c r="C1583" s="14">
        <f ca="1">IFERROR(__xludf.DUMMYFUNCTION("""COMPUTED_VALUE"""),0)</f>
        <v>0</v>
      </c>
      <c r="D1583" s="12" t="str">
        <f ca="1">IFERROR(__xludf.DUMMYFUNCTION("""COMPUTED_VALUE"""),"荻曽 克輝")</f>
        <v>荻曽 克輝</v>
      </c>
    </row>
    <row r="1584" spans="2:4" ht="13">
      <c r="B1584" s="12">
        <f ca="1">IFERROR(__xludf.DUMMYFUNCTION("""COMPUTED_VALUE"""),111148)</f>
        <v>111148</v>
      </c>
      <c r="C1584" s="14">
        <f ca="1">IFERROR(__xludf.DUMMYFUNCTION("""COMPUTED_VALUE"""),0)</f>
        <v>0</v>
      </c>
      <c r="D1584" s="12" t="str">
        <f ca="1">IFERROR(__xludf.DUMMYFUNCTION("""COMPUTED_VALUE"""),"栗原 大武")</f>
        <v>栗原 大武</v>
      </c>
    </row>
    <row r="1585" spans="2:4" ht="13">
      <c r="B1585" s="12">
        <f ca="1">IFERROR(__xludf.DUMMYFUNCTION("""COMPUTED_VALUE"""),111156)</f>
        <v>111156</v>
      </c>
      <c r="C1585" s="14">
        <f ca="1">IFERROR(__xludf.DUMMYFUNCTION("""COMPUTED_VALUE"""),2)</f>
        <v>2</v>
      </c>
      <c r="D1585" s="12" t="str">
        <f ca="1">IFERROR(__xludf.DUMMYFUNCTION("""COMPUTED_VALUE"""),"長谷川 陸朗")</f>
        <v>長谷川 陸朗</v>
      </c>
    </row>
    <row r="1586" spans="2:4" ht="13">
      <c r="B1586" s="12">
        <f ca="1">IFERROR(__xludf.DUMMYFUNCTION("""COMPUTED_VALUE"""),111163)</f>
        <v>111163</v>
      </c>
      <c r="C1586" s="14">
        <f ca="1">IFERROR(__xludf.DUMMYFUNCTION("""COMPUTED_VALUE"""),0)</f>
        <v>0</v>
      </c>
      <c r="D1586" s="12" t="str">
        <f ca="1">IFERROR(__xludf.DUMMYFUNCTION("""COMPUTED_VALUE"""),"長谷川 陸朗")</f>
        <v>長谷川 陸朗</v>
      </c>
    </row>
    <row r="1587" spans="2:4" ht="13">
      <c r="B1587" s="12">
        <f ca="1">IFERROR(__xludf.DUMMYFUNCTION("""COMPUTED_VALUE"""),111167)</f>
        <v>111167</v>
      </c>
      <c r="C1587" s="14">
        <f ca="1">IFERROR(__xludf.DUMMYFUNCTION("""COMPUTED_VALUE"""),1)</f>
        <v>1</v>
      </c>
      <c r="D1587" s="12" t="str">
        <f ca="1">IFERROR(__xludf.DUMMYFUNCTION("""COMPUTED_VALUE"""),"辻村 将大")</f>
        <v>辻村 将大</v>
      </c>
    </row>
    <row r="1588" spans="2:4" ht="13">
      <c r="B1588" s="12">
        <f ca="1">IFERROR(__xludf.DUMMYFUNCTION("""COMPUTED_VALUE"""),111173)</f>
        <v>111173</v>
      </c>
      <c r="C1588" s="14">
        <f ca="1">IFERROR(__xludf.DUMMYFUNCTION("""COMPUTED_VALUE"""),1)</f>
        <v>1</v>
      </c>
      <c r="D1588" s="12" t="str">
        <f ca="1">IFERROR(__xludf.DUMMYFUNCTION("""COMPUTED_VALUE"""),"長谷川 陸朗")</f>
        <v>長谷川 陸朗</v>
      </c>
    </row>
    <row r="1589" spans="2:4" ht="13">
      <c r="B1589" s="12">
        <f ca="1">IFERROR(__xludf.DUMMYFUNCTION("""COMPUTED_VALUE"""),111181)</f>
        <v>111181</v>
      </c>
      <c r="C1589" s="14">
        <f ca="1">IFERROR(__xludf.DUMMYFUNCTION("""COMPUTED_VALUE"""),0)</f>
        <v>0</v>
      </c>
      <c r="D1589" s="12" t="str">
        <f ca="1">IFERROR(__xludf.DUMMYFUNCTION("""COMPUTED_VALUE"""),"老田 純輝")</f>
        <v>老田 純輝</v>
      </c>
    </row>
    <row r="1590" spans="2:4" ht="13">
      <c r="B1590" s="12">
        <f ca="1">IFERROR(__xludf.DUMMYFUNCTION("""COMPUTED_VALUE"""),111182)</f>
        <v>111182</v>
      </c>
      <c r="C1590" s="14">
        <f ca="1">IFERROR(__xludf.DUMMYFUNCTION("""COMPUTED_VALUE"""),0)</f>
        <v>0</v>
      </c>
      <c r="D1590" s="12" t="str">
        <f ca="1">IFERROR(__xludf.DUMMYFUNCTION("""COMPUTED_VALUE"""),"成嶋 夏未")</f>
        <v>成嶋 夏未</v>
      </c>
    </row>
    <row r="1591" spans="2:4" ht="13">
      <c r="B1591" s="12">
        <f ca="1">IFERROR(__xludf.DUMMYFUNCTION("""COMPUTED_VALUE"""),111186)</f>
        <v>111186</v>
      </c>
      <c r="C1591" s="14">
        <f ca="1">IFERROR(__xludf.DUMMYFUNCTION("""COMPUTED_VALUE"""),34)</f>
        <v>34</v>
      </c>
      <c r="D1591" s="12" t="str">
        <f ca="1">IFERROR(__xludf.DUMMYFUNCTION("""COMPUTED_VALUE"""),"奥野 貴大")</f>
        <v>奥野 貴大</v>
      </c>
    </row>
    <row r="1592" spans="2:4" ht="13">
      <c r="B1592" s="12">
        <f ca="1">IFERROR(__xludf.DUMMYFUNCTION("""COMPUTED_VALUE"""),111203)</f>
        <v>111203</v>
      </c>
      <c r="C1592" s="14">
        <f ca="1">IFERROR(__xludf.DUMMYFUNCTION("""COMPUTED_VALUE"""),364)</f>
        <v>364</v>
      </c>
      <c r="D1592" s="12" t="str">
        <f ca="1">IFERROR(__xludf.DUMMYFUNCTION("""COMPUTED_VALUE"""),"栗原 大武")</f>
        <v>栗原 大武</v>
      </c>
    </row>
    <row r="1593" spans="2:4" ht="13">
      <c r="B1593" s="12">
        <f ca="1">IFERROR(__xludf.DUMMYFUNCTION("""COMPUTED_VALUE"""),111204)</f>
        <v>111204</v>
      </c>
      <c r="C1593" s="14">
        <f ca="1">IFERROR(__xludf.DUMMYFUNCTION("""COMPUTED_VALUE"""),15)</f>
        <v>15</v>
      </c>
      <c r="D1593" s="12" t="str">
        <f ca="1">IFERROR(__xludf.DUMMYFUNCTION("""COMPUTED_VALUE"""),"栗原 大武")</f>
        <v>栗原 大武</v>
      </c>
    </row>
    <row r="1594" spans="2:4" ht="13">
      <c r="B1594" s="12">
        <f ca="1">IFERROR(__xludf.DUMMYFUNCTION("""COMPUTED_VALUE"""),111205)</f>
        <v>111205</v>
      </c>
      <c r="C1594" s="14">
        <f ca="1">IFERROR(__xludf.DUMMYFUNCTION("""COMPUTED_VALUE"""),370)</f>
        <v>370</v>
      </c>
      <c r="D1594" s="12" t="str">
        <f ca="1">IFERROR(__xludf.DUMMYFUNCTION("""COMPUTED_VALUE"""),"栗原 大武")</f>
        <v>栗原 大武</v>
      </c>
    </row>
    <row r="1595" spans="2:4" ht="13">
      <c r="B1595" s="12">
        <f ca="1">IFERROR(__xludf.DUMMYFUNCTION("""COMPUTED_VALUE"""),111212)</f>
        <v>111212</v>
      </c>
      <c r="C1595" s="14">
        <f ca="1">IFERROR(__xludf.DUMMYFUNCTION("""COMPUTED_VALUE"""),1)</f>
        <v>1</v>
      </c>
      <c r="D1595" s="12" t="str">
        <f ca="1">IFERROR(__xludf.DUMMYFUNCTION("""COMPUTED_VALUE"""),"小関 麻起")</f>
        <v>小関 麻起</v>
      </c>
    </row>
    <row r="1596" spans="2:4" ht="13">
      <c r="B1596" s="12">
        <f ca="1">IFERROR(__xludf.DUMMYFUNCTION("""COMPUTED_VALUE"""),111214)</f>
        <v>111214</v>
      </c>
      <c r="C1596" s="14">
        <f ca="1">IFERROR(__xludf.DUMMYFUNCTION("""COMPUTED_VALUE"""),0)</f>
        <v>0</v>
      </c>
      <c r="D1596" s="12" t="str">
        <f ca="1">IFERROR(__xludf.DUMMYFUNCTION("""COMPUTED_VALUE"""),"長谷川 陸朗")</f>
        <v>長谷川 陸朗</v>
      </c>
    </row>
    <row r="1597" spans="2:4" ht="13">
      <c r="B1597" s="12">
        <f ca="1">IFERROR(__xludf.DUMMYFUNCTION("""COMPUTED_VALUE"""),111216)</f>
        <v>111216</v>
      </c>
      <c r="C1597" s="14">
        <f ca="1">IFERROR(__xludf.DUMMYFUNCTION("""COMPUTED_VALUE"""),0)</f>
        <v>0</v>
      </c>
      <c r="D1597" s="12" t="str">
        <f ca="1">IFERROR(__xludf.DUMMYFUNCTION("""COMPUTED_VALUE"""),"稲場 勇介")</f>
        <v>稲場 勇介</v>
      </c>
    </row>
    <row r="1598" spans="2:4" ht="13">
      <c r="B1598" s="12">
        <f ca="1">IFERROR(__xludf.DUMMYFUNCTION("""COMPUTED_VALUE"""),111225)</f>
        <v>111225</v>
      </c>
      <c r="C1598" s="14">
        <f ca="1">IFERROR(__xludf.DUMMYFUNCTION("""COMPUTED_VALUE"""),4)</f>
        <v>4</v>
      </c>
      <c r="D1598" s="12" t="str">
        <f ca="1">IFERROR(__xludf.DUMMYFUNCTION("""COMPUTED_VALUE"""),"長谷川 陸朗")</f>
        <v>長谷川 陸朗</v>
      </c>
    </row>
    <row r="1599" spans="2:4" ht="13">
      <c r="B1599" s="12">
        <f ca="1">IFERROR(__xludf.DUMMYFUNCTION("""COMPUTED_VALUE"""),111236)</f>
        <v>111236</v>
      </c>
      <c r="C1599" s="14">
        <f ca="1">IFERROR(__xludf.DUMMYFUNCTION("""COMPUTED_VALUE"""),2)</f>
        <v>2</v>
      </c>
      <c r="D1599" s="12" t="str">
        <f ca="1">IFERROR(__xludf.DUMMYFUNCTION("""COMPUTED_VALUE"""),"老田 純輝")</f>
        <v>老田 純輝</v>
      </c>
    </row>
    <row r="1600" spans="2:4" ht="13">
      <c r="B1600" s="12">
        <f ca="1">IFERROR(__xludf.DUMMYFUNCTION("""COMPUTED_VALUE"""),111260)</f>
        <v>111260</v>
      </c>
      <c r="C1600" s="14">
        <f ca="1">IFERROR(__xludf.DUMMYFUNCTION("""COMPUTED_VALUE"""),0)</f>
        <v>0</v>
      </c>
      <c r="D1600" s="12" t="str">
        <f ca="1">IFERROR(__xludf.DUMMYFUNCTION("""COMPUTED_VALUE"""),"内丸 裕子")</f>
        <v>内丸 裕子</v>
      </c>
    </row>
    <row r="1601" spans="2:4" ht="13">
      <c r="B1601" s="12">
        <f ca="1">IFERROR(__xludf.DUMMYFUNCTION("""COMPUTED_VALUE"""),111262)</f>
        <v>111262</v>
      </c>
      <c r="C1601" s="14">
        <f ca="1">IFERROR(__xludf.DUMMYFUNCTION("""COMPUTED_VALUE"""),0)</f>
        <v>0</v>
      </c>
      <c r="D1601" s="12" t="str">
        <f ca="1">IFERROR(__xludf.DUMMYFUNCTION("""COMPUTED_VALUE"""),"老田 純輝")</f>
        <v>老田 純輝</v>
      </c>
    </row>
    <row r="1602" spans="2:4" ht="13">
      <c r="B1602" s="12">
        <f ca="1">IFERROR(__xludf.DUMMYFUNCTION("""COMPUTED_VALUE"""),111264)</f>
        <v>111264</v>
      </c>
      <c r="C1602" s="14">
        <f ca="1">IFERROR(__xludf.DUMMYFUNCTION("""COMPUTED_VALUE"""),15)</f>
        <v>15</v>
      </c>
      <c r="D1602" s="12" t="str">
        <f ca="1">IFERROR(__xludf.DUMMYFUNCTION("""COMPUTED_VALUE"""),"長谷川 陸朗")</f>
        <v>長谷川 陸朗</v>
      </c>
    </row>
    <row r="1603" spans="2:4" ht="13">
      <c r="B1603" s="12">
        <f ca="1">IFERROR(__xludf.DUMMYFUNCTION("""COMPUTED_VALUE"""),111265)</f>
        <v>111265</v>
      </c>
      <c r="C1603" s="14">
        <f ca="1">IFERROR(__xludf.DUMMYFUNCTION("""COMPUTED_VALUE"""),0)</f>
        <v>0</v>
      </c>
      <c r="D1603" s="12" t="str">
        <f ca="1">IFERROR(__xludf.DUMMYFUNCTION("""COMPUTED_VALUE"""),"森 光智")</f>
        <v>森 光智</v>
      </c>
    </row>
    <row r="1604" spans="2:4" ht="13">
      <c r="B1604" s="12">
        <f ca="1">IFERROR(__xludf.DUMMYFUNCTION("""COMPUTED_VALUE"""),111273)</f>
        <v>111273</v>
      </c>
      <c r="C1604" s="14">
        <f ca="1">IFERROR(__xludf.DUMMYFUNCTION("""COMPUTED_VALUE"""),4)</f>
        <v>4</v>
      </c>
      <c r="D1604" s="12" t="str">
        <f ca="1">IFERROR(__xludf.DUMMYFUNCTION("""COMPUTED_VALUE"""),"長谷川 陸朗")</f>
        <v>長谷川 陸朗</v>
      </c>
    </row>
    <row r="1605" spans="2:4" ht="13">
      <c r="B1605" s="12">
        <f ca="1">IFERROR(__xludf.DUMMYFUNCTION("""COMPUTED_VALUE"""),111286)</f>
        <v>111286</v>
      </c>
      <c r="C1605" s="14">
        <f ca="1">IFERROR(__xludf.DUMMYFUNCTION("""COMPUTED_VALUE"""),0)</f>
        <v>0</v>
      </c>
      <c r="D1605" s="12" t="str">
        <f ca="1">IFERROR(__xludf.DUMMYFUNCTION("""COMPUTED_VALUE"""),"菅野 ぎんが")</f>
        <v>菅野 ぎんが</v>
      </c>
    </row>
    <row r="1606" spans="2:4" ht="13">
      <c r="B1606" s="12">
        <f ca="1">IFERROR(__xludf.DUMMYFUNCTION("""COMPUTED_VALUE"""),111287)</f>
        <v>111287</v>
      </c>
      <c r="C1606" s="14">
        <f ca="1">IFERROR(__xludf.DUMMYFUNCTION("""COMPUTED_VALUE"""),2)</f>
        <v>2</v>
      </c>
      <c r="D1606" s="12" t="str">
        <f ca="1">IFERROR(__xludf.DUMMYFUNCTION("""COMPUTED_VALUE"""),"村上 浩一朗")</f>
        <v>村上 浩一朗</v>
      </c>
    </row>
    <row r="1607" spans="2:4" ht="13">
      <c r="B1607" s="12">
        <f ca="1">IFERROR(__xludf.DUMMYFUNCTION("""COMPUTED_VALUE"""),111322)</f>
        <v>111322</v>
      </c>
      <c r="C1607" s="14">
        <f ca="1">IFERROR(__xludf.DUMMYFUNCTION("""COMPUTED_VALUE"""),0)</f>
        <v>0</v>
      </c>
      <c r="D1607" s="12" t="str">
        <f ca="1">IFERROR(__xludf.DUMMYFUNCTION("""COMPUTED_VALUE"""),"長谷川 陸朗")</f>
        <v>長谷川 陸朗</v>
      </c>
    </row>
    <row r="1608" spans="2:4" ht="13">
      <c r="B1608" s="12">
        <f ca="1">IFERROR(__xludf.DUMMYFUNCTION("""COMPUTED_VALUE"""),111340)</f>
        <v>111340</v>
      </c>
      <c r="C1608" s="14">
        <f ca="1">IFERROR(__xludf.DUMMYFUNCTION("""COMPUTED_VALUE"""),1)</f>
        <v>1</v>
      </c>
      <c r="D1608" s="12" t="str">
        <f ca="1">IFERROR(__xludf.DUMMYFUNCTION("""COMPUTED_VALUE"""),"荻曽 克輝")</f>
        <v>荻曽 克輝</v>
      </c>
    </row>
    <row r="1609" spans="2:4" ht="13">
      <c r="B1609" s="12">
        <f ca="1">IFERROR(__xludf.DUMMYFUNCTION("""COMPUTED_VALUE"""),111352)</f>
        <v>111352</v>
      </c>
      <c r="C1609" s="14">
        <f ca="1">IFERROR(__xludf.DUMMYFUNCTION("""COMPUTED_VALUE"""),38)</f>
        <v>38</v>
      </c>
      <c r="D1609" s="12" t="str">
        <f ca="1">IFERROR(__xludf.DUMMYFUNCTION("""COMPUTED_VALUE"""),"小関 麻起")</f>
        <v>小関 麻起</v>
      </c>
    </row>
    <row r="1610" spans="2:4" ht="13">
      <c r="B1610" s="12">
        <f ca="1">IFERROR(__xludf.DUMMYFUNCTION("""COMPUTED_VALUE"""),111366)</f>
        <v>111366</v>
      </c>
      <c r="C1610" s="14">
        <f ca="1">IFERROR(__xludf.DUMMYFUNCTION("""COMPUTED_VALUE"""),0)</f>
        <v>0</v>
      </c>
      <c r="D1610" s="12" t="str">
        <f ca="1">IFERROR(__xludf.DUMMYFUNCTION("""COMPUTED_VALUE"""),"小川 純")</f>
        <v>小川 純</v>
      </c>
    </row>
    <row r="1611" spans="2:4" ht="13">
      <c r="B1611" s="12">
        <f ca="1">IFERROR(__xludf.DUMMYFUNCTION("""COMPUTED_VALUE"""),111387)</f>
        <v>111387</v>
      </c>
      <c r="C1611" s="14">
        <f ca="1">IFERROR(__xludf.DUMMYFUNCTION("""COMPUTED_VALUE"""),5)</f>
        <v>5</v>
      </c>
      <c r="D1611" s="12" t="str">
        <f ca="1">IFERROR(__xludf.DUMMYFUNCTION("""COMPUTED_VALUE"""),"稲場 勇介")</f>
        <v>稲場 勇介</v>
      </c>
    </row>
    <row r="1612" spans="2:4" ht="13">
      <c r="B1612" s="12">
        <f ca="1">IFERROR(__xludf.DUMMYFUNCTION("""COMPUTED_VALUE"""),111408)</f>
        <v>111408</v>
      </c>
      <c r="C1612" s="14">
        <f ca="1">IFERROR(__xludf.DUMMYFUNCTION("""COMPUTED_VALUE"""),24)</f>
        <v>24</v>
      </c>
      <c r="D1612" s="12" t="str">
        <f ca="1">IFERROR(__xludf.DUMMYFUNCTION("""COMPUTED_VALUE"""),"辻村 将大")</f>
        <v>辻村 将大</v>
      </c>
    </row>
    <row r="1613" spans="2:4" ht="13">
      <c r="B1613" s="12">
        <f ca="1">IFERROR(__xludf.DUMMYFUNCTION("""COMPUTED_VALUE"""),111409)</f>
        <v>111409</v>
      </c>
      <c r="C1613" s="14">
        <f ca="1">IFERROR(__xludf.DUMMYFUNCTION("""COMPUTED_VALUE"""),5)</f>
        <v>5</v>
      </c>
      <c r="D1613" s="12" t="str">
        <f ca="1">IFERROR(__xludf.DUMMYFUNCTION("""COMPUTED_VALUE"""),"辻村 将大")</f>
        <v>辻村 将大</v>
      </c>
    </row>
    <row r="1614" spans="2:4" ht="13">
      <c r="B1614" s="12">
        <f ca="1">IFERROR(__xludf.DUMMYFUNCTION("""COMPUTED_VALUE"""),111422)</f>
        <v>111422</v>
      </c>
      <c r="C1614" s="14">
        <f ca="1">IFERROR(__xludf.DUMMYFUNCTION("""COMPUTED_VALUE"""),0)</f>
        <v>0</v>
      </c>
      <c r="D1614" s="12" t="str">
        <f ca="1">IFERROR(__xludf.DUMMYFUNCTION("""COMPUTED_VALUE"""),"小関 麻起")</f>
        <v>小関 麻起</v>
      </c>
    </row>
    <row r="1615" spans="2:4" ht="13">
      <c r="B1615" s="12">
        <f ca="1">IFERROR(__xludf.DUMMYFUNCTION("""COMPUTED_VALUE"""),111440)</f>
        <v>111440</v>
      </c>
      <c r="C1615" s="14">
        <f ca="1">IFERROR(__xludf.DUMMYFUNCTION("""COMPUTED_VALUE"""),0)</f>
        <v>0</v>
      </c>
      <c r="D1615" s="12" t="str">
        <f ca="1">IFERROR(__xludf.DUMMYFUNCTION("""COMPUTED_VALUE"""),"小関 麻起")</f>
        <v>小関 麻起</v>
      </c>
    </row>
    <row r="1616" spans="2:4" ht="13">
      <c r="B1616" s="12">
        <f ca="1">IFERROR(__xludf.DUMMYFUNCTION("""COMPUTED_VALUE"""),111444)</f>
        <v>111444</v>
      </c>
      <c r="C1616" s="14">
        <f ca="1">IFERROR(__xludf.DUMMYFUNCTION("""COMPUTED_VALUE"""),3)</f>
        <v>3</v>
      </c>
      <c r="D1616" s="12" t="str">
        <f ca="1">IFERROR(__xludf.DUMMYFUNCTION("""COMPUTED_VALUE"""),"菅野 ぎんが")</f>
        <v>菅野 ぎんが</v>
      </c>
    </row>
    <row r="1617" spans="2:4" ht="13">
      <c r="B1617" s="12">
        <f ca="1">IFERROR(__xludf.DUMMYFUNCTION("""COMPUTED_VALUE"""),111445)</f>
        <v>111445</v>
      </c>
      <c r="C1617" s="14">
        <f ca="1">IFERROR(__xludf.DUMMYFUNCTION("""COMPUTED_VALUE"""),0)</f>
        <v>0</v>
      </c>
      <c r="D1617" s="12" t="str">
        <f ca="1">IFERROR(__xludf.DUMMYFUNCTION("""COMPUTED_VALUE"""),"森 光智")</f>
        <v>森 光智</v>
      </c>
    </row>
    <row r="1618" spans="2:4" ht="13">
      <c r="B1618" s="12">
        <f ca="1">IFERROR(__xludf.DUMMYFUNCTION("""COMPUTED_VALUE"""),111459)</f>
        <v>111459</v>
      </c>
      <c r="C1618" s="14">
        <f ca="1">IFERROR(__xludf.DUMMYFUNCTION("""COMPUTED_VALUE"""),0)</f>
        <v>0</v>
      </c>
      <c r="D1618" s="12" t="str">
        <f ca="1">IFERROR(__xludf.DUMMYFUNCTION("""COMPUTED_VALUE"""),"小川 純")</f>
        <v>小川 純</v>
      </c>
    </row>
    <row r="1619" spans="2:4" ht="13">
      <c r="B1619" s="12">
        <f ca="1">IFERROR(__xludf.DUMMYFUNCTION("""COMPUTED_VALUE"""),111461)</f>
        <v>111461</v>
      </c>
      <c r="C1619" s="14">
        <f ca="1">IFERROR(__xludf.DUMMYFUNCTION("""COMPUTED_VALUE"""),0)</f>
        <v>0</v>
      </c>
      <c r="D1619" s="12" t="str">
        <f ca="1">IFERROR(__xludf.DUMMYFUNCTION("""COMPUTED_VALUE"""),"長谷川 陸朗")</f>
        <v>長谷川 陸朗</v>
      </c>
    </row>
    <row r="1620" spans="2:4" ht="13">
      <c r="B1620" s="12">
        <f ca="1">IFERROR(__xludf.DUMMYFUNCTION("""COMPUTED_VALUE"""),111465)</f>
        <v>111465</v>
      </c>
      <c r="C1620" s="14">
        <f ca="1">IFERROR(__xludf.DUMMYFUNCTION("""COMPUTED_VALUE"""),0)</f>
        <v>0</v>
      </c>
      <c r="D1620" s="12" t="str">
        <f ca="1">IFERROR(__xludf.DUMMYFUNCTION("""COMPUTED_VALUE"""),"松尾 尚樹")</f>
        <v>松尾 尚樹</v>
      </c>
    </row>
    <row r="1621" spans="2:4" ht="13">
      <c r="B1621" s="12">
        <f ca="1">IFERROR(__xludf.DUMMYFUNCTION("""COMPUTED_VALUE"""),111471)</f>
        <v>111471</v>
      </c>
      <c r="C1621" s="14">
        <f ca="1">IFERROR(__xludf.DUMMYFUNCTION("""COMPUTED_VALUE"""),15)</f>
        <v>15</v>
      </c>
      <c r="D1621" s="12" t="str">
        <f ca="1">IFERROR(__xludf.DUMMYFUNCTION("""COMPUTED_VALUE"""),"長谷川 陸朗")</f>
        <v>長谷川 陸朗</v>
      </c>
    </row>
    <row r="1622" spans="2:4" ht="13">
      <c r="B1622" s="12">
        <f ca="1">IFERROR(__xludf.DUMMYFUNCTION("""COMPUTED_VALUE"""),111482)</f>
        <v>111482</v>
      </c>
      <c r="C1622" s="14">
        <f ca="1">IFERROR(__xludf.DUMMYFUNCTION("""COMPUTED_VALUE"""),2)</f>
        <v>2</v>
      </c>
      <c r="D1622" s="12" t="str">
        <f ca="1">IFERROR(__xludf.DUMMYFUNCTION("""COMPUTED_VALUE"""),"成嶋 夏未")</f>
        <v>成嶋 夏未</v>
      </c>
    </row>
    <row r="1623" spans="2:4" ht="13">
      <c r="B1623" s="12">
        <f ca="1">IFERROR(__xludf.DUMMYFUNCTION("""COMPUTED_VALUE"""),111483)</f>
        <v>111483</v>
      </c>
      <c r="C1623" s="14">
        <f ca="1">IFERROR(__xludf.DUMMYFUNCTION("""COMPUTED_VALUE"""),0)</f>
        <v>0</v>
      </c>
      <c r="D1623" s="12" t="str">
        <f ca="1">IFERROR(__xludf.DUMMYFUNCTION("""COMPUTED_VALUE"""),"小関 麻起")</f>
        <v>小関 麻起</v>
      </c>
    </row>
    <row r="1624" spans="2:4" ht="13">
      <c r="B1624" s="12">
        <f ca="1">IFERROR(__xludf.DUMMYFUNCTION("""COMPUTED_VALUE"""),111500)</f>
        <v>111500</v>
      </c>
      <c r="C1624" s="14">
        <f ca="1">IFERROR(__xludf.DUMMYFUNCTION("""COMPUTED_VALUE"""),26)</f>
        <v>26</v>
      </c>
      <c r="D1624" s="12" t="str">
        <f ca="1">IFERROR(__xludf.DUMMYFUNCTION("""COMPUTED_VALUE"""),"村上 浩一朗")</f>
        <v>村上 浩一朗</v>
      </c>
    </row>
    <row r="1625" spans="2:4" ht="13">
      <c r="B1625" s="12">
        <f ca="1">IFERROR(__xludf.DUMMYFUNCTION("""COMPUTED_VALUE"""),111510)</f>
        <v>111510</v>
      </c>
      <c r="C1625" s="14">
        <f ca="1">IFERROR(__xludf.DUMMYFUNCTION("""COMPUTED_VALUE"""),9)</f>
        <v>9</v>
      </c>
      <c r="D1625" s="12" t="str">
        <f ca="1">IFERROR(__xludf.DUMMYFUNCTION("""COMPUTED_VALUE"""),"菅野 ぎんが")</f>
        <v>菅野 ぎんが</v>
      </c>
    </row>
    <row r="1626" spans="2:4" ht="13">
      <c r="B1626" s="12">
        <f ca="1">IFERROR(__xludf.DUMMYFUNCTION("""COMPUTED_VALUE"""),111513)</f>
        <v>111513</v>
      </c>
      <c r="C1626" s="14">
        <f ca="1">IFERROR(__xludf.DUMMYFUNCTION("""COMPUTED_VALUE"""),0)</f>
        <v>0</v>
      </c>
      <c r="D1626" s="12" t="str">
        <f ca="1">IFERROR(__xludf.DUMMYFUNCTION("""COMPUTED_VALUE"""),"菅野 ぎんが")</f>
        <v>菅野 ぎんが</v>
      </c>
    </row>
    <row r="1627" spans="2:4" ht="13">
      <c r="B1627" s="12">
        <f ca="1">IFERROR(__xludf.DUMMYFUNCTION("""COMPUTED_VALUE"""),111536)</f>
        <v>111536</v>
      </c>
      <c r="C1627" s="14">
        <f ca="1">IFERROR(__xludf.DUMMYFUNCTION("""COMPUTED_VALUE"""),0)</f>
        <v>0</v>
      </c>
      <c r="D1627" s="12" t="str">
        <f ca="1">IFERROR(__xludf.DUMMYFUNCTION("""COMPUTED_VALUE"""),"老田 純輝")</f>
        <v>老田 純輝</v>
      </c>
    </row>
    <row r="1628" spans="2:4" ht="13">
      <c r="B1628" s="12">
        <f ca="1">IFERROR(__xludf.DUMMYFUNCTION("""COMPUTED_VALUE"""),111551)</f>
        <v>111551</v>
      </c>
      <c r="C1628" s="14">
        <f ca="1">IFERROR(__xludf.DUMMYFUNCTION("""COMPUTED_VALUE"""),0)</f>
        <v>0</v>
      </c>
      <c r="D1628" s="12" t="str">
        <f ca="1">IFERROR(__xludf.DUMMYFUNCTION("""COMPUTED_VALUE"""),"芳賀 亮輔")</f>
        <v>芳賀 亮輔</v>
      </c>
    </row>
    <row r="1629" spans="2:4" ht="13">
      <c r="B1629" s="12">
        <f ca="1">IFERROR(__xludf.DUMMYFUNCTION("""COMPUTED_VALUE"""),111554)</f>
        <v>111554</v>
      </c>
      <c r="C1629" s="14">
        <f ca="1">IFERROR(__xludf.DUMMYFUNCTION("""COMPUTED_VALUE"""),6)</f>
        <v>6</v>
      </c>
      <c r="D1629" s="12" t="str">
        <f ca="1">IFERROR(__xludf.DUMMYFUNCTION("""COMPUTED_VALUE"""),"松尾 尚樹")</f>
        <v>松尾 尚樹</v>
      </c>
    </row>
    <row r="1630" spans="2:4" ht="13">
      <c r="B1630" s="12">
        <f ca="1">IFERROR(__xludf.DUMMYFUNCTION("""COMPUTED_VALUE"""),111563)</f>
        <v>111563</v>
      </c>
      <c r="C1630" s="14">
        <f ca="1">IFERROR(__xludf.DUMMYFUNCTION("""COMPUTED_VALUE"""),0)</f>
        <v>0</v>
      </c>
      <c r="D1630" s="12" t="str">
        <f ca="1">IFERROR(__xludf.DUMMYFUNCTION("""COMPUTED_VALUE"""),"稲場 勇介")</f>
        <v>稲場 勇介</v>
      </c>
    </row>
    <row r="1631" spans="2:4" ht="13">
      <c r="B1631" s="12">
        <f ca="1">IFERROR(__xludf.DUMMYFUNCTION("""COMPUTED_VALUE"""),111569)</f>
        <v>111569</v>
      </c>
      <c r="C1631" s="14">
        <f ca="1">IFERROR(__xludf.DUMMYFUNCTION("""COMPUTED_VALUE"""),11)</f>
        <v>11</v>
      </c>
      <c r="D1631" s="12" t="str">
        <f ca="1">IFERROR(__xludf.DUMMYFUNCTION("""COMPUTED_VALUE"""),"田嶋 将太")</f>
        <v>田嶋 将太</v>
      </c>
    </row>
    <row r="1632" spans="2:4" ht="13">
      <c r="B1632" s="12">
        <f ca="1">IFERROR(__xludf.DUMMYFUNCTION("""COMPUTED_VALUE"""),111572)</f>
        <v>111572</v>
      </c>
      <c r="C1632" s="14">
        <f ca="1">IFERROR(__xludf.DUMMYFUNCTION("""COMPUTED_VALUE"""),0)</f>
        <v>0</v>
      </c>
      <c r="D1632" s="12" t="str">
        <f ca="1">IFERROR(__xludf.DUMMYFUNCTION("""COMPUTED_VALUE"""),"松尾 尚樹")</f>
        <v>松尾 尚樹</v>
      </c>
    </row>
    <row r="1633" spans="2:4" ht="13">
      <c r="B1633" s="12">
        <f ca="1">IFERROR(__xludf.DUMMYFUNCTION("""COMPUTED_VALUE"""),111575)</f>
        <v>111575</v>
      </c>
      <c r="C1633" s="14">
        <f ca="1">IFERROR(__xludf.DUMMYFUNCTION("""COMPUTED_VALUE"""),0)</f>
        <v>0</v>
      </c>
      <c r="D1633" s="12" t="str">
        <f ca="1">IFERROR(__xludf.DUMMYFUNCTION("""COMPUTED_VALUE"""),"成嶋 夏未")</f>
        <v>成嶋 夏未</v>
      </c>
    </row>
    <row r="1634" spans="2:4" ht="13">
      <c r="B1634" s="12">
        <f ca="1">IFERROR(__xludf.DUMMYFUNCTION("""COMPUTED_VALUE"""),111587)</f>
        <v>111587</v>
      </c>
      <c r="C1634" s="14">
        <f ca="1">IFERROR(__xludf.DUMMYFUNCTION("""COMPUTED_VALUE"""),0)</f>
        <v>0</v>
      </c>
      <c r="D1634" s="12" t="str">
        <f ca="1">IFERROR(__xludf.DUMMYFUNCTION("""COMPUTED_VALUE"""),"小関 麻起")</f>
        <v>小関 麻起</v>
      </c>
    </row>
    <row r="1635" spans="2:4" ht="13">
      <c r="B1635" s="12">
        <f ca="1">IFERROR(__xludf.DUMMYFUNCTION("""COMPUTED_VALUE"""),111593)</f>
        <v>111593</v>
      </c>
      <c r="C1635" s="14">
        <f ca="1">IFERROR(__xludf.DUMMYFUNCTION("""COMPUTED_VALUE"""),0)</f>
        <v>0</v>
      </c>
      <c r="D1635" s="12" t="str">
        <f ca="1">IFERROR(__xludf.DUMMYFUNCTION("""COMPUTED_VALUE"""),"小関 麻起")</f>
        <v>小関 麻起</v>
      </c>
    </row>
    <row r="1636" spans="2:4" ht="13">
      <c r="B1636" s="12">
        <f ca="1">IFERROR(__xludf.DUMMYFUNCTION("""COMPUTED_VALUE"""),111600)</f>
        <v>111600</v>
      </c>
      <c r="C1636" s="14">
        <f ca="1">IFERROR(__xludf.DUMMYFUNCTION("""COMPUTED_VALUE"""),24)</f>
        <v>24</v>
      </c>
      <c r="D1636" s="12" t="str">
        <f ca="1">IFERROR(__xludf.DUMMYFUNCTION("""COMPUTED_VALUE"""),"栗原 大武")</f>
        <v>栗原 大武</v>
      </c>
    </row>
    <row r="1637" spans="2:4" ht="13">
      <c r="B1637" s="12">
        <f ca="1">IFERROR(__xludf.DUMMYFUNCTION("""COMPUTED_VALUE"""),111602)</f>
        <v>111602</v>
      </c>
      <c r="C1637" s="14">
        <f ca="1">IFERROR(__xludf.DUMMYFUNCTION("""COMPUTED_VALUE"""),0)</f>
        <v>0</v>
      </c>
      <c r="D1637" s="12" t="str">
        <f ca="1">IFERROR(__xludf.DUMMYFUNCTION("""COMPUTED_VALUE"""),"村上 浩一朗")</f>
        <v>村上 浩一朗</v>
      </c>
    </row>
    <row r="1638" spans="2:4" ht="13">
      <c r="B1638" s="12">
        <f ca="1">IFERROR(__xludf.DUMMYFUNCTION("""COMPUTED_VALUE"""),111604)</f>
        <v>111604</v>
      </c>
      <c r="C1638" s="14">
        <f ca="1">IFERROR(__xludf.DUMMYFUNCTION("""COMPUTED_VALUE"""),40)</f>
        <v>40</v>
      </c>
      <c r="D1638" s="12" t="str">
        <f ca="1">IFERROR(__xludf.DUMMYFUNCTION("""COMPUTED_VALUE"""),"栗原 大武")</f>
        <v>栗原 大武</v>
      </c>
    </row>
    <row r="1639" spans="2:4" ht="13">
      <c r="B1639" s="12">
        <f ca="1">IFERROR(__xludf.DUMMYFUNCTION("""COMPUTED_VALUE"""),111605)</f>
        <v>111605</v>
      </c>
      <c r="C1639" s="14">
        <f ca="1">IFERROR(__xludf.DUMMYFUNCTION("""COMPUTED_VALUE"""),24)</f>
        <v>24</v>
      </c>
      <c r="D1639" s="12" t="str">
        <f ca="1">IFERROR(__xludf.DUMMYFUNCTION("""COMPUTED_VALUE"""),"栗原 大武")</f>
        <v>栗原 大武</v>
      </c>
    </row>
    <row r="1640" spans="2:4" ht="13">
      <c r="B1640" s="12">
        <f ca="1">IFERROR(__xludf.DUMMYFUNCTION("""COMPUTED_VALUE"""),111618)</f>
        <v>111618</v>
      </c>
      <c r="C1640" s="14">
        <f ca="1">IFERROR(__xludf.DUMMYFUNCTION("""COMPUTED_VALUE"""),8)</f>
        <v>8</v>
      </c>
      <c r="D1640" s="12" t="str">
        <f ca="1">IFERROR(__xludf.DUMMYFUNCTION("""COMPUTED_VALUE"""),"大木 優香")</f>
        <v>大木 優香</v>
      </c>
    </row>
    <row r="1641" spans="2:4" ht="13">
      <c r="B1641" s="12">
        <f ca="1">IFERROR(__xludf.DUMMYFUNCTION("""COMPUTED_VALUE"""),111639)</f>
        <v>111639</v>
      </c>
      <c r="C1641" s="14">
        <f ca="1">IFERROR(__xludf.DUMMYFUNCTION("""COMPUTED_VALUE"""),10)</f>
        <v>10</v>
      </c>
      <c r="D1641" s="12" t="str">
        <f ca="1">IFERROR(__xludf.DUMMYFUNCTION("""COMPUTED_VALUE"""),"大木 優香")</f>
        <v>大木 優香</v>
      </c>
    </row>
    <row r="1642" spans="2:4" ht="13">
      <c r="B1642" s="12">
        <f ca="1">IFERROR(__xludf.DUMMYFUNCTION("""COMPUTED_VALUE"""),111664)</f>
        <v>111664</v>
      </c>
      <c r="C1642" s="14">
        <f ca="1">IFERROR(__xludf.DUMMYFUNCTION("""COMPUTED_VALUE"""),0)</f>
        <v>0</v>
      </c>
      <c r="D1642" s="12" t="str">
        <f ca="1">IFERROR(__xludf.DUMMYFUNCTION("""COMPUTED_VALUE"""),"小関 麻起")</f>
        <v>小関 麻起</v>
      </c>
    </row>
    <row r="1643" spans="2:4" ht="13">
      <c r="B1643" s="12">
        <f ca="1">IFERROR(__xludf.DUMMYFUNCTION("""COMPUTED_VALUE"""),111721)</f>
        <v>111721</v>
      </c>
      <c r="C1643" s="14">
        <f ca="1">IFERROR(__xludf.DUMMYFUNCTION("""COMPUTED_VALUE"""),0)</f>
        <v>0</v>
      </c>
      <c r="D1643" s="12" t="str">
        <f ca="1">IFERROR(__xludf.DUMMYFUNCTION("""COMPUTED_VALUE"""),"松尾 尚樹")</f>
        <v>松尾 尚樹</v>
      </c>
    </row>
    <row r="1644" spans="2:4" ht="13">
      <c r="B1644" s="12">
        <f ca="1">IFERROR(__xludf.DUMMYFUNCTION("""COMPUTED_VALUE"""),111727)</f>
        <v>111727</v>
      </c>
      <c r="C1644" s="14">
        <f ca="1">IFERROR(__xludf.DUMMYFUNCTION("""COMPUTED_VALUE"""),0)</f>
        <v>0</v>
      </c>
      <c r="D1644" s="12" t="str">
        <f ca="1">IFERROR(__xludf.DUMMYFUNCTION("""COMPUTED_VALUE"""),"老田 純輝")</f>
        <v>老田 純輝</v>
      </c>
    </row>
    <row r="1645" spans="2:4" ht="13">
      <c r="B1645" s="12">
        <f ca="1">IFERROR(__xludf.DUMMYFUNCTION("""COMPUTED_VALUE"""),111728)</f>
        <v>111728</v>
      </c>
      <c r="C1645" s="14">
        <f ca="1">IFERROR(__xludf.DUMMYFUNCTION("""COMPUTED_VALUE"""),0)</f>
        <v>0</v>
      </c>
      <c r="D1645" s="12" t="str">
        <f ca="1">IFERROR(__xludf.DUMMYFUNCTION("""COMPUTED_VALUE"""),"老田 純輝")</f>
        <v>老田 純輝</v>
      </c>
    </row>
    <row r="1646" spans="2:4" ht="13">
      <c r="B1646" s="12">
        <f ca="1">IFERROR(__xludf.DUMMYFUNCTION("""COMPUTED_VALUE"""),111742)</f>
        <v>111742</v>
      </c>
      <c r="C1646" s="14">
        <f ca="1">IFERROR(__xludf.DUMMYFUNCTION("""COMPUTED_VALUE"""),0)</f>
        <v>0</v>
      </c>
      <c r="D1646" s="12" t="str">
        <f ca="1">IFERROR(__xludf.DUMMYFUNCTION("""COMPUTED_VALUE"""),"長谷川 陸朗")</f>
        <v>長谷川 陸朗</v>
      </c>
    </row>
    <row r="1647" spans="2:4" ht="13">
      <c r="B1647" s="12">
        <f ca="1">IFERROR(__xludf.DUMMYFUNCTION("""COMPUTED_VALUE"""),111758)</f>
        <v>111758</v>
      </c>
      <c r="C1647" s="14">
        <f ca="1">IFERROR(__xludf.DUMMYFUNCTION("""COMPUTED_VALUE"""),187)</f>
        <v>187</v>
      </c>
      <c r="D1647" s="12" t="str">
        <f ca="1">IFERROR(__xludf.DUMMYFUNCTION("""COMPUTED_VALUE"""),"柿崎 晃司")</f>
        <v>柿崎 晃司</v>
      </c>
    </row>
    <row r="1648" spans="2:4" ht="13">
      <c r="B1648" s="12">
        <f ca="1">IFERROR(__xludf.DUMMYFUNCTION("""COMPUTED_VALUE"""),111787)</f>
        <v>111787</v>
      </c>
      <c r="C1648" s="14">
        <f ca="1">IFERROR(__xludf.DUMMYFUNCTION("""COMPUTED_VALUE"""),0)</f>
        <v>0</v>
      </c>
      <c r="D1648" s="12" t="str">
        <f ca="1">IFERROR(__xludf.DUMMYFUNCTION("""COMPUTED_VALUE"""),"菅野 ぎんが")</f>
        <v>菅野 ぎんが</v>
      </c>
    </row>
    <row r="1649" spans="2:4" ht="13">
      <c r="B1649" s="12">
        <f ca="1">IFERROR(__xludf.DUMMYFUNCTION("""COMPUTED_VALUE"""),111798)</f>
        <v>111798</v>
      </c>
      <c r="C1649" s="14">
        <f ca="1">IFERROR(__xludf.DUMMYFUNCTION("""COMPUTED_VALUE"""),0)</f>
        <v>0</v>
      </c>
      <c r="D1649" s="12" t="str">
        <f ca="1">IFERROR(__xludf.DUMMYFUNCTION("""COMPUTED_VALUE"""),"老田 純輝")</f>
        <v>老田 純輝</v>
      </c>
    </row>
    <row r="1650" spans="2:4" ht="13">
      <c r="B1650" s="12">
        <f ca="1">IFERROR(__xludf.DUMMYFUNCTION("""COMPUTED_VALUE"""),111803)</f>
        <v>111803</v>
      </c>
      <c r="C1650" s="14">
        <f ca="1">IFERROR(__xludf.DUMMYFUNCTION("""COMPUTED_VALUE"""),1)</f>
        <v>1</v>
      </c>
      <c r="D1650" s="12" t="str">
        <f ca="1">IFERROR(__xludf.DUMMYFUNCTION("""COMPUTED_VALUE"""),"菅野 ぎんが")</f>
        <v>菅野 ぎんが</v>
      </c>
    </row>
    <row r="1651" spans="2:4" ht="13">
      <c r="B1651" s="12">
        <f ca="1">IFERROR(__xludf.DUMMYFUNCTION("""COMPUTED_VALUE"""),111806)</f>
        <v>111806</v>
      </c>
      <c r="C1651" s="14">
        <f ca="1">IFERROR(__xludf.DUMMYFUNCTION("""COMPUTED_VALUE"""),0)</f>
        <v>0</v>
      </c>
      <c r="D1651" s="12" t="str">
        <f ca="1">IFERROR(__xludf.DUMMYFUNCTION("""COMPUTED_VALUE"""),"稲場 勇介")</f>
        <v>稲場 勇介</v>
      </c>
    </row>
    <row r="1652" spans="2:4" ht="13">
      <c r="B1652" s="12">
        <f ca="1">IFERROR(__xludf.DUMMYFUNCTION("""COMPUTED_VALUE"""),111829)</f>
        <v>111829</v>
      </c>
      <c r="C1652" s="14">
        <f ca="1">IFERROR(__xludf.DUMMYFUNCTION("""COMPUTED_VALUE"""),0)</f>
        <v>0</v>
      </c>
      <c r="D1652" s="12" t="str">
        <f ca="1">IFERROR(__xludf.DUMMYFUNCTION("""COMPUTED_VALUE"""),"長谷川 陸朗")</f>
        <v>長谷川 陸朗</v>
      </c>
    </row>
    <row r="1653" spans="2:4" ht="13">
      <c r="B1653" s="12">
        <f ca="1">IFERROR(__xludf.DUMMYFUNCTION("""COMPUTED_VALUE"""),111835)</f>
        <v>111835</v>
      </c>
      <c r="C1653" s="14">
        <f ca="1">IFERROR(__xludf.DUMMYFUNCTION("""COMPUTED_VALUE"""),0)</f>
        <v>0</v>
      </c>
      <c r="D1653" s="12" t="str">
        <f ca="1">IFERROR(__xludf.DUMMYFUNCTION("""COMPUTED_VALUE"""),"村上 浩一朗")</f>
        <v>村上 浩一朗</v>
      </c>
    </row>
    <row r="1654" spans="2:4" ht="13">
      <c r="B1654" s="12">
        <f ca="1">IFERROR(__xludf.DUMMYFUNCTION("""COMPUTED_VALUE"""),111855)</f>
        <v>111855</v>
      </c>
      <c r="C1654" s="14">
        <f ca="1">IFERROR(__xludf.DUMMYFUNCTION("""COMPUTED_VALUE"""),0)</f>
        <v>0</v>
      </c>
      <c r="D1654" s="12" t="str">
        <f ca="1">IFERROR(__xludf.DUMMYFUNCTION("""COMPUTED_VALUE"""),"荻曽 克輝")</f>
        <v>荻曽 克輝</v>
      </c>
    </row>
    <row r="1655" spans="2:4" ht="13">
      <c r="B1655" s="12">
        <f ca="1">IFERROR(__xludf.DUMMYFUNCTION("""COMPUTED_VALUE"""),111880)</f>
        <v>111880</v>
      </c>
      <c r="C1655" s="14">
        <f ca="1">IFERROR(__xludf.DUMMYFUNCTION("""COMPUTED_VALUE"""),14)</f>
        <v>14</v>
      </c>
      <c r="D1655" s="12" t="str">
        <f ca="1">IFERROR(__xludf.DUMMYFUNCTION("""COMPUTED_VALUE"""),"老田 純輝")</f>
        <v>老田 純輝</v>
      </c>
    </row>
    <row r="1656" spans="2:4" ht="13">
      <c r="B1656" s="12">
        <f ca="1">IFERROR(__xludf.DUMMYFUNCTION("""COMPUTED_VALUE"""),111882)</f>
        <v>111882</v>
      </c>
      <c r="C1656" s="14">
        <f ca="1">IFERROR(__xludf.DUMMYFUNCTION("""COMPUTED_VALUE"""),156)</f>
        <v>156</v>
      </c>
      <c r="D1656" s="12" t="str">
        <f ca="1">IFERROR(__xludf.DUMMYFUNCTION("""COMPUTED_VALUE"""),"内丸 裕子")</f>
        <v>内丸 裕子</v>
      </c>
    </row>
    <row r="1657" spans="2:4" ht="13">
      <c r="B1657" s="12">
        <f ca="1">IFERROR(__xludf.DUMMYFUNCTION("""COMPUTED_VALUE"""),111885)</f>
        <v>111885</v>
      </c>
      <c r="C1657" s="14">
        <f ca="1">IFERROR(__xludf.DUMMYFUNCTION("""COMPUTED_VALUE"""),28)</f>
        <v>28</v>
      </c>
      <c r="D1657" s="12" t="str">
        <f ca="1">IFERROR(__xludf.DUMMYFUNCTION("""COMPUTED_VALUE"""),"桐山 勝気")</f>
        <v>桐山 勝気</v>
      </c>
    </row>
    <row r="1658" spans="2:4" ht="13">
      <c r="B1658" s="12">
        <f ca="1">IFERROR(__xludf.DUMMYFUNCTION("""COMPUTED_VALUE"""),111899)</f>
        <v>111899</v>
      </c>
      <c r="C1658" s="14">
        <f ca="1">IFERROR(__xludf.DUMMYFUNCTION("""COMPUTED_VALUE"""),0)</f>
        <v>0</v>
      </c>
      <c r="D1658" s="12" t="str">
        <f ca="1">IFERROR(__xludf.DUMMYFUNCTION("""COMPUTED_VALUE"""),"長谷川 陸朗")</f>
        <v>長谷川 陸朗</v>
      </c>
    </row>
    <row r="1659" spans="2:4" ht="13">
      <c r="B1659" s="12">
        <f ca="1">IFERROR(__xludf.DUMMYFUNCTION("""COMPUTED_VALUE"""),111909)</f>
        <v>111909</v>
      </c>
      <c r="C1659" s="14">
        <f ca="1">IFERROR(__xludf.DUMMYFUNCTION("""COMPUTED_VALUE"""),0)</f>
        <v>0</v>
      </c>
      <c r="D1659" s="12" t="str">
        <f ca="1">IFERROR(__xludf.DUMMYFUNCTION("""COMPUTED_VALUE"""),"川島 幹也")</f>
        <v>川島 幹也</v>
      </c>
    </row>
    <row r="1660" spans="2:4" ht="13">
      <c r="B1660" s="12">
        <f ca="1">IFERROR(__xludf.DUMMYFUNCTION("""COMPUTED_VALUE"""),111913)</f>
        <v>111913</v>
      </c>
      <c r="C1660" s="14">
        <f ca="1">IFERROR(__xludf.DUMMYFUNCTION("""COMPUTED_VALUE"""),27)</f>
        <v>27</v>
      </c>
      <c r="D1660" s="12" t="str">
        <f ca="1">IFERROR(__xludf.DUMMYFUNCTION("""COMPUTED_VALUE"""),"成嶋 夏未")</f>
        <v>成嶋 夏未</v>
      </c>
    </row>
    <row r="1661" spans="2:4" ht="13">
      <c r="B1661" s="12">
        <f ca="1">IFERROR(__xludf.DUMMYFUNCTION("""COMPUTED_VALUE"""),111926)</f>
        <v>111926</v>
      </c>
      <c r="C1661" s="14">
        <f ca="1">IFERROR(__xludf.DUMMYFUNCTION("""COMPUTED_VALUE"""),1)</f>
        <v>1</v>
      </c>
      <c r="D1661" s="12" t="str">
        <f ca="1">IFERROR(__xludf.DUMMYFUNCTION("""COMPUTED_VALUE"""),"老田 純輝")</f>
        <v>老田 純輝</v>
      </c>
    </row>
    <row r="1662" spans="2:4" ht="13">
      <c r="B1662" s="12">
        <f ca="1">IFERROR(__xludf.DUMMYFUNCTION("""COMPUTED_VALUE"""),111955)</f>
        <v>111955</v>
      </c>
      <c r="C1662" s="14">
        <f ca="1">IFERROR(__xludf.DUMMYFUNCTION("""COMPUTED_VALUE"""),0)</f>
        <v>0</v>
      </c>
      <c r="D1662" s="12" t="str">
        <f ca="1">IFERROR(__xludf.DUMMYFUNCTION("""COMPUTED_VALUE"""),"小関 麻起")</f>
        <v>小関 麻起</v>
      </c>
    </row>
    <row r="1663" spans="2:4" ht="13">
      <c r="B1663" s="12">
        <f ca="1">IFERROR(__xludf.DUMMYFUNCTION("""COMPUTED_VALUE"""),111956)</f>
        <v>111956</v>
      </c>
      <c r="C1663" s="14">
        <f ca="1">IFERROR(__xludf.DUMMYFUNCTION("""COMPUTED_VALUE"""),0)</f>
        <v>0</v>
      </c>
      <c r="D1663" s="12" t="str">
        <f ca="1">IFERROR(__xludf.DUMMYFUNCTION("""COMPUTED_VALUE"""),"成嶋 夏未")</f>
        <v>成嶋 夏未</v>
      </c>
    </row>
    <row r="1664" spans="2:4" ht="13">
      <c r="B1664" s="12">
        <f ca="1">IFERROR(__xludf.DUMMYFUNCTION("""COMPUTED_VALUE"""),111960)</f>
        <v>111960</v>
      </c>
      <c r="C1664" s="14">
        <f ca="1">IFERROR(__xludf.DUMMYFUNCTION("""COMPUTED_VALUE"""),0)</f>
        <v>0</v>
      </c>
      <c r="D1664" s="12" t="str">
        <f ca="1">IFERROR(__xludf.DUMMYFUNCTION("""COMPUTED_VALUE"""),"長谷川 陸朗")</f>
        <v>長谷川 陸朗</v>
      </c>
    </row>
    <row r="1665" spans="2:4" ht="13">
      <c r="B1665" s="12">
        <f ca="1">IFERROR(__xludf.DUMMYFUNCTION("""COMPUTED_VALUE"""),111974)</f>
        <v>111974</v>
      </c>
      <c r="C1665" s="14">
        <f ca="1">IFERROR(__xludf.DUMMYFUNCTION("""COMPUTED_VALUE"""),40)</f>
        <v>40</v>
      </c>
      <c r="D1665" s="12" t="str">
        <f ca="1">IFERROR(__xludf.DUMMYFUNCTION("""COMPUTED_VALUE"""),"老田 純輝")</f>
        <v>老田 純輝</v>
      </c>
    </row>
    <row r="1666" spans="2:4" ht="13">
      <c r="B1666" s="12">
        <f ca="1">IFERROR(__xludf.DUMMYFUNCTION("""COMPUTED_VALUE"""),111977)</f>
        <v>111977</v>
      </c>
      <c r="C1666" s="14">
        <f ca="1">IFERROR(__xludf.DUMMYFUNCTION("""COMPUTED_VALUE"""),0)</f>
        <v>0</v>
      </c>
      <c r="D1666" s="12" t="str">
        <f ca="1">IFERROR(__xludf.DUMMYFUNCTION("""COMPUTED_VALUE"""),"辻村 将大")</f>
        <v>辻村 将大</v>
      </c>
    </row>
    <row r="1667" spans="2:4" ht="13">
      <c r="B1667" s="12">
        <f ca="1">IFERROR(__xludf.DUMMYFUNCTION("""COMPUTED_VALUE"""),111978)</f>
        <v>111978</v>
      </c>
      <c r="C1667" s="14">
        <f ca="1">IFERROR(__xludf.DUMMYFUNCTION("""COMPUTED_VALUE"""),4)</f>
        <v>4</v>
      </c>
      <c r="D1667" s="12" t="str">
        <f ca="1">IFERROR(__xludf.DUMMYFUNCTION("""COMPUTED_VALUE"""),"小川 純")</f>
        <v>小川 純</v>
      </c>
    </row>
    <row r="1668" spans="2:4" ht="13">
      <c r="B1668" s="12">
        <f ca="1">IFERROR(__xludf.DUMMYFUNCTION("""COMPUTED_VALUE"""),111983)</f>
        <v>111983</v>
      </c>
      <c r="C1668" s="14">
        <f ca="1">IFERROR(__xludf.DUMMYFUNCTION("""COMPUTED_VALUE"""),0)</f>
        <v>0</v>
      </c>
      <c r="D1668" s="12" t="str">
        <f ca="1">IFERROR(__xludf.DUMMYFUNCTION("""COMPUTED_VALUE"""),"稲場 勇介")</f>
        <v>稲場 勇介</v>
      </c>
    </row>
    <row r="1669" spans="2:4" ht="13">
      <c r="B1669" s="12">
        <f ca="1">IFERROR(__xludf.DUMMYFUNCTION("""COMPUTED_VALUE"""),111989)</f>
        <v>111989</v>
      </c>
      <c r="C1669" s="14">
        <f ca="1">IFERROR(__xludf.DUMMYFUNCTION("""COMPUTED_VALUE"""),89)</f>
        <v>89</v>
      </c>
      <c r="D1669" s="12" t="str">
        <f ca="1">IFERROR(__xludf.DUMMYFUNCTION("""COMPUTED_VALUE"""),"栗原 大武")</f>
        <v>栗原 大武</v>
      </c>
    </row>
    <row r="1670" spans="2:4" ht="13">
      <c r="B1670" s="12">
        <f ca="1">IFERROR(__xludf.DUMMYFUNCTION("""COMPUTED_VALUE"""),112015)</f>
        <v>112015</v>
      </c>
      <c r="C1670" s="14">
        <f ca="1">IFERROR(__xludf.DUMMYFUNCTION("""COMPUTED_VALUE"""),0)</f>
        <v>0</v>
      </c>
      <c r="D1670" s="12" t="str">
        <f ca="1">IFERROR(__xludf.DUMMYFUNCTION("""COMPUTED_VALUE"""),"菅野 ぎんが")</f>
        <v>菅野 ぎんが</v>
      </c>
    </row>
    <row r="1671" spans="2:4" ht="13">
      <c r="B1671" s="12">
        <f ca="1">IFERROR(__xludf.DUMMYFUNCTION("""COMPUTED_VALUE"""),112023)</f>
        <v>112023</v>
      </c>
      <c r="C1671" s="14">
        <f ca="1">IFERROR(__xludf.DUMMYFUNCTION("""COMPUTED_VALUE"""),0)</f>
        <v>0</v>
      </c>
      <c r="D1671" s="12" t="str">
        <f ca="1">IFERROR(__xludf.DUMMYFUNCTION("""COMPUTED_VALUE"""),"小川 純")</f>
        <v>小川 純</v>
      </c>
    </row>
    <row r="1672" spans="2:4" ht="13">
      <c r="B1672" s="12">
        <f ca="1">IFERROR(__xludf.DUMMYFUNCTION("""COMPUTED_VALUE"""),112024)</f>
        <v>112024</v>
      </c>
      <c r="C1672" s="14">
        <f ca="1">IFERROR(__xludf.DUMMYFUNCTION("""COMPUTED_VALUE"""),5)</f>
        <v>5</v>
      </c>
      <c r="D1672" s="12" t="str">
        <f ca="1">IFERROR(__xludf.DUMMYFUNCTION("""COMPUTED_VALUE"""),"栗原 大武")</f>
        <v>栗原 大武</v>
      </c>
    </row>
    <row r="1673" spans="2:4" ht="13">
      <c r="B1673" s="12">
        <f ca="1">IFERROR(__xludf.DUMMYFUNCTION("""COMPUTED_VALUE"""),112040)</f>
        <v>112040</v>
      </c>
      <c r="C1673" s="14">
        <f ca="1">IFERROR(__xludf.DUMMYFUNCTION("""COMPUTED_VALUE"""),7)</f>
        <v>7</v>
      </c>
      <c r="D1673" s="12" t="str">
        <f ca="1">IFERROR(__xludf.DUMMYFUNCTION("""COMPUTED_VALUE"""),"内丸 裕子")</f>
        <v>内丸 裕子</v>
      </c>
    </row>
    <row r="1674" spans="2:4" ht="13">
      <c r="B1674" s="12">
        <f ca="1">IFERROR(__xludf.DUMMYFUNCTION("""COMPUTED_VALUE"""),112067)</f>
        <v>112067</v>
      </c>
      <c r="C1674" s="14">
        <f ca="1">IFERROR(__xludf.DUMMYFUNCTION("""COMPUTED_VALUE"""),0)</f>
        <v>0</v>
      </c>
      <c r="D1674" s="12" t="str">
        <f ca="1">IFERROR(__xludf.DUMMYFUNCTION("""COMPUTED_VALUE"""),"成嶋 夏未")</f>
        <v>成嶋 夏未</v>
      </c>
    </row>
    <row r="1675" spans="2:4" ht="13">
      <c r="B1675" s="12">
        <f ca="1">IFERROR(__xludf.DUMMYFUNCTION("""COMPUTED_VALUE"""),112068)</f>
        <v>112068</v>
      </c>
      <c r="C1675" s="14">
        <f ca="1">IFERROR(__xludf.DUMMYFUNCTION("""COMPUTED_VALUE"""),0)</f>
        <v>0</v>
      </c>
      <c r="D1675" s="12" t="str">
        <f ca="1">IFERROR(__xludf.DUMMYFUNCTION("""COMPUTED_VALUE"""),"小関 麻起")</f>
        <v>小関 麻起</v>
      </c>
    </row>
    <row r="1676" spans="2:4" ht="13">
      <c r="B1676" s="12">
        <f ca="1">IFERROR(__xludf.DUMMYFUNCTION("""COMPUTED_VALUE"""),112070)</f>
        <v>112070</v>
      </c>
      <c r="C1676" s="14">
        <f ca="1">IFERROR(__xludf.DUMMYFUNCTION("""COMPUTED_VALUE"""),0)</f>
        <v>0</v>
      </c>
      <c r="D1676" s="12" t="str">
        <f ca="1">IFERROR(__xludf.DUMMYFUNCTION("""COMPUTED_VALUE"""),"長谷川 陸朗")</f>
        <v>長谷川 陸朗</v>
      </c>
    </row>
    <row r="1677" spans="2:4" ht="13">
      <c r="B1677" s="12">
        <f ca="1">IFERROR(__xludf.DUMMYFUNCTION("""COMPUTED_VALUE"""),112090)</f>
        <v>112090</v>
      </c>
      <c r="C1677" s="14">
        <f ca="1">IFERROR(__xludf.DUMMYFUNCTION("""COMPUTED_VALUE"""),69)</f>
        <v>69</v>
      </c>
      <c r="D1677" s="12" t="str">
        <f ca="1">IFERROR(__xludf.DUMMYFUNCTION("""COMPUTED_VALUE"""),"川島 幹也")</f>
        <v>川島 幹也</v>
      </c>
    </row>
    <row r="1678" spans="2:4" ht="13">
      <c r="B1678" s="12">
        <f ca="1">IFERROR(__xludf.DUMMYFUNCTION("""COMPUTED_VALUE"""),112091)</f>
        <v>112091</v>
      </c>
      <c r="C1678" s="14">
        <f ca="1">IFERROR(__xludf.DUMMYFUNCTION("""COMPUTED_VALUE"""),7)</f>
        <v>7</v>
      </c>
      <c r="D1678" s="12" t="str">
        <f ca="1">IFERROR(__xludf.DUMMYFUNCTION("""COMPUTED_VALUE"""),"長谷川 陸朗")</f>
        <v>長谷川 陸朗</v>
      </c>
    </row>
    <row r="1679" spans="2:4" ht="13">
      <c r="B1679" s="12">
        <f ca="1">IFERROR(__xludf.DUMMYFUNCTION("""COMPUTED_VALUE"""),112093)</f>
        <v>112093</v>
      </c>
      <c r="C1679" s="14">
        <f ca="1">IFERROR(__xludf.DUMMYFUNCTION("""COMPUTED_VALUE"""),39)</f>
        <v>39</v>
      </c>
      <c r="D1679" s="12" t="str">
        <f ca="1">IFERROR(__xludf.DUMMYFUNCTION("""COMPUTED_VALUE"""),"堀越 駿")</f>
        <v>堀越 駿</v>
      </c>
    </row>
    <row r="1680" spans="2:4" ht="13">
      <c r="B1680" s="12">
        <f ca="1">IFERROR(__xludf.DUMMYFUNCTION("""COMPUTED_VALUE"""),112100)</f>
        <v>112100</v>
      </c>
      <c r="C1680" s="14">
        <f ca="1">IFERROR(__xludf.DUMMYFUNCTION("""COMPUTED_VALUE"""),0)</f>
        <v>0</v>
      </c>
      <c r="D1680" s="12" t="str">
        <f ca="1">IFERROR(__xludf.DUMMYFUNCTION("""COMPUTED_VALUE"""),"成嶋 夏未")</f>
        <v>成嶋 夏未</v>
      </c>
    </row>
    <row r="1681" spans="2:4" ht="13">
      <c r="B1681" s="12">
        <f ca="1">IFERROR(__xludf.DUMMYFUNCTION("""COMPUTED_VALUE"""),112109)</f>
        <v>112109</v>
      </c>
      <c r="C1681" s="14">
        <f ca="1">IFERROR(__xludf.DUMMYFUNCTION("""COMPUTED_VALUE"""),0)</f>
        <v>0</v>
      </c>
      <c r="D1681" s="12" t="str">
        <f ca="1">IFERROR(__xludf.DUMMYFUNCTION("""COMPUTED_VALUE"""),"桐山 勝気")</f>
        <v>桐山 勝気</v>
      </c>
    </row>
    <row r="1682" spans="2:4" ht="13">
      <c r="B1682" s="12">
        <f ca="1">IFERROR(__xludf.DUMMYFUNCTION("""COMPUTED_VALUE"""),112129)</f>
        <v>112129</v>
      </c>
      <c r="C1682" s="14">
        <f ca="1">IFERROR(__xludf.DUMMYFUNCTION("""COMPUTED_VALUE"""),0)</f>
        <v>0</v>
      </c>
      <c r="D1682" s="12" t="str">
        <f ca="1">IFERROR(__xludf.DUMMYFUNCTION("""COMPUTED_VALUE"""),"小関 麻起")</f>
        <v>小関 麻起</v>
      </c>
    </row>
    <row r="1683" spans="2:4" ht="13">
      <c r="B1683" s="12">
        <f ca="1">IFERROR(__xludf.DUMMYFUNCTION("""COMPUTED_VALUE"""),112133)</f>
        <v>112133</v>
      </c>
      <c r="C1683" s="14">
        <f ca="1">IFERROR(__xludf.DUMMYFUNCTION("""COMPUTED_VALUE"""),4)</f>
        <v>4</v>
      </c>
      <c r="D1683" s="12" t="str">
        <f ca="1">IFERROR(__xludf.DUMMYFUNCTION("""COMPUTED_VALUE"""),"田嶋 将太")</f>
        <v>田嶋 将太</v>
      </c>
    </row>
    <row r="1684" spans="2:4" ht="13">
      <c r="B1684" s="12">
        <f ca="1">IFERROR(__xludf.DUMMYFUNCTION("""COMPUTED_VALUE"""),112151)</f>
        <v>112151</v>
      </c>
      <c r="C1684" s="14">
        <f ca="1">IFERROR(__xludf.DUMMYFUNCTION("""COMPUTED_VALUE"""),10)</f>
        <v>10</v>
      </c>
      <c r="D1684" s="12" t="str">
        <f ca="1">IFERROR(__xludf.DUMMYFUNCTION("""COMPUTED_VALUE"""),"小関 麻起")</f>
        <v>小関 麻起</v>
      </c>
    </row>
    <row r="1685" spans="2:4" ht="13">
      <c r="B1685" s="12">
        <f ca="1">IFERROR(__xludf.DUMMYFUNCTION("""COMPUTED_VALUE"""),112173)</f>
        <v>112173</v>
      </c>
      <c r="C1685" s="14">
        <f ca="1">IFERROR(__xludf.DUMMYFUNCTION("""COMPUTED_VALUE"""),0)</f>
        <v>0</v>
      </c>
      <c r="D1685" s="12" t="str">
        <f ca="1">IFERROR(__xludf.DUMMYFUNCTION("""COMPUTED_VALUE"""),"小関 麻起")</f>
        <v>小関 麻起</v>
      </c>
    </row>
    <row r="1686" spans="2:4" ht="13">
      <c r="B1686" s="12">
        <f ca="1">IFERROR(__xludf.DUMMYFUNCTION("""COMPUTED_VALUE"""),112176)</f>
        <v>112176</v>
      </c>
      <c r="C1686" s="14">
        <f ca="1">IFERROR(__xludf.DUMMYFUNCTION("""COMPUTED_VALUE"""),14)</f>
        <v>14</v>
      </c>
      <c r="D1686" s="12" t="str">
        <f ca="1">IFERROR(__xludf.DUMMYFUNCTION("""COMPUTED_VALUE"""),"老田 純輝")</f>
        <v>老田 純輝</v>
      </c>
    </row>
    <row r="1687" spans="2:4" ht="13">
      <c r="B1687" s="12">
        <f ca="1">IFERROR(__xludf.DUMMYFUNCTION("""COMPUTED_VALUE"""),112192)</f>
        <v>112192</v>
      </c>
      <c r="C1687" s="14">
        <f ca="1">IFERROR(__xludf.DUMMYFUNCTION("""COMPUTED_VALUE"""),0)</f>
        <v>0</v>
      </c>
      <c r="D1687" s="12" t="str">
        <f ca="1">IFERROR(__xludf.DUMMYFUNCTION("""COMPUTED_VALUE"""),"大木 優香")</f>
        <v>大木 優香</v>
      </c>
    </row>
    <row r="1688" spans="2:4" ht="13">
      <c r="B1688" s="12">
        <f ca="1">IFERROR(__xludf.DUMMYFUNCTION("""COMPUTED_VALUE"""),112196)</f>
        <v>112196</v>
      </c>
      <c r="C1688" s="14">
        <f ca="1">IFERROR(__xludf.DUMMYFUNCTION("""COMPUTED_VALUE"""),27)</f>
        <v>27</v>
      </c>
      <c r="D1688" s="12" t="str">
        <f ca="1">IFERROR(__xludf.DUMMYFUNCTION("""COMPUTED_VALUE"""),"小川 純")</f>
        <v>小川 純</v>
      </c>
    </row>
    <row r="1689" spans="2:4" ht="13">
      <c r="B1689" s="12">
        <f ca="1">IFERROR(__xludf.DUMMYFUNCTION("""COMPUTED_VALUE"""),112204)</f>
        <v>112204</v>
      </c>
      <c r="C1689" s="14">
        <f ca="1">IFERROR(__xludf.DUMMYFUNCTION("""COMPUTED_VALUE"""),0)</f>
        <v>0</v>
      </c>
      <c r="D1689" s="12" t="str">
        <f ca="1">IFERROR(__xludf.DUMMYFUNCTION("""COMPUTED_VALUE"""),"栗原 大武")</f>
        <v>栗原 大武</v>
      </c>
    </row>
    <row r="1690" spans="2:4" ht="13">
      <c r="B1690" s="12">
        <f ca="1">IFERROR(__xludf.DUMMYFUNCTION("""COMPUTED_VALUE"""),112205)</f>
        <v>112205</v>
      </c>
      <c r="C1690" s="14">
        <f ca="1">IFERROR(__xludf.DUMMYFUNCTION("""COMPUTED_VALUE"""),5)</f>
        <v>5</v>
      </c>
      <c r="D1690" s="12" t="str">
        <f ca="1">IFERROR(__xludf.DUMMYFUNCTION("""COMPUTED_VALUE"""),"老田 純輝")</f>
        <v>老田 純輝</v>
      </c>
    </row>
    <row r="1691" spans="2:4" ht="13">
      <c r="B1691" s="12">
        <f ca="1">IFERROR(__xludf.DUMMYFUNCTION("""COMPUTED_VALUE"""),112243)</f>
        <v>112243</v>
      </c>
      <c r="C1691" s="14">
        <f ca="1">IFERROR(__xludf.DUMMYFUNCTION("""COMPUTED_VALUE"""),0)</f>
        <v>0</v>
      </c>
      <c r="D1691" s="12" t="str">
        <f ca="1">IFERROR(__xludf.DUMMYFUNCTION("""COMPUTED_VALUE"""),"小関 麻起")</f>
        <v>小関 麻起</v>
      </c>
    </row>
    <row r="1692" spans="2:4" ht="13">
      <c r="B1692" s="12">
        <f ca="1">IFERROR(__xludf.DUMMYFUNCTION("""COMPUTED_VALUE"""),112244)</f>
        <v>112244</v>
      </c>
      <c r="C1692" s="14">
        <f ca="1">IFERROR(__xludf.DUMMYFUNCTION("""COMPUTED_VALUE"""),0)</f>
        <v>0</v>
      </c>
      <c r="D1692" s="12" t="str">
        <f ca="1">IFERROR(__xludf.DUMMYFUNCTION("""COMPUTED_VALUE"""),"成嶋 夏未")</f>
        <v>成嶋 夏未</v>
      </c>
    </row>
    <row r="1693" spans="2:4" ht="13">
      <c r="B1693" s="12">
        <f ca="1">IFERROR(__xludf.DUMMYFUNCTION("""COMPUTED_VALUE"""),112245)</f>
        <v>112245</v>
      </c>
      <c r="C1693" s="14">
        <f ca="1">IFERROR(__xludf.DUMMYFUNCTION("""COMPUTED_VALUE"""),1)</f>
        <v>1</v>
      </c>
      <c r="D1693" s="12" t="str">
        <f ca="1">IFERROR(__xludf.DUMMYFUNCTION("""COMPUTED_VALUE"""),"小関 麻起")</f>
        <v>小関 麻起</v>
      </c>
    </row>
    <row r="1694" spans="2:4" ht="13">
      <c r="B1694" s="12">
        <f ca="1">IFERROR(__xludf.DUMMYFUNCTION("""COMPUTED_VALUE"""),112247)</f>
        <v>112247</v>
      </c>
      <c r="C1694" s="14">
        <f ca="1">IFERROR(__xludf.DUMMYFUNCTION("""COMPUTED_VALUE"""),0)</f>
        <v>0</v>
      </c>
      <c r="D1694" s="12" t="str">
        <f ca="1">IFERROR(__xludf.DUMMYFUNCTION("""COMPUTED_VALUE"""),"成嶋 夏未")</f>
        <v>成嶋 夏未</v>
      </c>
    </row>
    <row r="1695" spans="2:4" ht="13">
      <c r="B1695" s="12">
        <f ca="1">IFERROR(__xludf.DUMMYFUNCTION("""COMPUTED_VALUE"""),112261)</f>
        <v>112261</v>
      </c>
      <c r="C1695" s="14">
        <f ca="1">IFERROR(__xludf.DUMMYFUNCTION("""COMPUTED_VALUE"""),2)</f>
        <v>2</v>
      </c>
      <c r="D1695" s="12" t="str">
        <f ca="1">IFERROR(__xludf.DUMMYFUNCTION("""COMPUTED_VALUE"""),"堀越 駿")</f>
        <v>堀越 駿</v>
      </c>
    </row>
    <row r="1696" spans="2:4" ht="13">
      <c r="B1696" s="12">
        <f ca="1">IFERROR(__xludf.DUMMYFUNCTION("""COMPUTED_VALUE"""),112270)</f>
        <v>112270</v>
      </c>
      <c r="C1696" s="14">
        <f ca="1">IFERROR(__xludf.DUMMYFUNCTION("""COMPUTED_VALUE"""),5)</f>
        <v>5</v>
      </c>
      <c r="D1696" s="12" t="str">
        <f ca="1">IFERROR(__xludf.DUMMYFUNCTION("""COMPUTED_VALUE"""),"小川 純")</f>
        <v>小川 純</v>
      </c>
    </row>
    <row r="1697" spans="2:4" ht="13">
      <c r="B1697" s="12">
        <f ca="1">IFERROR(__xludf.DUMMYFUNCTION("""COMPUTED_VALUE"""),112277)</f>
        <v>112277</v>
      </c>
      <c r="C1697" s="14">
        <f ca="1">IFERROR(__xludf.DUMMYFUNCTION("""COMPUTED_VALUE"""),0)</f>
        <v>0</v>
      </c>
      <c r="D1697" s="12" t="str">
        <f ca="1">IFERROR(__xludf.DUMMYFUNCTION("""COMPUTED_VALUE"""),"松尾 尚樹")</f>
        <v>松尾 尚樹</v>
      </c>
    </row>
    <row r="1698" spans="2:4" ht="13">
      <c r="B1698" s="12">
        <f ca="1">IFERROR(__xludf.DUMMYFUNCTION("""COMPUTED_VALUE"""),112284)</f>
        <v>112284</v>
      </c>
      <c r="C1698" s="14">
        <f ca="1">IFERROR(__xludf.DUMMYFUNCTION("""COMPUTED_VALUE"""),7)</f>
        <v>7</v>
      </c>
      <c r="D1698" s="12" t="str">
        <f ca="1">IFERROR(__xludf.DUMMYFUNCTION("""COMPUTED_VALUE"""),"長谷川 陸朗")</f>
        <v>長谷川 陸朗</v>
      </c>
    </row>
    <row r="1699" spans="2:4" ht="13">
      <c r="B1699" s="12">
        <f ca="1">IFERROR(__xludf.DUMMYFUNCTION("""COMPUTED_VALUE"""),112298)</f>
        <v>112298</v>
      </c>
      <c r="C1699" s="14">
        <f ca="1">IFERROR(__xludf.DUMMYFUNCTION("""COMPUTED_VALUE"""),1)</f>
        <v>1</v>
      </c>
      <c r="D1699" s="12" t="str">
        <f ca="1">IFERROR(__xludf.DUMMYFUNCTION("""COMPUTED_VALUE"""),"松尾 尚樹")</f>
        <v>松尾 尚樹</v>
      </c>
    </row>
    <row r="1700" spans="2:4" ht="13">
      <c r="B1700" s="12">
        <f ca="1">IFERROR(__xludf.DUMMYFUNCTION("""COMPUTED_VALUE"""),112303)</f>
        <v>112303</v>
      </c>
      <c r="C1700" s="14">
        <f ca="1">IFERROR(__xludf.DUMMYFUNCTION("""COMPUTED_VALUE"""),0)</f>
        <v>0</v>
      </c>
      <c r="D1700" s="12" t="str">
        <f ca="1">IFERROR(__xludf.DUMMYFUNCTION("""COMPUTED_VALUE"""),"成嶋 夏未")</f>
        <v>成嶋 夏未</v>
      </c>
    </row>
    <row r="1701" spans="2:4" ht="13">
      <c r="B1701" s="12">
        <f ca="1">IFERROR(__xludf.DUMMYFUNCTION("""COMPUTED_VALUE"""),112307)</f>
        <v>112307</v>
      </c>
      <c r="C1701" s="14">
        <f ca="1">IFERROR(__xludf.DUMMYFUNCTION("""COMPUTED_VALUE"""),0)</f>
        <v>0</v>
      </c>
      <c r="D1701" s="12" t="str">
        <f ca="1">IFERROR(__xludf.DUMMYFUNCTION("""COMPUTED_VALUE"""),"長谷川 陸朗")</f>
        <v>長谷川 陸朗</v>
      </c>
    </row>
    <row r="1702" spans="2:4" ht="13">
      <c r="B1702" s="12">
        <f ca="1">IFERROR(__xludf.DUMMYFUNCTION("""COMPUTED_VALUE"""),112321)</f>
        <v>112321</v>
      </c>
      <c r="C1702" s="14">
        <f ca="1">IFERROR(__xludf.DUMMYFUNCTION("""COMPUTED_VALUE"""),15)</f>
        <v>15</v>
      </c>
      <c r="D1702" s="12" t="str">
        <f ca="1">IFERROR(__xludf.DUMMYFUNCTION("""COMPUTED_VALUE"""),"菅野 ぎんが")</f>
        <v>菅野 ぎんが</v>
      </c>
    </row>
    <row r="1703" spans="2:4" ht="13">
      <c r="B1703" s="12">
        <f ca="1">IFERROR(__xludf.DUMMYFUNCTION("""COMPUTED_VALUE"""),112333)</f>
        <v>112333</v>
      </c>
      <c r="C1703" s="14">
        <f ca="1">IFERROR(__xludf.DUMMYFUNCTION("""COMPUTED_VALUE"""),10)</f>
        <v>10</v>
      </c>
      <c r="D1703" s="12" t="str">
        <f ca="1">IFERROR(__xludf.DUMMYFUNCTION("""COMPUTED_VALUE"""),"老田 純輝")</f>
        <v>老田 純輝</v>
      </c>
    </row>
    <row r="1704" spans="2:4" ht="13">
      <c r="B1704" s="12">
        <f ca="1">IFERROR(__xludf.DUMMYFUNCTION("""COMPUTED_VALUE"""),112347)</f>
        <v>112347</v>
      </c>
      <c r="C1704" s="14">
        <f ca="1">IFERROR(__xludf.DUMMYFUNCTION("""COMPUTED_VALUE"""),0)</f>
        <v>0</v>
      </c>
      <c r="D1704" s="12" t="str">
        <f ca="1">IFERROR(__xludf.DUMMYFUNCTION("""COMPUTED_VALUE"""),"松尾 尚樹")</f>
        <v>松尾 尚樹</v>
      </c>
    </row>
    <row r="1705" spans="2:4" ht="13">
      <c r="B1705" s="12">
        <f ca="1">IFERROR(__xludf.DUMMYFUNCTION("""COMPUTED_VALUE"""),112348)</f>
        <v>112348</v>
      </c>
      <c r="C1705" s="14">
        <f ca="1">IFERROR(__xludf.DUMMYFUNCTION("""COMPUTED_VALUE"""),0)</f>
        <v>0</v>
      </c>
      <c r="D1705" s="12" t="str">
        <f ca="1">IFERROR(__xludf.DUMMYFUNCTION("""COMPUTED_VALUE"""),"小関 麻起")</f>
        <v>小関 麻起</v>
      </c>
    </row>
    <row r="1706" spans="2:4" ht="13">
      <c r="B1706" s="12">
        <f ca="1">IFERROR(__xludf.DUMMYFUNCTION("""COMPUTED_VALUE"""),112358)</f>
        <v>112358</v>
      </c>
      <c r="C1706" s="14">
        <f ca="1">IFERROR(__xludf.DUMMYFUNCTION("""COMPUTED_VALUE"""),2)</f>
        <v>2</v>
      </c>
      <c r="D1706" s="12" t="str">
        <f ca="1">IFERROR(__xludf.DUMMYFUNCTION("""COMPUTED_VALUE"""),"堀越 駿")</f>
        <v>堀越 駿</v>
      </c>
    </row>
    <row r="1707" spans="2:4" ht="13">
      <c r="B1707" s="12">
        <f ca="1">IFERROR(__xludf.DUMMYFUNCTION("""COMPUTED_VALUE"""),112361)</f>
        <v>112361</v>
      </c>
      <c r="C1707" s="14">
        <f ca="1">IFERROR(__xludf.DUMMYFUNCTION("""COMPUTED_VALUE"""),5)</f>
        <v>5</v>
      </c>
      <c r="D1707" s="12" t="str">
        <f ca="1">IFERROR(__xludf.DUMMYFUNCTION("""COMPUTED_VALUE"""),"堀越 駿")</f>
        <v>堀越 駿</v>
      </c>
    </row>
    <row r="1708" spans="2:4" ht="13">
      <c r="B1708" s="12">
        <f ca="1">IFERROR(__xludf.DUMMYFUNCTION("""COMPUTED_VALUE"""),112370)</f>
        <v>112370</v>
      </c>
      <c r="C1708" s="14">
        <f ca="1">IFERROR(__xludf.DUMMYFUNCTION("""COMPUTED_VALUE"""),4)</f>
        <v>4</v>
      </c>
      <c r="D1708" s="12" t="str">
        <f ca="1">IFERROR(__xludf.DUMMYFUNCTION("""COMPUTED_VALUE"""),"村上 浩一朗")</f>
        <v>村上 浩一朗</v>
      </c>
    </row>
    <row r="1709" spans="2:4" ht="13">
      <c r="B1709" s="12">
        <f ca="1">IFERROR(__xludf.DUMMYFUNCTION("""COMPUTED_VALUE"""),112385)</f>
        <v>112385</v>
      </c>
      <c r="C1709" s="14">
        <f ca="1">IFERROR(__xludf.DUMMYFUNCTION("""COMPUTED_VALUE"""),17)</f>
        <v>17</v>
      </c>
      <c r="D1709" s="12" t="str">
        <f ca="1">IFERROR(__xludf.DUMMYFUNCTION("""COMPUTED_VALUE"""),"老田 純輝")</f>
        <v>老田 純輝</v>
      </c>
    </row>
    <row r="1710" spans="2:4" ht="13">
      <c r="B1710" s="12">
        <f ca="1">IFERROR(__xludf.DUMMYFUNCTION("""COMPUTED_VALUE"""),112397)</f>
        <v>112397</v>
      </c>
      <c r="C1710" s="14">
        <f ca="1">IFERROR(__xludf.DUMMYFUNCTION("""COMPUTED_VALUE"""),1)</f>
        <v>1</v>
      </c>
      <c r="D1710" s="12" t="str">
        <f ca="1">IFERROR(__xludf.DUMMYFUNCTION("""COMPUTED_VALUE"""),"稲場 勇介")</f>
        <v>稲場 勇介</v>
      </c>
    </row>
    <row r="1711" spans="2:4" ht="13">
      <c r="B1711" s="12">
        <f ca="1">IFERROR(__xludf.DUMMYFUNCTION("""COMPUTED_VALUE"""),112399)</f>
        <v>112399</v>
      </c>
      <c r="C1711" s="14">
        <f ca="1">IFERROR(__xludf.DUMMYFUNCTION("""COMPUTED_VALUE"""),0)</f>
        <v>0</v>
      </c>
      <c r="D1711" s="12" t="str">
        <f ca="1">IFERROR(__xludf.DUMMYFUNCTION("""COMPUTED_VALUE"""),"老田 純輝")</f>
        <v>老田 純輝</v>
      </c>
    </row>
    <row r="1712" spans="2:4" ht="13">
      <c r="B1712" s="12">
        <f ca="1">IFERROR(__xludf.DUMMYFUNCTION("""COMPUTED_VALUE"""),112425)</f>
        <v>112425</v>
      </c>
      <c r="C1712" s="14">
        <f ca="1">IFERROR(__xludf.DUMMYFUNCTION("""COMPUTED_VALUE"""),0)</f>
        <v>0</v>
      </c>
      <c r="D1712" s="12" t="str">
        <f ca="1">IFERROR(__xludf.DUMMYFUNCTION("""COMPUTED_VALUE"""),"稲場 勇介")</f>
        <v>稲場 勇介</v>
      </c>
    </row>
    <row r="1713" spans="2:4" ht="13">
      <c r="B1713" s="12">
        <f ca="1">IFERROR(__xludf.DUMMYFUNCTION("""COMPUTED_VALUE"""),112426)</f>
        <v>112426</v>
      </c>
      <c r="C1713" s="14">
        <f ca="1">IFERROR(__xludf.DUMMYFUNCTION("""COMPUTED_VALUE"""),1)</f>
        <v>1</v>
      </c>
      <c r="D1713" s="12" t="str">
        <f ca="1">IFERROR(__xludf.DUMMYFUNCTION("""COMPUTED_VALUE"""),"成嶋 夏未")</f>
        <v>成嶋 夏未</v>
      </c>
    </row>
    <row r="1714" spans="2:4" ht="13">
      <c r="B1714" s="12">
        <f ca="1">IFERROR(__xludf.DUMMYFUNCTION("""COMPUTED_VALUE"""),112427)</f>
        <v>112427</v>
      </c>
      <c r="C1714" s="14">
        <f ca="1">IFERROR(__xludf.DUMMYFUNCTION("""COMPUTED_VALUE"""),142)</f>
        <v>142</v>
      </c>
      <c r="D1714" s="12" t="str">
        <f ca="1">IFERROR(__xludf.DUMMYFUNCTION("""COMPUTED_VALUE"""),"辻村 将大")</f>
        <v>辻村 将大</v>
      </c>
    </row>
    <row r="1715" spans="2:4" ht="13">
      <c r="B1715" s="12">
        <f ca="1">IFERROR(__xludf.DUMMYFUNCTION("""COMPUTED_VALUE"""),112449)</f>
        <v>112449</v>
      </c>
      <c r="C1715" s="14">
        <f ca="1">IFERROR(__xludf.DUMMYFUNCTION("""COMPUTED_VALUE"""),0)</f>
        <v>0</v>
      </c>
      <c r="D1715" s="12" t="str">
        <f ca="1">IFERROR(__xludf.DUMMYFUNCTION("""COMPUTED_VALUE"""),"桑原 明子")</f>
        <v>桑原 明子</v>
      </c>
    </row>
    <row r="1716" spans="2:4" ht="13">
      <c r="B1716" s="12">
        <f ca="1">IFERROR(__xludf.DUMMYFUNCTION("""COMPUTED_VALUE"""),112461)</f>
        <v>112461</v>
      </c>
      <c r="C1716" s="14">
        <f ca="1">IFERROR(__xludf.DUMMYFUNCTION("""COMPUTED_VALUE"""),0)</f>
        <v>0</v>
      </c>
      <c r="D1716" s="12" t="str">
        <f ca="1">IFERROR(__xludf.DUMMYFUNCTION("""COMPUTED_VALUE"""),"奥野 貴大")</f>
        <v>奥野 貴大</v>
      </c>
    </row>
    <row r="1717" spans="2:4" ht="13">
      <c r="B1717" s="12">
        <f ca="1">IFERROR(__xludf.DUMMYFUNCTION("""COMPUTED_VALUE"""),112462)</f>
        <v>112462</v>
      </c>
      <c r="C1717" s="14">
        <f ca="1">IFERROR(__xludf.DUMMYFUNCTION("""COMPUTED_VALUE"""),0)</f>
        <v>0</v>
      </c>
      <c r="D1717" s="12" t="str">
        <f ca="1">IFERROR(__xludf.DUMMYFUNCTION("""COMPUTED_VALUE"""),"辻村 将大")</f>
        <v>辻村 将大</v>
      </c>
    </row>
    <row r="1718" spans="2:4" ht="13">
      <c r="B1718" s="12">
        <f ca="1">IFERROR(__xludf.DUMMYFUNCTION("""COMPUTED_VALUE"""),112464)</f>
        <v>112464</v>
      </c>
      <c r="C1718" s="14">
        <f ca="1">IFERROR(__xludf.DUMMYFUNCTION("""COMPUTED_VALUE"""),38)</f>
        <v>38</v>
      </c>
      <c r="D1718" s="12" t="str">
        <f ca="1">IFERROR(__xludf.DUMMYFUNCTION("""COMPUTED_VALUE"""),"小関 麻起")</f>
        <v>小関 麻起</v>
      </c>
    </row>
    <row r="1719" spans="2:4" ht="13">
      <c r="B1719" s="12">
        <f ca="1">IFERROR(__xludf.DUMMYFUNCTION("""COMPUTED_VALUE"""),112465)</f>
        <v>112465</v>
      </c>
      <c r="C1719" s="14">
        <f ca="1">IFERROR(__xludf.DUMMYFUNCTION("""COMPUTED_VALUE"""),0)</f>
        <v>0</v>
      </c>
      <c r="D1719" s="12" t="str">
        <f ca="1">IFERROR(__xludf.DUMMYFUNCTION("""COMPUTED_VALUE"""),"成嶋 夏未")</f>
        <v>成嶋 夏未</v>
      </c>
    </row>
    <row r="1720" spans="2:4" ht="13">
      <c r="B1720" s="12">
        <f ca="1">IFERROR(__xludf.DUMMYFUNCTION("""COMPUTED_VALUE"""),112507)</f>
        <v>112507</v>
      </c>
      <c r="C1720" s="14">
        <f ca="1">IFERROR(__xludf.DUMMYFUNCTION("""COMPUTED_VALUE"""),0)</f>
        <v>0</v>
      </c>
      <c r="D1720" s="12" t="str">
        <f ca="1">IFERROR(__xludf.DUMMYFUNCTION("""COMPUTED_VALUE"""),"小川 純")</f>
        <v>小川 純</v>
      </c>
    </row>
    <row r="1721" spans="2:4" ht="13">
      <c r="B1721" s="12">
        <f ca="1">IFERROR(__xludf.DUMMYFUNCTION("""COMPUTED_VALUE"""),112528)</f>
        <v>112528</v>
      </c>
      <c r="C1721" s="14">
        <f ca="1">IFERROR(__xludf.DUMMYFUNCTION("""COMPUTED_VALUE"""),0)</f>
        <v>0</v>
      </c>
      <c r="D1721" s="12" t="str">
        <f ca="1">IFERROR(__xludf.DUMMYFUNCTION("""COMPUTED_VALUE"""),"村上 浩一朗")</f>
        <v>村上 浩一朗</v>
      </c>
    </row>
    <row r="1722" spans="2:4" ht="13">
      <c r="B1722" s="12">
        <f ca="1">IFERROR(__xludf.DUMMYFUNCTION("""COMPUTED_VALUE"""),112531)</f>
        <v>112531</v>
      </c>
      <c r="C1722" s="14">
        <f ca="1">IFERROR(__xludf.DUMMYFUNCTION("""COMPUTED_VALUE"""),0)</f>
        <v>0</v>
      </c>
      <c r="D1722" s="12" t="str">
        <f ca="1">IFERROR(__xludf.DUMMYFUNCTION("""COMPUTED_VALUE"""),"村上 浩一朗")</f>
        <v>村上 浩一朗</v>
      </c>
    </row>
    <row r="1723" spans="2:4" ht="13">
      <c r="B1723" s="12">
        <f ca="1">IFERROR(__xludf.DUMMYFUNCTION("""COMPUTED_VALUE"""),112534)</f>
        <v>112534</v>
      </c>
      <c r="C1723" s="14">
        <f ca="1">IFERROR(__xludf.DUMMYFUNCTION("""COMPUTED_VALUE"""),52)</f>
        <v>52</v>
      </c>
      <c r="D1723" s="12" t="str">
        <f ca="1">IFERROR(__xludf.DUMMYFUNCTION("""COMPUTED_VALUE"""),"辻村 将大")</f>
        <v>辻村 将大</v>
      </c>
    </row>
    <row r="1724" spans="2:4" ht="13">
      <c r="B1724" s="12">
        <f ca="1">IFERROR(__xludf.DUMMYFUNCTION("""COMPUTED_VALUE"""),112541)</f>
        <v>112541</v>
      </c>
      <c r="C1724" s="14">
        <f ca="1">IFERROR(__xludf.DUMMYFUNCTION("""COMPUTED_VALUE"""),4)</f>
        <v>4</v>
      </c>
      <c r="D1724" s="12" t="str">
        <f ca="1">IFERROR(__xludf.DUMMYFUNCTION("""COMPUTED_VALUE"""),"小川 純")</f>
        <v>小川 純</v>
      </c>
    </row>
    <row r="1725" spans="2:4" ht="13">
      <c r="B1725" s="12">
        <f ca="1">IFERROR(__xludf.DUMMYFUNCTION("""COMPUTED_VALUE"""),112542)</f>
        <v>112542</v>
      </c>
      <c r="C1725" s="14">
        <f ca="1">IFERROR(__xludf.DUMMYFUNCTION("""COMPUTED_VALUE"""),0)</f>
        <v>0</v>
      </c>
      <c r="D1725" s="12" t="str">
        <f ca="1">IFERROR(__xludf.DUMMYFUNCTION("""COMPUTED_VALUE"""),"小関 麻起")</f>
        <v>小関 麻起</v>
      </c>
    </row>
    <row r="1726" spans="2:4" ht="13">
      <c r="B1726" s="12">
        <f ca="1">IFERROR(__xludf.DUMMYFUNCTION("""COMPUTED_VALUE"""),112547)</f>
        <v>112547</v>
      </c>
      <c r="C1726" s="14">
        <f ca="1">IFERROR(__xludf.DUMMYFUNCTION("""COMPUTED_VALUE"""),0)</f>
        <v>0</v>
      </c>
      <c r="D1726" s="12" t="str">
        <f ca="1">IFERROR(__xludf.DUMMYFUNCTION("""COMPUTED_VALUE"""),"稲場 勇介")</f>
        <v>稲場 勇介</v>
      </c>
    </row>
    <row r="1727" spans="2:4" ht="13">
      <c r="B1727" s="12">
        <f ca="1">IFERROR(__xludf.DUMMYFUNCTION("""COMPUTED_VALUE"""),112548)</f>
        <v>112548</v>
      </c>
      <c r="C1727" s="14">
        <f ca="1">IFERROR(__xludf.DUMMYFUNCTION("""COMPUTED_VALUE"""),0)</f>
        <v>0</v>
      </c>
      <c r="D1727" s="12" t="str">
        <f ca="1">IFERROR(__xludf.DUMMYFUNCTION("""COMPUTED_VALUE"""),"老田 純輝")</f>
        <v>老田 純輝</v>
      </c>
    </row>
    <row r="1728" spans="2:4" ht="13">
      <c r="B1728" s="12">
        <f ca="1">IFERROR(__xludf.DUMMYFUNCTION("""COMPUTED_VALUE"""),112554)</f>
        <v>112554</v>
      </c>
      <c r="C1728" s="14">
        <f ca="1">IFERROR(__xludf.DUMMYFUNCTION("""COMPUTED_VALUE"""),0)</f>
        <v>0</v>
      </c>
      <c r="D1728" s="12" t="str">
        <f ca="1">IFERROR(__xludf.DUMMYFUNCTION("""COMPUTED_VALUE"""),"菅野 ぎんが")</f>
        <v>菅野 ぎんが</v>
      </c>
    </row>
    <row r="1729" spans="2:4" ht="13">
      <c r="B1729" s="12">
        <f ca="1">IFERROR(__xludf.DUMMYFUNCTION("""COMPUTED_VALUE"""),112557)</f>
        <v>112557</v>
      </c>
      <c r="C1729" s="14">
        <f ca="1">IFERROR(__xludf.DUMMYFUNCTION("""COMPUTED_VALUE"""),4)</f>
        <v>4</v>
      </c>
      <c r="D1729" s="12" t="str">
        <f ca="1">IFERROR(__xludf.DUMMYFUNCTION("""COMPUTED_VALUE"""),"栗原 大武")</f>
        <v>栗原 大武</v>
      </c>
    </row>
    <row r="1730" spans="2:4" ht="13">
      <c r="B1730" s="12">
        <f ca="1">IFERROR(__xludf.DUMMYFUNCTION("""COMPUTED_VALUE"""),112558)</f>
        <v>112558</v>
      </c>
      <c r="C1730" s="14">
        <f ca="1">IFERROR(__xludf.DUMMYFUNCTION("""COMPUTED_VALUE"""),2)</f>
        <v>2</v>
      </c>
      <c r="D1730" s="12" t="str">
        <f ca="1">IFERROR(__xludf.DUMMYFUNCTION("""COMPUTED_VALUE"""),"内丸 裕子")</f>
        <v>内丸 裕子</v>
      </c>
    </row>
    <row r="1731" spans="2:4" ht="13">
      <c r="B1731" s="12">
        <f ca="1">IFERROR(__xludf.DUMMYFUNCTION("""COMPUTED_VALUE"""),112559)</f>
        <v>112559</v>
      </c>
      <c r="C1731" s="14">
        <f ca="1">IFERROR(__xludf.DUMMYFUNCTION("""COMPUTED_VALUE"""),0)</f>
        <v>0</v>
      </c>
      <c r="D1731" s="12" t="str">
        <f ca="1">IFERROR(__xludf.DUMMYFUNCTION("""COMPUTED_VALUE"""),"稲場 勇介")</f>
        <v>稲場 勇介</v>
      </c>
    </row>
    <row r="1732" spans="2:4" ht="13">
      <c r="B1732" s="12">
        <f ca="1">IFERROR(__xludf.DUMMYFUNCTION("""COMPUTED_VALUE"""),112561)</f>
        <v>112561</v>
      </c>
      <c r="C1732" s="14">
        <f ca="1">IFERROR(__xludf.DUMMYFUNCTION("""COMPUTED_VALUE"""),0)</f>
        <v>0</v>
      </c>
      <c r="D1732" s="12" t="str">
        <f ca="1">IFERROR(__xludf.DUMMYFUNCTION("""COMPUTED_VALUE"""),"菅野 ぎんが")</f>
        <v>菅野 ぎんが</v>
      </c>
    </row>
    <row r="1733" spans="2:4" ht="13">
      <c r="B1733" s="12">
        <f ca="1">IFERROR(__xludf.DUMMYFUNCTION("""COMPUTED_VALUE"""),112562)</f>
        <v>112562</v>
      </c>
      <c r="C1733" s="14">
        <f ca="1">IFERROR(__xludf.DUMMYFUNCTION("""COMPUTED_VALUE"""),5)</f>
        <v>5</v>
      </c>
      <c r="D1733" s="12" t="str">
        <f ca="1">IFERROR(__xludf.DUMMYFUNCTION("""COMPUTED_VALUE"""),"大木 優香")</f>
        <v>大木 優香</v>
      </c>
    </row>
    <row r="1734" spans="2:4" ht="13">
      <c r="B1734" s="12">
        <f ca="1">IFERROR(__xludf.DUMMYFUNCTION("""COMPUTED_VALUE"""),112563)</f>
        <v>112563</v>
      </c>
      <c r="C1734" s="14">
        <f ca="1">IFERROR(__xludf.DUMMYFUNCTION("""COMPUTED_VALUE"""),2)</f>
        <v>2</v>
      </c>
      <c r="D1734" s="12" t="str">
        <f ca="1">IFERROR(__xludf.DUMMYFUNCTION("""COMPUTED_VALUE"""),"大木 優香")</f>
        <v>大木 優香</v>
      </c>
    </row>
    <row r="1735" spans="2:4" ht="13">
      <c r="B1735" s="12">
        <f ca="1">IFERROR(__xludf.DUMMYFUNCTION("""COMPUTED_VALUE"""),112564)</f>
        <v>112564</v>
      </c>
      <c r="C1735" s="14">
        <f ca="1">IFERROR(__xludf.DUMMYFUNCTION("""COMPUTED_VALUE"""),7)</f>
        <v>7</v>
      </c>
      <c r="D1735" s="12" t="str">
        <f ca="1">IFERROR(__xludf.DUMMYFUNCTION("""COMPUTED_VALUE"""),"大木 優香")</f>
        <v>大木 優香</v>
      </c>
    </row>
    <row r="1736" spans="2:4" ht="13">
      <c r="B1736" s="12">
        <f ca="1">IFERROR(__xludf.DUMMYFUNCTION("""COMPUTED_VALUE"""),112565)</f>
        <v>112565</v>
      </c>
      <c r="C1736" s="14">
        <f ca="1">IFERROR(__xludf.DUMMYFUNCTION("""COMPUTED_VALUE"""),17)</f>
        <v>17</v>
      </c>
      <c r="D1736" s="12" t="str">
        <f ca="1">IFERROR(__xludf.DUMMYFUNCTION("""COMPUTED_VALUE"""),"大木 優香")</f>
        <v>大木 優香</v>
      </c>
    </row>
    <row r="1737" spans="2:4" ht="13">
      <c r="B1737" s="12">
        <f ca="1">IFERROR(__xludf.DUMMYFUNCTION("""COMPUTED_VALUE"""),112577)</f>
        <v>112577</v>
      </c>
      <c r="C1737" s="14">
        <f ca="1">IFERROR(__xludf.DUMMYFUNCTION("""COMPUTED_VALUE"""),28)</f>
        <v>28</v>
      </c>
      <c r="D1737" s="12" t="str">
        <f ca="1">IFERROR(__xludf.DUMMYFUNCTION("""COMPUTED_VALUE"""),"老田 純輝")</f>
        <v>老田 純輝</v>
      </c>
    </row>
    <row r="1738" spans="2:4" ht="13">
      <c r="B1738" s="12">
        <f ca="1">IFERROR(__xludf.DUMMYFUNCTION("""COMPUTED_VALUE"""),112578)</f>
        <v>112578</v>
      </c>
      <c r="C1738" s="14">
        <f ca="1">IFERROR(__xludf.DUMMYFUNCTION("""COMPUTED_VALUE"""),6)</f>
        <v>6</v>
      </c>
      <c r="D1738" s="12" t="str">
        <f ca="1">IFERROR(__xludf.DUMMYFUNCTION("""COMPUTED_VALUE"""),"栗原 大武")</f>
        <v>栗原 大武</v>
      </c>
    </row>
    <row r="1739" spans="2:4" ht="13">
      <c r="B1739" s="12">
        <f ca="1">IFERROR(__xludf.DUMMYFUNCTION("""COMPUTED_VALUE"""),112588)</f>
        <v>112588</v>
      </c>
      <c r="C1739" s="14">
        <f ca="1">IFERROR(__xludf.DUMMYFUNCTION("""COMPUTED_VALUE"""),6)</f>
        <v>6</v>
      </c>
      <c r="D1739" s="12" t="str">
        <f ca="1">IFERROR(__xludf.DUMMYFUNCTION("""COMPUTED_VALUE"""),"長谷川 陸朗")</f>
        <v>長谷川 陸朗</v>
      </c>
    </row>
    <row r="1740" spans="2:4" ht="13">
      <c r="B1740" s="12">
        <f ca="1">IFERROR(__xludf.DUMMYFUNCTION("""COMPUTED_VALUE"""),112603)</f>
        <v>112603</v>
      </c>
      <c r="C1740" s="14">
        <f ca="1">IFERROR(__xludf.DUMMYFUNCTION("""COMPUTED_VALUE"""),1)</f>
        <v>1</v>
      </c>
      <c r="D1740" s="12" t="str">
        <f ca="1">IFERROR(__xludf.DUMMYFUNCTION("""COMPUTED_VALUE"""),"老田 純輝")</f>
        <v>老田 純輝</v>
      </c>
    </row>
    <row r="1741" spans="2:4" ht="13">
      <c r="B1741" s="12">
        <f ca="1">IFERROR(__xludf.DUMMYFUNCTION("""COMPUTED_VALUE"""),112633)</f>
        <v>112633</v>
      </c>
      <c r="C1741" s="14">
        <f ca="1">IFERROR(__xludf.DUMMYFUNCTION("""COMPUTED_VALUE"""),5)</f>
        <v>5</v>
      </c>
      <c r="D1741" s="12" t="str">
        <f ca="1">IFERROR(__xludf.DUMMYFUNCTION("""COMPUTED_VALUE"""),"森 光智")</f>
        <v>森 光智</v>
      </c>
    </row>
    <row r="1742" spans="2:4" ht="13">
      <c r="B1742" s="12">
        <f ca="1">IFERROR(__xludf.DUMMYFUNCTION("""COMPUTED_VALUE"""),112640)</f>
        <v>112640</v>
      </c>
      <c r="C1742" s="14">
        <f ca="1">IFERROR(__xludf.DUMMYFUNCTION("""COMPUTED_VALUE"""),0)</f>
        <v>0</v>
      </c>
      <c r="D1742" s="12" t="str">
        <f ca="1">IFERROR(__xludf.DUMMYFUNCTION("""COMPUTED_VALUE"""),"長谷川 陸朗")</f>
        <v>長谷川 陸朗</v>
      </c>
    </row>
    <row r="1743" spans="2:4" ht="13">
      <c r="B1743" s="12">
        <f ca="1">IFERROR(__xludf.DUMMYFUNCTION("""COMPUTED_VALUE"""),112643)</f>
        <v>112643</v>
      </c>
      <c r="C1743" s="14">
        <f ca="1">IFERROR(__xludf.DUMMYFUNCTION("""COMPUTED_VALUE"""),0)</f>
        <v>0</v>
      </c>
      <c r="D1743" s="12" t="str">
        <f ca="1">IFERROR(__xludf.DUMMYFUNCTION("""COMPUTED_VALUE"""),"松尾 尚樹")</f>
        <v>松尾 尚樹</v>
      </c>
    </row>
    <row r="1744" spans="2:4" ht="13">
      <c r="B1744" s="12">
        <f ca="1">IFERROR(__xludf.DUMMYFUNCTION("""COMPUTED_VALUE"""),112694)</f>
        <v>112694</v>
      </c>
      <c r="C1744" s="14">
        <f ca="1">IFERROR(__xludf.DUMMYFUNCTION("""COMPUTED_VALUE"""),3)</f>
        <v>3</v>
      </c>
      <c r="D1744" s="12" t="str">
        <f ca="1">IFERROR(__xludf.DUMMYFUNCTION("""COMPUTED_VALUE"""),"桑原 明子")</f>
        <v>桑原 明子</v>
      </c>
    </row>
    <row r="1745" spans="2:4" ht="13">
      <c r="B1745" s="12">
        <f ca="1">IFERROR(__xludf.DUMMYFUNCTION("""COMPUTED_VALUE"""),112695)</f>
        <v>112695</v>
      </c>
      <c r="C1745" s="14">
        <f ca="1">IFERROR(__xludf.DUMMYFUNCTION("""COMPUTED_VALUE"""),0)</f>
        <v>0</v>
      </c>
      <c r="D1745" s="12" t="str">
        <f ca="1">IFERROR(__xludf.DUMMYFUNCTION("""COMPUTED_VALUE"""),"松尾 尚樹")</f>
        <v>松尾 尚樹</v>
      </c>
    </row>
    <row r="1746" spans="2:4" ht="13">
      <c r="B1746" s="12">
        <f ca="1">IFERROR(__xludf.DUMMYFUNCTION("""COMPUTED_VALUE"""),112730)</f>
        <v>112730</v>
      </c>
      <c r="C1746" s="14">
        <f ca="1">IFERROR(__xludf.DUMMYFUNCTION("""COMPUTED_VALUE"""),2)</f>
        <v>2</v>
      </c>
      <c r="D1746" s="12" t="str">
        <f ca="1">IFERROR(__xludf.DUMMYFUNCTION("""COMPUTED_VALUE"""),"菅野 ぎんが")</f>
        <v>菅野 ぎんが</v>
      </c>
    </row>
    <row r="1747" spans="2:4" ht="13">
      <c r="B1747" s="12">
        <f ca="1">IFERROR(__xludf.DUMMYFUNCTION("""COMPUTED_VALUE"""),112737)</f>
        <v>112737</v>
      </c>
      <c r="C1747" s="14">
        <f ca="1">IFERROR(__xludf.DUMMYFUNCTION("""COMPUTED_VALUE"""),0)</f>
        <v>0</v>
      </c>
      <c r="D1747" s="12" t="str">
        <f ca="1">IFERROR(__xludf.DUMMYFUNCTION("""COMPUTED_VALUE"""),"成嶋 夏未")</f>
        <v>成嶋 夏未</v>
      </c>
    </row>
    <row r="1748" spans="2:4" ht="13">
      <c r="B1748" s="12">
        <f ca="1">IFERROR(__xludf.DUMMYFUNCTION("""COMPUTED_VALUE"""),112743)</f>
        <v>112743</v>
      </c>
      <c r="C1748" s="14">
        <f ca="1">IFERROR(__xludf.DUMMYFUNCTION("""COMPUTED_VALUE"""),18)</f>
        <v>18</v>
      </c>
      <c r="D1748" s="12" t="str">
        <f ca="1">IFERROR(__xludf.DUMMYFUNCTION("""COMPUTED_VALUE"""),"小関 麻起")</f>
        <v>小関 麻起</v>
      </c>
    </row>
    <row r="1749" spans="2:4" ht="13">
      <c r="B1749" s="12">
        <f ca="1">IFERROR(__xludf.DUMMYFUNCTION("""COMPUTED_VALUE"""),112767)</f>
        <v>112767</v>
      </c>
      <c r="C1749" s="14">
        <f ca="1">IFERROR(__xludf.DUMMYFUNCTION("""COMPUTED_VALUE"""),0)</f>
        <v>0</v>
      </c>
      <c r="D1749" s="12" t="str">
        <f ca="1">IFERROR(__xludf.DUMMYFUNCTION("""COMPUTED_VALUE"""),"小川 純")</f>
        <v>小川 純</v>
      </c>
    </row>
    <row r="1750" spans="2:4" ht="13">
      <c r="B1750" s="12">
        <f ca="1">IFERROR(__xludf.DUMMYFUNCTION("""COMPUTED_VALUE"""),112780)</f>
        <v>112780</v>
      </c>
      <c r="C1750" s="14">
        <f ca="1">IFERROR(__xludf.DUMMYFUNCTION("""COMPUTED_VALUE"""),0)</f>
        <v>0</v>
      </c>
      <c r="D1750" s="12" t="str">
        <f ca="1">IFERROR(__xludf.DUMMYFUNCTION("""COMPUTED_VALUE"""),"栗原 大武")</f>
        <v>栗原 大武</v>
      </c>
    </row>
    <row r="1751" spans="2:4" ht="13">
      <c r="B1751" s="12">
        <f ca="1">IFERROR(__xludf.DUMMYFUNCTION("""COMPUTED_VALUE"""),112781)</f>
        <v>112781</v>
      </c>
      <c r="C1751" s="14">
        <f ca="1">IFERROR(__xludf.DUMMYFUNCTION("""COMPUTED_VALUE"""),0)</f>
        <v>0</v>
      </c>
      <c r="D1751" s="12" t="str">
        <f ca="1">IFERROR(__xludf.DUMMYFUNCTION("""COMPUTED_VALUE"""),"菅野 ぎんが")</f>
        <v>菅野 ぎんが</v>
      </c>
    </row>
    <row r="1752" spans="2:4" ht="13">
      <c r="B1752" s="12">
        <f ca="1">IFERROR(__xludf.DUMMYFUNCTION("""COMPUTED_VALUE"""),112791)</f>
        <v>112791</v>
      </c>
      <c r="C1752" s="14">
        <f ca="1">IFERROR(__xludf.DUMMYFUNCTION("""COMPUTED_VALUE"""),0)</f>
        <v>0</v>
      </c>
      <c r="D1752" s="12" t="str">
        <f ca="1">IFERROR(__xludf.DUMMYFUNCTION("""COMPUTED_VALUE"""),"老田 純輝")</f>
        <v>老田 純輝</v>
      </c>
    </row>
    <row r="1753" spans="2:4" ht="13">
      <c r="B1753" s="12">
        <f ca="1">IFERROR(__xludf.DUMMYFUNCTION("""COMPUTED_VALUE"""),112804)</f>
        <v>112804</v>
      </c>
      <c r="C1753" s="14">
        <f ca="1">IFERROR(__xludf.DUMMYFUNCTION("""COMPUTED_VALUE"""),1)</f>
        <v>1</v>
      </c>
      <c r="D1753" s="12" t="str">
        <f ca="1">IFERROR(__xludf.DUMMYFUNCTION("""COMPUTED_VALUE"""),"内丸 裕子")</f>
        <v>内丸 裕子</v>
      </c>
    </row>
    <row r="1754" spans="2:4" ht="13">
      <c r="B1754" s="12">
        <f ca="1">IFERROR(__xludf.DUMMYFUNCTION("""COMPUTED_VALUE"""),112812)</f>
        <v>112812</v>
      </c>
      <c r="C1754" s="14">
        <f ca="1">IFERROR(__xludf.DUMMYFUNCTION("""COMPUTED_VALUE"""),283)</f>
        <v>283</v>
      </c>
      <c r="D1754" s="12" t="str">
        <f ca="1">IFERROR(__xludf.DUMMYFUNCTION("""COMPUTED_VALUE"""),"荻曽 克輝")</f>
        <v>荻曽 克輝</v>
      </c>
    </row>
    <row r="1755" spans="2:4" ht="13">
      <c r="B1755" s="12">
        <f ca="1">IFERROR(__xludf.DUMMYFUNCTION("""COMPUTED_VALUE"""),112825)</f>
        <v>112825</v>
      </c>
      <c r="C1755" s="14">
        <f ca="1">IFERROR(__xludf.DUMMYFUNCTION("""COMPUTED_VALUE"""),0)</f>
        <v>0</v>
      </c>
      <c r="D1755" s="12" t="str">
        <f ca="1">IFERROR(__xludf.DUMMYFUNCTION("""COMPUTED_VALUE"""),"大木 優香")</f>
        <v>大木 優香</v>
      </c>
    </row>
    <row r="1756" spans="2:4" ht="13">
      <c r="B1756" s="12">
        <f ca="1">IFERROR(__xludf.DUMMYFUNCTION("""COMPUTED_VALUE"""),112830)</f>
        <v>112830</v>
      </c>
      <c r="C1756" s="14">
        <f ca="1">IFERROR(__xludf.DUMMYFUNCTION("""COMPUTED_VALUE"""),0)</f>
        <v>0</v>
      </c>
      <c r="D1756" s="12" t="str">
        <f ca="1">IFERROR(__xludf.DUMMYFUNCTION("""COMPUTED_VALUE"""),"大木 優香")</f>
        <v>大木 優香</v>
      </c>
    </row>
    <row r="1757" spans="2:4" ht="13">
      <c r="B1757" s="12">
        <f ca="1">IFERROR(__xludf.DUMMYFUNCTION("""COMPUTED_VALUE"""),112834)</f>
        <v>112834</v>
      </c>
      <c r="C1757" s="14">
        <f ca="1">IFERROR(__xludf.DUMMYFUNCTION("""COMPUTED_VALUE"""),0)</f>
        <v>0</v>
      </c>
      <c r="D1757" s="12" t="str">
        <f ca="1">IFERROR(__xludf.DUMMYFUNCTION("""COMPUTED_VALUE"""),"稲場 勇介")</f>
        <v>稲場 勇介</v>
      </c>
    </row>
    <row r="1758" spans="2:4" ht="13">
      <c r="B1758" s="12">
        <f ca="1">IFERROR(__xludf.DUMMYFUNCTION("""COMPUTED_VALUE"""),112837)</f>
        <v>112837</v>
      </c>
      <c r="C1758" s="14">
        <f ca="1">IFERROR(__xludf.DUMMYFUNCTION("""COMPUTED_VALUE"""),4)</f>
        <v>4</v>
      </c>
      <c r="D1758" s="12" t="str">
        <f ca="1">IFERROR(__xludf.DUMMYFUNCTION("""COMPUTED_VALUE"""),"大木 優香")</f>
        <v>大木 優香</v>
      </c>
    </row>
    <row r="1759" spans="2:4" ht="13">
      <c r="B1759" s="12">
        <f ca="1">IFERROR(__xludf.DUMMYFUNCTION("""COMPUTED_VALUE"""),112838)</f>
        <v>112838</v>
      </c>
      <c r="C1759" s="14">
        <f ca="1">IFERROR(__xludf.DUMMYFUNCTION("""COMPUTED_VALUE"""),0)</f>
        <v>0</v>
      </c>
      <c r="D1759" s="12" t="str">
        <f ca="1">IFERROR(__xludf.DUMMYFUNCTION("""COMPUTED_VALUE"""),"奥野 貴大")</f>
        <v>奥野 貴大</v>
      </c>
    </row>
    <row r="1760" spans="2:4" ht="13">
      <c r="B1760" s="12">
        <f ca="1">IFERROR(__xludf.DUMMYFUNCTION("""COMPUTED_VALUE"""),112845)</f>
        <v>112845</v>
      </c>
      <c r="C1760" s="14">
        <f ca="1">IFERROR(__xludf.DUMMYFUNCTION("""COMPUTED_VALUE"""),0)</f>
        <v>0</v>
      </c>
      <c r="D1760" s="12" t="str">
        <f ca="1">IFERROR(__xludf.DUMMYFUNCTION("""COMPUTED_VALUE"""),"桑原 明子")</f>
        <v>桑原 明子</v>
      </c>
    </row>
    <row r="1761" spans="2:4" ht="13">
      <c r="B1761" s="12">
        <f ca="1">IFERROR(__xludf.DUMMYFUNCTION("""COMPUTED_VALUE"""),112865)</f>
        <v>112865</v>
      </c>
      <c r="C1761" s="14">
        <f ca="1">IFERROR(__xludf.DUMMYFUNCTION("""COMPUTED_VALUE"""),0)</f>
        <v>0</v>
      </c>
      <c r="D1761" s="12" t="str">
        <f ca="1">IFERROR(__xludf.DUMMYFUNCTION("""COMPUTED_VALUE"""),"栗原 大武")</f>
        <v>栗原 大武</v>
      </c>
    </row>
    <row r="1762" spans="2:4" ht="13">
      <c r="B1762" s="12">
        <f ca="1">IFERROR(__xludf.DUMMYFUNCTION("""COMPUTED_VALUE"""),112887)</f>
        <v>112887</v>
      </c>
      <c r="C1762" s="14">
        <f ca="1">IFERROR(__xludf.DUMMYFUNCTION("""COMPUTED_VALUE"""),0)</f>
        <v>0</v>
      </c>
      <c r="D1762" s="12" t="str">
        <f ca="1">IFERROR(__xludf.DUMMYFUNCTION("""COMPUTED_VALUE"""),"成嶋 夏未")</f>
        <v>成嶋 夏未</v>
      </c>
    </row>
    <row r="1763" spans="2:4" ht="13">
      <c r="B1763" s="12">
        <f ca="1">IFERROR(__xludf.DUMMYFUNCTION("""COMPUTED_VALUE"""),112894)</f>
        <v>112894</v>
      </c>
      <c r="C1763" s="14">
        <f ca="1">IFERROR(__xludf.DUMMYFUNCTION("""COMPUTED_VALUE"""),1)</f>
        <v>1</v>
      </c>
      <c r="D1763" s="12" t="str">
        <f ca="1">IFERROR(__xludf.DUMMYFUNCTION("""COMPUTED_VALUE"""),"大木 優香")</f>
        <v>大木 優香</v>
      </c>
    </row>
    <row r="1764" spans="2:4" ht="13">
      <c r="B1764" s="12">
        <f ca="1">IFERROR(__xludf.DUMMYFUNCTION("""COMPUTED_VALUE"""),112895)</f>
        <v>112895</v>
      </c>
      <c r="C1764" s="14">
        <f ca="1">IFERROR(__xludf.DUMMYFUNCTION("""COMPUTED_VALUE"""),3)</f>
        <v>3</v>
      </c>
      <c r="D1764" s="12" t="str">
        <f ca="1">IFERROR(__xludf.DUMMYFUNCTION("""COMPUTED_VALUE"""),"大木 優香")</f>
        <v>大木 優香</v>
      </c>
    </row>
    <row r="1765" spans="2:4" ht="13">
      <c r="B1765" s="12">
        <f ca="1">IFERROR(__xludf.DUMMYFUNCTION("""COMPUTED_VALUE"""),112896)</f>
        <v>112896</v>
      </c>
      <c r="C1765" s="14">
        <f ca="1">IFERROR(__xludf.DUMMYFUNCTION("""COMPUTED_VALUE"""),0)</f>
        <v>0</v>
      </c>
      <c r="D1765" s="12" t="str">
        <f ca="1">IFERROR(__xludf.DUMMYFUNCTION("""COMPUTED_VALUE"""),"大木 優香")</f>
        <v>大木 優香</v>
      </c>
    </row>
    <row r="1766" spans="2:4" ht="13">
      <c r="B1766" s="12">
        <f ca="1">IFERROR(__xludf.DUMMYFUNCTION("""COMPUTED_VALUE"""),112897)</f>
        <v>112897</v>
      </c>
      <c r="C1766" s="14">
        <f ca="1">IFERROR(__xludf.DUMMYFUNCTION("""COMPUTED_VALUE"""),1)</f>
        <v>1</v>
      </c>
      <c r="D1766" s="12" t="str">
        <f ca="1">IFERROR(__xludf.DUMMYFUNCTION("""COMPUTED_VALUE"""),"大木 優香")</f>
        <v>大木 優香</v>
      </c>
    </row>
    <row r="1767" spans="2:4" ht="13">
      <c r="B1767" s="12">
        <f ca="1">IFERROR(__xludf.DUMMYFUNCTION("""COMPUTED_VALUE"""),112898)</f>
        <v>112898</v>
      </c>
      <c r="C1767" s="14">
        <f ca="1">IFERROR(__xludf.DUMMYFUNCTION("""COMPUTED_VALUE"""),1)</f>
        <v>1</v>
      </c>
      <c r="D1767" s="12" t="str">
        <f ca="1">IFERROR(__xludf.DUMMYFUNCTION("""COMPUTED_VALUE"""),"大木 優香")</f>
        <v>大木 優香</v>
      </c>
    </row>
    <row r="1768" spans="2:4" ht="13">
      <c r="B1768" s="12">
        <f ca="1">IFERROR(__xludf.DUMMYFUNCTION("""COMPUTED_VALUE"""),112899)</f>
        <v>112899</v>
      </c>
      <c r="C1768" s="14">
        <f ca="1">IFERROR(__xludf.DUMMYFUNCTION("""COMPUTED_VALUE"""),2)</f>
        <v>2</v>
      </c>
      <c r="D1768" s="12" t="str">
        <f ca="1">IFERROR(__xludf.DUMMYFUNCTION("""COMPUTED_VALUE"""),"大木 優香")</f>
        <v>大木 優香</v>
      </c>
    </row>
    <row r="1769" spans="2:4" ht="13">
      <c r="B1769" s="12">
        <f ca="1">IFERROR(__xludf.DUMMYFUNCTION("""COMPUTED_VALUE"""),112900)</f>
        <v>112900</v>
      </c>
      <c r="C1769" s="14">
        <f ca="1">IFERROR(__xludf.DUMMYFUNCTION("""COMPUTED_VALUE"""),1)</f>
        <v>1</v>
      </c>
      <c r="D1769" s="12" t="str">
        <f ca="1">IFERROR(__xludf.DUMMYFUNCTION("""COMPUTED_VALUE"""),"大木 優香")</f>
        <v>大木 優香</v>
      </c>
    </row>
    <row r="1770" spans="2:4" ht="13">
      <c r="B1770" s="12">
        <f ca="1">IFERROR(__xludf.DUMMYFUNCTION("""COMPUTED_VALUE"""),112905)</f>
        <v>112905</v>
      </c>
      <c r="C1770" s="14">
        <f ca="1">IFERROR(__xludf.DUMMYFUNCTION("""COMPUTED_VALUE"""),139)</f>
        <v>139</v>
      </c>
      <c r="D1770" s="12" t="str">
        <f ca="1">IFERROR(__xludf.DUMMYFUNCTION("""COMPUTED_VALUE"""),"老田 純輝")</f>
        <v>老田 純輝</v>
      </c>
    </row>
    <row r="1771" spans="2:4" ht="13">
      <c r="B1771" s="12">
        <f ca="1">IFERROR(__xludf.DUMMYFUNCTION("""COMPUTED_VALUE"""),112906)</f>
        <v>112906</v>
      </c>
      <c r="C1771" s="14">
        <f ca="1">IFERROR(__xludf.DUMMYFUNCTION("""COMPUTED_VALUE"""),162)</f>
        <v>162</v>
      </c>
      <c r="D1771" s="12" t="str">
        <f ca="1">IFERROR(__xludf.DUMMYFUNCTION("""COMPUTED_VALUE"""),"老田 純輝")</f>
        <v>老田 純輝</v>
      </c>
    </row>
    <row r="1772" spans="2:4" ht="13">
      <c r="B1772" s="12">
        <f ca="1">IFERROR(__xludf.DUMMYFUNCTION("""COMPUTED_VALUE"""),112907)</f>
        <v>112907</v>
      </c>
      <c r="C1772" s="14">
        <f ca="1">IFERROR(__xludf.DUMMYFUNCTION("""COMPUTED_VALUE"""),115)</f>
        <v>115</v>
      </c>
      <c r="D1772" s="12" t="str">
        <f ca="1">IFERROR(__xludf.DUMMYFUNCTION("""COMPUTED_VALUE"""),"老田 純輝")</f>
        <v>老田 純輝</v>
      </c>
    </row>
    <row r="1773" spans="2:4" ht="13">
      <c r="B1773" s="12">
        <f ca="1">IFERROR(__xludf.DUMMYFUNCTION("""COMPUTED_VALUE"""),112908)</f>
        <v>112908</v>
      </c>
      <c r="C1773" s="14">
        <f ca="1">IFERROR(__xludf.DUMMYFUNCTION("""COMPUTED_VALUE"""),135)</f>
        <v>135</v>
      </c>
      <c r="D1773" s="12" t="str">
        <f ca="1">IFERROR(__xludf.DUMMYFUNCTION("""COMPUTED_VALUE"""),"老田 純輝")</f>
        <v>老田 純輝</v>
      </c>
    </row>
    <row r="1774" spans="2:4" ht="13">
      <c r="B1774" s="12">
        <f ca="1">IFERROR(__xludf.DUMMYFUNCTION("""COMPUTED_VALUE"""),112909)</f>
        <v>112909</v>
      </c>
      <c r="C1774" s="14">
        <f ca="1">IFERROR(__xludf.DUMMYFUNCTION("""COMPUTED_VALUE"""),96)</f>
        <v>96</v>
      </c>
      <c r="D1774" s="12" t="str">
        <f ca="1">IFERROR(__xludf.DUMMYFUNCTION("""COMPUTED_VALUE"""),"老田 純輝")</f>
        <v>老田 純輝</v>
      </c>
    </row>
    <row r="1775" spans="2:4" ht="13">
      <c r="B1775" s="12">
        <f ca="1">IFERROR(__xludf.DUMMYFUNCTION("""COMPUTED_VALUE"""),112910)</f>
        <v>112910</v>
      </c>
      <c r="C1775" s="14">
        <f ca="1">IFERROR(__xludf.DUMMYFUNCTION("""COMPUTED_VALUE"""),113)</f>
        <v>113</v>
      </c>
      <c r="D1775" s="12" t="str">
        <f ca="1">IFERROR(__xludf.DUMMYFUNCTION("""COMPUTED_VALUE"""),"老田 純輝")</f>
        <v>老田 純輝</v>
      </c>
    </row>
    <row r="1776" spans="2:4" ht="13">
      <c r="B1776" s="12">
        <f ca="1">IFERROR(__xludf.DUMMYFUNCTION("""COMPUTED_VALUE"""),112911)</f>
        <v>112911</v>
      </c>
      <c r="C1776" s="14">
        <f ca="1">IFERROR(__xludf.DUMMYFUNCTION("""COMPUTED_VALUE"""),31)</f>
        <v>31</v>
      </c>
      <c r="D1776" s="12" t="str">
        <f ca="1">IFERROR(__xludf.DUMMYFUNCTION("""COMPUTED_VALUE"""),"老田 純輝")</f>
        <v>老田 純輝</v>
      </c>
    </row>
    <row r="1777" spans="2:4" ht="13">
      <c r="B1777" s="12">
        <f ca="1">IFERROR(__xludf.DUMMYFUNCTION("""COMPUTED_VALUE"""),112912)</f>
        <v>112912</v>
      </c>
      <c r="C1777" s="14">
        <f ca="1">IFERROR(__xludf.DUMMYFUNCTION("""COMPUTED_VALUE"""),35)</f>
        <v>35</v>
      </c>
      <c r="D1777" s="12" t="str">
        <f ca="1">IFERROR(__xludf.DUMMYFUNCTION("""COMPUTED_VALUE"""),"老田 純輝")</f>
        <v>老田 純輝</v>
      </c>
    </row>
    <row r="1778" spans="2:4" ht="13">
      <c r="B1778" s="12">
        <f ca="1">IFERROR(__xludf.DUMMYFUNCTION("""COMPUTED_VALUE"""),112913)</f>
        <v>112913</v>
      </c>
      <c r="C1778" s="14">
        <f ca="1">IFERROR(__xludf.DUMMYFUNCTION("""COMPUTED_VALUE"""),33)</f>
        <v>33</v>
      </c>
      <c r="D1778" s="12" t="str">
        <f ca="1">IFERROR(__xludf.DUMMYFUNCTION("""COMPUTED_VALUE"""),"老田 純輝")</f>
        <v>老田 純輝</v>
      </c>
    </row>
    <row r="1779" spans="2:4" ht="13">
      <c r="B1779" s="12">
        <f ca="1">IFERROR(__xludf.DUMMYFUNCTION("""COMPUTED_VALUE"""),112914)</f>
        <v>112914</v>
      </c>
      <c r="C1779" s="14">
        <f ca="1">IFERROR(__xludf.DUMMYFUNCTION("""COMPUTED_VALUE"""),39)</f>
        <v>39</v>
      </c>
      <c r="D1779" s="12" t="str">
        <f ca="1">IFERROR(__xludf.DUMMYFUNCTION("""COMPUTED_VALUE"""),"老田 純輝")</f>
        <v>老田 純輝</v>
      </c>
    </row>
    <row r="1780" spans="2:4" ht="13">
      <c r="B1780" s="12">
        <f ca="1">IFERROR(__xludf.DUMMYFUNCTION("""COMPUTED_VALUE"""),112915)</f>
        <v>112915</v>
      </c>
      <c r="C1780" s="14">
        <f ca="1">IFERROR(__xludf.DUMMYFUNCTION("""COMPUTED_VALUE"""),14)</f>
        <v>14</v>
      </c>
      <c r="D1780" s="12" t="str">
        <f ca="1">IFERROR(__xludf.DUMMYFUNCTION("""COMPUTED_VALUE"""),"老田 純輝")</f>
        <v>老田 純輝</v>
      </c>
    </row>
    <row r="1781" spans="2:4" ht="13">
      <c r="B1781" s="12">
        <f ca="1">IFERROR(__xludf.DUMMYFUNCTION("""COMPUTED_VALUE"""),112916)</f>
        <v>112916</v>
      </c>
      <c r="C1781" s="14">
        <f ca="1">IFERROR(__xludf.DUMMYFUNCTION("""COMPUTED_VALUE"""),18)</f>
        <v>18</v>
      </c>
      <c r="D1781" s="12" t="str">
        <f ca="1">IFERROR(__xludf.DUMMYFUNCTION("""COMPUTED_VALUE"""),"老田 純輝")</f>
        <v>老田 純輝</v>
      </c>
    </row>
    <row r="1782" spans="2:4" ht="13">
      <c r="B1782" s="12">
        <f ca="1">IFERROR(__xludf.DUMMYFUNCTION("""COMPUTED_VALUE"""),112917)</f>
        <v>112917</v>
      </c>
      <c r="C1782" s="14">
        <f ca="1">IFERROR(__xludf.DUMMYFUNCTION("""COMPUTED_VALUE"""),31)</f>
        <v>31</v>
      </c>
      <c r="D1782" s="12" t="str">
        <f ca="1">IFERROR(__xludf.DUMMYFUNCTION("""COMPUTED_VALUE"""),"老田 純輝")</f>
        <v>老田 純輝</v>
      </c>
    </row>
    <row r="1783" spans="2:4" ht="13">
      <c r="B1783" s="12">
        <f ca="1">IFERROR(__xludf.DUMMYFUNCTION("""COMPUTED_VALUE"""),112918)</f>
        <v>112918</v>
      </c>
      <c r="C1783" s="14">
        <f ca="1">IFERROR(__xludf.DUMMYFUNCTION("""COMPUTED_VALUE"""),2)</f>
        <v>2</v>
      </c>
      <c r="D1783" s="12" t="str">
        <f ca="1">IFERROR(__xludf.DUMMYFUNCTION("""COMPUTED_VALUE"""),"老田 純輝")</f>
        <v>老田 純輝</v>
      </c>
    </row>
    <row r="1784" spans="2:4" ht="13">
      <c r="B1784" s="12">
        <f ca="1">IFERROR(__xludf.DUMMYFUNCTION("""COMPUTED_VALUE"""),112919)</f>
        <v>112919</v>
      </c>
      <c r="C1784" s="14">
        <f ca="1">IFERROR(__xludf.DUMMYFUNCTION("""COMPUTED_VALUE"""),133)</f>
        <v>133</v>
      </c>
      <c r="D1784" s="12" t="str">
        <f ca="1">IFERROR(__xludf.DUMMYFUNCTION("""COMPUTED_VALUE"""),"老田 純輝")</f>
        <v>老田 純輝</v>
      </c>
    </row>
    <row r="1785" spans="2:4" ht="13">
      <c r="B1785" s="12">
        <f ca="1">IFERROR(__xludf.DUMMYFUNCTION("""COMPUTED_VALUE"""),112920)</f>
        <v>112920</v>
      </c>
      <c r="C1785" s="14">
        <f ca="1">IFERROR(__xludf.DUMMYFUNCTION("""COMPUTED_VALUE"""),14)</f>
        <v>14</v>
      </c>
      <c r="D1785" s="12" t="str">
        <f ca="1">IFERROR(__xludf.DUMMYFUNCTION("""COMPUTED_VALUE"""),"老田 純輝")</f>
        <v>老田 純輝</v>
      </c>
    </row>
    <row r="1786" spans="2:4" ht="13">
      <c r="B1786" s="12">
        <f ca="1">IFERROR(__xludf.DUMMYFUNCTION("""COMPUTED_VALUE"""),112923)</f>
        <v>112923</v>
      </c>
      <c r="C1786" s="14">
        <f ca="1">IFERROR(__xludf.DUMMYFUNCTION("""COMPUTED_VALUE"""),1)</f>
        <v>1</v>
      </c>
      <c r="D1786" s="12" t="str">
        <f ca="1">IFERROR(__xludf.DUMMYFUNCTION("""COMPUTED_VALUE"""),"大木 優香")</f>
        <v>大木 優香</v>
      </c>
    </row>
    <row r="1787" spans="2:4" ht="13">
      <c r="B1787" s="12">
        <f ca="1">IFERROR(__xludf.DUMMYFUNCTION("""COMPUTED_VALUE"""),112924)</f>
        <v>112924</v>
      </c>
      <c r="C1787" s="14">
        <f ca="1">IFERROR(__xludf.DUMMYFUNCTION("""COMPUTED_VALUE"""),4)</f>
        <v>4</v>
      </c>
      <c r="D1787" s="12" t="str">
        <f ca="1">IFERROR(__xludf.DUMMYFUNCTION("""COMPUTED_VALUE"""),"大木 優香")</f>
        <v>大木 優香</v>
      </c>
    </row>
    <row r="1788" spans="2:4" ht="13">
      <c r="B1788" s="12">
        <f ca="1">IFERROR(__xludf.DUMMYFUNCTION("""COMPUTED_VALUE"""),112926)</f>
        <v>112926</v>
      </c>
      <c r="C1788" s="14">
        <f ca="1">IFERROR(__xludf.DUMMYFUNCTION("""COMPUTED_VALUE"""),1)</f>
        <v>1</v>
      </c>
      <c r="D1788" s="12" t="str">
        <f ca="1">IFERROR(__xludf.DUMMYFUNCTION("""COMPUTED_VALUE"""),"大木 優香")</f>
        <v>大木 優香</v>
      </c>
    </row>
    <row r="1789" spans="2:4" ht="13">
      <c r="B1789" s="12">
        <f ca="1">IFERROR(__xludf.DUMMYFUNCTION("""COMPUTED_VALUE"""),112927)</f>
        <v>112927</v>
      </c>
      <c r="C1789" s="14">
        <f ca="1">IFERROR(__xludf.DUMMYFUNCTION("""COMPUTED_VALUE"""),3)</f>
        <v>3</v>
      </c>
      <c r="D1789" s="12" t="str">
        <f ca="1">IFERROR(__xludf.DUMMYFUNCTION("""COMPUTED_VALUE"""),"大木 優香")</f>
        <v>大木 優香</v>
      </c>
    </row>
    <row r="1790" spans="2:4" ht="13">
      <c r="B1790" s="12">
        <f ca="1">IFERROR(__xludf.DUMMYFUNCTION("""COMPUTED_VALUE"""),112928)</f>
        <v>112928</v>
      </c>
      <c r="C1790" s="14">
        <f ca="1">IFERROR(__xludf.DUMMYFUNCTION("""COMPUTED_VALUE"""),2)</f>
        <v>2</v>
      </c>
      <c r="D1790" s="12" t="str">
        <f ca="1">IFERROR(__xludf.DUMMYFUNCTION("""COMPUTED_VALUE"""),"大木 優香")</f>
        <v>大木 優香</v>
      </c>
    </row>
    <row r="1791" spans="2:4" ht="13">
      <c r="B1791" s="12">
        <f ca="1">IFERROR(__xludf.DUMMYFUNCTION("""COMPUTED_VALUE"""),112940)</f>
        <v>112940</v>
      </c>
      <c r="C1791" s="14">
        <f ca="1">IFERROR(__xludf.DUMMYFUNCTION("""COMPUTED_VALUE"""),1)</f>
        <v>1</v>
      </c>
      <c r="D1791" s="12" t="str">
        <f ca="1">IFERROR(__xludf.DUMMYFUNCTION("""COMPUTED_VALUE"""),"松尾 尚樹")</f>
        <v>松尾 尚樹</v>
      </c>
    </row>
    <row r="1792" spans="2:4" ht="13">
      <c r="B1792" s="12">
        <f ca="1">IFERROR(__xludf.DUMMYFUNCTION("""COMPUTED_VALUE"""),112941)</f>
        <v>112941</v>
      </c>
      <c r="C1792" s="14">
        <f ca="1">IFERROR(__xludf.DUMMYFUNCTION("""COMPUTED_VALUE"""),0)</f>
        <v>0</v>
      </c>
      <c r="D1792" s="12" t="str">
        <f ca="1">IFERROR(__xludf.DUMMYFUNCTION("""COMPUTED_VALUE"""),"奥野 貴大")</f>
        <v>奥野 貴大</v>
      </c>
    </row>
    <row r="1793" spans="2:4" ht="13">
      <c r="B1793" s="12">
        <f ca="1">IFERROR(__xludf.DUMMYFUNCTION("""COMPUTED_VALUE"""),112946)</f>
        <v>112946</v>
      </c>
      <c r="C1793" s="14">
        <f ca="1">IFERROR(__xludf.DUMMYFUNCTION("""COMPUTED_VALUE"""),1)</f>
        <v>1</v>
      </c>
      <c r="D1793" s="12" t="str">
        <f ca="1">IFERROR(__xludf.DUMMYFUNCTION("""COMPUTED_VALUE"""),"荻曽 克輝")</f>
        <v>荻曽 克輝</v>
      </c>
    </row>
    <row r="1794" spans="2:4" ht="13">
      <c r="B1794" s="12">
        <f ca="1">IFERROR(__xludf.DUMMYFUNCTION("""COMPUTED_VALUE"""),112957)</f>
        <v>112957</v>
      </c>
      <c r="C1794" s="14">
        <f ca="1">IFERROR(__xludf.DUMMYFUNCTION("""COMPUTED_VALUE"""),0)</f>
        <v>0</v>
      </c>
      <c r="D1794" s="12" t="str">
        <f ca="1">IFERROR(__xludf.DUMMYFUNCTION("""COMPUTED_VALUE"""),"成嶋 夏未")</f>
        <v>成嶋 夏未</v>
      </c>
    </row>
    <row r="1795" spans="2:4" ht="13">
      <c r="B1795" s="12">
        <f ca="1">IFERROR(__xludf.DUMMYFUNCTION("""COMPUTED_VALUE"""),112973)</f>
        <v>112973</v>
      </c>
      <c r="C1795" s="14">
        <f ca="1">IFERROR(__xludf.DUMMYFUNCTION("""COMPUTED_VALUE"""),9)</f>
        <v>9</v>
      </c>
      <c r="D1795" s="12" t="str">
        <f ca="1">IFERROR(__xludf.DUMMYFUNCTION("""COMPUTED_VALUE"""),"松尾 尚樹")</f>
        <v>松尾 尚樹</v>
      </c>
    </row>
    <row r="1796" spans="2:4" ht="13">
      <c r="B1796" s="12">
        <f ca="1">IFERROR(__xludf.DUMMYFUNCTION("""COMPUTED_VALUE"""),112976)</f>
        <v>112976</v>
      </c>
      <c r="C1796" s="14">
        <f ca="1">IFERROR(__xludf.DUMMYFUNCTION("""COMPUTED_VALUE"""),2)</f>
        <v>2</v>
      </c>
      <c r="D1796" s="12" t="str">
        <f ca="1">IFERROR(__xludf.DUMMYFUNCTION("""COMPUTED_VALUE"""),"菅野 ぎんが")</f>
        <v>菅野 ぎんが</v>
      </c>
    </row>
    <row r="1797" spans="2:4" ht="13">
      <c r="B1797" s="12">
        <f ca="1">IFERROR(__xludf.DUMMYFUNCTION("""COMPUTED_VALUE"""),112990)</f>
        <v>112990</v>
      </c>
      <c r="C1797" s="14">
        <f ca="1">IFERROR(__xludf.DUMMYFUNCTION("""COMPUTED_VALUE"""),0)</f>
        <v>0</v>
      </c>
      <c r="D1797" s="12" t="str">
        <f ca="1">IFERROR(__xludf.DUMMYFUNCTION("""COMPUTED_VALUE"""),"成嶋 夏未")</f>
        <v>成嶋 夏未</v>
      </c>
    </row>
    <row r="1798" spans="2:4" ht="13">
      <c r="B1798" s="12">
        <f ca="1">IFERROR(__xludf.DUMMYFUNCTION("""COMPUTED_VALUE"""),113000)</f>
        <v>113000</v>
      </c>
      <c r="C1798" s="14">
        <f ca="1">IFERROR(__xludf.DUMMYFUNCTION("""COMPUTED_VALUE"""),29)</f>
        <v>29</v>
      </c>
      <c r="D1798" s="12" t="str">
        <f ca="1">IFERROR(__xludf.DUMMYFUNCTION("""COMPUTED_VALUE"""),"稲場 勇介")</f>
        <v>稲場 勇介</v>
      </c>
    </row>
    <row r="1799" spans="2:4" ht="13">
      <c r="B1799" s="12">
        <f ca="1">IFERROR(__xludf.DUMMYFUNCTION("""COMPUTED_VALUE"""),113003)</f>
        <v>113003</v>
      </c>
      <c r="C1799" s="14">
        <f ca="1">IFERROR(__xludf.DUMMYFUNCTION("""COMPUTED_VALUE"""),0)</f>
        <v>0</v>
      </c>
      <c r="D1799" s="12" t="str">
        <f ca="1">IFERROR(__xludf.DUMMYFUNCTION("""COMPUTED_VALUE"""),"辻村 将大")</f>
        <v>辻村 将大</v>
      </c>
    </row>
    <row r="1800" spans="2:4" ht="13">
      <c r="B1800" s="12">
        <f ca="1">IFERROR(__xludf.DUMMYFUNCTION("""COMPUTED_VALUE"""),113004)</f>
        <v>113004</v>
      </c>
      <c r="C1800" s="14">
        <f ca="1">IFERROR(__xludf.DUMMYFUNCTION("""COMPUTED_VALUE"""),0)</f>
        <v>0</v>
      </c>
      <c r="D1800" s="12" t="str">
        <f ca="1">IFERROR(__xludf.DUMMYFUNCTION("""COMPUTED_VALUE"""),"奥野 貴大")</f>
        <v>奥野 貴大</v>
      </c>
    </row>
    <row r="1801" spans="2:4" ht="13">
      <c r="B1801" s="12">
        <f ca="1">IFERROR(__xludf.DUMMYFUNCTION("""COMPUTED_VALUE"""),113006)</f>
        <v>113006</v>
      </c>
      <c r="C1801" s="14">
        <f ca="1">IFERROR(__xludf.DUMMYFUNCTION("""COMPUTED_VALUE"""),0)</f>
        <v>0</v>
      </c>
      <c r="D1801" s="12" t="str">
        <f ca="1">IFERROR(__xludf.DUMMYFUNCTION("""COMPUTED_VALUE"""),"栗原 大武")</f>
        <v>栗原 大武</v>
      </c>
    </row>
    <row r="1802" spans="2:4" ht="13">
      <c r="B1802" s="12">
        <f ca="1">IFERROR(__xludf.DUMMYFUNCTION("""COMPUTED_VALUE"""),113009)</f>
        <v>113009</v>
      </c>
      <c r="C1802" s="14">
        <f ca="1">IFERROR(__xludf.DUMMYFUNCTION("""COMPUTED_VALUE"""),6)</f>
        <v>6</v>
      </c>
      <c r="D1802" s="12" t="str">
        <f ca="1">IFERROR(__xludf.DUMMYFUNCTION("""COMPUTED_VALUE"""),"栗原 大武")</f>
        <v>栗原 大武</v>
      </c>
    </row>
    <row r="1803" spans="2:4" ht="13">
      <c r="B1803" s="12">
        <f ca="1">IFERROR(__xludf.DUMMYFUNCTION("""COMPUTED_VALUE"""),113018)</f>
        <v>113018</v>
      </c>
      <c r="C1803" s="14">
        <f ca="1">IFERROR(__xludf.DUMMYFUNCTION("""COMPUTED_VALUE"""),0)</f>
        <v>0</v>
      </c>
      <c r="D1803" s="12" t="str">
        <f ca="1">IFERROR(__xludf.DUMMYFUNCTION("""COMPUTED_VALUE"""),"稲場 勇介")</f>
        <v>稲場 勇介</v>
      </c>
    </row>
    <row r="1804" spans="2:4" ht="13">
      <c r="B1804" s="12">
        <f ca="1">IFERROR(__xludf.DUMMYFUNCTION("""COMPUTED_VALUE"""),113021)</f>
        <v>113021</v>
      </c>
      <c r="C1804" s="14">
        <f ca="1">IFERROR(__xludf.DUMMYFUNCTION("""COMPUTED_VALUE"""),5)</f>
        <v>5</v>
      </c>
      <c r="D1804" s="12" t="str">
        <f ca="1">IFERROR(__xludf.DUMMYFUNCTION("""COMPUTED_VALUE"""),"柿崎 晃司")</f>
        <v>柿崎 晃司</v>
      </c>
    </row>
    <row r="1805" spans="2:4" ht="13">
      <c r="B1805" s="12">
        <f ca="1">IFERROR(__xludf.DUMMYFUNCTION("""COMPUTED_VALUE"""),113042)</f>
        <v>113042</v>
      </c>
      <c r="C1805" s="14">
        <f ca="1">IFERROR(__xludf.DUMMYFUNCTION("""COMPUTED_VALUE"""),2)</f>
        <v>2</v>
      </c>
      <c r="D1805" s="12" t="str">
        <f ca="1">IFERROR(__xludf.DUMMYFUNCTION("""COMPUTED_VALUE"""),"成嶋 夏未")</f>
        <v>成嶋 夏未</v>
      </c>
    </row>
    <row r="1806" spans="2:4" ht="13">
      <c r="B1806" s="12">
        <f ca="1">IFERROR(__xludf.DUMMYFUNCTION("""COMPUTED_VALUE"""),113052)</f>
        <v>113052</v>
      </c>
      <c r="C1806" s="14">
        <f ca="1">IFERROR(__xludf.DUMMYFUNCTION("""COMPUTED_VALUE"""),0)</f>
        <v>0</v>
      </c>
      <c r="D1806" s="12" t="str">
        <f ca="1">IFERROR(__xludf.DUMMYFUNCTION("""COMPUTED_VALUE"""),"成嶋 夏未")</f>
        <v>成嶋 夏未</v>
      </c>
    </row>
    <row r="1807" spans="2:4" ht="13">
      <c r="B1807" s="12">
        <f ca="1">IFERROR(__xludf.DUMMYFUNCTION("""COMPUTED_VALUE"""),113057)</f>
        <v>113057</v>
      </c>
      <c r="C1807" s="14">
        <f ca="1">IFERROR(__xludf.DUMMYFUNCTION("""COMPUTED_VALUE"""),7)</f>
        <v>7</v>
      </c>
      <c r="D1807" s="12" t="str">
        <f ca="1">IFERROR(__xludf.DUMMYFUNCTION("""COMPUTED_VALUE"""),"菅野 ぎんが")</f>
        <v>菅野 ぎんが</v>
      </c>
    </row>
    <row r="1808" spans="2:4" ht="13">
      <c r="B1808" s="12">
        <f ca="1">IFERROR(__xludf.DUMMYFUNCTION("""COMPUTED_VALUE"""),113066)</f>
        <v>113066</v>
      </c>
      <c r="C1808" s="14">
        <f ca="1">IFERROR(__xludf.DUMMYFUNCTION("""COMPUTED_VALUE"""),1)</f>
        <v>1</v>
      </c>
      <c r="D1808" s="12" t="str">
        <f ca="1">IFERROR(__xludf.DUMMYFUNCTION("""COMPUTED_VALUE"""),"森 光智")</f>
        <v>森 光智</v>
      </c>
    </row>
    <row r="1809" spans="2:4" ht="13">
      <c r="B1809" s="12">
        <f ca="1">IFERROR(__xludf.DUMMYFUNCTION("""COMPUTED_VALUE"""),113079)</f>
        <v>113079</v>
      </c>
      <c r="C1809" s="14">
        <f ca="1">IFERROR(__xludf.DUMMYFUNCTION("""COMPUTED_VALUE"""),8)</f>
        <v>8</v>
      </c>
      <c r="D1809" s="12" t="str">
        <f ca="1">IFERROR(__xludf.DUMMYFUNCTION("""COMPUTED_VALUE"""),"菅野 ぎんが")</f>
        <v>菅野 ぎんが</v>
      </c>
    </row>
    <row r="1810" spans="2:4" ht="13">
      <c r="B1810" s="12">
        <f ca="1">IFERROR(__xludf.DUMMYFUNCTION("""COMPUTED_VALUE"""),113080)</f>
        <v>113080</v>
      </c>
      <c r="C1810" s="14">
        <f ca="1">IFERROR(__xludf.DUMMYFUNCTION("""COMPUTED_VALUE"""),42)</f>
        <v>42</v>
      </c>
      <c r="D1810" s="12" t="str">
        <f ca="1">IFERROR(__xludf.DUMMYFUNCTION("""COMPUTED_VALUE"""),"川島 幹也")</f>
        <v>川島 幹也</v>
      </c>
    </row>
    <row r="1811" spans="2:4" ht="13">
      <c r="B1811" s="12">
        <f ca="1">IFERROR(__xludf.DUMMYFUNCTION("""COMPUTED_VALUE"""),113091)</f>
        <v>113091</v>
      </c>
      <c r="C1811" s="14">
        <f ca="1">IFERROR(__xludf.DUMMYFUNCTION("""COMPUTED_VALUE"""),17)</f>
        <v>17</v>
      </c>
      <c r="D1811" s="12" t="str">
        <f ca="1">IFERROR(__xludf.DUMMYFUNCTION("""COMPUTED_VALUE"""),"小川 純")</f>
        <v>小川 純</v>
      </c>
    </row>
    <row r="1812" spans="2:4" ht="13">
      <c r="B1812" s="12">
        <f ca="1">IFERROR(__xludf.DUMMYFUNCTION("""COMPUTED_VALUE"""),113098)</f>
        <v>113098</v>
      </c>
      <c r="C1812" s="14">
        <f ca="1">IFERROR(__xludf.DUMMYFUNCTION("""COMPUTED_VALUE"""),0)</f>
        <v>0</v>
      </c>
      <c r="D1812" s="12" t="str">
        <f ca="1">IFERROR(__xludf.DUMMYFUNCTION("""COMPUTED_VALUE"""),"老田 純輝")</f>
        <v>老田 純輝</v>
      </c>
    </row>
    <row r="1813" spans="2:4" ht="13">
      <c r="B1813" s="12">
        <f ca="1">IFERROR(__xludf.DUMMYFUNCTION("""COMPUTED_VALUE"""),113103)</f>
        <v>113103</v>
      </c>
      <c r="C1813" s="14">
        <f ca="1">IFERROR(__xludf.DUMMYFUNCTION("""COMPUTED_VALUE"""),0)</f>
        <v>0</v>
      </c>
      <c r="D1813" s="12" t="str">
        <f ca="1">IFERROR(__xludf.DUMMYFUNCTION("""COMPUTED_VALUE"""),"老田 純輝")</f>
        <v>老田 純輝</v>
      </c>
    </row>
    <row r="1814" spans="2:4" ht="13">
      <c r="B1814" s="12">
        <f ca="1">IFERROR(__xludf.DUMMYFUNCTION("""COMPUTED_VALUE"""),113104)</f>
        <v>113104</v>
      </c>
      <c r="C1814" s="14">
        <f ca="1">IFERROR(__xludf.DUMMYFUNCTION("""COMPUTED_VALUE"""),0)</f>
        <v>0</v>
      </c>
      <c r="D1814" s="12" t="str">
        <f ca="1">IFERROR(__xludf.DUMMYFUNCTION("""COMPUTED_VALUE"""),"成嶋 夏未")</f>
        <v>成嶋 夏未</v>
      </c>
    </row>
    <row r="1815" spans="2:4" ht="13">
      <c r="B1815" s="12">
        <f ca="1">IFERROR(__xludf.DUMMYFUNCTION("""COMPUTED_VALUE"""),113111)</f>
        <v>113111</v>
      </c>
      <c r="C1815" s="14">
        <f ca="1">IFERROR(__xludf.DUMMYFUNCTION("""COMPUTED_VALUE"""),2)</f>
        <v>2</v>
      </c>
      <c r="D1815" s="12" t="str">
        <f ca="1">IFERROR(__xludf.DUMMYFUNCTION("""COMPUTED_VALUE"""),"菅野 ぎんが")</f>
        <v>菅野 ぎんが</v>
      </c>
    </row>
    <row r="1816" spans="2:4" ht="13">
      <c r="B1816" s="12">
        <f ca="1">IFERROR(__xludf.DUMMYFUNCTION("""COMPUTED_VALUE"""),113114)</f>
        <v>113114</v>
      </c>
      <c r="C1816" s="14">
        <f ca="1">IFERROR(__xludf.DUMMYFUNCTION("""COMPUTED_VALUE"""),0)</f>
        <v>0</v>
      </c>
      <c r="D1816" s="12" t="str">
        <f ca="1">IFERROR(__xludf.DUMMYFUNCTION("""COMPUTED_VALUE"""),"荻曽 克輝")</f>
        <v>荻曽 克輝</v>
      </c>
    </row>
    <row r="1817" spans="2:4" ht="13">
      <c r="B1817" s="12">
        <f ca="1">IFERROR(__xludf.DUMMYFUNCTION("""COMPUTED_VALUE"""),113129)</f>
        <v>113129</v>
      </c>
      <c r="C1817" s="14">
        <f ca="1">IFERROR(__xludf.DUMMYFUNCTION("""COMPUTED_VALUE"""),19)</f>
        <v>19</v>
      </c>
      <c r="D1817" s="12" t="str">
        <f ca="1">IFERROR(__xludf.DUMMYFUNCTION("""COMPUTED_VALUE"""),"老田 純輝")</f>
        <v>老田 純輝</v>
      </c>
    </row>
    <row r="1818" spans="2:4" ht="13">
      <c r="B1818" s="12">
        <f ca="1">IFERROR(__xludf.DUMMYFUNCTION("""COMPUTED_VALUE"""),113135)</f>
        <v>113135</v>
      </c>
      <c r="C1818" s="14">
        <f ca="1">IFERROR(__xludf.DUMMYFUNCTION("""COMPUTED_VALUE"""),10)</f>
        <v>10</v>
      </c>
      <c r="D1818" s="12" t="str">
        <f ca="1">IFERROR(__xludf.DUMMYFUNCTION("""COMPUTED_VALUE"""),"桑原 明子")</f>
        <v>桑原 明子</v>
      </c>
    </row>
    <row r="1819" spans="2:4" ht="13">
      <c r="B1819" s="12">
        <f ca="1">IFERROR(__xludf.DUMMYFUNCTION("""COMPUTED_VALUE"""),113137)</f>
        <v>113137</v>
      </c>
      <c r="C1819" s="14">
        <f ca="1">IFERROR(__xludf.DUMMYFUNCTION("""COMPUTED_VALUE"""),0)</f>
        <v>0</v>
      </c>
      <c r="D1819" s="12" t="str">
        <f ca="1">IFERROR(__xludf.DUMMYFUNCTION("""COMPUTED_VALUE"""),"老田 純輝")</f>
        <v>老田 純輝</v>
      </c>
    </row>
    <row r="1820" spans="2:4" ht="13">
      <c r="B1820" s="12">
        <f ca="1">IFERROR(__xludf.DUMMYFUNCTION("""COMPUTED_VALUE"""),113146)</f>
        <v>113146</v>
      </c>
      <c r="C1820" s="14">
        <f ca="1">IFERROR(__xludf.DUMMYFUNCTION("""COMPUTED_VALUE"""),17)</f>
        <v>17</v>
      </c>
      <c r="D1820" s="12" t="str">
        <f ca="1">IFERROR(__xludf.DUMMYFUNCTION("""COMPUTED_VALUE"""),"老田 純輝")</f>
        <v>老田 純輝</v>
      </c>
    </row>
    <row r="1821" spans="2:4" ht="13">
      <c r="B1821" s="12">
        <f ca="1">IFERROR(__xludf.DUMMYFUNCTION("""COMPUTED_VALUE"""),113154)</f>
        <v>113154</v>
      </c>
      <c r="C1821" s="14">
        <f ca="1">IFERROR(__xludf.DUMMYFUNCTION("""COMPUTED_VALUE"""),0)</f>
        <v>0</v>
      </c>
      <c r="D1821" s="12" t="str">
        <f ca="1">IFERROR(__xludf.DUMMYFUNCTION("""COMPUTED_VALUE"""),"稲場 勇介")</f>
        <v>稲場 勇介</v>
      </c>
    </row>
    <row r="1822" spans="2:4" ht="13">
      <c r="B1822" s="12">
        <f ca="1">IFERROR(__xludf.DUMMYFUNCTION("""COMPUTED_VALUE"""),113168)</f>
        <v>113168</v>
      </c>
      <c r="C1822" s="14">
        <f ca="1">IFERROR(__xludf.DUMMYFUNCTION("""COMPUTED_VALUE"""),0)</f>
        <v>0</v>
      </c>
      <c r="D1822" s="12" t="str">
        <f ca="1">IFERROR(__xludf.DUMMYFUNCTION("""COMPUTED_VALUE"""),"稲場 勇介")</f>
        <v>稲場 勇介</v>
      </c>
    </row>
    <row r="1823" spans="2:4" ht="13">
      <c r="B1823" s="12">
        <f ca="1">IFERROR(__xludf.DUMMYFUNCTION("""COMPUTED_VALUE"""),113181)</f>
        <v>113181</v>
      </c>
      <c r="C1823" s="14">
        <f ca="1">IFERROR(__xludf.DUMMYFUNCTION("""COMPUTED_VALUE"""),64)</f>
        <v>64</v>
      </c>
      <c r="D1823" s="12" t="str">
        <f ca="1">IFERROR(__xludf.DUMMYFUNCTION("""COMPUTED_VALUE"""),"内丸 裕子")</f>
        <v>内丸 裕子</v>
      </c>
    </row>
    <row r="1824" spans="2:4" ht="13">
      <c r="B1824" s="12">
        <f ca="1">IFERROR(__xludf.DUMMYFUNCTION("""COMPUTED_VALUE"""),113186)</f>
        <v>113186</v>
      </c>
      <c r="C1824" s="14">
        <f ca="1">IFERROR(__xludf.DUMMYFUNCTION("""COMPUTED_VALUE"""),0)</f>
        <v>0</v>
      </c>
      <c r="D1824" s="12" t="str">
        <f ca="1">IFERROR(__xludf.DUMMYFUNCTION("""COMPUTED_VALUE"""),"松尾 尚樹")</f>
        <v>松尾 尚樹</v>
      </c>
    </row>
    <row r="1825" spans="2:4" ht="13">
      <c r="B1825" s="12">
        <f ca="1">IFERROR(__xludf.DUMMYFUNCTION("""COMPUTED_VALUE"""),113188)</f>
        <v>113188</v>
      </c>
      <c r="C1825" s="14">
        <f ca="1">IFERROR(__xludf.DUMMYFUNCTION("""COMPUTED_VALUE"""),0)</f>
        <v>0</v>
      </c>
      <c r="D1825" s="12" t="str">
        <f ca="1">IFERROR(__xludf.DUMMYFUNCTION("""COMPUTED_VALUE"""),"松尾 尚樹")</f>
        <v>松尾 尚樹</v>
      </c>
    </row>
    <row r="1826" spans="2:4" ht="13">
      <c r="B1826" s="12">
        <f ca="1">IFERROR(__xludf.DUMMYFUNCTION("""COMPUTED_VALUE"""),113194)</f>
        <v>113194</v>
      </c>
      <c r="C1826" s="14">
        <f ca="1">IFERROR(__xludf.DUMMYFUNCTION("""COMPUTED_VALUE"""),0)</f>
        <v>0</v>
      </c>
      <c r="D1826" s="12" t="str">
        <f ca="1">IFERROR(__xludf.DUMMYFUNCTION("""COMPUTED_VALUE"""),"稲場 勇介")</f>
        <v>稲場 勇介</v>
      </c>
    </row>
    <row r="1827" spans="2:4" ht="13">
      <c r="B1827" s="12">
        <f ca="1">IFERROR(__xludf.DUMMYFUNCTION("""COMPUTED_VALUE"""),113198)</f>
        <v>113198</v>
      </c>
      <c r="C1827" s="14">
        <f ca="1">IFERROR(__xludf.DUMMYFUNCTION("""COMPUTED_VALUE"""),0)</f>
        <v>0</v>
      </c>
      <c r="D1827" s="12" t="str">
        <f ca="1">IFERROR(__xludf.DUMMYFUNCTION("""COMPUTED_VALUE"""),"成嶋 夏未")</f>
        <v>成嶋 夏未</v>
      </c>
    </row>
    <row r="1828" spans="2:4" ht="13">
      <c r="B1828" s="12">
        <f ca="1">IFERROR(__xludf.DUMMYFUNCTION("""COMPUTED_VALUE"""),113211)</f>
        <v>113211</v>
      </c>
      <c r="C1828" s="14">
        <f ca="1">IFERROR(__xludf.DUMMYFUNCTION("""COMPUTED_VALUE"""),0)</f>
        <v>0</v>
      </c>
      <c r="D1828" s="12" t="str">
        <f ca="1">IFERROR(__xludf.DUMMYFUNCTION("""COMPUTED_VALUE"""),"松尾 尚樹")</f>
        <v>松尾 尚樹</v>
      </c>
    </row>
    <row r="1829" spans="2:4" ht="13">
      <c r="B1829" s="12">
        <f ca="1">IFERROR(__xludf.DUMMYFUNCTION("""COMPUTED_VALUE"""),113216)</f>
        <v>113216</v>
      </c>
      <c r="C1829" s="14">
        <f ca="1">IFERROR(__xludf.DUMMYFUNCTION("""COMPUTED_VALUE"""),0)</f>
        <v>0</v>
      </c>
      <c r="D1829" s="12" t="str">
        <f ca="1">IFERROR(__xludf.DUMMYFUNCTION("""COMPUTED_VALUE"""),"小関 麻起")</f>
        <v>小関 麻起</v>
      </c>
    </row>
    <row r="1830" spans="2:4" ht="13">
      <c r="B1830" s="12">
        <f ca="1">IFERROR(__xludf.DUMMYFUNCTION("""COMPUTED_VALUE"""),113223)</f>
        <v>113223</v>
      </c>
      <c r="C1830" s="14">
        <f ca="1">IFERROR(__xludf.DUMMYFUNCTION("""COMPUTED_VALUE"""),0)</f>
        <v>0</v>
      </c>
      <c r="D1830" s="12" t="str">
        <f ca="1">IFERROR(__xludf.DUMMYFUNCTION("""COMPUTED_VALUE"""),"長谷川 陸朗")</f>
        <v>長谷川 陸朗</v>
      </c>
    </row>
    <row r="1831" spans="2:4" ht="13">
      <c r="B1831" s="12">
        <f ca="1">IFERROR(__xludf.DUMMYFUNCTION("""COMPUTED_VALUE"""),113224)</f>
        <v>113224</v>
      </c>
      <c r="C1831" s="14">
        <f ca="1">IFERROR(__xludf.DUMMYFUNCTION("""COMPUTED_VALUE"""),70)</f>
        <v>70</v>
      </c>
      <c r="D1831" s="12" t="str">
        <f ca="1">IFERROR(__xludf.DUMMYFUNCTION("""COMPUTED_VALUE"""),"内丸 裕子")</f>
        <v>内丸 裕子</v>
      </c>
    </row>
    <row r="1832" spans="2:4" ht="13">
      <c r="B1832" s="12">
        <f ca="1">IFERROR(__xludf.DUMMYFUNCTION("""COMPUTED_VALUE"""),113225)</f>
        <v>113225</v>
      </c>
      <c r="C1832" s="14">
        <f ca="1">IFERROR(__xludf.DUMMYFUNCTION("""COMPUTED_VALUE"""),41)</f>
        <v>41</v>
      </c>
      <c r="D1832" s="12" t="str">
        <f ca="1">IFERROR(__xludf.DUMMYFUNCTION("""COMPUTED_VALUE"""),"内丸 裕子")</f>
        <v>内丸 裕子</v>
      </c>
    </row>
    <row r="1833" spans="2:4" ht="13">
      <c r="B1833" s="12">
        <f ca="1">IFERROR(__xludf.DUMMYFUNCTION("""COMPUTED_VALUE"""),113226)</f>
        <v>113226</v>
      </c>
      <c r="C1833" s="14">
        <f ca="1">IFERROR(__xludf.DUMMYFUNCTION("""COMPUTED_VALUE"""),12)</f>
        <v>12</v>
      </c>
      <c r="D1833" s="12" t="str">
        <f ca="1">IFERROR(__xludf.DUMMYFUNCTION("""COMPUTED_VALUE"""),"内丸 裕子")</f>
        <v>内丸 裕子</v>
      </c>
    </row>
    <row r="1834" spans="2:4" ht="13">
      <c r="B1834" s="12">
        <f ca="1">IFERROR(__xludf.DUMMYFUNCTION("""COMPUTED_VALUE"""),113228)</f>
        <v>113228</v>
      </c>
      <c r="C1834" s="14">
        <f ca="1">IFERROR(__xludf.DUMMYFUNCTION("""COMPUTED_VALUE"""),44)</f>
        <v>44</v>
      </c>
      <c r="D1834" s="12" t="str">
        <f ca="1">IFERROR(__xludf.DUMMYFUNCTION("""COMPUTED_VALUE"""),"内丸 裕子")</f>
        <v>内丸 裕子</v>
      </c>
    </row>
    <row r="1835" spans="2:4" ht="13">
      <c r="B1835" s="12">
        <f ca="1">IFERROR(__xludf.DUMMYFUNCTION("""COMPUTED_VALUE"""),113229)</f>
        <v>113229</v>
      </c>
      <c r="C1835" s="14">
        <f ca="1">IFERROR(__xludf.DUMMYFUNCTION("""COMPUTED_VALUE"""),5)</f>
        <v>5</v>
      </c>
      <c r="D1835" s="12" t="str">
        <f ca="1">IFERROR(__xludf.DUMMYFUNCTION("""COMPUTED_VALUE"""),"内丸 裕子")</f>
        <v>内丸 裕子</v>
      </c>
    </row>
    <row r="1836" spans="2:4" ht="13">
      <c r="B1836" s="12">
        <f ca="1">IFERROR(__xludf.DUMMYFUNCTION("""COMPUTED_VALUE"""),113230)</f>
        <v>113230</v>
      </c>
      <c r="C1836" s="14">
        <f ca="1">IFERROR(__xludf.DUMMYFUNCTION("""COMPUTED_VALUE"""),32)</f>
        <v>32</v>
      </c>
      <c r="D1836" s="12" t="str">
        <f ca="1">IFERROR(__xludf.DUMMYFUNCTION("""COMPUTED_VALUE"""),"内丸 裕子")</f>
        <v>内丸 裕子</v>
      </c>
    </row>
    <row r="1837" spans="2:4" ht="13">
      <c r="B1837" s="12">
        <f ca="1">IFERROR(__xludf.DUMMYFUNCTION("""COMPUTED_VALUE"""),113231)</f>
        <v>113231</v>
      </c>
      <c r="C1837" s="14">
        <f ca="1">IFERROR(__xludf.DUMMYFUNCTION("""COMPUTED_VALUE"""),58)</f>
        <v>58</v>
      </c>
      <c r="D1837" s="12" t="str">
        <f ca="1">IFERROR(__xludf.DUMMYFUNCTION("""COMPUTED_VALUE"""),"内丸 裕子")</f>
        <v>内丸 裕子</v>
      </c>
    </row>
    <row r="1838" spans="2:4" ht="13">
      <c r="B1838" s="12">
        <f ca="1">IFERROR(__xludf.DUMMYFUNCTION("""COMPUTED_VALUE"""),113232)</f>
        <v>113232</v>
      </c>
      <c r="C1838" s="14">
        <f ca="1">IFERROR(__xludf.DUMMYFUNCTION("""COMPUTED_VALUE"""),14)</f>
        <v>14</v>
      </c>
      <c r="D1838" s="12" t="str">
        <f ca="1">IFERROR(__xludf.DUMMYFUNCTION("""COMPUTED_VALUE"""),"内丸 裕子")</f>
        <v>内丸 裕子</v>
      </c>
    </row>
    <row r="1839" spans="2:4" ht="13">
      <c r="B1839" s="12">
        <f ca="1">IFERROR(__xludf.DUMMYFUNCTION("""COMPUTED_VALUE"""),113233)</f>
        <v>113233</v>
      </c>
      <c r="C1839" s="14">
        <f ca="1">IFERROR(__xludf.DUMMYFUNCTION("""COMPUTED_VALUE"""),24)</f>
        <v>24</v>
      </c>
      <c r="D1839" s="12" t="str">
        <f ca="1">IFERROR(__xludf.DUMMYFUNCTION("""COMPUTED_VALUE"""),"内丸 裕子")</f>
        <v>内丸 裕子</v>
      </c>
    </row>
    <row r="1840" spans="2:4" ht="13">
      <c r="B1840" s="12">
        <f ca="1">IFERROR(__xludf.DUMMYFUNCTION("""COMPUTED_VALUE"""),113234)</f>
        <v>113234</v>
      </c>
      <c r="C1840" s="14">
        <f ca="1">IFERROR(__xludf.DUMMYFUNCTION("""COMPUTED_VALUE"""),25)</f>
        <v>25</v>
      </c>
      <c r="D1840" s="12" t="str">
        <f ca="1">IFERROR(__xludf.DUMMYFUNCTION("""COMPUTED_VALUE"""),"内丸 裕子")</f>
        <v>内丸 裕子</v>
      </c>
    </row>
    <row r="1841" spans="2:4" ht="13">
      <c r="B1841" s="12">
        <f ca="1">IFERROR(__xludf.DUMMYFUNCTION("""COMPUTED_VALUE"""),113235)</f>
        <v>113235</v>
      </c>
      <c r="C1841" s="14">
        <f ca="1">IFERROR(__xludf.DUMMYFUNCTION("""COMPUTED_VALUE"""),6)</f>
        <v>6</v>
      </c>
      <c r="D1841" s="12" t="str">
        <f ca="1">IFERROR(__xludf.DUMMYFUNCTION("""COMPUTED_VALUE"""),"内丸 裕子")</f>
        <v>内丸 裕子</v>
      </c>
    </row>
    <row r="1842" spans="2:4" ht="13">
      <c r="B1842" s="12">
        <f ca="1">IFERROR(__xludf.DUMMYFUNCTION("""COMPUTED_VALUE"""),113236)</f>
        <v>113236</v>
      </c>
      <c r="C1842" s="14">
        <f ca="1">IFERROR(__xludf.DUMMYFUNCTION("""COMPUTED_VALUE"""),9)</f>
        <v>9</v>
      </c>
      <c r="D1842" s="12" t="str">
        <f ca="1">IFERROR(__xludf.DUMMYFUNCTION("""COMPUTED_VALUE"""),"内丸 裕子")</f>
        <v>内丸 裕子</v>
      </c>
    </row>
    <row r="1843" spans="2:4" ht="13">
      <c r="B1843" s="12">
        <f ca="1">IFERROR(__xludf.DUMMYFUNCTION("""COMPUTED_VALUE"""),113238)</f>
        <v>113238</v>
      </c>
      <c r="C1843" s="14">
        <f ca="1">IFERROR(__xludf.DUMMYFUNCTION("""COMPUTED_VALUE"""),36)</f>
        <v>36</v>
      </c>
      <c r="D1843" s="12" t="str">
        <f ca="1">IFERROR(__xludf.DUMMYFUNCTION("""COMPUTED_VALUE"""),"内丸 裕子")</f>
        <v>内丸 裕子</v>
      </c>
    </row>
    <row r="1844" spans="2:4" ht="13">
      <c r="B1844" s="12">
        <f ca="1">IFERROR(__xludf.DUMMYFUNCTION("""COMPUTED_VALUE"""),113239)</f>
        <v>113239</v>
      </c>
      <c r="C1844" s="14">
        <f ca="1">IFERROR(__xludf.DUMMYFUNCTION("""COMPUTED_VALUE"""),47)</f>
        <v>47</v>
      </c>
      <c r="D1844" s="12" t="str">
        <f ca="1">IFERROR(__xludf.DUMMYFUNCTION("""COMPUTED_VALUE"""),"内丸 裕子")</f>
        <v>内丸 裕子</v>
      </c>
    </row>
    <row r="1845" spans="2:4" ht="13">
      <c r="B1845" s="12">
        <f ca="1">IFERROR(__xludf.DUMMYFUNCTION("""COMPUTED_VALUE"""),113240)</f>
        <v>113240</v>
      </c>
      <c r="C1845" s="14">
        <f ca="1">IFERROR(__xludf.DUMMYFUNCTION("""COMPUTED_VALUE"""),15)</f>
        <v>15</v>
      </c>
      <c r="D1845" s="12" t="str">
        <f ca="1">IFERROR(__xludf.DUMMYFUNCTION("""COMPUTED_VALUE"""),"内丸 裕子")</f>
        <v>内丸 裕子</v>
      </c>
    </row>
    <row r="1846" spans="2:4" ht="13">
      <c r="B1846" s="12">
        <f ca="1">IFERROR(__xludf.DUMMYFUNCTION("""COMPUTED_VALUE"""),113241)</f>
        <v>113241</v>
      </c>
      <c r="C1846" s="14">
        <f ca="1">IFERROR(__xludf.DUMMYFUNCTION("""COMPUTED_VALUE"""),19)</f>
        <v>19</v>
      </c>
      <c r="D1846" s="12" t="str">
        <f ca="1">IFERROR(__xludf.DUMMYFUNCTION("""COMPUTED_VALUE"""),"内丸 裕子")</f>
        <v>内丸 裕子</v>
      </c>
    </row>
    <row r="1847" spans="2:4" ht="13">
      <c r="B1847" s="12">
        <f ca="1">IFERROR(__xludf.DUMMYFUNCTION("""COMPUTED_VALUE"""),113242)</f>
        <v>113242</v>
      </c>
      <c r="C1847" s="14">
        <f ca="1">IFERROR(__xludf.DUMMYFUNCTION("""COMPUTED_VALUE"""),26)</f>
        <v>26</v>
      </c>
      <c r="D1847" s="12" t="str">
        <f ca="1">IFERROR(__xludf.DUMMYFUNCTION("""COMPUTED_VALUE"""),"内丸 裕子")</f>
        <v>内丸 裕子</v>
      </c>
    </row>
    <row r="1848" spans="2:4" ht="13">
      <c r="B1848" s="12">
        <f ca="1">IFERROR(__xludf.DUMMYFUNCTION("""COMPUTED_VALUE"""),113243)</f>
        <v>113243</v>
      </c>
      <c r="C1848" s="14">
        <f ca="1">IFERROR(__xludf.DUMMYFUNCTION("""COMPUTED_VALUE"""),39)</f>
        <v>39</v>
      </c>
      <c r="D1848" s="12" t="str">
        <f ca="1">IFERROR(__xludf.DUMMYFUNCTION("""COMPUTED_VALUE"""),"内丸 裕子")</f>
        <v>内丸 裕子</v>
      </c>
    </row>
    <row r="1849" spans="2:4" ht="13">
      <c r="B1849" s="12">
        <f ca="1">IFERROR(__xludf.DUMMYFUNCTION("""COMPUTED_VALUE"""),113244)</f>
        <v>113244</v>
      </c>
      <c r="C1849" s="14">
        <f ca="1">IFERROR(__xludf.DUMMYFUNCTION("""COMPUTED_VALUE"""),18)</f>
        <v>18</v>
      </c>
      <c r="D1849" s="12" t="str">
        <f ca="1">IFERROR(__xludf.DUMMYFUNCTION("""COMPUTED_VALUE"""),"内丸 裕子")</f>
        <v>内丸 裕子</v>
      </c>
    </row>
    <row r="1850" spans="2:4" ht="13">
      <c r="B1850" s="12">
        <f ca="1">IFERROR(__xludf.DUMMYFUNCTION("""COMPUTED_VALUE"""),113245)</f>
        <v>113245</v>
      </c>
      <c r="C1850" s="14">
        <f ca="1">IFERROR(__xludf.DUMMYFUNCTION("""COMPUTED_VALUE"""),33)</f>
        <v>33</v>
      </c>
      <c r="D1850" s="12" t="str">
        <f ca="1">IFERROR(__xludf.DUMMYFUNCTION("""COMPUTED_VALUE"""),"内丸 裕子")</f>
        <v>内丸 裕子</v>
      </c>
    </row>
    <row r="1851" spans="2:4" ht="13">
      <c r="B1851" s="12">
        <f ca="1">IFERROR(__xludf.DUMMYFUNCTION("""COMPUTED_VALUE"""),113246)</f>
        <v>113246</v>
      </c>
      <c r="C1851" s="14">
        <f ca="1">IFERROR(__xludf.DUMMYFUNCTION("""COMPUTED_VALUE"""),41)</f>
        <v>41</v>
      </c>
      <c r="D1851" s="12" t="str">
        <f ca="1">IFERROR(__xludf.DUMMYFUNCTION("""COMPUTED_VALUE"""),"内丸 裕子")</f>
        <v>内丸 裕子</v>
      </c>
    </row>
    <row r="1852" spans="2:4" ht="13">
      <c r="B1852" s="12">
        <f ca="1">IFERROR(__xludf.DUMMYFUNCTION("""COMPUTED_VALUE"""),113248)</f>
        <v>113248</v>
      </c>
      <c r="C1852" s="14">
        <f ca="1">IFERROR(__xludf.DUMMYFUNCTION("""COMPUTED_VALUE"""),23)</f>
        <v>23</v>
      </c>
      <c r="D1852" s="12" t="str">
        <f ca="1">IFERROR(__xludf.DUMMYFUNCTION("""COMPUTED_VALUE"""),"内丸 裕子")</f>
        <v>内丸 裕子</v>
      </c>
    </row>
    <row r="1853" spans="2:4" ht="13">
      <c r="B1853" s="12">
        <f ca="1">IFERROR(__xludf.DUMMYFUNCTION("""COMPUTED_VALUE"""),113249)</f>
        <v>113249</v>
      </c>
      <c r="C1853" s="14">
        <f ca="1">IFERROR(__xludf.DUMMYFUNCTION("""COMPUTED_VALUE"""),32)</f>
        <v>32</v>
      </c>
      <c r="D1853" s="12" t="str">
        <f ca="1">IFERROR(__xludf.DUMMYFUNCTION("""COMPUTED_VALUE"""),"内丸 裕子")</f>
        <v>内丸 裕子</v>
      </c>
    </row>
    <row r="1854" spans="2:4" ht="13">
      <c r="B1854" s="12">
        <f ca="1">IFERROR(__xludf.DUMMYFUNCTION("""COMPUTED_VALUE"""),113250)</f>
        <v>113250</v>
      </c>
      <c r="C1854" s="14">
        <f ca="1">IFERROR(__xludf.DUMMYFUNCTION("""COMPUTED_VALUE"""),5)</f>
        <v>5</v>
      </c>
      <c r="D1854" s="12" t="str">
        <f ca="1">IFERROR(__xludf.DUMMYFUNCTION("""COMPUTED_VALUE"""),"内丸 裕子")</f>
        <v>内丸 裕子</v>
      </c>
    </row>
    <row r="1855" spans="2:4" ht="13">
      <c r="B1855" s="12">
        <f ca="1">IFERROR(__xludf.DUMMYFUNCTION("""COMPUTED_VALUE"""),113251)</f>
        <v>113251</v>
      </c>
      <c r="C1855" s="14">
        <f ca="1">IFERROR(__xludf.DUMMYFUNCTION("""COMPUTED_VALUE"""),43)</f>
        <v>43</v>
      </c>
      <c r="D1855" s="12" t="str">
        <f ca="1">IFERROR(__xludf.DUMMYFUNCTION("""COMPUTED_VALUE"""),"内丸 裕子")</f>
        <v>内丸 裕子</v>
      </c>
    </row>
    <row r="1856" spans="2:4" ht="13">
      <c r="B1856" s="12">
        <f ca="1">IFERROR(__xludf.DUMMYFUNCTION("""COMPUTED_VALUE"""),113253)</f>
        <v>113253</v>
      </c>
      <c r="C1856" s="14">
        <f ca="1">IFERROR(__xludf.DUMMYFUNCTION("""COMPUTED_VALUE"""),21)</f>
        <v>21</v>
      </c>
      <c r="D1856" s="12" t="str">
        <f ca="1">IFERROR(__xludf.DUMMYFUNCTION("""COMPUTED_VALUE"""),"内丸 裕子")</f>
        <v>内丸 裕子</v>
      </c>
    </row>
    <row r="1857" spans="2:4" ht="13">
      <c r="B1857" s="12">
        <f ca="1">IFERROR(__xludf.DUMMYFUNCTION("""COMPUTED_VALUE"""),113254)</f>
        <v>113254</v>
      </c>
      <c r="C1857" s="14">
        <f ca="1">IFERROR(__xludf.DUMMYFUNCTION("""COMPUTED_VALUE"""),13)</f>
        <v>13</v>
      </c>
      <c r="D1857" s="12" t="str">
        <f ca="1">IFERROR(__xludf.DUMMYFUNCTION("""COMPUTED_VALUE"""),"内丸 裕子")</f>
        <v>内丸 裕子</v>
      </c>
    </row>
    <row r="1858" spans="2:4" ht="13">
      <c r="B1858" s="12">
        <f ca="1">IFERROR(__xludf.DUMMYFUNCTION("""COMPUTED_VALUE"""),113255)</f>
        <v>113255</v>
      </c>
      <c r="C1858" s="14">
        <f ca="1">IFERROR(__xludf.DUMMYFUNCTION("""COMPUTED_VALUE"""),25)</f>
        <v>25</v>
      </c>
      <c r="D1858" s="12" t="str">
        <f ca="1">IFERROR(__xludf.DUMMYFUNCTION("""COMPUTED_VALUE"""),"内丸 裕子")</f>
        <v>内丸 裕子</v>
      </c>
    </row>
    <row r="1859" spans="2:4" ht="13">
      <c r="B1859" s="12">
        <f ca="1">IFERROR(__xludf.DUMMYFUNCTION("""COMPUTED_VALUE"""),113256)</f>
        <v>113256</v>
      </c>
      <c r="C1859" s="14">
        <f ca="1">IFERROR(__xludf.DUMMYFUNCTION("""COMPUTED_VALUE"""),23)</f>
        <v>23</v>
      </c>
      <c r="D1859" s="12" t="str">
        <f ca="1">IFERROR(__xludf.DUMMYFUNCTION("""COMPUTED_VALUE"""),"内丸 裕子")</f>
        <v>内丸 裕子</v>
      </c>
    </row>
    <row r="1860" spans="2:4" ht="13">
      <c r="B1860" s="12">
        <f ca="1">IFERROR(__xludf.DUMMYFUNCTION("""COMPUTED_VALUE"""),113258)</f>
        <v>113258</v>
      </c>
      <c r="C1860" s="14">
        <f ca="1">IFERROR(__xludf.DUMMYFUNCTION("""COMPUTED_VALUE"""),19)</f>
        <v>19</v>
      </c>
      <c r="D1860" s="12" t="str">
        <f ca="1">IFERROR(__xludf.DUMMYFUNCTION("""COMPUTED_VALUE"""),"内丸 裕子")</f>
        <v>内丸 裕子</v>
      </c>
    </row>
    <row r="1861" spans="2:4" ht="13">
      <c r="B1861" s="12">
        <f ca="1">IFERROR(__xludf.DUMMYFUNCTION("""COMPUTED_VALUE"""),113259)</f>
        <v>113259</v>
      </c>
      <c r="C1861" s="14">
        <f ca="1">IFERROR(__xludf.DUMMYFUNCTION("""COMPUTED_VALUE"""),25)</f>
        <v>25</v>
      </c>
      <c r="D1861" s="12" t="str">
        <f ca="1">IFERROR(__xludf.DUMMYFUNCTION("""COMPUTED_VALUE"""),"内丸 裕子")</f>
        <v>内丸 裕子</v>
      </c>
    </row>
    <row r="1862" spans="2:4" ht="13">
      <c r="B1862" s="12">
        <f ca="1">IFERROR(__xludf.DUMMYFUNCTION("""COMPUTED_VALUE"""),113260)</f>
        <v>113260</v>
      </c>
      <c r="C1862" s="14">
        <f ca="1">IFERROR(__xludf.DUMMYFUNCTION("""COMPUTED_VALUE"""),3)</f>
        <v>3</v>
      </c>
      <c r="D1862" s="12" t="str">
        <f ca="1">IFERROR(__xludf.DUMMYFUNCTION("""COMPUTED_VALUE"""),"内丸 裕子")</f>
        <v>内丸 裕子</v>
      </c>
    </row>
    <row r="1863" spans="2:4" ht="13">
      <c r="B1863" s="12">
        <f ca="1">IFERROR(__xludf.DUMMYFUNCTION("""COMPUTED_VALUE"""),113261)</f>
        <v>113261</v>
      </c>
      <c r="C1863" s="14">
        <f ca="1">IFERROR(__xludf.DUMMYFUNCTION("""COMPUTED_VALUE"""),4)</f>
        <v>4</v>
      </c>
      <c r="D1863" s="12" t="str">
        <f ca="1">IFERROR(__xludf.DUMMYFUNCTION("""COMPUTED_VALUE"""),"内丸 裕子")</f>
        <v>内丸 裕子</v>
      </c>
    </row>
    <row r="1864" spans="2:4" ht="13">
      <c r="B1864" s="12">
        <f ca="1">IFERROR(__xludf.DUMMYFUNCTION("""COMPUTED_VALUE"""),113262)</f>
        <v>113262</v>
      </c>
      <c r="C1864" s="14">
        <f ca="1">IFERROR(__xludf.DUMMYFUNCTION("""COMPUTED_VALUE"""),4)</f>
        <v>4</v>
      </c>
      <c r="D1864" s="12" t="str">
        <f ca="1">IFERROR(__xludf.DUMMYFUNCTION("""COMPUTED_VALUE"""),"内丸 裕子")</f>
        <v>内丸 裕子</v>
      </c>
    </row>
    <row r="1865" spans="2:4" ht="13">
      <c r="B1865" s="12">
        <f ca="1">IFERROR(__xludf.DUMMYFUNCTION("""COMPUTED_VALUE"""),113263)</f>
        <v>113263</v>
      </c>
      <c r="C1865" s="14">
        <f ca="1">IFERROR(__xludf.DUMMYFUNCTION("""COMPUTED_VALUE"""),6)</f>
        <v>6</v>
      </c>
      <c r="D1865" s="12" t="str">
        <f ca="1">IFERROR(__xludf.DUMMYFUNCTION("""COMPUTED_VALUE"""),"内丸 裕子")</f>
        <v>内丸 裕子</v>
      </c>
    </row>
    <row r="1866" spans="2:4" ht="13">
      <c r="B1866" s="12">
        <f ca="1">IFERROR(__xludf.DUMMYFUNCTION("""COMPUTED_VALUE"""),113264)</f>
        <v>113264</v>
      </c>
      <c r="C1866" s="14">
        <f ca="1">IFERROR(__xludf.DUMMYFUNCTION("""COMPUTED_VALUE"""),5)</f>
        <v>5</v>
      </c>
      <c r="D1866" s="12" t="str">
        <f ca="1">IFERROR(__xludf.DUMMYFUNCTION("""COMPUTED_VALUE"""),"内丸 裕子")</f>
        <v>内丸 裕子</v>
      </c>
    </row>
    <row r="1867" spans="2:4" ht="13">
      <c r="B1867" s="12">
        <f ca="1">IFERROR(__xludf.DUMMYFUNCTION("""COMPUTED_VALUE"""),113265)</f>
        <v>113265</v>
      </c>
      <c r="C1867" s="14">
        <f ca="1">IFERROR(__xludf.DUMMYFUNCTION("""COMPUTED_VALUE"""),18)</f>
        <v>18</v>
      </c>
      <c r="D1867" s="12" t="str">
        <f ca="1">IFERROR(__xludf.DUMMYFUNCTION("""COMPUTED_VALUE"""),"内丸 裕子")</f>
        <v>内丸 裕子</v>
      </c>
    </row>
    <row r="1868" spans="2:4" ht="13">
      <c r="B1868" s="12">
        <f ca="1">IFERROR(__xludf.DUMMYFUNCTION("""COMPUTED_VALUE"""),113267)</f>
        <v>113267</v>
      </c>
      <c r="C1868" s="14">
        <f ca="1">IFERROR(__xludf.DUMMYFUNCTION("""COMPUTED_VALUE"""),10)</f>
        <v>10</v>
      </c>
      <c r="D1868" s="12" t="str">
        <f ca="1">IFERROR(__xludf.DUMMYFUNCTION("""COMPUTED_VALUE"""),"内丸 裕子")</f>
        <v>内丸 裕子</v>
      </c>
    </row>
    <row r="1869" spans="2:4" ht="13">
      <c r="B1869" s="12">
        <f ca="1">IFERROR(__xludf.DUMMYFUNCTION("""COMPUTED_VALUE"""),113268)</f>
        <v>113268</v>
      </c>
      <c r="C1869" s="14">
        <f ca="1">IFERROR(__xludf.DUMMYFUNCTION("""COMPUTED_VALUE"""),7)</f>
        <v>7</v>
      </c>
      <c r="D1869" s="12" t="str">
        <f ca="1">IFERROR(__xludf.DUMMYFUNCTION("""COMPUTED_VALUE"""),"内丸 裕子")</f>
        <v>内丸 裕子</v>
      </c>
    </row>
    <row r="1870" spans="2:4" ht="13">
      <c r="B1870" s="12">
        <f ca="1">IFERROR(__xludf.DUMMYFUNCTION("""COMPUTED_VALUE"""),113269)</f>
        <v>113269</v>
      </c>
      <c r="C1870" s="14">
        <f ca="1">IFERROR(__xludf.DUMMYFUNCTION("""COMPUTED_VALUE"""),36)</f>
        <v>36</v>
      </c>
      <c r="D1870" s="12" t="str">
        <f ca="1">IFERROR(__xludf.DUMMYFUNCTION("""COMPUTED_VALUE"""),"内丸 裕子")</f>
        <v>内丸 裕子</v>
      </c>
    </row>
    <row r="1871" spans="2:4" ht="13">
      <c r="B1871" s="12">
        <f ca="1">IFERROR(__xludf.DUMMYFUNCTION("""COMPUTED_VALUE"""),113270)</f>
        <v>113270</v>
      </c>
      <c r="C1871" s="14">
        <f ca="1">IFERROR(__xludf.DUMMYFUNCTION("""COMPUTED_VALUE"""),3)</f>
        <v>3</v>
      </c>
      <c r="D1871" s="12" t="str">
        <f ca="1">IFERROR(__xludf.DUMMYFUNCTION("""COMPUTED_VALUE"""),"内丸 裕子")</f>
        <v>内丸 裕子</v>
      </c>
    </row>
    <row r="1872" spans="2:4" ht="13">
      <c r="B1872" s="12">
        <f ca="1">IFERROR(__xludf.DUMMYFUNCTION("""COMPUTED_VALUE"""),113271)</f>
        <v>113271</v>
      </c>
      <c r="C1872" s="14">
        <f ca="1">IFERROR(__xludf.DUMMYFUNCTION("""COMPUTED_VALUE"""),6)</f>
        <v>6</v>
      </c>
      <c r="D1872" s="12" t="str">
        <f ca="1">IFERROR(__xludf.DUMMYFUNCTION("""COMPUTED_VALUE"""),"内丸 裕子")</f>
        <v>内丸 裕子</v>
      </c>
    </row>
    <row r="1873" spans="2:4" ht="13">
      <c r="B1873" s="12">
        <f ca="1">IFERROR(__xludf.DUMMYFUNCTION("""COMPUTED_VALUE"""),113272)</f>
        <v>113272</v>
      </c>
      <c r="C1873" s="14">
        <f ca="1">IFERROR(__xludf.DUMMYFUNCTION("""COMPUTED_VALUE"""),4)</f>
        <v>4</v>
      </c>
      <c r="D1873" s="12" t="str">
        <f ca="1">IFERROR(__xludf.DUMMYFUNCTION("""COMPUTED_VALUE"""),"内丸 裕子")</f>
        <v>内丸 裕子</v>
      </c>
    </row>
    <row r="1874" spans="2:4" ht="13">
      <c r="B1874" s="12">
        <f ca="1">IFERROR(__xludf.DUMMYFUNCTION("""COMPUTED_VALUE"""),113273)</f>
        <v>113273</v>
      </c>
      <c r="C1874" s="14">
        <f ca="1">IFERROR(__xludf.DUMMYFUNCTION("""COMPUTED_VALUE"""),8)</f>
        <v>8</v>
      </c>
      <c r="D1874" s="12" t="str">
        <f ca="1">IFERROR(__xludf.DUMMYFUNCTION("""COMPUTED_VALUE"""),"内丸 裕子")</f>
        <v>内丸 裕子</v>
      </c>
    </row>
    <row r="1875" spans="2:4" ht="13">
      <c r="B1875" s="12">
        <f ca="1">IFERROR(__xludf.DUMMYFUNCTION("""COMPUTED_VALUE"""),113274)</f>
        <v>113274</v>
      </c>
      <c r="C1875" s="14">
        <f ca="1">IFERROR(__xludf.DUMMYFUNCTION("""COMPUTED_VALUE"""),6)</f>
        <v>6</v>
      </c>
      <c r="D1875" s="12" t="str">
        <f ca="1">IFERROR(__xludf.DUMMYFUNCTION("""COMPUTED_VALUE"""),"内丸 裕子")</f>
        <v>内丸 裕子</v>
      </c>
    </row>
    <row r="1876" spans="2:4" ht="13">
      <c r="B1876" s="12">
        <f ca="1">IFERROR(__xludf.DUMMYFUNCTION("""COMPUTED_VALUE"""),113275)</f>
        <v>113275</v>
      </c>
      <c r="C1876" s="14">
        <f ca="1">IFERROR(__xludf.DUMMYFUNCTION("""COMPUTED_VALUE"""),8)</f>
        <v>8</v>
      </c>
      <c r="D1876" s="12" t="str">
        <f ca="1">IFERROR(__xludf.DUMMYFUNCTION("""COMPUTED_VALUE"""),"内丸 裕子")</f>
        <v>内丸 裕子</v>
      </c>
    </row>
    <row r="1877" spans="2:4" ht="13">
      <c r="B1877" s="12">
        <f ca="1">IFERROR(__xludf.DUMMYFUNCTION("""COMPUTED_VALUE"""),113276)</f>
        <v>113276</v>
      </c>
      <c r="C1877" s="14">
        <f ca="1">IFERROR(__xludf.DUMMYFUNCTION("""COMPUTED_VALUE"""),3)</f>
        <v>3</v>
      </c>
      <c r="D1877" s="12" t="str">
        <f ca="1">IFERROR(__xludf.DUMMYFUNCTION("""COMPUTED_VALUE"""),"内丸 裕子")</f>
        <v>内丸 裕子</v>
      </c>
    </row>
    <row r="1878" spans="2:4" ht="13">
      <c r="B1878" s="12">
        <f ca="1">IFERROR(__xludf.DUMMYFUNCTION("""COMPUTED_VALUE"""),113277)</f>
        <v>113277</v>
      </c>
      <c r="C1878" s="14">
        <f ca="1">IFERROR(__xludf.DUMMYFUNCTION("""COMPUTED_VALUE"""),7)</f>
        <v>7</v>
      </c>
      <c r="D1878" s="12" t="str">
        <f ca="1">IFERROR(__xludf.DUMMYFUNCTION("""COMPUTED_VALUE"""),"内丸 裕子")</f>
        <v>内丸 裕子</v>
      </c>
    </row>
    <row r="1879" spans="2:4" ht="13">
      <c r="B1879" s="12">
        <f ca="1">IFERROR(__xludf.DUMMYFUNCTION("""COMPUTED_VALUE"""),113278)</f>
        <v>113278</v>
      </c>
      <c r="C1879" s="14">
        <f ca="1">IFERROR(__xludf.DUMMYFUNCTION("""COMPUTED_VALUE"""),11)</f>
        <v>11</v>
      </c>
      <c r="D1879" s="12" t="str">
        <f ca="1">IFERROR(__xludf.DUMMYFUNCTION("""COMPUTED_VALUE"""),"内丸 裕子")</f>
        <v>内丸 裕子</v>
      </c>
    </row>
    <row r="1880" spans="2:4" ht="13">
      <c r="B1880" s="12">
        <f ca="1">IFERROR(__xludf.DUMMYFUNCTION("""COMPUTED_VALUE"""),113280)</f>
        <v>113280</v>
      </c>
      <c r="C1880" s="14">
        <f ca="1">IFERROR(__xludf.DUMMYFUNCTION("""COMPUTED_VALUE"""),2)</f>
        <v>2</v>
      </c>
      <c r="D1880" s="12" t="str">
        <f ca="1">IFERROR(__xludf.DUMMYFUNCTION("""COMPUTED_VALUE"""),"内丸 裕子")</f>
        <v>内丸 裕子</v>
      </c>
    </row>
    <row r="1881" spans="2:4" ht="13">
      <c r="B1881" s="12">
        <f ca="1">IFERROR(__xludf.DUMMYFUNCTION("""COMPUTED_VALUE"""),113281)</f>
        <v>113281</v>
      </c>
      <c r="C1881" s="14">
        <f ca="1">IFERROR(__xludf.DUMMYFUNCTION("""COMPUTED_VALUE"""),5)</f>
        <v>5</v>
      </c>
      <c r="D1881" s="12" t="str">
        <f ca="1">IFERROR(__xludf.DUMMYFUNCTION("""COMPUTED_VALUE"""),"内丸 裕子")</f>
        <v>内丸 裕子</v>
      </c>
    </row>
    <row r="1882" spans="2:4" ht="13">
      <c r="B1882" s="12">
        <f ca="1">IFERROR(__xludf.DUMMYFUNCTION("""COMPUTED_VALUE"""),113282)</f>
        <v>113282</v>
      </c>
      <c r="C1882" s="14">
        <f ca="1">IFERROR(__xludf.DUMMYFUNCTION("""COMPUTED_VALUE"""),10)</f>
        <v>10</v>
      </c>
      <c r="D1882" s="12" t="str">
        <f ca="1">IFERROR(__xludf.DUMMYFUNCTION("""COMPUTED_VALUE"""),"内丸 裕子")</f>
        <v>内丸 裕子</v>
      </c>
    </row>
    <row r="1883" spans="2:4" ht="13">
      <c r="B1883" s="12">
        <f ca="1">IFERROR(__xludf.DUMMYFUNCTION("""COMPUTED_VALUE"""),113283)</f>
        <v>113283</v>
      </c>
      <c r="C1883" s="14">
        <f ca="1">IFERROR(__xludf.DUMMYFUNCTION("""COMPUTED_VALUE"""),7)</f>
        <v>7</v>
      </c>
      <c r="D1883" s="12" t="str">
        <f ca="1">IFERROR(__xludf.DUMMYFUNCTION("""COMPUTED_VALUE"""),"内丸 裕子")</f>
        <v>内丸 裕子</v>
      </c>
    </row>
    <row r="1884" spans="2:4" ht="13">
      <c r="B1884" s="12">
        <f ca="1">IFERROR(__xludf.DUMMYFUNCTION("""COMPUTED_VALUE"""),113284)</f>
        <v>113284</v>
      </c>
      <c r="C1884" s="14">
        <f ca="1">IFERROR(__xludf.DUMMYFUNCTION("""COMPUTED_VALUE"""),5)</f>
        <v>5</v>
      </c>
      <c r="D1884" s="12" t="str">
        <f ca="1">IFERROR(__xludf.DUMMYFUNCTION("""COMPUTED_VALUE"""),"内丸 裕子")</f>
        <v>内丸 裕子</v>
      </c>
    </row>
    <row r="1885" spans="2:4" ht="13">
      <c r="B1885" s="12">
        <f ca="1">IFERROR(__xludf.DUMMYFUNCTION("""COMPUTED_VALUE"""),113285)</f>
        <v>113285</v>
      </c>
      <c r="C1885" s="14">
        <f ca="1">IFERROR(__xludf.DUMMYFUNCTION("""COMPUTED_VALUE"""),22)</f>
        <v>22</v>
      </c>
      <c r="D1885" s="12" t="str">
        <f ca="1">IFERROR(__xludf.DUMMYFUNCTION("""COMPUTED_VALUE"""),"内丸 裕子")</f>
        <v>内丸 裕子</v>
      </c>
    </row>
    <row r="1886" spans="2:4" ht="13">
      <c r="B1886" s="12">
        <f ca="1">IFERROR(__xludf.DUMMYFUNCTION("""COMPUTED_VALUE"""),113286)</f>
        <v>113286</v>
      </c>
      <c r="C1886" s="14">
        <f ca="1">IFERROR(__xludf.DUMMYFUNCTION("""COMPUTED_VALUE"""),11)</f>
        <v>11</v>
      </c>
      <c r="D1886" s="12" t="str">
        <f ca="1">IFERROR(__xludf.DUMMYFUNCTION("""COMPUTED_VALUE"""),"内丸 裕子")</f>
        <v>内丸 裕子</v>
      </c>
    </row>
    <row r="1887" spans="2:4" ht="13">
      <c r="B1887" s="12">
        <f ca="1">IFERROR(__xludf.DUMMYFUNCTION("""COMPUTED_VALUE"""),113287)</f>
        <v>113287</v>
      </c>
      <c r="C1887" s="14">
        <f ca="1">IFERROR(__xludf.DUMMYFUNCTION("""COMPUTED_VALUE"""),7)</f>
        <v>7</v>
      </c>
      <c r="D1887" s="12" t="str">
        <f ca="1">IFERROR(__xludf.DUMMYFUNCTION("""COMPUTED_VALUE"""),"内丸 裕子")</f>
        <v>内丸 裕子</v>
      </c>
    </row>
    <row r="1888" spans="2:4" ht="13">
      <c r="B1888" s="12">
        <f ca="1">IFERROR(__xludf.DUMMYFUNCTION("""COMPUTED_VALUE"""),113288)</f>
        <v>113288</v>
      </c>
      <c r="C1888" s="14">
        <f ca="1">IFERROR(__xludf.DUMMYFUNCTION("""COMPUTED_VALUE"""),26)</f>
        <v>26</v>
      </c>
      <c r="D1888" s="12" t="str">
        <f ca="1">IFERROR(__xludf.DUMMYFUNCTION("""COMPUTED_VALUE"""),"内丸 裕子")</f>
        <v>内丸 裕子</v>
      </c>
    </row>
    <row r="1889" spans="2:4" ht="13">
      <c r="B1889" s="12">
        <f ca="1">IFERROR(__xludf.DUMMYFUNCTION("""COMPUTED_VALUE"""),113289)</f>
        <v>113289</v>
      </c>
      <c r="C1889" s="14">
        <f ca="1">IFERROR(__xludf.DUMMYFUNCTION("""COMPUTED_VALUE"""),2)</f>
        <v>2</v>
      </c>
      <c r="D1889" s="12" t="str">
        <f ca="1">IFERROR(__xludf.DUMMYFUNCTION("""COMPUTED_VALUE"""),"内丸 裕子")</f>
        <v>内丸 裕子</v>
      </c>
    </row>
    <row r="1890" spans="2:4" ht="13">
      <c r="B1890" s="12">
        <f ca="1">IFERROR(__xludf.DUMMYFUNCTION("""COMPUTED_VALUE"""),113296)</f>
        <v>113296</v>
      </c>
      <c r="C1890" s="14">
        <f ca="1">IFERROR(__xludf.DUMMYFUNCTION("""COMPUTED_VALUE"""),2)</f>
        <v>2</v>
      </c>
      <c r="D1890" s="12" t="str">
        <f ca="1">IFERROR(__xludf.DUMMYFUNCTION("""COMPUTED_VALUE"""),"内丸 裕子")</f>
        <v>内丸 裕子</v>
      </c>
    </row>
    <row r="1891" spans="2:4" ht="13">
      <c r="B1891" s="12">
        <f ca="1">IFERROR(__xludf.DUMMYFUNCTION("""COMPUTED_VALUE"""),113297)</f>
        <v>113297</v>
      </c>
      <c r="C1891" s="14">
        <f ca="1">IFERROR(__xludf.DUMMYFUNCTION("""COMPUTED_VALUE"""),0)</f>
        <v>0</v>
      </c>
      <c r="D1891" s="12" t="str">
        <f ca="1">IFERROR(__xludf.DUMMYFUNCTION("""COMPUTED_VALUE"""),"内丸 裕子")</f>
        <v>内丸 裕子</v>
      </c>
    </row>
    <row r="1892" spans="2:4" ht="13">
      <c r="B1892" s="12">
        <f ca="1">IFERROR(__xludf.DUMMYFUNCTION("""COMPUTED_VALUE"""),113298)</f>
        <v>113298</v>
      </c>
      <c r="C1892" s="14">
        <f ca="1">IFERROR(__xludf.DUMMYFUNCTION("""COMPUTED_VALUE"""),0)</f>
        <v>0</v>
      </c>
      <c r="D1892" s="12" t="str">
        <f ca="1">IFERROR(__xludf.DUMMYFUNCTION("""COMPUTED_VALUE"""),"内丸 裕子")</f>
        <v>内丸 裕子</v>
      </c>
    </row>
    <row r="1893" spans="2:4" ht="13">
      <c r="B1893" s="12">
        <f ca="1">IFERROR(__xludf.DUMMYFUNCTION("""COMPUTED_VALUE"""),113299)</f>
        <v>113299</v>
      </c>
      <c r="C1893" s="14">
        <f ca="1">IFERROR(__xludf.DUMMYFUNCTION("""COMPUTED_VALUE"""),4)</f>
        <v>4</v>
      </c>
      <c r="D1893" s="12" t="str">
        <f ca="1">IFERROR(__xludf.DUMMYFUNCTION("""COMPUTED_VALUE"""),"内丸 裕子")</f>
        <v>内丸 裕子</v>
      </c>
    </row>
    <row r="1894" spans="2:4" ht="13">
      <c r="B1894" s="12">
        <f ca="1">IFERROR(__xludf.DUMMYFUNCTION("""COMPUTED_VALUE"""),113300)</f>
        <v>113300</v>
      </c>
      <c r="C1894" s="14">
        <f ca="1">IFERROR(__xludf.DUMMYFUNCTION("""COMPUTED_VALUE"""),0)</f>
        <v>0</v>
      </c>
      <c r="D1894" s="12" t="str">
        <f ca="1">IFERROR(__xludf.DUMMYFUNCTION("""COMPUTED_VALUE"""),"内丸 裕子")</f>
        <v>内丸 裕子</v>
      </c>
    </row>
    <row r="1895" spans="2:4" ht="13">
      <c r="B1895" s="12">
        <f ca="1">IFERROR(__xludf.DUMMYFUNCTION("""COMPUTED_VALUE"""),113301)</f>
        <v>113301</v>
      </c>
      <c r="C1895" s="14">
        <f ca="1">IFERROR(__xludf.DUMMYFUNCTION("""COMPUTED_VALUE"""),0)</f>
        <v>0</v>
      </c>
      <c r="D1895" s="12" t="str">
        <f ca="1">IFERROR(__xludf.DUMMYFUNCTION("""COMPUTED_VALUE"""),"内丸 裕子")</f>
        <v>内丸 裕子</v>
      </c>
    </row>
    <row r="1896" spans="2:4" ht="13">
      <c r="B1896" s="12">
        <f ca="1">IFERROR(__xludf.DUMMYFUNCTION("""COMPUTED_VALUE"""),113302)</f>
        <v>113302</v>
      </c>
      <c r="C1896" s="14">
        <f ca="1">IFERROR(__xludf.DUMMYFUNCTION("""COMPUTED_VALUE"""),0)</f>
        <v>0</v>
      </c>
      <c r="D1896" s="12" t="str">
        <f ca="1">IFERROR(__xludf.DUMMYFUNCTION("""COMPUTED_VALUE"""),"内丸 裕子")</f>
        <v>内丸 裕子</v>
      </c>
    </row>
    <row r="1897" spans="2:4" ht="13">
      <c r="B1897" s="12">
        <f ca="1">IFERROR(__xludf.DUMMYFUNCTION("""COMPUTED_VALUE"""),113303)</f>
        <v>113303</v>
      </c>
      <c r="C1897" s="14">
        <f ca="1">IFERROR(__xludf.DUMMYFUNCTION("""COMPUTED_VALUE"""),0)</f>
        <v>0</v>
      </c>
      <c r="D1897" s="12" t="str">
        <f ca="1">IFERROR(__xludf.DUMMYFUNCTION("""COMPUTED_VALUE"""),"内丸 裕子")</f>
        <v>内丸 裕子</v>
      </c>
    </row>
    <row r="1898" spans="2:4" ht="13">
      <c r="B1898" s="12">
        <f ca="1">IFERROR(__xludf.DUMMYFUNCTION("""COMPUTED_VALUE"""),113304)</f>
        <v>113304</v>
      </c>
      <c r="C1898" s="14">
        <f ca="1">IFERROR(__xludf.DUMMYFUNCTION("""COMPUTED_VALUE"""),4)</f>
        <v>4</v>
      </c>
      <c r="D1898" s="12" t="str">
        <f ca="1">IFERROR(__xludf.DUMMYFUNCTION("""COMPUTED_VALUE"""),"内丸 裕子")</f>
        <v>内丸 裕子</v>
      </c>
    </row>
    <row r="1899" spans="2:4" ht="13">
      <c r="B1899" s="12">
        <f ca="1">IFERROR(__xludf.DUMMYFUNCTION("""COMPUTED_VALUE"""),113305)</f>
        <v>113305</v>
      </c>
      <c r="C1899" s="14">
        <f ca="1">IFERROR(__xludf.DUMMYFUNCTION("""COMPUTED_VALUE"""),0)</f>
        <v>0</v>
      </c>
      <c r="D1899" s="12" t="str">
        <f ca="1">IFERROR(__xludf.DUMMYFUNCTION("""COMPUTED_VALUE"""),"内丸 裕子")</f>
        <v>内丸 裕子</v>
      </c>
    </row>
    <row r="1900" spans="2:4" ht="13">
      <c r="B1900" s="12">
        <f ca="1">IFERROR(__xludf.DUMMYFUNCTION("""COMPUTED_VALUE"""),113306)</f>
        <v>113306</v>
      </c>
      <c r="C1900" s="14">
        <f ca="1">IFERROR(__xludf.DUMMYFUNCTION("""COMPUTED_VALUE"""),0)</f>
        <v>0</v>
      </c>
      <c r="D1900" s="12" t="str">
        <f ca="1">IFERROR(__xludf.DUMMYFUNCTION("""COMPUTED_VALUE"""),"内丸 裕子")</f>
        <v>内丸 裕子</v>
      </c>
    </row>
    <row r="1901" spans="2:4" ht="13">
      <c r="B1901" s="12">
        <f ca="1">IFERROR(__xludf.DUMMYFUNCTION("""COMPUTED_VALUE"""),113307)</f>
        <v>113307</v>
      </c>
      <c r="C1901" s="14">
        <f ca="1">IFERROR(__xludf.DUMMYFUNCTION("""COMPUTED_VALUE"""),0)</f>
        <v>0</v>
      </c>
      <c r="D1901" s="12" t="str">
        <f ca="1">IFERROR(__xludf.DUMMYFUNCTION("""COMPUTED_VALUE"""),"内丸 裕子")</f>
        <v>内丸 裕子</v>
      </c>
    </row>
    <row r="1902" spans="2:4" ht="13">
      <c r="B1902" s="12">
        <f ca="1">IFERROR(__xludf.DUMMYFUNCTION("""COMPUTED_VALUE"""),113308)</f>
        <v>113308</v>
      </c>
      <c r="C1902" s="14">
        <f ca="1">IFERROR(__xludf.DUMMYFUNCTION("""COMPUTED_VALUE"""),0)</f>
        <v>0</v>
      </c>
      <c r="D1902" s="12" t="str">
        <f ca="1">IFERROR(__xludf.DUMMYFUNCTION("""COMPUTED_VALUE"""),"内丸 裕子")</f>
        <v>内丸 裕子</v>
      </c>
    </row>
    <row r="1903" spans="2:4" ht="13">
      <c r="B1903" s="12">
        <f ca="1">IFERROR(__xludf.DUMMYFUNCTION("""COMPUTED_VALUE"""),113309)</f>
        <v>113309</v>
      </c>
      <c r="C1903" s="14">
        <f ca="1">IFERROR(__xludf.DUMMYFUNCTION("""COMPUTED_VALUE"""),0)</f>
        <v>0</v>
      </c>
      <c r="D1903" s="12" t="str">
        <f ca="1">IFERROR(__xludf.DUMMYFUNCTION("""COMPUTED_VALUE"""),"内丸 裕子")</f>
        <v>内丸 裕子</v>
      </c>
    </row>
    <row r="1904" spans="2:4" ht="13">
      <c r="B1904" s="12">
        <f ca="1">IFERROR(__xludf.DUMMYFUNCTION("""COMPUTED_VALUE"""),113310)</f>
        <v>113310</v>
      </c>
      <c r="C1904" s="14">
        <f ca="1">IFERROR(__xludf.DUMMYFUNCTION("""COMPUTED_VALUE"""),0)</f>
        <v>0</v>
      </c>
      <c r="D1904" s="12" t="str">
        <f ca="1">IFERROR(__xludf.DUMMYFUNCTION("""COMPUTED_VALUE"""),"内丸 裕子")</f>
        <v>内丸 裕子</v>
      </c>
    </row>
    <row r="1905" spans="2:4" ht="13">
      <c r="B1905" s="12">
        <f ca="1">IFERROR(__xludf.DUMMYFUNCTION("""COMPUTED_VALUE"""),113311)</f>
        <v>113311</v>
      </c>
      <c r="C1905" s="14">
        <f ca="1">IFERROR(__xludf.DUMMYFUNCTION("""COMPUTED_VALUE"""),0)</f>
        <v>0</v>
      </c>
      <c r="D1905" s="12" t="str">
        <f ca="1">IFERROR(__xludf.DUMMYFUNCTION("""COMPUTED_VALUE"""),"内丸 裕子")</f>
        <v>内丸 裕子</v>
      </c>
    </row>
    <row r="1906" spans="2:4" ht="13">
      <c r="B1906" s="12">
        <f ca="1">IFERROR(__xludf.DUMMYFUNCTION("""COMPUTED_VALUE"""),113312)</f>
        <v>113312</v>
      </c>
      <c r="C1906" s="14">
        <f ca="1">IFERROR(__xludf.DUMMYFUNCTION("""COMPUTED_VALUE"""),6)</f>
        <v>6</v>
      </c>
      <c r="D1906" s="12" t="str">
        <f ca="1">IFERROR(__xludf.DUMMYFUNCTION("""COMPUTED_VALUE"""),"内丸 裕子")</f>
        <v>内丸 裕子</v>
      </c>
    </row>
    <row r="1907" spans="2:4" ht="13">
      <c r="B1907" s="12">
        <f ca="1">IFERROR(__xludf.DUMMYFUNCTION("""COMPUTED_VALUE"""),113313)</f>
        <v>113313</v>
      </c>
      <c r="C1907" s="14">
        <f ca="1">IFERROR(__xludf.DUMMYFUNCTION("""COMPUTED_VALUE"""),7)</f>
        <v>7</v>
      </c>
      <c r="D1907" s="12" t="str">
        <f ca="1">IFERROR(__xludf.DUMMYFUNCTION("""COMPUTED_VALUE"""),"内丸 裕子")</f>
        <v>内丸 裕子</v>
      </c>
    </row>
    <row r="1908" spans="2:4" ht="13">
      <c r="B1908" s="12">
        <f ca="1">IFERROR(__xludf.DUMMYFUNCTION("""COMPUTED_VALUE"""),113314)</f>
        <v>113314</v>
      </c>
      <c r="C1908" s="14">
        <f ca="1">IFERROR(__xludf.DUMMYFUNCTION("""COMPUTED_VALUE"""),13)</f>
        <v>13</v>
      </c>
      <c r="D1908" s="12" t="str">
        <f ca="1">IFERROR(__xludf.DUMMYFUNCTION("""COMPUTED_VALUE"""),"内丸 裕子")</f>
        <v>内丸 裕子</v>
      </c>
    </row>
    <row r="1909" spans="2:4" ht="13">
      <c r="B1909" s="12">
        <f ca="1">IFERROR(__xludf.DUMMYFUNCTION("""COMPUTED_VALUE"""),113316)</f>
        <v>113316</v>
      </c>
      <c r="C1909" s="14">
        <f ca="1">IFERROR(__xludf.DUMMYFUNCTION("""COMPUTED_VALUE"""),9)</f>
        <v>9</v>
      </c>
      <c r="D1909" s="12" t="str">
        <f ca="1">IFERROR(__xludf.DUMMYFUNCTION("""COMPUTED_VALUE"""),"内丸 裕子")</f>
        <v>内丸 裕子</v>
      </c>
    </row>
    <row r="1910" spans="2:4" ht="13">
      <c r="B1910" s="12">
        <f ca="1">IFERROR(__xludf.DUMMYFUNCTION("""COMPUTED_VALUE"""),113317)</f>
        <v>113317</v>
      </c>
      <c r="C1910" s="14">
        <f ca="1">IFERROR(__xludf.DUMMYFUNCTION("""COMPUTED_VALUE"""),4)</f>
        <v>4</v>
      </c>
      <c r="D1910" s="12" t="str">
        <f ca="1">IFERROR(__xludf.DUMMYFUNCTION("""COMPUTED_VALUE"""),"内丸 裕子")</f>
        <v>内丸 裕子</v>
      </c>
    </row>
    <row r="1911" spans="2:4" ht="13">
      <c r="B1911" s="12">
        <f ca="1">IFERROR(__xludf.DUMMYFUNCTION("""COMPUTED_VALUE"""),113318)</f>
        <v>113318</v>
      </c>
      <c r="C1911" s="14">
        <f ca="1">IFERROR(__xludf.DUMMYFUNCTION("""COMPUTED_VALUE"""),2)</f>
        <v>2</v>
      </c>
      <c r="D1911" s="12" t="str">
        <f ca="1">IFERROR(__xludf.DUMMYFUNCTION("""COMPUTED_VALUE"""),"内丸 裕子")</f>
        <v>内丸 裕子</v>
      </c>
    </row>
    <row r="1912" spans="2:4" ht="13">
      <c r="B1912" s="12">
        <f ca="1">IFERROR(__xludf.DUMMYFUNCTION("""COMPUTED_VALUE"""),113319)</f>
        <v>113319</v>
      </c>
      <c r="C1912" s="14">
        <f ca="1">IFERROR(__xludf.DUMMYFUNCTION("""COMPUTED_VALUE"""),0)</f>
        <v>0</v>
      </c>
      <c r="D1912" s="12" t="str">
        <f ca="1">IFERROR(__xludf.DUMMYFUNCTION("""COMPUTED_VALUE"""),"内丸 裕子")</f>
        <v>内丸 裕子</v>
      </c>
    </row>
    <row r="1913" spans="2:4" ht="13">
      <c r="B1913" s="12">
        <f ca="1">IFERROR(__xludf.DUMMYFUNCTION("""COMPUTED_VALUE"""),113320)</f>
        <v>113320</v>
      </c>
      <c r="C1913" s="14">
        <f ca="1">IFERROR(__xludf.DUMMYFUNCTION("""COMPUTED_VALUE"""),2)</f>
        <v>2</v>
      </c>
      <c r="D1913" s="12" t="str">
        <f ca="1">IFERROR(__xludf.DUMMYFUNCTION("""COMPUTED_VALUE"""),"内丸 裕子")</f>
        <v>内丸 裕子</v>
      </c>
    </row>
    <row r="1914" spans="2:4" ht="13">
      <c r="B1914" s="12">
        <f ca="1">IFERROR(__xludf.DUMMYFUNCTION("""COMPUTED_VALUE"""),113321)</f>
        <v>113321</v>
      </c>
      <c r="C1914" s="14">
        <f ca="1">IFERROR(__xludf.DUMMYFUNCTION("""COMPUTED_VALUE"""),0)</f>
        <v>0</v>
      </c>
      <c r="D1914" s="12" t="str">
        <f ca="1">IFERROR(__xludf.DUMMYFUNCTION("""COMPUTED_VALUE"""),"内丸 裕子")</f>
        <v>内丸 裕子</v>
      </c>
    </row>
    <row r="1915" spans="2:4" ht="13">
      <c r="B1915" s="12">
        <f ca="1">IFERROR(__xludf.DUMMYFUNCTION("""COMPUTED_VALUE"""),113322)</f>
        <v>113322</v>
      </c>
      <c r="C1915" s="14">
        <f ca="1">IFERROR(__xludf.DUMMYFUNCTION("""COMPUTED_VALUE"""),2)</f>
        <v>2</v>
      </c>
      <c r="D1915" s="12" t="str">
        <f ca="1">IFERROR(__xludf.DUMMYFUNCTION("""COMPUTED_VALUE"""),"内丸 裕子")</f>
        <v>内丸 裕子</v>
      </c>
    </row>
    <row r="1916" spans="2:4" ht="13">
      <c r="B1916" s="12">
        <f ca="1">IFERROR(__xludf.DUMMYFUNCTION("""COMPUTED_VALUE"""),113323)</f>
        <v>113323</v>
      </c>
      <c r="C1916" s="14">
        <f ca="1">IFERROR(__xludf.DUMMYFUNCTION("""COMPUTED_VALUE"""),2)</f>
        <v>2</v>
      </c>
      <c r="D1916" s="12" t="str">
        <f ca="1">IFERROR(__xludf.DUMMYFUNCTION("""COMPUTED_VALUE"""),"内丸 裕子")</f>
        <v>内丸 裕子</v>
      </c>
    </row>
    <row r="1917" spans="2:4" ht="13">
      <c r="B1917" s="12">
        <f ca="1">IFERROR(__xludf.DUMMYFUNCTION("""COMPUTED_VALUE"""),113324)</f>
        <v>113324</v>
      </c>
      <c r="C1917" s="14">
        <f ca="1">IFERROR(__xludf.DUMMYFUNCTION("""COMPUTED_VALUE"""),8)</f>
        <v>8</v>
      </c>
      <c r="D1917" s="12" t="str">
        <f ca="1">IFERROR(__xludf.DUMMYFUNCTION("""COMPUTED_VALUE"""),"内丸 裕子")</f>
        <v>内丸 裕子</v>
      </c>
    </row>
    <row r="1918" spans="2:4" ht="13">
      <c r="B1918" s="12">
        <f ca="1">IFERROR(__xludf.DUMMYFUNCTION("""COMPUTED_VALUE"""),113325)</f>
        <v>113325</v>
      </c>
      <c r="C1918" s="14">
        <f ca="1">IFERROR(__xludf.DUMMYFUNCTION("""COMPUTED_VALUE"""),2)</f>
        <v>2</v>
      </c>
      <c r="D1918" s="12" t="str">
        <f ca="1">IFERROR(__xludf.DUMMYFUNCTION("""COMPUTED_VALUE"""),"内丸 裕子")</f>
        <v>内丸 裕子</v>
      </c>
    </row>
    <row r="1919" spans="2:4" ht="13">
      <c r="B1919" s="12">
        <f ca="1">IFERROR(__xludf.DUMMYFUNCTION("""COMPUTED_VALUE"""),113327)</f>
        <v>113327</v>
      </c>
      <c r="C1919" s="14">
        <f ca="1">IFERROR(__xludf.DUMMYFUNCTION("""COMPUTED_VALUE"""),0)</f>
        <v>0</v>
      </c>
      <c r="D1919" s="12" t="str">
        <f ca="1">IFERROR(__xludf.DUMMYFUNCTION("""COMPUTED_VALUE"""),"内丸 裕子")</f>
        <v>内丸 裕子</v>
      </c>
    </row>
    <row r="1920" spans="2:4" ht="13">
      <c r="B1920" s="12">
        <f ca="1">IFERROR(__xludf.DUMMYFUNCTION("""COMPUTED_VALUE"""),113328)</f>
        <v>113328</v>
      </c>
      <c r="C1920" s="14">
        <f ca="1">IFERROR(__xludf.DUMMYFUNCTION("""COMPUTED_VALUE"""),0)</f>
        <v>0</v>
      </c>
      <c r="D1920" s="12" t="str">
        <f ca="1">IFERROR(__xludf.DUMMYFUNCTION("""COMPUTED_VALUE"""),"内丸 裕子")</f>
        <v>内丸 裕子</v>
      </c>
    </row>
    <row r="1921" spans="2:4" ht="13">
      <c r="B1921" s="12">
        <f ca="1">IFERROR(__xludf.DUMMYFUNCTION("""COMPUTED_VALUE"""),113329)</f>
        <v>113329</v>
      </c>
      <c r="C1921" s="14">
        <f ca="1">IFERROR(__xludf.DUMMYFUNCTION("""COMPUTED_VALUE"""),0)</f>
        <v>0</v>
      </c>
      <c r="D1921" s="12" t="str">
        <f ca="1">IFERROR(__xludf.DUMMYFUNCTION("""COMPUTED_VALUE"""),"内丸 裕子")</f>
        <v>内丸 裕子</v>
      </c>
    </row>
    <row r="1922" spans="2:4" ht="13">
      <c r="B1922" s="12">
        <f ca="1">IFERROR(__xludf.DUMMYFUNCTION("""COMPUTED_VALUE"""),113330)</f>
        <v>113330</v>
      </c>
      <c r="C1922" s="14">
        <f ca="1">IFERROR(__xludf.DUMMYFUNCTION("""COMPUTED_VALUE"""),3)</f>
        <v>3</v>
      </c>
      <c r="D1922" s="12" t="str">
        <f ca="1">IFERROR(__xludf.DUMMYFUNCTION("""COMPUTED_VALUE"""),"内丸 裕子")</f>
        <v>内丸 裕子</v>
      </c>
    </row>
    <row r="1923" spans="2:4" ht="13">
      <c r="B1923" s="12">
        <f ca="1">IFERROR(__xludf.DUMMYFUNCTION("""COMPUTED_VALUE"""),113331)</f>
        <v>113331</v>
      </c>
      <c r="C1923" s="14">
        <f ca="1">IFERROR(__xludf.DUMMYFUNCTION("""COMPUTED_VALUE"""),1)</f>
        <v>1</v>
      </c>
      <c r="D1923" s="12" t="str">
        <f ca="1">IFERROR(__xludf.DUMMYFUNCTION("""COMPUTED_VALUE"""),"内丸 裕子")</f>
        <v>内丸 裕子</v>
      </c>
    </row>
    <row r="1924" spans="2:4" ht="13">
      <c r="B1924" s="12">
        <f ca="1">IFERROR(__xludf.DUMMYFUNCTION("""COMPUTED_VALUE"""),113332)</f>
        <v>113332</v>
      </c>
      <c r="C1924" s="14">
        <f ca="1">IFERROR(__xludf.DUMMYFUNCTION("""COMPUTED_VALUE"""),2)</f>
        <v>2</v>
      </c>
      <c r="D1924" s="12" t="str">
        <f ca="1">IFERROR(__xludf.DUMMYFUNCTION("""COMPUTED_VALUE"""),"内丸 裕子")</f>
        <v>内丸 裕子</v>
      </c>
    </row>
    <row r="1925" spans="2:4" ht="13">
      <c r="B1925" s="12">
        <f ca="1">IFERROR(__xludf.DUMMYFUNCTION("""COMPUTED_VALUE"""),113333)</f>
        <v>113333</v>
      </c>
      <c r="C1925" s="14">
        <f ca="1">IFERROR(__xludf.DUMMYFUNCTION("""COMPUTED_VALUE"""),0)</f>
        <v>0</v>
      </c>
      <c r="D1925" s="12" t="str">
        <f ca="1">IFERROR(__xludf.DUMMYFUNCTION("""COMPUTED_VALUE"""),"内丸 裕子")</f>
        <v>内丸 裕子</v>
      </c>
    </row>
    <row r="1926" spans="2:4" ht="13">
      <c r="B1926" s="12">
        <f ca="1">IFERROR(__xludf.DUMMYFUNCTION("""COMPUTED_VALUE"""),113334)</f>
        <v>113334</v>
      </c>
      <c r="C1926" s="14">
        <f ca="1">IFERROR(__xludf.DUMMYFUNCTION("""COMPUTED_VALUE"""),2)</f>
        <v>2</v>
      </c>
      <c r="D1926" s="12" t="str">
        <f ca="1">IFERROR(__xludf.DUMMYFUNCTION("""COMPUTED_VALUE"""),"内丸 裕子")</f>
        <v>内丸 裕子</v>
      </c>
    </row>
    <row r="1927" spans="2:4" ht="13">
      <c r="B1927" s="12">
        <f ca="1">IFERROR(__xludf.DUMMYFUNCTION("""COMPUTED_VALUE"""),113335)</f>
        <v>113335</v>
      </c>
      <c r="C1927" s="14">
        <f ca="1">IFERROR(__xludf.DUMMYFUNCTION("""COMPUTED_VALUE"""),0)</f>
        <v>0</v>
      </c>
      <c r="D1927" s="12" t="str">
        <f ca="1">IFERROR(__xludf.DUMMYFUNCTION("""COMPUTED_VALUE"""),"内丸 裕子")</f>
        <v>内丸 裕子</v>
      </c>
    </row>
    <row r="1928" spans="2:4" ht="13">
      <c r="B1928" s="12">
        <f ca="1">IFERROR(__xludf.DUMMYFUNCTION("""COMPUTED_VALUE"""),113336)</f>
        <v>113336</v>
      </c>
      <c r="C1928" s="14">
        <f ca="1">IFERROR(__xludf.DUMMYFUNCTION("""COMPUTED_VALUE"""),0)</f>
        <v>0</v>
      </c>
      <c r="D1928" s="12" t="str">
        <f ca="1">IFERROR(__xludf.DUMMYFUNCTION("""COMPUTED_VALUE"""),"内丸 裕子")</f>
        <v>内丸 裕子</v>
      </c>
    </row>
    <row r="1929" spans="2:4" ht="13">
      <c r="B1929" s="12">
        <f ca="1">IFERROR(__xludf.DUMMYFUNCTION("""COMPUTED_VALUE"""),113341)</f>
        <v>113341</v>
      </c>
      <c r="C1929" s="14">
        <f ca="1">IFERROR(__xludf.DUMMYFUNCTION("""COMPUTED_VALUE"""),14)</f>
        <v>14</v>
      </c>
      <c r="D1929" s="12" t="str">
        <f ca="1">IFERROR(__xludf.DUMMYFUNCTION("""COMPUTED_VALUE"""),"小関 麻起")</f>
        <v>小関 麻起</v>
      </c>
    </row>
    <row r="1930" spans="2:4" ht="13">
      <c r="B1930" s="12">
        <f ca="1">IFERROR(__xludf.DUMMYFUNCTION("""COMPUTED_VALUE"""),113366)</f>
        <v>113366</v>
      </c>
      <c r="C1930" s="14">
        <f ca="1">IFERROR(__xludf.DUMMYFUNCTION("""COMPUTED_VALUE"""),205)</f>
        <v>205</v>
      </c>
      <c r="D1930" s="12" t="str">
        <f ca="1">IFERROR(__xludf.DUMMYFUNCTION("""COMPUTED_VALUE"""),"桐山 勝気")</f>
        <v>桐山 勝気</v>
      </c>
    </row>
    <row r="1931" spans="2:4" ht="13">
      <c r="B1931" s="12">
        <f ca="1">IFERROR(__xludf.DUMMYFUNCTION("""COMPUTED_VALUE"""),113369)</f>
        <v>113369</v>
      </c>
      <c r="C1931" s="14">
        <f ca="1">IFERROR(__xludf.DUMMYFUNCTION("""COMPUTED_VALUE"""),0)</f>
        <v>0</v>
      </c>
      <c r="D1931" s="12" t="str">
        <f ca="1">IFERROR(__xludf.DUMMYFUNCTION("""COMPUTED_VALUE"""),"辻村 将大")</f>
        <v>辻村 将大</v>
      </c>
    </row>
    <row r="1932" spans="2:4" ht="13">
      <c r="B1932" s="12">
        <f ca="1">IFERROR(__xludf.DUMMYFUNCTION("""COMPUTED_VALUE"""),113389)</f>
        <v>113389</v>
      </c>
      <c r="C1932" s="14">
        <f ca="1">IFERROR(__xludf.DUMMYFUNCTION("""COMPUTED_VALUE"""),14)</f>
        <v>14</v>
      </c>
      <c r="D1932" s="12" t="str">
        <f ca="1">IFERROR(__xludf.DUMMYFUNCTION("""COMPUTED_VALUE"""),"老田 純輝")</f>
        <v>老田 純輝</v>
      </c>
    </row>
    <row r="1933" spans="2:4" ht="13">
      <c r="B1933" s="12">
        <f ca="1">IFERROR(__xludf.DUMMYFUNCTION("""COMPUTED_VALUE"""),113393)</f>
        <v>113393</v>
      </c>
      <c r="C1933" s="14">
        <f ca="1">IFERROR(__xludf.DUMMYFUNCTION("""COMPUTED_VALUE"""),0)</f>
        <v>0</v>
      </c>
      <c r="D1933" s="12" t="str">
        <f ca="1">IFERROR(__xludf.DUMMYFUNCTION("""COMPUTED_VALUE"""),"老田 純輝")</f>
        <v>老田 純輝</v>
      </c>
    </row>
    <row r="1934" spans="2:4" ht="13">
      <c r="B1934" s="12">
        <f ca="1">IFERROR(__xludf.DUMMYFUNCTION("""COMPUTED_VALUE"""),113397)</f>
        <v>113397</v>
      </c>
      <c r="C1934" s="14">
        <f ca="1">IFERROR(__xludf.DUMMYFUNCTION("""COMPUTED_VALUE"""),32)</f>
        <v>32</v>
      </c>
      <c r="D1934" s="12" t="str">
        <f ca="1">IFERROR(__xludf.DUMMYFUNCTION("""COMPUTED_VALUE"""),"菅野 ぎんが")</f>
        <v>菅野 ぎんが</v>
      </c>
    </row>
    <row r="1935" spans="2:4" ht="13">
      <c r="B1935" s="12">
        <f ca="1">IFERROR(__xludf.DUMMYFUNCTION("""COMPUTED_VALUE"""),113414)</f>
        <v>113414</v>
      </c>
      <c r="C1935" s="14">
        <f ca="1">IFERROR(__xludf.DUMMYFUNCTION("""COMPUTED_VALUE"""),0)</f>
        <v>0</v>
      </c>
      <c r="D1935" s="12" t="str">
        <f ca="1">IFERROR(__xludf.DUMMYFUNCTION("""COMPUTED_VALUE"""),"老田 純輝")</f>
        <v>老田 純輝</v>
      </c>
    </row>
    <row r="1936" spans="2:4" ht="13">
      <c r="B1936" s="12">
        <f ca="1">IFERROR(__xludf.DUMMYFUNCTION("""COMPUTED_VALUE"""),113415)</f>
        <v>113415</v>
      </c>
      <c r="C1936" s="14">
        <f ca="1">IFERROR(__xludf.DUMMYFUNCTION("""COMPUTED_VALUE"""),6)</f>
        <v>6</v>
      </c>
      <c r="D1936" s="12" t="str">
        <f ca="1">IFERROR(__xludf.DUMMYFUNCTION("""COMPUTED_VALUE"""),"老田 純輝")</f>
        <v>老田 純輝</v>
      </c>
    </row>
    <row r="1937" spans="2:4" ht="13">
      <c r="B1937" s="12">
        <f ca="1">IFERROR(__xludf.DUMMYFUNCTION("""COMPUTED_VALUE"""),113433)</f>
        <v>113433</v>
      </c>
      <c r="C1937" s="14">
        <f ca="1">IFERROR(__xludf.DUMMYFUNCTION("""COMPUTED_VALUE"""),0)</f>
        <v>0</v>
      </c>
      <c r="D1937" s="12" t="str">
        <f ca="1">IFERROR(__xludf.DUMMYFUNCTION("""COMPUTED_VALUE"""),"森 光智")</f>
        <v>森 光智</v>
      </c>
    </row>
    <row r="1938" spans="2:4" ht="13">
      <c r="B1938" s="12">
        <f ca="1">IFERROR(__xludf.DUMMYFUNCTION("""COMPUTED_VALUE"""),113444)</f>
        <v>113444</v>
      </c>
      <c r="C1938" s="14">
        <f ca="1">IFERROR(__xludf.DUMMYFUNCTION("""COMPUTED_VALUE"""),3)</f>
        <v>3</v>
      </c>
      <c r="D1938" s="12" t="str">
        <f ca="1">IFERROR(__xludf.DUMMYFUNCTION("""COMPUTED_VALUE"""),"田嶋 将太")</f>
        <v>田嶋 将太</v>
      </c>
    </row>
    <row r="1939" spans="2:4" ht="13">
      <c r="B1939" s="12">
        <f ca="1">IFERROR(__xludf.DUMMYFUNCTION("""COMPUTED_VALUE"""),113451)</f>
        <v>113451</v>
      </c>
      <c r="C1939" s="14">
        <f ca="1">IFERROR(__xludf.DUMMYFUNCTION("""COMPUTED_VALUE"""),0)</f>
        <v>0</v>
      </c>
      <c r="D1939" s="12" t="str">
        <f ca="1">IFERROR(__xludf.DUMMYFUNCTION("""COMPUTED_VALUE"""),"奥野 貴大")</f>
        <v>奥野 貴大</v>
      </c>
    </row>
    <row r="1940" spans="2:4" ht="13">
      <c r="B1940" s="12">
        <f ca="1">IFERROR(__xludf.DUMMYFUNCTION("""COMPUTED_VALUE"""),113452)</f>
        <v>113452</v>
      </c>
      <c r="C1940" s="14">
        <f ca="1">IFERROR(__xludf.DUMMYFUNCTION("""COMPUTED_VALUE"""),0)</f>
        <v>0</v>
      </c>
      <c r="D1940" s="12" t="str">
        <f ca="1">IFERROR(__xludf.DUMMYFUNCTION("""COMPUTED_VALUE"""),"老田 純輝")</f>
        <v>老田 純輝</v>
      </c>
    </row>
    <row r="1941" spans="2:4" ht="13">
      <c r="B1941" s="12">
        <f ca="1">IFERROR(__xludf.DUMMYFUNCTION("""COMPUTED_VALUE"""),113468)</f>
        <v>113468</v>
      </c>
      <c r="C1941" s="14">
        <f ca="1">IFERROR(__xludf.DUMMYFUNCTION("""COMPUTED_VALUE"""),0)</f>
        <v>0</v>
      </c>
      <c r="D1941" s="12" t="str">
        <f ca="1">IFERROR(__xludf.DUMMYFUNCTION("""COMPUTED_VALUE"""),"川島 幹也")</f>
        <v>川島 幹也</v>
      </c>
    </row>
    <row r="1942" spans="2:4" ht="13">
      <c r="B1942" s="12">
        <f ca="1">IFERROR(__xludf.DUMMYFUNCTION("""COMPUTED_VALUE"""),113470)</f>
        <v>113470</v>
      </c>
      <c r="C1942" s="14">
        <f ca="1">IFERROR(__xludf.DUMMYFUNCTION("""COMPUTED_VALUE"""),138)</f>
        <v>138</v>
      </c>
      <c r="D1942" s="12" t="str">
        <f ca="1">IFERROR(__xludf.DUMMYFUNCTION("""COMPUTED_VALUE"""),"成嶋 夏未")</f>
        <v>成嶋 夏未</v>
      </c>
    </row>
    <row r="1943" spans="2:4" ht="13">
      <c r="B1943" s="12">
        <f ca="1">IFERROR(__xludf.DUMMYFUNCTION("""COMPUTED_VALUE"""),113488)</f>
        <v>113488</v>
      </c>
      <c r="C1943" s="14">
        <f ca="1">IFERROR(__xludf.DUMMYFUNCTION("""COMPUTED_VALUE"""),0)</f>
        <v>0</v>
      </c>
      <c r="D1943" s="12" t="str">
        <f ca="1">IFERROR(__xludf.DUMMYFUNCTION("""COMPUTED_VALUE"""),"老田 純輝")</f>
        <v>老田 純輝</v>
      </c>
    </row>
    <row r="1944" spans="2:4" ht="13">
      <c r="B1944" s="12">
        <f ca="1">IFERROR(__xludf.DUMMYFUNCTION("""COMPUTED_VALUE"""),113491)</f>
        <v>113491</v>
      </c>
      <c r="C1944" s="14">
        <f ca="1">IFERROR(__xludf.DUMMYFUNCTION("""COMPUTED_VALUE"""),57)</f>
        <v>57</v>
      </c>
      <c r="D1944" s="12" t="str">
        <f ca="1">IFERROR(__xludf.DUMMYFUNCTION("""COMPUTED_VALUE"""),"柿崎 晃司")</f>
        <v>柿崎 晃司</v>
      </c>
    </row>
    <row r="1945" spans="2:4" ht="13">
      <c r="B1945" s="12">
        <f ca="1">IFERROR(__xludf.DUMMYFUNCTION("""COMPUTED_VALUE"""),113517)</f>
        <v>113517</v>
      </c>
      <c r="C1945" s="14">
        <f ca="1">IFERROR(__xludf.DUMMYFUNCTION("""COMPUTED_VALUE"""),0)</f>
        <v>0</v>
      </c>
      <c r="D1945" s="12" t="str">
        <f ca="1">IFERROR(__xludf.DUMMYFUNCTION("""COMPUTED_VALUE"""),"長谷川 陸朗")</f>
        <v>長谷川 陸朗</v>
      </c>
    </row>
    <row r="1946" spans="2:4" ht="13">
      <c r="B1946" s="12">
        <f ca="1">IFERROR(__xludf.DUMMYFUNCTION("""COMPUTED_VALUE"""),113526)</f>
        <v>113526</v>
      </c>
      <c r="C1946" s="14">
        <f ca="1">IFERROR(__xludf.DUMMYFUNCTION("""COMPUTED_VALUE"""),13)</f>
        <v>13</v>
      </c>
      <c r="D1946" s="12" t="str">
        <f ca="1">IFERROR(__xludf.DUMMYFUNCTION("""COMPUTED_VALUE"""),"松尾 尚樹")</f>
        <v>松尾 尚樹</v>
      </c>
    </row>
    <row r="1947" spans="2:4" ht="13">
      <c r="B1947" s="12">
        <f ca="1">IFERROR(__xludf.DUMMYFUNCTION("""COMPUTED_VALUE"""),113540)</f>
        <v>113540</v>
      </c>
      <c r="C1947" s="14">
        <f ca="1">IFERROR(__xludf.DUMMYFUNCTION("""COMPUTED_VALUE"""),0)</f>
        <v>0</v>
      </c>
      <c r="D1947" s="12" t="str">
        <f ca="1">IFERROR(__xludf.DUMMYFUNCTION("""COMPUTED_VALUE"""),"老田 純輝")</f>
        <v>老田 純輝</v>
      </c>
    </row>
    <row r="1948" spans="2:4" ht="13">
      <c r="B1948" s="12">
        <f ca="1">IFERROR(__xludf.DUMMYFUNCTION("""COMPUTED_VALUE"""),113547)</f>
        <v>113547</v>
      </c>
      <c r="C1948" s="14">
        <f ca="1">IFERROR(__xludf.DUMMYFUNCTION("""COMPUTED_VALUE"""),0)</f>
        <v>0</v>
      </c>
      <c r="D1948" s="12" t="str">
        <f ca="1">IFERROR(__xludf.DUMMYFUNCTION("""COMPUTED_VALUE"""),"稲場 勇介")</f>
        <v>稲場 勇介</v>
      </c>
    </row>
    <row r="1949" spans="2:4" ht="13">
      <c r="B1949" s="12">
        <f ca="1">IFERROR(__xludf.DUMMYFUNCTION("""COMPUTED_VALUE"""),113553)</f>
        <v>113553</v>
      </c>
      <c r="C1949" s="14">
        <f ca="1">IFERROR(__xludf.DUMMYFUNCTION("""COMPUTED_VALUE"""),2)</f>
        <v>2</v>
      </c>
      <c r="D1949" s="12" t="str">
        <f ca="1">IFERROR(__xludf.DUMMYFUNCTION("""COMPUTED_VALUE"""),"菅野 ぎんが")</f>
        <v>菅野 ぎんが</v>
      </c>
    </row>
    <row r="1950" spans="2:4" ht="13">
      <c r="B1950" s="12">
        <f ca="1">IFERROR(__xludf.DUMMYFUNCTION("""COMPUTED_VALUE"""),113559)</f>
        <v>113559</v>
      </c>
      <c r="C1950" s="14">
        <f ca="1">IFERROR(__xludf.DUMMYFUNCTION("""COMPUTED_VALUE"""),3)</f>
        <v>3</v>
      </c>
      <c r="D1950" s="12" t="str">
        <f ca="1">IFERROR(__xludf.DUMMYFUNCTION("""COMPUTED_VALUE"""),"内丸 裕子")</f>
        <v>内丸 裕子</v>
      </c>
    </row>
    <row r="1951" spans="2:4" ht="13">
      <c r="B1951" s="12">
        <f ca="1">IFERROR(__xludf.DUMMYFUNCTION("""COMPUTED_VALUE"""),113560)</f>
        <v>113560</v>
      </c>
      <c r="C1951" s="14">
        <f ca="1">IFERROR(__xludf.DUMMYFUNCTION("""COMPUTED_VALUE"""),2)</f>
        <v>2</v>
      </c>
      <c r="D1951" s="12" t="str">
        <f ca="1">IFERROR(__xludf.DUMMYFUNCTION("""COMPUTED_VALUE"""),"内丸 裕子")</f>
        <v>内丸 裕子</v>
      </c>
    </row>
    <row r="1952" spans="2:4" ht="13">
      <c r="B1952" s="12">
        <f ca="1">IFERROR(__xludf.DUMMYFUNCTION("""COMPUTED_VALUE"""),113565)</f>
        <v>113565</v>
      </c>
      <c r="C1952" s="14">
        <f ca="1">IFERROR(__xludf.DUMMYFUNCTION("""COMPUTED_VALUE"""),0)</f>
        <v>0</v>
      </c>
      <c r="D1952" s="12" t="str">
        <f ca="1">IFERROR(__xludf.DUMMYFUNCTION("""COMPUTED_VALUE"""),"荻曽 克輝")</f>
        <v>荻曽 克輝</v>
      </c>
    </row>
    <row r="1953" spans="2:4" ht="13">
      <c r="B1953" s="12">
        <f ca="1">IFERROR(__xludf.DUMMYFUNCTION("""COMPUTED_VALUE"""),113596)</f>
        <v>113596</v>
      </c>
      <c r="C1953" s="14">
        <f ca="1">IFERROR(__xludf.DUMMYFUNCTION("""COMPUTED_VALUE"""),3)</f>
        <v>3</v>
      </c>
      <c r="D1953" s="12" t="str">
        <f ca="1">IFERROR(__xludf.DUMMYFUNCTION("""COMPUTED_VALUE"""),"松尾 尚樹")</f>
        <v>松尾 尚樹</v>
      </c>
    </row>
    <row r="1954" spans="2:4" ht="13">
      <c r="B1954" s="12">
        <f ca="1">IFERROR(__xludf.DUMMYFUNCTION("""COMPUTED_VALUE"""),113601)</f>
        <v>113601</v>
      </c>
      <c r="C1954" s="14">
        <f ca="1">IFERROR(__xludf.DUMMYFUNCTION("""COMPUTED_VALUE"""),3)</f>
        <v>3</v>
      </c>
      <c r="D1954" s="12" t="str">
        <f ca="1">IFERROR(__xludf.DUMMYFUNCTION("""COMPUTED_VALUE"""),"老田 純輝")</f>
        <v>老田 純輝</v>
      </c>
    </row>
    <row r="1955" spans="2:4" ht="13">
      <c r="B1955" s="12">
        <f ca="1">IFERROR(__xludf.DUMMYFUNCTION("""COMPUTED_VALUE"""),113625)</f>
        <v>113625</v>
      </c>
      <c r="C1955" s="14">
        <f ca="1">IFERROR(__xludf.DUMMYFUNCTION("""COMPUTED_VALUE"""),0)</f>
        <v>0</v>
      </c>
      <c r="D1955" s="12" t="str">
        <f ca="1">IFERROR(__xludf.DUMMYFUNCTION("""COMPUTED_VALUE"""),"辻村 将大")</f>
        <v>辻村 将大</v>
      </c>
    </row>
    <row r="1956" spans="2:4" ht="13">
      <c r="B1956" s="12">
        <f ca="1">IFERROR(__xludf.DUMMYFUNCTION("""COMPUTED_VALUE"""),113626)</f>
        <v>113626</v>
      </c>
      <c r="C1956" s="14">
        <f ca="1">IFERROR(__xludf.DUMMYFUNCTION("""COMPUTED_VALUE"""),169)</f>
        <v>169</v>
      </c>
      <c r="D1956" s="12" t="str">
        <f ca="1">IFERROR(__xludf.DUMMYFUNCTION("""COMPUTED_VALUE"""),"辻村 将大")</f>
        <v>辻村 将大</v>
      </c>
    </row>
    <row r="1957" spans="2:4" ht="13">
      <c r="B1957" s="12">
        <f ca="1">IFERROR(__xludf.DUMMYFUNCTION("""COMPUTED_VALUE"""),113627)</f>
        <v>113627</v>
      </c>
      <c r="C1957" s="14">
        <f ca="1">IFERROR(__xludf.DUMMYFUNCTION("""COMPUTED_VALUE"""),153)</f>
        <v>153</v>
      </c>
      <c r="D1957" s="12" t="str">
        <f ca="1">IFERROR(__xludf.DUMMYFUNCTION("""COMPUTED_VALUE"""),"辻村 将大")</f>
        <v>辻村 将大</v>
      </c>
    </row>
    <row r="1958" spans="2:4" ht="13">
      <c r="B1958" s="12">
        <f ca="1">IFERROR(__xludf.DUMMYFUNCTION("""COMPUTED_VALUE"""),113628)</f>
        <v>113628</v>
      </c>
      <c r="C1958" s="14">
        <f ca="1">IFERROR(__xludf.DUMMYFUNCTION("""COMPUTED_VALUE"""),0)</f>
        <v>0</v>
      </c>
      <c r="D1958" s="12" t="str">
        <f ca="1">IFERROR(__xludf.DUMMYFUNCTION("""COMPUTED_VALUE"""),"辻村 将大")</f>
        <v>辻村 将大</v>
      </c>
    </row>
    <row r="1959" spans="2:4" ht="13">
      <c r="B1959" s="12">
        <f ca="1">IFERROR(__xludf.DUMMYFUNCTION("""COMPUTED_VALUE"""),113650)</f>
        <v>113650</v>
      </c>
      <c r="C1959" s="14">
        <f ca="1">IFERROR(__xludf.DUMMYFUNCTION("""COMPUTED_VALUE"""),0)</f>
        <v>0</v>
      </c>
      <c r="D1959" s="12" t="str">
        <f ca="1">IFERROR(__xludf.DUMMYFUNCTION("""COMPUTED_VALUE"""),"村上 浩一朗")</f>
        <v>村上 浩一朗</v>
      </c>
    </row>
    <row r="1960" spans="2:4" ht="13">
      <c r="B1960" s="12">
        <f ca="1">IFERROR(__xludf.DUMMYFUNCTION("""COMPUTED_VALUE"""),113651)</f>
        <v>113651</v>
      </c>
      <c r="C1960" s="14">
        <f ca="1">IFERROR(__xludf.DUMMYFUNCTION("""COMPUTED_VALUE"""),0)</f>
        <v>0</v>
      </c>
      <c r="D1960" s="12" t="str">
        <f ca="1">IFERROR(__xludf.DUMMYFUNCTION("""COMPUTED_VALUE"""),"松尾 尚樹")</f>
        <v>松尾 尚樹</v>
      </c>
    </row>
    <row r="1961" spans="2:4" ht="13">
      <c r="B1961" s="12">
        <f ca="1">IFERROR(__xludf.DUMMYFUNCTION("""COMPUTED_VALUE"""),113658)</f>
        <v>113658</v>
      </c>
      <c r="C1961" s="14">
        <f ca="1">IFERROR(__xludf.DUMMYFUNCTION("""COMPUTED_VALUE"""),0)</f>
        <v>0</v>
      </c>
      <c r="D1961" s="12" t="str">
        <f ca="1">IFERROR(__xludf.DUMMYFUNCTION("""COMPUTED_VALUE"""),"菅野 ぎんが")</f>
        <v>菅野 ぎんが</v>
      </c>
    </row>
    <row r="1962" spans="2:4" ht="13">
      <c r="B1962" s="12">
        <f ca="1">IFERROR(__xludf.DUMMYFUNCTION("""COMPUTED_VALUE"""),113670)</f>
        <v>113670</v>
      </c>
      <c r="C1962" s="14">
        <f ca="1">IFERROR(__xludf.DUMMYFUNCTION("""COMPUTED_VALUE"""),0)</f>
        <v>0</v>
      </c>
      <c r="D1962" s="12" t="str">
        <f ca="1">IFERROR(__xludf.DUMMYFUNCTION("""COMPUTED_VALUE"""),"成嶋 夏未")</f>
        <v>成嶋 夏未</v>
      </c>
    </row>
    <row r="1963" spans="2:4" ht="13">
      <c r="B1963" s="12">
        <f ca="1">IFERROR(__xludf.DUMMYFUNCTION("""COMPUTED_VALUE"""),113678)</f>
        <v>113678</v>
      </c>
      <c r="C1963" s="14">
        <f ca="1">IFERROR(__xludf.DUMMYFUNCTION("""COMPUTED_VALUE"""),7)</f>
        <v>7</v>
      </c>
      <c r="D1963" s="12" t="str">
        <f ca="1">IFERROR(__xludf.DUMMYFUNCTION("""COMPUTED_VALUE"""),"老田 純輝")</f>
        <v>老田 純輝</v>
      </c>
    </row>
    <row r="1964" spans="2:4" ht="13">
      <c r="B1964" s="12">
        <f ca="1">IFERROR(__xludf.DUMMYFUNCTION("""COMPUTED_VALUE"""),113680)</f>
        <v>113680</v>
      </c>
      <c r="C1964" s="14">
        <f ca="1">IFERROR(__xludf.DUMMYFUNCTION("""COMPUTED_VALUE"""),0)</f>
        <v>0</v>
      </c>
      <c r="D1964" s="12" t="str">
        <f ca="1">IFERROR(__xludf.DUMMYFUNCTION("""COMPUTED_VALUE"""),"松尾 尚樹")</f>
        <v>松尾 尚樹</v>
      </c>
    </row>
    <row r="1965" spans="2:4" ht="13">
      <c r="B1965" s="12">
        <f ca="1">IFERROR(__xludf.DUMMYFUNCTION("""COMPUTED_VALUE"""),113689)</f>
        <v>113689</v>
      </c>
      <c r="C1965" s="14">
        <f ca="1">IFERROR(__xludf.DUMMYFUNCTION("""COMPUTED_VALUE"""),16)</f>
        <v>16</v>
      </c>
      <c r="D1965" s="12" t="str">
        <f ca="1">IFERROR(__xludf.DUMMYFUNCTION("""COMPUTED_VALUE"""),"内丸 裕子")</f>
        <v>内丸 裕子</v>
      </c>
    </row>
    <row r="1966" spans="2:4" ht="13">
      <c r="B1966" s="12">
        <f ca="1">IFERROR(__xludf.DUMMYFUNCTION("""COMPUTED_VALUE"""),113690)</f>
        <v>113690</v>
      </c>
      <c r="C1966" s="14">
        <f ca="1">IFERROR(__xludf.DUMMYFUNCTION("""COMPUTED_VALUE"""),0)</f>
        <v>0</v>
      </c>
      <c r="D1966" s="12" t="str">
        <f ca="1">IFERROR(__xludf.DUMMYFUNCTION("""COMPUTED_VALUE"""),"松尾 尚樹")</f>
        <v>松尾 尚樹</v>
      </c>
    </row>
    <row r="1967" spans="2:4" ht="13">
      <c r="B1967" s="12">
        <f ca="1">IFERROR(__xludf.DUMMYFUNCTION("""COMPUTED_VALUE"""),113691)</f>
        <v>113691</v>
      </c>
      <c r="C1967" s="14">
        <f ca="1">IFERROR(__xludf.DUMMYFUNCTION("""COMPUTED_VALUE"""),1)</f>
        <v>1</v>
      </c>
      <c r="D1967" s="12" t="str">
        <f ca="1">IFERROR(__xludf.DUMMYFUNCTION("""COMPUTED_VALUE"""),"菅野 ぎんが")</f>
        <v>菅野 ぎんが</v>
      </c>
    </row>
    <row r="1968" spans="2:4" ht="13">
      <c r="B1968" s="12">
        <f ca="1">IFERROR(__xludf.DUMMYFUNCTION("""COMPUTED_VALUE"""),113694)</f>
        <v>113694</v>
      </c>
      <c r="C1968" s="14">
        <f ca="1">IFERROR(__xludf.DUMMYFUNCTION("""COMPUTED_VALUE"""),2)</f>
        <v>2</v>
      </c>
      <c r="D1968" s="12" t="str">
        <f ca="1">IFERROR(__xludf.DUMMYFUNCTION("""COMPUTED_VALUE"""),"老田 純輝")</f>
        <v>老田 純輝</v>
      </c>
    </row>
    <row r="1969" spans="2:4" ht="13">
      <c r="B1969" s="12">
        <f ca="1">IFERROR(__xludf.DUMMYFUNCTION("""COMPUTED_VALUE"""),113706)</f>
        <v>113706</v>
      </c>
      <c r="C1969" s="14">
        <f ca="1">IFERROR(__xludf.DUMMYFUNCTION("""COMPUTED_VALUE"""),8)</f>
        <v>8</v>
      </c>
      <c r="D1969" s="12" t="str">
        <f ca="1">IFERROR(__xludf.DUMMYFUNCTION("""COMPUTED_VALUE"""),"松尾 尚樹")</f>
        <v>松尾 尚樹</v>
      </c>
    </row>
    <row r="1970" spans="2:4" ht="13">
      <c r="B1970" s="12">
        <f ca="1">IFERROR(__xludf.DUMMYFUNCTION("""COMPUTED_VALUE"""),113707)</f>
        <v>113707</v>
      </c>
      <c r="C1970" s="14">
        <f ca="1">IFERROR(__xludf.DUMMYFUNCTION("""COMPUTED_VALUE"""),0)</f>
        <v>0</v>
      </c>
      <c r="D1970" s="12" t="str">
        <f ca="1">IFERROR(__xludf.DUMMYFUNCTION("""COMPUTED_VALUE"""),"松尾 尚樹")</f>
        <v>松尾 尚樹</v>
      </c>
    </row>
    <row r="1971" spans="2:4" ht="13">
      <c r="B1971" s="12">
        <f ca="1">IFERROR(__xludf.DUMMYFUNCTION("""COMPUTED_VALUE"""),113709)</f>
        <v>113709</v>
      </c>
      <c r="C1971" s="14">
        <f ca="1">IFERROR(__xludf.DUMMYFUNCTION("""COMPUTED_VALUE"""),6)</f>
        <v>6</v>
      </c>
      <c r="D1971" s="12" t="str">
        <f ca="1">IFERROR(__xludf.DUMMYFUNCTION("""COMPUTED_VALUE"""),"桑原 明子")</f>
        <v>桑原 明子</v>
      </c>
    </row>
    <row r="1972" spans="2:4" ht="13">
      <c r="B1972" s="12">
        <f ca="1">IFERROR(__xludf.DUMMYFUNCTION("""COMPUTED_VALUE"""),113727)</f>
        <v>113727</v>
      </c>
      <c r="C1972" s="14">
        <f ca="1">IFERROR(__xludf.DUMMYFUNCTION("""COMPUTED_VALUE"""),0)</f>
        <v>0</v>
      </c>
      <c r="D1972" s="12" t="str">
        <f ca="1">IFERROR(__xludf.DUMMYFUNCTION("""COMPUTED_VALUE"""),"桑原 明子")</f>
        <v>桑原 明子</v>
      </c>
    </row>
    <row r="1973" spans="2:4" ht="13">
      <c r="B1973" s="12">
        <f ca="1">IFERROR(__xludf.DUMMYFUNCTION("""COMPUTED_VALUE"""),113742)</f>
        <v>113742</v>
      </c>
      <c r="C1973" s="14">
        <f ca="1">IFERROR(__xludf.DUMMYFUNCTION("""COMPUTED_VALUE"""),8)</f>
        <v>8</v>
      </c>
      <c r="D1973" s="12" t="str">
        <f ca="1">IFERROR(__xludf.DUMMYFUNCTION("""COMPUTED_VALUE"""),"田嶋 将太")</f>
        <v>田嶋 将太</v>
      </c>
    </row>
    <row r="1974" spans="2:4" ht="13">
      <c r="B1974" s="12">
        <f ca="1">IFERROR(__xludf.DUMMYFUNCTION("""COMPUTED_VALUE"""),113743)</f>
        <v>113743</v>
      </c>
      <c r="C1974" s="14">
        <f ca="1">IFERROR(__xludf.DUMMYFUNCTION("""COMPUTED_VALUE"""),0)</f>
        <v>0</v>
      </c>
      <c r="D1974" s="12" t="str">
        <f ca="1">IFERROR(__xludf.DUMMYFUNCTION("""COMPUTED_VALUE"""),"村上 浩一朗")</f>
        <v>村上 浩一朗</v>
      </c>
    </row>
    <row r="1975" spans="2:4" ht="13">
      <c r="B1975" s="12">
        <f ca="1">IFERROR(__xludf.DUMMYFUNCTION("""COMPUTED_VALUE"""),113749)</f>
        <v>113749</v>
      </c>
      <c r="C1975" s="14">
        <f ca="1">IFERROR(__xludf.DUMMYFUNCTION("""COMPUTED_VALUE"""),24)</f>
        <v>24</v>
      </c>
      <c r="D1975" s="12" t="str">
        <f ca="1">IFERROR(__xludf.DUMMYFUNCTION("""COMPUTED_VALUE"""),"老田 純輝")</f>
        <v>老田 純輝</v>
      </c>
    </row>
    <row r="1976" spans="2:4" ht="13">
      <c r="B1976" s="12">
        <f ca="1">IFERROR(__xludf.DUMMYFUNCTION("""COMPUTED_VALUE"""),113750)</f>
        <v>113750</v>
      </c>
      <c r="C1976" s="14">
        <f ca="1">IFERROR(__xludf.DUMMYFUNCTION("""COMPUTED_VALUE"""),15)</f>
        <v>15</v>
      </c>
      <c r="D1976" s="12" t="str">
        <f ca="1">IFERROR(__xludf.DUMMYFUNCTION("""COMPUTED_VALUE"""),"老田 純輝")</f>
        <v>老田 純輝</v>
      </c>
    </row>
    <row r="1977" spans="2:4" ht="13">
      <c r="B1977" s="12">
        <f ca="1">IFERROR(__xludf.DUMMYFUNCTION("""COMPUTED_VALUE"""),113761)</f>
        <v>113761</v>
      </c>
      <c r="C1977" s="14">
        <f ca="1">IFERROR(__xludf.DUMMYFUNCTION("""COMPUTED_VALUE"""),0)</f>
        <v>0</v>
      </c>
      <c r="D1977" s="12" t="str">
        <f ca="1">IFERROR(__xludf.DUMMYFUNCTION("""COMPUTED_VALUE"""),"稲場 勇介")</f>
        <v>稲場 勇介</v>
      </c>
    </row>
    <row r="1978" spans="2:4" ht="13">
      <c r="B1978" s="12">
        <f ca="1">IFERROR(__xludf.DUMMYFUNCTION("""COMPUTED_VALUE"""),113763)</f>
        <v>113763</v>
      </c>
      <c r="C1978" s="14">
        <f ca="1">IFERROR(__xludf.DUMMYFUNCTION("""COMPUTED_VALUE"""),0)</f>
        <v>0</v>
      </c>
      <c r="D1978" s="12" t="str">
        <f ca="1">IFERROR(__xludf.DUMMYFUNCTION("""COMPUTED_VALUE"""),"菅野 ぎんが")</f>
        <v>菅野 ぎんが</v>
      </c>
    </row>
    <row r="1979" spans="2:4" ht="13">
      <c r="B1979" s="12">
        <f ca="1">IFERROR(__xludf.DUMMYFUNCTION("""COMPUTED_VALUE"""),113777)</f>
        <v>113777</v>
      </c>
      <c r="C1979" s="14">
        <f ca="1">IFERROR(__xludf.DUMMYFUNCTION("""COMPUTED_VALUE"""),9)</f>
        <v>9</v>
      </c>
      <c r="D1979" s="12" t="str">
        <f ca="1">IFERROR(__xludf.DUMMYFUNCTION("""COMPUTED_VALUE"""),"桑原 明子")</f>
        <v>桑原 明子</v>
      </c>
    </row>
    <row r="1980" spans="2:4" ht="13">
      <c r="B1980" s="12">
        <f ca="1">IFERROR(__xludf.DUMMYFUNCTION("""COMPUTED_VALUE"""),113784)</f>
        <v>113784</v>
      </c>
      <c r="C1980" s="14">
        <f ca="1">IFERROR(__xludf.DUMMYFUNCTION("""COMPUTED_VALUE"""),0)</f>
        <v>0</v>
      </c>
      <c r="D1980" s="12" t="str">
        <f ca="1">IFERROR(__xludf.DUMMYFUNCTION("""COMPUTED_VALUE"""),"大木 優香")</f>
        <v>大木 優香</v>
      </c>
    </row>
    <row r="1981" spans="2:4" ht="13">
      <c r="B1981" s="12">
        <f ca="1">IFERROR(__xludf.DUMMYFUNCTION("""COMPUTED_VALUE"""),113787)</f>
        <v>113787</v>
      </c>
      <c r="C1981" s="14">
        <f ca="1">IFERROR(__xludf.DUMMYFUNCTION("""COMPUTED_VALUE"""),2)</f>
        <v>2</v>
      </c>
      <c r="D1981" s="12" t="str">
        <f ca="1">IFERROR(__xludf.DUMMYFUNCTION("""COMPUTED_VALUE"""),"菅野 ぎんが")</f>
        <v>菅野 ぎんが</v>
      </c>
    </row>
    <row r="1982" spans="2:4" ht="13">
      <c r="B1982" s="12">
        <f ca="1">IFERROR(__xludf.DUMMYFUNCTION("""COMPUTED_VALUE"""),113789)</f>
        <v>113789</v>
      </c>
      <c r="C1982" s="14">
        <f ca="1">IFERROR(__xludf.DUMMYFUNCTION("""COMPUTED_VALUE"""),0)</f>
        <v>0</v>
      </c>
      <c r="D1982" s="12" t="str">
        <f ca="1">IFERROR(__xludf.DUMMYFUNCTION("""COMPUTED_VALUE"""),"松尾 尚樹")</f>
        <v>松尾 尚樹</v>
      </c>
    </row>
    <row r="1983" spans="2:4" ht="13">
      <c r="B1983" s="12">
        <f ca="1">IFERROR(__xludf.DUMMYFUNCTION("""COMPUTED_VALUE"""),113793)</f>
        <v>113793</v>
      </c>
      <c r="C1983" s="14">
        <f ca="1">IFERROR(__xludf.DUMMYFUNCTION("""COMPUTED_VALUE"""),28)</f>
        <v>28</v>
      </c>
      <c r="D1983" s="12" t="str">
        <f ca="1">IFERROR(__xludf.DUMMYFUNCTION("""COMPUTED_VALUE"""),"老田 純輝")</f>
        <v>老田 純輝</v>
      </c>
    </row>
    <row r="1984" spans="2:4" ht="13">
      <c r="B1984" s="12">
        <f ca="1">IFERROR(__xludf.DUMMYFUNCTION("""COMPUTED_VALUE"""),113794)</f>
        <v>113794</v>
      </c>
      <c r="C1984" s="14">
        <f ca="1">IFERROR(__xludf.DUMMYFUNCTION("""COMPUTED_VALUE"""),52)</f>
        <v>52</v>
      </c>
      <c r="D1984" s="12" t="str">
        <f ca="1">IFERROR(__xludf.DUMMYFUNCTION("""COMPUTED_VALUE"""),"老田 純輝")</f>
        <v>老田 純輝</v>
      </c>
    </row>
    <row r="1985" spans="2:4" ht="13">
      <c r="B1985" s="12">
        <f ca="1">IFERROR(__xludf.DUMMYFUNCTION("""COMPUTED_VALUE"""),113795)</f>
        <v>113795</v>
      </c>
      <c r="C1985" s="14">
        <f ca="1">IFERROR(__xludf.DUMMYFUNCTION("""COMPUTED_VALUE"""),26)</f>
        <v>26</v>
      </c>
      <c r="D1985" s="12" t="str">
        <f ca="1">IFERROR(__xludf.DUMMYFUNCTION("""COMPUTED_VALUE"""),"老田 純輝")</f>
        <v>老田 純輝</v>
      </c>
    </row>
    <row r="1986" spans="2:4" ht="13">
      <c r="B1986" s="12">
        <f ca="1">IFERROR(__xludf.DUMMYFUNCTION("""COMPUTED_VALUE"""),113796)</f>
        <v>113796</v>
      </c>
      <c r="C1986" s="14">
        <f ca="1">IFERROR(__xludf.DUMMYFUNCTION("""COMPUTED_VALUE"""),26)</f>
        <v>26</v>
      </c>
      <c r="D1986" s="12" t="str">
        <f ca="1">IFERROR(__xludf.DUMMYFUNCTION("""COMPUTED_VALUE"""),"老田 純輝")</f>
        <v>老田 純輝</v>
      </c>
    </row>
    <row r="1987" spans="2:4" ht="13">
      <c r="B1987" s="12">
        <f ca="1">IFERROR(__xludf.DUMMYFUNCTION("""COMPUTED_VALUE"""),113806)</f>
        <v>113806</v>
      </c>
      <c r="C1987" s="14">
        <f ca="1">IFERROR(__xludf.DUMMYFUNCTION("""COMPUTED_VALUE"""),109)</f>
        <v>109</v>
      </c>
      <c r="D1987" s="12" t="str">
        <f ca="1">IFERROR(__xludf.DUMMYFUNCTION("""COMPUTED_VALUE"""),"栗原 大武")</f>
        <v>栗原 大武</v>
      </c>
    </row>
    <row r="1988" spans="2:4" ht="13">
      <c r="B1988" s="12">
        <f ca="1">IFERROR(__xludf.DUMMYFUNCTION("""COMPUTED_VALUE"""),113816)</f>
        <v>113816</v>
      </c>
      <c r="C1988" s="14">
        <f ca="1">IFERROR(__xludf.DUMMYFUNCTION("""COMPUTED_VALUE"""),0)</f>
        <v>0</v>
      </c>
      <c r="D1988" s="12" t="str">
        <f ca="1">IFERROR(__xludf.DUMMYFUNCTION("""COMPUTED_VALUE"""),"成嶋 夏未")</f>
        <v>成嶋 夏未</v>
      </c>
    </row>
    <row r="1989" spans="2:4" ht="13">
      <c r="B1989" s="12">
        <f ca="1">IFERROR(__xludf.DUMMYFUNCTION("""COMPUTED_VALUE"""),113824)</f>
        <v>113824</v>
      </c>
      <c r="C1989" s="14">
        <f ca="1">IFERROR(__xludf.DUMMYFUNCTION("""COMPUTED_VALUE"""),0)</f>
        <v>0</v>
      </c>
      <c r="D1989" s="12" t="str">
        <f ca="1">IFERROR(__xludf.DUMMYFUNCTION("""COMPUTED_VALUE"""),"成嶋 夏未")</f>
        <v>成嶋 夏未</v>
      </c>
    </row>
    <row r="1990" spans="2:4" ht="13">
      <c r="B1990" s="12">
        <f ca="1">IFERROR(__xludf.DUMMYFUNCTION("""COMPUTED_VALUE"""),113832)</f>
        <v>113832</v>
      </c>
      <c r="C1990" s="14">
        <f ca="1">IFERROR(__xludf.DUMMYFUNCTION("""COMPUTED_VALUE"""),0)</f>
        <v>0</v>
      </c>
      <c r="D1990" s="12" t="str">
        <f ca="1">IFERROR(__xludf.DUMMYFUNCTION("""COMPUTED_VALUE"""),"小関 麻起")</f>
        <v>小関 麻起</v>
      </c>
    </row>
    <row r="1991" spans="2:4" ht="13">
      <c r="B1991" s="12">
        <f ca="1">IFERROR(__xludf.DUMMYFUNCTION("""COMPUTED_VALUE"""),113839)</f>
        <v>113839</v>
      </c>
      <c r="C1991" s="14">
        <f ca="1">IFERROR(__xludf.DUMMYFUNCTION("""COMPUTED_VALUE"""),0)</f>
        <v>0</v>
      </c>
      <c r="D1991" s="12" t="str">
        <f ca="1">IFERROR(__xludf.DUMMYFUNCTION("""COMPUTED_VALUE"""),"老田 純輝")</f>
        <v>老田 純輝</v>
      </c>
    </row>
    <row r="1992" spans="2:4" ht="13">
      <c r="B1992" s="12">
        <f ca="1">IFERROR(__xludf.DUMMYFUNCTION("""COMPUTED_VALUE"""),113856)</f>
        <v>113856</v>
      </c>
      <c r="C1992" s="14">
        <f ca="1">IFERROR(__xludf.DUMMYFUNCTION("""COMPUTED_VALUE"""),0)</f>
        <v>0</v>
      </c>
      <c r="D1992" s="12" t="str">
        <f ca="1">IFERROR(__xludf.DUMMYFUNCTION("""COMPUTED_VALUE"""),"長谷川 陸朗")</f>
        <v>長谷川 陸朗</v>
      </c>
    </row>
    <row r="1993" spans="2:4" ht="13">
      <c r="B1993" s="12">
        <f ca="1">IFERROR(__xludf.DUMMYFUNCTION("""COMPUTED_VALUE"""),113869)</f>
        <v>113869</v>
      </c>
      <c r="C1993" s="14">
        <f ca="1">IFERROR(__xludf.DUMMYFUNCTION("""COMPUTED_VALUE"""),19)</f>
        <v>19</v>
      </c>
      <c r="D1993" s="12" t="str">
        <f ca="1">IFERROR(__xludf.DUMMYFUNCTION("""COMPUTED_VALUE"""),"稲場 勇介")</f>
        <v>稲場 勇介</v>
      </c>
    </row>
    <row r="1994" spans="2:4" ht="13">
      <c r="B1994" s="12">
        <f ca="1">IFERROR(__xludf.DUMMYFUNCTION("""COMPUTED_VALUE"""),113872)</f>
        <v>113872</v>
      </c>
      <c r="C1994" s="14">
        <f ca="1">IFERROR(__xludf.DUMMYFUNCTION("""COMPUTED_VALUE"""),0)</f>
        <v>0</v>
      </c>
      <c r="D1994" s="12" t="str">
        <f ca="1">IFERROR(__xludf.DUMMYFUNCTION("""COMPUTED_VALUE"""),"森 光智")</f>
        <v>森 光智</v>
      </c>
    </row>
    <row r="1995" spans="2:4" ht="13">
      <c r="B1995" s="12">
        <f ca="1">IFERROR(__xludf.DUMMYFUNCTION("""COMPUTED_VALUE"""),113890)</f>
        <v>113890</v>
      </c>
      <c r="C1995" s="14">
        <f ca="1">IFERROR(__xludf.DUMMYFUNCTION("""COMPUTED_VALUE"""),32)</f>
        <v>32</v>
      </c>
      <c r="D1995" s="12" t="str">
        <f ca="1">IFERROR(__xludf.DUMMYFUNCTION("""COMPUTED_VALUE"""),"桑原 明子")</f>
        <v>桑原 明子</v>
      </c>
    </row>
    <row r="1996" spans="2:4" ht="13">
      <c r="B1996" s="12">
        <f ca="1">IFERROR(__xludf.DUMMYFUNCTION("""COMPUTED_VALUE"""),113900)</f>
        <v>113900</v>
      </c>
      <c r="C1996" s="14">
        <f ca="1">IFERROR(__xludf.DUMMYFUNCTION("""COMPUTED_VALUE"""),0)</f>
        <v>0</v>
      </c>
      <c r="D1996" s="12" t="str">
        <f ca="1">IFERROR(__xludf.DUMMYFUNCTION("""COMPUTED_VALUE"""),"長谷川 陸朗")</f>
        <v>長谷川 陸朗</v>
      </c>
    </row>
    <row r="1997" spans="2:4" ht="13">
      <c r="B1997" s="12">
        <f ca="1">IFERROR(__xludf.DUMMYFUNCTION("""COMPUTED_VALUE"""),113901)</f>
        <v>113901</v>
      </c>
      <c r="C1997" s="14">
        <f ca="1">IFERROR(__xludf.DUMMYFUNCTION("""COMPUTED_VALUE"""),0)</f>
        <v>0</v>
      </c>
      <c r="D1997" s="12" t="str">
        <f ca="1">IFERROR(__xludf.DUMMYFUNCTION("""COMPUTED_VALUE"""),"長谷川 陸朗")</f>
        <v>長谷川 陸朗</v>
      </c>
    </row>
    <row r="1998" spans="2:4" ht="13">
      <c r="B1998" s="12">
        <f ca="1">IFERROR(__xludf.DUMMYFUNCTION("""COMPUTED_VALUE"""),113906)</f>
        <v>113906</v>
      </c>
      <c r="C1998" s="14">
        <f ca="1">IFERROR(__xludf.DUMMYFUNCTION("""COMPUTED_VALUE"""),24)</f>
        <v>24</v>
      </c>
      <c r="D1998" s="12" t="str">
        <f ca="1">IFERROR(__xludf.DUMMYFUNCTION("""COMPUTED_VALUE"""),"桑原 明子")</f>
        <v>桑原 明子</v>
      </c>
    </row>
    <row r="1999" spans="2:4" ht="13">
      <c r="B1999" s="12">
        <f ca="1">IFERROR(__xludf.DUMMYFUNCTION("""COMPUTED_VALUE"""),113957)</f>
        <v>113957</v>
      </c>
      <c r="C1999" s="14">
        <f ca="1">IFERROR(__xludf.DUMMYFUNCTION("""COMPUTED_VALUE"""),0)</f>
        <v>0</v>
      </c>
      <c r="D1999" s="12" t="str">
        <f ca="1">IFERROR(__xludf.DUMMYFUNCTION("""COMPUTED_VALUE"""),"成嶋 夏未")</f>
        <v>成嶋 夏未</v>
      </c>
    </row>
    <row r="2000" spans="2:4" ht="13">
      <c r="B2000" s="12">
        <f ca="1">IFERROR(__xludf.DUMMYFUNCTION("""COMPUTED_VALUE"""),113980)</f>
        <v>113980</v>
      </c>
      <c r="C2000" s="14">
        <f ca="1">IFERROR(__xludf.DUMMYFUNCTION("""COMPUTED_VALUE"""),0)</f>
        <v>0</v>
      </c>
      <c r="D2000" s="12" t="str">
        <f ca="1">IFERROR(__xludf.DUMMYFUNCTION("""COMPUTED_VALUE"""),"菅野 ぎんが")</f>
        <v>菅野 ぎんが</v>
      </c>
    </row>
    <row r="2001" spans="2:4" ht="13">
      <c r="B2001" s="12">
        <f ca="1">IFERROR(__xludf.DUMMYFUNCTION("""COMPUTED_VALUE"""),113981)</f>
        <v>113981</v>
      </c>
      <c r="C2001" s="14">
        <f ca="1">IFERROR(__xludf.DUMMYFUNCTION("""COMPUTED_VALUE"""),9)</f>
        <v>9</v>
      </c>
      <c r="D2001" s="12" t="str">
        <f ca="1">IFERROR(__xludf.DUMMYFUNCTION("""COMPUTED_VALUE"""),"栗原 大武")</f>
        <v>栗原 大武</v>
      </c>
    </row>
    <row r="2002" spans="2:4" ht="13">
      <c r="B2002" s="12">
        <f ca="1">IFERROR(__xludf.DUMMYFUNCTION("""COMPUTED_VALUE"""),113985)</f>
        <v>113985</v>
      </c>
      <c r="C2002" s="14">
        <f ca="1">IFERROR(__xludf.DUMMYFUNCTION("""COMPUTED_VALUE"""),0)</f>
        <v>0</v>
      </c>
      <c r="D2002" s="12" t="str">
        <f ca="1">IFERROR(__xludf.DUMMYFUNCTION("""COMPUTED_VALUE"""),"辻村 将大")</f>
        <v>辻村 将大</v>
      </c>
    </row>
    <row r="2003" spans="2:4" ht="13">
      <c r="B2003" s="12">
        <f ca="1">IFERROR(__xludf.DUMMYFUNCTION("""COMPUTED_VALUE"""),114015)</f>
        <v>114015</v>
      </c>
      <c r="C2003" s="14">
        <f ca="1">IFERROR(__xludf.DUMMYFUNCTION("""COMPUTED_VALUE"""),1)</f>
        <v>1</v>
      </c>
      <c r="D2003" s="12" t="str">
        <f ca="1">IFERROR(__xludf.DUMMYFUNCTION("""COMPUTED_VALUE"""),"老田 純輝")</f>
        <v>老田 純輝</v>
      </c>
    </row>
    <row r="2004" spans="2:4" ht="13">
      <c r="B2004" s="12">
        <f ca="1">IFERROR(__xludf.DUMMYFUNCTION("""COMPUTED_VALUE"""),114016)</f>
        <v>114016</v>
      </c>
      <c r="C2004" s="14">
        <f ca="1">IFERROR(__xludf.DUMMYFUNCTION("""COMPUTED_VALUE"""),0)</f>
        <v>0</v>
      </c>
      <c r="D2004" s="12" t="str">
        <f ca="1">IFERROR(__xludf.DUMMYFUNCTION("""COMPUTED_VALUE"""),"栗原 大武")</f>
        <v>栗原 大武</v>
      </c>
    </row>
    <row r="2005" spans="2:4" ht="13">
      <c r="B2005" s="12">
        <f ca="1">IFERROR(__xludf.DUMMYFUNCTION("""COMPUTED_VALUE"""),114018)</f>
        <v>114018</v>
      </c>
      <c r="C2005" s="14">
        <f ca="1">IFERROR(__xludf.DUMMYFUNCTION("""COMPUTED_VALUE"""),19)</f>
        <v>19</v>
      </c>
      <c r="D2005" s="12" t="str">
        <f ca="1">IFERROR(__xludf.DUMMYFUNCTION("""COMPUTED_VALUE"""),"芳賀 亮輔")</f>
        <v>芳賀 亮輔</v>
      </c>
    </row>
    <row r="2006" spans="2:4" ht="13">
      <c r="B2006" s="12">
        <f ca="1">IFERROR(__xludf.DUMMYFUNCTION("""COMPUTED_VALUE"""),114019)</f>
        <v>114019</v>
      </c>
      <c r="C2006" s="14">
        <f ca="1">IFERROR(__xludf.DUMMYFUNCTION("""COMPUTED_VALUE"""),0)</f>
        <v>0</v>
      </c>
      <c r="D2006" s="12" t="str">
        <f ca="1">IFERROR(__xludf.DUMMYFUNCTION("""COMPUTED_VALUE"""),"菅野 ぎんが")</f>
        <v>菅野 ぎんが</v>
      </c>
    </row>
    <row r="2007" spans="2:4" ht="13">
      <c r="B2007" s="12">
        <f ca="1">IFERROR(__xludf.DUMMYFUNCTION("""COMPUTED_VALUE"""),114049)</f>
        <v>114049</v>
      </c>
      <c r="C2007" s="14">
        <f ca="1">IFERROR(__xludf.DUMMYFUNCTION("""COMPUTED_VALUE"""),1)</f>
        <v>1</v>
      </c>
      <c r="D2007" s="12" t="str">
        <f ca="1">IFERROR(__xludf.DUMMYFUNCTION("""COMPUTED_VALUE"""),"松尾 尚樹")</f>
        <v>松尾 尚樹</v>
      </c>
    </row>
    <row r="2008" spans="2:4" ht="13">
      <c r="B2008" s="12">
        <f ca="1">IFERROR(__xludf.DUMMYFUNCTION("""COMPUTED_VALUE"""),114065)</f>
        <v>114065</v>
      </c>
      <c r="C2008" s="14">
        <f ca="1">IFERROR(__xludf.DUMMYFUNCTION("""COMPUTED_VALUE"""),0)</f>
        <v>0</v>
      </c>
      <c r="D2008" s="12" t="str">
        <f ca="1">IFERROR(__xludf.DUMMYFUNCTION("""COMPUTED_VALUE"""),"小関 麻起")</f>
        <v>小関 麻起</v>
      </c>
    </row>
    <row r="2009" spans="2:4" ht="13">
      <c r="B2009" s="12">
        <f ca="1">IFERROR(__xludf.DUMMYFUNCTION("""COMPUTED_VALUE"""),114075)</f>
        <v>114075</v>
      </c>
      <c r="C2009" s="14">
        <f ca="1">IFERROR(__xludf.DUMMYFUNCTION("""COMPUTED_VALUE"""),0)</f>
        <v>0</v>
      </c>
      <c r="D2009" s="12" t="str">
        <f ca="1">IFERROR(__xludf.DUMMYFUNCTION("""COMPUTED_VALUE"""),"成嶋 夏未")</f>
        <v>成嶋 夏未</v>
      </c>
    </row>
    <row r="2010" spans="2:4" ht="13">
      <c r="B2010" s="12">
        <f ca="1">IFERROR(__xludf.DUMMYFUNCTION("""COMPUTED_VALUE"""),114082)</f>
        <v>114082</v>
      </c>
      <c r="C2010" s="14">
        <f ca="1">IFERROR(__xludf.DUMMYFUNCTION("""COMPUTED_VALUE"""),0)</f>
        <v>0</v>
      </c>
      <c r="D2010" s="12" t="str">
        <f ca="1">IFERROR(__xludf.DUMMYFUNCTION("""COMPUTED_VALUE"""),"辻村 将大")</f>
        <v>辻村 将大</v>
      </c>
    </row>
    <row r="2011" spans="2:4" ht="13">
      <c r="B2011" s="12">
        <f ca="1">IFERROR(__xludf.DUMMYFUNCTION("""COMPUTED_VALUE"""),114084)</f>
        <v>114084</v>
      </c>
      <c r="C2011" s="14">
        <f ca="1">IFERROR(__xludf.DUMMYFUNCTION("""COMPUTED_VALUE"""),0)</f>
        <v>0</v>
      </c>
      <c r="D2011" s="12" t="str">
        <f ca="1">IFERROR(__xludf.DUMMYFUNCTION("""COMPUTED_VALUE"""),"老田 純輝")</f>
        <v>老田 純輝</v>
      </c>
    </row>
    <row r="2012" spans="2:4" ht="13">
      <c r="B2012" s="12">
        <f ca="1">IFERROR(__xludf.DUMMYFUNCTION("""COMPUTED_VALUE"""),114090)</f>
        <v>114090</v>
      </c>
      <c r="C2012" s="14">
        <f ca="1">IFERROR(__xludf.DUMMYFUNCTION("""COMPUTED_VALUE"""),0)</f>
        <v>0</v>
      </c>
      <c r="D2012" s="12" t="str">
        <f ca="1">IFERROR(__xludf.DUMMYFUNCTION("""COMPUTED_VALUE"""),"老田 純輝")</f>
        <v>老田 純輝</v>
      </c>
    </row>
    <row r="2013" spans="2:4" ht="13">
      <c r="B2013" s="12">
        <f ca="1">IFERROR(__xludf.DUMMYFUNCTION("""COMPUTED_VALUE"""),114092)</f>
        <v>114092</v>
      </c>
      <c r="C2013" s="14">
        <f ca="1">IFERROR(__xludf.DUMMYFUNCTION("""COMPUTED_VALUE"""),3)</f>
        <v>3</v>
      </c>
      <c r="D2013" s="12" t="str">
        <f ca="1">IFERROR(__xludf.DUMMYFUNCTION("""COMPUTED_VALUE"""),"小関 麻起")</f>
        <v>小関 麻起</v>
      </c>
    </row>
    <row r="2014" spans="2:4" ht="13">
      <c r="B2014" s="12">
        <f ca="1">IFERROR(__xludf.DUMMYFUNCTION("""COMPUTED_VALUE"""),114101)</f>
        <v>114101</v>
      </c>
      <c r="C2014" s="14">
        <f ca="1">IFERROR(__xludf.DUMMYFUNCTION("""COMPUTED_VALUE"""),0)</f>
        <v>0</v>
      </c>
      <c r="D2014" s="12" t="str">
        <f ca="1">IFERROR(__xludf.DUMMYFUNCTION("""COMPUTED_VALUE"""),"松尾 尚樹")</f>
        <v>松尾 尚樹</v>
      </c>
    </row>
    <row r="2015" spans="2:4" ht="13">
      <c r="B2015" s="12">
        <f ca="1">IFERROR(__xludf.DUMMYFUNCTION("""COMPUTED_VALUE"""),114110)</f>
        <v>114110</v>
      </c>
      <c r="C2015" s="14">
        <f ca="1">IFERROR(__xludf.DUMMYFUNCTION("""COMPUTED_VALUE"""),5)</f>
        <v>5</v>
      </c>
      <c r="D2015" s="12" t="str">
        <f ca="1">IFERROR(__xludf.DUMMYFUNCTION("""COMPUTED_VALUE"""),"老田 純輝")</f>
        <v>老田 純輝</v>
      </c>
    </row>
    <row r="2016" spans="2:4" ht="13">
      <c r="B2016" s="12">
        <f ca="1">IFERROR(__xludf.DUMMYFUNCTION("""COMPUTED_VALUE"""),114114)</f>
        <v>114114</v>
      </c>
      <c r="C2016" s="14">
        <f ca="1">IFERROR(__xludf.DUMMYFUNCTION("""COMPUTED_VALUE"""),4)</f>
        <v>4</v>
      </c>
      <c r="D2016" s="12" t="str">
        <f ca="1">IFERROR(__xludf.DUMMYFUNCTION("""COMPUTED_VALUE"""),"老田 純輝")</f>
        <v>老田 純輝</v>
      </c>
    </row>
    <row r="2017" spans="2:4" ht="13">
      <c r="B2017" s="12">
        <f ca="1">IFERROR(__xludf.DUMMYFUNCTION("""COMPUTED_VALUE"""),114121)</f>
        <v>114121</v>
      </c>
      <c r="C2017" s="14">
        <f ca="1">IFERROR(__xludf.DUMMYFUNCTION("""COMPUTED_VALUE"""),0)</f>
        <v>0</v>
      </c>
      <c r="D2017" s="12" t="str">
        <f ca="1">IFERROR(__xludf.DUMMYFUNCTION("""COMPUTED_VALUE"""),"松尾 尚樹")</f>
        <v>松尾 尚樹</v>
      </c>
    </row>
    <row r="2018" spans="2:4" ht="13">
      <c r="B2018" s="12">
        <f ca="1">IFERROR(__xludf.DUMMYFUNCTION("""COMPUTED_VALUE"""),114133)</f>
        <v>114133</v>
      </c>
      <c r="C2018" s="14">
        <f ca="1">IFERROR(__xludf.DUMMYFUNCTION("""COMPUTED_VALUE"""),7)</f>
        <v>7</v>
      </c>
      <c r="D2018" s="12" t="str">
        <f ca="1">IFERROR(__xludf.DUMMYFUNCTION("""COMPUTED_VALUE"""),"栗原 大武")</f>
        <v>栗原 大武</v>
      </c>
    </row>
    <row r="2019" spans="2:4" ht="13">
      <c r="B2019" s="12">
        <f ca="1">IFERROR(__xludf.DUMMYFUNCTION("""COMPUTED_VALUE"""),114141)</f>
        <v>114141</v>
      </c>
      <c r="C2019" s="14">
        <f ca="1">IFERROR(__xludf.DUMMYFUNCTION("""COMPUTED_VALUE"""),0)</f>
        <v>0</v>
      </c>
      <c r="D2019" s="12" t="str">
        <f ca="1">IFERROR(__xludf.DUMMYFUNCTION("""COMPUTED_VALUE"""),"稲場 勇介")</f>
        <v>稲場 勇介</v>
      </c>
    </row>
    <row r="2020" spans="2:4" ht="13">
      <c r="B2020" s="12">
        <f ca="1">IFERROR(__xludf.DUMMYFUNCTION("""COMPUTED_VALUE"""),114142)</f>
        <v>114142</v>
      </c>
      <c r="C2020" s="14">
        <f ca="1">IFERROR(__xludf.DUMMYFUNCTION("""COMPUTED_VALUE"""),0)</f>
        <v>0</v>
      </c>
      <c r="D2020" s="12" t="str">
        <f ca="1">IFERROR(__xludf.DUMMYFUNCTION("""COMPUTED_VALUE"""),"老田 純輝")</f>
        <v>老田 純輝</v>
      </c>
    </row>
    <row r="2021" spans="2:4" ht="13">
      <c r="B2021" s="12">
        <f ca="1">IFERROR(__xludf.DUMMYFUNCTION("""COMPUTED_VALUE"""),114148)</f>
        <v>114148</v>
      </c>
      <c r="C2021" s="14">
        <f ca="1">IFERROR(__xludf.DUMMYFUNCTION("""COMPUTED_VALUE"""),6)</f>
        <v>6</v>
      </c>
      <c r="D2021" s="12" t="str">
        <f ca="1">IFERROR(__xludf.DUMMYFUNCTION("""COMPUTED_VALUE"""),"栗原 大武")</f>
        <v>栗原 大武</v>
      </c>
    </row>
    <row r="2022" spans="2:4" ht="13">
      <c r="B2022" s="12">
        <f ca="1">IFERROR(__xludf.DUMMYFUNCTION("""COMPUTED_VALUE"""),114150)</f>
        <v>114150</v>
      </c>
      <c r="C2022" s="14">
        <f ca="1">IFERROR(__xludf.DUMMYFUNCTION("""COMPUTED_VALUE"""),0)</f>
        <v>0</v>
      </c>
      <c r="D2022" s="12" t="str">
        <f ca="1">IFERROR(__xludf.DUMMYFUNCTION("""COMPUTED_VALUE"""),"辻村 将大")</f>
        <v>辻村 将大</v>
      </c>
    </row>
    <row r="2023" spans="2:4" ht="13">
      <c r="B2023" s="12">
        <f ca="1">IFERROR(__xludf.DUMMYFUNCTION("""COMPUTED_VALUE"""),114163)</f>
        <v>114163</v>
      </c>
      <c r="C2023" s="14">
        <f ca="1">IFERROR(__xludf.DUMMYFUNCTION("""COMPUTED_VALUE"""),3)</f>
        <v>3</v>
      </c>
      <c r="D2023" s="12" t="str">
        <f ca="1">IFERROR(__xludf.DUMMYFUNCTION("""COMPUTED_VALUE"""),"小川 純")</f>
        <v>小川 純</v>
      </c>
    </row>
    <row r="2024" spans="2:4" ht="13">
      <c r="B2024" s="12">
        <f ca="1">IFERROR(__xludf.DUMMYFUNCTION("""COMPUTED_VALUE"""),114165)</f>
        <v>114165</v>
      </c>
      <c r="C2024" s="14">
        <f ca="1">IFERROR(__xludf.DUMMYFUNCTION("""COMPUTED_VALUE"""),0)</f>
        <v>0</v>
      </c>
      <c r="D2024" s="12" t="str">
        <f ca="1">IFERROR(__xludf.DUMMYFUNCTION("""COMPUTED_VALUE"""),"長谷川 陸朗")</f>
        <v>長谷川 陸朗</v>
      </c>
    </row>
    <row r="2025" spans="2:4" ht="13">
      <c r="B2025" s="12">
        <f ca="1">IFERROR(__xludf.DUMMYFUNCTION("""COMPUTED_VALUE"""),114169)</f>
        <v>114169</v>
      </c>
      <c r="C2025" s="14">
        <f ca="1">IFERROR(__xludf.DUMMYFUNCTION("""COMPUTED_VALUE"""),34)</f>
        <v>34</v>
      </c>
      <c r="D2025" s="12" t="str">
        <f ca="1">IFERROR(__xludf.DUMMYFUNCTION("""COMPUTED_VALUE"""),"辻村 将大")</f>
        <v>辻村 将大</v>
      </c>
    </row>
    <row r="2026" spans="2:4" ht="13">
      <c r="B2026" s="12">
        <f ca="1">IFERROR(__xludf.DUMMYFUNCTION("""COMPUTED_VALUE"""),114187)</f>
        <v>114187</v>
      </c>
      <c r="C2026" s="14">
        <f ca="1">IFERROR(__xludf.DUMMYFUNCTION("""COMPUTED_VALUE"""),3)</f>
        <v>3</v>
      </c>
      <c r="D2026" s="12" t="str">
        <f ca="1">IFERROR(__xludf.DUMMYFUNCTION("""COMPUTED_VALUE"""),"老田 純輝")</f>
        <v>老田 純輝</v>
      </c>
    </row>
    <row r="2027" spans="2:4" ht="13">
      <c r="B2027" s="12">
        <f ca="1">IFERROR(__xludf.DUMMYFUNCTION("""COMPUTED_VALUE"""),114189)</f>
        <v>114189</v>
      </c>
      <c r="C2027" s="14">
        <f ca="1">IFERROR(__xludf.DUMMYFUNCTION("""COMPUTED_VALUE"""),1)</f>
        <v>1</v>
      </c>
      <c r="D2027" s="12" t="str">
        <f ca="1">IFERROR(__xludf.DUMMYFUNCTION("""COMPUTED_VALUE"""),"辻村 将大")</f>
        <v>辻村 将大</v>
      </c>
    </row>
    <row r="2028" spans="2:4" ht="13">
      <c r="B2028" s="12">
        <f ca="1">IFERROR(__xludf.DUMMYFUNCTION("""COMPUTED_VALUE"""),114191)</f>
        <v>114191</v>
      </c>
      <c r="C2028" s="14">
        <f ca="1">IFERROR(__xludf.DUMMYFUNCTION("""COMPUTED_VALUE"""),0)</f>
        <v>0</v>
      </c>
      <c r="D2028" s="12" t="str">
        <f ca="1">IFERROR(__xludf.DUMMYFUNCTION("""COMPUTED_VALUE"""),"老田 純輝")</f>
        <v>老田 純輝</v>
      </c>
    </row>
    <row r="2029" spans="2:4" ht="13">
      <c r="B2029" s="12">
        <f ca="1">IFERROR(__xludf.DUMMYFUNCTION("""COMPUTED_VALUE"""),114206)</f>
        <v>114206</v>
      </c>
      <c r="C2029" s="14">
        <f ca="1">IFERROR(__xludf.DUMMYFUNCTION("""COMPUTED_VALUE"""),0)</f>
        <v>0</v>
      </c>
      <c r="D2029" s="12" t="str">
        <f ca="1">IFERROR(__xludf.DUMMYFUNCTION("""COMPUTED_VALUE"""),"松尾 尚樹")</f>
        <v>松尾 尚樹</v>
      </c>
    </row>
    <row r="2030" spans="2:4" ht="13">
      <c r="B2030" s="12">
        <f ca="1">IFERROR(__xludf.DUMMYFUNCTION("""COMPUTED_VALUE"""),114217)</f>
        <v>114217</v>
      </c>
      <c r="C2030" s="14">
        <f ca="1">IFERROR(__xludf.DUMMYFUNCTION("""COMPUTED_VALUE"""),0)</f>
        <v>0</v>
      </c>
      <c r="D2030" s="12" t="str">
        <f ca="1">IFERROR(__xludf.DUMMYFUNCTION("""COMPUTED_VALUE"""),"長谷川 陸朗")</f>
        <v>長谷川 陸朗</v>
      </c>
    </row>
    <row r="2031" spans="2:4" ht="13">
      <c r="B2031" s="12">
        <f ca="1">IFERROR(__xludf.DUMMYFUNCTION("""COMPUTED_VALUE"""),114222)</f>
        <v>114222</v>
      </c>
      <c r="C2031" s="14">
        <f ca="1">IFERROR(__xludf.DUMMYFUNCTION("""COMPUTED_VALUE"""),0)</f>
        <v>0</v>
      </c>
      <c r="D2031" s="12" t="str">
        <f ca="1">IFERROR(__xludf.DUMMYFUNCTION("""COMPUTED_VALUE"""),"老田 純輝")</f>
        <v>老田 純輝</v>
      </c>
    </row>
    <row r="2032" spans="2:4" ht="13">
      <c r="B2032" s="12">
        <f ca="1">IFERROR(__xludf.DUMMYFUNCTION("""COMPUTED_VALUE"""),114247)</f>
        <v>114247</v>
      </c>
      <c r="C2032" s="14">
        <f ca="1">IFERROR(__xludf.DUMMYFUNCTION("""COMPUTED_VALUE"""),0)</f>
        <v>0</v>
      </c>
      <c r="D2032" s="12" t="str">
        <f ca="1">IFERROR(__xludf.DUMMYFUNCTION("""COMPUTED_VALUE"""),"長谷川 陸朗")</f>
        <v>長谷川 陸朗</v>
      </c>
    </row>
    <row r="2033" spans="2:4" ht="13">
      <c r="B2033" s="12">
        <f ca="1">IFERROR(__xludf.DUMMYFUNCTION("""COMPUTED_VALUE"""),114252)</f>
        <v>114252</v>
      </c>
      <c r="C2033" s="14">
        <f ca="1">IFERROR(__xludf.DUMMYFUNCTION("""COMPUTED_VALUE"""),0)</f>
        <v>0</v>
      </c>
      <c r="D2033" s="12" t="str">
        <f ca="1">IFERROR(__xludf.DUMMYFUNCTION("""COMPUTED_VALUE"""),"荻曽 克輝")</f>
        <v>荻曽 克輝</v>
      </c>
    </row>
    <row r="2034" spans="2:4" ht="13">
      <c r="B2034" s="12">
        <f ca="1">IFERROR(__xludf.DUMMYFUNCTION("""COMPUTED_VALUE"""),114261)</f>
        <v>114261</v>
      </c>
      <c r="C2034" s="14">
        <f ca="1">IFERROR(__xludf.DUMMYFUNCTION("""COMPUTED_VALUE"""),47)</f>
        <v>47</v>
      </c>
      <c r="D2034" s="12" t="str">
        <f ca="1">IFERROR(__xludf.DUMMYFUNCTION("""COMPUTED_VALUE"""),"菅野 ぎんが")</f>
        <v>菅野 ぎんが</v>
      </c>
    </row>
    <row r="2035" spans="2:4" ht="13">
      <c r="B2035" s="12">
        <f ca="1">IFERROR(__xludf.DUMMYFUNCTION("""COMPUTED_VALUE"""),114272)</f>
        <v>114272</v>
      </c>
      <c r="C2035" s="14">
        <f ca="1">IFERROR(__xludf.DUMMYFUNCTION("""COMPUTED_VALUE"""),37)</f>
        <v>37</v>
      </c>
      <c r="D2035" s="12" t="str">
        <f ca="1">IFERROR(__xludf.DUMMYFUNCTION("""COMPUTED_VALUE"""),"小関 麻起")</f>
        <v>小関 麻起</v>
      </c>
    </row>
    <row r="2036" spans="2:4" ht="13">
      <c r="B2036" s="12">
        <f ca="1">IFERROR(__xludf.DUMMYFUNCTION("""COMPUTED_VALUE"""),114274)</f>
        <v>114274</v>
      </c>
      <c r="C2036" s="14">
        <f ca="1">IFERROR(__xludf.DUMMYFUNCTION("""COMPUTED_VALUE"""),0)</f>
        <v>0</v>
      </c>
      <c r="D2036" s="12" t="str">
        <f ca="1">IFERROR(__xludf.DUMMYFUNCTION("""COMPUTED_VALUE"""),"辻村 将大")</f>
        <v>辻村 将大</v>
      </c>
    </row>
    <row r="2037" spans="2:4" ht="13">
      <c r="B2037" s="12">
        <f ca="1">IFERROR(__xludf.DUMMYFUNCTION("""COMPUTED_VALUE"""),114281)</f>
        <v>114281</v>
      </c>
      <c r="C2037" s="14">
        <f ca="1">IFERROR(__xludf.DUMMYFUNCTION("""COMPUTED_VALUE"""),7)</f>
        <v>7</v>
      </c>
      <c r="D2037" s="12" t="str">
        <f ca="1">IFERROR(__xludf.DUMMYFUNCTION("""COMPUTED_VALUE"""),"長谷川 陸朗")</f>
        <v>長谷川 陸朗</v>
      </c>
    </row>
    <row r="2038" spans="2:4" ht="13">
      <c r="B2038" s="12">
        <f ca="1">IFERROR(__xludf.DUMMYFUNCTION("""COMPUTED_VALUE"""),114282)</f>
        <v>114282</v>
      </c>
      <c r="C2038" s="14">
        <f ca="1">IFERROR(__xludf.DUMMYFUNCTION("""COMPUTED_VALUE"""),21)</f>
        <v>21</v>
      </c>
      <c r="D2038" s="12" t="str">
        <f ca="1">IFERROR(__xludf.DUMMYFUNCTION("""COMPUTED_VALUE"""),"稲場 勇介")</f>
        <v>稲場 勇介</v>
      </c>
    </row>
    <row r="2039" spans="2:4" ht="13">
      <c r="B2039" s="12">
        <f ca="1">IFERROR(__xludf.DUMMYFUNCTION("""COMPUTED_VALUE"""),114284)</f>
        <v>114284</v>
      </c>
      <c r="C2039" s="14">
        <f ca="1">IFERROR(__xludf.DUMMYFUNCTION("""COMPUTED_VALUE"""),87)</f>
        <v>87</v>
      </c>
      <c r="D2039" s="12" t="str">
        <f ca="1">IFERROR(__xludf.DUMMYFUNCTION("""COMPUTED_VALUE"""),"松尾 尚樹")</f>
        <v>松尾 尚樹</v>
      </c>
    </row>
    <row r="2040" spans="2:4" ht="13">
      <c r="B2040" s="12">
        <f ca="1">IFERROR(__xludf.DUMMYFUNCTION("""COMPUTED_VALUE"""),114285)</f>
        <v>114285</v>
      </c>
      <c r="C2040" s="14">
        <f ca="1">IFERROR(__xludf.DUMMYFUNCTION("""COMPUTED_VALUE"""),0)</f>
        <v>0</v>
      </c>
      <c r="D2040" s="12" t="str">
        <f ca="1">IFERROR(__xludf.DUMMYFUNCTION("""COMPUTED_VALUE"""),"長谷川 陸朗")</f>
        <v>長谷川 陸朗</v>
      </c>
    </row>
    <row r="2041" spans="2:4" ht="13">
      <c r="B2041" s="12">
        <f ca="1">IFERROR(__xludf.DUMMYFUNCTION("""COMPUTED_VALUE"""),114293)</f>
        <v>114293</v>
      </c>
      <c r="C2041" s="14">
        <f ca="1">IFERROR(__xludf.DUMMYFUNCTION("""COMPUTED_VALUE"""),3)</f>
        <v>3</v>
      </c>
      <c r="D2041" s="12" t="str">
        <f ca="1">IFERROR(__xludf.DUMMYFUNCTION("""COMPUTED_VALUE"""),"長谷川 陸朗")</f>
        <v>長谷川 陸朗</v>
      </c>
    </row>
    <row r="2042" spans="2:4" ht="13">
      <c r="B2042" s="12">
        <f ca="1">IFERROR(__xludf.DUMMYFUNCTION("""COMPUTED_VALUE"""),114298)</f>
        <v>114298</v>
      </c>
      <c r="C2042" s="14">
        <f ca="1">IFERROR(__xludf.DUMMYFUNCTION("""COMPUTED_VALUE"""),0)</f>
        <v>0</v>
      </c>
      <c r="D2042" s="12" t="str">
        <f ca="1">IFERROR(__xludf.DUMMYFUNCTION("""COMPUTED_VALUE"""),"松尾 尚樹")</f>
        <v>松尾 尚樹</v>
      </c>
    </row>
    <row r="2043" spans="2:4" ht="13">
      <c r="B2043" s="12">
        <f ca="1">IFERROR(__xludf.DUMMYFUNCTION("""COMPUTED_VALUE"""),114300)</f>
        <v>114300</v>
      </c>
      <c r="C2043" s="14">
        <f ca="1">IFERROR(__xludf.DUMMYFUNCTION("""COMPUTED_VALUE"""),0)</f>
        <v>0</v>
      </c>
      <c r="D2043" s="12" t="str">
        <f ca="1">IFERROR(__xludf.DUMMYFUNCTION("""COMPUTED_VALUE"""),"小川 純")</f>
        <v>小川 純</v>
      </c>
    </row>
    <row r="2044" spans="2:4" ht="13">
      <c r="B2044" s="12">
        <f ca="1">IFERROR(__xludf.DUMMYFUNCTION("""COMPUTED_VALUE"""),114303)</f>
        <v>114303</v>
      </c>
      <c r="C2044" s="14">
        <f ca="1">IFERROR(__xludf.DUMMYFUNCTION("""COMPUTED_VALUE"""),0)</f>
        <v>0</v>
      </c>
      <c r="D2044" s="12" t="str">
        <f ca="1">IFERROR(__xludf.DUMMYFUNCTION("""COMPUTED_VALUE"""),"老田 純輝")</f>
        <v>老田 純輝</v>
      </c>
    </row>
    <row r="2045" spans="2:4" ht="13">
      <c r="B2045" s="12">
        <f ca="1">IFERROR(__xludf.DUMMYFUNCTION("""COMPUTED_VALUE"""),114311)</f>
        <v>114311</v>
      </c>
      <c r="C2045" s="14">
        <f ca="1">IFERROR(__xludf.DUMMYFUNCTION("""COMPUTED_VALUE"""),0)</f>
        <v>0</v>
      </c>
      <c r="D2045" s="12" t="str">
        <f ca="1">IFERROR(__xludf.DUMMYFUNCTION("""COMPUTED_VALUE"""),"松尾 尚樹")</f>
        <v>松尾 尚樹</v>
      </c>
    </row>
    <row r="2046" spans="2:4" ht="13">
      <c r="B2046" s="12">
        <f ca="1">IFERROR(__xludf.DUMMYFUNCTION("""COMPUTED_VALUE"""),114314)</f>
        <v>114314</v>
      </c>
      <c r="C2046" s="14">
        <f ca="1">IFERROR(__xludf.DUMMYFUNCTION("""COMPUTED_VALUE"""),0)</f>
        <v>0</v>
      </c>
      <c r="D2046" s="12" t="str">
        <f ca="1">IFERROR(__xludf.DUMMYFUNCTION("""COMPUTED_VALUE"""),"小川 純")</f>
        <v>小川 純</v>
      </c>
    </row>
    <row r="2047" spans="2:4" ht="13">
      <c r="B2047" s="12">
        <f ca="1">IFERROR(__xludf.DUMMYFUNCTION("""COMPUTED_VALUE"""),114331)</f>
        <v>114331</v>
      </c>
      <c r="C2047" s="14">
        <f ca="1">IFERROR(__xludf.DUMMYFUNCTION("""COMPUTED_VALUE"""),0)</f>
        <v>0</v>
      </c>
      <c r="D2047" s="12" t="str">
        <f ca="1">IFERROR(__xludf.DUMMYFUNCTION("""COMPUTED_VALUE"""),"小関 麻起")</f>
        <v>小関 麻起</v>
      </c>
    </row>
    <row r="2048" spans="2:4" ht="13">
      <c r="B2048" s="12">
        <f ca="1">IFERROR(__xludf.DUMMYFUNCTION("""COMPUTED_VALUE"""),114333)</f>
        <v>114333</v>
      </c>
      <c r="C2048" s="14">
        <f ca="1">IFERROR(__xludf.DUMMYFUNCTION("""COMPUTED_VALUE"""),0)</f>
        <v>0</v>
      </c>
      <c r="D2048" s="12" t="str">
        <f ca="1">IFERROR(__xludf.DUMMYFUNCTION("""COMPUTED_VALUE"""),"成嶋 夏未")</f>
        <v>成嶋 夏未</v>
      </c>
    </row>
    <row r="2049" spans="2:4" ht="13">
      <c r="B2049" s="12">
        <f ca="1">IFERROR(__xludf.DUMMYFUNCTION("""COMPUTED_VALUE"""),114335)</f>
        <v>114335</v>
      </c>
      <c r="C2049" s="14">
        <f ca="1">IFERROR(__xludf.DUMMYFUNCTION("""COMPUTED_VALUE"""),0)</f>
        <v>0</v>
      </c>
      <c r="D2049" s="12" t="str">
        <f ca="1">IFERROR(__xludf.DUMMYFUNCTION("""COMPUTED_VALUE"""),"小関 麻起")</f>
        <v>小関 麻起</v>
      </c>
    </row>
    <row r="2050" spans="2:4" ht="13">
      <c r="B2050" s="12">
        <f ca="1">IFERROR(__xludf.DUMMYFUNCTION("""COMPUTED_VALUE"""),114337)</f>
        <v>114337</v>
      </c>
      <c r="C2050" s="14">
        <f ca="1">IFERROR(__xludf.DUMMYFUNCTION("""COMPUTED_VALUE"""),17)</f>
        <v>17</v>
      </c>
      <c r="D2050" s="12" t="str">
        <f ca="1">IFERROR(__xludf.DUMMYFUNCTION("""COMPUTED_VALUE"""),"桐山 勝気")</f>
        <v>桐山 勝気</v>
      </c>
    </row>
    <row r="2051" spans="2:4" ht="13">
      <c r="B2051" s="12">
        <f ca="1">IFERROR(__xludf.DUMMYFUNCTION("""COMPUTED_VALUE"""),114349)</f>
        <v>114349</v>
      </c>
      <c r="C2051" s="14">
        <f ca="1">IFERROR(__xludf.DUMMYFUNCTION("""COMPUTED_VALUE"""),49)</f>
        <v>49</v>
      </c>
      <c r="D2051" s="12" t="str">
        <f ca="1">IFERROR(__xludf.DUMMYFUNCTION("""COMPUTED_VALUE"""),"小関 麻起")</f>
        <v>小関 麻起</v>
      </c>
    </row>
    <row r="2052" spans="2:4" ht="13">
      <c r="B2052" s="12">
        <f ca="1">IFERROR(__xludf.DUMMYFUNCTION("""COMPUTED_VALUE"""),114352)</f>
        <v>114352</v>
      </c>
      <c r="C2052" s="14">
        <f ca="1">IFERROR(__xludf.DUMMYFUNCTION("""COMPUTED_VALUE"""),2)</f>
        <v>2</v>
      </c>
      <c r="D2052" s="12" t="str">
        <f ca="1">IFERROR(__xludf.DUMMYFUNCTION("""COMPUTED_VALUE"""),"長谷川 陸朗")</f>
        <v>長谷川 陸朗</v>
      </c>
    </row>
    <row r="2053" spans="2:4" ht="13">
      <c r="B2053" s="12">
        <f ca="1">IFERROR(__xludf.DUMMYFUNCTION("""COMPUTED_VALUE"""),114369)</f>
        <v>114369</v>
      </c>
      <c r="C2053" s="14">
        <f ca="1">IFERROR(__xludf.DUMMYFUNCTION("""COMPUTED_VALUE"""),0)</f>
        <v>0</v>
      </c>
      <c r="D2053" s="12" t="str">
        <f ca="1">IFERROR(__xludf.DUMMYFUNCTION("""COMPUTED_VALUE"""),"川島 幹也")</f>
        <v>川島 幹也</v>
      </c>
    </row>
    <row r="2054" spans="2:4" ht="13">
      <c r="B2054" s="12">
        <f ca="1">IFERROR(__xludf.DUMMYFUNCTION("""COMPUTED_VALUE"""),114378)</f>
        <v>114378</v>
      </c>
      <c r="C2054" s="14">
        <f ca="1">IFERROR(__xludf.DUMMYFUNCTION("""COMPUTED_VALUE"""),0)</f>
        <v>0</v>
      </c>
      <c r="D2054" s="12" t="str">
        <f ca="1">IFERROR(__xludf.DUMMYFUNCTION("""COMPUTED_VALUE"""),"栗原 大武")</f>
        <v>栗原 大武</v>
      </c>
    </row>
    <row r="2055" spans="2:4" ht="13">
      <c r="B2055" s="12">
        <f ca="1">IFERROR(__xludf.DUMMYFUNCTION("""COMPUTED_VALUE"""),114388)</f>
        <v>114388</v>
      </c>
      <c r="C2055" s="14">
        <f ca="1">IFERROR(__xludf.DUMMYFUNCTION("""COMPUTED_VALUE"""),29)</f>
        <v>29</v>
      </c>
      <c r="D2055" s="12" t="str">
        <f ca="1">IFERROR(__xludf.DUMMYFUNCTION("""COMPUTED_VALUE"""),"桐山 勝気")</f>
        <v>桐山 勝気</v>
      </c>
    </row>
    <row r="2056" spans="2:4" ht="13">
      <c r="B2056" s="12">
        <f ca="1">IFERROR(__xludf.DUMMYFUNCTION("""COMPUTED_VALUE"""),114389)</f>
        <v>114389</v>
      </c>
      <c r="C2056" s="14">
        <f ca="1">IFERROR(__xludf.DUMMYFUNCTION("""COMPUTED_VALUE"""),9)</f>
        <v>9</v>
      </c>
      <c r="D2056" s="12" t="str">
        <f ca="1">IFERROR(__xludf.DUMMYFUNCTION("""COMPUTED_VALUE"""),"桐山 勝気")</f>
        <v>桐山 勝気</v>
      </c>
    </row>
    <row r="2057" spans="2:4" ht="13">
      <c r="B2057" s="12">
        <f ca="1">IFERROR(__xludf.DUMMYFUNCTION("""COMPUTED_VALUE"""),114390)</f>
        <v>114390</v>
      </c>
      <c r="C2057" s="14">
        <f ca="1">IFERROR(__xludf.DUMMYFUNCTION("""COMPUTED_VALUE"""),2)</f>
        <v>2</v>
      </c>
      <c r="D2057" s="12" t="str">
        <f ca="1">IFERROR(__xludf.DUMMYFUNCTION("""COMPUTED_VALUE"""),"桐山 勝気")</f>
        <v>桐山 勝気</v>
      </c>
    </row>
    <row r="2058" spans="2:4" ht="13">
      <c r="B2058" s="12">
        <f ca="1">IFERROR(__xludf.DUMMYFUNCTION("""COMPUTED_VALUE"""),114391)</f>
        <v>114391</v>
      </c>
      <c r="C2058" s="14">
        <f ca="1">IFERROR(__xludf.DUMMYFUNCTION("""COMPUTED_VALUE"""),2)</f>
        <v>2</v>
      </c>
      <c r="D2058" s="12" t="str">
        <f ca="1">IFERROR(__xludf.DUMMYFUNCTION("""COMPUTED_VALUE"""),"堀越 駿")</f>
        <v>堀越 駿</v>
      </c>
    </row>
    <row r="2059" spans="2:4" ht="13">
      <c r="B2059" s="12">
        <f ca="1">IFERROR(__xludf.DUMMYFUNCTION("""COMPUTED_VALUE"""),114442)</f>
        <v>114442</v>
      </c>
      <c r="C2059" s="14">
        <f ca="1">IFERROR(__xludf.DUMMYFUNCTION("""COMPUTED_VALUE"""),2)</f>
        <v>2</v>
      </c>
      <c r="D2059" s="12" t="str">
        <f ca="1">IFERROR(__xludf.DUMMYFUNCTION("""COMPUTED_VALUE"""),"柿崎 晃司")</f>
        <v>柿崎 晃司</v>
      </c>
    </row>
    <row r="2060" spans="2:4" ht="13">
      <c r="B2060" s="12">
        <f ca="1">IFERROR(__xludf.DUMMYFUNCTION("""COMPUTED_VALUE"""),114447)</f>
        <v>114447</v>
      </c>
      <c r="C2060" s="14">
        <f ca="1">IFERROR(__xludf.DUMMYFUNCTION("""COMPUTED_VALUE"""),9)</f>
        <v>9</v>
      </c>
      <c r="D2060" s="12" t="str">
        <f ca="1">IFERROR(__xludf.DUMMYFUNCTION("""COMPUTED_VALUE"""),"老田 純輝")</f>
        <v>老田 純輝</v>
      </c>
    </row>
    <row r="2061" spans="2:4" ht="13">
      <c r="B2061" s="12">
        <f ca="1">IFERROR(__xludf.DUMMYFUNCTION("""COMPUTED_VALUE"""),114463)</f>
        <v>114463</v>
      </c>
      <c r="C2061" s="14">
        <f ca="1">IFERROR(__xludf.DUMMYFUNCTION("""COMPUTED_VALUE"""),4)</f>
        <v>4</v>
      </c>
      <c r="D2061" s="12" t="str">
        <f ca="1">IFERROR(__xludf.DUMMYFUNCTION("""COMPUTED_VALUE"""),"柿崎 晃司")</f>
        <v>柿崎 晃司</v>
      </c>
    </row>
    <row r="2062" spans="2:4" ht="13">
      <c r="B2062" s="12">
        <f ca="1">IFERROR(__xludf.DUMMYFUNCTION("""COMPUTED_VALUE"""),114481)</f>
        <v>114481</v>
      </c>
      <c r="C2062" s="14">
        <f ca="1">IFERROR(__xludf.DUMMYFUNCTION("""COMPUTED_VALUE"""),0)</f>
        <v>0</v>
      </c>
      <c r="D2062" s="12" t="str">
        <f ca="1">IFERROR(__xludf.DUMMYFUNCTION("""COMPUTED_VALUE"""),"松尾 尚樹")</f>
        <v>松尾 尚樹</v>
      </c>
    </row>
    <row r="2063" spans="2:4" ht="13">
      <c r="B2063" s="12">
        <f ca="1">IFERROR(__xludf.DUMMYFUNCTION("""COMPUTED_VALUE"""),114492)</f>
        <v>114492</v>
      </c>
      <c r="C2063" s="14">
        <f ca="1">IFERROR(__xludf.DUMMYFUNCTION("""COMPUTED_VALUE"""),0)</f>
        <v>0</v>
      </c>
      <c r="D2063" s="12" t="str">
        <f ca="1">IFERROR(__xludf.DUMMYFUNCTION("""COMPUTED_VALUE"""),"成嶋 夏未")</f>
        <v>成嶋 夏未</v>
      </c>
    </row>
    <row r="2064" spans="2:4" ht="13">
      <c r="B2064" s="12">
        <f ca="1">IFERROR(__xludf.DUMMYFUNCTION("""COMPUTED_VALUE"""),114497)</f>
        <v>114497</v>
      </c>
      <c r="C2064" s="14">
        <f ca="1">IFERROR(__xludf.DUMMYFUNCTION("""COMPUTED_VALUE"""),15)</f>
        <v>15</v>
      </c>
      <c r="D2064" s="12" t="str">
        <f ca="1">IFERROR(__xludf.DUMMYFUNCTION("""COMPUTED_VALUE"""),"桑原 明子")</f>
        <v>桑原 明子</v>
      </c>
    </row>
    <row r="2065" spans="2:4" ht="13">
      <c r="B2065" s="12">
        <f ca="1">IFERROR(__xludf.DUMMYFUNCTION("""COMPUTED_VALUE"""),114498)</f>
        <v>114498</v>
      </c>
      <c r="C2065" s="14">
        <f ca="1">IFERROR(__xludf.DUMMYFUNCTION("""COMPUTED_VALUE"""),13)</f>
        <v>13</v>
      </c>
      <c r="D2065" s="12" t="str">
        <f ca="1">IFERROR(__xludf.DUMMYFUNCTION("""COMPUTED_VALUE"""),"桑原 明子")</f>
        <v>桑原 明子</v>
      </c>
    </row>
    <row r="2066" spans="2:4" ht="13">
      <c r="B2066" s="12">
        <f ca="1">IFERROR(__xludf.DUMMYFUNCTION("""COMPUTED_VALUE"""),114499)</f>
        <v>114499</v>
      </c>
      <c r="C2066" s="14">
        <f ca="1">IFERROR(__xludf.DUMMYFUNCTION("""COMPUTED_VALUE"""),9)</f>
        <v>9</v>
      </c>
      <c r="D2066" s="12" t="str">
        <f ca="1">IFERROR(__xludf.DUMMYFUNCTION("""COMPUTED_VALUE"""),"桑原 明子")</f>
        <v>桑原 明子</v>
      </c>
    </row>
    <row r="2067" spans="2:4" ht="13">
      <c r="B2067" s="12">
        <f ca="1">IFERROR(__xludf.DUMMYFUNCTION("""COMPUTED_VALUE"""),114507)</f>
        <v>114507</v>
      </c>
      <c r="C2067" s="14">
        <f ca="1">IFERROR(__xludf.DUMMYFUNCTION("""COMPUTED_VALUE"""),17)</f>
        <v>17</v>
      </c>
      <c r="D2067" s="12" t="str">
        <f ca="1">IFERROR(__xludf.DUMMYFUNCTION("""COMPUTED_VALUE"""),"栗原 大武")</f>
        <v>栗原 大武</v>
      </c>
    </row>
    <row r="2068" spans="2:4" ht="13">
      <c r="B2068" s="12">
        <f ca="1">IFERROR(__xludf.DUMMYFUNCTION("""COMPUTED_VALUE"""),114531)</f>
        <v>114531</v>
      </c>
      <c r="C2068" s="14">
        <f ca="1">IFERROR(__xludf.DUMMYFUNCTION("""COMPUTED_VALUE"""),1)</f>
        <v>1</v>
      </c>
      <c r="D2068" s="12" t="str">
        <f ca="1">IFERROR(__xludf.DUMMYFUNCTION("""COMPUTED_VALUE"""),"老田 純輝")</f>
        <v>老田 純輝</v>
      </c>
    </row>
    <row r="2069" spans="2:4" ht="13">
      <c r="B2069" s="12">
        <f ca="1">IFERROR(__xludf.DUMMYFUNCTION("""COMPUTED_VALUE"""),114532)</f>
        <v>114532</v>
      </c>
      <c r="C2069" s="14">
        <f ca="1">IFERROR(__xludf.DUMMYFUNCTION("""COMPUTED_VALUE"""),9)</f>
        <v>9</v>
      </c>
      <c r="D2069" s="12" t="str">
        <f ca="1">IFERROR(__xludf.DUMMYFUNCTION("""COMPUTED_VALUE"""),"老田 純輝")</f>
        <v>老田 純輝</v>
      </c>
    </row>
    <row r="2070" spans="2:4" ht="13">
      <c r="B2070" s="12">
        <f ca="1">IFERROR(__xludf.DUMMYFUNCTION("""COMPUTED_VALUE"""),114533)</f>
        <v>114533</v>
      </c>
      <c r="C2070" s="14">
        <f ca="1">IFERROR(__xludf.DUMMYFUNCTION("""COMPUTED_VALUE"""),2)</f>
        <v>2</v>
      </c>
      <c r="D2070" s="12" t="str">
        <f ca="1">IFERROR(__xludf.DUMMYFUNCTION("""COMPUTED_VALUE"""),"老田 純輝")</f>
        <v>老田 純輝</v>
      </c>
    </row>
    <row r="2071" spans="2:4" ht="13">
      <c r="B2071" s="12">
        <f ca="1">IFERROR(__xludf.DUMMYFUNCTION("""COMPUTED_VALUE"""),114534)</f>
        <v>114534</v>
      </c>
      <c r="C2071" s="14">
        <f ca="1">IFERROR(__xludf.DUMMYFUNCTION("""COMPUTED_VALUE"""),3)</f>
        <v>3</v>
      </c>
      <c r="D2071" s="12" t="str">
        <f ca="1">IFERROR(__xludf.DUMMYFUNCTION("""COMPUTED_VALUE"""),"老田 純輝")</f>
        <v>老田 純輝</v>
      </c>
    </row>
    <row r="2072" spans="2:4" ht="13">
      <c r="B2072" s="12">
        <f ca="1">IFERROR(__xludf.DUMMYFUNCTION("""COMPUTED_VALUE"""),114535)</f>
        <v>114535</v>
      </c>
      <c r="C2072" s="14">
        <f ca="1">IFERROR(__xludf.DUMMYFUNCTION("""COMPUTED_VALUE"""),14)</f>
        <v>14</v>
      </c>
      <c r="D2072" s="12" t="str">
        <f ca="1">IFERROR(__xludf.DUMMYFUNCTION("""COMPUTED_VALUE"""),"老田 純輝")</f>
        <v>老田 純輝</v>
      </c>
    </row>
    <row r="2073" spans="2:4" ht="13">
      <c r="B2073" s="12">
        <f ca="1">IFERROR(__xludf.DUMMYFUNCTION("""COMPUTED_VALUE"""),114536)</f>
        <v>114536</v>
      </c>
      <c r="C2073" s="14">
        <f ca="1">IFERROR(__xludf.DUMMYFUNCTION("""COMPUTED_VALUE"""),9)</f>
        <v>9</v>
      </c>
      <c r="D2073" s="12" t="str">
        <f ca="1">IFERROR(__xludf.DUMMYFUNCTION("""COMPUTED_VALUE"""),"老田 純輝")</f>
        <v>老田 純輝</v>
      </c>
    </row>
    <row r="2074" spans="2:4" ht="13">
      <c r="B2074" s="12">
        <f ca="1">IFERROR(__xludf.DUMMYFUNCTION("""COMPUTED_VALUE"""),114537)</f>
        <v>114537</v>
      </c>
      <c r="C2074" s="14">
        <f ca="1">IFERROR(__xludf.DUMMYFUNCTION("""COMPUTED_VALUE"""),2)</f>
        <v>2</v>
      </c>
      <c r="D2074" s="12" t="str">
        <f ca="1">IFERROR(__xludf.DUMMYFUNCTION("""COMPUTED_VALUE"""),"老田 純輝")</f>
        <v>老田 純輝</v>
      </c>
    </row>
    <row r="2075" spans="2:4" ht="13">
      <c r="B2075" s="12">
        <f ca="1">IFERROR(__xludf.DUMMYFUNCTION("""COMPUTED_VALUE"""),114538)</f>
        <v>114538</v>
      </c>
      <c r="C2075" s="14">
        <f ca="1">IFERROR(__xludf.DUMMYFUNCTION("""COMPUTED_VALUE"""),7)</f>
        <v>7</v>
      </c>
      <c r="D2075" s="12" t="str">
        <f ca="1">IFERROR(__xludf.DUMMYFUNCTION("""COMPUTED_VALUE"""),"老田 純輝")</f>
        <v>老田 純輝</v>
      </c>
    </row>
    <row r="2076" spans="2:4" ht="13">
      <c r="B2076" s="12">
        <f ca="1">IFERROR(__xludf.DUMMYFUNCTION("""COMPUTED_VALUE"""),114539)</f>
        <v>114539</v>
      </c>
      <c r="C2076" s="14">
        <f ca="1">IFERROR(__xludf.DUMMYFUNCTION("""COMPUTED_VALUE"""),17)</f>
        <v>17</v>
      </c>
      <c r="D2076" s="12" t="str">
        <f ca="1">IFERROR(__xludf.DUMMYFUNCTION("""COMPUTED_VALUE"""),"老田 純輝")</f>
        <v>老田 純輝</v>
      </c>
    </row>
    <row r="2077" spans="2:4" ht="13">
      <c r="B2077" s="12">
        <f ca="1">IFERROR(__xludf.DUMMYFUNCTION("""COMPUTED_VALUE"""),114540)</f>
        <v>114540</v>
      </c>
      <c r="C2077" s="14">
        <f ca="1">IFERROR(__xludf.DUMMYFUNCTION("""COMPUTED_VALUE"""),9)</f>
        <v>9</v>
      </c>
      <c r="D2077" s="12" t="str">
        <f ca="1">IFERROR(__xludf.DUMMYFUNCTION("""COMPUTED_VALUE"""),"老田 純輝")</f>
        <v>老田 純輝</v>
      </c>
    </row>
    <row r="2078" spans="2:4" ht="13">
      <c r="B2078" s="12">
        <f ca="1">IFERROR(__xludf.DUMMYFUNCTION("""COMPUTED_VALUE"""),114542)</f>
        <v>114542</v>
      </c>
      <c r="C2078" s="14">
        <f ca="1">IFERROR(__xludf.DUMMYFUNCTION("""COMPUTED_VALUE"""),0)</f>
        <v>0</v>
      </c>
      <c r="D2078" s="12" t="str">
        <f ca="1">IFERROR(__xludf.DUMMYFUNCTION("""COMPUTED_VALUE"""),"栗原 大武")</f>
        <v>栗原 大武</v>
      </c>
    </row>
    <row r="2079" spans="2:4" ht="13">
      <c r="B2079" s="12">
        <f ca="1">IFERROR(__xludf.DUMMYFUNCTION("""COMPUTED_VALUE"""),114546)</f>
        <v>114546</v>
      </c>
      <c r="C2079" s="14">
        <f ca="1">IFERROR(__xludf.DUMMYFUNCTION("""COMPUTED_VALUE"""),0)</f>
        <v>0</v>
      </c>
      <c r="D2079" s="12" t="str">
        <f ca="1">IFERROR(__xludf.DUMMYFUNCTION("""COMPUTED_VALUE"""),"長谷川 陸朗")</f>
        <v>長谷川 陸朗</v>
      </c>
    </row>
    <row r="2080" spans="2:4" ht="13">
      <c r="B2080" s="12">
        <f ca="1">IFERROR(__xludf.DUMMYFUNCTION("""COMPUTED_VALUE"""),114554)</f>
        <v>114554</v>
      </c>
      <c r="C2080" s="14">
        <f ca="1">IFERROR(__xludf.DUMMYFUNCTION("""COMPUTED_VALUE"""),39)</f>
        <v>39</v>
      </c>
      <c r="D2080" s="12" t="str">
        <f ca="1">IFERROR(__xludf.DUMMYFUNCTION("""COMPUTED_VALUE"""),"桑原 明子")</f>
        <v>桑原 明子</v>
      </c>
    </row>
    <row r="2081" spans="2:4" ht="13">
      <c r="B2081" s="12">
        <f ca="1">IFERROR(__xludf.DUMMYFUNCTION("""COMPUTED_VALUE"""),114602)</f>
        <v>114602</v>
      </c>
      <c r="C2081" s="14">
        <f ca="1">IFERROR(__xludf.DUMMYFUNCTION("""COMPUTED_VALUE"""),0)</f>
        <v>0</v>
      </c>
      <c r="D2081" s="12" t="str">
        <f ca="1">IFERROR(__xludf.DUMMYFUNCTION("""COMPUTED_VALUE"""),"松尾 尚樹")</f>
        <v>松尾 尚樹</v>
      </c>
    </row>
    <row r="2082" spans="2:4" ht="13">
      <c r="B2082" s="12">
        <f ca="1">IFERROR(__xludf.DUMMYFUNCTION("""COMPUTED_VALUE"""),114613)</f>
        <v>114613</v>
      </c>
      <c r="C2082" s="14">
        <f ca="1">IFERROR(__xludf.DUMMYFUNCTION("""COMPUTED_VALUE"""),52)</f>
        <v>52</v>
      </c>
      <c r="D2082" s="12" t="str">
        <f ca="1">IFERROR(__xludf.DUMMYFUNCTION("""COMPUTED_VALUE"""),"荻曽 克輝")</f>
        <v>荻曽 克輝</v>
      </c>
    </row>
    <row r="2083" spans="2:4" ht="13">
      <c r="B2083" s="12">
        <f ca="1">IFERROR(__xludf.DUMMYFUNCTION("""COMPUTED_VALUE"""),114623)</f>
        <v>114623</v>
      </c>
      <c r="C2083" s="14">
        <f ca="1">IFERROR(__xludf.DUMMYFUNCTION("""COMPUTED_VALUE"""),7)</f>
        <v>7</v>
      </c>
      <c r="D2083" s="12" t="str">
        <f ca="1">IFERROR(__xludf.DUMMYFUNCTION("""COMPUTED_VALUE"""),"荻曽 克輝")</f>
        <v>荻曽 克輝</v>
      </c>
    </row>
    <row r="2084" spans="2:4" ht="13">
      <c r="B2084" s="12">
        <f ca="1">IFERROR(__xludf.DUMMYFUNCTION("""COMPUTED_VALUE"""),114625)</f>
        <v>114625</v>
      </c>
      <c r="C2084" s="14">
        <f ca="1">IFERROR(__xludf.DUMMYFUNCTION("""COMPUTED_VALUE"""),0)</f>
        <v>0</v>
      </c>
      <c r="D2084" s="12" t="str">
        <f ca="1">IFERROR(__xludf.DUMMYFUNCTION("""COMPUTED_VALUE"""),"森 光智")</f>
        <v>森 光智</v>
      </c>
    </row>
    <row r="2085" spans="2:4" ht="13">
      <c r="B2085" s="12">
        <f ca="1">IFERROR(__xludf.DUMMYFUNCTION("""COMPUTED_VALUE"""),114630)</f>
        <v>114630</v>
      </c>
      <c r="C2085" s="14">
        <f ca="1">IFERROR(__xludf.DUMMYFUNCTION("""COMPUTED_VALUE"""),0)</f>
        <v>0</v>
      </c>
      <c r="D2085" s="12" t="str">
        <f ca="1">IFERROR(__xludf.DUMMYFUNCTION("""COMPUTED_VALUE"""),"小関 麻起")</f>
        <v>小関 麻起</v>
      </c>
    </row>
    <row r="2086" spans="2:4" ht="13">
      <c r="B2086" s="12">
        <f ca="1">IFERROR(__xludf.DUMMYFUNCTION("""COMPUTED_VALUE"""),114640)</f>
        <v>114640</v>
      </c>
      <c r="C2086" s="14">
        <f ca="1">IFERROR(__xludf.DUMMYFUNCTION("""COMPUTED_VALUE"""),1)</f>
        <v>1</v>
      </c>
      <c r="D2086" s="12" t="str">
        <f ca="1">IFERROR(__xludf.DUMMYFUNCTION("""COMPUTED_VALUE"""),"森 光智")</f>
        <v>森 光智</v>
      </c>
    </row>
    <row r="2087" spans="2:4" ht="13">
      <c r="B2087" s="12">
        <f ca="1">IFERROR(__xludf.DUMMYFUNCTION("""COMPUTED_VALUE"""),114676)</f>
        <v>114676</v>
      </c>
      <c r="C2087" s="14">
        <f ca="1">IFERROR(__xludf.DUMMYFUNCTION("""COMPUTED_VALUE"""),0)</f>
        <v>0</v>
      </c>
      <c r="D2087" s="12" t="str">
        <f ca="1">IFERROR(__xludf.DUMMYFUNCTION("""COMPUTED_VALUE"""),"老田 純輝")</f>
        <v>老田 純輝</v>
      </c>
    </row>
    <row r="2088" spans="2:4" ht="13">
      <c r="B2088" s="12">
        <f ca="1">IFERROR(__xludf.DUMMYFUNCTION("""COMPUTED_VALUE"""),114682)</f>
        <v>114682</v>
      </c>
      <c r="C2088" s="14">
        <f ca="1">IFERROR(__xludf.DUMMYFUNCTION("""COMPUTED_VALUE"""),0)</f>
        <v>0</v>
      </c>
      <c r="D2088" s="12" t="str">
        <f ca="1">IFERROR(__xludf.DUMMYFUNCTION("""COMPUTED_VALUE"""),"辻村 将大")</f>
        <v>辻村 将大</v>
      </c>
    </row>
    <row r="2089" spans="2:4" ht="13">
      <c r="B2089" s="12">
        <f ca="1">IFERROR(__xludf.DUMMYFUNCTION("""COMPUTED_VALUE"""),114688)</f>
        <v>114688</v>
      </c>
      <c r="C2089" s="14">
        <f ca="1">IFERROR(__xludf.DUMMYFUNCTION("""COMPUTED_VALUE"""),0)</f>
        <v>0</v>
      </c>
      <c r="D2089" s="12" t="str">
        <f ca="1">IFERROR(__xludf.DUMMYFUNCTION("""COMPUTED_VALUE"""),"小関 麻起")</f>
        <v>小関 麻起</v>
      </c>
    </row>
    <row r="2090" spans="2:4" ht="13">
      <c r="B2090" s="12">
        <f ca="1">IFERROR(__xludf.DUMMYFUNCTION("""COMPUTED_VALUE"""),114711)</f>
        <v>114711</v>
      </c>
      <c r="C2090" s="14">
        <f ca="1">IFERROR(__xludf.DUMMYFUNCTION("""COMPUTED_VALUE"""),0)</f>
        <v>0</v>
      </c>
      <c r="D2090" s="12" t="str">
        <f ca="1">IFERROR(__xludf.DUMMYFUNCTION("""COMPUTED_VALUE"""),"村上 浩一朗")</f>
        <v>村上 浩一朗</v>
      </c>
    </row>
    <row r="2091" spans="2:4" ht="13">
      <c r="B2091" s="12">
        <f ca="1">IFERROR(__xludf.DUMMYFUNCTION("""COMPUTED_VALUE"""),114737)</f>
        <v>114737</v>
      </c>
      <c r="C2091" s="14">
        <f ca="1">IFERROR(__xludf.DUMMYFUNCTION("""COMPUTED_VALUE"""),3)</f>
        <v>3</v>
      </c>
      <c r="D2091" s="12" t="str">
        <f ca="1">IFERROR(__xludf.DUMMYFUNCTION("""COMPUTED_VALUE"""),"菅野 ぎんが")</f>
        <v>菅野 ぎんが</v>
      </c>
    </row>
    <row r="2092" spans="2:4" ht="13">
      <c r="B2092" s="12">
        <f ca="1">IFERROR(__xludf.DUMMYFUNCTION("""COMPUTED_VALUE"""),114740)</f>
        <v>114740</v>
      </c>
      <c r="C2092" s="14">
        <f ca="1">IFERROR(__xludf.DUMMYFUNCTION("""COMPUTED_VALUE"""),0)</f>
        <v>0</v>
      </c>
      <c r="D2092" s="12" t="str">
        <f ca="1">IFERROR(__xludf.DUMMYFUNCTION("""COMPUTED_VALUE"""),"成嶋 夏未")</f>
        <v>成嶋 夏未</v>
      </c>
    </row>
    <row r="2093" spans="2:4" ht="13">
      <c r="B2093" s="12">
        <f ca="1">IFERROR(__xludf.DUMMYFUNCTION("""COMPUTED_VALUE"""),114777)</f>
        <v>114777</v>
      </c>
      <c r="C2093" s="14">
        <f ca="1">IFERROR(__xludf.DUMMYFUNCTION("""COMPUTED_VALUE"""),0)</f>
        <v>0</v>
      </c>
      <c r="D2093" s="12" t="str">
        <f ca="1">IFERROR(__xludf.DUMMYFUNCTION("""COMPUTED_VALUE"""),"稲場 勇介")</f>
        <v>稲場 勇介</v>
      </c>
    </row>
    <row r="2094" spans="2:4" ht="13">
      <c r="B2094" s="12">
        <f ca="1">IFERROR(__xludf.DUMMYFUNCTION("""COMPUTED_VALUE"""),114782)</f>
        <v>114782</v>
      </c>
      <c r="C2094" s="14">
        <f ca="1">IFERROR(__xludf.DUMMYFUNCTION("""COMPUTED_VALUE"""),28)</f>
        <v>28</v>
      </c>
      <c r="D2094" s="12" t="str">
        <f ca="1">IFERROR(__xludf.DUMMYFUNCTION("""COMPUTED_VALUE"""),"老田 純輝")</f>
        <v>老田 純輝</v>
      </c>
    </row>
    <row r="2095" spans="2:4" ht="13">
      <c r="B2095" s="12">
        <f ca="1">IFERROR(__xludf.DUMMYFUNCTION("""COMPUTED_VALUE"""),114829)</f>
        <v>114829</v>
      </c>
      <c r="C2095" s="14">
        <f ca="1">IFERROR(__xludf.DUMMYFUNCTION("""COMPUTED_VALUE"""),2)</f>
        <v>2</v>
      </c>
      <c r="D2095" s="12" t="str">
        <f ca="1">IFERROR(__xludf.DUMMYFUNCTION("""COMPUTED_VALUE"""),"柿崎 晃司")</f>
        <v>柿崎 晃司</v>
      </c>
    </row>
    <row r="2096" spans="2:4" ht="13">
      <c r="B2096" s="12">
        <f ca="1">IFERROR(__xludf.DUMMYFUNCTION("""COMPUTED_VALUE"""),114858)</f>
        <v>114858</v>
      </c>
      <c r="C2096" s="14">
        <f ca="1">IFERROR(__xludf.DUMMYFUNCTION("""COMPUTED_VALUE"""),0)</f>
        <v>0</v>
      </c>
      <c r="D2096" s="12" t="str">
        <f ca="1">IFERROR(__xludf.DUMMYFUNCTION("""COMPUTED_VALUE"""),"成嶋 夏未")</f>
        <v>成嶋 夏未</v>
      </c>
    </row>
    <row r="2097" spans="2:4" ht="13">
      <c r="B2097" s="12">
        <f ca="1">IFERROR(__xludf.DUMMYFUNCTION("""COMPUTED_VALUE"""),114859)</f>
        <v>114859</v>
      </c>
      <c r="C2097" s="14">
        <f ca="1">IFERROR(__xludf.DUMMYFUNCTION("""COMPUTED_VALUE"""),0)</f>
        <v>0</v>
      </c>
      <c r="D2097" s="12" t="str">
        <f ca="1">IFERROR(__xludf.DUMMYFUNCTION("""COMPUTED_VALUE"""),"小関 麻起")</f>
        <v>小関 麻起</v>
      </c>
    </row>
    <row r="2098" spans="2:4" ht="13">
      <c r="B2098" s="12">
        <f ca="1">IFERROR(__xludf.DUMMYFUNCTION("""COMPUTED_VALUE"""),114867)</f>
        <v>114867</v>
      </c>
      <c r="C2098" s="14">
        <f ca="1">IFERROR(__xludf.DUMMYFUNCTION("""COMPUTED_VALUE"""),0)</f>
        <v>0</v>
      </c>
      <c r="D2098" s="12" t="str">
        <f ca="1">IFERROR(__xludf.DUMMYFUNCTION("""COMPUTED_VALUE"""),"荻曽 克輝")</f>
        <v>荻曽 克輝</v>
      </c>
    </row>
    <row r="2099" spans="2:4" ht="13">
      <c r="B2099" s="12">
        <f ca="1">IFERROR(__xludf.DUMMYFUNCTION("""COMPUTED_VALUE"""),114868)</f>
        <v>114868</v>
      </c>
      <c r="C2099" s="14">
        <f ca="1">IFERROR(__xludf.DUMMYFUNCTION("""COMPUTED_VALUE"""),6)</f>
        <v>6</v>
      </c>
      <c r="D2099" s="12" t="str">
        <f ca="1">IFERROR(__xludf.DUMMYFUNCTION("""COMPUTED_VALUE"""),"桑原 明子")</f>
        <v>桑原 明子</v>
      </c>
    </row>
    <row r="2100" spans="2:4" ht="13">
      <c r="B2100" s="12">
        <f ca="1">IFERROR(__xludf.DUMMYFUNCTION("""COMPUTED_VALUE"""),114870)</f>
        <v>114870</v>
      </c>
      <c r="C2100" s="14">
        <f ca="1">IFERROR(__xludf.DUMMYFUNCTION("""COMPUTED_VALUE"""),0)</f>
        <v>0</v>
      </c>
      <c r="D2100" s="12" t="str">
        <f ca="1">IFERROR(__xludf.DUMMYFUNCTION("""COMPUTED_VALUE"""),"松尾 尚樹")</f>
        <v>松尾 尚樹</v>
      </c>
    </row>
    <row r="2101" spans="2:4" ht="13">
      <c r="B2101" s="12">
        <f ca="1">IFERROR(__xludf.DUMMYFUNCTION("""COMPUTED_VALUE"""),114873)</f>
        <v>114873</v>
      </c>
      <c r="C2101" s="14">
        <f ca="1">IFERROR(__xludf.DUMMYFUNCTION("""COMPUTED_VALUE"""),0)</f>
        <v>0</v>
      </c>
      <c r="D2101" s="12" t="str">
        <f ca="1">IFERROR(__xludf.DUMMYFUNCTION("""COMPUTED_VALUE"""),"老田 純輝")</f>
        <v>老田 純輝</v>
      </c>
    </row>
    <row r="2102" spans="2:4" ht="13">
      <c r="B2102" s="12">
        <f ca="1">IFERROR(__xludf.DUMMYFUNCTION("""COMPUTED_VALUE"""),114894)</f>
        <v>114894</v>
      </c>
      <c r="C2102" s="14">
        <f ca="1">IFERROR(__xludf.DUMMYFUNCTION("""COMPUTED_VALUE"""),0)</f>
        <v>0</v>
      </c>
      <c r="D2102" s="12" t="str">
        <f ca="1">IFERROR(__xludf.DUMMYFUNCTION("""COMPUTED_VALUE"""),"小関 麻起")</f>
        <v>小関 麻起</v>
      </c>
    </row>
    <row r="2103" spans="2:4" ht="13">
      <c r="B2103" s="12">
        <f ca="1">IFERROR(__xludf.DUMMYFUNCTION("""COMPUTED_VALUE"""),114932)</f>
        <v>114932</v>
      </c>
      <c r="C2103" s="14">
        <f ca="1">IFERROR(__xludf.DUMMYFUNCTION("""COMPUTED_VALUE"""),9)</f>
        <v>9</v>
      </c>
      <c r="D2103" s="12" t="str">
        <f ca="1">IFERROR(__xludf.DUMMYFUNCTION("""COMPUTED_VALUE"""),"成嶋 夏未")</f>
        <v>成嶋 夏未</v>
      </c>
    </row>
    <row r="2104" spans="2:4" ht="13">
      <c r="B2104" s="12">
        <f ca="1">IFERROR(__xludf.DUMMYFUNCTION("""COMPUTED_VALUE"""),114941)</f>
        <v>114941</v>
      </c>
      <c r="C2104" s="14">
        <f ca="1">IFERROR(__xludf.DUMMYFUNCTION("""COMPUTED_VALUE"""),0)</f>
        <v>0</v>
      </c>
      <c r="D2104" s="12" t="str">
        <f ca="1">IFERROR(__xludf.DUMMYFUNCTION("""COMPUTED_VALUE"""),"大木 優香")</f>
        <v>大木 優香</v>
      </c>
    </row>
    <row r="2105" spans="2:4" ht="13">
      <c r="B2105" s="12">
        <f ca="1">IFERROR(__xludf.DUMMYFUNCTION("""COMPUTED_VALUE"""),114948)</f>
        <v>114948</v>
      </c>
      <c r="C2105" s="14">
        <f ca="1">IFERROR(__xludf.DUMMYFUNCTION("""COMPUTED_VALUE"""),0)</f>
        <v>0</v>
      </c>
      <c r="D2105" s="12" t="str">
        <f ca="1">IFERROR(__xludf.DUMMYFUNCTION("""COMPUTED_VALUE"""),"稲場 勇介")</f>
        <v>稲場 勇介</v>
      </c>
    </row>
    <row r="2106" spans="2:4" ht="13">
      <c r="B2106" s="12">
        <f ca="1">IFERROR(__xludf.DUMMYFUNCTION("""COMPUTED_VALUE"""),114949)</f>
        <v>114949</v>
      </c>
      <c r="C2106" s="14">
        <f ca="1">IFERROR(__xludf.DUMMYFUNCTION("""COMPUTED_VALUE"""),12)</f>
        <v>12</v>
      </c>
      <c r="D2106" s="12" t="str">
        <f ca="1">IFERROR(__xludf.DUMMYFUNCTION("""COMPUTED_VALUE"""),"村上 浩一朗")</f>
        <v>村上 浩一朗</v>
      </c>
    </row>
    <row r="2107" spans="2:4" ht="13">
      <c r="B2107" s="12">
        <f ca="1">IFERROR(__xludf.DUMMYFUNCTION("""COMPUTED_VALUE"""),114969)</f>
        <v>114969</v>
      </c>
      <c r="C2107" s="14">
        <f ca="1">IFERROR(__xludf.DUMMYFUNCTION("""COMPUTED_VALUE"""),2)</f>
        <v>2</v>
      </c>
      <c r="D2107" s="12" t="str">
        <f ca="1">IFERROR(__xludf.DUMMYFUNCTION("""COMPUTED_VALUE"""),"森 光智")</f>
        <v>森 光智</v>
      </c>
    </row>
    <row r="2108" spans="2:4" ht="13">
      <c r="B2108" s="12">
        <f ca="1">IFERROR(__xludf.DUMMYFUNCTION("""COMPUTED_VALUE"""),114973)</f>
        <v>114973</v>
      </c>
      <c r="C2108" s="14">
        <f ca="1">IFERROR(__xludf.DUMMYFUNCTION("""COMPUTED_VALUE"""),40)</f>
        <v>40</v>
      </c>
      <c r="D2108" s="12" t="str">
        <f ca="1">IFERROR(__xludf.DUMMYFUNCTION("""COMPUTED_VALUE"""),"奥野 貴大")</f>
        <v>奥野 貴大</v>
      </c>
    </row>
    <row r="2109" spans="2:4" ht="13">
      <c r="B2109" s="12">
        <f ca="1">IFERROR(__xludf.DUMMYFUNCTION("""COMPUTED_VALUE"""),114988)</f>
        <v>114988</v>
      </c>
      <c r="C2109" s="14">
        <f ca="1">IFERROR(__xludf.DUMMYFUNCTION("""COMPUTED_VALUE"""),18)</f>
        <v>18</v>
      </c>
      <c r="D2109" s="12" t="str">
        <f ca="1">IFERROR(__xludf.DUMMYFUNCTION("""COMPUTED_VALUE"""),"辻村 将大")</f>
        <v>辻村 将大</v>
      </c>
    </row>
    <row r="2110" spans="2:4" ht="13">
      <c r="B2110" s="12">
        <f ca="1">IFERROR(__xludf.DUMMYFUNCTION("""COMPUTED_VALUE"""),114989)</f>
        <v>114989</v>
      </c>
      <c r="C2110" s="14">
        <f ca="1">IFERROR(__xludf.DUMMYFUNCTION("""COMPUTED_VALUE"""),0)</f>
        <v>0</v>
      </c>
      <c r="D2110" s="12" t="str">
        <f ca="1">IFERROR(__xludf.DUMMYFUNCTION("""COMPUTED_VALUE"""),"辻村 将大")</f>
        <v>辻村 将大</v>
      </c>
    </row>
    <row r="2111" spans="2:4" ht="13">
      <c r="B2111" s="12">
        <f ca="1">IFERROR(__xludf.DUMMYFUNCTION("""COMPUTED_VALUE"""),114990)</f>
        <v>114990</v>
      </c>
      <c r="C2111" s="14">
        <f ca="1">IFERROR(__xludf.DUMMYFUNCTION("""COMPUTED_VALUE"""),5)</f>
        <v>5</v>
      </c>
      <c r="D2111" s="12" t="str">
        <f ca="1">IFERROR(__xludf.DUMMYFUNCTION("""COMPUTED_VALUE"""),"辻村 将大")</f>
        <v>辻村 将大</v>
      </c>
    </row>
    <row r="2112" spans="2:4" ht="13">
      <c r="B2112" s="12">
        <f ca="1">IFERROR(__xludf.DUMMYFUNCTION("""COMPUTED_VALUE"""),114991)</f>
        <v>114991</v>
      </c>
      <c r="C2112" s="14">
        <f ca="1">IFERROR(__xludf.DUMMYFUNCTION("""COMPUTED_VALUE"""),0)</f>
        <v>0</v>
      </c>
      <c r="D2112" s="12" t="str">
        <f ca="1">IFERROR(__xludf.DUMMYFUNCTION("""COMPUTED_VALUE"""),"辻村 将大")</f>
        <v>辻村 将大</v>
      </c>
    </row>
    <row r="2113" spans="2:4" ht="13">
      <c r="B2113" s="12">
        <f ca="1">IFERROR(__xludf.DUMMYFUNCTION("""COMPUTED_VALUE"""),114992)</f>
        <v>114992</v>
      </c>
      <c r="C2113" s="14">
        <f ca="1">IFERROR(__xludf.DUMMYFUNCTION("""COMPUTED_VALUE"""),12)</f>
        <v>12</v>
      </c>
      <c r="D2113" s="12" t="str">
        <f ca="1">IFERROR(__xludf.DUMMYFUNCTION("""COMPUTED_VALUE"""),"辻村 将大")</f>
        <v>辻村 将大</v>
      </c>
    </row>
    <row r="2114" spans="2:4" ht="13">
      <c r="B2114" s="12">
        <f ca="1">IFERROR(__xludf.DUMMYFUNCTION("""COMPUTED_VALUE"""),114993)</f>
        <v>114993</v>
      </c>
      <c r="C2114" s="14">
        <f ca="1">IFERROR(__xludf.DUMMYFUNCTION("""COMPUTED_VALUE"""),15)</f>
        <v>15</v>
      </c>
      <c r="D2114" s="12" t="str">
        <f ca="1">IFERROR(__xludf.DUMMYFUNCTION("""COMPUTED_VALUE"""),"辻村 将大")</f>
        <v>辻村 将大</v>
      </c>
    </row>
    <row r="2115" spans="2:4" ht="13">
      <c r="B2115" s="12">
        <f ca="1">IFERROR(__xludf.DUMMYFUNCTION("""COMPUTED_VALUE"""),115005)</f>
        <v>115005</v>
      </c>
      <c r="C2115" s="14">
        <f ca="1">IFERROR(__xludf.DUMMYFUNCTION("""COMPUTED_VALUE"""),0)</f>
        <v>0</v>
      </c>
      <c r="D2115" s="12" t="str">
        <f ca="1">IFERROR(__xludf.DUMMYFUNCTION("""COMPUTED_VALUE"""),"成嶋 夏未")</f>
        <v>成嶋 夏未</v>
      </c>
    </row>
    <row r="2116" spans="2:4" ht="13">
      <c r="B2116" s="12">
        <f ca="1">IFERROR(__xludf.DUMMYFUNCTION("""COMPUTED_VALUE"""),115006)</f>
        <v>115006</v>
      </c>
      <c r="C2116" s="14">
        <f ca="1">IFERROR(__xludf.DUMMYFUNCTION("""COMPUTED_VALUE"""),0)</f>
        <v>0</v>
      </c>
      <c r="D2116" s="12" t="str">
        <f ca="1">IFERROR(__xludf.DUMMYFUNCTION("""COMPUTED_VALUE"""),"成嶋 夏未")</f>
        <v>成嶋 夏未</v>
      </c>
    </row>
    <row r="2117" spans="2:4" ht="13">
      <c r="B2117" s="12">
        <f ca="1">IFERROR(__xludf.DUMMYFUNCTION("""COMPUTED_VALUE"""),115037)</f>
        <v>115037</v>
      </c>
      <c r="C2117" s="14">
        <f ca="1">IFERROR(__xludf.DUMMYFUNCTION("""COMPUTED_VALUE"""),58)</f>
        <v>58</v>
      </c>
      <c r="D2117" s="12" t="str">
        <f ca="1">IFERROR(__xludf.DUMMYFUNCTION("""COMPUTED_VALUE"""),"村上 浩一朗")</f>
        <v>村上 浩一朗</v>
      </c>
    </row>
    <row r="2118" spans="2:4" ht="13">
      <c r="B2118" s="12">
        <f ca="1">IFERROR(__xludf.DUMMYFUNCTION("""COMPUTED_VALUE"""),115047)</f>
        <v>115047</v>
      </c>
      <c r="C2118" s="14">
        <f ca="1">IFERROR(__xludf.DUMMYFUNCTION("""COMPUTED_VALUE"""),14)</f>
        <v>14</v>
      </c>
      <c r="D2118" s="12" t="str">
        <f ca="1">IFERROR(__xludf.DUMMYFUNCTION("""COMPUTED_VALUE"""),"辻村 将大")</f>
        <v>辻村 将大</v>
      </c>
    </row>
    <row r="2119" spans="2:4" ht="13">
      <c r="B2119" s="12">
        <f ca="1">IFERROR(__xludf.DUMMYFUNCTION("""COMPUTED_VALUE"""),115051)</f>
        <v>115051</v>
      </c>
      <c r="C2119" s="14">
        <f ca="1">IFERROR(__xludf.DUMMYFUNCTION("""COMPUTED_VALUE"""),28)</f>
        <v>28</v>
      </c>
      <c r="D2119" s="12" t="str">
        <f ca="1">IFERROR(__xludf.DUMMYFUNCTION("""COMPUTED_VALUE"""),"成嶋 夏未")</f>
        <v>成嶋 夏未</v>
      </c>
    </row>
    <row r="2120" spans="2:4" ht="13">
      <c r="B2120" s="12">
        <f ca="1">IFERROR(__xludf.DUMMYFUNCTION("""COMPUTED_VALUE"""),115060)</f>
        <v>115060</v>
      </c>
      <c r="C2120" s="14">
        <f ca="1">IFERROR(__xludf.DUMMYFUNCTION("""COMPUTED_VALUE"""),19)</f>
        <v>19</v>
      </c>
      <c r="D2120" s="12" t="str">
        <f ca="1">IFERROR(__xludf.DUMMYFUNCTION("""COMPUTED_VALUE"""),"老田 純輝")</f>
        <v>老田 純輝</v>
      </c>
    </row>
    <row r="2121" spans="2:4" ht="13">
      <c r="B2121" s="12">
        <f ca="1">IFERROR(__xludf.DUMMYFUNCTION("""COMPUTED_VALUE"""),115061)</f>
        <v>115061</v>
      </c>
      <c r="C2121" s="14">
        <f ca="1">IFERROR(__xludf.DUMMYFUNCTION("""COMPUTED_VALUE"""),0)</f>
        <v>0</v>
      </c>
      <c r="D2121" s="12" t="str">
        <f ca="1">IFERROR(__xludf.DUMMYFUNCTION("""COMPUTED_VALUE"""),"小関 麻起")</f>
        <v>小関 麻起</v>
      </c>
    </row>
    <row r="2122" spans="2:4" ht="13">
      <c r="B2122" s="12">
        <f ca="1">IFERROR(__xludf.DUMMYFUNCTION("""COMPUTED_VALUE"""),115063)</f>
        <v>115063</v>
      </c>
      <c r="C2122" s="14">
        <f ca="1">IFERROR(__xludf.DUMMYFUNCTION("""COMPUTED_VALUE"""),2)</f>
        <v>2</v>
      </c>
      <c r="D2122" s="12" t="str">
        <f ca="1">IFERROR(__xludf.DUMMYFUNCTION("""COMPUTED_VALUE"""),"稲場 勇介")</f>
        <v>稲場 勇介</v>
      </c>
    </row>
    <row r="2123" spans="2:4" ht="13">
      <c r="B2123" s="12">
        <f ca="1">IFERROR(__xludf.DUMMYFUNCTION("""COMPUTED_VALUE"""),115067)</f>
        <v>115067</v>
      </c>
      <c r="C2123" s="14">
        <f ca="1">IFERROR(__xludf.DUMMYFUNCTION("""COMPUTED_VALUE"""),1)</f>
        <v>1</v>
      </c>
      <c r="D2123" s="12" t="str">
        <f ca="1">IFERROR(__xludf.DUMMYFUNCTION("""COMPUTED_VALUE"""),"長谷川 陸朗")</f>
        <v>長谷川 陸朗</v>
      </c>
    </row>
    <row r="2124" spans="2:4" ht="13">
      <c r="B2124" s="12">
        <f ca="1">IFERROR(__xludf.DUMMYFUNCTION("""COMPUTED_VALUE"""),115071)</f>
        <v>115071</v>
      </c>
      <c r="C2124" s="14">
        <f ca="1">IFERROR(__xludf.DUMMYFUNCTION("""COMPUTED_VALUE"""),0)</f>
        <v>0</v>
      </c>
      <c r="D2124" s="12" t="str">
        <f ca="1">IFERROR(__xludf.DUMMYFUNCTION("""COMPUTED_VALUE"""),"長谷川 陸朗")</f>
        <v>長谷川 陸朗</v>
      </c>
    </row>
    <row r="2125" spans="2:4" ht="13">
      <c r="B2125" s="12">
        <f ca="1">IFERROR(__xludf.DUMMYFUNCTION("""COMPUTED_VALUE"""),115076)</f>
        <v>115076</v>
      </c>
      <c r="C2125" s="14">
        <f ca="1">IFERROR(__xludf.DUMMYFUNCTION("""COMPUTED_VALUE"""),0)</f>
        <v>0</v>
      </c>
      <c r="D2125" s="12" t="str">
        <f ca="1">IFERROR(__xludf.DUMMYFUNCTION("""COMPUTED_VALUE"""),"稲場 勇介")</f>
        <v>稲場 勇介</v>
      </c>
    </row>
    <row r="2126" spans="2:4" ht="13">
      <c r="B2126" s="12">
        <f ca="1">IFERROR(__xludf.DUMMYFUNCTION("""COMPUTED_VALUE"""),115086)</f>
        <v>115086</v>
      </c>
      <c r="C2126" s="14">
        <f ca="1">IFERROR(__xludf.DUMMYFUNCTION("""COMPUTED_VALUE"""),9)</f>
        <v>9</v>
      </c>
      <c r="D2126" s="12" t="str">
        <f ca="1">IFERROR(__xludf.DUMMYFUNCTION("""COMPUTED_VALUE"""),"菅野 ぎんが")</f>
        <v>菅野 ぎんが</v>
      </c>
    </row>
    <row r="2127" spans="2:4" ht="13">
      <c r="B2127" s="12">
        <f ca="1">IFERROR(__xludf.DUMMYFUNCTION("""COMPUTED_VALUE"""),115091)</f>
        <v>115091</v>
      </c>
      <c r="C2127" s="14">
        <f ca="1">IFERROR(__xludf.DUMMYFUNCTION("""COMPUTED_VALUE"""),9)</f>
        <v>9</v>
      </c>
      <c r="D2127" s="12" t="str">
        <f ca="1">IFERROR(__xludf.DUMMYFUNCTION("""COMPUTED_VALUE"""),"桐山 勝気")</f>
        <v>桐山 勝気</v>
      </c>
    </row>
    <row r="2128" spans="2:4" ht="13">
      <c r="B2128" s="12">
        <f ca="1">IFERROR(__xludf.DUMMYFUNCTION("""COMPUTED_VALUE"""),115093)</f>
        <v>115093</v>
      </c>
      <c r="C2128" s="14">
        <f ca="1">IFERROR(__xludf.DUMMYFUNCTION("""COMPUTED_VALUE"""),27)</f>
        <v>27</v>
      </c>
      <c r="D2128" s="12" t="str">
        <f ca="1">IFERROR(__xludf.DUMMYFUNCTION("""COMPUTED_VALUE"""),"稲場 勇介")</f>
        <v>稲場 勇介</v>
      </c>
    </row>
    <row r="2129" spans="2:4" ht="13">
      <c r="B2129" s="12">
        <f ca="1">IFERROR(__xludf.DUMMYFUNCTION("""COMPUTED_VALUE"""),115108)</f>
        <v>115108</v>
      </c>
      <c r="C2129" s="14">
        <f ca="1">IFERROR(__xludf.DUMMYFUNCTION("""COMPUTED_VALUE"""),0)</f>
        <v>0</v>
      </c>
      <c r="D2129" s="12" t="str">
        <f ca="1">IFERROR(__xludf.DUMMYFUNCTION("""COMPUTED_VALUE"""),"稲場 勇介")</f>
        <v>稲場 勇介</v>
      </c>
    </row>
    <row r="2130" spans="2:4" ht="13">
      <c r="B2130" s="12">
        <f ca="1">IFERROR(__xludf.DUMMYFUNCTION("""COMPUTED_VALUE"""),115110)</f>
        <v>115110</v>
      </c>
      <c r="C2130" s="14">
        <f ca="1">IFERROR(__xludf.DUMMYFUNCTION("""COMPUTED_VALUE"""),0)</f>
        <v>0</v>
      </c>
      <c r="D2130" s="12" t="str">
        <f ca="1">IFERROR(__xludf.DUMMYFUNCTION("""COMPUTED_VALUE"""),"松尾 尚樹")</f>
        <v>松尾 尚樹</v>
      </c>
    </row>
    <row r="2131" spans="2:4" ht="13">
      <c r="B2131" s="12">
        <f ca="1">IFERROR(__xludf.DUMMYFUNCTION("""COMPUTED_VALUE"""),115116)</f>
        <v>115116</v>
      </c>
      <c r="C2131" s="14">
        <f ca="1">IFERROR(__xludf.DUMMYFUNCTION("""COMPUTED_VALUE"""),58)</f>
        <v>58</v>
      </c>
      <c r="D2131" s="12" t="str">
        <f ca="1">IFERROR(__xludf.DUMMYFUNCTION("""COMPUTED_VALUE"""),"菅野 ぎんが")</f>
        <v>菅野 ぎんが</v>
      </c>
    </row>
    <row r="2132" spans="2:4" ht="13">
      <c r="B2132" s="12">
        <f ca="1">IFERROR(__xludf.DUMMYFUNCTION("""COMPUTED_VALUE"""),115120)</f>
        <v>115120</v>
      </c>
      <c r="C2132" s="14">
        <f ca="1">IFERROR(__xludf.DUMMYFUNCTION("""COMPUTED_VALUE"""),0)</f>
        <v>0</v>
      </c>
      <c r="D2132" s="12" t="str">
        <f ca="1">IFERROR(__xludf.DUMMYFUNCTION("""COMPUTED_VALUE"""),"稲場 勇介")</f>
        <v>稲場 勇介</v>
      </c>
    </row>
    <row r="2133" spans="2:4" ht="13">
      <c r="B2133" s="12">
        <f ca="1">IFERROR(__xludf.DUMMYFUNCTION("""COMPUTED_VALUE"""),115126)</f>
        <v>115126</v>
      </c>
      <c r="C2133" s="14">
        <f ca="1">IFERROR(__xludf.DUMMYFUNCTION("""COMPUTED_VALUE"""),0)</f>
        <v>0</v>
      </c>
      <c r="D2133" s="12" t="str">
        <f ca="1">IFERROR(__xludf.DUMMYFUNCTION("""COMPUTED_VALUE"""),"稲場 勇介")</f>
        <v>稲場 勇介</v>
      </c>
    </row>
    <row r="2134" spans="2:4" ht="13">
      <c r="B2134" s="12">
        <f ca="1">IFERROR(__xludf.DUMMYFUNCTION("""COMPUTED_VALUE"""),115130)</f>
        <v>115130</v>
      </c>
      <c r="C2134" s="14">
        <f ca="1">IFERROR(__xludf.DUMMYFUNCTION("""COMPUTED_VALUE"""),0)</f>
        <v>0</v>
      </c>
      <c r="D2134" s="12" t="str">
        <f ca="1">IFERROR(__xludf.DUMMYFUNCTION("""COMPUTED_VALUE"""),"村上 浩一朗")</f>
        <v>村上 浩一朗</v>
      </c>
    </row>
    <row r="2135" spans="2:4" ht="13">
      <c r="B2135" s="12">
        <f ca="1">IFERROR(__xludf.DUMMYFUNCTION("""COMPUTED_VALUE"""),115135)</f>
        <v>115135</v>
      </c>
      <c r="C2135" s="14">
        <f ca="1">IFERROR(__xludf.DUMMYFUNCTION("""COMPUTED_VALUE"""),0)</f>
        <v>0</v>
      </c>
      <c r="D2135" s="12" t="str">
        <f ca="1">IFERROR(__xludf.DUMMYFUNCTION("""COMPUTED_VALUE"""),"小関 麻起")</f>
        <v>小関 麻起</v>
      </c>
    </row>
    <row r="2136" spans="2:4" ht="13">
      <c r="B2136" s="12">
        <f ca="1">IFERROR(__xludf.DUMMYFUNCTION("""COMPUTED_VALUE"""),115142)</f>
        <v>115142</v>
      </c>
      <c r="C2136" s="14">
        <f ca="1">IFERROR(__xludf.DUMMYFUNCTION("""COMPUTED_VALUE"""),0)</f>
        <v>0</v>
      </c>
      <c r="D2136" s="12" t="str">
        <f ca="1">IFERROR(__xludf.DUMMYFUNCTION("""COMPUTED_VALUE"""),"菅野 ぎんが")</f>
        <v>菅野 ぎんが</v>
      </c>
    </row>
    <row r="2137" spans="2:4" ht="13">
      <c r="B2137" s="12">
        <f ca="1">IFERROR(__xludf.DUMMYFUNCTION("""COMPUTED_VALUE"""),115143)</f>
        <v>115143</v>
      </c>
      <c r="C2137" s="14">
        <f ca="1">IFERROR(__xludf.DUMMYFUNCTION("""COMPUTED_VALUE"""),0)</f>
        <v>0</v>
      </c>
      <c r="D2137" s="12" t="str">
        <f ca="1">IFERROR(__xludf.DUMMYFUNCTION("""COMPUTED_VALUE"""),"成嶋 夏未")</f>
        <v>成嶋 夏未</v>
      </c>
    </row>
    <row r="2138" spans="2:4" ht="13">
      <c r="B2138" s="12">
        <f ca="1">IFERROR(__xludf.DUMMYFUNCTION("""COMPUTED_VALUE"""),115144)</f>
        <v>115144</v>
      </c>
      <c r="C2138" s="14">
        <f ca="1">IFERROR(__xludf.DUMMYFUNCTION("""COMPUTED_VALUE"""),0)</f>
        <v>0</v>
      </c>
      <c r="D2138" s="12" t="str">
        <f ca="1">IFERROR(__xludf.DUMMYFUNCTION("""COMPUTED_VALUE"""),"桐山 勝気")</f>
        <v>桐山 勝気</v>
      </c>
    </row>
    <row r="2139" spans="2:4" ht="13">
      <c r="B2139" s="12">
        <f ca="1">IFERROR(__xludf.DUMMYFUNCTION("""COMPUTED_VALUE"""),115168)</f>
        <v>115168</v>
      </c>
      <c r="C2139" s="14">
        <f ca="1">IFERROR(__xludf.DUMMYFUNCTION("""COMPUTED_VALUE"""),0)</f>
        <v>0</v>
      </c>
      <c r="D2139" s="12" t="str">
        <f ca="1">IFERROR(__xludf.DUMMYFUNCTION("""COMPUTED_VALUE"""),"稲場 勇介")</f>
        <v>稲場 勇介</v>
      </c>
    </row>
    <row r="2140" spans="2:4" ht="13">
      <c r="B2140" s="12">
        <f ca="1">IFERROR(__xludf.DUMMYFUNCTION("""COMPUTED_VALUE"""),115169)</f>
        <v>115169</v>
      </c>
      <c r="C2140" s="14">
        <f ca="1">IFERROR(__xludf.DUMMYFUNCTION("""COMPUTED_VALUE"""),6)</f>
        <v>6</v>
      </c>
      <c r="D2140" s="12" t="str">
        <f ca="1">IFERROR(__xludf.DUMMYFUNCTION("""COMPUTED_VALUE"""),"柿崎 晃司")</f>
        <v>柿崎 晃司</v>
      </c>
    </row>
    <row r="2141" spans="2:4" ht="13">
      <c r="B2141" s="12">
        <f ca="1">IFERROR(__xludf.DUMMYFUNCTION("""COMPUTED_VALUE"""),115170)</f>
        <v>115170</v>
      </c>
      <c r="C2141" s="14">
        <f ca="1">IFERROR(__xludf.DUMMYFUNCTION("""COMPUTED_VALUE"""),1)</f>
        <v>1</v>
      </c>
      <c r="D2141" s="12" t="str">
        <f ca="1">IFERROR(__xludf.DUMMYFUNCTION("""COMPUTED_VALUE"""),"柿崎 晃司")</f>
        <v>柿崎 晃司</v>
      </c>
    </row>
    <row r="2142" spans="2:4" ht="13">
      <c r="B2142" s="12">
        <f ca="1">IFERROR(__xludf.DUMMYFUNCTION("""COMPUTED_VALUE"""),115173)</f>
        <v>115173</v>
      </c>
      <c r="C2142" s="14">
        <f ca="1">IFERROR(__xludf.DUMMYFUNCTION("""COMPUTED_VALUE"""),0)</f>
        <v>0</v>
      </c>
      <c r="D2142" s="12" t="str">
        <f ca="1">IFERROR(__xludf.DUMMYFUNCTION("""COMPUTED_VALUE"""),"堀越 駿")</f>
        <v>堀越 駿</v>
      </c>
    </row>
    <row r="2143" spans="2:4" ht="13">
      <c r="B2143" s="12">
        <f ca="1">IFERROR(__xludf.DUMMYFUNCTION("""COMPUTED_VALUE"""),115176)</f>
        <v>115176</v>
      </c>
      <c r="C2143" s="14">
        <f ca="1">IFERROR(__xludf.DUMMYFUNCTION("""COMPUTED_VALUE"""),0)</f>
        <v>0</v>
      </c>
      <c r="D2143" s="12" t="str">
        <f ca="1">IFERROR(__xludf.DUMMYFUNCTION("""COMPUTED_VALUE"""),"老田 純輝")</f>
        <v>老田 純輝</v>
      </c>
    </row>
    <row r="2144" spans="2:4" ht="13">
      <c r="B2144" s="12">
        <f ca="1">IFERROR(__xludf.DUMMYFUNCTION("""COMPUTED_VALUE"""),115177)</f>
        <v>115177</v>
      </c>
      <c r="C2144" s="14">
        <f ca="1">IFERROR(__xludf.DUMMYFUNCTION("""COMPUTED_VALUE"""),0)</f>
        <v>0</v>
      </c>
      <c r="D2144" s="12" t="str">
        <f ca="1">IFERROR(__xludf.DUMMYFUNCTION("""COMPUTED_VALUE"""),"栗原 大武")</f>
        <v>栗原 大武</v>
      </c>
    </row>
    <row r="2145" spans="2:4" ht="13">
      <c r="B2145" s="12">
        <f ca="1">IFERROR(__xludf.DUMMYFUNCTION("""COMPUTED_VALUE"""),115194)</f>
        <v>115194</v>
      </c>
      <c r="C2145" s="14">
        <f ca="1">IFERROR(__xludf.DUMMYFUNCTION("""COMPUTED_VALUE"""),0)</f>
        <v>0</v>
      </c>
      <c r="D2145" s="12" t="str">
        <f ca="1">IFERROR(__xludf.DUMMYFUNCTION("""COMPUTED_VALUE"""),"成嶋 夏未")</f>
        <v>成嶋 夏未</v>
      </c>
    </row>
    <row r="2146" spans="2:4" ht="13">
      <c r="B2146" s="12">
        <f ca="1">IFERROR(__xludf.DUMMYFUNCTION("""COMPUTED_VALUE"""),115199)</f>
        <v>115199</v>
      </c>
      <c r="C2146" s="14">
        <f ca="1">IFERROR(__xludf.DUMMYFUNCTION("""COMPUTED_VALUE"""),17)</f>
        <v>17</v>
      </c>
      <c r="D2146" s="12" t="str">
        <f ca="1">IFERROR(__xludf.DUMMYFUNCTION("""COMPUTED_VALUE"""),"桐山 勝気")</f>
        <v>桐山 勝気</v>
      </c>
    </row>
    <row r="2147" spans="2:4" ht="13">
      <c r="B2147" s="12">
        <f ca="1">IFERROR(__xludf.DUMMYFUNCTION("""COMPUTED_VALUE"""),115204)</f>
        <v>115204</v>
      </c>
      <c r="C2147" s="14">
        <f ca="1">IFERROR(__xludf.DUMMYFUNCTION("""COMPUTED_VALUE"""),0)</f>
        <v>0</v>
      </c>
      <c r="D2147" s="12" t="str">
        <f ca="1">IFERROR(__xludf.DUMMYFUNCTION("""COMPUTED_VALUE"""),"栗原 大武")</f>
        <v>栗原 大武</v>
      </c>
    </row>
    <row r="2148" spans="2:4" ht="13">
      <c r="B2148" s="12">
        <f ca="1">IFERROR(__xludf.DUMMYFUNCTION("""COMPUTED_VALUE"""),115218)</f>
        <v>115218</v>
      </c>
      <c r="C2148" s="14">
        <f ca="1">IFERROR(__xludf.DUMMYFUNCTION("""COMPUTED_VALUE"""),0)</f>
        <v>0</v>
      </c>
      <c r="D2148" s="12" t="str">
        <f ca="1">IFERROR(__xludf.DUMMYFUNCTION("""COMPUTED_VALUE"""),"菅野 ぎんが")</f>
        <v>菅野 ぎんが</v>
      </c>
    </row>
    <row r="2149" spans="2:4" ht="13">
      <c r="B2149" s="12">
        <f ca="1">IFERROR(__xludf.DUMMYFUNCTION("""COMPUTED_VALUE"""),115219)</f>
        <v>115219</v>
      </c>
      <c r="C2149" s="14">
        <f ca="1">IFERROR(__xludf.DUMMYFUNCTION("""COMPUTED_VALUE"""),0)</f>
        <v>0</v>
      </c>
      <c r="D2149" s="12" t="str">
        <f ca="1">IFERROR(__xludf.DUMMYFUNCTION("""COMPUTED_VALUE"""),"栗原 大武")</f>
        <v>栗原 大武</v>
      </c>
    </row>
    <row r="2150" spans="2:4" ht="13">
      <c r="B2150" s="12">
        <f ca="1">IFERROR(__xludf.DUMMYFUNCTION("""COMPUTED_VALUE"""),115225)</f>
        <v>115225</v>
      </c>
      <c r="C2150" s="14">
        <f ca="1">IFERROR(__xludf.DUMMYFUNCTION("""COMPUTED_VALUE"""),168)</f>
        <v>168</v>
      </c>
      <c r="D2150" s="12" t="str">
        <f ca="1">IFERROR(__xludf.DUMMYFUNCTION("""COMPUTED_VALUE"""),"柿崎 晃司")</f>
        <v>柿崎 晃司</v>
      </c>
    </row>
    <row r="2151" spans="2:4" ht="13">
      <c r="B2151" s="12">
        <f ca="1">IFERROR(__xludf.DUMMYFUNCTION("""COMPUTED_VALUE"""),115232)</f>
        <v>115232</v>
      </c>
      <c r="C2151" s="14">
        <f ca="1">IFERROR(__xludf.DUMMYFUNCTION("""COMPUTED_VALUE"""),0)</f>
        <v>0</v>
      </c>
      <c r="D2151" s="12" t="str">
        <f ca="1">IFERROR(__xludf.DUMMYFUNCTION("""COMPUTED_VALUE"""),"小関 麻起")</f>
        <v>小関 麻起</v>
      </c>
    </row>
    <row r="2152" spans="2:4" ht="13">
      <c r="B2152" s="12">
        <f ca="1">IFERROR(__xludf.DUMMYFUNCTION("""COMPUTED_VALUE"""),115234)</f>
        <v>115234</v>
      </c>
      <c r="C2152" s="14">
        <f ca="1">IFERROR(__xludf.DUMMYFUNCTION("""COMPUTED_VALUE"""),0)</f>
        <v>0</v>
      </c>
      <c r="D2152" s="12" t="str">
        <f ca="1">IFERROR(__xludf.DUMMYFUNCTION("""COMPUTED_VALUE"""),"小関 麻起")</f>
        <v>小関 麻起</v>
      </c>
    </row>
    <row r="2153" spans="2:4" ht="13">
      <c r="B2153" s="12">
        <f ca="1">IFERROR(__xludf.DUMMYFUNCTION("""COMPUTED_VALUE"""),115235)</f>
        <v>115235</v>
      </c>
      <c r="C2153" s="14">
        <f ca="1">IFERROR(__xludf.DUMMYFUNCTION("""COMPUTED_VALUE"""),0)</f>
        <v>0</v>
      </c>
      <c r="D2153" s="12" t="str">
        <f ca="1">IFERROR(__xludf.DUMMYFUNCTION("""COMPUTED_VALUE"""),"菅野 ぎんが")</f>
        <v>菅野 ぎんが</v>
      </c>
    </row>
    <row r="2154" spans="2:4" ht="13">
      <c r="B2154" s="12">
        <f ca="1">IFERROR(__xludf.DUMMYFUNCTION("""COMPUTED_VALUE"""),115246)</f>
        <v>115246</v>
      </c>
      <c r="C2154" s="14">
        <f ca="1">IFERROR(__xludf.DUMMYFUNCTION("""COMPUTED_VALUE"""),0)</f>
        <v>0</v>
      </c>
      <c r="D2154" s="12" t="str">
        <f ca="1">IFERROR(__xludf.DUMMYFUNCTION("""COMPUTED_VALUE"""),"菅野 ぎんが")</f>
        <v>菅野 ぎんが</v>
      </c>
    </row>
    <row r="2155" spans="2:4" ht="13">
      <c r="B2155" s="12">
        <f ca="1">IFERROR(__xludf.DUMMYFUNCTION("""COMPUTED_VALUE"""),115253)</f>
        <v>115253</v>
      </c>
      <c r="C2155" s="14">
        <f ca="1">IFERROR(__xludf.DUMMYFUNCTION("""COMPUTED_VALUE"""),0)</f>
        <v>0</v>
      </c>
      <c r="D2155" s="12" t="str">
        <f ca="1">IFERROR(__xludf.DUMMYFUNCTION("""COMPUTED_VALUE"""),"堀越 駿")</f>
        <v>堀越 駿</v>
      </c>
    </row>
    <row r="2156" spans="2:4" ht="13">
      <c r="B2156" s="12">
        <f ca="1">IFERROR(__xludf.DUMMYFUNCTION("""COMPUTED_VALUE"""),115283)</f>
        <v>115283</v>
      </c>
      <c r="C2156" s="14">
        <f ca="1">IFERROR(__xludf.DUMMYFUNCTION("""COMPUTED_VALUE"""),0)</f>
        <v>0</v>
      </c>
      <c r="D2156" s="12" t="str">
        <f ca="1">IFERROR(__xludf.DUMMYFUNCTION("""COMPUTED_VALUE"""),"桑原 明子")</f>
        <v>桑原 明子</v>
      </c>
    </row>
    <row r="2157" spans="2:4" ht="13">
      <c r="B2157" s="12">
        <f ca="1">IFERROR(__xludf.DUMMYFUNCTION("""COMPUTED_VALUE"""),115290)</f>
        <v>115290</v>
      </c>
      <c r="C2157" s="14">
        <f ca="1">IFERROR(__xludf.DUMMYFUNCTION("""COMPUTED_VALUE"""),0)</f>
        <v>0</v>
      </c>
      <c r="D2157" s="12" t="str">
        <f ca="1">IFERROR(__xludf.DUMMYFUNCTION("""COMPUTED_VALUE"""),"長谷川 陸朗")</f>
        <v>長谷川 陸朗</v>
      </c>
    </row>
    <row r="2158" spans="2:4" ht="13">
      <c r="B2158" s="12">
        <f ca="1">IFERROR(__xludf.DUMMYFUNCTION("""COMPUTED_VALUE"""),115293)</f>
        <v>115293</v>
      </c>
      <c r="C2158" s="14">
        <f ca="1">IFERROR(__xludf.DUMMYFUNCTION("""COMPUTED_VALUE"""),0)</f>
        <v>0</v>
      </c>
      <c r="D2158" s="12" t="str">
        <f ca="1">IFERROR(__xludf.DUMMYFUNCTION("""COMPUTED_VALUE"""),"成嶋 夏未")</f>
        <v>成嶋 夏未</v>
      </c>
    </row>
    <row r="2159" spans="2:4" ht="13">
      <c r="B2159" s="12">
        <f ca="1">IFERROR(__xludf.DUMMYFUNCTION("""COMPUTED_VALUE"""),115295)</f>
        <v>115295</v>
      </c>
      <c r="C2159" s="14">
        <f ca="1">IFERROR(__xludf.DUMMYFUNCTION("""COMPUTED_VALUE"""),0)</f>
        <v>0</v>
      </c>
      <c r="D2159" s="12" t="str">
        <f ca="1">IFERROR(__xludf.DUMMYFUNCTION("""COMPUTED_VALUE"""),"荻曽 克輝")</f>
        <v>荻曽 克輝</v>
      </c>
    </row>
    <row r="2160" spans="2:4" ht="13">
      <c r="B2160" s="12">
        <f ca="1">IFERROR(__xludf.DUMMYFUNCTION("""COMPUTED_VALUE"""),115297)</f>
        <v>115297</v>
      </c>
      <c r="C2160" s="14">
        <f ca="1">IFERROR(__xludf.DUMMYFUNCTION("""COMPUTED_VALUE"""),0)</f>
        <v>0</v>
      </c>
      <c r="D2160" s="12" t="str">
        <f ca="1">IFERROR(__xludf.DUMMYFUNCTION("""COMPUTED_VALUE"""),"栗原 大武")</f>
        <v>栗原 大武</v>
      </c>
    </row>
    <row r="2161" spans="2:4" ht="13">
      <c r="B2161" s="12">
        <f ca="1">IFERROR(__xludf.DUMMYFUNCTION("""COMPUTED_VALUE"""),115307)</f>
        <v>115307</v>
      </c>
      <c r="C2161" s="14">
        <f ca="1">IFERROR(__xludf.DUMMYFUNCTION("""COMPUTED_VALUE"""),0)</f>
        <v>0</v>
      </c>
      <c r="D2161" s="12" t="str">
        <f ca="1">IFERROR(__xludf.DUMMYFUNCTION("""COMPUTED_VALUE"""),"松尾 尚樹")</f>
        <v>松尾 尚樹</v>
      </c>
    </row>
    <row r="2162" spans="2:4" ht="13">
      <c r="B2162" s="12">
        <f ca="1">IFERROR(__xludf.DUMMYFUNCTION("""COMPUTED_VALUE"""),115336)</f>
        <v>115336</v>
      </c>
      <c r="C2162" s="14">
        <f ca="1">IFERROR(__xludf.DUMMYFUNCTION("""COMPUTED_VALUE"""),0)</f>
        <v>0</v>
      </c>
      <c r="D2162" s="12" t="str">
        <f ca="1">IFERROR(__xludf.DUMMYFUNCTION("""COMPUTED_VALUE"""),"松尾 尚樹")</f>
        <v>松尾 尚樹</v>
      </c>
    </row>
    <row r="2163" spans="2:4" ht="13">
      <c r="B2163" s="12">
        <f ca="1">IFERROR(__xludf.DUMMYFUNCTION("""COMPUTED_VALUE"""),115341)</f>
        <v>115341</v>
      </c>
      <c r="C2163" s="14">
        <f ca="1">IFERROR(__xludf.DUMMYFUNCTION("""COMPUTED_VALUE"""),72)</f>
        <v>72</v>
      </c>
      <c r="D2163" s="12" t="str">
        <f ca="1">IFERROR(__xludf.DUMMYFUNCTION("""COMPUTED_VALUE"""),"柿崎 晃司")</f>
        <v>柿崎 晃司</v>
      </c>
    </row>
    <row r="2164" spans="2:4" ht="13">
      <c r="B2164" s="12">
        <f ca="1">IFERROR(__xludf.DUMMYFUNCTION("""COMPUTED_VALUE"""),115343)</f>
        <v>115343</v>
      </c>
      <c r="C2164" s="14">
        <f ca="1">IFERROR(__xludf.DUMMYFUNCTION("""COMPUTED_VALUE"""),83)</f>
        <v>83</v>
      </c>
      <c r="D2164" s="12" t="str">
        <f ca="1">IFERROR(__xludf.DUMMYFUNCTION("""COMPUTED_VALUE"""),"内丸 裕子")</f>
        <v>内丸 裕子</v>
      </c>
    </row>
    <row r="2165" spans="2:4" ht="13">
      <c r="B2165" s="12">
        <f ca="1">IFERROR(__xludf.DUMMYFUNCTION("""COMPUTED_VALUE"""),115346)</f>
        <v>115346</v>
      </c>
      <c r="C2165" s="14">
        <f ca="1">IFERROR(__xludf.DUMMYFUNCTION("""COMPUTED_VALUE"""),0)</f>
        <v>0</v>
      </c>
      <c r="D2165" s="12" t="str">
        <f ca="1">IFERROR(__xludf.DUMMYFUNCTION("""COMPUTED_VALUE"""),"成嶋 夏未")</f>
        <v>成嶋 夏未</v>
      </c>
    </row>
    <row r="2166" spans="2:4" ht="13">
      <c r="B2166" s="12">
        <f ca="1">IFERROR(__xludf.DUMMYFUNCTION("""COMPUTED_VALUE"""),115348)</f>
        <v>115348</v>
      </c>
      <c r="C2166" s="14">
        <f ca="1">IFERROR(__xludf.DUMMYFUNCTION("""COMPUTED_VALUE"""),0)</f>
        <v>0</v>
      </c>
      <c r="D2166" s="12" t="str">
        <f ca="1">IFERROR(__xludf.DUMMYFUNCTION("""COMPUTED_VALUE"""),"成嶋 夏未")</f>
        <v>成嶋 夏未</v>
      </c>
    </row>
    <row r="2167" spans="2:4" ht="13">
      <c r="B2167" s="12">
        <f ca="1">IFERROR(__xludf.DUMMYFUNCTION("""COMPUTED_VALUE"""),115357)</f>
        <v>115357</v>
      </c>
      <c r="C2167" s="14">
        <f ca="1">IFERROR(__xludf.DUMMYFUNCTION("""COMPUTED_VALUE"""),0)</f>
        <v>0</v>
      </c>
      <c r="D2167" s="12" t="str">
        <f ca="1">IFERROR(__xludf.DUMMYFUNCTION("""COMPUTED_VALUE"""),"松尾 尚樹")</f>
        <v>松尾 尚樹</v>
      </c>
    </row>
    <row r="2168" spans="2:4" ht="13">
      <c r="B2168" s="12">
        <f ca="1">IFERROR(__xludf.DUMMYFUNCTION("""COMPUTED_VALUE"""),115358)</f>
        <v>115358</v>
      </c>
      <c r="C2168" s="14">
        <f ca="1">IFERROR(__xludf.DUMMYFUNCTION("""COMPUTED_VALUE"""),9)</f>
        <v>9</v>
      </c>
      <c r="D2168" s="12" t="str">
        <f ca="1">IFERROR(__xludf.DUMMYFUNCTION("""COMPUTED_VALUE"""),"大木 優香")</f>
        <v>大木 優香</v>
      </c>
    </row>
    <row r="2169" spans="2:4" ht="13">
      <c r="B2169" s="12">
        <f ca="1">IFERROR(__xludf.DUMMYFUNCTION("""COMPUTED_VALUE"""),115374)</f>
        <v>115374</v>
      </c>
      <c r="C2169" s="14">
        <f ca="1">IFERROR(__xludf.DUMMYFUNCTION("""COMPUTED_VALUE"""),0)</f>
        <v>0</v>
      </c>
      <c r="D2169" s="12" t="str">
        <f ca="1">IFERROR(__xludf.DUMMYFUNCTION("""COMPUTED_VALUE"""),"松尾 尚樹")</f>
        <v>松尾 尚樹</v>
      </c>
    </row>
    <row r="2170" spans="2:4" ht="13">
      <c r="B2170" s="12">
        <f ca="1">IFERROR(__xludf.DUMMYFUNCTION("""COMPUTED_VALUE"""),115389)</f>
        <v>115389</v>
      </c>
      <c r="C2170" s="14">
        <f ca="1">IFERROR(__xludf.DUMMYFUNCTION("""COMPUTED_VALUE"""),0)</f>
        <v>0</v>
      </c>
      <c r="D2170" s="12" t="str">
        <f ca="1">IFERROR(__xludf.DUMMYFUNCTION("""COMPUTED_VALUE"""),"小関 麻起")</f>
        <v>小関 麻起</v>
      </c>
    </row>
    <row r="2171" spans="2:4" ht="13">
      <c r="B2171" s="12">
        <f ca="1">IFERROR(__xludf.DUMMYFUNCTION("""COMPUTED_VALUE"""),115395)</f>
        <v>115395</v>
      </c>
      <c r="C2171" s="14">
        <f ca="1">IFERROR(__xludf.DUMMYFUNCTION("""COMPUTED_VALUE"""),0)</f>
        <v>0</v>
      </c>
      <c r="D2171" s="12" t="str">
        <f ca="1">IFERROR(__xludf.DUMMYFUNCTION("""COMPUTED_VALUE"""),"稲場 勇介")</f>
        <v>稲場 勇介</v>
      </c>
    </row>
    <row r="2172" spans="2:4" ht="13">
      <c r="B2172" s="12">
        <f ca="1">IFERROR(__xludf.DUMMYFUNCTION("""COMPUTED_VALUE"""),115397)</f>
        <v>115397</v>
      </c>
      <c r="C2172" s="14">
        <f ca="1">IFERROR(__xludf.DUMMYFUNCTION("""COMPUTED_VALUE"""),0)</f>
        <v>0</v>
      </c>
      <c r="D2172" s="12" t="str">
        <f ca="1">IFERROR(__xludf.DUMMYFUNCTION("""COMPUTED_VALUE"""),"栗原 大武")</f>
        <v>栗原 大武</v>
      </c>
    </row>
    <row r="2173" spans="2:4" ht="13">
      <c r="B2173" s="12">
        <f ca="1">IFERROR(__xludf.DUMMYFUNCTION("""COMPUTED_VALUE"""),115406)</f>
        <v>115406</v>
      </c>
      <c r="C2173" s="14">
        <f ca="1">IFERROR(__xludf.DUMMYFUNCTION("""COMPUTED_VALUE"""),0)</f>
        <v>0</v>
      </c>
      <c r="D2173" s="12" t="str">
        <f ca="1">IFERROR(__xludf.DUMMYFUNCTION("""COMPUTED_VALUE"""),"荻曽 克輝")</f>
        <v>荻曽 克輝</v>
      </c>
    </row>
    <row r="2174" spans="2:4" ht="13">
      <c r="B2174" s="12">
        <f ca="1">IFERROR(__xludf.DUMMYFUNCTION("""COMPUTED_VALUE"""),115412)</f>
        <v>115412</v>
      </c>
      <c r="C2174" s="14">
        <f ca="1">IFERROR(__xludf.DUMMYFUNCTION("""COMPUTED_VALUE"""),0)</f>
        <v>0</v>
      </c>
      <c r="D2174" s="12" t="str">
        <f ca="1">IFERROR(__xludf.DUMMYFUNCTION("""COMPUTED_VALUE"""),"栗原 大武")</f>
        <v>栗原 大武</v>
      </c>
    </row>
    <row r="2175" spans="2:4" ht="13">
      <c r="B2175" s="12">
        <f ca="1">IFERROR(__xludf.DUMMYFUNCTION("""COMPUTED_VALUE"""),115423)</f>
        <v>115423</v>
      </c>
      <c r="C2175" s="14">
        <f ca="1">IFERROR(__xludf.DUMMYFUNCTION("""COMPUTED_VALUE"""),0)</f>
        <v>0</v>
      </c>
      <c r="D2175" s="12" t="str">
        <f ca="1">IFERROR(__xludf.DUMMYFUNCTION("""COMPUTED_VALUE"""),"荻曽 克輝")</f>
        <v>荻曽 克輝</v>
      </c>
    </row>
    <row r="2176" spans="2:4" ht="13">
      <c r="B2176" s="12">
        <f ca="1">IFERROR(__xludf.DUMMYFUNCTION("""COMPUTED_VALUE"""),115429)</f>
        <v>115429</v>
      </c>
      <c r="C2176" s="14">
        <f ca="1">IFERROR(__xludf.DUMMYFUNCTION("""COMPUTED_VALUE"""),0)</f>
        <v>0</v>
      </c>
      <c r="D2176" s="12" t="str">
        <f ca="1">IFERROR(__xludf.DUMMYFUNCTION("""COMPUTED_VALUE"""),"老田 純輝")</f>
        <v>老田 純輝</v>
      </c>
    </row>
    <row r="2177" spans="2:4" ht="13">
      <c r="B2177" s="12">
        <f ca="1">IFERROR(__xludf.DUMMYFUNCTION("""COMPUTED_VALUE"""),115431)</f>
        <v>115431</v>
      </c>
      <c r="C2177" s="14">
        <f ca="1">IFERROR(__xludf.DUMMYFUNCTION("""COMPUTED_VALUE"""),0)</f>
        <v>0</v>
      </c>
      <c r="D2177" s="12" t="str">
        <f ca="1">IFERROR(__xludf.DUMMYFUNCTION("""COMPUTED_VALUE"""),"成嶋 夏未")</f>
        <v>成嶋 夏未</v>
      </c>
    </row>
    <row r="2178" spans="2:4" ht="13">
      <c r="B2178" s="12">
        <f ca="1">IFERROR(__xludf.DUMMYFUNCTION("""COMPUTED_VALUE"""),115438)</f>
        <v>115438</v>
      </c>
      <c r="C2178" s="14">
        <f ca="1">IFERROR(__xludf.DUMMYFUNCTION("""COMPUTED_VALUE"""),0)</f>
        <v>0</v>
      </c>
      <c r="D2178" s="12" t="str">
        <f ca="1">IFERROR(__xludf.DUMMYFUNCTION("""COMPUTED_VALUE"""),"小関 麻起")</f>
        <v>小関 麻起</v>
      </c>
    </row>
    <row r="2179" spans="2:4" ht="13">
      <c r="B2179" s="12">
        <f ca="1">IFERROR(__xludf.DUMMYFUNCTION("""COMPUTED_VALUE"""),115448)</f>
        <v>115448</v>
      </c>
      <c r="C2179" s="14">
        <f ca="1">IFERROR(__xludf.DUMMYFUNCTION("""COMPUTED_VALUE"""),0)</f>
        <v>0</v>
      </c>
      <c r="D2179" s="12" t="str">
        <f ca="1">IFERROR(__xludf.DUMMYFUNCTION("""COMPUTED_VALUE"""),"老田 純輝")</f>
        <v>老田 純輝</v>
      </c>
    </row>
    <row r="2180" spans="2:4" ht="13">
      <c r="B2180" s="12">
        <f ca="1">IFERROR(__xludf.DUMMYFUNCTION("""COMPUTED_VALUE"""),115461)</f>
        <v>115461</v>
      </c>
      <c r="C2180" s="14">
        <f ca="1">IFERROR(__xludf.DUMMYFUNCTION("""COMPUTED_VALUE"""),0)</f>
        <v>0</v>
      </c>
      <c r="D2180" s="12" t="str">
        <f ca="1">IFERROR(__xludf.DUMMYFUNCTION("""COMPUTED_VALUE"""),"稲場 勇介")</f>
        <v>稲場 勇介</v>
      </c>
    </row>
    <row r="2181" spans="2:4" ht="13">
      <c r="B2181" s="12">
        <f ca="1">IFERROR(__xludf.DUMMYFUNCTION("""COMPUTED_VALUE"""),115465)</f>
        <v>115465</v>
      </c>
      <c r="C2181" s="14">
        <f ca="1">IFERROR(__xludf.DUMMYFUNCTION("""COMPUTED_VALUE"""),4)</f>
        <v>4</v>
      </c>
      <c r="D2181" s="12" t="str">
        <f ca="1">IFERROR(__xludf.DUMMYFUNCTION("""COMPUTED_VALUE"""),"小関 麻起")</f>
        <v>小関 麻起</v>
      </c>
    </row>
    <row r="2182" spans="2:4" ht="13">
      <c r="B2182" s="12">
        <f ca="1">IFERROR(__xludf.DUMMYFUNCTION("""COMPUTED_VALUE"""),115479)</f>
        <v>115479</v>
      </c>
      <c r="C2182" s="14">
        <f ca="1">IFERROR(__xludf.DUMMYFUNCTION("""COMPUTED_VALUE"""),0)</f>
        <v>0</v>
      </c>
      <c r="D2182" s="12" t="str">
        <f ca="1">IFERROR(__xludf.DUMMYFUNCTION("""COMPUTED_VALUE"""),"稲場 勇介")</f>
        <v>稲場 勇介</v>
      </c>
    </row>
    <row r="2183" spans="2:4" ht="13">
      <c r="B2183" s="12">
        <f ca="1">IFERROR(__xludf.DUMMYFUNCTION("""COMPUTED_VALUE"""),115480)</f>
        <v>115480</v>
      </c>
      <c r="C2183" s="14">
        <f ca="1">IFERROR(__xludf.DUMMYFUNCTION("""COMPUTED_VALUE"""),0)</f>
        <v>0</v>
      </c>
      <c r="D2183" s="12" t="str">
        <f ca="1">IFERROR(__xludf.DUMMYFUNCTION("""COMPUTED_VALUE"""),"稲場 勇介")</f>
        <v>稲場 勇介</v>
      </c>
    </row>
    <row r="2184" spans="2:4" ht="13">
      <c r="B2184" s="12">
        <f ca="1">IFERROR(__xludf.DUMMYFUNCTION("""COMPUTED_VALUE"""),115482)</f>
        <v>115482</v>
      </c>
      <c r="C2184" s="14">
        <f ca="1">IFERROR(__xludf.DUMMYFUNCTION("""COMPUTED_VALUE"""),0)</f>
        <v>0</v>
      </c>
      <c r="D2184" s="12" t="str">
        <f ca="1">IFERROR(__xludf.DUMMYFUNCTION("""COMPUTED_VALUE"""),"成嶋 夏未")</f>
        <v>成嶋 夏未</v>
      </c>
    </row>
    <row r="2185" spans="2:4" ht="13">
      <c r="B2185" s="12">
        <f ca="1">IFERROR(__xludf.DUMMYFUNCTION("""COMPUTED_VALUE"""),115490)</f>
        <v>115490</v>
      </c>
      <c r="C2185" s="14">
        <f ca="1">IFERROR(__xludf.DUMMYFUNCTION("""COMPUTED_VALUE"""),30)</f>
        <v>30</v>
      </c>
      <c r="D2185" s="12" t="str">
        <f ca="1">IFERROR(__xludf.DUMMYFUNCTION("""COMPUTED_VALUE"""),"松尾 尚樹")</f>
        <v>松尾 尚樹</v>
      </c>
    </row>
    <row r="2186" spans="2:4" ht="13">
      <c r="B2186" s="12">
        <f ca="1">IFERROR(__xludf.DUMMYFUNCTION("""COMPUTED_VALUE"""),115491)</f>
        <v>115491</v>
      </c>
      <c r="C2186" s="14">
        <f ca="1">IFERROR(__xludf.DUMMYFUNCTION("""COMPUTED_VALUE"""),0)</f>
        <v>0</v>
      </c>
      <c r="D2186" s="12" t="str">
        <f ca="1">IFERROR(__xludf.DUMMYFUNCTION("""COMPUTED_VALUE"""),"松尾 尚樹")</f>
        <v>松尾 尚樹</v>
      </c>
    </row>
    <row r="2187" spans="2:4" ht="13">
      <c r="B2187" s="12">
        <f ca="1">IFERROR(__xludf.DUMMYFUNCTION("""COMPUTED_VALUE"""),115492)</f>
        <v>115492</v>
      </c>
      <c r="C2187" s="14">
        <f ca="1">IFERROR(__xludf.DUMMYFUNCTION("""COMPUTED_VALUE"""),0)</f>
        <v>0</v>
      </c>
      <c r="D2187" s="12" t="str">
        <f ca="1">IFERROR(__xludf.DUMMYFUNCTION("""COMPUTED_VALUE"""),"松尾 尚樹")</f>
        <v>松尾 尚樹</v>
      </c>
    </row>
    <row r="2188" spans="2:4" ht="13">
      <c r="B2188" s="12">
        <f ca="1">IFERROR(__xludf.DUMMYFUNCTION("""COMPUTED_VALUE"""),115499)</f>
        <v>115499</v>
      </c>
      <c r="C2188" s="14">
        <f ca="1">IFERROR(__xludf.DUMMYFUNCTION("""COMPUTED_VALUE"""),0)</f>
        <v>0</v>
      </c>
      <c r="D2188" s="12" t="str">
        <f ca="1">IFERROR(__xludf.DUMMYFUNCTION("""COMPUTED_VALUE"""),"森 光智")</f>
        <v>森 光智</v>
      </c>
    </row>
    <row r="2189" spans="2:4" ht="13">
      <c r="B2189" s="12">
        <f ca="1">IFERROR(__xludf.DUMMYFUNCTION("""COMPUTED_VALUE"""),115513)</f>
        <v>115513</v>
      </c>
      <c r="C2189" s="14">
        <f ca="1">IFERROR(__xludf.DUMMYFUNCTION("""COMPUTED_VALUE"""),0)</f>
        <v>0</v>
      </c>
      <c r="D2189" s="12" t="str">
        <f ca="1">IFERROR(__xludf.DUMMYFUNCTION("""COMPUTED_VALUE"""),"成嶋 夏未")</f>
        <v>成嶋 夏未</v>
      </c>
    </row>
    <row r="2190" spans="2:4" ht="13">
      <c r="B2190" s="12">
        <f ca="1">IFERROR(__xludf.DUMMYFUNCTION("""COMPUTED_VALUE"""),115514)</f>
        <v>115514</v>
      </c>
      <c r="C2190" s="14">
        <f ca="1">IFERROR(__xludf.DUMMYFUNCTION("""COMPUTED_VALUE"""),10)</f>
        <v>10</v>
      </c>
      <c r="D2190" s="12" t="str">
        <f ca="1">IFERROR(__xludf.DUMMYFUNCTION("""COMPUTED_VALUE"""),"堀越 駿")</f>
        <v>堀越 駿</v>
      </c>
    </row>
    <row r="2191" spans="2:4" ht="13">
      <c r="B2191" s="12">
        <f ca="1">IFERROR(__xludf.DUMMYFUNCTION("""COMPUTED_VALUE"""),115524)</f>
        <v>115524</v>
      </c>
      <c r="C2191" s="14">
        <f ca="1">IFERROR(__xludf.DUMMYFUNCTION("""COMPUTED_VALUE"""),0)</f>
        <v>0</v>
      </c>
      <c r="D2191" s="12" t="str">
        <f ca="1">IFERROR(__xludf.DUMMYFUNCTION("""COMPUTED_VALUE"""),"成嶋 夏未")</f>
        <v>成嶋 夏未</v>
      </c>
    </row>
    <row r="2192" spans="2:4" ht="13">
      <c r="B2192" s="12">
        <f ca="1">IFERROR(__xludf.DUMMYFUNCTION("""COMPUTED_VALUE"""),115529)</f>
        <v>115529</v>
      </c>
      <c r="C2192" s="14">
        <f ca="1">IFERROR(__xludf.DUMMYFUNCTION("""COMPUTED_VALUE"""),0)</f>
        <v>0</v>
      </c>
      <c r="D2192" s="12" t="str">
        <f ca="1">IFERROR(__xludf.DUMMYFUNCTION("""COMPUTED_VALUE"""),"小関 麻起")</f>
        <v>小関 麻起</v>
      </c>
    </row>
    <row r="2193" spans="2:4" ht="13">
      <c r="B2193" s="12">
        <f ca="1">IFERROR(__xludf.DUMMYFUNCTION("""COMPUTED_VALUE"""),115532)</f>
        <v>115532</v>
      </c>
      <c r="C2193" s="14">
        <f ca="1">IFERROR(__xludf.DUMMYFUNCTION("""COMPUTED_VALUE"""),0)</f>
        <v>0</v>
      </c>
      <c r="D2193" s="12" t="str">
        <f ca="1">IFERROR(__xludf.DUMMYFUNCTION("""COMPUTED_VALUE"""),"辻村 将大")</f>
        <v>辻村 将大</v>
      </c>
    </row>
    <row r="2194" spans="2:4" ht="13">
      <c r="B2194" s="12">
        <f ca="1">IFERROR(__xludf.DUMMYFUNCTION("""COMPUTED_VALUE"""),115534)</f>
        <v>115534</v>
      </c>
      <c r="C2194" s="14">
        <f ca="1">IFERROR(__xludf.DUMMYFUNCTION("""COMPUTED_VALUE"""),0)</f>
        <v>0</v>
      </c>
      <c r="D2194" s="12" t="str">
        <f ca="1">IFERROR(__xludf.DUMMYFUNCTION("""COMPUTED_VALUE"""),"成嶋 夏未")</f>
        <v>成嶋 夏未</v>
      </c>
    </row>
    <row r="2195" spans="2:4" ht="13">
      <c r="B2195" s="12">
        <f ca="1">IFERROR(__xludf.DUMMYFUNCTION("""COMPUTED_VALUE"""),115540)</f>
        <v>115540</v>
      </c>
      <c r="C2195" s="14">
        <f ca="1">IFERROR(__xludf.DUMMYFUNCTION("""COMPUTED_VALUE"""),0)</f>
        <v>0</v>
      </c>
      <c r="D2195" s="12" t="str">
        <f ca="1">IFERROR(__xludf.DUMMYFUNCTION("""COMPUTED_VALUE"""),"松尾 尚樹")</f>
        <v>松尾 尚樹</v>
      </c>
    </row>
    <row r="2196" spans="2:4" ht="13">
      <c r="B2196" s="12">
        <f ca="1">IFERROR(__xludf.DUMMYFUNCTION("""COMPUTED_VALUE"""),115546)</f>
        <v>115546</v>
      </c>
      <c r="C2196" s="14">
        <f ca="1">IFERROR(__xludf.DUMMYFUNCTION("""COMPUTED_VALUE"""),0)</f>
        <v>0</v>
      </c>
      <c r="D2196" s="12" t="str">
        <f ca="1">IFERROR(__xludf.DUMMYFUNCTION("""COMPUTED_VALUE"""),"荻曽 克輝")</f>
        <v>荻曽 克輝</v>
      </c>
    </row>
    <row r="2197" spans="2:4" ht="13">
      <c r="B2197" s="12">
        <f ca="1">IFERROR(__xludf.DUMMYFUNCTION("""COMPUTED_VALUE"""),115560)</f>
        <v>115560</v>
      </c>
      <c r="C2197" s="14">
        <f ca="1">IFERROR(__xludf.DUMMYFUNCTION("""COMPUTED_VALUE"""),0)</f>
        <v>0</v>
      </c>
      <c r="D2197" s="12" t="str">
        <f ca="1">IFERROR(__xludf.DUMMYFUNCTION("""COMPUTED_VALUE"""),"老田 純輝")</f>
        <v>老田 純輝</v>
      </c>
    </row>
    <row r="2198" spans="2:4" ht="13">
      <c r="B2198" s="12">
        <f ca="1">IFERROR(__xludf.DUMMYFUNCTION("""COMPUTED_VALUE"""),115562)</f>
        <v>115562</v>
      </c>
      <c r="C2198" s="14">
        <f ca="1">IFERROR(__xludf.DUMMYFUNCTION("""COMPUTED_VALUE"""),0)</f>
        <v>0</v>
      </c>
      <c r="D2198" s="12" t="str">
        <f ca="1">IFERROR(__xludf.DUMMYFUNCTION("""COMPUTED_VALUE"""),"松尾 尚樹")</f>
        <v>松尾 尚樹</v>
      </c>
    </row>
    <row r="2199" spans="2:4" ht="13">
      <c r="B2199" s="12">
        <f ca="1">IFERROR(__xludf.DUMMYFUNCTION("""COMPUTED_VALUE"""),115566)</f>
        <v>115566</v>
      </c>
      <c r="C2199" s="14">
        <f ca="1">IFERROR(__xludf.DUMMYFUNCTION("""COMPUTED_VALUE"""),13)</f>
        <v>13</v>
      </c>
      <c r="D2199" s="12" t="str">
        <f ca="1">IFERROR(__xludf.DUMMYFUNCTION("""COMPUTED_VALUE"""),"桐山 勝気")</f>
        <v>桐山 勝気</v>
      </c>
    </row>
    <row r="2200" spans="2:4" ht="13">
      <c r="B2200" s="12">
        <f ca="1">IFERROR(__xludf.DUMMYFUNCTION("""COMPUTED_VALUE"""),115571)</f>
        <v>115571</v>
      </c>
      <c r="C2200" s="14">
        <f ca="1">IFERROR(__xludf.DUMMYFUNCTION("""COMPUTED_VALUE"""),0)</f>
        <v>0</v>
      </c>
      <c r="D2200" s="12" t="str">
        <f ca="1">IFERROR(__xludf.DUMMYFUNCTION("""COMPUTED_VALUE"""),"稲場 勇介")</f>
        <v>稲場 勇介</v>
      </c>
    </row>
    <row r="2201" spans="2:4" ht="13">
      <c r="B2201" s="12">
        <f ca="1">IFERROR(__xludf.DUMMYFUNCTION("""COMPUTED_VALUE"""),115574)</f>
        <v>115574</v>
      </c>
      <c r="C2201" s="14">
        <f ca="1">IFERROR(__xludf.DUMMYFUNCTION("""COMPUTED_VALUE"""),0)</f>
        <v>0</v>
      </c>
      <c r="D2201" s="12" t="str">
        <f ca="1">IFERROR(__xludf.DUMMYFUNCTION("""COMPUTED_VALUE"""),"小関 麻起")</f>
        <v>小関 麻起</v>
      </c>
    </row>
    <row r="2202" spans="2:4" ht="13">
      <c r="B2202" s="12">
        <f ca="1">IFERROR(__xludf.DUMMYFUNCTION("""COMPUTED_VALUE"""),115590)</f>
        <v>115590</v>
      </c>
      <c r="C2202" s="14">
        <f ca="1">IFERROR(__xludf.DUMMYFUNCTION("""COMPUTED_VALUE"""),0)</f>
        <v>0</v>
      </c>
      <c r="D2202" s="12" t="str">
        <f ca="1">IFERROR(__xludf.DUMMYFUNCTION("""COMPUTED_VALUE"""),"長谷川 陸朗")</f>
        <v>長谷川 陸朗</v>
      </c>
    </row>
    <row r="2203" spans="2:4" ht="13">
      <c r="B2203" s="12">
        <f ca="1">IFERROR(__xludf.DUMMYFUNCTION("""COMPUTED_VALUE"""),115604)</f>
        <v>115604</v>
      </c>
      <c r="C2203" s="14">
        <f ca="1">IFERROR(__xludf.DUMMYFUNCTION("""COMPUTED_VALUE"""),0)</f>
        <v>0</v>
      </c>
      <c r="D2203" s="12" t="str">
        <f ca="1">IFERROR(__xludf.DUMMYFUNCTION("""COMPUTED_VALUE"""),"小川 純")</f>
        <v>小川 純</v>
      </c>
    </row>
    <row r="2204" spans="2:4" ht="13">
      <c r="B2204" s="12">
        <f ca="1">IFERROR(__xludf.DUMMYFUNCTION("""COMPUTED_VALUE"""),115613)</f>
        <v>115613</v>
      </c>
      <c r="C2204" s="14">
        <f ca="1">IFERROR(__xludf.DUMMYFUNCTION("""COMPUTED_VALUE"""),0)</f>
        <v>0</v>
      </c>
      <c r="D2204" s="12" t="str">
        <f ca="1">IFERROR(__xludf.DUMMYFUNCTION("""COMPUTED_VALUE"""),"成嶋 夏未")</f>
        <v>成嶋 夏未</v>
      </c>
    </row>
    <row r="2205" spans="2:4" ht="13">
      <c r="B2205" s="12">
        <f ca="1">IFERROR(__xludf.DUMMYFUNCTION("""COMPUTED_VALUE"""),115617)</f>
        <v>115617</v>
      </c>
      <c r="C2205" s="14">
        <f ca="1">IFERROR(__xludf.DUMMYFUNCTION("""COMPUTED_VALUE"""),0)</f>
        <v>0</v>
      </c>
      <c r="D2205" s="12" t="str">
        <f ca="1">IFERROR(__xludf.DUMMYFUNCTION("""COMPUTED_VALUE"""),"松尾 尚樹")</f>
        <v>松尾 尚樹</v>
      </c>
    </row>
    <row r="2206" spans="2:4" ht="13">
      <c r="B2206" s="12">
        <f ca="1">IFERROR(__xludf.DUMMYFUNCTION("""COMPUTED_VALUE"""),115620)</f>
        <v>115620</v>
      </c>
      <c r="C2206" s="14">
        <f ca="1">IFERROR(__xludf.DUMMYFUNCTION("""COMPUTED_VALUE"""),1)</f>
        <v>1</v>
      </c>
      <c r="D2206" s="12" t="str">
        <f ca="1">IFERROR(__xludf.DUMMYFUNCTION("""COMPUTED_VALUE"""),"松尾 尚樹")</f>
        <v>松尾 尚樹</v>
      </c>
    </row>
    <row r="2207" spans="2:4" ht="13">
      <c r="B2207" s="12">
        <f ca="1">IFERROR(__xludf.DUMMYFUNCTION("""COMPUTED_VALUE"""),115621)</f>
        <v>115621</v>
      </c>
      <c r="C2207" s="14">
        <f ca="1">IFERROR(__xludf.DUMMYFUNCTION("""COMPUTED_VALUE"""),0)</f>
        <v>0</v>
      </c>
      <c r="D2207" s="12" t="str">
        <f ca="1">IFERROR(__xludf.DUMMYFUNCTION("""COMPUTED_VALUE"""),"荻曽 克輝")</f>
        <v>荻曽 克輝</v>
      </c>
    </row>
    <row r="2208" spans="2:4" ht="13">
      <c r="B2208" s="12">
        <f ca="1">IFERROR(__xludf.DUMMYFUNCTION("""COMPUTED_VALUE"""),115631)</f>
        <v>115631</v>
      </c>
      <c r="C2208" s="14">
        <f ca="1">IFERROR(__xludf.DUMMYFUNCTION("""COMPUTED_VALUE"""),0)</f>
        <v>0</v>
      </c>
      <c r="D2208" s="12" t="str">
        <f ca="1">IFERROR(__xludf.DUMMYFUNCTION("""COMPUTED_VALUE"""),"成嶋 夏未")</f>
        <v>成嶋 夏未</v>
      </c>
    </row>
    <row r="2209" spans="2:4" ht="13">
      <c r="B2209" s="12">
        <f ca="1">IFERROR(__xludf.DUMMYFUNCTION("""COMPUTED_VALUE"""),115632)</f>
        <v>115632</v>
      </c>
      <c r="C2209" s="14">
        <f ca="1">IFERROR(__xludf.DUMMYFUNCTION("""COMPUTED_VALUE"""),0)</f>
        <v>0</v>
      </c>
      <c r="D2209" s="12" t="str">
        <f ca="1">IFERROR(__xludf.DUMMYFUNCTION("""COMPUTED_VALUE"""),"小関 麻起")</f>
        <v>小関 麻起</v>
      </c>
    </row>
    <row r="2210" spans="2:4" ht="13">
      <c r="B2210" s="12">
        <f ca="1">IFERROR(__xludf.DUMMYFUNCTION("""COMPUTED_VALUE"""),115633)</f>
        <v>115633</v>
      </c>
      <c r="C2210" s="14">
        <f ca="1">IFERROR(__xludf.DUMMYFUNCTION("""COMPUTED_VALUE"""),0)</f>
        <v>0</v>
      </c>
      <c r="D2210" s="12" t="str">
        <f ca="1">IFERROR(__xludf.DUMMYFUNCTION("""COMPUTED_VALUE"""),"小関 麻起")</f>
        <v>小関 麻起</v>
      </c>
    </row>
    <row r="2211" spans="2:4" ht="13">
      <c r="B2211" s="12">
        <f ca="1">IFERROR(__xludf.DUMMYFUNCTION("""COMPUTED_VALUE"""),115634)</f>
        <v>115634</v>
      </c>
      <c r="C2211" s="14">
        <f ca="1">IFERROR(__xludf.DUMMYFUNCTION("""COMPUTED_VALUE"""),0)</f>
        <v>0</v>
      </c>
      <c r="D2211" s="12" t="str">
        <f ca="1">IFERROR(__xludf.DUMMYFUNCTION("""COMPUTED_VALUE"""),"成嶋 夏未")</f>
        <v>成嶋 夏未</v>
      </c>
    </row>
    <row r="2212" spans="2:4" ht="13">
      <c r="B2212" s="12">
        <f ca="1">IFERROR(__xludf.DUMMYFUNCTION("""COMPUTED_VALUE"""),115635)</f>
        <v>115635</v>
      </c>
      <c r="C2212" s="14">
        <f ca="1">IFERROR(__xludf.DUMMYFUNCTION("""COMPUTED_VALUE"""),0)</f>
        <v>0</v>
      </c>
      <c r="D2212" s="12" t="str">
        <f ca="1">IFERROR(__xludf.DUMMYFUNCTION("""COMPUTED_VALUE"""),"菅野 ぎんが")</f>
        <v>菅野 ぎんが</v>
      </c>
    </row>
    <row r="2213" spans="2:4" ht="13">
      <c r="B2213" s="12">
        <f ca="1">IFERROR(__xludf.DUMMYFUNCTION("""COMPUTED_VALUE"""),115636)</f>
        <v>115636</v>
      </c>
      <c r="C2213" s="14">
        <f ca="1">IFERROR(__xludf.DUMMYFUNCTION("""COMPUTED_VALUE"""),0)</f>
        <v>0</v>
      </c>
      <c r="D2213" s="12" t="str">
        <f ca="1">IFERROR(__xludf.DUMMYFUNCTION("""COMPUTED_VALUE"""),"荻曽 克輝")</f>
        <v>荻曽 克輝</v>
      </c>
    </row>
    <row r="2214" spans="2:4" ht="13">
      <c r="B2214" s="12">
        <f ca="1">IFERROR(__xludf.DUMMYFUNCTION("""COMPUTED_VALUE"""),115637)</f>
        <v>115637</v>
      </c>
      <c r="C2214" s="14">
        <f ca="1">IFERROR(__xludf.DUMMYFUNCTION("""COMPUTED_VALUE"""),0)</f>
        <v>0</v>
      </c>
      <c r="D2214" s="12" t="str">
        <f ca="1">IFERROR(__xludf.DUMMYFUNCTION("""COMPUTED_VALUE"""),"荻曽 克輝")</f>
        <v>荻曽 克輝</v>
      </c>
    </row>
    <row r="2215" spans="2:4" ht="13">
      <c r="B2215" s="12">
        <f ca="1">IFERROR(__xludf.DUMMYFUNCTION("""COMPUTED_VALUE"""),115638)</f>
        <v>115638</v>
      </c>
      <c r="C2215" s="14">
        <f ca="1">IFERROR(__xludf.DUMMYFUNCTION("""COMPUTED_VALUE"""),0)</f>
        <v>0</v>
      </c>
      <c r="D2215" s="12" t="str">
        <f ca="1">IFERROR(__xludf.DUMMYFUNCTION("""COMPUTED_VALUE"""),"松尾 尚樹")</f>
        <v>松尾 尚樹</v>
      </c>
    </row>
    <row r="2216" spans="2:4" ht="13">
      <c r="B2216" s="12">
        <f ca="1">IFERROR(__xludf.DUMMYFUNCTION("""COMPUTED_VALUE"""),115639)</f>
        <v>115639</v>
      </c>
      <c r="C2216" s="14">
        <f ca="1">IFERROR(__xludf.DUMMYFUNCTION("""COMPUTED_VALUE"""),2)</f>
        <v>2</v>
      </c>
      <c r="D2216" s="12" t="str">
        <f ca="1">IFERROR(__xludf.DUMMYFUNCTION("""COMPUTED_VALUE"""),"成嶋 夏未")</f>
        <v>成嶋 夏未</v>
      </c>
    </row>
    <row r="2217" spans="2:4" ht="13">
      <c r="B2217" s="12">
        <f ca="1">IFERROR(__xludf.DUMMYFUNCTION("""COMPUTED_VALUE"""),115642)</f>
        <v>115642</v>
      </c>
      <c r="C2217" s="14">
        <f ca="1">IFERROR(__xludf.DUMMYFUNCTION("""COMPUTED_VALUE"""),0)</f>
        <v>0</v>
      </c>
      <c r="D2217" s="12" t="str">
        <f ca="1">IFERROR(__xludf.DUMMYFUNCTION("""COMPUTED_VALUE"""),"成嶋 夏未")</f>
        <v>成嶋 夏未</v>
      </c>
    </row>
    <row r="2218" spans="2:4" ht="13">
      <c r="B2218" s="12">
        <f ca="1">IFERROR(__xludf.DUMMYFUNCTION("""COMPUTED_VALUE"""),115645)</f>
        <v>115645</v>
      </c>
      <c r="C2218" s="14">
        <f ca="1">IFERROR(__xludf.DUMMYFUNCTION("""COMPUTED_VALUE"""),3)</f>
        <v>3</v>
      </c>
      <c r="D2218" s="12" t="str">
        <f ca="1">IFERROR(__xludf.DUMMYFUNCTION("""COMPUTED_VALUE"""),"長谷川 陸朗")</f>
        <v>長谷川 陸朗</v>
      </c>
    </row>
    <row r="2219" spans="2:4" ht="13">
      <c r="B2219" s="12">
        <f ca="1">IFERROR(__xludf.DUMMYFUNCTION("""COMPUTED_VALUE"""),115648)</f>
        <v>115648</v>
      </c>
      <c r="C2219" s="14">
        <f ca="1">IFERROR(__xludf.DUMMYFUNCTION("""COMPUTED_VALUE"""),1)</f>
        <v>1</v>
      </c>
      <c r="D2219" s="12" t="str">
        <f ca="1">IFERROR(__xludf.DUMMYFUNCTION("""COMPUTED_VALUE"""),"稲場 勇介")</f>
        <v>稲場 勇介</v>
      </c>
    </row>
    <row r="2220" spans="2:4" ht="13">
      <c r="B2220" s="12">
        <f ca="1">IFERROR(__xludf.DUMMYFUNCTION("""COMPUTED_VALUE"""),115649)</f>
        <v>115649</v>
      </c>
      <c r="C2220" s="14">
        <f ca="1">IFERROR(__xludf.DUMMYFUNCTION("""COMPUTED_VALUE"""),0)</f>
        <v>0</v>
      </c>
      <c r="D2220" s="12" t="str">
        <f ca="1">IFERROR(__xludf.DUMMYFUNCTION("""COMPUTED_VALUE"""),"成嶋 夏未")</f>
        <v>成嶋 夏未</v>
      </c>
    </row>
    <row r="2221" spans="2:4" ht="13">
      <c r="B2221" s="12">
        <f ca="1">IFERROR(__xludf.DUMMYFUNCTION("""COMPUTED_VALUE"""),115651)</f>
        <v>115651</v>
      </c>
      <c r="C2221" s="14">
        <f ca="1">IFERROR(__xludf.DUMMYFUNCTION("""COMPUTED_VALUE"""),0)</f>
        <v>0</v>
      </c>
      <c r="D2221" s="12" t="str">
        <f ca="1">IFERROR(__xludf.DUMMYFUNCTION("""COMPUTED_VALUE"""),"村上 浩一朗")</f>
        <v>村上 浩一朗</v>
      </c>
    </row>
    <row r="2222" spans="2:4" ht="13">
      <c r="B2222" s="12">
        <f ca="1">IFERROR(__xludf.DUMMYFUNCTION("""COMPUTED_VALUE"""),115654)</f>
        <v>115654</v>
      </c>
      <c r="C2222" s="14">
        <f ca="1">IFERROR(__xludf.DUMMYFUNCTION("""COMPUTED_VALUE"""),0)</f>
        <v>0</v>
      </c>
      <c r="D2222" s="12" t="str">
        <f ca="1">IFERROR(__xludf.DUMMYFUNCTION("""COMPUTED_VALUE"""),"松尾 尚樹")</f>
        <v>松尾 尚樹</v>
      </c>
    </row>
    <row r="2223" spans="2:4" ht="13">
      <c r="B2223" s="12">
        <f ca="1">IFERROR(__xludf.DUMMYFUNCTION("""COMPUTED_VALUE"""),115655)</f>
        <v>115655</v>
      </c>
      <c r="C2223" s="14">
        <f ca="1">IFERROR(__xludf.DUMMYFUNCTION("""COMPUTED_VALUE"""),0)</f>
        <v>0</v>
      </c>
      <c r="D2223" s="12" t="str">
        <f ca="1">IFERROR(__xludf.DUMMYFUNCTION("""COMPUTED_VALUE"""),"桑原 明子")</f>
        <v>桑原 明子</v>
      </c>
    </row>
    <row r="2224" spans="2:4" ht="13">
      <c r="B2224" s="12">
        <f ca="1">IFERROR(__xludf.DUMMYFUNCTION("""COMPUTED_VALUE"""),115656)</f>
        <v>115656</v>
      </c>
      <c r="C2224" s="14">
        <f ca="1">IFERROR(__xludf.DUMMYFUNCTION("""COMPUTED_VALUE"""),0)</f>
        <v>0</v>
      </c>
      <c r="D2224" s="12" t="str">
        <f ca="1">IFERROR(__xludf.DUMMYFUNCTION("""COMPUTED_VALUE"""),"松尾 尚樹")</f>
        <v>松尾 尚樹</v>
      </c>
    </row>
    <row r="2225" spans="2:4" ht="13">
      <c r="B2225" s="12">
        <f ca="1">IFERROR(__xludf.DUMMYFUNCTION("""COMPUTED_VALUE"""),115657)</f>
        <v>115657</v>
      </c>
      <c r="C2225" s="14">
        <f ca="1">IFERROR(__xludf.DUMMYFUNCTION("""COMPUTED_VALUE"""),0)</f>
        <v>0</v>
      </c>
      <c r="D2225" s="12" t="str">
        <f ca="1">IFERROR(__xludf.DUMMYFUNCTION("""COMPUTED_VALUE"""),"村上 浩一朗")</f>
        <v>村上 浩一朗</v>
      </c>
    </row>
    <row r="2226" spans="2:4" ht="13">
      <c r="B2226" s="12">
        <f ca="1">IFERROR(__xludf.DUMMYFUNCTION("""COMPUTED_VALUE"""),115660)</f>
        <v>115660</v>
      </c>
      <c r="C2226" s="14">
        <f ca="1">IFERROR(__xludf.DUMMYFUNCTION("""COMPUTED_VALUE"""),0)</f>
        <v>0</v>
      </c>
      <c r="D2226" s="12" t="str">
        <f ca="1">IFERROR(__xludf.DUMMYFUNCTION("""COMPUTED_VALUE"""),"稲場 勇介")</f>
        <v>稲場 勇介</v>
      </c>
    </row>
    <row r="2227" spans="2:4" ht="13">
      <c r="B2227" s="12">
        <f ca="1">IFERROR(__xludf.DUMMYFUNCTION("""COMPUTED_VALUE"""),115662)</f>
        <v>115662</v>
      </c>
      <c r="C2227" s="14">
        <f ca="1">IFERROR(__xludf.DUMMYFUNCTION("""COMPUTED_VALUE"""),0)</f>
        <v>0</v>
      </c>
      <c r="D2227" s="12" t="str">
        <f ca="1">IFERROR(__xludf.DUMMYFUNCTION("""COMPUTED_VALUE"""),"成嶋 夏未")</f>
        <v>成嶋 夏未</v>
      </c>
    </row>
    <row r="2228" spans="2:4" ht="13">
      <c r="B2228" s="12">
        <f ca="1">IFERROR(__xludf.DUMMYFUNCTION("""COMPUTED_VALUE"""),115663)</f>
        <v>115663</v>
      </c>
      <c r="C2228" s="14">
        <f ca="1">IFERROR(__xludf.DUMMYFUNCTION("""COMPUTED_VALUE"""),3)</f>
        <v>3</v>
      </c>
      <c r="D2228" s="12" t="str">
        <f ca="1">IFERROR(__xludf.DUMMYFUNCTION("""COMPUTED_VALUE"""),"稲場 勇介")</f>
        <v>稲場 勇介</v>
      </c>
    </row>
    <row r="2229" spans="2:4" ht="13">
      <c r="B2229" s="12">
        <f ca="1">IFERROR(__xludf.DUMMYFUNCTION("""COMPUTED_VALUE"""),115665)</f>
        <v>115665</v>
      </c>
      <c r="C2229" s="14">
        <f ca="1">IFERROR(__xludf.DUMMYFUNCTION("""COMPUTED_VALUE"""),0)</f>
        <v>0</v>
      </c>
      <c r="D2229" s="12" t="str">
        <f ca="1">IFERROR(__xludf.DUMMYFUNCTION("""COMPUTED_VALUE"""),"栗原 大武")</f>
        <v>栗原 大武</v>
      </c>
    </row>
    <row r="2230" spans="2:4" ht="13">
      <c r="B2230" s="12">
        <f ca="1">IFERROR(__xludf.DUMMYFUNCTION("""COMPUTED_VALUE"""),115667)</f>
        <v>115667</v>
      </c>
      <c r="C2230" s="14">
        <f ca="1">IFERROR(__xludf.DUMMYFUNCTION("""COMPUTED_VALUE"""),0)</f>
        <v>0</v>
      </c>
      <c r="D2230" s="12" t="str">
        <f ca="1">IFERROR(__xludf.DUMMYFUNCTION("""COMPUTED_VALUE"""),"栗原 大武")</f>
        <v>栗原 大武</v>
      </c>
    </row>
    <row r="2231" spans="2:4" ht="13">
      <c r="B2231" s="12">
        <f ca="1">IFERROR(__xludf.DUMMYFUNCTION("""COMPUTED_VALUE"""),115669)</f>
        <v>115669</v>
      </c>
      <c r="C2231" s="14">
        <f ca="1">IFERROR(__xludf.DUMMYFUNCTION("""COMPUTED_VALUE"""),0)</f>
        <v>0</v>
      </c>
      <c r="D2231" s="12" t="str">
        <f ca="1">IFERROR(__xludf.DUMMYFUNCTION("""COMPUTED_VALUE"""),"荻曽 克輝")</f>
        <v>荻曽 克輝</v>
      </c>
    </row>
    <row r="2232" spans="2:4" ht="13">
      <c r="B2232" s="12">
        <f ca="1">IFERROR(__xludf.DUMMYFUNCTION("""COMPUTED_VALUE"""),115677)</f>
        <v>115677</v>
      </c>
      <c r="C2232" s="14">
        <f ca="1">IFERROR(__xludf.DUMMYFUNCTION("""COMPUTED_VALUE"""),0)</f>
        <v>0</v>
      </c>
      <c r="D2232" s="12" t="str">
        <f ca="1">IFERROR(__xludf.DUMMYFUNCTION("""COMPUTED_VALUE"""),"大木 優香")</f>
        <v>大木 優香</v>
      </c>
    </row>
    <row r="2233" spans="2:4" ht="13">
      <c r="B2233" s="12">
        <f ca="1">IFERROR(__xludf.DUMMYFUNCTION("""COMPUTED_VALUE"""),115682)</f>
        <v>115682</v>
      </c>
      <c r="C2233" s="14">
        <f ca="1">IFERROR(__xludf.DUMMYFUNCTION("""COMPUTED_VALUE"""),0)</f>
        <v>0</v>
      </c>
      <c r="D2233" s="12" t="str">
        <f ca="1">IFERROR(__xludf.DUMMYFUNCTION("""COMPUTED_VALUE"""),"栗原 大武")</f>
        <v>栗原 大武</v>
      </c>
    </row>
    <row r="2234" spans="2:4" ht="13">
      <c r="B2234" s="12">
        <f ca="1">IFERROR(__xludf.DUMMYFUNCTION("""COMPUTED_VALUE"""),115687)</f>
        <v>115687</v>
      </c>
      <c r="C2234" s="14">
        <f ca="1">IFERROR(__xludf.DUMMYFUNCTION("""COMPUTED_VALUE"""),0)</f>
        <v>0</v>
      </c>
      <c r="D2234" s="12" t="str">
        <f ca="1">IFERROR(__xludf.DUMMYFUNCTION("""COMPUTED_VALUE"""),"稲場 勇介")</f>
        <v>稲場 勇介</v>
      </c>
    </row>
    <row r="2235" spans="2:4" ht="13">
      <c r="B2235" s="12">
        <f ca="1">IFERROR(__xludf.DUMMYFUNCTION("""COMPUTED_VALUE"""),115688)</f>
        <v>115688</v>
      </c>
      <c r="C2235" s="14">
        <f ca="1">IFERROR(__xludf.DUMMYFUNCTION("""COMPUTED_VALUE"""),0)</f>
        <v>0</v>
      </c>
      <c r="D2235" s="12" t="str">
        <f ca="1">IFERROR(__xludf.DUMMYFUNCTION("""COMPUTED_VALUE"""),"稲場 勇介")</f>
        <v>稲場 勇介</v>
      </c>
    </row>
    <row r="2236" spans="2:4" ht="13">
      <c r="B2236" s="12">
        <f ca="1">IFERROR(__xludf.DUMMYFUNCTION("""COMPUTED_VALUE"""),115689)</f>
        <v>115689</v>
      </c>
      <c r="C2236" s="14">
        <f ca="1">IFERROR(__xludf.DUMMYFUNCTION("""COMPUTED_VALUE"""),0)</f>
        <v>0</v>
      </c>
      <c r="D2236" s="12" t="str">
        <f ca="1">IFERROR(__xludf.DUMMYFUNCTION("""COMPUTED_VALUE"""),"成嶋 夏未")</f>
        <v>成嶋 夏未</v>
      </c>
    </row>
    <row r="2237" spans="2:4" ht="13">
      <c r="B2237" s="12">
        <f ca="1">IFERROR(__xludf.DUMMYFUNCTION("""COMPUTED_VALUE"""),115691)</f>
        <v>115691</v>
      </c>
      <c r="C2237" s="14">
        <f ca="1">IFERROR(__xludf.DUMMYFUNCTION("""COMPUTED_VALUE"""),0)</f>
        <v>0</v>
      </c>
      <c r="D2237" s="12" t="str">
        <f ca="1">IFERROR(__xludf.DUMMYFUNCTION("""COMPUTED_VALUE"""),"松尾 尚樹")</f>
        <v>松尾 尚樹</v>
      </c>
    </row>
    <row r="2238" spans="2:4" ht="13">
      <c r="B2238" s="12">
        <f ca="1">IFERROR(__xludf.DUMMYFUNCTION("""COMPUTED_VALUE"""),115693)</f>
        <v>115693</v>
      </c>
      <c r="C2238" s="14">
        <f ca="1">IFERROR(__xludf.DUMMYFUNCTION("""COMPUTED_VALUE"""),0)</f>
        <v>0</v>
      </c>
      <c r="D2238" s="12" t="str">
        <f ca="1">IFERROR(__xludf.DUMMYFUNCTION("""COMPUTED_VALUE"""),"松尾 尚樹")</f>
        <v>松尾 尚樹</v>
      </c>
    </row>
    <row r="2239" spans="2:4" ht="13">
      <c r="B2239" s="12">
        <f ca="1">IFERROR(__xludf.DUMMYFUNCTION("""COMPUTED_VALUE"""),115695)</f>
        <v>115695</v>
      </c>
      <c r="C2239" s="14">
        <f ca="1">IFERROR(__xludf.DUMMYFUNCTION("""COMPUTED_VALUE"""),0)</f>
        <v>0</v>
      </c>
      <c r="D2239" s="12" t="str">
        <f ca="1">IFERROR(__xludf.DUMMYFUNCTION("""COMPUTED_VALUE"""),"荻曽 克輝")</f>
        <v>荻曽 克輝</v>
      </c>
    </row>
    <row r="2240" spans="2:4" ht="13">
      <c r="B2240" s="12">
        <f ca="1">IFERROR(__xludf.DUMMYFUNCTION("""COMPUTED_VALUE"""),115696)</f>
        <v>115696</v>
      </c>
      <c r="C2240" s="14">
        <f ca="1">IFERROR(__xludf.DUMMYFUNCTION("""COMPUTED_VALUE"""),0)</f>
        <v>0</v>
      </c>
      <c r="D2240" s="12" t="str">
        <f ca="1">IFERROR(__xludf.DUMMYFUNCTION("""COMPUTED_VALUE"""),"菅野 ぎんが")</f>
        <v>菅野 ぎんが</v>
      </c>
    </row>
    <row r="2241" spans="2:4" ht="13">
      <c r="B2241" s="12">
        <f ca="1">IFERROR(__xludf.DUMMYFUNCTION("""COMPUTED_VALUE"""),115697)</f>
        <v>115697</v>
      </c>
      <c r="C2241" s="14">
        <f ca="1">IFERROR(__xludf.DUMMYFUNCTION("""COMPUTED_VALUE"""),0)</f>
        <v>0</v>
      </c>
      <c r="D2241" s="12" t="str">
        <f ca="1">IFERROR(__xludf.DUMMYFUNCTION("""COMPUTED_VALUE"""),"稲場 勇介")</f>
        <v>稲場 勇介</v>
      </c>
    </row>
    <row r="2242" spans="2:4" ht="13">
      <c r="B2242" s="12">
        <f ca="1">IFERROR(__xludf.DUMMYFUNCTION("""COMPUTED_VALUE"""),115698)</f>
        <v>115698</v>
      </c>
      <c r="C2242" s="14">
        <f ca="1">IFERROR(__xludf.DUMMYFUNCTION("""COMPUTED_VALUE"""),0)</f>
        <v>0</v>
      </c>
      <c r="D2242" s="12" t="str">
        <f ca="1">IFERROR(__xludf.DUMMYFUNCTION("""COMPUTED_VALUE"""),"長谷川 陸朗")</f>
        <v>長谷川 陸朗</v>
      </c>
    </row>
    <row r="2243" spans="2:4" ht="13">
      <c r="B2243" s="12">
        <f ca="1">IFERROR(__xludf.DUMMYFUNCTION("""COMPUTED_VALUE"""),115700)</f>
        <v>115700</v>
      </c>
      <c r="C2243" s="14">
        <f ca="1">IFERROR(__xludf.DUMMYFUNCTION("""COMPUTED_VALUE"""),14)</f>
        <v>14</v>
      </c>
      <c r="D2243" s="12" t="str">
        <f ca="1">IFERROR(__xludf.DUMMYFUNCTION("""COMPUTED_VALUE"""),"小関 麻起")</f>
        <v>小関 麻起</v>
      </c>
    </row>
    <row r="2244" spans="2:4" ht="13">
      <c r="B2244" s="12">
        <f ca="1">IFERROR(__xludf.DUMMYFUNCTION("""COMPUTED_VALUE"""),115708)</f>
        <v>115708</v>
      </c>
      <c r="C2244" s="14">
        <f ca="1">IFERROR(__xludf.DUMMYFUNCTION("""COMPUTED_VALUE"""),0)</f>
        <v>0</v>
      </c>
      <c r="D2244" s="12" t="str">
        <f ca="1">IFERROR(__xludf.DUMMYFUNCTION("""COMPUTED_VALUE"""),"成嶋 夏未")</f>
        <v>成嶋 夏未</v>
      </c>
    </row>
    <row r="2245" spans="2:4" ht="13">
      <c r="B2245" s="12">
        <f ca="1">IFERROR(__xludf.DUMMYFUNCTION("""COMPUTED_VALUE"""),115709)</f>
        <v>115709</v>
      </c>
      <c r="C2245" s="14">
        <f ca="1">IFERROR(__xludf.DUMMYFUNCTION("""COMPUTED_VALUE"""),1)</f>
        <v>1</v>
      </c>
      <c r="D2245" s="12" t="str">
        <f ca="1">IFERROR(__xludf.DUMMYFUNCTION("""COMPUTED_VALUE"""),"菅野 ぎんが")</f>
        <v>菅野 ぎんが</v>
      </c>
    </row>
    <row r="2246" spans="2:4" ht="13">
      <c r="B2246" s="12">
        <f ca="1">IFERROR(__xludf.DUMMYFUNCTION("""COMPUTED_VALUE"""),115710)</f>
        <v>115710</v>
      </c>
      <c r="C2246" s="14">
        <f ca="1">IFERROR(__xludf.DUMMYFUNCTION("""COMPUTED_VALUE"""),18)</f>
        <v>18</v>
      </c>
      <c r="D2246" s="12" t="str">
        <f ca="1">IFERROR(__xludf.DUMMYFUNCTION("""COMPUTED_VALUE"""),"成嶋 夏未")</f>
        <v>成嶋 夏未</v>
      </c>
    </row>
    <row r="2247" spans="2:4" ht="13">
      <c r="B2247" s="12">
        <f ca="1">IFERROR(__xludf.DUMMYFUNCTION("""COMPUTED_VALUE"""),115714)</f>
        <v>115714</v>
      </c>
      <c r="C2247" s="14">
        <f ca="1">IFERROR(__xludf.DUMMYFUNCTION("""COMPUTED_VALUE"""),0)</f>
        <v>0</v>
      </c>
      <c r="D2247" s="12" t="str">
        <f ca="1">IFERROR(__xludf.DUMMYFUNCTION("""COMPUTED_VALUE"""),"松尾 尚樹")</f>
        <v>松尾 尚樹</v>
      </c>
    </row>
    <row r="2248" spans="2:4" ht="13">
      <c r="B2248" s="12">
        <f ca="1">IFERROR(__xludf.DUMMYFUNCTION("""COMPUTED_VALUE"""),115715)</f>
        <v>115715</v>
      </c>
      <c r="C2248" s="14">
        <f ca="1">IFERROR(__xludf.DUMMYFUNCTION("""COMPUTED_VALUE"""),0)</f>
        <v>0</v>
      </c>
      <c r="D2248" s="12" t="str">
        <f ca="1">IFERROR(__xludf.DUMMYFUNCTION("""COMPUTED_VALUE"""),"松尾 尚樹")</f>
        <v>松尾 尚樹</v>
      </c>
    </row>
    <row r="2249" spans="2:4" ht="13">
      <c r="B2249" s="12">
        <f ca="1">IFERROR(__xludf.DUMMYFUNCTION("""COMPUTED_VALUE"""),115719)</f>
        <v>115719</v>
      </c>
      <c r="C2249" s="14">
        <f ca="1">IFERROR(__xludf.DUMMYFUNCTION("""COMPUTED_VALUE"""),0)</f>
        <v>0</v>
      </c>
      <c r="D2249" s="12" t="str">
        <f ca="1">IFERROR(__xludf.DUMMYFUNCTION("""COMPUTED_VALUE"""),"成嶋 夏未")</f>
        <v>成嶋 夏未</v>
      </c>
    </row>
    <row r="2250" spans="2:4" ht="13">
      <c r="B2250" s="12">
        <f ca="1">IFERROR(__xludf.DUMMYFUNCTION("""COMPUTED_VALUE"""),115721)</f>
        <v>115721</v>
      </c>
      <c r="C2250" s="14">
        <f ca="1">IFERROR(__xludf.DUMMYFUNCTION("""COMPUTED_VALUE"""),102)</f>
        <v>102</v>
      </c>
      <c r="D2250" s="12" t="str">
        <f ca="1">IFERROR(__xludf.DUMMYFUNCTION("""COMPUTED_VALUE"""),"松尾 尚樹")</f>
        <v>松尾 尚樹</v>
      </c>
    </row>
    <row r="2251" spans="2:4" ht="13">
      <c r="B2251" s="12">
        <f ca="1">IFERROR(__xludf.DUMMYFUNCTION("""COMPUTED_VALUE"""),115724)</f>
        <v>115724</v>
      </c>
      <c r="C2251" s="14">
        <f ca="1">IFERROR(__xludf.DUMMYFUNCTION("""COMPUTED_VALUE"""),0)</f>
        <v>0</v>
      </c>
      <c r="D2251" s="12" t="str">
        <f ca="1">IFERROR(__xludf.DUMMYFUNCTION("""COMPUTED_VALUE"""),"成嶋 夏未")</f>
        <v>成嶋 夏未</v>
      </c>
    </row>
    <row r="2252" spans="2:4" ht="13">
      <c r="B2252" s="12">
        <f ca="1">IFERROR(__xludf.DUMMYFUNCTION("""COMPUTED_VALUE"""),115727)</f>
        <v>115727</v>
      </c>
      <c r="C2252" s="14">
        <f ca="1">IFERROR(__xludf.DUMMYFUNCTION("""COMPUTED_VALUE"""),32)</f>
        <v>32</v>
      </c>
      <c r="D2252" s="12" t="str">
        <f ca="1">IFERROR(__xludf.DUMMYFUNCTION("""COMPUTED_VALUE"""),"菅野 ぎんが")</f>
        <v>菅野 ぎんが</v>
      </c>
    </row>
    <row r="2253" spans="2:4" ht="13">
      <c r="B2253" s="12">
        <f ca="1">IFERROR(__xludf.DUMMYFUNCTION("""COMPUTED_VALUE"""),115728)</f>
        <v>115728</v>
      </c>
      <c r="C2253" s="14">
        <f ca="1">IFERROR(__xludf.DUMMYFUNCTION("""COMPUTED_VALUE"""),0)</f>
        <v>0</v>
      </c>
      <c r="D2253" s="12" t="str">
        <f ca="1">IFERROR(__xludf.DUMMYFUNCTION("""COMPUTED_VALUE"""),"稲場 勇介")</f>
        <v>稲場 勇介</v>
      </c>
    </row>
    <row r="2254" spans="2:4" ht="13">
      <c r="B2254" s="12">
        <f ca="1">IFERROR(__xludf.DUMMYFUNCTION("""COMPUTED_VALUE"""),115729)</f>
        <v>115729</v>
      </c>
      <c r="C2254" s="14">
        <f ca="1">IFERROR(__xludf.DUMMYFUNCTION("""COMPUTED_VALUE"""),0)</f>
        <v>0</v>
      </c>
      <c r="D2254" s="12" t="str">
        <f ca="1">IFERROR(__xludf.DUMMYFUNCTION("""COMPUTED_VALUE"""),"稲場 勇介")</f>
        <v>稲場 勇介</v>
      </c>
    </row>
    <row r="2255" spans="2:4" ht="13">
      <c r="B2255" s="12">
        <f ca="1">IFERROR(__xludf.DUMMYFUNCTION("""COMPUTED_VALUE"""),115730)</f>
        <v>115730</v>
      </c>
      <c r="C2255" s="14">
        <f ca="1">IFERROR(__xludf.DUMMYFUNCTION("""COMPUTED_VALUE"""),0)</f>
        <v>0</v>
      </c>
      <c r="D2255" s="12" t="str">
        <f ca="1">IFERROR(__xludf.DUMMYFUNCTION("""COMPUTED_VALUE"""),"長谷川 陸朗")</f>
        <v>長谷川 陸朗</v>
      </c>
    </row>
    <row r="2256" spans="2:4" ht="13">
      <c r="B2256" s="12">
        <f ca="1">IFERROR(__xludf.DUMMYFUNCTION("""COMPUTED_VALUE"""),115732)</f>
        <v>115732</v>
      </c>
      <c r="C2256" s="14">
        <f ca="1">IFERROR(__xludf.DUMMYFUNCTION("""COMPUTED_VALUE"""),0)</f>
        <v>0</v>
      </c>
      <c r="D2256" s="12" t="str">
        <f ca="1">IFERROR(__xludf.DUMMYFUNCTION("""COMPUTED_VALUE"""),"成嶋 夏未")</f>
        <v>成嶋 夏未</v>
      </c>
    </row>
    <row r="2257" spans="2:4" ht="13">
      <c r="B2257" s="12">
        <f ca="1">IFERROR(__xludf.DUMMYFUNCTION("""COMPUTED_VALUE"""),115734)</f>
        <v>115734</v>
      </c>
      <c r="C2257" s="14">
        <f ca="1">IFERROR(__xludf.DUMMYFUNCTION("""COMPUTED_VALUE"""),0)</f>
        <v>0</v>
      </c>
      <c r="D2257" s="12" t="str">
        <f ca="1">IFERROR(__xludf.DUMMYFUNCTION("""COMPUTED_VALUE"""),"内丸 裕子")</f>
        <v>内丸 裕子</v>
      </c>
    </row>
    <row r="2258" spans="2:4" ht="13">
      <c r="B2258" s="12">
        <f ca="1">IFERROR(__xludf.DUMMYFUNCTION("""COMPUTED_VALUE"""),115739)</f>
        <v>115739</v>
      </c>
      <c r="C2258" s="14">
        <f ca="1">IFERROR(__xludf.DUMMYFUNCTION("""COMPUTED_VALUE"""),0)</f>
        <v>0</v>
      </c>
      <c r="D2258" s="12" t="str">
        <f ca="1">IFERROR(__xludf.DUMMYFUNCTION("""COMPUTED_VALUE"""),"荻曽 克輝")</f>
        <v>荻曽 克輝</v>
      </c>
    </row>
    <row r="2259" spans="2:4" ht="13">
      <c r="B2259" s="12">
        <f ca="1">IFERROR(__xludf.DUMMYFUNCTION("""COMPUTED_VALUE"""),115740)</f>
        <v>115740</v>
      </c>
      <c r="C2259" s="14">
        <f ca="1">IFERROR(__xludf.DUMMYFUNCTION("""COMPUTED_VALUE"""),0)</f>
        <v>0</v>
      </c>
      <c r="D2259" s="12" t="str">
        <f ca="1">IFERROR(__xludf.DUMMYFUNCTION("""COMPUTED_VALUE"""),"菅野 ぎんが")</f>
        <v>菅野 ぎんが</v>
      </c>
    </row>
    <row r="2260" spans="2:4" ht="13">
      <c r="B2260" s="12">
        <f ca="1">IFERROR(__xludf.DUMMYFUNCTION("""COMPUTED_VALUE"""),115741)</f>
        <v>115741</v>
      </c>
      <c r="C2260" s="14">
        <f ca="1">IFERROR(__xludf.DUMMYFUNCTION("""COMPUTED_VALUE"""),0)</f>
        <v>0</v>
      </c>
      <c r="D2260" s="12" t="str">
        <f ca="1">IFERROR(__xludf.DUMMYFUNCTION("""COMPUTED_VALUE"""),"堀越 駿")</f>
        <v>堀越 駿</v>
      </c>
    </row>
    <row r="2261" spans="2:4" ht="13">
      <c r="B2261" s="12">
        <f ca="1">IFERROR(__xludf.DUMMYFUNCTION("""COMPUTED_VALUE"""),115742)</f>
        <v>115742</v>
      </c>
      <c r="C2261" s="14">
        <f ca="1">IFERROR(__xludf.DUMMYFUNCTION("""COMPUTED_VALUE"""),0)</f>
        <v>0</v>
      </c>
      <c r="D2261" s="12" t="str">
        <f ca="1">IFERROR(__xludf.DUMMYFUNCTION("""COMPUTED_VALUE"""),"小関 麻起")</f>
        <v>小関 麻起</v>
      </c>
    </row>
    <row r="2262" spans="2:4" ht="13">
      <c r="B2262" s="12">
        <f ca="1">IFERROR(__xludf.DUMMYFUNCTION("""COMPUTED_VALUE"""),115743)</f>
        <v>115743</v>
      </c>
      <c r="C2262" s="14">
        <f ca="1">IFERROR(__xludf.DUMMYFUNCTION("""COMPUTED_VALUE"""),0)</f>
        <v>0</v>
      </c>
      <c r="D2262" s="12" t="str">
        <f ca="1">IFERROR(__xludf.DUMMYFUNCTION("""COMPUTED_VALUE"""),"成嶋 夏未")</f>
        <v>成嶋 夏未</v>
      </c>
    </row>
    <row r="2263" spans="2:4" ht="13">
      <c r="B2263" s="12">
        <f ca="1">IFERROR(__xludf.DUMMYFUNCTION("""COMPUTED_VALUE"""),115753)</f>
        <v>115753</v>
      </c>
      <c r="C2263" s="14">
        <f ca="1">IFERROR(__xludf.DUMMYFUNCTION("""COMPUTED_VALUE"""),0)</f>
        <v>0</v>
      </c>
      <c r="D2263" s="12" t="str">
        <f ca="1">IFERROR(__xludf.DUMMYFUNCTION("""COMPUTED_VALUE"""),"小川 純")</f>
        <v>小川 純</v>
      </c>
    </row>
    <row r="2264" spans="2:4" ht="13">
      <c r="B2264" s="12">
        <f ca="1">IFERROR(__xludf.DUMMYFUNCTION("""COMPUTED_VALUE"""),115754)</f>
        <v>115754</v>
      </c>
      <c r="C2264" s="14">
        <f ca="1">IFERROR(__xludf.DUMMYFUNCTION("""COMPUTED_VALUE"""),0)</f>
        <v>0</v>
      </c>
      <c r="D2264" s="12" t="str">
        <f ca="1">IFERROR(__xludf.DUMMYFUNCTION("""COMPUTED_VALUE"""),"内丸 裕子")</f>
        <v>内丸 裕子</v>
      </c>
    </row>
    <row r="2265" spans="2:4" ht="13">
      <c r="B2265" s="12">
        <f ca="1">IFERROR(__xludf.DUMMYFUNCTION("""COMPUTED_VALUE"""),115756)</f>
        <v>115756</v>
      </c>
      <c r="C2265" s="14">
        <f ca="1">IFERROR(__xludf.DUMMYFUNCTION("""COMPUTED_VALUE"""),0)</f>
        <v>0</v>
      </c>
      <c r="D2265" s="12" t="str">
        <f ca="1">IFERROR(__xludf.DUMMYFUNCTION("""COMPUTED_VALUE"""),"辻村 将大")</f>
        <v>辻村 将大</v>
      </c>
    </row>
    <row r="2266" spans="2:4" ht="13">
      <c r="B2266" s="12">
        <f ca="1">IFERROR(__xludf.DUMMYFUNCTION("""COMPUTED_VALUE"""),115758)</f>
        <v>115758</v>
      </c>
      <c r="C2266" s="14">
        <f ca="1">IFERROR(__xludf.DUMMYFUNCTION("""COMPUTED_VALUE"""),0)</f>
        <v>0</v>
      </c>
      <c r="D2266" s="12" t="str">
        <f ca="1">IFERROR(__xludf.DUMMYFUNCTION("""COMPUTED_VALUE"""),"菅野 ぎんが")</f>
        <v>菅野 ぎんが</v>
      </c>
    </row>
    <row r="2267" spans="2:4" ht="13">
      <c r="B2267" s="12">
        <f ca="1">IFERROR(__xludf.DUMMYFUNCTION("""COMPUTED_VALUE"""),115759)</f>
        <v>115759</v>
      </c>
      <c r="C2267" s="14">
        <f ca="1">IFERROR(__xludf.DUMMYFUNCTION("""COMPUTED_VALUE"""),0)</f>
        <v>0</v>
      </c>
      <c r="D2267" s="12" t="str">
        <f ca="1">IFERROR(__xludf.DUMMYFUNCTION("""COMPUTED_VALUE"""),"桑原 明子")</f>
        <v>桑原 明子</v>
      </c>
    </row>
    <row r="2268" spans="2:4" ht="13">
      <c r="B2268" s="12">
        <f ca="1">IFERROR(__xludf.DUMMYFUNCTION("""COMPUTED_VALUE"""),115760)</f>
        <v>115760</v>
      </c>
      <c r="C2268" s="14">
        <f ca="1">IFERROR(__xludf.DUMMYFUNCTION("""COMPUTED_VALUE"""),0)</f>
        <v>0</v>
      </c>
      <c r="D2268" s="12" t="str">
        <f ca="1">IFERROR(__xludf.DUMMYFUNCTION("""COMPUTED_VALUE"""),"松尾 尚樹")</f>
        <v>松尾 尚樹</v>
      </c>
    </row>
    <row r="2269" spans="2:4" ht="13">
      <c r="B2269" s="12">
        <f ca="1">IFERROR(__xludf.DUMMYFUNCTION("""COMPUTED_VALUE"""),115761)</f>
        <v>115761</v>
      </c>
      <c r="C2269" s="14">
        <f ca="1">IFERROR(__xludf.DUMMYFUNCTION("""COMPUTED_VALUE"""),0)</f>
        <v>0</v>
      </c>
      <c r="D2269" s="12" t="str">
        <f ca="1">IFERROR(__xludf.DUMMYFUNCTION("""COMPUTED_VALUE"""),"村上 浩一朗")</f>
        <v>村上 浩一朗</v>
      </c>
    </row>
    <row r="2270" spans="2:4" ht="13">
      <c r="B2270" s="12">
        <f ca="1">IFERROR(__xludf.DUMMYFUNCTION("""COMPUTED_VALUE"""),115762)</f>
        <v>115762</v>
      </c>
      <c r="C2270" s="14">
        <f ca="1">IFERROR(__xludf.DUMMYFUNCTION("""COMPUTED_VALUE"""),0)</f>
        <v>0</v>
      </c>
      <c r="D2270" s="12" t="str">
        <f ca="1">IFERROR(__xludf.DUMMYFUNCTION("""COMPUTED_VALUE"""),"小関 麻起")</f>
        <v>小関 麻起</v>
      </c>
    </row>
    <row r="2271" spans="2:4" ht="13">
      <c r="B2271" s="12">
        <f ca="1">IFERROR(__xludf.DUMMYFUNCTION("""COMPUTED_VALUE"""),115763)</f>
        <v>115763</v>
      </c>
      <c r="C2271" s="14">
        <f ca="1">IFERROR(__xludf.DUMMYFUNCTION("""COMPUTED_VALUE"""),0)</f>
        <v>0</v>
      </c>
      <c r="D2271" s="12" t="str">
        <f ca="1">IFERROR(__xludf.DUMMYFUNCTION("""COMPUTED_VALUE"""),"成嶋 夏未")</f>
        <v>成嶋 夏未</v>
      </c>
    </row>
    <row r="2272" spans="2:4" ht="13">
      <c r="B2272" s="12">
        <f ca="1">IFERROR(__xludf.DUMMYFUNCTION("""COMPUTED_VALUE"""),115766)</f>
        <v>115766</v>
      </c>
      <c r="C2272" s="14">
        <f ca="1">IFERROR(__xludf.DUMMYFUNCTION("""COMPUTED_VALUE"""),0)</f>
        <v>0</v>
      </c>
      <c r="D2272" s="12" t="str">
        <f ca="1">IFERROR(__xludf.DUMMYFUNCTION("""COMPUTED_VALUE"""),"大木 優香")</f>
        <v>大木 優香</v>
      </c>
    </row>
    <row r="2273" spans="2:4" ht="13">
      <c r="B2273" s="12">
        <f ca="1">IFERROR(__xludf.DUMMYFUNCTION("""COMPUTED_VALUE"""),115769)</f>
        <v>115769</v>
      </c>
      <c r="C2273" s="14">
        <f ca="1">IFERROR(__xludf.DUMMYFUNCTION("""COMPUTED_VALUE"""),0)</f>
        <v>0</v>
      </c>
      <c r="D2273" s="12" t="str">
        <f ca="1">IFERROR(__xludf.DUMMYFUNCTION("""COMPUTED_VALUE"""),"桑原 明子")</f>
        <v>桑原 明子</v>
      </c>
    </row>
    <row r="2274" spans="2:4" ht="13">
      <c r="B2274" s="12">
        <f ca="1">IFERROR(__xludf.DUMMYFUNCTION("""COMPUTED_VALUE"""),115770)</f>
        <v>115770</v>
      </c>
      <c r="C2274" s="14">
        <f ca="1">IFERROR(__xludf.DUMMYFUNCTION("""COMPUTED_VALUE"""),0)</f>
        <v>0</v>
      </c>
      <c r="D2274" s="12" t="str">
        <f ca="1">IFERROR(__xludf.DUMMYFUNCTION("""COMPUTED_VALUE"""),"菅野 ぎんが")</f>
        <v>菅野 ぎんが</v>
      </c>
    </row>
    <row r="2275" spans="2:4" ht="13">
      <c r="B2275" s="12">
        <f ca="1">IFERROR(__xludf.DUMMYFUNCTION("""COMPUTED_VALUE"""),115773)</f>
        <v>115773</v>
      </c>
      <c r="C2275" s="14">
        <f ca="1">IFERROR(__xludf.DUMMYFUNCTION("""COMPUTED_VALUE"""),0)</f>
        <v>0</v>
      </c>
      <c r="D2275" s="12" t="str">
        <f ca="1">IFERROR(__xludf.DUMMYFUNCTION("""COMPUTED_VALUE"""),"成嶋 夏未")</f>
        <v>成嶋 夏未</v>
      </c>
    </row>
    <row r="2276" spans="2:4" ht="13">
      <c r="B2276" s="12">
        <f ca="1">IFERROR(__xludf.DUMMYFUNCTION("""COMPUTED_VALUE"""),115774)</f>
        <v>115774</v>
      </c>
      <c r="C2276" s="14">
        <f ca="1">IFERROR(__xludf.DUMMYFUNCTION("""COMPUTED_VALUE"""),0)</f>
        <v>0</v>
      </c>
      <c r="D2276" s="12" t="str">
        <f ca="1">IFERROR(__xludf.DUMMYFUNCTION("""COMPUTED_VALUE"""),"桐山 勝気")</f>
        <v>桐山 勝気</v>
      </c>
    </row>
    <row r="2277" spans="2:4" ht="13">
      <c r="B2277" s="12">
        <f ca="1">IFERROR(__xludf.DUMMYFUNCTION("""COMPUTED_VALUE"""),115778)</f>
        <v>115778</v>
      </c>
      <c r="C2277" s="14">
        <f ca="1">IFERROR(__xludf.DUMMYFUNCTION("""COMPUTED_VALUE"""),0)</f>
        <v>0</v>
      </c>
      <c r="D2277" s="12" t="str">
        <f ca="1">IFERROR(__xludf.DUMMYFUNCTION("""COMPUTED_VALUE"""),"奥野 貴大")</f>
        <v>奥野 貴大</v>
      </c>
    </row>
    <row r="2278" spans="2:4" ht="13">
      <c r="B2278" s="12">
        <f ca="1">IFERROR(__xludf.DUMMYFUNCTION("""COMPUTED_VALUE"""),115779)</f>
        <v>115779</v>
      </c>
      <c r="C2278" s="14">
        <f ca="1">IFERROR(__xludf.DUMMYFUNCTION("""COMPUTED_VALUE"""),0)</f>
        <v>0</v>
      </c>
      <c r="D2278" s="12" t="str">
        <f ca="1">IFERROR(__xludf.DUMMYFUNCTION("""COMPUTED_VALUE"""),"松尾 尚樹")</f>
        <v>松尾 尚樹</v>
      </c>
    </row>
    <row r="2279" spans="2:4" ht="13">
      <c r="B2279" s="12">
        <f ca="1">IFERROR(__xludf.DUMMYFUNCTION("""COMPUTED_VALUE"""),115780)</f>
        <v>115780</v>
      </c>
      <c r="C2279" s="14">
        <f ca="1">IFERROR(__xludf.DUMMYFUNCTION("""COMPUTED_VALUE"""),0)</f>
        <v>0</v>
      </c>
      <c r="D2279" s="12" t="str">
        <f ca="1">IFERROR(__xludf.DUMMYFUNCTION("""COMPUTED_VALUE"""),"大木 優香")</f>
        <v>大木 優香</v>
      </c>
    </row>
    <row r="2280" spans="2:4" ht="13">
      <c r="B2280" s="12">
        <f ca="1">IFERROR(__xludf.DUMMYFUNCTION("""COMPUTED_VALUE"""),115784)</f>
        <v>115784</v>
      </c>
      <c r="C2280" s="14">
        <f ca="1">IFERROR(__xludf.DUMMYFUNCTION("""COMPUTED_VALUE"""),0)</f>
        <v>0</v>
      </c>
      <c r="D2280" s="12" t="str">
        <f ca="1">IFERROR(__xludf.DUMMYFUNCTION("""COMPUTED_VALUE"""),"老田 純輝")</f>
        <v>老田 純輝</v>
      </c>
    </row>
    <row r="2281" spans="2:4" ht="13">
      <c r="B2281" s="12">
        <f ca="1">IFERROR(__xludf.DUMMYFUNCTION("""COMPUTED_VALUE"""),115785)</f>
        <v>115785</v>
      </c>
      <c r="C2281" s="14">
        <f ca="1">IFERROR(__xludf.DUMMYFUNCTION("""COMPUTED_VALUE"""),0)</f>
        <v>0</v>
      </c>
      <c r="D2281" s="12" t="str">
        <f ca="1">IFERROR(__xludf.DUMMYFUNCTION("""COMPUTED_VALUE"""),"稲場 勇介")</f>
        <v>稲場 勇介</v>
      </c>
    </row>
    <row r="2282" spans="2:4" ht="13">
      <c r="B2282" s="12">
        <f ca="1">IFERROR(__xludf.DUMMYFUNCTION("""COMPUTED_VALUE"""),115786)</f>
        <v>115786</v>
      </c>
      <c r="C2282" s="14">
        <f ca="1">IFERROR(__xludf.DUMMYFUNCTION("""COMPUTED_VALUE"""),0)</f>
        <v>0</v>
      </c>
      <c r="D2282" s="12" t="str">
        <f ca="1">IFERROR(__xludf.DUMMYFUNCTION("""COMPUTED_VALUE"""),"老田 純輝")</f>
        <v>老田 純輝</v>
      </c>
    </row>
    <row r="2283" spans="2:4" ht="13">
      <c r="B2283" s="12">
        <f ca="1">IFERROR(__xludf.DUMMYFUNCTION("""COMPUTED_VALUE"""),115788)</f>
        <v>115788</v>
      </c>
      <c r="C2283" s="14">
        <f ca="1">IFERROR(__xludf.DUMMYFUNCTION("""COMPUTED_VALUE"""),0)</f>
        <v>0</v>
      </c>
      <c r="D2283" s="12" t="str">
        <f ca="1">IFERROR(__xludf.DUMMYFUNCTION("""COMPUTED_VALUE"""),"成嶋 夏未")</f>
        <v>成嶋 夏未</v>
      </c>
    </row>
    <row r="2284" spans="2:4" ht="13">
      <c r="B2284" s="12">
        <f ca="1">IFERROR(__xludf.DUMMYFUNCTION("""COMPUTED_VALUE"""),115789)</f>
        <v>115789</v>
      </c>
      <c r="C2284" s="14">
        <f ca="1">IFERROR(__xludf.DUMMYFUNCTION("""COMPUTED_VALUE"""),0)</f>
        <v>0</v>
      </c>
      <c r="D2284" s="12" t="str">
        <f ca="1">IFERROR(__xludf.DUMMYFUNCTION("""COMPUTED_VALUE"""),"稲場 勇介")</f>
        <v>稲場 勇介</v>
      </c>
    </row>
    <row r="2285" spans="2:4" ht="13">
      <c r="B2285" s="12">
        <f ca="1">IFERROR(__xludf.DUMMYFUNCTION("""COMPUTED_VALUE"""),115793)</f>
        <v>115793</v>
      </c>
      <c r="C2285" s="14">
        <f ca="1">IFERROR(__xludf.DUMMYFUNCTION("""COMPUTED_VALUE"""),0)</f>
        <v>0</v>
      </c>
      <c r="D2285" s="12" t="str">
        <f ca="1">IFERROR(__xludf.DUMMYFUNCTION("""COMPUTED_VALUE"""),"辻村 将大")</f>
        <v>辻村 将大</v>
      </c>
    </row>
    <row r="2286" spans="2:4" ht="13">
      <c r="B2286" s="12">
        <f ca="1">IFERROR(__xludf.DUMMYFUNCTION("""COMPUTED_VALUE"""),115794)</f>
        <v>115794</v>
      </c>
      <c r="C2286" s="14">
        <f ca="1">IFERROR(__xludf.DUMMYFUNCTION("""COMPUTED_VALUE"""),0)</f>
        <v>0</v>
      </c>
      <c r="D2286" s="12" t="str">
        <f ca="1">IFERROR(__xludf.DUMMYFUNCTION("""COMPUTED_VALUE"""),"田嶋 将太")</f>
        <v>田嶋 将太</v>
      </c>
    </row>
    <row r="2287" spans="2:4" ht="13">
      <c r="B2287" s="12">
        <f ca="1">IFERROR(__xludf.DUMMYFUNCTION("""COMPUTED_VALUE"""),115843)</f>
        <v>115843</v>
      </c>
      <c r="C2287" s="14">
        <f ca="1">IFERROR(__xludf.DUMMYFUNCTION("""COMPUTED_VALUE"""),0)</f>
        <v>0</v>
      </c>
      <c r="D2287" s="12" t="str">
        <f ca="1">IFERROR(__xludf.DUMMYFUNCTION("""COMPUTED_VALUE"""),"芳賀 亮輔")</f>
        <v>芳賀 亮輔</v>
      </c>
    </row>
    <row r="2288" spans="2:4" ht="13">
      <c r="B2288" s="12">
        <f ca="1">IFERROR(__xludf.DUMMYFUNCTION("""COMPUTED_VALUE"""),115845)</f>
        <v>115845</v>
      </c>
      <c r="C2288" s="14">
        <f ca="1">IFERROR(__xludf.DUMMYFUNCTION("""COMPUTED_VALUE"""),0)</f>
        <v>0</v>
      </c>
      <c r="D2288" s="12" t="str">
        <f ca="1">IFERROR(__xludf.DUMMYFUNCTION("""COMPUTED_VALUE"""),"辻村 将大")</f>
        <v>辻村 将大</v>
      </c>
    </row>
    <row r="2289" spans="2:4" ht="13">
      <c r="B2289" s="12">
        <f ca="1">IFERROR(__xludf.DUMMYFUNCTION("""COMPUTED_VALUE"""),115853)</f>
        <v>115853</v>
      </c>
      <c r="C2289" s="14">
        <f ca="1">IFERROR(__xludf.DUMMYFUNCTION("""COMPUTED_VALUE"""),3)</f>
        <v>3</v>
      </c>
      <c r="D2289" s="12" t="str">
        <f ca="1">IFERROR(__xludf.DUMMYFUNCTION("""COMPUTED_VALUE"""),"松尾 尚樹")</f>
        <v>松尾 尚樹</v>
      </c>
    </row>
    <row r="2290" spans="2:4" ht="13">
      <c r="B2290" s="12">
        <f ca="1">IFERROR(__xludf.DUMMYFUNCTION("""COMPUTED_VALUE"""),115854)</f>
        <v>115854</v>
      </c>
      <c r="C2290" s="14">
        <f ca="1">IFERROR(__xludf.DUMMYFUNCTION("""COMPUTED_VALUE"""),0)</f>
        <v>0</v>
      </c>
      <c r="D2290" s="12" t="str">
        <f ca="1">IFERROR(__xludf.DUMMYFUNCTION("""COMPUTED_VALUE"""),"稲場 勇介")</f>
        <v>稲場 勇介</v>
      </c>
    </row>
    <row r="2291" spans="2:4" ht="13">
      <c r="B2291" s="12">
        <f ca="1">IFERROR(__xludf.DUMMYFUNCTION("""COMPUTED_VALUE"""),115855)</f>
        <v>115855</v>
      </c>
      <c r="C2291" s="14">
        <f ca="1">IFERROR(__xludf.DUMMYFUNCTION("""COMPUTED_VALUE"""),0)</f>
        <v>0</v>
      </c>
      <c r="D2291" s="12" t="str">
        <f ca="1">IFERROR(__xludf.DUMMYFUNCTION("""COMPUTED_VALUE"""),"老田 純輝")</f>
        <v>老田 純輝</v>
      </c>
    </row>
    <row r="2292" spans="2:4" ht="13">
      <c r="B2292" s="12">
        <f ca="1">IFERROR(__xludf.DUMMYFUNCTION("""COMPUTED_VALUE"""),115856)</f>
        <v>115856</v>
      </c>
      <c r="C2292" s="14">
        <f ca="1">IFERROR(__xludf.DUMMYFUNCTION("""COMPUTED_VALUE"""),0)</f>
        <v>0</v>
      </c>
      <c r="D2292" s="12" t="str">
        <f ca="1">IFERROR(__xludf.DUMMYFUNCTION("""COMPUTED_VALUE"""),"小関 麻起")</f>
        <v>小関 麻起</v>
      </c>
    </row>
    <row r="2293" spans="2:4" ht="13">
      <c r="B2293" s="12">
        <f ca="1">IFERROR(__xludf.DUMMYFUNCTION("""COMPUTED_VALUE"""),115858)</f>
        <v>115858</v>
      </c>
      <c r="C2293" s="14">
        <f ca="1">IFERROR(__xludf.DUMMYFUNCTION("""COMPUTED_VALUE"""),0)</f>
        <v>0</v>
      </c>
      <c r="D2293" s="12" t="str">
        <f ca="1">IFERROR(__xludf.DUMMYFUNCTION("""COMPUTED_VALUE"""),"長谷川 陸朗")</f>
        <v>長谷川 陸朗</v>
      </c>
    </row>
    <row r="2294" spans="2:4" ht="13">
      <c r="B2294" s="12">
        <f ca="1">IFERROR(__xludf.DUMMYFUNCTION("""COMPUTED_VALUE"""),115859)</f>
        <v>115859</v>
      </c>
      <c r="C2294" s="14">
        <f ca="1">IFERROR(__xludf.DUMMYFUNCTION("""COMPUTED_VALUE"""),0)</f>
        <v>0</v>
      </c>
      <c r="D2294" s="12" t="str">
        <f ca="1">IFERROR(__xludf.DUMMYFUNCTION("""COMPUTED_VALUE"""),"稲場 勇介")</f>
        <v>稲場 勇介</v>
      </c>
    </row>
    <row r="2295" spans="2:4" ht="13">
      <c r="B2295" s="12">
        <f ca="1">IFERROR(__xludf.DUMMYFUNCTION("""COMPUTED_VALUE"""),115862)</f>
        <v>115862</v>
      </c>
      <c r="C2295" s="14">
        <f ca="1">IFERROR(__xludf.DUMMYFUNCTION("""COMPUTED_VALUE"""),0)</f>
        <v>0</v>
      </c>
      <c r="D2295" s="12" t="str">
        <f ca="1">IFERROR(__xludf.DUMMYFUNCTION("""COMPUTED_VALUE"""),"稲場 勇介")</f>
        <v>稲場 勇介</v>
      </c>
    </row>
    <row r="2296" spans="2:4" ht="13">
      <c r="B2296" s="12">
        <f ca="1">IFERROR(__xludf.DUMMYFUNCTION("""COMPUTED_VALUE"""),115864)</f>
        <v>115864</v>
      </c>
      <c r="C2296" s="14">
        <f ca="1">IFERROR(__xludf.DUMMYFUNCTION("""COMPUTED_VALUE"""),0)</f>
        <v>0</v>
      </c>
      <c r="D2296" s="12" t="str">
        <f ca="1">IFERROR(__xludf.DUMMYFUNCTION("""COMPUTED_VALUE"""),"堀越 駿")</f>
        <v>堀越 駿</v>
      </c>
    </row>
    <row r="2297" spans="2:4" ht="13">
      <c r="B2297" s="12">
        <f ca="1">IFERROR(__xludf.DUMMYFUNCTION("""COMPUTED_VALUE"""),115865)</f>
        <v>115865</v>
      </c>
      <c r="C2297" s="14">
        <f ca="1">IFERROR(__xludf.DUMMYFUNCTION("""COMPUTED_VALUE"""),17)</f>
        <v>17</v>
      </c>
      <c r="D2297" s="12" t="str">
        <f ca="1">IFERROR(__xludf.DUMMYFUNCTION("""COMPUTED_VALUE"""),"小川 純")</f>
        <v>小川 純</v>
      </c>
    </row>
    <row r="2298" spans="2:4" ht="13">
      <c r="B2298" s="12">
        <f ca="1">IFERROR(__xludf.DUMMYFUNCTION("""COMPUTED_VALUE"""),115870)</f>
        <v>115870</v>
      </c>
      <c r="C2298" s="14">
        <f ca="1">IFERROR(__xludf.DUMMYFUNCTION("""COMPUTED_VALUE"""),0)</f>
        <v>0</v>
      </c>
      <c r="D2298" s="12" t="str">
        <f ca="1">IFERROR(__xludf.DUMMYFUNCTION("""COMPUTED_VALUE"""),"稲場 勇介")</f>
        <v>稲場 勇介</v>
      </c>
    </row>
    <row r="2299" spans="2:4" ht="13">
      <c r="B2299" s="12">
        <f ca="1">IFERROR(__xludf.DUMMYFUNCTION("""COMPUTED_VALUE"""),115874)</f>
        <v>115874</v>
      </c>
      <c r="C2299" s="14">
        <f ca="1">IFERROR(__xludf.DUMMYFUNCTION("""COMPUTED_VALUE"""),0)</f>
        <v>0</v>
      </c>
      <c r="D2299" s="12" t="str">
        <f ca="1">IFERROR(__xludf.DUMMYFUNCTION("""COMPUTED_VALUE"""),"成嶋 夏未")</f>
        <v>成嶋 夏未</v>
      </c>
    </row>
    <row r="2300" spans="2:4" ht="13">
      <c r="B2300" s="12">
        <f ca="1">IFERROR(__xludf.DUMMYFUNCTION("""COMPUTED_VALUE"""),115876)</f>
        <v>115876</v>
      </c>
      <c r="C2300" s="14">
        <f ca="1">IFERROR(__xludf.DUMMYFUNCTION("""COMPUTED_VALUE"""),0)</f>
        <v>0</v>
      </c>
      <c r="D2300" s="12" t="str">
        <f ca="1">IFERROR(__xludf.DUMMYFUNCTION("""COMPUTED_VALUE"""),"稲場 勇介")</f>
        <v>稲場 勇介</v>
      </c>
    </row>
    <row r="2301" spans="2:4" ht="13">
      <c r="B2301" s="12">
        <f ca="1">IFERROR(__xludf.DUMMYFUNCTION("""COMPUTED_VALUE"""),115877)</f>
        <v>115877</v>
      </c>
      <c r="C2301" s="14">
        <f ca="1">IFERROR(__xludf.DUMMYFUNCTION("""COMPUTED_VALUE"""),0)</f>
        <v>0</v>
      </c>
      <c r="D2301" s="12" t="str">
        <f ca="1">IFERROR(__xludf.DUMMYFUNCTION("""COMPUTED_VALUE"""),"桐山 勝気")</f>
        <v>桐山 勝気</v>
      </c>
    </row>
    <row r="2302" spans="2:4" ht="13">
      <c r="B2302" s="12">
        <f ca="1">IFERROR(__xludf.DUMMYFUNCTION("""COMPUTED_VALUE"""),115878)</f>
        <v>115878</v>
      </c>
      <c r="C2302" s="14">
        <f ca="1">IFERROR(__xludf.DUMMYFUNCTION("""COMPUTED_VALUE"""),0)</f>
        <v>0</v>
      </c>
      <c r="D2302" s="12" t="str">
        <f ca="1">IFERROR(__xludf.DUMMYFUNCTION("""COMPUTED_VALUE"""),"成嶋 夏未")</f>
        <v>成嶋 夏未</v>
      </c>
    </row>
    <row r="2303" spans="2:4" ht="13">
      <c r="B2303" s="12">
        <f ca="1">IFERROR(__xludf.DUMMYFUNCTION("""COMPUTED_VALUE"""),115879)</f>
        <v>115879</v>
      </c>
      <c r="C2303" s="14">
        <f ca="1">IFERROR(__xludf.DUMMYFUNCTION("""COMPUTED_VALUE"""),0)</f>
        <v>0</v>
      </c>
      <c r="D2303" s="12" t="str">
        <f ca="1">IFERROR(__xludf.DUMMYFUNCTION("""COMPUTED_VALUE"""),"成嶋 夏未")</f>
        <v>成嶋 夏未</v>
      </c>
    </row>
    <row r="2304" spans="2:4" ht="13">
      <c r="B2304" s="12">
        <f ca="1">IFERROR(__xludf.DUMMYFUNCTION("""COMPUTED_VALUE"""),115881)</f>
        <v>115881</v>
      </c>
      <c r="C2304" s="14">
        <f ca="1">IFERROR(__xludf.DUMMYFUNCTION("""COMPUTED_VALUE"""),0)</f>
        <v>0</v>
      </c>
      <c r="D2304" s="12" t="str">
        <f ca="1">IFERROR(__xludf.DUMMYFUNCTION("""COMPUTED_VALUE"""),"田嶋 将太")</f>
        <v>田嶋 将太</v>
      </c>
    </row>
    <row r="2305" spans="2:4" ht="13">
      <c r="B2305" s="12">
        <f ca="1">IFERROR(__xludf.DUMMYFUNCTION("""COMPUTED_VALUE"""),115882)</f>
        <v>115882</v>
      </c>
      <c r="C2305" s="14">
        <f ca="1">IFERROR(__xludf.DUMMYFUNCTION("""COMPUTED_VALUE"""),0)</f>
        <v>0</v>
      </c>
      <c r="D2305" s="12" t="str">
        <f ca="1">IFERROR(__xludf.DUMMYFUNCTION("""COMPUTED_VALUE"""),"稲場 勇介")</f>
        <v>稲場 勇介</v>
      </c>
    </row>
    <row r="2306" spans="2:4" ht="13">
      <c r="B2306" s="12">
        <f ca="1">IFERROR(__xludf.DUMMYFUNCTION("""COMPUTED_VALUE"""),115883)</f>
        <v>115883</v>
      </c>
      <c r="C2306" s="14">
        <f ca="1">IFERROR(__xludf.DUMMYFUNCTION("""COMPUTED_VALUE"""),0)</f>
        <v>0</v>
      </c>
      <c r="D2306" s="12" t="str">
        <f ca="1">IFERROR(__xludf.DUMMYFUNCTION("""COMPUTED_VALUE"""),"成嶋 夏未")</f>
        <v>成嶋 夏未</v>
      </c>
    </row>
    <row r="2307" spans="2:4" ht="13">
      <c r="B2307" s="12">
        <f ca="1">IFERROR(__xludf.DUMMYFUNCTION("""COMPUTED_VALUE"""),115885)</f>
        <v>115885</v>
      </c>
      <c r="C2307" s="14">
        <f ca="1">IFERROR(__xludf.DUMMYFUNCTION("""COMPUTED_VALUE"""),0)</f>
        <v>0</v>
      </c>
      <c r="D2307" s="12" t="str">
        <f ca="1">IFERROR(__xludf.DUMMYFUNCTION("""COMPUTED_VALUE"""),"栗原 大武")</f>
        <v>栗原 大武</v>
      </c>
    </row>
    <row r="2308" spans="2:4" ht="13">
      <c r="B2308" s="12">
        <f ca="1">IFERROR(__xludf.DUMMYFUNCTION("""COMPUTED_VALUE"""),115886)</f>
        <v>115886</v>
      </c>
      <c r="C2308" s="14">
        <f ca="1">IFERROR(__xludf.DUMMYFUNCTION("""COMPUTED_VALUE"""),0)</f>
        <v>0</v>
      </c>
      <c r="D2308" s="12" t="str">
        <f ca="1">IFERROR(__xludf.DUMMYFUNCTION("""COMPUTED_VALUE"""),"成嶋 夏未")</f>
        <v>成嶋 夏未</v>
      </c>
    </row>
    <row r="2309" spans="2:4" ht="13">
      <c r="B2309" s="12">
        <f ca="1">IFERROR(__xludf.DUMMYFUNCTION("""COMPUTED_VALUE"""),115887)</f>
        <v>115887</v>
      </c>
      <c r="C2309" s="14">
        <f ca="1">IFERROR(__xludf.DUMMYFUNCTION("""COMPUTED_VALUE"""),0)</f>
        <v>0</v>
      </c>
      <c r="D2309" s="12" t="str">
        <f ca="1">IFERROR(__xludf.DUMMYFUNCTION("""COMPUTED_VALUE"""),"老田 純輝")</f>
        <v>老田 純輝</v>
      </c>
    </row>
    <row r="2310" spans="2:4" ht="13">
      <c r="B2310" s="12">
        <f ca="1">IFERROR(__xludf.DUMMYFUNCTION("""COMPUTED_VALUE"""),115888)</f>
        <v>115888</v>
      </c>
      <c r="C2310" s="14">
        <f ca="1">IFERROR(__xludf.DUMMYFUNCTION("""COMPUTED_VALUE"""),0)</f>
        <v>0</v>
      </c>
      <c r="D2310" s="12" t="str">
        <f ca="1">IFERROR(__xludf.DUMMYFUNCTION("""COMPUTED_VALUE"""),"桐山 勝気")</f>
        <v>桐山 勝気</v>
      </c>
    </row>
    <row r="2311" spans="2:4" ht="13">
      <c r="B2311" s="12">
        <f ca="1">IFERROR(__xludf.DUMMYFUNCTION("""COMPUTED_VALUE"""),115889)</f>
        <v>115889</v>
      </c>
      <c r="C2311" s="14">
        <f ca="1">IFERROR(__xludf.DUMMYFUNCTION("""COMPUTED_VALUE"""),0)</f>
        <v>0</v>
      </c>
      <c r="D2311" s="12" t="str">
        <f ca="1">IFERROR(__xludf.DUMMYFUNCTION("""COMPUTED_VALUE"""),"芳賀 亮輔")</f>
        <v>芳賀 亮輔</v>
      </c>
    </row>
    <row r="2312" spans="2:4" ht="13">
      <c r="B2312" s="12">
        <f ca="1">IFERROR(__xludf.DUMMYFUNCTION("""COMPUTED_VALUE"""),115891)</f>
        <v>115891</v>
      </c>
      <c r="C2312" s="14">
        <f ca="1">IFERROR(__xludf.DUMMYFUNCTION("""COMPUTED_VALUE"""),0)</f>
        <v>0</v>
      </c>
      <c r="D2312" s="12" t="str">
        <f ca="1">IFERROR(__xludf.DUMMYFUNCTION("""COMPUTED_VALUE"""),"芳賀 亮輔")</f>
        <v>芳賀 亮輔</v>
      </c>
    </row>
    <row r="2313" spans="2:4" ht="13">
      <c r="B2313" s="12">
        <f ca="1">IFERROR(__xludf.DUMMYFUNCTION("""COMPUTED_VALUE"""),115892)</f>
        <v>115892</v>
      </c>
      <c r="C2313" s="14">
        <f ca="1">IFERROR(__xludf.DUMMYFUNCTION("""COMPUTED_VALUE"""),0)</f>
        <v>0</v>
      </c>
      <c r="D2313" s="12" t="str">
        <f ca="1">IFERROR(__xludf.DUMMYFUNCTION("""COMPUTED_VALUE"""),"長谷川 陸朗")</f>
        <v>長谷川 陸朗</v>
      </c>
    </row>
    <row r="2314" spans="2:4" ht="13">
      <c r="B2314" s="12">
        <f ca="1">IFERROR(__xludf.DUMMYFUNCTION("""COMPUTED_VALUE"""),115894)</f>
        <v>115894</v>
      </c>
      <c r="C2314" s="14">
        <f ca="1">IFERROR(__xludf.DUMMYFUNCTION("""COMPUTED_VALUE"""),0)</f>
        <v>0</v>
      </c>
      <c r="D2314" s="12" t="str">
        <f ca="1">IFERROR(__xludf.DUMMYFUNCTION("""COMPUTED_VALUE"""),"成嶋 夏未")</f>
        <v>成嶋 夏未</v>
      </c>
    </row>
    <row r="2315" spans="2:4" ht="13">
      <c r="B2315" s="12">
        <f ca="1">IFERROR(__xludf.DUMMYFUNCTION("""COMPUTED_VALUE"""),115896)</f>
        <v>115896</v>
      </c>
      <c r="C2315" s="14">
        <f ca="1">IFERROR(__xludf.DUMMYFUNCTION("""COMPUTED_VALUE"""),0)</f>
        <v>0</v>
      </c>
      <c r="D2315" s="12" t="str">
        <f ca="1">IFERROR(__xludf.DUMMYFUNCTION("""COMPUTED_VALUE"""),"荻曽 克輝")</f>
        <v>荻曽 克輝</v>
      </c>
    </row>
    <row r="2316" spans="2:4" ht="13">
      <c r="B2316" s="12">
        <f ca="1">IFERROR(__xludf.DUMMYFUNCTION("""COMPUTED_VALUE"""),115899)</f>
        <v>115899</v>
      </c>
      <c r="C2316" s="14">
        <f ca="1">IFERROR(__xludf.DUMMYFUNCTION("""COMPUTED_VALUE"""),0)</f>
        <v>0</v>
      </c>
      <c r="D2316" s="12" t="str">
        <f ca="1">IFERROR(__xludf.DUMMYFUNCTION("""COMPUTED_VALUE"""),"小関 麻起")</f>
        <v>小関 麻起</v>
      </c>
    </row>
    <row r="2317" spans="2:4" ht="13">
      <c r="B2317" s="12">
        <f ca="1">IFERROR(__xludf.DUMMYFUNCTION("""COMPUTED_VALUE"""),115901)</f>
        <v>115901</v>
      </c>
      <c r="C2317" s="14">
        <f ca="1">IFERROR(__xludf.DUMMYFUNCTION("""COMPUTED_VALUE"""),0)</f>
        <v>0</v>
      </c>
      <c r="D2317" s="12" t="str">
        <f ca="1">IFERROR(__xludf.DUMMYFUNCTION("""COMPUTED_VALUE"""),"桐山 勝気")</f>
        <v>桐山 勝気</v>
      </c>
    </row>
    <row r="2318" spans="2:4" ht="13">
      <c r="B2318" s="12">
        <f ca="1">IFERROR(__xludf.DUMMYFUNCTION("""COMPUTED_VALUE"""),115902)</f>
        <v>115902</v>
      </c>
      <c r="C2318" s="14">
        <f ca="1">IFERROR(__xludf.DUMMYFUNCTION("""COMPUTED_VALUE"""),0)</f>
        <v>0</v>
      </c>
      <c r="D2318" s="12" t="str">
        <f ca="1">IFERROR(__xludf.DUMMYFUNCTION("""COMPUTED_VALUE"""),"荻曽 克輝")</f>
        <v>荻曽 克輝</v>
      </c>
    </row>
    <row r="2319" spans="2:4" ht="13">
      <c r="B2319" s="12">
        <f ca="1">IFERROR(__xludf.DUMMYFUNCTION("""COMPUTED_VALUE"""),115905)</f>
        <v>115905</v>
      </c>
      <c r="C2319" s="14">
        <f ca="1">IFERROR(__xludf.DUMMYFUNCTION("""COMPUTED_VALUE"""),0)</f>
        <v>0</v>
      </c>
      <c r="D2319" s="12" t="str">
        <f ca="1">IFERROR(__xludf.DUMMYFUNCTION("""COMPUTED_VALUE"""),"老田 純輝")</f>
        <v>老田 純輝</v>
      </c>
    </row>
    <row r="2320" spans="2:4" ht="13">
      <c r="B2320" s="12">
        <f ca="1">IFERROR(__xludf.DUMMYFUNCTION("""COMPUTED_VALUE"""),115913)</f>
        <v>115913</v>
      </c>
      <c r="C2320" s="14">
        <f ca="1">IFERROR(__xludf.DUMMYFUNCTION("""COMPUTED_VALUE"""),40)</f>
        <v>40</v>
      </c>
      <c r="D2320" s="12" t="str">
        <f ca="1">IFERROR(__xludf.DUMMYFUNCTION("""COMPUTED_VALUE"""),"柿崎 晃司")</f>
        <v>柿崎 晃司</v>
      </c>
    </row>
    <row r="2321" spans="2:4" ht="13">
      <c r="B2321" s="12">
        <f ca="1">IFERROR(__xludf.DUMMYFUNCTION("""COMPUTED_VALUE"""),115915)</f>
        <v>115915</v>
      </c>
      <c r="C2321" s="14">
        <f ca="1">IFERROR(__xludf.DUMMYFUNCTION("""COMPUTED_VALUE"""),0)</f>
        <v>0</v>
      </c>
      <c r="D2321" s="12" t="str">
        <f ca="1">IFERROR(__xludf.DUMMYFUNCTION("""COMPUTED_VALUE"""),"桐山 勝気")</f>
        <v>桐山 勝気</v>
      </c>
    </row>
    <row r="2322" spans="2:4" ht="13">
      <c r="B2322" s="12">
        <f ca="1">IFERROR(__xludf.DUMMYFUNCTION("""COMPUTED_VALUE"""),115916)</f>
        <v>115916</v>
      </c>
      <c r="C2322" s="14">
        <f ca="1">IFERROR(__xludf.DUMMYFUNCTION("""COMPUTED_VALUE"""),0)</f>
        <v>0</v>
      </c>
      <c r="D2322" s="12" t="str">
        <f ca="1">IFERROR(__xludf.DUMMYFUNCTION("""COMPUTED_VALUE"""),"川島 幹也")</f>
        <v>川島 幹也</v>
      </c>
    </row>
    <row r="2323" spans="2:4" ht="13">
      <c r="B2323" s="12">
        <f ca="1">IFERROR(__xludf.DUMMYFUNCTION("""COMPUTED_VALUE"""),115917)</f>
        <v>115917</v>
      </c>
      <c r="C2323" s="14">
        <f ca="1">IFERROR(__xludf.DUMMYFUNCTION("""COMPUTED_VALUE"""),0)</f>
        <v>0</v>
      </c>
      <c r="D2323" s="12" t="str">
        <f ca="1">IFERROR(__xludf.DUMMYFUNCTION("""COMPUTED_VALUE"""),"長谷川 陸朗")</f>
        <v>長谷川 陸朗</v>
      </c>
    </row>
    <row r="2324" spans="2:4" ht="13">
      <c r="B2324" s="12">
        <f ca="1">IFERROR(__xludf.DUMMYFUNCTION("""COMPUTED_VALUE"""),115918)</f>
        <v>115918</v>
      </c>
      <c r="C2324" s="14">
        <f ca="1">IFERROR(__xludf.DUMMYFUNCTION("""COMPUTED_VALUE"""),0)</f>
        <v>0</v>
      </c>
      <c r="D2324" s="12" t="str">
        <f ca="1">IFERROR(__xludf.DUMMYFUNCTION("""COMPUTED_VALUE"""),"老田 純輝")</f>
        <v>老田 純輝</v>
      </c>
    </row>
    <row r="2325" spans="2:4" ht="13">
      <c r="B2325" s="12">
        <f ca="1">IFERROR(__xludf.DUMMYFUNCTION("""COMPUTED_VALUE"""),115921)</f>
        <v>115921</v>
      </c>
      <c r="C2325" s="14">
        <f ca="1">IFERROR(__xludf.DUMMYFUNCTION("""COMPUTED_VALUE"""),0)</f>
        <v>0</v>
      </c>
      <c r="D2325" s="12" t="str">
        <f ca="1">IFERROR(__xludf.DUMMYFUNCTION("""COMPUTED_VALUE"""),"小川 純")</f>
        <v>小川 純</v>
      </c>
    </row>
    <row r="2326" spans="2:4" ht="13">
      <c r="B2326" s="12">
        <f ca="1">IFERROR(__xludf.DUMMYFUNCTION("""COMPUTED_VALUE"""),115922)</f>
        <v>115922</v>
      </c>
      <c r="C2326" s="14">
        <f ca="1">IFERROR(__xludf.DUMMYFUNCTION("""COMPUTED_VALUE"""),0)</f>
        <v>0</v>
      </c>
      <c r="D2326" s="12" t="str">
        <f ca="1">IFERROR(__xludf.DUMMYFUNCTION("""COMPUTED_VALUE"""),"老田 純輝")</f>
        <v>老田 純輝</v>
      </c>
    </row>
    <row r="2327" spans="2:4" ht="13">
      <c r="B2327" s="12">
        <f ca="1">IFERROR(__xludf.DUMMYFUNCTION("""COMPUTED_VALUE"""),115924)</f>
        <v>115924</v>
      </c>
      <c r="C2327" s="14">
        <f ca="1">IFERROR(__xludf.DUMMYFUNCTION("""COMPUTED_VALUE"""),0)</f>
        <v>0</v>
      </c>
      <c r="D2327" s="12" t="str">
        <f ca="1">IFERROR(__xludf.DUMMYFUNCTION("""COMPUTED_VALUE"""),"田嶋 将太")</f>
        <v>田嶋 将太</v>
      </c>
    </row>
    <row r="2328" spans="2:4" ht="13">
      <c r="B2328" s="12">
        <f ca="1">IFERROR(__xludf.DUMMYFUNCTION("""COMPUTED_VALUE"""),115926)</f>
        <v>115926</v>
      </c>
      <c r="C2328" s="14">
        <f ca="1">IFERROR(__xludf.DUMMYFUNCTION("""COMPUTED_VALUE"""),0)</f>
        <v>0</v>
      </c>
      <c r="D2328" s="12" t="str">
        <f ca="1">IFERROR(__xludf.DUMMYFUNCTION("""COMPUTED_VALUE"""),"成嶋 夏未")</f>
        <v>成嶋 夏未</v>
      </c>
    </row>
    <row r="2329" spans="2:4" ht="13">
      <c r="B2329" s="12">
        <f ca="1">IFERROR(__xludf.DUMMYFUNCTION("""COMPUTED_VALUE"""),115929)</f>
        <v>115929</v>
      </c>
      <c r="C2329" s="14">
        <f ca="1">IFERROR(__xludf.DUMMYFUNCTION("""COMPUTED_VALUE"""),0)</f>
        <v>0</v>
      </c>
      <c r="D2329" s="12" t="str">
        <f ca="1">IFERROR(__xludf.DUMMYFUNCTION("""COMPUTED_VALUE"""),"栗原 大武")</f>
        <v>栗原 大武</v>
      </c>
    </row>
    <row r="2330" spans="2:4" ht="13">
      <c r="B2330" s="12">
        <f ca="1">IFERROR(__xludf.DUMMYFUNCTION("""COMPUTED_VALUE"""),115930)</f>
        <v>115930</v>
      </c>
      <c r="C2330" s="14">
        <f ca="1">IFERROR(__xludf.DUMMYFUNCTION("""COMPUTED_VALUE"""),0)</f>
        <v>0</v>
      </c>
      <c r="D2330" s="12" t="str">
        <f ca="1">IFERROR(__xludf.DUMMYFUNCTION("""COMPUTED_VALUE"""),"成嶋 夏未")</f>
        <v>成嶋 夏未</v>
      </c>
    </row>
    <row r="2331" spans="2:4" ht="13">
      <c r="B2331" s="12">
        <f ca="1">IFERROR(__xludf.DUMMYFUNCTION("""COMPUTED_VALUE"""),115931)</f>
        <v>115931</v>
      </c>
      <c r="C2331" s="14">
        <f ca="1">IFERROR(__xludf.DUMMYFUNCTION("""COMPUTED_VALUE"""),0)</f>
        <v>0</v>
      </c>
      <c r="D2331" s="12" t="str">
        <f ca="1">IFERROR(__xludf.DUMMYFUNCTION("""COMPUTED_VALUE"""),"稲場 勇介")</f>
        <v>稲場 勇介</v>
      </c>
    </row>
    <row r="2332" spans="2:4" ht="13">
      <c r="B2332" s="12">
        <f ca="1">IFERROR(__xludf.DUMMYFUNCTION("""COMPUTED_VALUE"""),115932)</f>
        <v>115932</v>
      </c>
      <c r="C2332" s="14">
        <f ca="1">IFERROR(__xludf.DUMMYFUNCTION("""COMPUTED_VALUE"""),0)</f>
        <v>0</v>
      </c>
      <c r="D2332" s="12" t="str">
        <f ca="1">IFERROR(__xludf.DUMMYFUNCTION("""COMPUTED_VALUE"""),"長谷川 陸朗")</f>
        <v>長谷川 陸朗</v>
      </c>
    </row>
    <row r="2333" spans="2:4" ht="13">
      <c r="B2333" s="12">
        <f ca="1">IFERROR(__xludf.DUMMYFUNCTION("""COMPUTED_VALUE"""),115933)</f>
        <v>115933</v>
      </c>
      <c r="C2333" s="14">
        <f ca="1">IFERROR(__xludf.DUMMYFUNCTION("""COMPUTED_VALUE"""),0)</f>
        <v>0</v>
      </c>
      <c r="D2333" s="12" t="str">
        <f ca="1">IFERROR(__xludf.DUMMYFUNCTION("""COMPUTED_VALUE"""),"小関 麻起")</f>
        <v>小関 麻起</v>
      </c>
    </row>
    <row r="2334" spans="2:4" ht="13">
      <c r="B2334" s="12">
        <f ca="1">IFERROR(__xludf.DUMMYFUNCTION("""COMPUTED_VALUE"""),115936)</f>
        <v>115936</v>
      </c>
      <c r="C2334" s="14">
        <f ca="1">IFERROR(__xludf.DUMMYFUNCTION("""COMPUTED_VALUE"""),0)</f>
        <v>0</v>
      </c>
      <c r="D2334" s="12" t="str">
        <f ca="1">IFERROR(__xludf.DUMMYFUNCTION("""COMPUTED_VALUE"""),"辻村 将大")</f>
        <v>辻村 将大</v>
      </c>
    </row>
    <row r="2335" spans="2:4" ht="13">
      <c r="B2335" s="12">
        <f ca="1">IFERROR(__xludf.DUMMYFUNCTION("""COMPUTED_VALUE"""),115939)</f>
        <v>115939</v>
      </c>
      <c r="C2335" s="14">
        <f ca="1">IFERROR(__xludf.DUMMYFUNCTION("""COMPUTED_VALUE"""),0)</f>
        <v>0</v>
      </c>
      <c r="D2335" s="12" t="str">
        <f ca="1">IFERROR(__xludf.DUMMYFUNCTION("""COMPUTED_VALUE"""),"成嶋 夏未")</f>
        <v>成嶋 夏未</v>
      </c>
    </row>
    <row r="2336" spans="2:4" ht="13">
      <c r="B2336" s="12">
        <f ca="1">IFERROR(__xludf.DUMMYFUNCTION("""COMPUTED_VALUE"""),115944)</f>
        <v>115944</v>
      </c>
      <c r="C2336" s="14">
        <f ca="1">IFERROR(__xludf.DUMMYFUNCTION("""COMPUTED_VALUE"""),0)</f>
        <v>0</v>
      </c>
      <c r="D2336" s="12" t="str">
        <f ca="1">IFERROR(__xludf.DUMMYFUNCTION("""COMPUTED_VALUE"""),"成嶋 夏未")</f>
        <v>成嶋 夏未</v>
      </c>
    </row>
    <row r="2337" spans="2:4" ht="13">
      <c r="B2337" s="12">
        <f ca="1">IFERROR(__xludf.DUMMYFUNCTION("""COMPUTED_VALUE"""),115947)</f>
        <v>115947</v>
      </c>
      <c r="C2337" s="14">
        <f ca="1">IFERROR(__xludf.DUMMYFUNCTION("""COMPUTED_VALUE"""),0)</f>
        <v>0</v>
      </c>
      <c r="D2337" s="12" t="str">
        <f ca="1">IFERROR(__xludf.DUMMYFUNCTION("""COMPUTED_VALUE"""),"辻村 将大")</f>
        <v>辻村 将大</v>
      </c>
    </row>
    <row r="2338" spans="2:4" ht="13">
      <c r="B2338" s="12">
        <f ca="1">IFERROR(__xludf.DUMMYFUNCTION("""COMPUTED_VALUE"""),115949)</f>
        <v>115949</v>
      </c>
      <c r="C2338" s="14">
        <f ca="1">IFERROR(__xludf.DUMMYFUNCTION("""COMPUTED_VALUE"""),0)</f>
        <v>0</v>
      </c>
      <c r="D2338" s="12" t="str">
        <f ca="1">IFERROR(__xludf.DUMMYFUNCTION("""COMPUTED_VALUE"""),"荻曽 克輝")</f>
        <v>荻曽 克輝</v>
      </c>
    </row>
    <row r="2339" spans="2:4" ht="13">
      <c r="B2339" s="12">
        <f ca="1">IFERROR(__xludf.DUMMYFUNCTION("""COMPUTED_VALUE"""),115951)</f>
        <v>115951</v>
      </c>
      <c r="C2339" s="14">
        <f ca="1">IFERROR(__xludf.DUMMYFUNCTION("""COMPUTED_VALUE"""),0)</f>
        <v>0</v>
      </c>
      <c r="D2339" s="12" t="str">
        <f ca="1">IFERROR(__xludf.DUMMYFUNCTION("""COMPUTED_VALUE"""),"荻曽 克輝")</f>
        <v>荻曽 克輝</v>
      </c>
    </row>
    <row r="2340" spans="2:4" ht="13">
      <c r="B2340" s="12">
        <f ca="1">IFERROR(__xludf.DUMMYFUNCTION("""COMPUTED_VALUE"""),115952)</f>
        <v>115952</v>
      </c>
      <c r="C2340" s="14">
        <f ca="1">IFERROR(__xludf.DUMMYFUNCTION("""COMPUTED_VALUE"""),0)</f>
        <v>0</v>
      </c>
      <c r="D2340" s="12" t="str">
        <f ca="1">IFERROR(__xludf.DUMMYFUNCTION("""COMPUTED_VALUE"""),"長谷川 陸朗")</f>
        <v>長谷川 陸朗</v>
      </c>
    </row>
    <row r="2341" spans="2:4" ht="13">
      <c r="B2341" s="12">
        <f ca="1">IFERROR(__xludf.DUMMYFUNCTION("""COMPUTED_VALUE"""),115953)</f>
        <v>115953</v>
      </c>
      <c r="C2341" s="14">
        <f ca="1">IFERROR(__xludf.DUMMYFUNCTION("""COMPUTED_VALUE"""),0)</f>
        <v>0</v>
      </c>
      <c r="D2341" s="12" t="str">
        <f ca="1">IFERROR(__xludf.DUMMYFUNCTION("""COMPUTED_VALUE"""),"稲場 勇介")</f>
        <v>稲場 勇介</v>
      </c>
    </row>
    <row r="2342" spans="2:4" ht="13">
      <c r="B2342" s="12">
        <f ca="1">IFERROR(__xludf.DUMMYFUNCTION("""COMPUTED_VALUE"""),115954)</f>
        <v>115954</v>
      </c>
      <c r="C2342" s="14">
        <f ca="1">IFERROR(__xludf.DUMMYFUNCTION("""COMPUTED_VALUE"""),2)</f>
        <v>2</v>
      </c>
      <c r="D2342" s="12" t="str">
        <f ca="1">IFERROR(__xludf.DUMMYFUNCTION("""COMPUTED_VALUE"""),"稲場 勇介")</f>
        <v>稲場 勇介</v>
      </c>
    </row>
    <row r="2343" spans="2:4" ht="13">
      <c r="B2343" s="12">
        <f ca="1">IFERROR(__xludf.DUMMYFUNCTION("""COMPUTED_VALUE"""),115955)</f>
        <v>115955</v>
      </c>
      <c r="C2343" s="14">
        <f ca="1">IFERROR(__xludf.DUMMYFUNCTION("""COMPUTED_VALUE"""),0)</f>
        <v>0</v>
      </c>
      <c r="D2343" s="12" t="str">
        <f ca="1">IFERROR(__xludf.DUMMYFUNCTION("""COMPUTED_VALUE"""),"長谷川 陸朗")</f>
        <v>長谷川 陸朗</v>
      </c>
    </row>
    <row r="2344" spans="2:4" ht="13">
      <c r="B2344" s="12">
        <f ca="1">IFERROR(__xludf.DUMMYFUNCTION("""COMPUTED_VALUE"""),115956)</f>
        <v>115956</v>
      </c>
      <c r="C2344" s="14">
        <f ca="1">IFERROR(__xludf.DUMMYFUNCTION("""COMPUTED_VALUE"""),0)</f>
        <v>0</v>
      </c>
      <c r="D2344" s="12" t="str">
        <f ca="1">IFERROR(__xludf.DUMMYFUNCTION("""COMPUTED_VALUE"""),"稲場 勇介")</f>
        <v>稲場 勇介</v>
      </c>
    </row>
    <row r="2345" spans="2:4" ht="13">
      <c r="B2345" s="12">
        <f ca="1">IFERROR(__xludf.DUMMYFUNCTION("""COMPUTED_VALUE"""),115957)</f>
        <v>115957</v>
      </c>
      <c r="C2345" s="14">
        <f ca="1">IFERROR(__xludf.DUMMYFUNCTION("""COMPUTED_VALUE"""),0)</f>
        <v>0</v>
      </c>
      <c r="D2345" s="12" t="str">
        <f ca="1">IFERROR(__xludf.DUMMYFUNCTION("""COMPUTED_VALUE"""),"菅野 ぎんが")</f>
        <v>菅野 ぎんが</v>
      </c>
    </row>
    <row r="2346" spans="2:4" ht="13">
      <c r="B2346" s="12">
        <f ca="1">IFERROR(__xludf.DUMMYFUNCTION("""COMPUTED_VALUE"""),115958)</f>
        <v>115958</v>
      </c>
      <c r="C2346" s="14">
        <f ca="1">IFERROR(__xludf.DUMMYFUNCTION("""COMPUTED_VALUE"""),0)</f>
        <v>0</v>
      </c>
      <c r="D2346" s="12" t="str">
        <f ca="1">IFERROR(__xludf.DUMMYFUNCTION("""COMPUTED_VALUE"""),"成嶋 夏未")</f>
        <v>成嶋 夏未</v>
      </c>
    </row>
    <row r="2347" spans="2:4" ht="13">
      <c r="B2347" s="12">
        <f ca="1">IFERROR(__xludf.DUMMYFUNCTION("""COMPUTED_VALUE"""),115959)</f>
        <v>115959</v>
      </c>
      <c r="C2347" s="14">
        <f ca="1">IFERROR(__xludf.DUMMYFUNCTION("""COMPUTED_VALUE"""),0)</f>
        <v>0</v>
      </c>
      <c r="D2347" s="12" t="str">
        <f ca="1">IFERROR(__xludf.DUMMYFUNCTION("""COMPUTED_VALUE"""),"稲場 勇介")</f>
        <v>稲場 勇介</v>
      </c>
    </row>
    <row r="2348" spans="2:4" ht="13">
      <c r="B2348" s="12">
        <f ca="1">IFERROR(__xludf.DUMMYFUNCTION("""COMPUTED_VALUE"""),115960)</f>
        <v>115960</v>
      </c>
      <c r="C2348" s="14">
        <f ca="1">IFERROR(__xludf.DUMMYFUNCTION("""COMPUTED_VALUE"""),0)</f>
        <v>0</v>
      </c>
      <c r="D2348" s="12" t="str">
        <f ca="1">IFERROR(__xludf.DUMMYFUNCTION("""COMPUTED_VALUE"""),"菅野 ぎんが")</f>
        <v>菅野 ぎんが</v>
      </c>
    </row>
    <row r="2349" spans="2:4" ht="13">
      <c r="B2349" s="12">
        <f ca="1">IFERROR(__xludf.DUMMYFUNCTION("""COMPUTED_VALUE"""),115962)</f>
        <v>115962</v>
      </c>
      <c r="C2349" s="14">
        <f ca="1">IFERROR(__xludf.DUMMYFUNCTION("""COMPUTED_VALUE"""),0)</f>
        <v>0</v>
      </c>
      <c r="D2349" s="12" t="str">
        <f ca="1">IFERROR(__xludf.DUMMYFUNCTION("""COMPUTED_VALUE"""),"芳賀 亮輔")</f>
        <v>芳賀 亮輔</v>
      </c>
    </row>
    <row r="2350" spans="2:4" ht="13">
      <c r="B2350" s="12">
        <f ca="1">IFERROR(__xludf.DUMMYFUNCTION("""COMPUTED_VALUE"""),115963)</f>
        <v>115963</v>
      </c>
      <c r="C2350" s="14">
        <f ca="1">IFERROR(__xludf.DUMMYFUNCTION("""COMPUTED_VALUE"""),25)</f>
        <v>25</v>
      </c>
      <c r="D2350" s="12" t="str">
        <f ca="1">IFERROR(__xludf.DUMMYFUNCTION("""COMPUTED_VALUE"""),"森 光智")</f>
        <v>森 光智</v>
      </c>
    </row>
    <row r="2351" spans="2:4" ht="13">
      <c r="B2351" s="12">
        <f ca="1">IFERROR(__xludf.DUMMYFUNCTION("""COMPUTED_VALUE"""),115964)</f>
        <v>115964</v>
      </c>
      <c r="C2351" s="14">
        <f ca="1">IFERROR(__xludf.DUMMYFUNCTION("""COMPUTED_VALUE"""),0)</f>
        <v>0</v>
      </c>
      <c r="D2351" s="12" t="str">
        <f ca="1">IFERROR(__xludf.DUMMYFUNCTION("""COMPUTED_VALUE"""),"森 光智")</f>
        <v>森 光智</v>
      </c>
    </row>
    <row r="2352" spans="2:4" ht="13">
      <c r="B2352" s="12">
        <f ca="1">IFERROR(__xludf.DUMMYFUNCTION("""COMPUTED_VALUE"""),115965)</f>
        <v>115965</v>
      </c>
      <c r="C2352" s="14">
        <f ca="1">IFERROR(__xludf.DUMMYFUNCTION("""COMPUTED_VALUE"""),0)</f>
        <v>0</v>
      </c>
      <c r="D2352" s="12" t="str">
        <f ca="1">IFERROR(__xludf.DUMMYFUNCTION("""COMPUTED_VALUE"""),"森 光智")</f>
        <v>森 光智</v>
      </c>
    </row>
    <row r="2353" spans="2:4" ht="13">
      <c r="B2353" s="12">
        <f ca="1">IFERROR(__xludf.DUMMYFUNCTION("""COMPUTED_VALUE"""),115966)</f>
        <v>115966</v>
      </c>
      <c r="C2353" s="14">
        <f ca="1">IFERROR(__xludf.DUMMYFUNCTION("""COMPUTED_VALUE"""),0)</f>
        <v>0</v>
      </c>
      <c r="D2353" s="12" t="str">
        <f ca="1">IFERROR(__xludf.DUMMYFUNCTION("""COMPUTED_VALUE"""),"小川 純")</f>
        <v>小川 純</v>
      </c>
    </row>
    <row r="2354" spans="2:4" ht="13">
      <c r="B2354" s="12">
        <f ca="1">IFERROR(__xludf.DUMMYFUNCTION("""COMPUTED_VALUE"""),115967)</f>
        <v>115967</v>
      </c>
      <c r="C2354" s="14">
        <f ca="1">IFERROR(__xludf.DUMMYFUNCTION("""COMPUTED_VALUE"""),0)</f>
        <v>0</v>
      </c>
      <c r="D2354" s="12" t="str">
        <f ca="1">IFERROR(__xludf.DUMMYFUNCTION("""COMPUTED_VALUE"""),"内丸 裕子")</f>
        <v>内丸 裕子</v>
      </c>
    </row>
    <row r="2355" spans="2:4" ht="13">
      <c r="B2355" s="12">
        <f ca="1">IFERROR(__xludf.DUMMYFUNCTION("""COMPUTED_VALUE"""),115968)</f>
        <v>115968</v>
      </c>
      <c r="C2355" s="14">
        <f ca="1">IFERROR(__xludf.DUMMYFUNCTION("""COMPUTED_VALUE"""),0)</f>
        <v>0</v>
      </c>
      <c r="D2355" s="12" t="str">
        <f ca="1">IFERROR(__xludf.DUMMYFUNCTION("""COMPUTED_VALUE"""),"老田 純輝")</f>
        <v>老田 純輝</v>
      </c>
    </row>
    <row r="2356" spans="2:4" ht="13">
      <c r="B2356" s="12">
        <f ca="1">IFERROR(__xludf.DUMMYFUNCTION("""COMPUTED_VALUE"""),115970)</f>
        <v>115970</v>
      </c>
      <c r="C2356" s="14">
        <f ca="1">IFERROR(__xludf.DUMMYFUNCTION("""COMPUTED_VALUE"""),0)</f>
        <v>0</v>
      </c>
      <c r="D2356" s="12" t="str">
        <f ca="1">IFERROR(__xludf.DUMMYFUNCTION("""COMPUTED_VALUE"""),"川島 幹也")</f>
        <v>川島 幹也</v>
      </c>
    </row>
    <row r="2357" spans="2:4" ht="13">
      <c r="B2357" s="12">
        <f ca="1">IFERROR(__xludf.DUMMYFUNCTION("""COMPUTED_VALUE"""),115971)</f>
        <v>115971</v>
      </c>
      <c r="C2357" s="14">
        <f ca="1">IFERROR(__xludf.DUMMYFUNCTION("""COMPUTED_VALUE"""),0)</f>
        <v>0</v>
      </c>
      <c r="D2357" s="12" t="str">
        <f ca="1">IFERROR(__xludf.DUMMYFUNCTION("""COMPUTED_VALUE"""),"稲場 勇介")</f>
        <v>稲場 勇介</v>
      </c>
    </row>
    <row r="2358" spans="2:4" ht="13">
      <c r="B2358" s="12">
        <f ca="1">IFERROR(__xludf.DUMMYFUNCTION("""COMPUTED_VALUE"""),115973)</f>
        <v>115973</v>
      </c>
      <c r="C2358" s="14">
        <f ca="1">IFERROR(__xludf.DUMMYFUNCTION("""COMPUTED_VALUE"""),20)</f>
        <v>20</v>
      </c>
      <c r="D2358" s="12" t="str">
        <f ca="1">IFERROR(__xludf.DUMMYFUNCTION("""COMPUTED_VALUE"""),"老田 純輝")</f>
        <v>老田 純輝</v>
      </c>
    </row>
    <row r="2359" spans="2:4" ht="13">
      <c r="B2359" s="12">
        <f ca="1">IFERROR(__xludf.DUMMYFUNCTION("""COMPUTED_VALUE"""),115976)</f>
        <v>115976</v>
      </c>
      <c r="C2359" s="14">
        <f ca="1">IFERROR(__xludf.DUMMYFUNCTION("""COMPUTED_VALUE"""),0)</f>
        <v>0</v>
      </c>
      <c r="D2359" s="12" t="str">
        <f ca="1">IFERROR(__xludf.DUMMYFUNCTION("""COMPUTED_VALUE"""),"稲場 勇介")</f>
        <v>稲場 勇介</v>
      </c>
    </row>
    <row r="2360" spans="2:4" ht="13">
      <c r="B2360" s="12">
        <f ca="1">IFERROR(__xludf.DUMMYFUNCTION("""COMPUTED_VALUE"""),115977)</f>
        <v>115977</v>
      </c>
      <c r="C2360" s="14">
        <f ca="1">IFERROR(__xludf.DUMMYFUNCTION("""COMPUTED_VALUE"""),0)</f>
        <v>0</v>
      </c>
      <c r="D2360" s="12" t="str">
        <f ca="1">IFERROR(__xludf.DUMMYFUNCTION("""COMPUTED_VALUE"""),"松尾 尚樹")</f>
        <v>松尾 尚樹</v>
      </c>
    </row>
    <row r="2361" spans="2:4" ht="13">
      <c r="B2361" s="12">
        <f ca="1">IFERROR(__xludf.DUMMYFUNCTION("""COMPUTED_VALUE"""),115978)</f>
        <v>115978</v>
      </c>
      <c r="C2361" s="14">
        <f ca="1">IFERROR(__xludf.DUMMYFUNCTION("""COMPUTED_VALUE"""),0)</f>
        <v>0</v>
      </c>
      <c r="D2361" s="12" t="str">
        <f ca="1">IFERROR(__xludf.DUMMYFUNCTION("""COMPUTED_VALUE"""),"成嶋 夏未")</f>
        <v>成嶋 夏未</v>
      </c>
    </row>
    <row r="2362" spans="2:4" ht="13">
      <c r="B2362" s="12">
        <f ca="1">IFERROR(__xludf.DUMMYFUNCTION("""COMPUTED_VALUE"""),115979)</f>
        <v>115979</v>
      </c>
      <c r="C2362" s="14">
        <f ca="1">IFERROR(__xludf.DUMMYFUNCTION("""COMPUTED_VALUE"""),0)</f>
        <v>0</v>
      </c>
      <c r="D2362" s="12" t="str">
        <f ca="1">IFERROR(__xludf.DUMMYFUNCTION("""COMPUTED_VALUE"""),"松尾 尚樹")</f>
        <v>松尾 尚樹</v>
      </c>
    </row>
    <row r="2363" spans="2:4" ht="13">
      <c r="B2363" s="12">
        <f ca="1">IFERROR(__xludf.DUMMYFUNCTION("""COMPUTED_VALUE"""),115980)</f>
        <v>115980</v>
      </c>
      <c r="C2363" s="14">
        <f ca="1">IFERROR(__xludf.DUMMYFUNCTION("""COMPUTED_VALUE"""),0)</f>
        <v>0</v>
      </c>
      <c r="D2363" s="12" t="str">
        <f ca="1">IFERROR(__xludf.DUMMYFUNCTION("""COMPUTED_VALUE"""),"稲場 勇介")</f>
        <v>稲場 勇介</v>
      </c>
    </row>
    <row r="2364" spans="2:4" ht="13">
      <c r="B2364" s="12">
        <f ca="1">IFERROR(__xludf.DUMMYFUNCTION("""COMPUTED_VALUE"""),115984)</f>
        <v>115984</v>
      </c>
      <c r="C2364" s="14">
        <f ca="1">IFERROR(__xludf.DUMMYFUNCTION("""COMPUTED_VALUE"""),0)</f>
        <v>0</v>
      </c>
      <c r="D2364" s="12" t="str">
        <f ca="1">IFERROR(__xludf.DUMMYFUNCTION("""COMPUTED_VALUE"""),"松尾 尚樹")</f>
        <v>松尾 尚樹</v>
      </c>
    </row>
    <row r="2365" spans="2:4" ht="13">
      <c r="B2365" s="12">
        <f ca="1">IFERROR(__xludf.DUMMYFUNCTION("""COMPUTED_VALUE"""),115985)</f>
        <v>115985</v>
      </c>
      <c r="C2365" s="14">
        <f ca="1">IFERROR(__xludf.DUMMYFUNCTION("""COMPUTED_VALUE"""),0)</f>
        <v>0</v>
      </c>
      <c r="D2365" s="12" t="str">
        <f ca="1">IFERROR(__xludf.DUMMYFUNCTION("""COMPUTED_VALUE"""),"田嶋 将太")</f>
        <v>田嶋 将太</v>
      </c>
    </row>
    <row r="2366" spans="2:4" ht="13">
      <c r="B2366" s="12">
        <f ca="1">IFERROR(__xludf.DUMMYFUNCTION("""COMPUTED_VALUE"""),115986)</f>
        <v>115986</v>
      </c>
      <c r="C2366" s="14">
        <f ca="1">IFERROR(__xludf.DUMMYFUNCTION("""COMPUTED_VALUE"""),0)</f>
        <v>0</v>
      </c>
      <c r="D2366" s="12" t="str">
        <f ca="1">IFERROR(__xludf.DUMMYFUNCTION("""COMPUTED_VALUE"""),"荻曽 克輝")</f>
        <v>荻曽 克輝</v>
      </c>
    </row>
    <row r="2367" spans="2:4" ht="13">
      <c r="B2367" s="12">
        <f ca="1">IFERROR(__xludf.DUMMYFUNCTION("""COMPUTED_VALUE"""),115987)</f>
        <v>115987</v>
      </c>
      <c r="C2367" s="14">
        <f ca="1">IFERROR(__xludf.DUMMYFUNCTION("""COMPUTED_VALUE"""),0)</f>
        <v>0</v>
      </c>
      <c r="D2367" s="12" t="str">
        <f ca="1">IFERROR(__xludf.DUMMYFUNCTION("""COMPUTED_VALUE"""),"荻曽 克輝")</f>
        <v>荻曽 克輝</v>
      </c>
    </row>
    <row r="2368" spans="2:4" ht="13">
      <c r="B2368" s="12">
        <f ca="1">IFERROR(__xludf.DUMMYFUNCTION("""COMPUTED_VALUE"""),115988)</f>
        <v>115988</v>
      </c>
      <c r="C2368" s="14">
        <f ca="1">IFERROR(__xludf.DUMMYFUNCTION("""COMPUTED_VALUE"""),0)</f>
        <v>0</v>
      </c>
      <c r="D2368" s="12" t="str">
        <f ca="1">IFERROR(__xludf.DUMMYFUNCTION("""COMPUTED_VALUE"""),"長谷川 陸朗")</f>
        <v>長谷川 陸朗</v>
      </c>
    </row>
    <row r="2369" spans="2:4" ht="13">
      <c r="B2369" s="12">
        <f ca="1">IFERROR(__xludf.DUMMYFUNCTION("""COMPUTED_VALUE"""),115989)</f>
        <v>115989</v>
      </c>
      <c r="C2369" s="14">
        <f ca="1">IFERROR(__xludf.DUMMYFUNCTION("""COMPUTED_VALUE"""),0)</f>
        <v>0</v>
      </c>
      <c r="D2369" s="12" t="str">
        <f ca="1">IFERROR(__xludf.DUMMYFUNCTION("""COMPUTED_VALUE"""),"長谷川 陸朗")</f>
        <v>長谷川 陸朗</v>
      </c>
    </row>
    <row r="2370" spans="2:4" ht="13">
      <c r="B2370" s="12">
        <f ca="1">IFERROR(__xludf.DUMMYFUNCTION("""COMPUTED_VALUE"""),115990)</f>
        <v>115990</v>
      </c>
      <c r="C2370" s="14">
        <f ca="1">IFERROR(__xludf.DUMMYFUNCTION("""COMPUTED_VALUE"""),0)</f>
        <v>0</v>
      </c>
      <c r="D2370" s="12" t="str">
        <f ca="1">IFERROR(__xludf.DUMMYFUNCTION("""COMPUTED_VALUE"""),"成嶋 夏未")</f>
        <v>成嶋 夏未</v>
      </c>
    </row>
    <row r="2371" spans="2:4" ht="13">
      <c r="B2371" s="12">
        <f ca="1">IFERROR(__xludf.DUMMYFUNCTION("""COMPUTED_VALUE"""),115992)</f>
        <v>115992</v>
      </c>
      <c r="C2371" s="14">
        <f ca="1">IFERROR(__xludf.DUMMYFUNCTION("""COMPUTED_VALUE"""),0)</f>
        <v>0</v>
      </c>
      <c r="D2371" s="12" t="str">
        <f ca="1">IFERROR(__xludf.DUMMYFUNCTION("""COMPUTED_VALUE"""),"老田 純輝")</f>
        <v>老田 純輝</v>
      </c>
    </row>
    <row r="2372" spans="2:4" ht="13">
      <c r="B2372" s="12">
        <f ca="1">IFERROR(__xludf.DUMMYFUNCTION("""COMPUTED_VALUE"""),115993)</f>
        <v>115993</v>
      </c>
      <c r="C2372" s="14">
        <f ca="1">IFERROR(__xludf.DUMMYFUNCTION("""COMPUTED_VALUE"""),0)</f>
        <v>0</v>
      </c>
      <c r="D2372" s="12" t="str">
        <f ca="1">IFERROR(__xludf.DUMMYFUNCTION("""COMPUTED_VALUE"""),"成嶋 夏未")</f>
        <v>成嶋 夏未</v>
      </c>
    </row>
    <row r="2373" spans="2:4" ht="13">
      <c r="B2373" s="12">
        <f ca="1">IFERROR(__xludf.DUMMYFUNCTION("""COMPUTED_VALUE"""),115995)</f>
        <v>115995</v>
      </c>
      <c r="C2373" s="14">
        <f ca="1">IFERROR(__xludf.DUMMYFUNCTION("""COMPUTED_VALUE"""),0)</f>
        <v>0</v>
      </c>
      <c r="D2373" s="12" t="str">
        <f ca="1">IFERROR(__xludf.DUMMYFUNCTION("""COMPUTED_VALUE"""),"老田 純輝")</f>
        <v>老田 純輝</v>
      </c>
    </row>
    <row r="2374" spans="2:4" ht="13">
      <c r="B2374" s="12">
        <f ca="1">IFERROR(__xludf.DUMMYFUNCTION("""COMPUTED_VALUE"""),115996)</f>
        <v>115996</v>
      </c>
      <c r="C2374" s="14">
        <f ca="1">IFERROR(__xludf.DUMMYFUNCTION("""COMPUTED_VALUE"""),0)</f>
        <v>0</v>
      </c>
      <c r="D2374" s="12" t="str">
        <f ca="1">IFERROR(__xludf.DUMMYFUNCTION("""COMPUTED_VALUE"""),"長谷川 陸朗")</f>
        <v>長谷川 陸朗</v>
      </c>
    </row>
    <row r="2375" spans="2:4" ht="13">
      <c r="B2375" s="12">
        <f ca="1">IFERROR(__xludf.DUMMYFUNCTION("""COMPUTED_VALUE"""),115998)</f>
        <v>115998</v>
      </c>
      <c r="C2375" s="14">
        <f ca="1">IFERROR(__xludf.DUMMYFUNCTION("""COMPUTED_VALUE"""),0)</f>
        <v>0</v>
      </c>
      <c r="D2375" s="12" t="str">
        <f ca="1">IFERROR(__xludf.DUMMYFUNCTION("""COMPUTED_VALUE"""),"稲場 勇介")</f>
        <v>稲場 勇介</v>
      </c>
    </row>
    <row r="2376" spans="2:4" ht="13">
      <c r="B2376" s="12">
        <f ca="1">IFERROR(__xludf.DUMMYFUNCTION("""COMPUTED_VALUE"""),115999)</f>
        <v>115999</v>
      </c>
      <c r="C2376" s="14">
        <f ca="1">IFERROR(__xludf.DUMMYFUNCTION("""COMPUTED_VALUE"""),0)</f>
        <v>0</v>
      </c>
      <c r="D2376" s="12" t="str">
        <f ca="1">IFERROR(__xludf.DUMMYFUNCTION("""COMPUTED_VALUE"""),"松尾 尚樹")</f>
        <v>松尾 尚樹</v>
      </c>
    </row>
    <row r="2377" spans="2:4" ht="13">
      <c r="B2377" s="12">
        <f ca="1">IFERROR(__xludf.DUMMYFUNCTION("""COMPUTED_VALUE"""),116000)</f>
        <v>116000</v>
      </c>
      <c r="C2377" s="14">
        <f ca="1">IFERROR(__xludf.DUMMYFUNCTION("""COMPUTED_VALUE"""),0)</f>
        <v>0</v>
      </c>
      <c r="D2377" s="12" t="str">
        <f ca="1">IFERROR(__xludf.DUMMYFUNCTION("""COMPUTED_VALUE"""),"老田 純輝")</f>
        <v>老田 純輝</v>
      </c>
    </row>
    <row r="2378" spans="2:4" ht="13">
      <c r="B2378" s="12">
        <f ca="1">IFERROR(__xludf.DUMMYFUNCTION("""COMPUTED_VALUE"""),116002)</f>
        <v>116002</v>
      </c>
      <c r="C2378" s="14">
        <f ca="1">IFERROR(__xludf.DUMMYFUNCTION("""COMPUTED_VALUE"""),0)</f>
        <v>0</v>
      </c>
      <c r="D2378" s="12" t="str">
        <f ca="1">IFERROR(__xludf.DUMMYFUNCTION("""COMPUTED_VALUE"""),"松尾 尚樹")</f>
        <v>松尾 尚樹</v>
      </c>
    </row>
    <row r="2379" spans="2:4" ht="13">
      <c r="B2379" s="12">
        <f ca="1">IFERROR(__xludf.DUMMYFUNCTION("""COMPUTED_VALUE"""),116003)</f>
        <v>116003</v>
      </c>
      <c r="C2379" s="14">
        <f ca="1">IFERROR(__xludf.DUMMYFUNCTION("""COMPUTED_VALUE"""),0)</f>
        <v>0</v>
      </c>
      <c r="D2379" s="12" t="str">
        <f ca="1">IFERROR(__xludf.DUMMYFUNCTION("""COMPUTED_VALUE"""),"稲場 勇介")</f>
        <v>稲場 勇介</v>
      </c>
    </row>
    <row r="2380" spans="2:4" ht="13">
      <c r="B2380" s="12">
        <f ca="1">IFERROR(__xludf.DUMMYFUNCTION("""COMPUTED_VALUE"""),116004)</f>
        <v>116004</v>
      </c>
      <c r="C2380" s="14">
        <f ca="1">IFERROR(__xludf.DUMMYFUNCTION("""COMPUTED_VALUE"""),0)</f>
        <v>0</v>
      </c>
      <c r="D2380" s="12" t="str">
        <f ca="1">IFERROR(__xludf.DUMMYFUNCTION("""COMPUTED_VALUE"""),"長谷川 陸朗")</f>
        <v>長谷川 陸朗</v>
      </c>
    </row>
    <row r="2381" spans="2:4" ht="13">
      <c r="B2381" s="12">
        <f ca="1">IFERROR(__xludf.DUMMYFUNCTION("""COMPUTED_VALUE"""),116009)</f>
        <v>116009</v>
      </c>
      <c r="C2381" s="14">
        <f ca="1">IFERROR(__xludf.DUMMYFUNCTION("""COMPUTED_VALUE"""),0)</f>
        <v>0</v>
      </c>
      <c r="D2381" s="12" t="str">
        <f ca="1">IFERROR(__xludf.DUMMYFUNCTION("""COMPUTED_VALUE"""),"荻曽 克輝")</f>
        <v>荻曽 克輝</v>
      </c>
    </row>
    <row r="2382" spans="2:4" ht="13">
      <c r="B2382" s="12">
        <f ca="1">IFERROR(__xludf.DUMMYFUNCTION("""COMPUTED_VALUE"""),116013)</f>
        <v>116013</v>
      </c>
      <c r="C2382" s="14">
        <f ca="1">IFERROR(__xludf.DUMMYFUNCTION("""COMPUTED_VALUE"""),0)</f>
        <v>0</v>
      </c>
      <c r="D2382" s="12" t="str">
        <f ca="1">IFERROR(__xludf.DUMMYFUNCTION("""COMPUTED_VALUE"""),"稲場 勇介")</f>
        <v>稲場 勇介</v>
      </c>
    </row>
    <row r="2383" spans="2:4" ht="13">
      <c r="B2383" s="12">
        <f ca="1">IFERROR(__xludf.DUMMYFUNCTION("""COMPUTED_VALUE"""),116015)</f>
        <v>116015</v>
      </c>
      <c r="C2383" s="14">
        <f ca="1">IFERROR(__xludf.DUMMYFUNCTION("""COMPUTED_VALUE"""),0)</f>
        <v>0</v>
      </c>
      <c r="D2383" s="12" t="str">
        <f ca="1">IFERROR(__xludf.DUMMYFUNCTION("""COMPUTED_VALUE"""),"辻村 将大")</f>
        <v>辻村 将大</v>
      </c>
    </row>
    <row r="2384" spans="2:4" ht="13">
      <c r="B2384" s="12">
        <f ca="1">IFERROR(__xludf.DUMMYFUNCTION("""COMPUTED_VALUE"""),116016)</f>
        <v>116016</v>
      </c>
      <c r="C2384" s="14">
        <f ca="1">IFERROR(__xludf.DUMMYFUNCTION("""COMPUTED_VALUE"""),0)</f>
        <v>0</v>
      </c>
      <c r="D2384" s="12" t="str">
        <f ca="1">IFERROR(__xludf.DUMMYFUNCTION("""COMPUTED_VALUE"""),"成嶋 夏未")</f>
        <v>成嶋 夏未</v>
      </c>
    </row>
    <row r="2385" spans="2:4" ht="13">
      <c r="B2385" s="12">
        <f ca="1">IFERROR(__xludf.DUMMYFUNCTION("""COMPUTED_VALUE"""),116017)</f>
        <v>116017</v>
      </c>
      <c r="C2385" s="14">
        <f ca="1">IFERROR(__xludf.DUMMYFUNCTION("""COMPUTED_VALUE"""),0)</f>
        <v>0</v>
      </c>
      <c r="D2385" s="12" t="str">
        <f ca="1">IFERROR(__xludf.DUMMYFUNCTION("""COMPUTED_VALUE"""),"稲場 勇介")</f>
        <v>稲場 勇介</v>
      </c>
    </row>
    <row r="2386" spans="2:4" ht="13">
      <c r="B2386" s="12">
        <f ca="1">IFERROR(__xludf.DUMMYFUNCTION("""COMPUTED_VALUE"""),116018)</f>
        <v>116018</v>
      </c>
      <c r="C2386" s="14">
        <f ca="1">IFERROR(__xludf.DUMMYFUNCTION("""COMPUTED_VALUE"""),0)</f>
        <v>0</v>
      </c>
      <c r="D2386" s="12" t="str">
        <f ca="1">IFERROR(__xludf.DUMMYFUNCTION("""COMPUTED_VALUE"""),"川島 幹也")</f>
        <v>川島 幹也</v>
      </c>
    </row>
    <row r="2387" spans="2:4" ht="13">
      <c r="B2387" s="12">
        <f ca="1">IFERROR(__xludf.DUMMYFUNCTION("""COMPUTED_VALUE"""),116019)</f>
        <v>116019</v>
      </c>
      <c r="C2387" s="14">
        <f ca="1">IFERROR(__xludf.DUMMYFUNCTION("""COMPUTED_VALUE"""),0)</f>
        <v>0</v>
      </c>
      <c r="D2387" s="12" t="str">
        <f ca="1">IFERROR(__xludf.DUMMYFUNCTION("""COMPUTED_VALUE"""),"堀越 駿")</f>
        <v>堀越 駿</v>
      </c>
    </row>
    <row r="2388" spans="2:4" ht="13">
      <c r="B2388" s="12">
        <f ca="1">IFERROR(__xludf.DUMMYFUNCTION("""COMPUTED_VALUE"""),116020)</f>
        <v>116020</v>
      </c>
      <c r="C2388" s="14">
        <f ca="1">IFERROR(__xludf.DUMMYFUNCTION("""COMPUTED_VALUE"""),0)</f>
        <v>0</v>
      </c>
      <c r="D2388" s="12" t="str">
        <f ca="1">IFERROR(__xludf.DUMMYFUNCTION("""COMPUTED_VALUE"""),"芳賀 亮輔")</f>
        <v>芳賀 亮輔</v>
      </c>
    </row>
    <row r="2389" spans="2:4" ht="13">
      <c r="B2389" s="12">
        <f ca="1">IFERROR(__xludf.DUMMYFUNCTION("""COMPUTED_VALUE"""),116021)</f>
        <v>116021</v>
      </c>
      <c r="C2389" s="14">
        <f ca="1">IFERROR(__xludf.DUMMYFUNCTION("""COMPUTED_VALUE"""),0)</f>
        <v>0</v>
      </c>
      <c r="D2389" s="12" t="str">
        <f ca="1">IFERROR(__xludf.DUMMYFUNCTION("""COMPUTED_VALUE"""),"川島 幹也")</f>
        <v>川島 幹也</v>
      </c>
    </row>
    <row r="2390" spans="2:4" ht="13">
      <c r="B2390" s="12">
        <f ca="1">IFERROR(__xludf.DUMMYFUNCTION("""COMPUTED_VALUE"""),116022)</f>
        <v>116022</v>
      </c>
      <c r="C2390" s="14">
        <f ca="1">IFERROR(__xludf.DUMMYFUNCTION("""COMPUTED_VALUE"""),0)</f>
        <v>0</v>
      </c>
      <c r="D2390" s="12" t="str">
        <f ca="1">IFERROR(__xludf.DUMMYFUNCTION("""COMPUTED_VALUE"""),"荻曽 克輝")</f>
        <v>荻曽 克輝</v>
      </c>
    </row>
    <row r="2391" spans="2:4" ht="13">
      <c r="B2391" s="12">
        <f ca="1">IFERROR(__xludf.DUMMYFUNCTION("""COMPUTED_VALUE"""),116023)</f>
        <v>116023</v>
      </c>
      <c r="C2391" s="14">
        <f ca="1">IFERROR(__xludf.DUMMYFUNCTION("""COMPUTED_VALUE"""),0)</f>
        <v>0</v>
      </c>
      <c r="D2391" s="12" t="str">
        <f ca="1">IFERROR(__xludf.DUMMYFUNCTION("""COMPUTED_VALUE"""),"稲場 勇介")</f>
        <v>稲場 勇介</v>
      </c>
    </row>
    <row r="2392" spans="2:4" ht="13">
      <c r="B2392" s="12">
        <f ca="1">IFERROR(__xludf.DUMMYFUNCTION("""COMPUTED_VALUE"""),116024)</f>
        <v>116024</v>
      </c>
      <c r="C2392" s="14">
        <f ca="1">IFERROR(__xludf.DUMMYFUNCTION("""COMPUTED_VALUE"""),0)</f>
        <v>0</v>
      </c>
      <c r="D2392" s="12" t="str">
        <f ca="1">IFERROR(__xludf.DUMMYFUNCTION("""COMPUTED_VALUE"""),"栗原 大武")</f>
        <v>栗原 大武</v>
      </c>
    </row>
    <row r="2393" spans="2:4" ht="13">
      <c r="B2393" s="12">
        <f ca="1">IFERROR(__xludf.DUMMYFUNCTION("""COMPUTED_VALUE"""),116025)</f>
        <v>116025</v>
      </c>
      <c r="C2393" s="14">
        <f ca="1">IFERROR(__xludf.DUMMYFUNCTION("""COMPUTED_VALUE"""),0)</f>
        <v>0</v>
      </c>
      <c r="D2393" s="12" t="str">
        <f ca="1">IFERROR(__xludf.DUMMYFUNCTION("""COMPUTED_VALUE"""),"村上 浩一朗")</f>
        <v>村上 浩一朗</v>
      </c>
    </row>
    <row r="2394" spans="2:4" ht="13">
      <c r="B2394" s="12">
        <f ca="1">IFERROR(__xludf.DUMMYFUNCTION("""COMPUTED_VALUE"""),116028)</f>
        <v>116028</v>
      </c>
      <c r="C2394" s="14">
        <f ca="1">IFERROR(__xludf.DUMMYFUNCTION("""COMPUTED_VALUE"""),0)</f>
        <v>0</v>
      </c>
      <c r="D2394" s="12" t="str">
        <f ca="1">IFERROR(__xludf.DUMMYFUNCTION("""COMPUTED_VALUE"""),"菅野 ぎんが")</f>
        <v>菅野 ぎんが</v>
      </c>
    </row>
    <row r="2395" spans="2:4" ht="13">
      <c r="B2395" s="12">
        <f ca="1">IFERROR(__xludf.DUMMYFUNCTION("""COMPUTED_VALUE"""),116029)</f>
        <v>116029</v>
      </c>
      <c r="C2395" s="14">
        <f ca="1">IFERROR(__xludf.DUMMYFUNCTION("""COMPUTED_VALUE"""),0)</f>
        <v>0</v>
      </c>
      <c r="D2395" s="12" t="str">
        <f ca="1">IFERROR(__xludf.DUMMYFUNCTION("""COMPUTED_VALUE"""),"内丸 裕子")</f>
        <v>内丸 裕子</v>
      </c>
    </row>
    <row r="2396" spans="2:4" ht="13">
      <c r="B2396" s="12">
        <f ca="1">IFERROR(__xludf.DUMMYFUNCTION("""COMPUTED_VALUE"""),116032)</f>
        <v>116032</v>
      </c>
      <c r="C2396" s="14">
        <f ca="1">IFERROR(__xludf.DUMMYFUNCTION("""COMPUTED_VALUE"""),0)</f>
        <v>0</v>
      </c>
      <c r="D2396" s="12" t="str">
        <f ca="1">IFERROR(__xludf.DUMMYFUNCTION("""COMPUTED_VALUE"""),"長谷川 陸朗")</f>
        <v>長谷川 陸朗</v>
      </c>
    </row>
    <row r="2397" spans="2:4" ht="13">
      <c r="B2397" s="12">
        <f ca="1">IFERROR(__xludf.DUMMYFUNCTION("""COMPUTED_VALUE"""),116034)</f>
        <v>116034</v>
      </c>
      <c r="C2397" s="14">
        <f ca="1">IFERROR(__xludf.DUMMYFUNCTION("""COMPUTED_VALUE"""),0)</f>
        <v>0</v>
      </c>
      <c r="D2397" s="12" t="str">
        <f ca="1">IFERROR(__xludf.DUMMYFUNCTION("""COMPUTED_VALUE"""),"長谷川 陸朗")</f>
        <v>長谷川 陸朗</v>
      </c>
    </row>
    <row r="2398" spans="2:4" ht="13">
      <c r="B2398" s="12">
        <f ca="1">IFERROR(__xludf.DUMMYFUNCTION("""COMPUTED_VALUE"""),116035)</f>
        <v>116035</v>
      </c>
      <c r="C2398" s="14">
        <f ca="1">IFERROR(__xludf.DUMMYFUNCTION("""COMPUTED_VALUE"""),0)</f>
        <v>0</v>
      </c>
      <c r="D2398" s="12" t="str">
        <f ca="1">IFERROR(__xludf.DUMMYFUNCTION("""COMPUTED_VALUE"""),"栗原 大武")</f>
        <v>栗原 大武</v>
      </c>
    </row>
    <row r="2399" spans="2:4" ht="13">
      <c r="B2399" s="12">
        <f ca="1">IFERROR(__xludf.DUMMYFUNCTION("""COMPUTED_VALUE"""),116036)</f>
        <v>116036</v>
      </c>
      <c r="C2399" s="14">
        <f ca="1">IFERROR(__xludf.DUMMYFUNCTION("""COMPUTED_VALUE"""),0)</f>
        <v>0</v>
      </c>
      <c r="D2399" s="12" t="str">
        <f ca="1">IFERROR(__xludf.DUMMYFUNCTION("""COMPUTED_VALUE"""),"菅野 ぎんが")</f>
        <v>菅野 ぎんが</v>
      </c>
    </row>
    <row r="2400" spans="2:4" ht="13">
      <c r="B2400" s="12">
        <f ca="1">IFERROR(__xludf.DUMMYFUNCTION("""COMPUTED_VALUE"""),116038)</f>
        <v>116038</v>
      </c>
      <c r="C2400" s="14">
        <f ca="1">IFERROR(__xludf.DUMMYFUNCTION("""COMPUTED_VALUE"""),0)</f>
        <v>0</v>
      </c>
      <c r="D2400" s="12" t="str">
        <f ca="1">IFERROR(__xludf.DUMMYFUNCTION("""COMPUTED_VALUE"""),"松尾 尚樹")</f>
        <v>松尾 尚樹</v>
      </c>
    </row>
    <row r="2401" spans="2:4" ht="13">
      <c r="B2401" s="12">
        <f ca="1">IFERROR(__xludf.DUMMYFUNCTION("""COMPUTED_VALUE"""),116039)</f>
        <v>116039</v>
      </c>
      <c r="C2401" s="14">
        <f ca="1">IFERROR(__xludf.DUMMYFUNCTION("""COMPUTED_VALUE"""),0)</f>
        <v>0</v>
      </c>
      <c r="D2401" s="12" t="str">
        <f ca="1">IFERROR(__xludf.DUMMYFUNCTION("""COMPUTED_VALUE"""),"荻曽 克輝")</f>
        <v>荻曽 克輝</v>
      </c>
    </row>
    <row r="2402" spans="2:4" ht="13">
      <c r="B2402" s="12">
        <f ca="1">IFERROR(__xludf.DUMMYFUNCTION("""COMPUTED_VALUE"""),116040)</f>
        <v>116040</v>
      </c>
      <c r="C2402" s="14">
        <f ca="1">IFERROR(__xludf.DUMMYFUNCTION("""COMPUTED_VALUE"""),0)</f>
        <v>0</v>
      </c>
      <c r="D2402" s="12" t="str">
        <f ca="1">IFERROR(__xludf.DUMMYFUNCTION("""COMPUTED_VALUE"""),"桐山 勝気")</f>
        <v>桐山 勝気</v>
      </c>
    </row>
    <row r="2403" spans="2:4" ht="13">
      <c r="B2403" s="12">
        <f ca="1">IFERROR(__xludf.DUMMYFUNCTION("""COMPUTED_VALUE"""),116041)</f>
        <v>116041</v>
      </c>
      <c r="C2403" s="14">
        <f ca="1">IFERROR(__xludf.DUMMYFUNCTION("""COMPUTED_VALUE"""),0)</f>
        <v>0</v>
      </c>
      <c r="D2403" s="12" t="str">
        <f ca="1">IFERROR(__xludf.DUMMYFUNCTION("""COMPUTED_VALUE"""),"小関 麻起")</f>
        <v>小関 麻起</v>
      </c>
    </row>
    <row r="2404" spans="2:4" ht="13">
      <c r="B2404" s="12">
        <f ca="1">IFERROR(__xludf.DUMMYFUNCTION("""COMPUTED_VALUE"""),116042)</f>
        <v>116042</v>
      </c>
      <c r="C2404" s="14">
        <f ca="1">IFERROR(__xludf.DUMMYFUNCTION("""COMPUTED_VALUE"""),0)</f>
        <v>0</v>
      </c>
      <c r="D2404" s="12" t="str">
        <f ca="1">IFERROR(__xludf.DUMMYFUNCTION("""COMPUTED_VALUE"""),"荻曽 克輝")</f>
        <v>荻曽 克輝</v>
      </c>
    </row>
    <row r="2405" spans="2:4" ht="13">
      <c r="B2405" s="12">
        <f ca="1">IFERROR(__xludf.DUMMYFUNCTION("""COMPUTED_VALUE"""),116044)</f>
        <v>116044</v>
      </c>
      <c r="C2405" s="14">
        <f ca="1">IFERROR(__xludf.DUMMYFUNCTION("""COMPUTED_VALUE"""),0)</f>
        <v>0</v>
      </c>
      <c r="D2405" s="12" t="str">
        <f ca="1">IFERROR(__xludf.DUMMYFUNCTION("""COMPUTED_VALUE"""),"芳賀 亮輔")</f>
        <v>芳賀 亮輔</v>
      </c>
    </row>
    <row r="2406" spans="2:4" ht="13">
      <c r="B2406" s="12">
        <f ca="1">IFERROR(__xludf.DUMMYFUNCTION("""COMPUTED_VALUE"""),116045)</f>
        <v>116045</v>
      </c>
      <c r="C2406" s="14">
        <f ca="1">IFERROR(__xludf.DUMMYFUNCTION("""COMPUTED_VALUE"""),0)</f>
        <v>0</v>
      </c>
      <c r="D2406" s="12" t="str">
        <f ca="1">IFERROR(__xludf.DUMMYFUNCTION("""COMPUTED_VALUE"""),"堀越 駿")</f>
        <v>堀越 駿</v>
      </c>
    </row>
    <row r="2407" spans="2:4" ht="13">
      <c r="B2407" s="12">
        <f ca="1">IFERROR(__xludf.DUMMYFUNCTION("""COMPUTED_VALUE"""),116046)</f>
        <v>116046</v>
      </c>
      <c r="C2407" s="14">
        <f ca="1">IFERROR(__xludf.DUMMYFUNCTION("""COMPUTED_VALUE"""),0)</f>
        <v>0</v>
      </c>
      <c r="D2407" s="12" t="str">
        <f ca="1">IFERROR(__xludf.DUMMYFUNCTION("""COMPUTED_VALUE"""),"稲場 勇介")</f>
        <v>稲場 勇介</v>
      </c>
    </row>
    <row r="2408" spans="2:4" ht="13">
      <c r="B2408" s="12">
        <f ca="1">IFERROR(__xludf.DUMMYFUNCTION("""COMPUTED_VALUE"""),116047)</f>
        <v>116047</v>
      </c>
      <c r="C2408" s="14">
        <f ca="1">IFERROR(__xludf.DUMMYFUNCTION("""COMPUTED_VALUE"""),6)</f>
        <v>6</v>
      </c>
      <c r="D2408" s="12" t="str">
        <f ca="1">IFERROR(__xludf.DUMMYFUNCTION("""COMPUTED_VALUE"""),"松尾 尚樹")</f>
        <v>松尾 尚樹</v>
      </c>
    </row>
    <row r="2409" spans="2:4" ht="13">
      <c r="B2409" s="12">
        <f ca="1">IFERROR(__xludf.DUMMYFUNCTION("""COMPUTED_VALUE"""),116053)</f>
        <v>116053</v>
      </c>
      <c r="C2409" s="14">
        <f ca="1">IFERROR(__xludf.DUMMYFUNCTION("""COMPUTED_VALUE"""),0)</f>
        <v>0</v>
      </c>
      <c r="D2409" s="12" t="str">
        <f ca="1">IFERROR(__xludf.DUMMYFUNCTION("""COMPUTED_VALUE"""),"芳賀 亮輔")</f>
        <v>芳賀 亮輔</v>
      </c>
    </row>
    <row r="2410" spans="2:4" ht="13">
      <c r="B2410" s="12">
        <f ca="1">IFERROR(__xludf.DUMMYFUNCTION("""COMPUTED_VALUE"""),116056)</f>
        <v>116056</v>
      </c>
      <c r="C2410" s="14">
        <f ca="1">IFERROR(__xludf.DUMMYFUNCTION("""COMPUTED_VALUE"""),0)</f>
        <v>0</v>
      </c>
      <c r="D2410" s="12" t="str">
        <f ca="1">IFERROR(__xludf.DUMMYFUNCTION("""COMPUTED_VALUE"""),"成嶋 夏未")</f>
        <v>成嶋 夏未</v>
      </c>
    </row>
    <row r="2411" spans="2:4" ht="13">
      <c r="B2411" s="12">
        <f ca="1">IFERROR(__xludf.DUMMYFUNCTION("""COMPUTED_VALUE"""),116057)</f>
        <v>116057</v>
      </c>
      <c r="C2411" s="14">
        <f ca="1">IFERROR(__xludf.DUMMYFUNCTION("""COMPUTED_VALUE"""),0)</f>
        <v>0</v>
      </c>
      <c r="D2411" s="12" t="str">
        <f ca="1">IFERROR(__xludf.DUMMYFUNCTION("""COMPUTED_VALUE"""),"森 光智")</f>
        <v>森 光智</v>
      </c>
    </row>
    <row r="2412" spans="2:4" ht="13">
      <c r="B2412" s="12">
        <f ca="1">IFERROR(__xludf.DUMMYFUNCTION("""COMPUTED_VALUE"""),116058)</f>
        <v>116058</v>
      </c>
      <c r="C2412" s="14">
        <f ca="1">IFERROR(__xludf.DUMMYFUNCTION("""COMPUTED_VALUE"""),0)</f>
        <v>0</v>
      </c>
      <c r="D2412" s="12" t="str">
        <f ca="1">IFERROR(__xludf.DUMMYFUNCTION("""COMPUTED_VALUE"""),"成嶋 夏未")</f>
        <v>成嶋 夏未</v>
      </c>
    </row>
    <row r="2413" spans="2:4" ht="13">
      <c r="B2413" s="12">
        <f ca="1">IFERROR(__xludf.DUMMYFUNCTION("""COMPUTED_VALUE"""),116059)</f>
        <v>116059</v>
      </c>
      <c r="C2413" s="14">
        <f ca="1">IFERROR(__xludf.DUMMYFUNCTION("""COMPUTED_VALUE"""),0)</f>
        <v>0</v>
      </c>
      <c r="D2413" s="12" t="str">
        <f ca="1">IFERROR(__xludf.DUMMYFUNCTION("""COMPUTED_VALUE"""),"松尾 尚樹")</f>
        <v>松尾 尚樹</v>
      </c>
    </row>
    <row r="2414" spans="2:4" ht="13">
      <c r="B2414" s="12">
        <f ca="1">IFERROR(__xludf.DUMMYFUNCTION("""COMPUTED_VALUE"""),116060)</f>
        <v>116060</v>
      </c>
      <c r="C2414" s="14">
        <f ca="1">IFERROR(__xludf.DUMMYFUNCTION("""COMPUTED_VALUE"""),0)</f>
        <v>0</v>
      </c>
      <c r="D2414" s="12" t="str">
        <f ca="1">IFERROR(__xludf.DUMMYFUNCTION("""COMPUTED_VALUE"""),"稲場 勇介")</f>
        <v>稲場 勇介</v>
      </c>
    </row>
    <row r="2415" spans="2:4" ht="13">
      <c r="B2415" s="12">
        <f ca="1">IFERROR(__xludf.DUMMYFUNCTION("""COMPUTED_VALUE"""),116062)</f>
        <v>116062</v>
      </c>
      <c r="C2415" s="14">
        <f ca="1">IFERROR(__xludf.DUMMYFUNCTION("""COMPUTED_VALUE"""),0)</f>
        <v>0</v>
      </c>
      <c r="D2415" s="12" t="str">
        <f ca="1">IFERROR(__xludf.DUMMYFUNCTION("""COMPUTED_VALUE"""),"菅野 ぎんが")</f>
        <v>菅野 ぎんが</v>
      </c>
    </row>
    <row r="2416" spans="2:4" ht="13">
      <c r="B2416" s="12">
        <f ca="1">IFERROR(__xludf.DUMMYFUNCTION("""COMPUTED_VALUE"""),116063)</f>
        <v>116063</v>
      </c>
      <c r="C2416" s="14">
        <f ca="1">IFERROR(__xludf.DUMMYFUNCTION("""COMPUTED_VALUE"""),0)</f>
        <v>0</v>
      </c>
      <c r="D2416" s="12" t="str">
        <f ca="1">IFERROR(__xludf.DUMMYFUNCTION("""COMPUTED_VALUE"""),"松尾 尚樹")</f>
        <v>松尾 尚樹</v>
      </c>
    </row>
    <row r="2417" spans="2:4" ht="13">
      <c r="B2417" s="12">
        <f ca="1">IFERROR(__xludf.DUMMYFUNCTION("""COMPUTED_VALUE"""),116064)</f>
        <v>116064</v>
      </c>
      <c r="C2417" s="14">
        <f ca="1">IFERROR(__xludf.DUMMYFUNCTION("""COMPUTED_VALUE"""),0)</f>
        <v>0</v>
      </c>
      <c r="D2417" s="12" t="str">
        <f ca="1">IFERROR(__xludf.DUMMYFUNCTION("""COMPUTED_VALUE"""),"稲場 勇介")</f>
        <v>稲場 勇介</v>
      </c>
    </row>
    <row r="2418" spans="2:4" ht="13">
      <c r="B2418" s="12">
        <f ca="1">IFERROR(__xludf.DUMMYFUNCTION("""COMPUTED_VALUE"""),116066)</f>
        <v>116066</v>
      </c>
      <c r="C2418" s="14">
        <f ca="1">IFERROR(__xludf.DUMMYFUNCTION("""COMPUTED_VALUE"""),0)</f>
        <v>0</v>
      </c>
      <c r="D2418" s="12" t="str">
        <f ca="1">IFERROR(__xludf.DUMMYFUNCTION("""COMPUTED_VALUE"""),"稲場 勇介")</f>
        <v>稲場 勇介</v>
      </c>
    </row>
    <row r="2419" spans="2:4" ht="13">
      <c r="B2419" s="12">
        <f ca="1">IFERROR(__xludf.DUMMYFUNCTION("""COMPUTED_VALUE"""),116067)</f>
        <v>116067</v>
      </c>
      <c r="C2419" s="14">
        <f ca="1">IFERROR(__xludf.DUMMYFUNCTION("""COMPUTED_VALUE"""),0)</f>
        <v>0</v>
      </c>
      <c r="D2419" s="12" t="str">
        <f ca="1">IFERROR(__xludf.DUMMYFUNCTION("""COMPUTED_VALUE"""),"栗原 大武")</f>
        <v>栗原 大武</v>
      </c>
    </row>
    <row r="2420" spans="2:4" ht="13">
      <c r="B2420" s="12">
        <f ca="1">IFERROR(__xludf.DUMMYFUNCTION("""COMPUTED_VALUE"""),116068)</f>
        <v>116068</v>
      </c>
      <c r="C2420" s="14">
        <f ca="1">IFERROR(__xludf.DUMMYFUNCTION("""COMPUTED_VALUE"""),0)</f>
        <v>0</v>
      </c>
      <c r="D2420" s="12" t="str">
        <f ca="1">IFERROR(__xludf.DUMMYFUNCTION("""COMPUTED_VALUE"""),"栗原 大武")</f>
        <v>栗原 大武</v>
      </c>
    </row>
    <row r="2421" spans="2:4" ht="13">
      <c r="B2421" s="12">
        <f ca="1">IFERROR(__xludf.DUMMYFUNCTION("""COMPUTED_VALUE"""),116069)</f>
        <v>116069</v>
      </c>
      <c r="C2421" s="14">
        <f ca="1">IFERROR(__xludf.DUMMYFUNCTION("""COMPUTED_VALUE"""),0)</f>
        <v>0</v>
      </c>
      <c r="D2421" s="12" t="str">
        <f ca="1">IFERROR(__xludf.DUMMYFUNCTION("""COMPUTED_VALUE"""),"長谷川 陸朗")</f>
        <v>長谷川 陸朗</v>
      </c>
    </row>
    <row r="2422" spans="2:4" ht="13">
      <c r="B2422" s="12">
        <f ca="1">IFERROR(__xludf.DUMMYFUNCTION("""COMPUTED_VALUE"""),116070)</f>
        <v>116070</v>
      </c>
      <c r="C2422" s="14">
        <f ca="1">IFERROR(__xludf.DUMMYFUNCTION("""COMPUTED_VALUE"""),0)</f>
        <v>0</v>
      </c>
      <c r="D2422" s="12" t="str">
        <f ca="1">IFERROR(__xludf.DUMMYFUNCTION("""COMPUTED_VALUE"""),"堀越 駿")</f>
        <v>堀越 駿</v>
      </c>
    </row>
    <row r="2423" spans="2:4" ht="13">
      <c r="B2423" s="12">
        <f ca="1">IFERROR(__xludf.DUMMYFUNCTION("""COMPUTED_VALUE"""),116071)</f>
        <v>116071</v>
      </c>
      <c r="C2423" s="14">
        <f ca="1">IFERROR(__xludf.DUMMYFUNCTION("""COMPUTED_VALUE"""),0)</f>
        <v>0</v>
      </c>
      <c r="D2423" s="12" t="str">
        <f ca="1">IFERROR(__xludf.DUMMYFUNCTION("""COMPUTED_VALUE"""),"菅野 ぎんが")</f>
        <v>菅野 ぎんが</v>
      </c>
    </row>
    <row r="2424" spans="2:4" ht="13">
      <c r="B2424" s="12">
        <f ca="1">IFERROR(__xludf.DUMMYFUNCTION("""COMPUTED_VALUE"""),116072)</f>
        <v>116072</v>
      </c>
      <c r="C2424" s="14">
        <f ca="1">IFERROR(__xludf.DUMMYFUNCTION("""COMPUTED_VALUE"""),1)</f>
        <v>1</v>
      </c>
      <c r="D2424" s="12" t="str">
        <f ca="1">IFERROR(__xludf.DUMMYFUNCTION("""COMPUTED_VALUE"""),"辻村 将大")</f>
        <v>辻村 将大</v>
      </c>
    </row>
    <row r="2425" spans="2:4" ht="13">
      <c r="B2425" s="12">
        <f ca="1">IFERROR(__xludf.DUMMYFUNCTION("""COMPUTED_VALUE"""),116075)</f>
        <v>116075</v>
      </c>
      <c r="C2425" s="14">
        <f ca="1">IFERROR(__xludf.DUMMYFUNCTION("""COMPUTED_VALUE"""),0)</f>
        <v>0</v>
      </c>
      <c r="D2425" s="12" t="str">
        <f ca="1">IFERROR(__xludf.DUMMYFUNCTION("""COMPUTED_VALUE"""),"稲場 勇介")</f>
        <v>稲場 勇介</v>
      </c>
    </row>
    <row r="2426" spans="2:4" ht="13">
      <c r="B2426" s="12">
        <f ca="1">IFERROR(__xludf.DUMMYFUNCTION("""COMPUTED_VALUE"""),116077)</f>
        <v>116077</v>
      </c>
      <c r="C2426" s="14">
        <f ca="1">IFERROR(__xludf.DUMMYFUNCTION("""COMPUTED_VALUE"""),0)</f>
        <v>0</v>
      </c>
      <c r="D2426" s="12" t="str">
        <f ca="1">IFERROR(__xludf.DUMMYFUNCTION("""COMPUTED_VALUE"""),"長谷川 陸朗")</f>
        <v>長谷川 陸朗</v>
      </c>
    </row>
    <row r="2427" spans="2:4" ht="13">
      <c r="B2427" s="12">
        <f ca="1">IFERROR(__xludf.DUMMYFUNCTION("""COMPUTED_VALUE"""),116078)</f>
        <v>116078</v>
      </c>
      <c r="C2427" s="14">
        <f ca="1">IFERROR(__xludf.DUMMYFUNCTION("""COMPUTED_VALUE"""),0)</f>
        <v>0</v>
      </c>
      <c r="D2427" s="12" t="str">
        <f ca="1">IFERROR(__xludf.DUMMYFUNCTION("""COMPUTED_VALUE"""),"稲場 勇介")</f>
        <v>稲場 勇介</v>
      </c>
    </row>
    <row r="2428" spans="2:4" ht="13">
      <c r="B2428" s="12">
        <f ca="1">IFERROR(__xludf.DUMMYFUNCTION("""COMPUTED_VALUE"""),116079)</f>
        <v>116079</v>
      </c>
      <c r="C2428" s="14">
        <f ca="1">IFERROR(__xludf.DUMMYFUNCTION("""COMPUTED_VALUE"""),0)</f>
        <v>0</v>
      </c>
      <c r="D2428" s="12" t="str">
        <f ca="1">IFERROR(__xludf.DUMMYFUNCTION("""COMPUTED_VALUE"""),"成嶋 夏未")</f>
        <v>成嶋 夏未</v>
      </c>
    </row>
    <row r="2429" spans="2:4" ht="13">
      <c r="B2429" s="12">
        <f ca="1">IFERROR(__xludf.DUMMYFUNCTION("""COMPUTED_VALUE"""),116080)</f>
        <v>116080</v>
      </c>
      <c r="C2429" s="14">
        <f ca="1">IFERROR(__xludf.DUMMYFUNCTION("""COMPUTED_VALUE"""),0)</f>
        <v>0</v>
      </c>
      <c r="D2429" s="12" t="str">
        <f ca="1">IFERROR(__xludf.DUMMYFUNCTION("""COMPUTED_VALUE"""),"小関 麻起")</f>
        <v>小関 麻起</v>
      </c>
    </row>
    <row r="2430" spans="2:4" ht="13">
      <c r="B2430" s="12">
        <f ca="1">IFERROR(__xludf.DUMMYFUNCTION("""COMPUTED_VALUE"""),116081)</f>
        <v>116081</v>
      </c>
      <c r="C2430" s="14">
        <f ca="1">IFERROR(__xludf.DUMMYFUNCTION("""COMPUTED_VALUE"""),0)</f>
        <v>0</v>
      </c>
      <c r="D2430" s="12" t="str">
        <f ca="1">IFERROR(__xludf.DUMMYFUNCTION("""COMPUTED_VALUE"""),"稲場 勇介")</f>
        <v>稲場 勇介</v>
      </c>
    </row>
    <row r="2431" spans="2:4" ht="13">
      <c r="B2431" s="12">
        <f ca="1">IFERROR(__xludf.DUMMYFUNCTION("""COMPUTED_VALUE"""),116082)</f>
        <v>116082</v>
      </c>
      <c r="C2431" s="14">
        <f ca="1">IFERROR(__xludf.DUMMYFUNCTION("""COMPUTED_VALUE"""),0)</f>
        <v>0</v>
      </c>
      <c r="D2431" s="12" t="str">
        <f ca="1">IFERROR(__xludf.DUMMYFUNCTION("""COMPUTED_VALUE"""),"稲場 勇介")</f>
        <v>稲場 勇介</v>
      </c>
    </row>
    <row r="2432" spans="2:4" ht="13">
      <c r="B2432" s="12">
        <f ca="1">IFERROR(__xludf.DUMMYFUNCTION("""COMPUTED_VALUE"""),116083)</f>
        <v>116083</v>
      </c>
      <c r="C2432" s="14">
        <f ca="1">IFERROR(__xludf.DUMMYFUNCTION("""COMPUTED_VALUE"""),0)</f>
        <v>0</v>
      </c>
      <c r="D2432" s="12" t="str">
        <f ca="1">IFERROR(__xludf.DUMMYFUNCTION("""COMPUTED_VALUE"""),"老田 純輝")</f>
        <v>老田 純輝</v>
      </c>
    </row>
    <row r="2433" spans="2:4" ht="13">
      <c r="B2433" s="12">
        <f ca="1">IFERROR(__xludf.DUMMYFUNCTION("""COMPUTED_VALUE"""),116086)</f>
        <v>116086</v>
      </c>
      <c r="C2433" s="14">
        <f ca="1">IFERROR(__xludf.DUMMYFUNCTION("""COMPUTED_VALUE"""),0)</f>
        <v>0</v>
      </c>
      <c r="D2433" s="12" t="str">
        <f ca="1">IFERROR(__xludf.DUMMYFUNCTION("""COMPUTED_VALUE"""),"小関 麻起")</f>
        <v>小関 麻起</v>
      </c>
    </row>
    <row r="2434" spans="2:4" ht="13">
      <c r="B2434" s="12">
        <f ca="1">IFERROR(__xludf.DUMMYFUNCTION("""COMPUTED_VALUE"""),116094)</f>
        <v>116094</v>
      </c>
      <c r="C2434" s="14">
        <f ca="1">IFERROR(__xludf.DUMMYFUNCTION("""COMPUTED_VALUE"""),0)</f>
        <v>0</v>
      </c>
      <c r="D2434" s="12" t="str">
        <f ca="1">IFERROR(__xludf.DUMMYFUNCTION("""COMPUTED_VALUE"""),"小関 麻起")</f>
        <v>小関 麻起</v>
      </c>
    </row>
    <row r="2435" spans="2:4" ht="13">
      <c r="B2435" s="12">
        <f ca="1">IFERROR(__xludf.DUMMYFUNCTION("""COMPUTED_VALUE"""),116095)</f>
        <v>116095</v>
      </c>
      <c r="C2435" s="14">
        <f ca="1">IFERROR(__xludf.DUMMYFUNCTION("""COMPUTED_VALUE"""),213)</f>
        <v>213</v>
      </c>
      <c r="D2435" s="12" t="str">
        <f ca="1">IFERROR(__xludf.DUMMYFUNCTION("""COMPUTED_VALUE"""),"柿崎 晃司")</f>
        <v>柿崎 晃司</v>
      </c>
    </row>
    <row r="2436" spans="2:4" ht="13">
      <c r="B2436" s="12">
        <f ca="1">IFERROR(__xludf.DUMMYFUNCTION("""COMPUTED_VALUE"""),116098)</f>
        <v>116098</v>
      </c>
      <c r="C2436" s="14">
        <f ca="1">IFERROR(__xludf.DUMMYFUNCTION("""COMPUTED_VALUE"""),0)</f>
        <v>0</v>
      </c>
      <c r="D2436" s="12" t="str">
        <f ca="1">IFERROR(__xludf.DUMMYFUNCTION("""COMPUTED_VALUE"""),"菅野 ぎんが")</f>
        <v>菅野 ぎんが</v>
      </c>
    </row>
    <row r="2437" spans="2:4" ht="13">
      <c r="B2437" s="12">
        <f ca="1">IFERROR(__xludf.DUMMYFUNCTION("""COMPUTED_VALUE"""),116099)</f>
        <v>116099</v>
      </c>
      <c r="C2437" s="14">
        <f ca="1">IFERROR(__xludf.DUMMYFUNCTION("""COMPUTED_VALUE"""),0)</f>
        <v>0</v>
      </c>
      <c r="D2437" s="12" t="str">
        <f ca="1">IFERROR(__xludf.DUMMYFUNCTION("""COMPUTED_VALUE"""),"小関 麻起")</f>
        <v>小関 麻起</v>
      </c>
    </row>
    <row r="2438" spans="2:4" ht="13">
      <c r="B2438" s="12">
        <f ca="1">IFERROR(__xludf.DUMMYFUNCTION("""COMPUTED_VALUE"""),116100)</f>
        <v>116100</v>
      </c>
      <c r="C2438" s="14">
        <f ca="1">IFERROR(__xludf.DUMMYFUNCTION("""COMPUTED_VALUE"""),0)</f>
        <v>0</v>
      </c>
      <c r="D2438" s="12" t="str">
        <f ca="1">IFERROR(__xludf.DUMMYFUNCTION("""COMPUTED_VALUE"""),"栗原 大武")</f>
        <v>栗原 大武</v>
      </c>
    </row>
    <row r="2439" spans="2:4" ht="13">
      <c r="B2439" s="12">
        <f ca="1">IFERROR(__xludf.DUMMYFUNCTION("""COMPUTED_VALUE"""),116101)</f>
        <v>116101</v>
      </c>
      <c r="C2439" s="14">
        <f ca="1">IFERROR(__xludf.DUMMYFUNCTION("""COMPUTED_VALUE"""),0)</f>
        <v>0</v>
      </c>
      <c r="D2439" s="12" t="str">
        <f ca="1">IFERROR(__xludf.DUMMYFUNCTION("""COMPUTED_VALUE"""),"成嶋 夏未")</f>
        <v>成嶋 夏未</v>
      </c>
    </row>
    <row r="2440" spans="2:4" ht="13">
      <c r="B2440" s="12">
        <f ca="1">IFERROR(__xludf.DUMMYFUNCTION("""COMPUTED_VALUE"""),116102)</f>
        <v>116102</v>
      </c>
      <c r="C2440" s="14">
        <f ca="1">IFERROR(__xludf.DUMMYFUNCTION("""COMPUTED_VALUE"""),0)</f>
        <v>0</v>
      </c>
      <c r="D2440" s="12" t="str">
        <f ca="1">IFERROR(__xludf.DUMMYFUNCTION("""COMPUTED_VALUE"""),"長谷川 陸朗")</f>
        <v>長谷川 陸朗</v>
      </c>
    </row>
    <row r="2441" spans="2:4" ht="13">
      <c r="B2441" s="12">
        <f ca="1">IFERROR(__xludf.DUMMYFUNCTION("""COMPUTED_VALUE"""),116104)</f>
        <v>116104</v>
      </c>
      <c r="C2441" s="14">
        <f ca="1">IFERROR(__xludf.DUMMYFUNCTION("""COMPUTED_VALUE"""),0)</f>
        <v>0</v>
      </c>
      <c r="D2441" s="12" t="str">
        <f ca="1">IFERROR(__xludf.DUMMYFUNCTION("""COMPUTED_VALUE"""),"老田 純輝")</f>
        <v>老田 純輝</v>
      </c>
    </row>
    <row r="2442" spans="2:4" ht="13">
      <c r="B2442" s="12">
        <f ca="1">IFERROR(__xludf.DUMMYFUNCTION("""COMPUTED_VALUE"""),116105)</f>
        <v>116105</v>
      </c>
      <c r="C2442" s="14">
        <f ca="1">IFERROR(__xludf.DUMMYFUNCTION("""COMPUTED_VALUE"""),0)</f>
        <v>0</v>
      </c>
      <c r="D2442" s="12" t="str">
        <f ca="1">IFERROR(__xludf.DUMMYFUNCTION("""COMPUTED_VALUE"""),"堀越 駿")</f>
        <v>堀越 駿</v>
      </c>
    </row>
    <row r="2443" spans="2:4" ht="13">
      <c r="B2443" s="12">
        <f ca="1">IFERROR(__xludf.DUMMYFUNCTION("""COMPUTED_VALUE"""),116106)</f>
        <v>116106</v>
      </c>
      <c r="C2443" s="14">
        <f ca="1">IFERROR(__xludf.DUMMYFUNCTION("""COMPUTED_VALUE"""),0)</f>
        <v>0</v>
      </c>
      <c r="D2443" s="12" t="str">
        <f ca="1">IFERROR(__xludf.DUMMYFUNCTION("""COMPUTED_VALUE"""),"辻村 将大")</f>
        <v>辻村 将大</v>
      </c>
    </row>
    <row r="2444" spans="2:4" ht="13">
      <c r="B2444" s="12">
        <f ca="1">IFERROR(__xludf.DUMMYFUNCTION("""COMPUTED_VALUE"""),116107)</f>
        <v>116107</v>
      </c>
      <c r="C2444" s="14">
        <f ca="1">IFERROR(__xludf.DUMMYFUNCTION("""COMPUTED_VALUE"""),54)</f>
        <v>54</v>
      </c>
      <c r="D2444" s="12" t="str">
        <f ca="1">IFERROR(__xludf.DUMMYFUNCTION("""COMPUTED_VALUE"""),"田嶋 将太")</f>
        <v>田嶋 将太</v>
      </c>
    </row>
    <row r="2445" spans="2:4" ht="13">
      <c r="B2445" s="12">
        <f ca="1">IFERROR(__xludf.DUMMYFUNCTION("""COMPUTED_VALUE"""),116108)</f>
        <v>116108</v>
      </c>
      <c r="C2445" s="14">
        <f ca="1">IFERROR(__xludf.DUMMYFUNCTION("""COMPUTED_VALUE"""),0)</f>
        <v>0</v>
      </c>
      <c r="D2445" s="12" t="str">
        <f ca="1">IFERROR(__xludf.DUMMYFUNCTION("""COMPUTED_VALUE"""),"成嶋 夏未")</f>
        <v>成嶋 夏未</v>
      </c>
    </row>
    <row r="2446" spans="2:4" ht="13">
      <c r="B2446" s="12">
        <f ca="1">IFERROR(__xludf.DUMMYFUNCTION("""COMPUTED_VALUE"""),116109)</f>
        <v>116109</v>
      </c>
      <c r="C2446" s="14">
        <f ca="1">IFERROR(__xludf.DUMMYFUNCTION("""COMPUTED_VALUE"""),0)</f>
        <v>0</v>
      </c>
      <c r="D2446" s="12" t="str">
        <f ca="1">IFERROR(__xludf.DUMMYFUNCTION("""COMPUTED_VALUE"""),"松尾 尚樹")</f>
        <v>松尾 尚樹</v>
      </c>
    </row>
    <row r="2447" spans="2:4" ht="13">
      <c r="B2447" s="12">
        <f ca="1">IFERROR(__xludf.DUMMYFUNCTION("""COMPUTED_VALUE"""),116110)</f>
        <v>116110</v>
      </c>
      <c r="C2447" s="14">
        <f ca="1">IFERROR(__xludf.DUMMYFUNCTION("""COMPUTED_VALUE"""),0)</f>
        <v>0</v>
      </c>
      <c r="D2447" s="12" t="str">
        <f ca="1">IFERROR(__xludf.DUMMYFUNCTION("""COMPUTED_VALUE"""),"成嶋 夏未")</f>
        <v>成嶋 夏未</v>
      </c>
    </row>
    <row r="2448" spans="2:4" ht="13">
      <c r="B2448" s="12">
        <f ca="1">IFERROR(__xludf.DUMMYFUNCTION("""COMPUTED_VALUE"""),116111)</f>
        <v>116111</v>
      </c>
      <c r="C2448" s="14">
        <f ca="1">IFERROR(__xludf.DUMMYFUNCTION("""COMPUTED_VALUE"""),0)</f>
        <v>0</v>
      </c>
      <c r="D2448" s="12" t="str">
        <f ca="1">IFERROR(__xludf.DUMMYFUNCTION("""COMPUTED_VALUE"""),"稲場 勇介")</f>
        <v>稲場 勇介</v>
      </c>
    </row>
    <row r="2449" spans="2:4" ht="13">
      <c r="B2449" s="12">
        <f ca="1">IFERROR(__xludf.DUMMYFUNCTION("""COMPUTED_VALUE"""),116112)</f>
        <v>116112</v>
      </c>
      <c r="C2449" s="14">
        <f ca="1">IFERROR(__xludf.DUMMYFUNCTION("""COMPUTED_VALUE"""),0)</f>
        <v>0</v>
      </c>
      <c r="D2449" s="12" t="str">
        <f ca="1">IFERROR(__xludf.DUMMYFUNCTION("""COMPUTED_VALUE"""),"成嶋 夏未")</f>
        <v>成嶋 夏未</v>
      </c>
    </row>
    <row r="2450" spans="2:4" ht="13">
      <c r="B2450" s="12">
        <f ca="1">IFERROR(__xludf.DUMMYFUNCTION("""COMPUTED_VALUE"""),116113)</f>
        <v>116113</v>
      </c>
      <c r="C2450" s="14">
        <f ca="1">IFERROR(__xludf.DUMMYFUNCTION("""COMPUTED_VALUE"""),0)</f>
        <v>0</v>
      </c>
      <c r="D2450" s="12" t="str">
        <f ca="1">IFERROR(__xludf.DUMMYFUNCTION("""COMPUTED_VALUE"""),"芳賀 亮輔")</f>
        <v>芳賀 亮輔</v>
      </c>
    </row>
    <row r="2451" spans="2:4" ht="13">
      <c r="B2451" s="12">
        <f ca="1">IFERROR(__xludf.DUMMYFUNCTION("""COMPUTED_VALUE"""),116114)</f>
        <v>116114</v>
      </c>
      <c r="C2451" s="14">
        <f ca="1">IFERROR(__xludf.DUMMYFUNCTION("""COMPUTED_VALUE"""),0)</f>
        <v>0</v>
      </c>
      <c r="D2451" s="12" t="str">
        <f ca="1">IFERROR(__xludf.DUMMYFUNCTION("""COMPUTED_VALUE"""),"荻曽 克輝")</f>
        <v>荻曽 克輝</v>
      </c>
    </row>
    <row r="2452" spans="2:4" ht="13">
      <c r="B2452" s="12">
        <f ca="1">IFERROR(__xludf.DUMMYFUNCTION("""COMPUTED_VALUE"""),116115)</f>
        <v>116115</v>
      </c>
      <c r="C2452" s="14">
        <f ca="1">IFERROR(__xludf.DUMMYFUNCTION("""COMPUTED_VALUE"""),0)</f>
        <v>0</v>
      </c>
      <c r="D2452" s="12" t="str">
        <f ca="1">IFERROR(__xludf.DUMMYFUNCTION("""COMPUTED_VALUE"""),"堀越 駿")</f>
        <v>堀越 駿</v>
      </c>
    </row>
    <row r="2453" spans="2:4" ht="13">
      <c r="B2453" s="12">
        <f ca="1">IFERROR(__xludf.DUMMYFUNCTION("""COMPUTED_VALUE"""),116117)</f>
        <v>116117</v>
      </c>
      <c r="C2453" s="14">
        <f ca="1">IFERROR(__xludf.DUMMYFUNCTION("""COMPUTED_VALUE"""),0)</f>
        <v>0</v>
      </c>
      <c r="D2453" s="12" t="str">
        <f ca="1">IFERROR(__xludf.DUMMYFUNCTION("""COMPUTED_VALUE"""),"成嶋 夏未")</f>
        <v>成嶋 夏未</v>
      </c>
    </row>
    <row r="2454" spans="2:4" ht="13">
      <c r="B2454" s="12">
        <f ca="1">IFERROR(__xludf.DUMMYFUNCTION("""COMPUTED_VALUE"""),116118)</f>
        <v>116118</v>
      </c>
      <c r="C2454" s="14">
        <f ca="1">IFERROR(__xludf.DUMMYFUNCTION("""COMPUTED_VALUE"""),0)</f>
        <v>0</v>
      </c>
      <c r="D2454" s="12" t="str">
        <f ca="1">IFERROR(__xludf.DUMMYFUNCTION("""COMPUTED_VALUE"""),"荻曽 克輝")</f>
        <v>荻曽 克輝</v>
      </c>
    </row>
    <row r="2455" spans="2:4" ht="13">
      <c r="B2455" s="12">
        <f ca="1">IFERROR(__xludf.DUMMYFUNCTION("""COMPUTED_VALUE"""),116119)</f>
        <v>116119</v>
      </c>
      <c r="C2455" s="14">
        <f ca="1">IFERROR(__xludf.DUMMYFUNCTION("""COMPUTED_VALUE"""),0)</f>
        <v>0</v>
      </c>
      <c r="D2455" s="12" t="str">
        <f ca="1">IFERROR(__xludf.DUMMYFUNCTION("""COMPUTED_VALUE"""),"田嶋 将太")</f>
        <v>田嶋 将太</v>
      </c>
    </row>
    <row r="2456" spans="2:4" ht="13">
      <c r="B2456" s="12">
        <f ca="1">IFERROR(__xludf.DUMMYFUNCTION("""COMPUTED_VALUE"""),116120)</f>
        <v>116120</v>
      </c>
      <c r="C2456" s="14">
        <f ca="1">IFERROR(__xludf.DUMMYFUNCTION("""COMPUTED_VALUE"""),0)</f>
        <v>0</v>
      </c>
      <c r="D2456" s="12" t="str">
        <f ca="1">IFERROR(__xludf.DUMMYFUNCTION("""COMPUTED_VALUE"""),"老田 純輝")</f>
        <v>老田 純輝</v>
      </c>
    </row>
    <row r="2457" spans="2:4" ht="13">
      <c r="B2457" s="12">
        <f ca="1">IFERROR(__xludf.DUMMYFUNCTION("""COMPUTED_VALUE"""),116121)</f>
        <v>116121</v>
      </c>
      <c r="C2457" s="14">
        <f ca="1">IFERROR(__xludf.DUMMYFUNCTION("""COMPUTED_VALUE"""),9)</f>
        <v>9</v>
      </c>
      <c r="D2457" s="12" t="str">
        <f ca="1">IFERROR(__xludf.DUMMYFUNCTION("""COMPUTED_VALUE"""),"松尾 尚樹")</f>
        <v>松尾 尚樹</v>
      </c>
    </row>
    <row r="2458" spans="2:4" ht="13">
      <c r="B2458" s="12">
        <f ca="1">IFERROR(__xludf.DUMMYFUNCTION("""COMPUTED_VALUE"""),116123)</f>
        <v>116123</v>
      </c>
      <c r="C2458" s="14">
        <f ca="1">IFERROR(__xludf.DUMMYFUNCTION("""COMPUTED_VALUE"""),0)</f>
        <v>0</v>
      </c>
      <c r="D2458" s="12" t="str">
        <f ca="1">IFERROR(__xludf.DUMMYFUNCTION("""COMPUTED_VALUE"""),"堀越 駿")</f>
        <v>堀越 駿</v>
      </c>
    </row>
    <row r="2459" spans="2:4" ht="13">
      <c r="B2459" s="12">
        <f ca="1">IFERROR(__xludf.DUMMYFUNCTION("""COMPUTED_VALUE"""),116124)</f>
        <v>116124</v>
      </c>
      <c r="C2459" s="14">
        <f ca="1">IFERROR(__xludf.DUMMYFUNCTION("""COMPUTED_VALUE"""),0)</f>
        <v>0</v>
      </c>
      <c r="D2459" s="12" t="str">
        <f ca="1">IFERROR(__xludf.DUMMYFUNCTION("""COMPUTED_VALUE"""),"荻曽 克輝")</f>
        <v>荻曽 克輝</v>
      </c>
    </row>
    <row r="2460" spans="2:4" ht="13">
      <c r="B2460" s="12">
        <f ca="1">IFERROR(__xludf.DUMMYFUNCTION("""COMPUTED_VALUE"""),116126)</f>
        <v>116126</v>
      </c>
      <c r="C2460" s="14">
        <f ca="1">IFERROR(__xludf.DUMMYFUNCTION("""COMPUTED_VALUE"""),0)</f>
        <v>0</v>
      </c>
      <c r="D2460" s="12" t="str">
        <f ca="1">IFERROR(__xludf.DUMMYFUNCTION("""COMPUTED_VALUE"""),"森 光智")</f>
        <v>森 光智</v>
      </c>
    </row>
    <row r="2461" spans="2:4" ht="13">
      <c r="B2461" s="12">
        <f ca="1">IFERROR(__xludf.DUMMYFUNCTION("""COMPUTED_VALUE"""),116127)</f>
        <v>116127</v>
      </c>
      <c r="C2461" s="14">
        <f ca="1">IFERROR(__xludf.DUMMYFUNCTION("""COMPUTED_VALUE"""),0)</f>
        <v>0</v>
      </c>
      <c r="D2461" s="12" t="str">
        <f ca="1">IFERROR(__xludf.DUMMYFUNCTION("""COMPUTED_VALUE"""),"荻曽 克輝")</f>
        <v>荻曽 克輝</v>
      </c>
    </row>
    <row r="2462" spans="2:4" ht="13">
      <c r="B2462" s="12">
        <f ca="1">IFERROR(__xludf.DUMMYFUNCTION("""COMPUTED_VALUE"""),116128)</f>
        <v>116128</v>
      </c>
      <c r="C2462" s="14">
        <f ca="1">IFERROR(__xludf.DUMMYFUNCTION("""COMPUTED_VALUE"""),0)</f>
        <v>0</v>
      </c>
      <c r="D2462" s="12" t="str">
        <f ca="1">IFERROR(__xludf.DUMMYFUNCTION("""COMPUTED_VALUE"""),"荻曽 克輝")</f>
        <v>荻曽 克輝</v>
      </c>
    </row>
    <row r="2463" spans="2:4" ht="13">
      <c r="B2463" s="12">
        <f ca="1">IFERROR(__xludf.DUMMYFUNCTION("""COMPUTED_VALUE"""),116129)</f>
        <v>116129</v>
      </c>
      <c r="C2463" s="14">
        <f ca="1">IFERROR(__xludf.DUMMYFUNCTION("""COMPUTED_VALUE"""),0)</f>
        <v>0</v>
      </c>
      <c r="D2463" s="12" t="str">
        <f ca="1">IFERROR(__xludf.DUMMYFUNCTION("""COMPUTED_VALUE"""),"村上 浩一朗")</f>
        <v>村上 浩一朗</v>
      </c>
    </row>
    <row r="2464" spans="2:4" ht="13">
      <c r="B2464" s="12">
        <f ca="1">IFERROR(__xludf.DUMMYFUNCTION("""COMPUTED_VALUE"""),116130)</f>
        <v>116130</v>
      </c>
      <c r="C2464" s="14">
        <f ca="1">IFERROR(__xludf.DUMMYFUNCTION("""COMPUTED_VALUE"""),0)</f>
        <v>0</v>
      </c>
      <c r="D2464" s="12" t="str">
        <f ca="1">IFERROR(__xludf.DUMMYFUNCTION("""COMPUTED_VALUE"""),"川島 幹也")</f>
        <v>川島 幹也</v>
      </c>
    </row>
    <row r="2465" spans="2:4" ht="13">
      <c r="B2465" s="12">
        <f ca="1">IFERROR(__xludf.DUMMYFUNCTION("""COMPUTED_VALUE"""),116131)</f>
        <v>116131</v>
      </c>
      <c r="C2465" s="14">
        <f ca="1">IFERROR(__xludf.DUMMYFUNCTION("""COMPUTED_VALUE"""),0)</f>
        <v>0</v>
      </c>
      <c r="D2465" s="12" t="str">
        <f ca="1">IFERROR(__xludf.DUMMYFUNCTION("""COMPUTED_VALUE"""),"松尾 尚樹")</f>
        <v>松尾 尚樹</v>
      </c>
    </row>
    <row r="2466" spans="2:4" ht="13">
      <c r="B2466" s="12">
        <f ca="1">IFERROR(__xludf.DUMMYFUNCTION("""COMPUTED_VALUE"""),116132)</f>
        <v>116132</v>
      </c>
      <c r="C2466" s="14">
        <f ca="1">IFERROR(__xludf.DUMMYFUNCTION("""COMPUTED_VALUE"""),0)</f>
        <v>0</v>
      </c>
      <c r="D2466" s="12" t="str">
        <f ca="1">IFERROR(__xludf.DUMMYFUNCTION("""COMPUTED_VALUE"""),"田嶋 将太")</f>
        <v>田嶋 将太</v>
      </c>
    </row>
    <row r="2467" spans="2:4" ht="13">
      <c r="B2467" s="12">
        <f ca="1">IFERROR(__xludf.DUMMYFUNCTION("""COMPUTED_VALUE"""),116133)</f>
        <v>116133</v>
      </c>
      <c r="C2467" s="14">
        <f ca="1">IFERROR(__xludf.DUMMYFUNCTION("""COMPUTED_VALUE"""),0)</f>
        <v>0</v>
      </c>
      <c r="D2467" s="12" t="str">
        <f ca="1">IFERROR(__xludf.DUMMYFUNCTION("""COMPUTED_VALUE"""),"老田 純輝")</f>
        <v>老田 純輝</v>
      </c>
    </row>
    <row r="2468" spans="2:4" ht="13">
      <c r="B2468" s="12">
        <f ca="1">IFERROR(__xludf.DUMMYFUNCTION("""COMPUTED_VALUE"""),116134)</f>
        <v>116134</v>
      </c>
      <c r="C2468" s="14">
        <f ca="1">IFERROR(__xludf.DUMMYFUNCTION("""COMPUTED_VALUE"""),0)</f>
        <v>0</v>
      </c>
      <c r="D2468" s="12" t="str">
        <f ca="1">IFERROR(__xludf.DUMMYFUNCTION("""COMPUTED_VALUE"""),"芳賀 亮輔")</f>
        <v>芳賀 亮輔</v>
      </c>
    </row>
    <row r="2469" spans="2:4" ht="13">
      <c r="B2469" s="12">
        <f ca="1">IFERROR(__xludf.DUMMYFUNCTION("""COMPUTED_VALUE"""),116135)</f>
        <v>116135</v>
      </c>
      <c r="C2469" s="14">
        <f ca="1">IFERROR(__xludf.DUMMYFUNCTION("""COMPUTED_VALUE"""),0)</f>
        <v>0</v>
      </c>
      <c r="D2469" s="12" t="str">
        <f ca="1">IFERROR(__xludf.DUMMYFUNCTION("""COMPUTED_VALUE"""),"長谷川 陸朗")</f>
        <v>長谷川 陸朗</v>
      </c>
    </row>
    <row r="2470" spans="2:4" ht="13">
      <c r="B2470" s="12">
        <f ca="1">IFERROR(__xludf.DUMMYFUNCTION("""COMPUTED_VALUE"""),116136)</f>
        <v>116136</v>
      </c>
      <c r="C2470" s="14">
        <f ca="1">IFERROR(__xludf.DUMMYFUNCTION("""COMPUTED_VALUE"""),0)</f>
        <v>0</v>
      </c>
      <c r="D2470" s="12" t="str">
        <f ca="1">IFERROR(__xludf.DUMMYFUNCTION("""COMPUTED_VALUE"""),"稲場 勇介")</f>
        <v>稲場 勇介</v>
      </c>
    </row>
    <row r="2471" spans="2:4" ht="13">
      <c r="B2471" s="12">
        <f ca="1">IFERROR(__xludf.DUMMYFUNCTION("""COMPUTED_VALUE"""),116138)</f>
        <v>116138</v>
      </c>
      <c r="C2471" s="14">
        <f ca="1">IFERROR(__xludf.DUMMYFUNCTION("""COMPUTED_VALUE"""),0)</f>
        <v>0</v>
      </c>
      <c r="D2471" s="12" t="str">
        <f ca="1">IFERROR(__xludf.DUMMYFUNCTION("""COMPUTED_VALUE"""),"稲場 勇介")</f>
        <v>稲場 勇介</v>
      </c>
    </row>
    <row r="2472" spans="2:4" ht="13">
      <c r="B2472" s="12">
        <f ca="1">IFERROR(__xludf.DUMMYFUNCTION("""COMPUTED_VALUE"""),116140)</f>
        <v>116140</v>
      </c>
      <c r="C2472" s="14">
        <f ca="1">IFERROR(__xludf.DUMMYFUNCTION("""COMPUTED_VALUE"""),0)</f>
        <v>0</v>
      </c>
      <c r="D2472" s="12" t="str">
        <f ca="1">IFERROR(__xludf.DUMMYFUNCTION("""COMPUTED_VALUE"""),"栗原 大武")</f>
        <v>栗原 大武</v>
      </c>
    </row>
    <row r="2473" spans="2:4" ht="13">
      <c r="B2473" s="12">
        <f ca="1">IFERROR(__xludf.DUMMYFUNCTION("""COMPUTED_VALUE"""),116141)</f>
        <v>116141</v>
      </c>
      <c r="C2473" s="14">
        <f ca="1">IFERROR(__xludf.DUMMYFUNCTION("""COMPUTED_VALUE"""),0)</f>
        <v>0</v>
      </c>
      <c r="D2473" s="12" t="str">
        <f ca="1">IFERROR(__xludf.DUMMYFUNCTION("""COMPUTED_VALUE"""),"小関 麻起")</f>
        <v>小関 麻起</v>
      </c>
    </row>
    <row r="2474" spans="2:4" ht="13">
      <c r="B2474" s="12">
        <f ca="1">IFERROR(__xludf.DUMMYFUNCTION("""COMPUTED_VALUE"""),116143)</f>
        <v>116143</v>
      </c>
      <c r="C2474" s="14">
        <f ca="1">IFERROR(__xludf.DUMMYFUNCTION("""COMPUTED_VALUE"""),0)</f>
        <v>0</v>
      </c>
      <c r="D2474" s="12" t="str">
        <f ca="1">IFERROR(__xludf.DUMMYFUNCTION("""COMPUTED_VALUE"""),"長谷川 陸朗")</f>
        <v>長谷川 陸朗</v>
      </c>
    </row>
    <row r="2475" spans="2:4" ht="13">
      <c r="B2475" s="12">
        <f ca="1">IFERROR(__xludf.DUMMYFUNCTION("""COMPUTED_VALUE"""),116144)</f>
        <v>116144</v>
      </c>
      <c r="C2475" s="14">
        <f ca="1">IFERROR(__xludf.DUMMYFUNCTION("""COMPUTED_VALUE"""),3)</f>
        <v>3</v>
      </c>
      <c r="D2475" s="12" t="str">
        <f ca="1">IFERROR(__xludf.DUMMYFUNCTION("""COMPUTED_VALUE"""),"稲場 勇介")</f>
        <v>稲場 勇介</v>
      </c>
    </row>
    <row r="2476" spans="2:4" ht="13">
      <c r="B2476" s="12">
        <f ca="1">IFERROR(__xludf.DUMMYFUNCTION("""COMPUTED_VALUE"""),116145)</f>
        <v>116145</v>
      </c>
      <c r="C2476" s="14">
        <f ca="1">IFERROR(__xludf.DUMMYFUNCTION("""COMPUTED_VALUE"""),0)</f>
        <v>0</v>
      </c>
      <c r="D2476" s="12" t="str">
        <f ca="1">IFERROR(__xludf.DUMMYFUNCTION("""COMPUTED_VALUE"""),"稲場 勇介")</f>
        <v>稲場 勇介</v>
      </c>
    </row>
    <row r="2477" spans="2:4" ht="13">
      <c r="B2477" s="12">
        <f ca="1">IFERROR(__xludf.DUMMYFUNCTION("""COMPUTED_VALUE"""),116146)</f>
        <v>116146</v>
      </c>
      <c r="C2477" s="14">
        <f ca="1">IFERROR(__xludf.DUMMYFUNCTION("""COMPUTED_VALUE"""),4)</f>
        <v>4</v>
      </c>
      <c r="D2477" s="12" t="str">
        <f ca="1">IFERROR(__xludf.DUMMYFUNCTION("""COMPUTED_VALUE"""),"稲場 勇介")</f>
        <v>稲場 勇介</v>
      </c>
    </row>
    <row r="2478" spans="2:4" ht="13">
      <c r="B2478" s="12">
        <f ca="1">IFERROR(__xludf.DUMMYFUNCTION("""COMPUTED_VALUE"""),116147)</f>
        <v>116147</v>
      </c>
      <c r="C2478" s="14">
        <f ca="1">IFERROR(__xludf.DUMMYFUNCTION("""COMPUTED_VALUE"""),3)</f>
        <v>3</v>
      </c>
      <c r="D2478" s="12" t="str">
        <f ca="1">IFERROR(__xludf.DUMMYFUNCTION("""COMPUTED_VALUE"""),"稲場 勇介")</f>
        <v>稲場 勇介</v>
      </c>
    </row>
    <row r="2479" spans="2:4" ht="13">
      <c r="B2479" s="12">
        <f ca="1">IFERROR(__xludf.DUMMYFUNCTION("""COMPUTED_VALUE"""),116148)</f>
        <v>116148</v>
      </c>
      <c r="C2479" s="14">
        <f ca="1">IFERROR(__xludf.DUMMYFUNCTION("""COMPUTED_VALUE"""),0)</f>
        <v>0</v>
      </c>
      <c r="D2479" s="12" t="str">
        <f ca="1">IFERROR(__xludf.DUMMYFUNCTION("""COMPUTED_VALUE"""),"芳賀 亮輔")</f>
        <v>芳賀 亮輔</v>
      </c>
    </row>
    <row r="2480" spans="2:4" ht="13">
      <c r="B2480" s="12">
        <f ca="1">IFERROR(__xludf.DUMMYFUNCTION("""COMPUTED_VALUE"""),116149)</f>
        <v>116149</v>
      </c>
      <c r="C2480" s="14">
        <f ca="1">IFERROR(__xludf.DUMMYFUNCTION("""COMPUTED_VALUE"""),0)</f>
        <v>0</v>
      </c>
      <c r="D2480" s="12" t="str">
        <f ca="1">IFERROR(__xludf.DUMMYFUNCTION("""COMPUTED_VALUE"""),"芳賀 亮輔")</f>
        <v>芳賀 亮輔</v>
      </c>
    </row>
    <row r="2481" spans="2:4" ht="13">
      <c r="B2481" s="12">
        <f ca="1">IFERROR(__xludf.DUMMYFUNCTION("""COMPUTED_VALUE"""),116150)</f>
        <v>116150</v>
      </c>
      <c r="C2481" s="14">
        <f ca="1">IFERROR(__xludf.DUMMYFUNCTION("""COMPUTED_VALUE"""),0)</f>
        <v>0</v>
      </c>
      <c r="D2481" s="12" t="str">
        <f ca="1">IFERROR(__xludf.DUMMYFUNCTION("""COMPUTED_VALUE"""),"田嶋 将太")</f>
        <v>田嶋 将太</v>
      </c>
    </row>
    <row r="2482" spans="2:4" ht="13">
      <c r="B2482" s="12">
        <f ca="1">IFERROR(__xludf.DUMMYFUNCTION("""COMPUTED_VALUE"""),116151)</f>
        <v>116151</v>
      </c>
      <c r="C2482" s="14">
        <f ca="1">IFERROR(__xludf.DUMMYFUNCTION("""COMPUTED_VALUE"""),0)</f>
        <v>0</v>
      </c>
      <c r="D2482" s="12" t="str">
        <f ca="1">IFERROR(__xludf.DUMMYFUNCTION("""COMPUTED_VALUE"""),"稲場 勇介")</f>
        <v>稲場 勇介</v>
      </c>
    </row>
    <row r="2483" spans="2:4" ht="13">
      <c r="B2483" s="12">
        <f ca="1">IFERROR(__xludf.DUMMYFUNCTION("""COMPUTED_VALUE"""),116156)</f>
        <v>116156</v>
      </c>
      <c r="C2483" s="14">
        <f ca="1">IFERROR(__xludf.DUMMYFUNCTION("""COMPUTED_VALUE"""),0)</f>
        <v>0</v>
      </c>
      <c r="D2483" s="12" t="str">
        <f ca="1">IFERROR(__xludf.DUMMYFUNCTION("""COMPUTED_VALUE"""),"成嶋 夏未")</f>
        <v>成嶋 夏未</v>
      </c>
    </row>
    <row r="2484" spans="2:4" ht="13">
      <c r="B2484" s="12">
        <f ca="1">IFERROR(__xludf.DUMMYFUNCTION("""COMPUTED_VALUE"""),116166)</f>
        <v>116166</v>
      </c>
      <c r="C2484" s="14">
        <f ca="1">IFERROR(__xludf.DUMMYFUNCTION("""COMPUTED_VALUE"""),0)</f>
        <v>0</v>
      </c>
      <c r="D2484" s="12" t="str">
        <f ca="1">IFERROR(__xludf.DUMMYFUNCTION("""COMPUTED_VALUE"""),"村上 浩一朗")</f>
        <v>村上 浩一朗</v>
      </c>
    </row>
    <row r="2485" spans="2:4" ht="13">
      <c r="B2485" s="12">
        <f ca="1">IFERROR(__xludf.DUMMYFUNCTION("""COMPUTED_VALUE"""),116167)</f>
        <v>116167</v>
      </c>
      <c r="C2485" s="14">
        <f ca="1">IFERROR(__xludf.DUMMYFUNCTION("""COMPUTED_VALUE"""),0)</f>
        <v>0</v>
      </c>
      <c r="D2485" s="12" t="str">
        <f ca="1">IFERROR(__xludf.DUMMYFUNCTION("""COMPUTED_VALUE"""),"桑原 明子")</f>
        <v>桑原 明子</v>
      </c>
    </row>
    <row r="2486" spans="2:4" ht="13">
      <c r="B2486" s="12">
        <f ca="1">IFERROR(__xludf.DUMMYFUNCTION("""COMPUTED_VALUE"""),116171)</f>
        <v>116171</v>
      </c>
      <c r="C2486" s="14">
        <f ca="1">IFERROR(__xludf.DUMMYFUNCTION("""COMPUTED_VALUE"""),0)</f>
        <v>0</v>
      </c>
      <c r="D2486" s="12" t="str">
        <f ca="1">IFERROR(__xludf.DUMMYFUNCTION("""COMPUTED_VALUE"""),"小関 麻起")</f>
        <v>小関 麻起</v>
      </c>
    </row>
    <row r="2487" spans="2:4" ht="13">
      <c r="B2487" s="12">
        <f ca="1">IFERROR(__xludf.DUMMYFUNCTION("""COMPUTED_VALUE"""),116176)</f>
        <v>116176</v>
      </c>
      <c r="C2487" s="14">
        <f ca="1">IFERROR(__xludf.DUMMYFUNCTION("""COMPUTED_VALUE"""),0)</f>
        <v>0</v>
      </c>
      <c r="D2487" s="12" t="str">
        <f ca="1">IFERROR(__xludf.DUMMYFUNCTION("""COMPUTED_VALUE"""),"村上 浩一朗")</f>
        <v>村上 浩一朗</v>
      </c>
    </row>
    <row r="2488" spans="2:4" ht="13">
      <c r="B2488" s="12">
        <f ca="1">IFERROR(__xludf.DUMMYFUNCTION("""COMPUTED_VALUE"""),116177)</f>
        <v>116177</v>
      </c>
      <c r="C2488" s="14">
        <f ca="1">IFERROR(__xludf.DUMMYFUNCTION("""COMPUTED_VALUE"""),0)</f>
        <v>0</v>
      </c>
      <c r="D2488" s="12" t="str">
        <f ca="1">IFERROR(__xludf.DUMMYFUNCTION("""COMPUTED_VALUE"""),"老田 純輝")</f>
        <v>老田 純輝</v>
      </c>
    </row>
    <row r="2489" spans="2:4" ht="13">
      <c r="B2489" s="12">
        <f ca="1">IFERROR(__xludf.DUMMYFUNCTION("""COMPUTED_VALUE"""),116178)</f>
        <v>116178</v>
      </c>
      <c r="C2489" s="14">
        <f ca="1">IFERROR(__xludf.DUMMYFUNCTION("""COMPUTED_VALUE"""),0)</f>
        <v>0</v>
      </c>
      <c r="D2489" s="12" t="str">
        <f ca="1">IFERROR(__xludf.DUMMYFUNCTION("""COMPUTED_VALUE"""),"森 光智")</f>
        <v>森 光智</v>
      </c>
    </row>
    <row r="2490" spans="2:4" ht="13">
      <c r="B2490" s="12">
        <f ca="1">IFERROR(__xludf.DUMMYFUNCTION("""COMPUTED_VALUE"""),116194)</f>
        <v>116194</v>
      </c>
      <c r="C2490" s="14">
        <f ca="1">IFERROR(__xludf.DUMMYFUNCTION("""COMPUTED_VALUE"""),0)</f>
        <v>0</v>
      </c>
      <c r="D2490" s="12" t="str">
        <f ca="1">IFERROR(__xludf.DUMMYFUNCTION("""COMPUTED_VALUE"""),"稲場 勇介")</f>
        <v>稲場 勇介</v>
      </c>
    </row>
    <row r="2491" spans="2:4" ht="13">
      <c r="B2491" s="12">
        <f ca="1">IFERROR(__xludf.DUMMYFUNCTION("""COMPUTED_VALUE"""),116195)</f>
        <v>116195</v>
      </c>
      <c r="C2491" s="14">
        <f ca="1">IFERROR(__xludf.DUMMYFUNCTION("""COMPUTED_VALUE"""),0)</f>
        <v>0</v>
      </c>
      <c r="D2491" s="12" t="str">
        <f ca="1">IFERROR(__xludf.DUMMYFUNCTION("""COMPUTED_VALUE"""),"小関 麻起")</f>
        <v>小関 麻起</v>
      </c>
    </row>
    <row r="2492" spans="2:4" ht="13">
      <c r="B2492" s="12">
        <f ca="1">IFERROR(__xludf.DUMMYFUNCTION("""COMPUTED_VALUE"""),116196)</f>
        <v>116196</v>
      </c>
      <c r="C2492" s="14">
        <f ca="1">IFERROR(__xludf.DUMMYFUNCTION("""COMPUTED_VALUE"""),0)</f>
        <v>0</v>
      </c>
      <c r="D2492" s="12" t="str">
        <f ca="1">IFERROR(__xludf.DUMMYFUNCTION("""COMPUTED_VALUE"""),"老田 純輝")</f>
        <v>老田 純輝</v>
      </c>
    </row>
    <row r="2493" spans="2:4" ht="13">
      <c r="B2493" s="12">
        <f ca="1">IFERROR(__xludf.DUMMYFUNCTION("""COMPUTED_VALUE"""),116197)</f>
        <v>116197</v>
      </c>
      <c r="C2493" s="14">
        <f ca="1">IFERROR(__xludf.DUMMYFUNCTION("""COMPUTED_VALUE"""),0)</f>
        <v>0</v>
      </c>
      <c r="D2493" s="12" t="str">
        <f ca="1">IFERROR(__xludf.DUMMYFUNCTION("""COMPUTED_VALUE"""),"成嶋 夏未")</f>
        <v>成嶋 夏未</v>
      </c>
    </row>
    <row r="2494" spans="2:4" ht="13">
      <c r="B2494" s="12">
        <f ca="1">IFERROR(__xludf.DUMMYFUNCTION("""COMPUTED_VALUE"""),116198)</f>
        <v>116198</v>
      </c>
      <c r="C2494" s="14">
        <f ca="1">IFERROR(__xludf.DUMMYFUNCTION("""COMPUTED_VALUE"""),0)</f>
        <v>0</v>
      </c>
      <c r="D2494" s="12" t="str">
        <f ca="1">IFERROR(__xludf.DUMMYFUNCTION("""COMPUTED_VALUE"""),"大木 優香")</f>
        <v>大木 優香</v>
      </c>
    </row>
    <row r="2495" spans="2:4" ht="13">
      <c r="B2495" s="12">
        <f ca="1">IFERROR(__xludf.DUMMYFUNCTION("""COMPUTED_VALUE"""),116205)</f>
        <v>116205</v>
      </c>
      <c r="C2495" s="14">
        <f ca="1">IFERROR(__xludf.DUMMYFUNCTION("""COMPUTED_VALUE"""),0)</f>
        <v>0</v>
      </c>
      <c r="D2495" s="12" t="str">
        <f ca="1">IFERROR(__xludf.DUMMYFUNCTION("""COMPUTED_VALUE"""),"成嶋 夏未")</f>
        <v>成嶋 夏未</v>
      </c>
    </row>
    <row r="2496" spans="2:4" ht="13">
      <c r="B2496" s="12">
        <f ca="1">IFERROR(__xludf.DUMMYFUNCTION("""COMPUTED_VALUE"""),116206)</f>
        <v>116206</v>
      </c>
      <c r="C2496" s="14">
        <f ca="1">IFERROR(__xludf.DUMMYFUNCTION("""COMPUTED_VALUE"""),0)</f>
        <v>0</v>
      </c>
      <c r="D2496" s="12" t="str">
        <f ca="1">IFERROR(__xludf.DUMMYFUNCTION("""COMPUTED_VALUE"""),"小川 純")</f>
        <v>小川 純</v>
      </c>
    </row>
    <row r="2497" spans="2:4" ht="13">
      <c r="B2497" s="12">
        <f ca="1">IFERROR(__xludf.DUMMYFUNCTION("""COMPUTED_VALUE"""),116214)</f>
        <v>116214</v>
      </c>
      <c r="C2497" s="14">
        <f ca="1">IFERROR(__xludf.DUMMYFUNCTION("""COMPUTED_VALUE"""),0)</f>
        <v>0</v>
      </c>
      <c r="D2497" s="12" t="str">
        <f ca="1">IFERROR(__xludf.DUMMYFUNCTION("""COMPUTED_VALUE"""),"松尾 尚樹")</f>
        <v>松尾 尚樹</v>
      </c>
    </row>
    <row r="2498" spans="2:4" ht="13">
      <c r="B2498" s="12">
        <f ca="1">IFERROR(__xludf.DUMMYFUNCTION("""COMPUTED_VALUE"""),116216)</f>
        <v>116216</v>
      </c>
      <c r="C2498" s="14">
        <f ca="1">IFERROR(__xludf.DUMMYFUNCTION("""COMPUTED_VALUE"""),9)</f>
        <v>9</v>
      </c>
      <c r="D2498" s="12" t="str">
        <f ca="1">IFERROR(__xludf.DUMMYFUNCTION("""COMPUTED_VALUE"""),"稲場 勇介")</f>
        <v>稲場 勇介</v>
      </c>
    </row>
    <row r="2499" spans="2:4" ht="13">
      <c r="B2499" s="12">
        <f ca="1">IFERROR(__xludf.DUMMYFUNCTION("""COMPUTED_VALUE"""),116221)</f>
        <v>116221</v>
      </c>
      <c r="C2499" s="14">
        <f ca="1">IFERROR(__xludf.DUMMYFUNCTION("""COMPUTED_VALUE"""),7)</f>
        <v>7</v>
      </c>
      <c r="D2499" s="12" t="str">
        <f ca="1">IFERROR(__xludf.DUMMYFUNCTION("""COMPUTED_VALUE"""),"成嶋 夏未")</f>
        <v>成嶋 夏未</v>
      </c>
    </row>
    <row r="2500" spans="2:4" ht="13">
      <c r="B2500" s="12">
        <f ca="1">IFERROR(__xludf.DUMMYFUNCTION("""COMPUTED_VALUE"""),116225)</f>
        <v>116225</v>
      </c>
      <c r="C2500" s="14">
        <f ca="1">IFERROR(__xludf.DUMMYFUNCTION("""COMPUTED_VALUE"""),0)</f>
        <v>0</v>
      </c>
      <c r="D2500" s="12" t="str">
        <f ca="1">IFERROR(__xludf.DUMMYFUNCTION("""COMPUTED_VALUE"""),"小川 純")</f>
        <v>小川 純</v>
      </c>
    </row>
    <row r="2501" spans="2:4" ht="13">
      <c r="B2501" s="12">
        <f ca="1">IFERROR(__xludf.DUMMYFUNCTION("""COMPUTED_VALUE"""),116226)</f>
        <v>116226</v>
      </c>
      <c r="C2501" s="14">
        <f ca="1">IFERROR(__xludf.DUMMYFUNCTION("""COMPUTED_VALUE"""),0)</f>
        <v>0</v>
      </c>
      <c r="D2501" s="12" t="str">
        <f ca="1">IFERROR(__xludf.DUMMYFUNCTION("""COMPUTED_VALUE"""),"荻曽 克輝")</f>
        <v>荻曽 克輝</v>
      </c>
    </row>
    <row r="2502" spans="2:4" ht="13">
      <c r="B2502" s="12">
        <f ca="1">IFERROR(__xludf.DUMMYFUNCTION("""COMPUTED_VALUE"""),116236)</f>
        <v>116236</v>
      </c>
      <c r="C2502" s="14">
        <f ca="1">IFERROR(__xludf.DUMMYFUNCTION("""COMPUTED_VALUE"""),0)</f>
        <v>0</v>
      </c>
      <c r="D2502" s="12" t="str">
        <f ca="1">IFERROR(__xludf.DUMMYFUNCTION("""COMPUTED_VALUE"""),"川島 幹也")</f>
        <v>川島 幹也</v>
      </c>
    </row>
    <row r="2503" spans="2:4" ht="13">
      <c r="B2503" s="12">
        <f ca="1">IFERROR(__xludf.DUMMYFUNCTION("""COMPUTED_VALUE"""),116239)</f>
        <v>116239</v>
      </c>
      <c r="C2503" s="14">
        <f ca="1">IFERROR(__xludf.DUMMYFUNCTION("""COMPUTED_VALUE"""),0)</f>
        <v>0</v>
      </c>
      <c r="D2503" s="12" t="str">
        <f ca="1">IFERROR(__xludf.DUMMYFUNCTION("""COMPUTED_VALUE"""),"成嶋 夏未")</f>
        <v>成嶋 夏未</v>
      </c>
    </row>
    <row r="2504" spans="2:4" ht="13">
      <c r="B2504" s="12">
        <f ca="1">IFERROR(__xludf.DUMMYFUNCTION("""COMPUTED_VALUE"""),116243)</f>
        <v>116243</v>
      </c>
      <c r="C2504" s="14">
        <f ca="1">IFERROR(__xludf.DUMMYFUNCTION("""COMPUTED_VALUE"""),0)</f>
        <v>0</v>
      </c>
      <c r="D2504" s="12" t="str">
        <f ca="1">IFERROR(__xludf.DUMMYFUNCTION("""COMPUTED_VALUE"""),"荻曽 克輝")</f>
        <v>荻曽 克輝</v>
      </c>
    </row>
    <row r="2505" spans="2:4" ht="13">
      <c r="B2505" s="12">
        <f ca="1">IFERROR(__xludf.DUMMYFUNCTION("""COMPUTED_VALUE"""),116244)</f>
        <v>116244</v>
      </c>
      <c r="C2505" s="14">
        <f ca="1">IFERROR(__xludf.DUMMYFUNCTION("""COMPUTED_VALUE"""),0)</f>
        <v>0</v>
      </c>
      <c r="D2505" s="12" t="str">
        <f ca="1">IFERROR(__xludf.DUMMYFUNCTION("""COMPUTED_VALUE"""),"成嶋 夏未")</f>
        <v>成嶋 夏未</v>
      </c>
    </row>
    <row r="2506" spans="2:4" ht="13">
      <c r="B2506" s="12">
        <f ca="1">IFERROR(__xludf.DUMMYFUNCTION("""COMPUTED_VALUE"""),116251)</f>
        <v>116251</v>
      </c>
      <c r="C2506" s="14">
        <f ca="1">IFERROR(__xludf.DUMMYFUNCTION("""COMPUTED_VALUE"""),6)</f>
        <v>6</v>
      </c>
      <c r="D2506" s="12" t="str">
        <f ca="1">IFERROR(__xludf.DUMMYFUNCTION("""COMPUTED_VALUE"""),"奥野 貴大")</f>
        <v>奥野 貴大</v>
      </c>
    </row>
    <row r="2507" spans="2:4" ht="13">
      <c r="B2507" s="12">
        <f ca="1">IFERROR(__xludf.DUMMYFUNCTION("""COMPUTED_VALUE"""),116252)</f>
        <v>116252</v>
      </c>
      <c r="C2507" s="14">
        <f ca="1">IFERROR(__xludf.DUMMYFUNCTION("""COMPUTED_VALUE"""),0)</f>
        <v>0</v>
      </c>
      <c r="D2507" s="12" t="str">
        <f ca="1">IFERROR(__xludf.DUMMYFUNCTION("""COMPUTED_VALUE"""),"辻村 将大")</f>
        <v>辻村 将大</v>
      </c>
    </row>
    <row r="2508" spans="2:4" ht="13">
      <c r="B2508" s="12">
        <f ca="1">IFERROR(__xludf.DUMMYFUNCTION("""COMPUTED_VALUE"""),116254)</f>
        <v>116254</v>
      </c>
      <c r="C2508" s="14">
        <f ca="1">IFERROR(__xludf.DUMMYFUNCTION("""COMPUTED_VALUE"""),0)</f>
        <v>0</v>
      </c>
      <c r="D2508" s="12" t="str">
        <f ca="1">IFERROR(__xludf.DUMMYFUNCTION("""COMPUTED_VALUE"""),"稲場 勇介")</f>
        <v>稲場 勇介</v>
      </c>
    </row>
    <row r="2509" spans="2:4" ht="13">
      <c r="B2509" s="12">
        <f ca="1">IFERROR(__xludf.DUMMYFUNCTION("""COMPUTED_VALUE"""),116255)</f>
        <v>116255</v>
      </c>
      <c r="C2509" s="14">
        <f ca="1">IFERROR(__xludf.DUMMYFUNCTION("""COMPUTED_VALUE"""),0)</f>
        <v>0</v>
      </c>
      <c r="D2509" s="12" t="str">
        <f ca="1">IFERROR(__xludf.DUMMYFUNCTION("""COMPUTED_VALUE"""),"成嶋 夏未")</f>
        <v>成嶋 夏未</v>
      </c>
    </row>
    <row r="2510" spans="2:4" ht="13">
      <c r="B2510" s="12">
        <f ca="1">IFERROR(__xludf.DUMMYFUNCTION("""COMPUTED_VALUE"""),116257)</f>
        <v>116257</v>
      </c>
      <c r="C2510" s="14">
        <f ca="1">IFERROR(__xludf.DUMMYFUNCTION("""COMPUTED_VALUE"""),5)</f>
        <v>5</v>
      </c>
      <c r="D2510" s="12" t="str">
        <f ca="1">IFERROR(__xludf.DUMMYFUNCTION("""COMPUTED_VALUE"""),"荻曽 克輝")</f>
        <v>荻曽 克輝</v>
      </c>
    </row>
    <row r="2511" spans="2:4" ht="13">
      <c r="B2511" s="12">
        <f ca="1">IFERROR(__xludf.DUMMYFUNCTION("""COMPUTED_VALUE"""),116260)</f>
        <v>116260</v>
      </c>
      <c r="C2511" s="14">
        <f ca="1">IFERROR(__xludf.DUMMYFUNCTION("""COMPUTED_VALUE"""),0)</f>
        <v>0</v>
      </c>
      <c r="D2511" s="12" t="str">
        <f ca="1">IFERROR(__xludf.DUMMYFUNCTION("""COMPUTED_VALUE"""),"荻曽 克輝")</f>
        <v>荻曽 克輝</v>
      </c>
    </row>
    <row r="2512" spans="2:4" ht="13">
      <c r="B2512" s="12">
        <f ca="1">IFERROR(__xludf.DUMMYFUNCTION("""COMPUTED_VALUE"""),116261)</f>
        <v>116261</v>
      </c>
      <c r="C2512" s="14">
        <f ca="1">IFERROR(__xludf.DUMMYFUNCTION("""COMPUTED_VALUE"""),0)</f>
        <v>0</v>
      </c>
      <c r="D2512" s="12" t="str">
        <f ca="1">IFERROR(__xludf.DUMMYFUNCTION("""COMPUTED_VALUE"""),"堀越 駿")</f>
        <v>堀越 駿</v>
      </c>
    </row>
    <row r="2513" spans="2:4" ht="13">
      <c r="B2513" s="12">
        <f ca="1">IFERROR(__xludf.DUMMYFUNCTION("""COMPUTED_VALUE"""),116263)</f>
        <v>116263</v>
      </c>
      <c r="C2513" s="14">
        <f ca="1">IFERROR(__xludf.DUMMYFUNCTION("""COMPUTED_VALUE"""),0)</f>
        <v>0</v>
      </c>
      <c r="D2513" s="12" t="str">
        <f ca="1">IFERROR(__xludf.DUMMYFUNCTION("""COMPUTED_VALUE"""),"老田 純輝")</f>
        <v>老田 純輝</v>
      </c>
    </row>
    <row r="2514" spans="2:4" ht="13">
      <c r="B2514" s="12">
        <f ca="1">IFERROR(__xludf.DUMMYFUNCTION("""COMPUTED_VALUE"""),116265)</f>
        <v>116265</v>
      </c>
      <c r="C2514" s="14">
        <f ca="1">IFERROR(__xludf.DUMMYFUNCTION("""COMPUTED_VALUE"""),0)</f>
        <v>0</v>
      </c>
      <c r="D2514" s="12" t="str">
        <f ca="1">IFERROR(__xludf.DUMMYFUNCTION("""COMPUTED_VALUE"""),"大木 優香")</f>
        <v>大木 優香</v>
      </c>
    </row>
    <row r="2515" spans="2:4" ht="13">
      <c r="B2515" s="12">
        <f ca="1">IFERROR(__xludf.DUMMYFUNCTION("""COMPUTED_VALUE"""),116267)</f>
        <v>116267</v>
      </c>
      <c r="C2515" s="14">
        <f ca="1">IFERROR(__xludf.DUMMYFUNCTION("""COMPUTED_VALUE"""),0)</f>
        <v>0</v>
      </c>
      <c r="D2515" s="12" t="str">
        <f ca="1">IFERROR(__xludf.DUMMYFUNCTION("""COMPUTED_VALUE"""),"小関 麻起")</f>
        <v>小関 麻起</v>
      </c>
    </row>
    <row r="2516" spans="2:4" ht="13">
      <c r="B2516" s="12">
        <f ca="1">IFERROR(__xludf.DUMMYFUNCTION("""COMPUTED_VALUE"""),116268)</f>
        <v>116268</v>
      </c>
      <c r="C2516" s="14">
        <f ca="1">IFERROR(__xludf.DUMMYFUNCTION("""COMPUTED_VALUE"""),1)</f>
        <v>1</v>
      </c>
      <c r="D2516" s="12" t="str">
        <f ca="1">IFERROR(__xludf.DUMMYFUNCTION("""COMPUTED_VALUE"""),"成嶋 夏未")</f>
        <v>成嶋 夏未</v>
      </c>
    </row>
    <row r="2517" spans="2:4" ht="13">
      <c r="B2517" s="12">
        <f ca="1">IFERROR(__xludf.DUMMYFUNCTION("""COMPUTED_VALUE"""),116271)</f>
        <v>116271</v>
      </c>
      <c r="C2517" s="14">
        <f ca="1">IFERROR(__xludf.DUMMYFUNCTION("""COMPUTED_VALUE"""),5)</f>
        <v>5</v>
      </c>
      <c r="D2517" s="12" t="str">
        <f ca="1">IFERROR(__xludf.DUMMYFUNCTION("""COMPUTED_VALUE"""),"小関 麻起")</f>
        <v>小関 麻起</v>
      </c>
    </row>
    <row r="2518" spans="2:4" ht="13">
      <c r="B2518" s="12">
        <f ca="1">IFERROR(__xludf.DUMMYFUNCTION("""COMPUTED_VALUE"""),116274)</f>
        <v>116274</v>
      </c>
      <c r="C2518" s="14">
        <f ca="1">IFERROR(__xludf.DUMMYFUNCTION("""COMPUTED_VALUE"""),0)</f>
        <v>0</v>
      </c>
      <c r="D2518" s="12" t="str">
        <f ca="1">IFERROR(__xludf.DUMMYFUNCTION("""COMPUTED_VALUE"""),"稲場 勇介")</f>
        <v>稲場 勇介</v>
      </c>
    </row>
    <row r="2519" spans="2:4" ht="13">
      <c r="B2519" s="12">
        <f ca="1">IFERROR(__xludf.DUMMYFUNCTION("""COMPUTED_VALUE"""),116275)</f>
        <v>116275</v>
      </c>
      <c r="C2519" s="14">
        <f ca="1">IFERROR(__xludf.DUMMYFUNCTION("""COMPUTED_VALUE"""),0)</f>
        <v>0</v>
      </c>
      <c r="D2519" s="12" t="str">
        <f ca="1">IFERROR(__xludf.DUMMYFUNCTION("""COMPUTED_VALUE"""),"川島 幹也")</f>
        <v>川島 幹也</v>
      </c>
    </row>
    <row r="2520" spans="2:4" ht="13">
      <c r="B2520" s="12">
        <f ca="1">IFERROR(__xludf.DUMMYFUNCTION("""COMPUTED_VALUE"""),116281)</f>
        <v>116281</v>
      </c>
      <c r="C2520" s="14">
        <f ca="1">IFERROR(__xludf.DUMMYFUNCTION("""COMPUTED_VALUE"""),10)</f>
        <v>10</v>
      </c>
      <c r="D2520" s="12" t="str">
        <f ca="1">IFERROR(__xludf.DUMMYFUNCTION("""COMPUTED_VALUE"""),"桐山 勝気")</f>
        <v>桐山 勝気</v>
      </c>
    </row>
    <row r="2521" spans="2:4" ht="13">
      <c r="B2521" s="12">
        <f ca="1">IFERROR(__xludf.DUMMYFUNCTION("""COMPUTED_VALUE"""),116282)</f>
        <v>116282</v>
      </c>
      <c r="C2521" s="14">
        <f ca="1">IFERROR(__xludf.DUMMYFUNCTION("""COMPUTED_VALUE"""),8)</f>
        <v>8</v>
      </c>
      <c r="D2521" s="12" t="str">
        <f ca="1">IFERROR(__xludf.DUMMYFUNCTION("""COMPUTED_VALUE"""),"菅野 ぎんが")</f>
        <v>菅野 ぎんが</v>
      </c>
    </row>
    <row r="2522" spans="2:4" ht="13">
      <c r="B2522" s="12">
        <f ca="1">IFERROR(__xludf.DUMMYFUNCTION("""COMPUTED_VALUE"""),116283)</f>
        <v>116283</v>
      </c>
      <c r="C2522" s="14">
        <f ca="1">IFERROR(__xludf.DUMMYFUNCTION("""COMPUTED_VALUE"""),0)</f>
        <v>0</v>
      </c>
      <c r="D2522" s="12" t="str">
        <f ca="1">IFERROR(__xludf.DUMMYFUNCTION("""COMPUTED_VALUE"""),"松尾 尚樹")</f>
        <v>松尾 尚樹</v>
      </c>
    </row>
    <row r="2523" spans="2:4" ht="13">
      <c r="B2523" s="12">
        <f ca="1">IFERROR(__xludf.DUMMYFUNCTION("""COMPUTED_VALUE"""),116284)</f>
        <v>116284</v>
      </c>
      <c r="C2523" s="14">
        <f ca="1">IFERROR(__xludf.DUMMYFUNCTION("""COMPUTED_VALUE"""),0)</f>
        <v>0</v>
      </c>
      <c r="D2523" s="12" t="str">
        <f ca="1">IFERROR(__xludf.DUMMYFUNCTION("""COMPUTED_VALUE"""),"成嶋 夏未")</f>
        <v>成嶋 夏未</v>
      </c>
    </row>
    <row r="2524" spans="2:4" ht="13">
      <c r="B2524" s="12">
        <f ca="1">IFERROR(__xludf.DUMMYFUNCTION("""COMPUTED_VALUE"""),116287)</f>
        <v>116287</v>
      </c>
      <c r="C2524" s="14">
        <f ca="1">IFERROR(__xludf.DUMMYFUNCTION("""COMPUTED_VALUE"""),0)</f>
        <v>0</v>
      </c>
      <c r="D2524" s="12" t="str">
        <f ca="1">IFERROR(__xludf.DUMMYFUNCTION("""COMPUTED_VALUE"""),"老田 純輝")</f>
        <v>老田 純輝</v>
      </c>
    </row>
    <row r="2525" spans="2:4" ht="13">
      <c r="B2525" s="12">
        <f ca="1">IFERROR(__xludf.DUMMYFUNCTION("""COMPUTED_VALUE"""),116289)</f>
        <v>116289</v>
      </c>
      <c r="C2525" s="14">
        <f ca="1">IFERROR(__xludf.DUMMYFUNCTION("""COMPUTED_VALUE"""),0)</f>
        <v>0</v>
      </c>
      <c r="D2525" s="12" t="str">
        <f ca="1">IFERROR(__xludf.DUMMYFUNCTION("""COMPUTED_VALUE"""),"松尾 尚樹")</f>
        <v>松尾 尚樹</v>
      </c>
    </row>
    <row r="2526" spans="2:4" ht="13">
      <c r="B2526" s="12">
        <f ca="1">IFERROR(__xludf.DUMMYFUNCTION("""COMPUTED_VALUE"""),116290)</f>
        <v>116290</v>
      </c>
      <c r="C2526" s="14">
        <f ca="1">IFERROR(__xludf.DUMMYFUNCTION("""COMPUTED_VALUE"""),0)</f>
        <v>0</v>
      </c>
      <c r="D2526" s="12" t="str">
        <f ca="1">IFERROR(__xludf.DUMMYFUNCTION("""COMPUTED_VALUE"""),"堀越 駿")</f>
        <v>堀越 駿</v>
      </c>
    </row>
    <row r="2527" spans="2:4" ht="13">
      <c r="B2527" s="12">
        <f ca="1">IFERROR(__xludf.DUMMYFUNCTION("""COMPUTED_VALUE"""),116291)</f>
        <v>116291</v>
      </c>
      <c r="C2527" s="14">
        <f ca="1">IFERROR(__xludf.DUMMYFUNCTION("""COMPUTED_VALUE"""),0)</f>
        <v>0</v>
      </c>
      <c r="D2527" s="12" t="str">
        <f ca="1">IFERROR(__xludf.DUMMYFUNCTION("""COMPUTED_VALUE"""),"稲場 勇介")</f>
        <v>稲場 勇介</v>
      </c>
    </row>
    <row r="2528" spans="2:4" ht="13">
      <c r="B2528" s="12">
        <f ca="1">IFERROR(__xludf.DUMMYFUNCTION("""COMPUTED_VALUE"""),116293)</f>
        <v>116293</v>
      </c>
      <c r="C2528" s="14">
        <f ca="1">IFERROR(__xludf.DUMMYFUNCTION("""COMPUTED_VALUE"""),0)</f>
        <v>0</v>
      </c>
      <c r="D2528" s="12" t="str">
        <f ca="1">IFERROR(__xludf.DUMMYFUNCTION("""COMPUTED_VALUE"""),"老田 純輝")</f>
        <v>老田 純輝</v>
      </c>
    </row>
    <row r="2529" spans="2:4" ht="13">
      <c r="B2529" s="12">
        <f ca="1">IFERROR(__xludf.DUMMYFUNCTION("""COMPUTED_VALUE"""),116295)</f>
        <v>116295</v>
      </c>
      <c r="C2529" s="14">
        <f ca="1">IFERROR(__xludf.DUMMYFUNCTION("""COMPUTED_VALUE"""),1)</f>
        <v>1</v>
      </c>
      <c r="D2529" s="12" t="str">
        <f ca="1">IFERROR(__xludf.DUMMYFUNCTION("""COMPUTED_VALUE"""),"小関 麻起")</f>
        <v>小関 麻起</v>
      </c>
    </row>
    <row r="2530" spans="2:4" ht="13">
      <c r="B2530" s="12">
        <f ca="1">IFERROR(__xludf.DUMMYFUNCTION("""COMPUTED_VALUE"""),116299)</f>
        <v>116299</v>
      </c>
      <c r="C2530" s="14">
        <f ca="1">IFERROR(__xludf.DUMMYFUNCTION("""COMPUTED_VALUE"""),0)</f>
        <v>0</v>
      </c>
      <c r="D2530" s="12" t="str">
        <f ca="1">IFERROR(__xludf.DUMMYFUNCTION("""COMPUTED_VALUE"""),"稲場 勇介")</f>
        <v>稲場 勇介</v>
      </c>
    </row>
    <row r="2531" spans="2:4" ht="13">
      <c r="B2531" s="12">
        <f ca="1">IFERROR(__xludf.DUMMYFUNCTION("""COMPUTED_VALUE"""),116301)</f>
        <v>116301</v>
      </c>
      <c r="C2531" s="14">
        <f ca="1">IFERROR(__xludf.DUMMYFUNCTION("""COMPUTED_VALUE"""),9)</f>
        <v>9</v>
      </c>
      <c r="D2531" s="12" t="str">
        <f ca="1">IFERROR(__xludf.DUMMYFUNCTION("""COMPUTED_VALUE"""),"老田 純輝")</f>
        <v>老田 純輝</v>
      </c>
    </row>
    <row r="2532" spans="2:4" ht="13">
      <c r="B2532" s="12">
        <f ca="1">IFERROR(__xludf.DUMMYFUNCTION("""COMPUTED_VALUE"""),116302)</f>
        <v>116302</v>
      </c>
      <c r="C2532" s="14">
        <f ca="1">IFERROR(__xludf.DUMMYFUNCTION("""COMPUTED_VALUE"""),0)</f>
        <v>0</v>
      </c>
      <c r="D2532" s="12" t="str">
        <f ca="1">IFERROR(__xludf.DUMMYFUNCTION("""COMPUTED_VALUE"""),"老田 純輝")</f>
        <v>老田 純輝</v>
      </c>
    </row>
    <row r="2533" spans="2:4" ht="13">
      <c r="B2533" s="12">
        <f ca="1">IFERROR(__xludf.DUMMYFUNCTION("""COMPUTED_VALUE"""),116303)</f>
        <v>116303</v>
      </c>
      <c r="C2533" s="14">
        <f ca="1">IFERROR(__xludf.DUMMYFUNCTION("""COMPUTED_VALUE"""),0)</f>
        <v>0</v>
      </c>
      <c r="D2533" s="12" t="str">
        <f ca="1">IFERROR(__xludf.DUMMYFUNCTION("""COMPUTED_VALUE"""),"荻曽 克輝")</f>
        <v>荻曽 克輝</v>
      </c>
    </row>
    <row r="2534" spans="2:4" ht="13">
      <c r="B2534" s="12">
        <f ca="1">IFERROR(__xludf.DUMMYFUNCTION("""COMPUTED_VALUE"""),116304)</f>
        <v>116304</v>
      </c>
      <c r="C2534" s="14">
        <f ca="1">IFERROR(__xludf.DUMMYFUNCTION("""COMPUTED_VALUE"""),0)</f>
        <v>0</v>
      </c>
      <c r="D2534" s="12" t="str">
        <f ca="1">IFERROR(__xludf.DUMMYFUNCTION("""COMPUTED_VALUE"""),"稲場 勇介")</f>
        <v>稲場 勇介</v>
      </c>
    </row>
    <row r="2535" spans="2:4" ht="13">
      <c r="B2535" s="12">
        <f ca="1">IFERROR(__xludf.DUMMYFUNCTION("""COMPUTED_VALUE"""),116305)</f>
        <v>116305</v>
      </c>
      <c r="C2535" s="14">
        <f ca="1">IFERROR(__xludf.DUMMYFUNCTION("""COMPUTED_VALUE"""),5)</f>
        <v>5</v>
      </c>
      <c r="D2535" s="12" t="str">
        <f ca="1">IFERROR(__xludf.DUMMYFUNCTION("""COMPUTED_VALUE"""),"辻村 将大")</f>
        <v>辻村 将大</v>
      </c>
    </row>
    <row r="2536" spans="2:4" ht="13">
      <c r="B2536" s="12">
        <f ca="1">IFERROR(__xludf.DUMMYFUNCTION("""COMPUTED_VALUE"""),116306)</f>
        <v>116306</v>
      </c>
      <c r="C2536" s="14">
        <f ca="1">IFERROR(__xludf.DUMMYFUNCTION("""COMPUTED_VALUE"""),0)</f>
        <v>0</v>
      </c>
      <c r="D2536" s="12" t="str">
        <f ca="1">IFERROR(__xludf.DUMMYFUNCTION("""COMPUTED_VALUE"""),"内丸 裕子")</f>
        <v>内丸 裕子</v>
      </c>
    </row>
    <row r="2537" spans="2:4" ht="13">
      <c r="B2537" s="12">
        <f ca="1">IFERROR(__xludf.DUMMYFUNCTION("""COMPUTED_VALUE"""),116307)</f>
        <v>116307</v>
      </c>
      <c r="C2537" s="14">
        <f ca="1">IFERROR(__xludf.DUMMYFUNCTION("""COMPUTED_VALUE"""),0)</f>
        <v>0</v>
      </c>
      <c r="D2537" s="12" t="str">
        <f ca="1">IFERROR(__xludf.DUMMYFUNCTION("""COMPUTED_VALUE"""),"桐山 勝気")</f>
        <v>桐山 勝気</v>
      </c>
    </row>
    <row r="2538" spans="2:4" ht="13">
      <c r="B2538" s="12">
        <f ca="1">IFERROR(__xludf.DUMMYFUNCTION("""COMPUTED_VALUE"""),116317)</f>
        <v>116317</v>
      </c>
      <c r="C2538" s="14">
        <f ca="1">IFERROR(__xludf.DUMMYFUNCTION("""COMPUTED_VALUE"""),0)</f>
        <v>0</v>
      </c>
      <c r="D2538" s="12" t="str">
        <f ca="1">IFERROR(__xludf.DUMMYFUNCTION("""COMPUTED_VALUE"""),"川島 幹也")</f>
        <v>川島 幹也</v>
      </c>
    </row>
    <row r="2539" spans="2:4" ht="13">
      <c r="B2539" s="12">
        <f ca="1">IFERROR(__xludf.DUMMYFUNCTION("""COMPUTED_VALUE"""),116318)</f>
        <v>116318</v>
      </c>
      <c r="C2539" s="14">
        <f ca="1">IFERROR(__xludf.DUMMYFUNCTION("""COMPUTED_VALUE"""),0)</f>
        <v>0</v>
      </c>
      <c r="D2539" s="12" t="str">
        <f ca="1">IFERROR(__xludf.DUMMYFUNCTION("""COMPUTED_VALUE"""),"田嶋 将太")</f>
        <v>田嶋 将太</v>
      </c>
    </row>
    <row r="2540" spans="2:4" ht="13">
      <c r="B2540" s="12">
        <f ca="1">IFERROR(__xludf.DUMMYFUNCTION("""COMPUTED_VALUE"""),116320)</f>
        <v>116320</v>
      </c>
      <c r="C2540" s="14">
        <f ca="1">IFERROR(__xludf.DUMMYFUNCTION("""COMPUTED_VALUE"""),0)</f>
        <v>0</v>
      </c>
      <c r="D2540" s="12" t="str">
        <f ca="1">IFERROR(__xludf.DUMMYFUNCTION("""COMPUTED_VALUE"""),"稲場 勇介")</f>
        <v>稲場 勇介</v>
      </c>
    </row>
    <row r="2541" spans="2:4" ht="13">
      <c r="B2541" s="12">
        <f ca="1">IFERROR(__xludf.DUMMYFUNCTION("""COMPUTED_VALUE"""),116321)</f>
        <v>116321</v>
      </c>
      <c r="C2541" s="14">
        <f ca="1">IFERROR(__xludf.DUMMYFUNCTION("""COMPUTED_VALUE"""),0)</f>
        <v>0</v>
      </c>
      <c r="D2541" s="12" t="str">
        <f ca="1">IFERROR(__xludf.DUMMYFUNCTION("""COMPUTED_VALUE"""),"稲場 勇介")</f>
        <v>稲場 勇介</v>
      </c>
    </row>
    <row r="2542" spans="2:4" ht="13">
      <c r="B2542" s="12">
        <f ca="1">IFERROR(__xludf.DUMMYFUNCTION("""COMPUTED_VALUE"""),116323)</f>
        <v>116323</v>
      </c>
      <c r="C2542" s="14">
        <f ca="1">IFERROR(__xludf.DUMMYFUNCTION("""COMPUTED_VALUE"""),0)</f>
        <v>0</v>
      </c>
      <c r="D2542" s="12" t="str">
        <f ca="1">IFERROR(__xludf.DUMMYFUNCTION("""COMPUTED_VALUE"""),"栗原 大武")</f>
        <v>栗原 大武</v>
      </c>
    </row>
    <row r="2543" spans="2:4" ht="13">
      <c r="B2543" s="12">
        <f ca="1">IFERROR(__xludf.DUMMYFUNCTION("""COMPUTED_VALUE"""),116324)</f>
        <v>116324</v>
      </c>
      <c r="C2543" s="14">
        <f ca="1">IFERROR(__xludf.DUMMYFUNCTION("""COMPUTED_VALUE"""),0)</f>
        <v>0</v>
      </c>
      <c r="D2543" s="12" t="str">
        <f ca="1">IFERROR(__xludf.DUMMYFUNCTION("""COMPUTED_VALUE"""),"松尾 尚樹")</f>
        <v>松尾 尚樹</v>
      </c>
    </row>
    <row r="2544" spans="2:4" ht="13">
      <c r="B2544" s="12">
        <f ca="1">IFERROR(__xludf.DUMMYFUNCTION("""COMPUTED_VALUE"""),116325)</f>
        <v>116325</v>
      </c>
      <c r="C2544" s="14">
        <f ca="1">IFERROR(__xludf.DUMMYFUNCTION("""COMPUTED_VALUE"""),0)</f>
        <v>0</v>
      </c>
      <c r="D2544" s="12" t="str">
        <f ca="1">IFERROR(__xludf.DUMMYFUNCTION("""COMPUTED_VALUE"""),"老田 純輝")</f>
        <v>老田 純輝</v>
      </c>
    </row>
    <row r="2545" spans="2:4" ht="13">
      <c r="B2545" s="12">
        <f ca="1">IFERROR(__xludf.DUMMYFUNCTION("""COMPUTED_VALUE"""),116326)</f>
        <v>116326</v>
      </c>
      <c r="C2545" s="14">
        <f ca="1">IFERROR(__xludf.DUMMYFUNCTION("""COMPUTED_VALUE"""),0)</f>
        <v>0</v>
      </c>
      <c r="D2545" s="12" t="str">
        <f ca="1">IFERROR(__xludf.DUMMYFUNCTION("""COMPUTED_VALUE"""),"荻曽 克輝")</f>
        <v>荻曽 克輝</v>
      </c>
    </row>
    <row r="2546" spans="2:4" ht="13">
      <c r="B2546" s="12">
        <f ca="1">IFERROR(__xludf.DUMMYFUNCTION("""COMPUTED_VALUE"""),116327)</f>
        <v>116327</v>
      </c>
      <c r="C2546" s="14">
        <f ca="1">IFERROR(__xludf.DUMMYFUNCTION("""COMPUTED_VALUE"""),0)</f>
        <v>0</v>
      </c>
      <c r="D2546" s="12" t="str">
        <f ca="1">IFERROR(__xludf.DUMMYFUNCTION("""COMPUTED_VALUE"""),"大木 優香")</f>
        <v>大木 優香</v>
      </c>
    </row>
    <row r="2547" spans="2:4" ht="13">
      <c r="B2547" s="12">
        <f ca="1">IFERROR(__xludf.DUMMYFUNCTION("""COMPUTED_VALUE"""),116332)</f>
        <v>116332</v>
      </c>
      <c r="C2547" s="14">
        <f ca="1">IFERROR(__xludf.DUMMYFUNCTION("""COMPUTED_VALUE"""),0)</f>
        <v>0</v>
      </c>
      <c r="D2547" s="12" t="str">
        <f ca="1">IFERROR(__xludf.DUMMYFUNCTION("""COMPUTED_VALUE"""),"内丸 裕子")</f>
        <v>内丸 裕子</v>
      </c>
    </row>
    <row r="2548" spans="2:4" ht="13">
      <c r="B2548" s="12">
        <f ca="1">IFERROR(__xludf.DUMMYFUNCTION("""COMPUTED_VALUE"""),116333)</f>
        <v>116333</v>
      </c>
      <c r="C2548" s="14">
        <f ca="1">IFERROR(__xludf.DUMMYFUNCTION("""COMPUTED_VALUE"""),0)</f>
        <v>0</v>
      </c>
      <c r="D2548" s="12" t="str">
        <f ca="1">IFERROR(__xludf.DUMMYFUNCTION("""COMPUTED_VALUE"""),"内丸 裕子")</f>
        <v>内丸 裕子</v>
      </c>
    </row>
    <row r="2549" spans="2:4" ht="13">
      <c r="B2549" s="12">
        <f ca="1">IFERROR(__xludf.DUMMYFUNCTION("""COMPUTED_VALUE"""),116334)</f>
        <v>116334</v>
      </c>
      <c r="C2549" s="14">
        <f ca="1">IFERROR(__xludf.DUMMYFUNCTION("""COMPUTED_VALUE"""),0)</f>
        <v>0</v>
      </c>
      <c r="D2549" s="12" t="str">
        <f ca="1">IFERROR(__xludf.DUMMYFUNCTION("""COMPUTED_VALUE"""),"栗原 大武")</f>
        <v>栗原 大武</v>
      </c>
    </row>
    <row r="2550" spans="2:4" ht="13">
      <c r="B2550" s="12">
        <f ca="1">IFERROR(__xludf.DUMMYFUNCTION("""COMPUTED_VALUE"""),116335)</f>
        <v>116335</v>
      </c>
      <c r="C2550" s="14">
        <f ca="1">IFERROR(__xludf.DUMMYFUNCTION("""COMPUTED_VALUE"""),0)</f>
        <v>0</v>
      </c>
      <c r="D2550" s="12" t="str">
        <f ca="1">IFERROR(__xludf.DUMMYFUNCTION("""COMPUTED_VALUE"""),"栗原 大武")</f>
        <v>栗原 大武</v>
      </c>
    </row>
    <row r="2551" spans="2:4" ht="13">
      <c r="B2551" s="12">
        <f ca="1">IFERROR(__xludf.DUMMYFUNCTION("""COMPUTED_VALUE"""),116336)</f>
        <v>116336</v>
      </c>
      <c r="C2551" s="14">
        <f ca="1">IFERROR(__xludf.DUMMYFUNCTION("""COMPUTED_VALUE"""),0)</f>
        <v>0</v>
      </c>
      <c r="D2551" s="12" t="str">
        <f ca="1">IFERROR(__xludf.DUMMYFUNCTION("""COMPUTED_VALUE"""),"栗原 大武")</f>
        <v>栗原 大武</v>
      </c>
    </row>
    <row r="2552" spans="2:4" ht="13">
      <c r="B2552" s="12">
        <f ca="1">IFERROR(__xludf.DUMMYFUNCTION("""COMPUTED_VALUE"""),116337)</f>
        <v>116337</v>
      </c>
      <c r="C2552" s="14">
        <f ca="1">IFERROR(__xludf.DUMMYFUNCTION("""COMPUTED_VALUE"""),0)</f>
        <v>0</v>
      </c>
      <c r="D2552" s="12" t="str">
        <f ca="1">IFERROR(__xludf.DUMMYFUNCTION("""COMPUTED_VALUE"""),"栗原 大武")</f>
        <v>栗原 大武</v>
      </c>
    </row>
    <row r="2553" spans="2:4" ht="13">
      <c r="B2553" s="12">
        <f ca="1">IFERROR(__xludf.DUMMYFUNCTION("""COMPUTED_VALUE"""),116338)</f>
        <v>116338</v>
      </c>
      <c r="C2553" s="14">
        <f ca="1">IFERROR(__xludf.DUMMYFUNCTION("""COMPUTED_VALUE"""),0)</f>
        <v>0</v>
      </c>
      <c r="D2553" s="12" t="str">
        <f ca="1">IFERROR(__xludf.DUMMYFUNCTION("""COMPUTED_VALUE"""),"栗原 大武")</f>
        <v>栗原 大武</v>
      </c>
    </row>
    <row r="2554" spans="2:4" ht="13">
      <c r="B2554" s="12">
        <f ca="1">IFERROR(__xludf.DUMMYFUNCTION("""COMPUTED_VALUE"""),116339)</f>
        <v>116339</v>
      </c>
      <c r="C2554" s="14">
        <f ca="1">IFERROR(__xludf.DUMMYFUNCTION("""COMPUTED_VALUE"""),0)</f>
        <v>0</v>
      </c>
      <c r="D2554" s="12" t="str">
        <f ca="1">IFERROR(__xludf.DUMMYFUNCTION("""COMPUTED_VALUE"""),"栗原 大武")</f>
        <v>栗原 大武</v>
      </c>
    </row>
    <row r="2555" spans="2:4" ht="13">
      <c r="B2555" s="12">
        <f ca="1">IFERROR(__xludf.DUMMYFUNCTION("""COMPUTED_VALUE"""),116340)</f>
        <v>116340</v>
      </c>
      <c r="C2555" s="14">
        <f ca="1">IFERROR(__xludf.DUMMYFUNCTION("""COMPUTED_VALUE"""),0)</f>
        <v>0</v>
      </c>
      <c r="D2555" s="12" t="str">
        <f ca="1">IFERROR(__xludf.DUMMYFUNCTION("""COMPUTED_VALUE"""),"栗原 大武")</f>
        <v>栗原 大武</v>
      </c>
    </row>
    <row r="2556" spans="2:4" ht="13">
      <c r="B2556" s="12">
        <f ca="1">IFERROR(__xludf.DUMMYFUNCTION("""COMPUTED_VALUE"""),116341)</f>
        <v>116341</v>
      </c>
      <c r="C2556" s="14">
        <f ca="1">IFERROR(__xludf.DUMMYFUNCTION("""COMPUTED_VALUE"""),0)</f>
        <v>0</v>
      </c>
      <c r="D2556" s="12" t="str">
        <f ca="1">IFERROR(__xludf.DUMMYFUNCTION("""COMPUTED_VALUE"""),"栗原 大武")</f>
        <v>栗原 大武</v>
      </c>
    </row>
    <row r="2557" spans="2:4" ht="13">
      <c r="B2557" s="12">
        <f ca="1">IFERROR(__xludf.DUMMYFUNCTION("""COMPUTED_VALUE"""),116342)</f>
        <v>116342</v>
      </c>
      <c r="C2557" s="14">
        <f ca="1">IFERROR(__xludf.DUMMYFUNCTION("""COMPUTED_VALUE"""),0)</f>
        <v>0</v>
      </c>
      <c r="D2557" s="12" t="str">
        <f ca="1">IFERROR(__xludf.DUMMYFUNCTION("""COMPUTED_VALUE"""),"栗原 大武")</f>
        <v>栗原 大武</v>
      </c>
    </row>
    <row r="2558" spans="2:4" ht="13">
      <c r="B2558" s="12">
        <f ca="1">IFERROR(__xludf.DUMMYFUNCTION("""COMPUTED_VALUE"""),116343)</f>
        <v>116343</v>
      </c>
      <c r="C2558" s="14">
        <f ca="1">IFERROR(__xludf.DUMMYFUNCTION("""COMPUTED_VALUE"""),0)</f>
        <v>0</v>
      </c>
      <c r="D2558" s="12" t="str">
        <f ca="1">IFERROR(__xludf.DUMMYFUNCTION("""COMPUTED_VALUE"""),"栗原 大武")</f>
        <v>栗原 大武</v>
      </c>
    </row>
    <row r="2559" spans="2:4" ht="13">
      <c r="B2559" s="12">
        <f ca="1">IFERROR(__xludf.DUMMYFUNCTION("""COMPUTED_VALUE"""),116346)</f>
        <v>116346</v>
      </c>
      <c r="C2559" s="14">
        <f ca="1">IFERROR(__xludf.DUMMYFUNCTION("""COMPUTED_VALUE"""),0)</f>
        <v>0</v>
      </c>
      <c r="D2559" s="12" t="str">
        <f ca="1">IFERROR(__xludf.DUMMYFUNCTION("""COMPUTED_VALUE"""),"稲場 勇介")</f>
        <v>稲場 勇介</v>
      </c>
    </row>
    <row r="2560" spans="2:4" ht="13">
      <c r="B2560" s="12">
        <f ca="1">IFERROR(__xludf.DUMMYFUNCTION("""COMPUTED_VALUE"""),116347)</f>
        <v>116347</v>
      </c>
      <c r="C2560" s="14">
        <f ca="1">IFERROR(__xludf.DUMMYFUNCTION("""COMPUTED_VALUE"""),0)</f>
        <v>0</v>
      </c>
      <c r="D2560" s="12" t="str">
        <f ca="1">IFERROR(__xludf.DUMMYFUNCTION("""COMPUTED_VALUE"""),"小川 純")</f>
        <v>小川 純</v>
      </c>
    </row>
    <row r="2561" spans="2:4" ht="13">
      <c r="B2561" s="12">
        <f ca="1">IFERROR(__xludf.DUMMYFUNCTION("""COMPUTED_VALUE"""),116349)</f>
        <v>116349</v>
      </c>
      <c r="C2561" s="14">
        <f ca="1">IFERROR(__xludf.DUMMYFUNCTION("""COMPUTED_VALUE"""),5)</f>
        <v>5</v>
      </c>
      <c r="D2561" s="12" t="str">
        <f ca="1">IFERROR(__xludf.DUMMYFUNCTION("""COMPUTED_VALUE"""),"成嶋 夏未")</f>
        <v>成嶋 夏未</v>
      </c>
    </row>
    <row r="2562" spans="2:4" ht="13">
      <c r="B2562" s="12">
        <f ca="1">IFERROR(__xludf.DUMMYFUNCTION("""COMPUTED_VALUE"""),116355)</f>
        <v>116355</v>
      </c>
      <c r="C2562" s="14">
        <f ca="1">IFERROR(__xludf.DUMMYFUNCTION("""COMPUTED_VALUE"""),0)</f>
        <v>0</v>
      </c>
      <c r="D2562" s="12" t="str">
        <f ca="1">IFERROR(__xludf.DUMMYFUNCTION("""COMPUTED_VALUE"""),"荻曽 克輝")</f>
        <v>荻曽 克輝</v>
      </c>
    </row>
    <row r="2563" spans="2:4" ht="13">
      <c r="B2563" s="12">
        <f ca="1">IFERROR(__xludf.DUMMYFUNCTION("""COMPUTED_VALUE"""),116368)</f>
        <v>116368</v>
      </c>
      <c r="C2563" s="14">
        <f ca="1">IFERROR(__xludf.DUMMYFUNCTION("""COMPUTED_VALUE"""),16)</f>
        <v>16</v>
      </c>
      <c r="D2563" s="12" t="str">
        <f ca="1">IFERROR(__xludf.DUMMYFUNCTION("""COMPUTED_VALUE"""),"柿崎 晃司")</f>
        <v>柿崎 晃司</v>
      </c>
    </row>
    <row r="2564" spans="2:4" ht="13">
      <c r="B2564" s="12">
        <f ca="1">IFERROR(__xludf.DUMMYFUNCTION("""COMPUTED_VALUE"""),116376)</f>
        <v>116376</v>
      </c>
      <c r="C2564" s="14">
        <f ca="1">IFERROR(__xludf.DUMMYFUNCTION("""COMPUTED_VALUE"""),13)</f>
        <v>13</v>
      </c>
      <c r="D2564" s="12" t="str">
        <f ca="1">IFERROR(__xludf.DUMMYFUNCTION("""COMPUTED_VALUE"""),"村上 浩一朗")</f>
        <v>村上 浩一朗</v>
      </c>
    </row>
    <row r="2565" spans="2:4" ht="13">
      <c r="B2565" s="12">
        <f ca="1">IFERROR(__xludf.DUMMYFUNCTION("""COMPUTED_VALUE"""),116381)</f>
        <v>116381</v>
      </c>
      <c r="C2565" s="14">
        <f ca="1">IFERROR(__xludf.DUMMYFUNCTION("""COMPUTED_VALUE"""),0)</f>
        <v>0</v>
      </c>
      <c r="D2565" s="12" t="str">
        <f ca="1">IFERROR(__xludf.DUMMYFUNCTION("""COMPUTED_VALUE"""),"老田 純輝")</f>
        <v>老田 純輝</v>
      </c>
    </row>
    <row r="2566" spans="2:4" ht="13">
      <c r="B2566" s="12">
        <f ca="1">IFERROR(__xludf.DUMMYFUNCTION("""COMPUTED_VALUE"""),116382)</f>
        <v>116382</v>
      </c>
      <c r="C2566" s="14">
        <f ca="1">IFERROR(__xludf.DUMMYFUNCTION("""COMPUTED_VALUE"""),0)</f>
        <v>0</v>
      </c>
      <c r="D2566" s="12" t="str">
        <f ca="1">IFERROR(__xludf.DUMMYFUNCTION("""COMPUTED_VALUE"""),"川島 幹也")</f>
        <v>川島 幹也</v>
      </c>
    </row>
    <row r="2567" spans="2:4" ht="13">
      <c r="B2567" s="12">
        <f ca="1">IFERROR(__xludf.DUMMYFUNCTION("""COMPUTED_VALUE"""),116383)</f>
        <v>116383</v>
      </c>
      <c r="C2567" s="14">
        <f ca="1">IFERROR(__xludf.DUMMYFUNCTION("""COMPUTED_VALUE"""),0)</f>
        <v>0</v>
      </c>
      <c r="D2567" s="12" t="str">
        <f ca="1">IFERROR(__xludf.DUMMYFUNCTION("""COMPUTED_VALUE"""),"小関 麻起")</f>
        <v>小関 麻起</v>
      </c>
    </row>
    <row r="2568" spans="2:4" ht="13">
      <c r="B2568" s="12">
        <f ca="1">IFERROR(__xludf.DUMMYFUNCTION("""COMPUTED_VALUE"""),116387)</f>
        <v>116387</v>
      </c>
      <c r="C2568" s="14">
        <f ca="1">IFERROR(__xludf.DUMMYFUNCTION("""COMPUTED_VALUE"""),0)</f>
        <v>0</v>
      </c>
      <c r="D2568" s="12" t="str">
        <f ca="1">IFERROR(__xludf.DUMMYFUNCTION("""COMPUTED_VALUE"""),"成嶋 夏未")</f>
        <v>成嶋 夏未</v>
      </c>
    </row>
    <row r="2569" spans="2:4" ht="13">
      <c r="B2569" s="12">
        <f ca="1">IFERROR(__xludf.DUMMYFUNCTION("""COMPUTED_VALUE"""),116389)</f>
        <v>116389</v>
      </c>
      <c r="C2569" s="14">
        <f ca="1">IFERROR(__xludf.DUMMYFUNCTION("""COMPUTED_VALUE"""),0)</f>
        <v>0</v>
      </c>
      <c r="D2569" s="12" t="str">
        <f ca="1">IFERROR(__xludf.DUMMYFUNCTION("""COMPUTED_VALUE"""),"稲場 勇介")</f>
        <v>稲場 勇介</v>
      </c>
    </row>
    <row r="2570" spans="2:4" ht="13">
      <c r="B2570" s="12">
        <f ca="1">IFERROR(__xludf.DUMMYFUNCTION("""COMPUTED_VALUE"""),116390)</f>
        <v>116390</v>
      </c>
      <c r="C2570" s="14">
        <f ca="1">IFERROR(__xludf.DUMMYFUNCTION("""COMPUTED_VALUE"""),0)</f>
        <v>0</v>
      </c>
      <c r="D2570" s="12" t="str">
        <f ca="1">IFERROR(__xludf.DUMMYFUNCTION("""COMPUTED_VALUE"""),"菅野 ぎんが")</f>
        <v>菅野 ぎんが</v>
      </c>
    </row>
    <row r="2571" spans="2:4" ht="13">
      <c r="B2571" s="12">
        <f ca="1">IFERROR(__xludf.DUMMYFUNCTION("""COMPUTED_VALUE"""),116391)</f>
        <v>116391</v>
      </c>
      <c r="C2571" s="14">
        <f ca="1">IFERROR(__xludf.DUMMYFUNCTION("""COMPUTED_VALUE"""),0)</f>
        <v>0</v>
      </c>
      <c r="D2571" s="12" t="str">
        <f ca="1">IFERROR(__xludf.DUMMYFUNCTION("""COMPUTED_VALUE"""),"老田 純輝")</f>
        <v>老田 純輝</v>
      </c>
    </row>
    <row r="2572" spans="2:4" ht="13">
      <c r="B2572" s="12">
        <f ca="1">IFERROR(__xludf.DUMMYFUNCTION("""COMPUTED_VALUE"""),116397)</f>
        <v>116397</v>
      </c>
      <c r="C2572" s="14">
        <f ca="1">IFERROR(__xludf.DUMMYFUNCTION("""COMPUTED_VALUE"""),5)</f>
        <v>5</v>
      </c>
      <c r="D2572" s="12" t="str">
        <f ca="1">IFERROR(__xludf.DUMMYFUNCTION("""COMPUTED_VALUE"""),"老田 純輝")</f>
        <v>老田 純輝</v>
      </c>
    </row>
    <row r="2573" spans="2:4" ht="13">
      <c r="B2573" s="12">
        <f ca="1">IFERROR(__xludf.DUMMYFUNCTION("""COMPUTED_VALUE"""),116398)</f>
        <v>116398</v>
      </c>
      <c r="C2573" s="14">
        <f ca="1">IFERROR(__xludf.DUMMYFUNCTION("""COMPUTED_VALUE"""),0)</f>
        <v>0</v>
      </c>
      <c r="D2573" s="12" t="str">
        <f ca="1">IFERROR(__xludf.DUMMYFUNCTION("""COMPUTED_VALUE"""),"小関 麻起")</f>
        <v>小関 麻起</v>
      </c>
    </row>
    <row r="2574" spans="2:4" ht="13">
      <c r="B2574" s="12">
        <f ca="1">IFERROR(__xludf.DUMMYFUNCTION("""COMPUTED_VALUE"""),116405)</f>
        <v>116405</v>
      </c>
      <c r="C2574" s="14">
        <f ca="1">IFERROR(__xludf.DUMMYFUNCTION("""COMPUTED_VALUE"""),0)</f>
        <v>0</v>
      </c>
      <c r="D2574" s="12" t="str">
        <f ca="1">IFERROR(__xludf.DUMMYFUNCTION("""COMPUTED_VALUE"""),"村上 浩一朗")</f>
        <v>村上 浩一朗</v>
      </c>
    </row>
    <row r="2575" spans="2:4" ht="13">
      <c r="B2575" s="12">
        <f ca="1">IFERROR(__xludf.DUMMYFUNCTION("""COMPUTED_VALUE"""),116410)</f>
        <v>116410</v>
      </c>
      <c r="C2575" s="14">
        <f ca="1">IFERROR(__xludf.DUMMYFUNCTION("""COMPUTED_VALUE"""),0)</f>
        <v>0</v>
      </c>
      <c r="D2575" s="12" t="str">
        <f ca="1">IFERROR(__xludf.DUMMYFUNCTION("""COMPUTED_VALUE"""),"稲場 勇介")</f>
        <v>稲場 勇介</v>
      </c>
    </row>
    <row r="2576" spans="2:4" ht="13">
      <c r="B2576" s="12">
        <f ca="1">IFERROR(__xludf.DUMMYFUNCTION("""COMPUTED_VALUE"""),116411)</f>
        <v>116411</v>
      </c>
      <c r="C2576" s="14">
        <f ca="1">IFERROR(__xludf.DUMMYFUNCTION("""COMPUTED_VALUE"""),0)</f>
        <v>0</v>
      </c>
      <c r="D2576" s="12" t="str">
        <f ca="1">IFERROR(__xludf.DUMMYFUNCTION("""COMPUTED_VALUE"""),"成嶋 夏未")</f>
        <v>成嶋 夏未</v>
      </c>
    </row>
    <row r="2577" spans="2:4" ht="13">
      <c r="B2577" s="12">
        <f ca="1">IFERROR(__xludf.DUMMYFUNCTION("""COMPUTED_VALUE"""),116412)</f>
        <v>116412</v>
      </c>
      <c r="C2577" s="14">
        <f ca="1">IFERROR(__xludf.DUMMYFUNCTION("""COMPUTED_VALUE"""),0)</f>
        <v>0</v>
      </c>
      <c r="D2577" s="12" t="str">
        <f ca="1">IFERROR(__xludf.DUMMYFUNCTION("""COMPUTED_VALUE"""),"成嶋 夏未")</f>
        <v>成嶋 夏未</v>
      </c>
    </row>
    <row r="2578" spans="2:4" ht="13">
      <c r="B2578" s="12">
        <f ca="1">IFERROR(__xludf.DUMMYFUNCTION("""COMPUTED_VALUE"""),116413)</f>
        <v>116413</v>
      </c>
      <c r="C2578" s="14">
        <f ca="1">IFERROR(__xludf.DUMMYFUNCTION("""COMPUTED_VALUE"""),0)</f>
        <v>0</v>
      </c>
      <c r="D2578" s="12" t="str">
        <f ca="1">IFERROR(__xludf.DUMMYFUNCTION("""COMPUTED_VALUE"""),"小関 麻起")</f>
        <v>小関 麻起</v>
      </c>
    </row>
    <row r="2579" spans="2:4" ht="13">
      <c r="B2579" s="12">
        <f ca="1">IFERROR(__xludf.DUMMYFUNCTION("""COMPUTED_VALUE"""),116415)</f>
        <v>116415</v>
      </c>
      <c r="C2579" s="14">
        <f ca="1">IFERROR(__xludf.DUMMYFUNCTION("""COMPUTED_VALUE"""),0)</f>
        <v>0</v>
      </c>
      <c r="D2579" s="12" t="str">
        <f ca="1">IFERROR(__xludf.DUMMYFUNCTION("""COMPUTED_VALUE"""),"成嶋 夏未")</f>
        <v>成嶋 夏未</v>
      </c>
    </row>
    <row r="2580" spans="2:4" ht="13">
      <c r="B2580" s="12">
        <f ca="1">IFERROR(__xludf.DUMMYFUNCTION("""COMPUTED_VALUE"""),116416)</f>
        <v>116416</v>
      </c>
      <c r="C2580" s="14">
        <f ca="1">IFERROR(__xludf.DUMMYFUNCTION("""COMPUTED_VALUE"""),0)</f>
        <v>0</v>
      </c>
      <c r="D2580" s="12" t="str">
        <f ca="1">IFERROR(__xludf.DUMMYFUNCTION("""COMPUTED_VALUE"""),"栗原 大武")</f>
        <v>栗原 大武</v>
      </c>
    </row>
    <row r="2581" spans="2:4" ht="13">
      <c r="B2581" s="12">
        <f ca="1">IFERROR(__xludf.DUMMYFUNCTION("""COMPUTED_VALUE"""),116421)</f>
        <v>116421</v>
      </c>
      <c r="C2581" s="14">
        <f ca="1">IFERROR(__xludf.DUMMYFUNCTION("""COMPUTED_VALUE"""),4)</f>
        <v>4</v>
      </c>
      <c r="D2581" s="12" t="str">
        <f ca="1">IFERROR(__xludf.DUMMYFUNCTION("""COMPUTED_VALUE"""),"川島 幹也")</f>
        <v>川島 幹也</v>
      </c>
    </row>
    <row r="2582" spans="2:4" ht="13">
      <c r="B2582" s="12">
        <f ca="1">IFERROR(__xludf.DUMMYFUNCTION("""COMPUTED_VALUE"""),116422)</f>
        <v>116422</v>
      </c>
      <c r="C2582" s="14">
        <f ca="1">IFERROR(__xludf.DUMMYFUNCTION("""COMPUTED_VALUE"""),2)</f>
        <v>2</v>
      </c>
      <c r="D2582" s="12" t="str">
        <f ca="1">IFERROR(__xludf.DUMMYFUNCTION("""COMPUTED_VALUE"""),"菅野 ぎんが")</f>
        <v>菅野 ぎんが</v>
      </c>
    </row>
    <row r="2583" spans="2:4" ht="13">
      <c r="B2583" s="12">
        <f ca="1">IFERROR(__xludf.DUMMYFUNCTION("""COMPUTED_VALUE"""),116425)</f>
        <v>116425</v>
      </c>
      <c r="C2583" s="14">
        <f ca="1">IFERROR(__xludf.DUMMYFUNCTION("""COMPUTED_VALUE"""),0)</f>
        <v>0</v>
      </c>
      <c r="D2583" s="12" t="str">
        <f ca="1">IFERROR(__xludf.DUMMYFUNCTION("""COMPUTED_VALUE"""),"小関 麻起")</f>
        <v>小関 麻起</v>
      </c>
    </row>
    <row r="2584" spans="2:4" ht="13">
      <c r="B2584" s="12">
        <f ca="1">IFERROR(__xludf.DUMMYFUNCTION("""COMPUTED_VALUE"""),116427)</f>
        <v>116427</v>
      </c>
      <c r="C2584" s="14">
        <f ca="1">IFERROR(__xludf.DUMMYFUNCTION("""COMPUTED_VALUE"""),0)</f>
        <v>0</v>
      </c>
      <c r="D2584" s="12" t="str">
        <f ca="1">IFERROR(__xludf.DUMMYFUNCTION("""COMPUTED_VALUE"""),"荻曽 克輝")</f>
        <v>荻曽 克輝</v>
      </c>
    </row>
    <row r="2585" spans="2:4" ht="13">
      <c r="B2585" s="12">
        <f ca="1">IFERROR(__xludf.DUMMYFUNCTION("""COMPUTED_VALUE"""),116431)</f>
        <v>116431</v>
      </c>
      <c r="C2585" s="14">
        <f ca="1">IFERROR(__xludf.DUMMYFUNCTION("""COMPUTED_VALUE"""),0)</f>
        <v>0</v>
      </c>
      <c r="D2585" s="12" t="str">
        <f ca="1">IFERROR(__xludf.DUMMYFUNCTION("""COMPUTED_VALUE"""),"村上 浩一朗")</f>
        <v>村上 浩一朗</v>
      </c>
    </row>
    <row r="2586" spans="2:4" ht="13">
      <c r="B2586" s="12">
        <f ca="1">IFERROR(__xludf.DUMMYFUNCTION("""COMPUTED_VALUE"""),116432)</f>
        <v>116432</v>
      </c>
      <c r="C2586" s="14">
        <f ca="1">IFERROR(__xludf.DUMMYFUNCTION("""COMPUTED_VALUE"""),0)</f>
        <v>0</v>
      </c>
      <c r="D2586" s="12" t="str">
        <f ca="1">IFERROR(__xludf.DUMMYFUNCTION("""COMPUTED_VALUE"""),"村上 浩一朗")</f>
        <v>村上 浩一朗</v>
      </c>
    </row>
    <row r="2587" spans="2:4" ht="13">
      <c r="B2587" s="12">
        <f ca="1">IFERROR(__xludf.DUMMYFUNCTION("""COMPUTED_VALUE"""),116435)</f>
        <v>116435</v>
      </c>
      <c r="C2587" s="14">
        <f ca="1">IFERROR(__xludf.DUMMYFUNCTION("""COMPUTED_VALUE"""),0)</f>
        <v>0</v>
      </c>
      <c r="D2587" s="12" t="str">
        <f ca="1">IFERROR(__xludf.DUMMYFUNCTION("""COMPUTED_VALUE"""),"荻曽 克輝")</f>
        <v>荻曽 克輝</v>
      </c>
    </row>
    <row r="2588" spans="2:4" ht="13">
      <c r="B2588" s="12">
        <f ca="1">IFERROR(__xludf.DUMMYFUNCTION("""COMPUTED_VALUE"""),116436)</f>
        <v>116436</v>
      </c>
      <c r="C2588" s="14">
        <f ca="1">IFERROR(__xludf.DUMMYFUNCTION("""COMPUTED_VALUE"""),0)</f>
        <v>0</v>
      </c>
      <c r="D2588" s="12" t="str">
        <f ca="1">IFERROR(__xludf.DUMMYFUNCTION("""COMPUTED_VALUE"""),"荻曽 克輝")</f>
        <v>荻曽 克輝</v>
      </c>
    </row>
    <row r="2589" spans="2:4" ht="13">
      <c r="B2589" s="12">
        <f ca="1">IFERROR(__xludf.DUMMYFUNCTION("""COMPUTED_VALUE"""),116437)</f>
        <v>116437</v>
      </c>
      <c r="C2589" s="14">
        <f ca="1">IFERROR(__xludf.DUMMYFUNCTION("""COMPUTED_VALUE"""),0)</f>
        <v>0</v>
      </c>
      <c r="D2589" s="12" t="str">
        <f ca="1">IFERROR(__xludf.DUMMYFUNCTION("""COMPUTED_VALUE"""),"荻曽 克輝")</f>
        <v>荻曽 克輝</v>
      </c>
    </row>
    <row r="2590" spans="2:4" ht="13">
      <c r="B2590" s="12">
        <f ca="1">IFERROR(__xludf.DUMMYFUNCTION("""COMPUTED_VALUE"""),116438)</f>
        <v>116438</v>
      </c>
      <c r="C2590" s="14">
        <f ca="1">IFERROR(__xludf.DUMMYFUNCTION("""COMPUTED_VALUE"""),0)</f>
        <v>0</v>
      </c>
      <c r="D2590" s="12" t="str">
        <f ca="1">IFERROR(__xludf.DUMMYFUNCTION("""COMPUTED_VALUE"""),"荻曽 克輝")</f>
        <v>荻曽 克輝</v>
      </c>
    </row>
    <row r="2591" spans="2:4" ht="13">
      <c r="B2591" s="12">
        <f ca="1">IFERROR(__xludf.DUMMYFUNCTION("""COMPUTED_VALUE"""),116439)</f>
        <v>116439</v>
      </c>
      <c r="C2591" s="14">
        <f ca="1">IFERROR(__xludf.DUMMYFUNCTION("""COMPUTED_VALUE"""),0)</f>
        <v>0</v>
      </c>
      <c r="D2591" s="12" t="str">
        <f ca="1">IFERROR(__xludf.DUMMYFUNCTION("""COMPUTED_VALUE"""),"荻曽 克輝")</f>
        <v>荻曽 克輝</v>
      </c>
    </row>
    <row r="2592" spans="2:4" ht="13">
      <c r="B2592" s="12">
        <f ca="1">IFERROR(__xludf.DUMMYFUNCTION("""COMPUTED_VALUE"""),116440)</f>
        <v>116440</v>
      </c>
      <c r="C2592" s="14">
        <f ca="1">IFERROR(__xludf.DUMMYFUNCTION("""COMPUTED_VALUE"""),0)</f>
        <v>0</v>
      </c>
      <c r="D2592" s="12" t="str">
        <f ca="1">IFERROR(__xludf.DUMMYFUNCTION("""COMPUTED_VALUE"""),"栗原 大武")</f>
        <v>栗原 大武</v>
      </c>
    </row>
    <row r="2593" spans="2:4" ht="13">
      <c r="B2593" s="12">
        <f ca="1">IFERROR(__xludf.DUMMYFUNCTION("""COMPUTED_VALUE"""),116441)</f>
        <v>116441</v>
      </c>
      <c r="C2593" s="14">
        <f ca="1">IFERROR(__xludf.DUMMYFUNCTION("""COMPUTED_VALUE"""),0)</f>
        <v>0</v>
      </c>
      <c r="D2593" s="12" t="str">
        <f ca="1">IFERROR(__xludf.DUMMYFUNCTION("""COMPUTED_VALUE"""),"桑原 明子")</f>
        <v>桑原 明子</v>
      </c>
    </row>
    <row r="2594" spans="2:4" ht="13">
      <c r="B2594" s="12">
        <f ca="1">IFERROR(__xludf.DUMMYFUNCTION("""COMPUTED_VALUE"""),116442)</f>
        <v>116442</v>
      </c>
      <c r="C2594" s="14">
        <f ca="1">IFERROR(__xludf.DUMMYFUNCTION("""COMPUTED_VALUE"""),0)</f>
        <v>0</v>
      </c>
      <c r="D2594" s="12" t="str">
        <f ca="1">IFERROR(__xludf.DUMMYFUNCTION("""COMPUTED_VALUE"""),"荻曽 克輝")</f>
        <v>荻曽 克輝</v>
      </c>
    </row>
    <row r="2595" spans="2:4" ht="13">
      <c r="B2595" s="12">
        <f ca="1">IFERROR(__xludf.DUMMYFUNCTION("""COMPUTED_VALUE"""),116443)</f>
        <v>116443</v>
      </c>
      <c r="C2595" s="14">
        <f ca="1">IFERROR(__xludf.DUMMYFUNCTION("""COMPUTED_VALUE"""),0)</f>
        <v>0</v>
      </c>
      <c r="D2595" s="12" t="str">
        <f ca="1">IFERROR(__xludf.DUMMYFUNCTION("""COMPUTED_VALUE"""),"栗原 大武")</f>
        <v>栗原 大武</v>
      </c>
    </row>
    <row r="2596" spans="2:4" ht="13">
      <c r="B2596" s="12">
        <f ca="1">IFERROR(__xludf.DUMMYFUNCTION("""COMPUTED_VALUE"""),116444)</f>
        <v>116444</v>
      </c>
      <c r="C2596" s="14">
        <f ca="1">IFERROR(__xludf.DUMMYFUNCTION("""COMPUTED_VALUE"""),0)</f>
        <v>0</v>
      </c>
      <c r="D2596" s="12" t="str">
        <f ca="1">IFERROR(__xludf.DUMMYFUNCTION("""COMPUTED_VALUE"""),"栗原 大武")</f>
        <v>栗原 大武</v>
      </c>
    </row>
    <row r="2597" spans="2:4" ht="13">
      <c r="B2597" s="12">
        <f ca="1">IFERROR(__xludf.DUMMYFUNCTION("""COMPUTED_VALUE"""),116445)</f>
        <v>116445</v>
      </c>
      <c r="C2597" s="14">
        <f ca="1">IFERROR(__xludf.DUMMYFUNCTION("""COMPUTED_VALUE"""),0)</f>
        <v>0</v>
      </c>
      <c r="D2597" s="12" t="str">
        <f ca="1">IFERROR(__xludf.DUMMYFUNCTION("""COMPUTED_VALUE"""),"栗原 大武")</f>
        <v>栗原 大武</v>
      </c>
    </row>
    <row r="2598" spans="2:4" ht="13">
      <c r="B2598" s="12">
        <f ca="1">IFERROR(__xludf.DUMMYFUNCTION("""COMPUTED_VALUE"""),116447)</f>
        <v>116447</v>
      </c>
      <c r="C2598" s="14">
        <f ca="1">IFERROR(__xludf.DUMMYFUNCTION("""COMPUTED_VALUE"""),0)</f>
        <v>0</v>
      </c>
      <c r="D2598" s="12" t="str">
        <f ca="1">IFERROR(__xludf.DUMMYFUNCTION("""COMPUTED_VALUE"""),"栗原 大武")</f>
        <v>栗原 大武</v>
      </c>
    </row>
    <row r="2599" spans="2:4" ht="13">
      <c r="B2599" s="12">
        <f ca="1">IFERROR(__xludf.DUMMYFUNCTION("""COMPUTED_VALUE"""),116448)</f>
        <v>116448</v>
      </c>
      <c r="C2599" s="14">
        <f ca="1">IFERROR(__xludf.DUMMYFUNCTION("""COMPUTED_VALUE"""),0)</f>
        <v>0</v>
      </c>
      <c r="D2599" s="12" t="str">
        <f ca="1">IFERROR(__xludf.DUMMYFUNCTION("""COMPUTED_VALUE"""),"荻曽 克輝")</f>
        <v>荻曽 克輝</v>
      </c>
    </row>
    <row r="2600" spans="2:4" ht="13">
      <c r="B2600" s="12">
        <f ca="1">IFERROR(__xludf.DUMMYFUNCTION("""COMPUTED_VALUE"""),116449)</f>
        <v>116449</v>
      </c>
      <c r="C2600" s="14">
        <f ca="1">IFERROR(__xludf.DUMMYFUNCTION("""COMPUTED_VALUE"""),0)</f>
        <v>0</v>
      </c>
      <c r="D2600" s="12" t="str">
        <f ca="1">IFERROR(__xludf.DUMMYFUNCTION("""COMPUTED_VALUE"""),"村上 浩一朗")</f>
        <v>村上 浩一朗</v>
      </c>
    </row>
    <row r="2601" spans="2:4" ht="13">
      <c r="B2601" s="12">
        <f ca="1">IFERROR(__xludf.DUMMYFUNCTION("""COMPUTED_VALUE"""),116450)</f>
        <v>116450</v>
      </c>
      <c r="C2601" s="14">
        <f ca="1">IFERROR(__xludf.DUMMYFUNCTION("""COMPUTED_VALUE"""),0)</f>
        <v>0</v>
      </c>
      <c r="D2601" s="12" t="str">
        <f ca="1">IFERROR(__xludf.DUMMYFUNCTION("""COMPUTED_VALUE"""),"辻村 将大")</f>
        <v>辻村 将大</v>
      </c>
    </row>
    <row r="2602" spans="2:4" ht="13">
      <c r="B2602" s="12">
        <f ca="1">IFERROR(__xludf.DUMMYFUNCTION("""COMPUTED_VALUE"""),116451)</f>
        <v>116451</v>
      </c>
      <c r="C2602" s="14">
        <f ca="1">IFERROR(__xludf.DUMMYFUNCTION("""COMPUTED_VALUE"""),0)</f>
        <v>0</v>
      </c>
      <c r="D2602" s="12" t="str">
        <f ca="1">IFERROR(__xludf.DUMMYFUNCTION("""COMPUTED_VALUE"""),"辻村 将大")</f>
        <v>辻村 将大</v>
      </c>
    </row>
    <row r="2603" spans="2:4" ht="13">
      <c r="B2603" s="12">
        <f ca="1">IFERROR(__xludf.DUMMYFUNCTION("""COMPUTED_VALUE"""),116452)</f>
        <v>116452</v>
      </c>
      <c r="C2603" s="14">
        <f ca="1">IFERROR(__xludf.DUMMYFUNCTION("""COMPUTED_VALUE"""),0)</f>
        <v>0</v>
      </c>
      <c r="D2603" s="12" t="str">
        <f ca="1">IFERROR(__xludf.DUMMYFUNCTION("""COMPUTED_VALUE"""),"栗原 大武")</f>
        <v>栗原 大武</v>
      </c>
    </row>
    <row r="2604" spans="2:4" ht="13">
      <c r="B2604" s="12">
        <f ca="1">IFERROR(__xludf.DUMMYFUNCTION("""COMPUTED_VALUE"""),116453)</f>
        <v>116453</v>
      </c>
      <c r="C2604" s="14">
        <f ca="1">IFERROR(__xludf.DUMMYFUNCTION("""COMPUTED_VALUE"""),0)</f>
        <v>0</v>
      </c>
      <c r="D2604" s="12" t="str">
        <f ca="1">IFERROR(__xludf.DUMMYFUNCTION("""COMPUTED_VALUE"""),"成嶋 夏未")</f>
        <v>成嶋 夏未</v>
      </c>
    </row>
    <row r="2605" spans="2:4" ht="13">
      <c r="B2605" s="12">
        <f ca="1">IFERROR(__xludf.DUMMYFUNCTION("""COMPUTED_VALUE"""),116455)</f>
        <v>116455</v>
      </c>
      <c r="C2605" s="14">
        <f ca="1">IFERROR(__xludf.DUMMYFUNCTION("""COMPUTED_VALUE"""),0)</f>
        <v>0</v>
      </c>
      <c r="D2605" s="12" t="str">
        <f ca="1">IFERROR(__xludf.DUMMYFUNCTION("""COMPUTED_VALUE"""),"老田 純輝")</f>
        <v>老田 純輝</v>
      </c>
    </row>
    <row r="2606" spans="2:4" ht="13">
      <c r="B2606" s="12">
        <f ca="1">IFERROR(__xludf.DUMMYFUNCTION("""COMPUTED_VALUE"""),116458)</f>
        <v>116458</v>
      </c>
      <c r="C2606" s="14">
        <f ca="1">IFERROR(__xludf.DUMMYFUNCTION("""COMPUTED_VALUE"""),0)</f>
        <v>0</v>
      </c>
      <c r="D2606" s="12" t="str">
        <f ca="1">IFERROR(__xludf.DUMMYFUNCTION("""COMPUTED_VALUE"""),"芳賀 亮輔")</f>
        <v>芳賀 亮輔</v>
      </c>
    </row>
    <row r="2607" spans="2:4" ht="13">
      <c r="B2607" s="12">
        <f ca="1">IFERROR(__xludf.DUMMYFUNCTION("""COMPUTED_VALUE"""),116459)</f>
        <v>116459</v>
      </c>
      <c r="C2607" s="14">
        <f ca="1">IFERROR(__xludf.DUMMYFUNCTION("""COMPUTED_VALUE"""),0)</f>
        <v>0</v>
      </c>
      <c r="D2607" s="12" t="str">
        <f ca="1">IFERROR(__xludf.DUMMYFUNCTION("""COMPUTED_VALUE"""),"老田 純輝")</f>
        <v>老田 純輝</v>
      </c>
    </row>
    <row r="2608" spans="2:4" ht="13">
      <c r="B2608" s="12">
        <f ca="1">IFERROR(__xludf.DUMMYFUNCTION("""COMPUTED_VALUE"""),116460)</f>
        <v>116460</v>
      </c>
      <c r="C2608" s="14">
        <f ca="1">IFERROR(__xludf.DUMMYFUNCTION("""COMPUTED_VALUE"""),0)</f>
        <v>0</v>
      </c>
      <c r="D2608" s="12" t="str">
        <f ca="1">IFERROR(__xludf.DUMMYFUNCTION("""COMPUTED_VALUE"""),"堀越 駿")</f>
        <v>堀越 駿</v>
      </c>
    </row>
    <row r="2609" spans="2:4" ht="13">
      <c r="B2609" s="12">
        <f ca="1">IFERROR(__xludf.DUMMYFUNCTION("""COMPUTED_VALUE"""),116462)</f>
        <v>116462</v>
      </c>
      <c r="C2609" s="14">
        <f ca="1">IFERROR(__xludf.DUMMYFUNCTION("""COMPUTED_VALUE"""),0)</f>
        <v>0</v>
      </c>
      <c r="D2609" s="12" t="str">
        <f ca="1">IFERROR(__xludf.DUMMYFUNCTION("""COMPUTED_VALUE"""),"川島 幹也")</f>
        <v>川島 幹也</v>
      </c>
    </row>
    <row r="2610" spans="2:4" ht="13">
      <c r="B2610" s="12">
        <f ca="1">IFERROR(__xludf.DUMMYFUNCTION("""COMPUTED_VALUE"""),116641)</f>
        <v>116641</v>
      </c>
      <c r="C2610" s="14">
        <f ca="1">IFERROR(__xludf.DUMMYFUNCTION("""COMPUTED_VALUE"""),0)</f>
        <v>0</v>
      </c>
      <c r="D2610" s="12" t="str">
        <f ca="1">IFERROR(__xludf.DUMMYFUNCTION("""COMPUTED_VALUE"""),"稲場 勇介")</f>
        <v>稲場 勇介</v>
      </c>
    </row>
    <row r="2611" spans="2:4" ht="13">
      <c r="B2611" s="12">
        <f ca="1">IFERROR(__xludf.DUMMYFUNCTION("""COMPUTED_VALUE"""),116645)</f>
        <v>116645</v>
      </c>
      <c r="C2611" s="14">
        <f ca="1">IFERROR(__xludf.DUMMYFUNCTION("""COMPUTED_VALUE"""),0)</f>
        <v>0</v>
      </c>
      <c r="D2611" s="12" t="str">
        <f ca="1">IFERROR(__xludf.DUMMYFUNCTION("""COMPUTED_VALUE"""),"小関 麻起")</f>
        <v>小関 麻起</v>
      </c>
    </row>
    <row r="2612" spans="2:4" ht="13">
      <c r="B2612" s="12">
        <f ca="1">IFERROR(__xludf.DUMMYFUNCTION("""COMPUTED_VALUE"""),116646)</f>
        <v>116646</v>
      </c>
      <c r="C2612" s="14">
        <f ca="1">IFERROR(__xludf.DUMMYFUNCTION("""COMPUTED_VALUE"""),0)</f>
        <v>0</v>
      </c>
      <c r="D2612" s="12" t="str">
        <f ca="1">IFERROR(__xludf.DUMMYFUNCTION("""COMPUTED_VALUE"""),"成嶋 夏未")</f>
        <v>成嶋 夏未</v>
      </c>
    </row>
    <row r="2613" spans="2:4" ht="13">
      <c r="B2613" s="12">
        <f ca="1">IFERROR(__xludf.DUMMYFUNCTION("""COMPUTED_VALUE"""),116647)</f>
        <v>116647</v>
      </c>
      <c r="C2613" s="14">
        <f ca="1">IFERROR(__xludf.DUMMYFUNCTION("""COMPUTED_VALUE"""),0)</f>
        <v>0</v>
      </c>
      <c r="D2613" s="12" t="str">
        <f ca="1">IFERROR(__xludf.DUMMYFUNCTION("""COMPUTED_VALUE"""),"芳賀 亮輔")</f>
        <v>芳賀 亮輔</v>
      </c>
    </row>
    <row r="2614" spans="2:4" ht="13">
      <c r="B2614" s="12">
        <f ca="1">IFERROR(__xludf.DUMMYFUNCTION("""COMPUTED_VALUE"""),116649)</f>
        <v>116649</v>
      </c>
      <c r="C2614" s="14">
        <f ca="1">IFERROR(__xludf.DUMMYFUNCTION("""COMPUTED_VALUE"""),0)</f>
        <v>0</v>
      </c>
      <c r="D2614" s="12" t="str">
        <f ca="1">IFERROR(__xludf.DUMMYFUNCTION("""COMPUTED_VALUE"""),"桐山 勝気")</f>
        <v>桐山 勝気</v>
      </c>
    </row>
    <row r="2615" spans="2:4" ht="13">
      <c r="B2615" s="12">
        <f ca="1">IFERROR(__xludf.DUMMYFUNCTION("""COMPUTED_VALUE"""),116651)</f>
        <v>116651</v>
      </c>
      <c r="C2615" s="14">
        <f ca="1">IFERROR(__xludf.DUMMYFUNCTION("""COMPUTED_VALUE"""),0)</f>
        <v>0</v>
      </c>
      <c r="D2615" s="12" t="str">
        <f ca="1">IFERROR(__xludf.DUMMYFUNCTION("""COMPUTED_VALUE"""),"川島 幹也")</f>
        <v>川島 幹也</v>
      </c>
    </row>
    <row r="2616" spans="2:4" ht="13">
      <c r="B2616" s="12">
        <f ca="1">IFERROR(__xludf.DUMMYFUNCTION("""COMPUTED_VALUE"""),116652)</f>
        <v>116652</v>
      </c>
      <c r="C2616" s="14">
        <f ca="1">IFERROR(__xludf.DUMMYFUNCTION("""COMPUTED_VALUE"""),0)</f>
        <v>0</v>
      </c>
      <c r="D2616" s="12" t="str">
        <f ca="1">IFERROR(__xludf.DUMMYFUNCTION("""COMPUTED_VALUE"""),"小関 麻起")</f>
        <v>小関 麻起</v>
      </c>
    </row>
    <row r="2617" spans="2:4" ht="13">
      <c r="B2617" s="12">
        <f ca="1">IFERROR(__xludf.DUMMYFUNCTION("""COMPUTED_VALUE"""),116653)</f>
        <v>116653</v>
      </c>
      <c r="C2617" s="14">
        <f ca="1">IFERROR(__xludf.DUMMYFUNCTION("""COMPUTED_VALUE"""),0)</f>
        <v>0</v>
      </c>
      <c r="D2617" s="12" t="str">
        <f ca="1">IFERROR(__xludf.DUMMYFUNCTION("""COMPUTED_VALUE"""),"成嶋 夏未")</f>
        <v>成嶋 夏未</v>
      </c>
    </row>
    <row r="2618" spans="2:4" ht="13">
      <c r="B2618" s="12">
        <f ca="1">IFERROR(__xludf.DUMMYFUNCTION("""COMPUTED_VALUE"""),116654)</f>
        <v>116654</v>
      </c>
      <c r="C2618" s="14">
        <f ca="1">IFERROR(__xludf.DUMMYFUNCTION("""COMPUTED_VALUE"""),0)</f>
        <v>0</v>
      </c>
      <c r="D2618" s="12" t="str">
        <f ca="1">IFERROR(__xludf.DUMMYFUNCTION("""COMPUTED_VALUE"""),"成嶋 夏未")</f>
        <v>成嶋 夏未</v>
      </c>
    </row>
    <row r="2619" spans="2:4" ht="13">
      <c r="B2619" s="12">
        <f ca="1">IFERROR(__xludf.DUMMYFUNCTION("""COMPUTED_VALUE"""),116655)</f>
        <v>116655</v>
      </c>
      <c r="C2619" s="14">
        <f ca="1">IFERROR(__xludf.DUMMYFUNCTION("""COMPUTED_VALUE"""),0)</f>
        <v>0</v>
      </c>
      <c r="D2619" s="12" t="str">
        <f ca="1">IFERROR(__xludf.DUMMYFUNCTION("""COMPUTED_VALUE"""),"小関 麻起")</f>
        <v>小関 麻起</v>
      </c>
    </row>
    <row r="2620" spans="2:4" ht="13">
      <c r="B2620" s="12">
        <f ca="1">IFERROR(__xludf.DUMMYFUNCTION("""COMPUTED_VALUE"""),116656)</f>
        <v>116656</v>
      </c>
      <c r="C2620" s="14">
        <f ca="1">IFERROR(__xludf.DUMMYFUNCTION("""COMPUTED_VALUE"""),0)</f>
        <v>0</v>
      </c>
      <c r="D2620" s="12" t="str">
        <f ca="1">IFERROR(__xludf.DUMMYFUNCTION("""COMPUTED_VALUE"""),"小関 麻起")</f>
        <v>小関 麻起</v>
      </c>
    </row>
    <row r="2621" spans="2:4" ht="13">
      <c r="B2621" s="12">
        <f ca="1">IFERROR(__xludf.DUMMYFUNCTION("""COMPUTED_VALUE"""),116658)</f>
        <v>116658</v>
      </c>
      <c r="C2621" s="14">
        <f ca="1">IFERROR(__xludf.DUMMYFUNCTION("""COMPUTED_VALUE"""),0)</f>
        <v>0</v>
      </c>
      <c r="D2621" s="12" t="str">
        <f ca="1">IFERROR(__xludf.DUMMYFUNCTION("""COMPUTED_VALUE"""),"稲場 勇介")</f>
        <v>稲場 勇介</v>
      </c>
    </row>
    <row r="2622" spans="2:4" ht="13">
      <c r="B2622" s="12">
        <f ca="1">IFERROR(__xludf.DUMMYFUNCTION("""COMPUTED_VALUE"""),116660)</f>
        <v>116660</v>
      </c>
      <c r="C2622" s="14">
        <f ca="1">IFERROR(__xludf.DUMMYFUNCTION("""COMPUTED_VALUE"""),0)</f>
        <v>0</v>
      </c>
      <c r="D2622" s="12" t="str">
        <f ca="1">IFERROR(__xludf.DUMMYFUNCTION("""COMPUTED_VALUE"""),"堀越 駿")</f>
        <v>堀越 駿</v>
      </c>
    </row>
    <row r="2623" spans="2:4" ht="13">
      <c r="B2623" s="12">
        <f ca="1">IFERROR(__xludf.DUMMYFUNCTION("""COMPUTED_VALUE"""),116661)</f>
        <v>116661</v>
      </c>
      <c r="C2623" s="14">
        <f ca="1">IFERROR(__xludf.DUMMYFUNCTION("""COMPUTED_VALUE"""),9)</f>
        <v>9</v>
      </c>
      <c r="D2623" s="12" t="str">
        <f ca="1">IFERROR(__xludf.DUMMYFUNCTION("""COMPUTED_VALUE"""),"堀越 駿")</f>
        <v>堀越 駿</v>
      </c>
    </row>
    <row r="2624" spans="2:4" ht="13">
      <c r="B2624" s="12">
        <f ca="1">IFERROR(__xludf.DUMMYFUNCTION("""COMPUTED_VALUE"""),116666)</f>
        <v>116666</v>
      </c>
      <c r="C2624" s="14">
        <f ca="1">IFERROR(__xludf.DUMMYFUNCTION("""COMPUTED_VALUE"""),0)</f>
        <v>0</v>
      </c>
      <c r="D2624" s="12" t="str">
        <f ca="1">IFERROR(__xludf.DUMMYFUNCTION("""COMPUTED_VALUE"""),"小川 純")</f>
        <v>小川 純</v>
      </c>
    </row>
    <row r="2625" spans="2:4" ht="13">
      <c r="B2625" s="12">
        <f ca="1">IFERROR(__xludf.DUMMYFUNCTION("""COMPUTED_VALUE"""),116671)</f>
        <v>116671</v>
      </c>
      <c r="C2625" s="14">
        <f ca="1">IFERROR(__xludf.DUMMYFUNCTION("""COMPUTED_VALUE"""),0)</f>
        <v>0</v>
      </c>
      <c r="D2625" s="12" t="str">
        <f ca="1">IFERROR(__xludf.DUMMYFUNCTION("""COMPUTED_VALUE"""),"稲場 勇介")</f>
        <v>稲場 勇介</v>
      </c>
    </row>
    <row r="2626" spans="2:4" ht="13">
      <c r="B2626" s="12">
        <f ca="1">IFERROR(__xludf.DUMMYFUNCTION("""COMPUTED_VALUE"""),116675)</f>
        <v>116675</v>
      </c>
      <c r="C2626" s="14">
        <f ca="1">IFERROR(__xludf.DUMMYFUNCTION("""COMPUTED_VALUE"""),0)</f>
        <v>0</v>
      </c>
      <c r="D2626" s="12" t="str">
        <f ca="1">IFERROR(__xludf.DUMMYFUNCTION("""COMPUTED_VALUE"""),"稲場 勇介")</f>
        <v>稲場 勇介</v>
      </c>
    </row>
    <row r="2627" spans="2:4" ht="13">
      <c r="B2627" s="12">
        <f ca="1">IFERROR(__xludf.DUMMYFUNCTION("""COMPUTED_VALUE"""),116677)</f>
        <v>116677</v>
      </c>
      <c r="C2627" s="14">
        <f ca="1">IFERROR(__xludf.DUMMYFUNCTION("""COMPUTED_VALUE"""),0)</f>
        <v>0</v>
      </c>
      <c r="D2627" s="12" t="str">
        <f ca="1">IFERROR(__xludf.DUMMYFUNCTION("""COMPUTED_VALUE"""),"松尾 尚樹")</f>
        <v>松尾 尚樹</v>
      </c>
    </row>
    <row r="2628" spans="2:4" ht="13">
      <c r="B2628" s="12">
        <f ca="1">IFERROR(__xludf.DUMMYFUNCTION("""COMPUTED_VALUE"""),116688)</f>
        <v>116688</v>
      </c>
      <c r="C2628" s="14">
        <f ca="1">IFERROR(__xludf.DUMMYFUNCTION("""COMPUTED_VALUE"""),4)</f>
        <v>4</v>
      </c>
      <c r="D2628" s="12" t="str">
        <f ca="1">IFERROR(__xludf.DUMMYFUNCTION("""COMPUTED_VALUE"""),"小川 純")</f>
        <v>小川 純</v>
      </c>
    </row>
    <row r="2629" spans="2:4" ht="13">
      <c r="B2629" s="12">
        <f ca="1">IFERROR(__xludf.DUMMYFUNCTION("""COMPUTED_VALUE"""),116692)</f>
        <v>116692</v>
      </c>
      <c r="C2629" s="14">
        <f ca="1">IFERROR(__xludf.DUMMYFUNCTION("""COMPUTED_VALUE"""),0)</f>
        <v>0</v>
      </c>
      <c r="D2629" s="12" t="str">
        <f ca="1">IFERROR(__xludf.DUMMYFUNCTION("""COMPUTED_VALUE"""),"稲場 勇介")</f>
        <v>稲場 勇介</v>
      </c>
    </row>
    <row r="2630" spans="2:4" ht="13">
      <c r="B2630" s="12">
        <f ca="1">IFERROR(__xludf.DUMMYFUNCTION("""COMPUTED_VALUE"""),116694)</f>
        <v>116694</v>
      </c>
      <c r="C2630" s="14">
        <f ca="1">IFERROR(__xludf.DUMMYFUNCTION("""COMPUTED_VALUE"""),0)</f>
        <v>0</v>
      </c>
      <c r="D2630" s="12" t="str">
        <f ca="1">IFERROR(__xludf.DUMMYFUNCTION("""COMPUTED_VALUE"""),"稲場 勇介")</f>
        <v>稲場 勇介</v>
      </c>
    </row>
    <row r="2631" spans="2:4" ht="13">
      <c r="B2631" s="12">
        <f ca="1">IFERROR(__xludf.DUMMYFUNCTION("""COMPUTED_VALUE"""),116695)</f>
        <v>116695</v>
      </c>
      <c r="C2631" s="14">
        <f ca="1">IFERROR(__xludf.DUMMYFUNCTION("""COMPUTED_VALUE"""),0)</f>
        <v>0</v>
      </c>
      <c r="D2631" s="12" t="str">
        <f ca="1">IFERROR(__xludf.DUMMYFUNCTION("""COMPUTED_VALUE"""),"成嶋 夏未")</f>
        <v>成嶋 夏未</v>
      </c>
    </row>
    <row r="2632" spans="2:4" ht="13">
      <c r="B2632" s="12">
        <f ca="1">IFERROR(__xludf.DUMMYFUNCTION("""COMPUTED_VALUE"""),116709)</f>
        <v>116709</v>
      </c>
      <c r="C2632" s="14">
        <f ca="1">IFERROR(__xludf.DUMMYFUNCTION("""COMPUTED_VALUE"""),0)</f>
        <v>0</v>
      </c>
      <c r="D2632" s="12" t="str">
        <f ca="1">IFERROR(__xludf.DUMMYFUNCTION("""COMPUTED_VALUE"""),"稲場 勇介")</f>
        <v>稲場 勇介</v>
      </c>
    </row>
    <row r="2633" spans="2:4" ht="13">
      <c r="B2633" s="12">
        <f ca="1">IFERROR(__xludf.DUMMYFUNCTION("""COMPUTED_VALUE"""),116713)</f>
        <v>116713</v>
      </c>
      <c r="C2633" s="14">
        <f ca="1">IFERROR(__xludf.DUMMYFUNCTION("""COMPUTED_VALUE"""),0)</f>
        <v>0</v>
      </c>
      <c r="D2633" s="12" t="str">
        <f ca="1">IFERROR(__xludf.DUMMYFUNCTION("""COMPUTED_VALUE"""),"小関 麻起")</f>
        <v>小関 麻起</v>
      </c>
    </row>
    <row r="2634" spans="2:4" ht="13">
      <c r="B2634" s="12">
        <f ca="1">IFERROR(__xludf.DUMMYFUNCTION("""COMPUTED_VALUE"""),116714)</f>
        <v>116714</v>
      </c>
      <c r="C2634" s="14">
        <f ca="1">IFERROR(__xludf.DUMMYFUNCTION("""COMPUTED_VALUE"""),0)</f>
        <v>0</v>
      </c>
      <c r="D2634" s="12" t="str">
        <f ca="1">IFERROR(__xludf.DUMMYFUNCTION("""COMPUTED_VALUE"""),"成嶋 夏未")</f>
        <v>成嶋 夏未</v>
      </c>
    </row>
    <row r="2635" spans="2:4" ht="13">
      <c r="B2635" s="12">
        <f ca="1">IFERROR(__xludf.DUMMYFUNCTION("""COMPUTED_VALUE"""),116715)</f>
        <v>116715</v>
      </c>
      <c r="C2635" s="14">
        <f ca="1">IFERROR(__xludf.DUMMYFUNCTION("""COMPUTED_VALUE"""),8)</f>
        <v>8</v>
      </c>
      <c r="D2635" s="12" t="str">
        <f ca="1">IFERROR(__xludf.DUMMYFUNCTION("""COMPUTED_VALUE"""),"小関 麻起")</f>
        <v>小関 麻起</v>
      </c>
    </row>
    <row r="2636" spans="2:4" ht="13">
      <c r="B2636" s="12">
        <f ca="1">IFERROR(__xludf.DUMMYFUNCTION("""COMPUTED_VALUE"""),116722)</f>
        <v>116722</v>
      </c>
      <c r="C2636" s="14">
        <f ca="1">IFERROR(__xludf.DUMMYFUNCTION("""COMPUTED_VALUE"""),0)</f>
        <v>0</v>
      </c>
      <c r="D2636" s="12" t="str">
        <f ca="1">IFERROR(__xludf.DUMMYFUNCTION("""COMPUTED_VALUE"""),"稲場 勇介")</f>
        <v>稲場 勇介</v>
      </c>
    </row>
    <row r="2637" spans="2:4" ht="13">
      <c r="B2637" s="12">
        <f ca="1">IFERROR(__xludf.DUMMYFUNCTION("""COMPUTED_VALUE"""),116723)</f>
        <v>116723</v>
      </c>
      <c r="C2637" s="14">
        <f ca="1">IFERROR(__xludf.DUMMYFUNCTION("""COMPUTED_VALUE"""),0)</f>
        <v>0</v>
      </c>
      <c r="D2637" s="12" t="str">
        <f ca="1">IFERROR(__xludf.DUMMYFUNCTION("""COMPUTED_VALUE"""),"芳賀 亮輔")</f>
        <v>芳賀 亮輔</v>
      </c>
    </row>
    <row r="2638" spans="2:4" ht="13">
      <c r="B2638" s="12">
        <f ca="1">IFERROR(__xludf.DUMMYFUNCTION("""COMPUTED_VALUE"""),116724)</f>
        <v>116724</v>
      </c>
      <c r="C2638" s="14">
        <f ca="1">IFERROR(__xludf.DUMMYFUNCTION("""COMPUTED_VALUE"""),0)</f>
        <v>0</v>
      </c>
      <c r="D2638" s="12" t="str">
        <f ca="1">IFERROR(__xludf.DUMMYFUNCTION("""COMPUTED_VALUE"""),"成嶋 夏未")</f>
        <v>成嶋 夏未</v>
      </c>
    </row>
    <row r="2639" spans="2:4" ht="13">
      <c r="B2639" s="12">
        <f ca="1">IFERROR(__xludf.DUMMYFUNCTION("""COMPUTED_VALUE"""),116729)</f>
        <v>116729</v>
      </c>
      <c r="C2639" s="14">
        <f ca="1">IFERROR(__xludf.DUMMYFUNCTION("""COMPUTED_VALUE"""),0)</f>
        <v>0</v>
      </c>
      <c r="D2639" s="12" t="str">
        <f ca="1">IFERROR(__xludf.DUMMYFUNCTION("""COMPUTED_VALUE"""),"小川 純")</f>
        <v>小川 純</v>
      </c>
    </row>
    <row r="2640" spans="2:4" ht="13">
      <c r="B2640" s="12">
        <f ca="1">IFERROR(__xludf.DUMMYFUNCTION("""COMPUTED_VALUE"""),116730)</f>
        <v>116730</v>
      </c>
      <c r="C2640" s="14">
        <f ca="1">IFERROR(__xludf.DUMMYFUNCTION("""COMPUTED_VALUE"""),0)</f>
        <v>0</v>
      </c>
      <c r="D2640" s="12" t="str">
        <f ca="1">IFERROR(__xludf.DUMMYFUNCTION("""COMPUTED_VALUE"""),"松尾 尚樹")</f>
        <v>松尾 尚樹</v>
      </c>
    </row>
    <row r="2641" spans="2:4" ht="13">
      <c r="B2641" s="12">
        <f ca="1">IFERROR(__xludf.DUMMYFUNCTION("""COMPUTED_VALUE"""),116733)</f>
        <v>116733</v>
      </c>
      <c r="C2641" s="14">
        <f ca="1">IFERROR(__xludf.DUMMYFUNCTION("""COMPUTED_VALUE"""),13)</f>
        <v>13</v>
      </c>
      <c r="D2641" s="12" t="str">
        <f ca="1">IFERROR(__xludf.DUMMYFUNCTION("""COMPUTED_VALUE"""),"老田 純輝")</f>
        <v>老田 純輝</v>
      </c>
    </row>
    <row r="2642" spans="2:4" ht="13">
      <c r="B2642" s="12">
        <f ca="1">IFERROR(__xludf.DUMMYFUNCTION("""COMPUTED_VALUE"""),116738)</f>
        <v>116738</v>
      </c>
      <c r="C2642" s="14">
        <f ca="1">IFERROR(__xludf.DUMMYFUNCTION("""COMPUTED_VALUE"""),0)</f>
        <v>0</v>
      </c>
      <c r="D2642" s="12" t="str">
        <f ca="1">IFERROR(__xludf.DUMMYFUNCTION("""COMPUTED_VALUE"""),"小関 麻起")</f>
        <v>小関 麻起</v>
      </c>
    </row>
    <row r="2643" spans="2:4" ht="13">
      <c r="B2643" s="12">
        <f ca="1">IFERROR(__xludf.DUMMYFUNCTION("""COMPUTED_VALUE"""),116740)</f>
        <v>116740</v>
      </c>
      <c r="C2643" s="14">
        <f ca="1">IFERROR(__xludf.DUMMYFUNCTION("""COMPUTED_VALUE"""),0)</f>
        <v>0</v>
      </c>
      <c r="D2643" s="12" t="str">
        <f ca="1">IFERROR(__xludf.DUMMYFUNCTION("""COMPUTED_VALUE"""),"成嶋 夏未")</f>
        <v>成嶋 夏未</v>
      </c>
    </row>
    <row r="2644" spans="2:4" ht="13">
      <c r="B2644" s="12">
        <f ca="1">IFERROR(__xludf.DUMMYFUNCTION("""COMPUTED_VALUE"""),116741)</f>
        <v>116741</v>
      </c>
      <c r="C2644" s="14">
        <f ca="1">IFERROR(__xludf.DUMMYFUNCTION("""COMPUTED_VALUE"""),0)</f>
        <v>0</v>
      </c>
      <c r="D2644" s="12" t="str">
        <f ca="1">IFERROR(__xludf.DUMMYFUNCTION("""COMPUTED_VALUE"""),"松尾 尚樹")</f>
        <v>松尾 尚樹</v>
      </c>
    </row>
    <row r="2645" spans="2:4" ht="13">
      <c r="B2645" s="12">
        <f ca="1">IFERROR(__xludf.DUMMYFUNCTION("""COMPUTED_VALUE"""),116742)</f>
        <v>116742</v>
      </c>
      <c r="C2645" s="14">
        <f ca="1">IFERROR(__xludf.DUMMYFUNCTION("""COMPUTED_VALUE"""),0)</f>
        <v>0</v>
      </c>
      <c r="D2645" s="12" t="str">
        <f ca="1">IFERROR(__xludf.DUMMYFUNCTION("""COMPUTED_VALUE"""),"小関 麻起")</f>
        <v>小関 麻起</v>
      </c>
    </row>
    <row r="2646" spans="2:4" ht="13">
      <c r="B2646" s="12">
        <f ca="1">IFERROR(__xludf.DUMMYFUNCTION("""COMPUTED_VALUE"""),116743)</f>
        <v>116743</v>
      </c>
      <c r="C2646" s="14">
        <f ca="1">IFERROR(__xludf.DUMMYFUNCTION("""COMPUTED_VALUE"""),0)</f>
        <v>0</v>
      </c>
      <c r="D2646" s="12" t="str">
        <f ca="1">IFERROR(__xludf.DUMMYFUNCTION("""COMPUTED_VALUE"""),"稲場 勇介")</f>
        <v>稲場 勇介</v>
      </c>
    </row>
    <row r="2647" spans="2:4" ht="13">
      <c r="B2647" s="12">
        <f ca="1">IFERROR(__xludf.DUMMYFUNCTION("""COMPUTED_VALUE"""),116744)</f>
        <v>116744</v>
      </c>
      <c r="C2647" s="14">
        <f ca="1">IFERROR(__xludf.DUMMYFUNCTION("""COMPUTED_VALUE"""),0)</f>
        <v>0</v>
      </c>
      <c r="D2647" s="12" t="str">
        <f ca="1">IFERROR(__xludf.DUMMYFUNCTION("""COMPUTED_VALUE"""),"稲場 勇介")</f>
        <v>稲場 勇介</v>
      </c>
    </row>
    <row r="2648" spans="2:4" ht="13">
      <c r="B2648" s="12">
        <f ca="1">IFERROR(__xludf.DUMMYFUNCTION("""COMPUTED_VALUE"""),116745)</f>
        <v>116745</v>
      </c>
      <c r="C2648" s="14">
        <f ca="1">IFERROR(__xludf.DUMMYFUNCTION("""COMPUTED_VALUE"""),0)</f>
        <v>0</v>
      </c>
      <c r="D2648" s="12" t="str">
        <f ca="1">IFERROR(__xludf.DUMMYFUNCTION("""COMPUTED_VALUE"""),"老田 純輝")</f>
        <v>老田 純輝</v>
      </c>
    </row>
    <row r="2649" spans="2:4" ht="13">
      <c r="B2649" s="12">
        <f ca="1">IFERROR(__xludf.DUMMYFUNCTION("""COMPUTED_VALUE"""),116747)</f>
        <v>116747</v>
      </c>
      <c r="C2649" s="14">
        <f ca="1">IFERROR(__xludf.DUMMYFUNCTION("""COMPUTED_VALUE"""),59)</f>
        <v>59</v>
      </c>
      <c r="D2649" s="12" t="str">
        <f ca="1">IFERROR(__xludf.DUMMYFUNCTION("""COMPUTED_VALUE"""),"老田 純輝")</f>
        <v>老田 純輝</v>
      </c>
    </row>
    <row r="2650" spans="2:4" ht="13">
      <c r="B2650" s="12">
        <f ca="1">IFERROR(__xludf.DUMMYFUNCTION("""COMPUTED_VALUE"""),116748)</f>
        <v>116748</v>
      </c>
      <c r="C2650" s="14">
        <f ca="1">IFERROR(__xludf.DUMMYFUNCTION("""COMPUTED_VALUE"""),0)</f>
        <v>0</v>
      </c>
      <c r="D2650" s="12" t="str">
        <f ca="1">IFERROR(__xludf.DUMMYFUNCTION("""COMPUTED_VALUE"""),"荻曽 克輝")</f>
        <v>荻曽 克輝</v>
      </c>
    </row>
    <row r="2651" spans="2:4" ht="13">
      <c r="B2651" s="12">
        <f ca="1">IFERROR(__xludf.DUMMYFUNCTION("""COMPUTED_VALUE"""),116749)</f>
        <v>116749</v>
      </c>
      <c r="C2651" s="14">
        <f ca="1">IFERROR(__xludf.DUMMYFUNCTION("""COMPUTED_VALUE"""),0)</f>
        <v>0</v>
      </c>
      <c r="D2651" s="12" t="str">
        <f ca="1">IFERROR(__xludf.DUMMYFUNCTION("""COMPUTED_VALUE"""),"稲場 勇介")</f>
        <v>稲場 勇介</v>
      </c>
    </row>
    <row r="2652" spans="2:4" ht="13">
      <c r="B2652" s="12">
        <f ca="1">IFERROR(__xludf.DUMMYFUNCTION("""COMPUTED_VALUE"""),116750)</f>
        <v>116750</v>
      </c>
      <c r="C2652" s="14">
        <f ca="1">IFERROR(__xludf.DUMMYFUNCTION("""COMPUTED_VALUE"""),0)</f>
        <v>0</v>
      </c>
      <c r="D2652" s="12" t="str">
        <f ca="1">IFERROR(__xludf.DUMMYFUNCTION("""COMPUTED_VALUE"""),"松尾 尚樹")</f>
        <v>松尾 尚樹</v>
      </c>
    </row>
    <row r="2653" spans="2:4" ht="13">
      <c r="B2653" s="12">
        <f ca="1">IFERROR(__xludf.DUMMYFUNCTION("""COMPUTED_VALUE"""),116761)</f>
        <v>116761</v>
      </c>
      <c r="C2653" s="14">
        <f ca="1">IFERROR(__xludf.DUMMYFUNCTION("""COMPUTED_VALUE"""),0)</f>
        <v>0</v>
      </c>
      <c r="D2653" s="12" t="str">
        <f ca="1">IFERROR(__xludf.DUMMYFUNCTION("""COMPUTED_VALUE"""),"稲場 勇介")</f>
        <v>稲場 勇介</v>
      </c>
    </row>
    <row r="2654" spans="2:4" ht="13">
      <c r="B2654" s="12">
        <f ca="1">IFERROR(__xludf.DUMMYFUNCTION("""COMPUTED_VALUE"""),116762)</f>
        <v>116762</v>
      </c>
      <c r="C2654" s="14">
        <f ca="1">IFERROR(__xludf.DUMMYFUNCTION("""COMPUTED_VALUE"""),0)</f>
        <v>0</v>
      </c>
      <c r="D2654" s="12" t="str">
        <f ca="1">IFERROR(__xludf.DUMMYFUNCTION("""COMPUTED_VALUE"""),"成嶋 夏未")</f>
        <v>成嶋 夏未</v>
      </c>
    </row>
    <row r="2655" spans="2:4" ht="13">
      <c r="B2655" s="12">
        <f ca="1">IFERROR(__xludf.DUMMYFUNCTION("""COMPUTED_VALUE"""),116764)</f>
        <v>116764</v>
      </c>
      <c r="C2655" s="14">
        <f ca="1">IFERROR(__xludf.DUMMYFUNCTION("""COMPUTED_VALUE"""),0)</f>
        <v>0</v>
      </c>
      <c r="D2655" s="12" t="str">
        <f ca="1">IFERROR(__xludf.DUMMYFUNCTION("""COMPUTED_VALUE"""),"小関 麻起")</f>
        <v>小関 麻起</v>
      </c>
    </row>
    <row r="2656" spans="2:4" ht="13">
      <c r="B2656" s="12">
        <f ca="1">IFERROR(__xludf.DUMMYFUNCTION("""COMPUTED_VALUE"""),116777)</f>
        <v>116777</v>
      </c>
      <c r="C2656" s="14">
        <f ca="1">IFERROR(__xludf.DUMMYFUNCTION("""COMPUTED_VALUE"""),0)</f>
        <v>0</v>
      </c>
      <c r="D2656" s="12" t="str">
        <f ca="1">IFERROR(__xludf.DUMMYFUNCTION("""COMPUTED_VALUE"""),"成嶋 夏未")</f>
        <v>成嶋 夏未</v>
      </c>
    </row>
    <row r="2657" spans="2:4" ht="13">
      <c r="B2657" s="12">
        <f ca="1">IFERROR(__xludf.DUMMYFUNCTION("""COMPUTED_VALUE"""),116778)</f>
        <v>116778</v>
      </c>
      <c r="C2657" s="14">
        <f ca="1">IFERROR(__xludf.DUMMYFUNCTION("""COMPUTED_VALUE"""),0)</f>
        <v>0</v>
      </c>
      <c r="D2657" s="12" t="str">
        <f ca="1">IFERROR(__xludf.DUMMYFUNCTION("""COMPUTED_VALUE"""),"小関 麻起")</f>
        <v>小関 麻起</v>
      </c>
    </row>
    <row r="2658" spans="2:4" ht="13">
      <c r="B2658" s="12">
        <f ca="1">IFERROR(__xludf.DUMMYFUNCTION("""COMPUTED_VALUE"""),116779)</f>
        <v>116779</v>
      </c>
      <c r="C2658" s="14">
        <f ca="1">IFERROR(__xludf.DUMMYFUNCTION("""COMPUTED_VALUE"""),0)</f>
        <v>0</v>
      </c>
      <c r="D2658" s="12" t="str">
        <f ca="1">IFERROR(__xludf.DUMMYFUNCTION("""COMPUTED_VALUE"""),"成嶋 夏未")</f>
        <v>成嶋 夏未</v>
      </c>
    </row>
    <row r="2659" spans="2:4" ht="13">
      <c r="B2659" s="12">
        <f ca="1">IFERROR(__xludf.DUMMYFUNCTION("""COMPUTED_VALUE"""),116780)</f>
        <v>116780</v>
      </c>
      <c r="C2659" s="14">
        <f ca="1">IFERROR(__xludf.DUMMYFUNCTION("""COMPUTED_VALUE"""),0)</f>
        <v>0</v>
      </c>
      <c r="D2659" s="12" t="str">
        <f ca="1">IFERROR(__xludf.DUMMYFUNCTION("""COMPUTED_VALUE"""),"稲場 勇介")</f>
        <v>稲場 勇介</v>
      </c>
    </row>
    <row r="2660" spans="2:4" ht="13">
      <c r="B2660" s="12">
        <f ca="1">IFERROR(__xludf.DUMMYFUNCTION("""COMPUTED_VALUE"""),116781)</f>
        <v>116781</v>
      </c>
      <c r="C2660" s="14">
        <f ca="1">IFERROR(__xludf.DUMMYFUNCTION("""COMPUTED_VALUE"""),0)</f>
        <v>0</v>
      </c>
      <c r="D2660" s="12" t="str">
        <f ca="1">IFERROR(__xludf.DUMMYFUNCTION("""COMPUTED_VALUE"""),"小関 麻起")</f>
        <v>小関 麻起</v>
      </c>
    </row>
    <row r="2661" spans="2:4" ht="13">
      <c r="B2661" s="12">
        <f ca="1">IFERROR(__xludf.DUMMYFUNCTION("""COMPUTED_VALUE"""),116782)</f>
        <v>116782</v>
      </c>
      <c r="C2661" s="14">
        <f ca="1">IFERROR(__xludf.DUMMYFUNCTION("""COMPUTED_VALUE"""),0)</f>
        <v>0</v>
      </c>
      <c r="D2661" s="12" t="str">
        <f ca="1">IFERROR(__xludf.DUMMYFUNCTION("""COMPUTED_VALUE"""),"小関 麻起")</f>
        <v>小関 麻起</v>
      </c>
    </row>
    <row r="2662" spans="2:4" ht="13">
      <c r="B2662" s="12">
        <f ca="1">IFERROR(__xludf.DUMMYFUNCTION("""COMPUTED_VALUE"""),116783)</f>
        <v>116783</v>
      </c>
      <c r="C2662" s="14">
        <f ca="1">IFERROR(__xludf.DUMMYFUNCTION("""COMPUTED_VALUE"""),0)</f>
        <v>0</v>
      </c>
      <c r="D2662" s="12" t="str">
        <f ca="1">IFERROR(__xludf.DUMMYFUNCTION("""COMPUTED_VALUE"""),"芳賀 亮輔")</f>
        <v>芳賀 亮輔</v>
      </c>
    </row>
    <row r="2663" spans="2:4" ht="13">
      <c r="B2663" s="12">
        <f ca="1">IFERROR(__xludf.DUMMYFUNCTION("""COMPUTED_VALUE"""),116787)</f>
        <v>116787</v>
      </c>
      <c r="C2663" s="14">
        <f ca="1">IFERROR(__xludf.DUMMYFUNCTION("""COMPUTED_VALUE"""),12)</f>
        <v>12</v>
      </c>
      <c r="D2663" s="12" t="str">
        <f ca="1">IFERROR(__xludf.DUMMYFUNCTION("""COMPUTED_VALUE"""),"菅野 ぎんが")</f>
        <v>菅野 ぎんが</v>
      </c>
    </row>
    <row r="2664" spans="2:4" ht="13">
      <c r="B2664" s="12">
        <f ca="1">IFERROR(__xludf.DUMMYFUNCTION("""COMPUTED_VALUE"""),116791)</f>
        <v>116791</v>
      </c>
      <c r="C2664" s="14">
        <f ca="1">IFERROR(__xludf.DUMMYFUNCTION("""COMPUTED_VALUE"""),2)</f>
        <v>2</v>
      </c>
      <c r="D2664" s="12" t="str">
        <f ca="1">IFERROR(__xludf.DUMMYFUNCTION("""COMPUTED_VALUE"""),"辻村 将大")</f>
        <v>辻村 将大</v>
      </c>
    </row>
    <row r="2665" spans="2:4" ht="13">
      <c r="B2665" s="12">
        <f ca="1">IFERROR(__xludf.DUMMYFUNCTION("""COMPUTED_VALUE"""),116793)</f>
        <v>116793</v>
      </c>
      <c r="C2665" s="14">
        <f ca="1">IFERROR(__xludf.DUMMYFUNCTION("""COMPUTED_VALUE"""),0)</f>
        <v>0</v>
      </c>
      <c r="D2665" s="12" t="str">
        <f ca="1">IFERROR(__xludf.DUMMYFUNCTION("""COMPUTED_VALUE"""),"荻曽 克輝")</f>
        <v>荻曽 克輝</v>
      </c>
    </row>
    <row r="2666" spans="2:4" ht="13">
      <c r="B2666" s="12">
        <f ca="1">IFERROR(__xludf.DUMMYFUNCTION("""COMPUTED_VALUE"""),116794)</f>
        <v>116794</v>
      </c>
      <c r="C2666" s="14">
        <f ca="1">IFERROR(__xludf.DUMMYFUNCTION("""COMPUTED_VALUE"""),0)</f>
        <v>0</v>
      </c>
      <c r="D2666" s="12" t="str">
        <f ca="1">IFERROR(__xludf.DUMMYFUNCTION("""COMPUTED_VALUE"""),"辻村 将大")</f>
        <v>辻村 将大</v>
      </c>
    </row>
    <row r="2667" spans="2:4" ht="13">
      <c r="B2667" s="12">
        <f ca="1">IFERROR(__xludf.DUMMYFUNCTION("""COMPUTED_VALUE"""),116795)</f>
        <v>116795</v>
      </c>
      <c r="C2667" s="14">
        <f ca="1">IFERROR(__xludf.DUMMYFUNCTION("""COMPUTED_VALUE"""),0)</f>
        <v>0</v>
      </c>
      <c r="D2667" s="12" t="str">
        <f ca="1">IFERROR(__xludf.DUMMYFUNCTION("""COMPUTED_VALUE"""),"小関 麻起")</f>
        <v>小関 麻起</v>
      </c>
    </row>
    <row r="2668" spans="2:4" ht="13">
      <c r="B2668" s="12">
        <f ca="1">IFERROR(__xludf.DUMMYFUNCTION("""COMPUTED_VALUE"""),116799)</f>
        <v>116799</v>
      </c>
      <c r="C2668" s="14">
        <f ca="1">IFERROR(__xludf.DUMMYFUNCTION("""COMPUTED_VALUE"""),0)</f>
        <v>0</v>
      </c>
      <c r="D2668" s="12" t="str">
        <f ca="1">IFERROR(__xludf.DUMMYFUNCTION("""COMPUTED_VALUE"""),"芳賀 亮輔")</f>
        <v>芳賀 亮輔</v>
      </c>
    </row>
    <row r="2669" spans="2:4" ht="13">
      <c r="B2669" s="12">
        <f ca="1">IFERROR(__xludf.DUMMYFUNCTION("""COMPUTED_VALUE"""),116805)</f>
        <v>116805</v>
      </c>
      <c r="C2669" s="14">
        <f ca="1">IFERROR(__xludf.DUMMYFUNCTION("""COMPUTED_VALUE"""),16)</f>
        <v>16</v>
      </c>
      <c r="D2669" s="12" t="str">
        <f ca="1">IFERROR(__xludf.DUMMYFUNCTION("""COMPUTED_VALUE"""),"稲場 勇介")</f>
        <v>稲場 勇介</v>
      </c>
    </row>
    <row r="2670" spans="2:4" ht="13">
      <c r="B2670" s="12">
        <f ca="1">IFERROR(__xludf.DUMMYFUNCTION("""COMPUTED_VALUE"""),116808)</f>
        <v>116808</v>
      </c>
      <c r="C2670" s="14">
        <f ca="1">IFERROR(__xludf.DUMMYFUNCTION("""COMPUTED_VALUE"""),0)</f>
        <v>0</v>
      </c>
      <c r="D2670" s="12" t="str">
        <f ca="1">IFERROR(__xludf.DUMMYFUNCTION("""COMPUTED_VALUE"""),"成嶋 夏未")</f>
        <v>成嶋 夏未</v>
      </c>
    </row>
    <row r="2671" spans="2:4" ht="13">
      <c r="B2671" s="12">
        <f ca="1">IFERROR(__xludf.DUMMYFUNCTION("""COMPUTED_VALUE"""),116811)</f>
        <v>116811</v>
      </c>
      <c r="C2671" s="14">
        <f ca="1">IFERROR(__xludf.DUMMYFUNCTION("""COMPUTED_VALUE"""),32)</f>
        <v>32</v>
      </c>
      <c r="D2671" s="12" t="str">
        <f ca="1">IFERROR(__xludf.DUMMYFUNCTION("""COMPUTED_VALUE"""),"辻村 将大")</f>
        <v>辻村 将大</v>
      </c>
    </row>
    <row r="2672" spans="2:4" ht="13">
      <c r="B2672" s="12">
        <f ca="1">IFERROR(__xludf.DUMMYFUNCTION("""COMPUTED_VALUE"""),116823)</f>
        <v>116823</v>
      </c>
      <c r="C2672" s="14">
        <f ca="1">IFERROR(__xludf.DUMMYFUNCTION("""COMPUTED_VALUE"""),0)</f>
        <v>0</v>
      </c>
      <c r="D2672" s="12" t="str">
        <f ca="1">IFERROR(__xludf.DUMMYFUNCTION("""COMPUTED_VALUE"""),"栗原 大武")</f>
        <v>栗原 大武</v>
      </c>
    </row>
    <row r="2673" spans="2:4" ht="13">
      <c r="B2673" s="12">
        <f ca="1">IFERROR(__xludf.DUMMYFUNCTION("""COMPUTED_VALUE"""),116825)</f>
        <v>116825</v>
      </c>
      <c r="C2673" s="14">
        <f ca="1">IFERROR(__xludf.DUMMYFUNCTION("""COMPUTED_VALUE"""),12)</f>
        <v>12</v>
      </c>
      <c r="D2673" s="12" t="str">
        <f ca="1">IFERROR(__xludf.DUMMYFUNCTION("""COMPUTED_VALUE"""),"栗原 大武")</f>
        <v>栗原 大武</v>
      </c>
    </row>
    <row r="2674" spans="2:4" ht="13">
      <c r="B2674" s="12">
        <f ca="1">IFERROR(__xludf.DUMMYFUNCTION("""COMPUTED_VALUE"""),116830)</f>
        <v>116830</v>
      </c>
      <c r="C2674" s="14">
        <f ca="1">IFERROR(__xludf.DUMMYFUNCTION("""COMPUTED_VALUE"""),0)</f>
        <v>0</v>
      </c>
      <c r="D2674" s="12" t="str">
        <f ca="1">IFERROR(__xludf.DUMMYFUNCTION("""COMPUTED_VALUE"""),"内丸 裕子")</f>
        <v>内丸 裕子</v>
      </c>
    </row>
    <row r="2675" spans="2:4" ht="13">
      <c r="B2675" s="12">
        <f ca="1">IFERROR(__xludf.DUMMYFUNCTION("""COMPUTED_VALUE"""),116831)</f>
        <v>116831</v>
      </c>
      <c r="C2675" s="14">
        <f ca="1">IFERROR(__xludf.DUMMYFUNCTION("""COMPUTED_VALUE"""),0)</f>
        <v>0</v>
      </c>
      <c r="D2675" s="12" t="str">
        <f ca="1">IFERROR(__xludf.DUMMYFUNCTION("""COMPUTED_VALUE"""),"松尾 尚樹")</f>
        <v>松尾 尚樹</v>
      </c>
    </row>
    <row r="2676" spans="2:4" ht="13">
      <c r="B2676" s="12">
        <f ca="1">IFERROR(__xludf.DUMMYFUNCTION("""COMPUTED_VALUE"""),116840)</f>
        <v>116840</v>
      </c>
      <c r="C2676" s="14">
        <f ca="1">IFERROR(__xludf.DUMMYFUNCTION("""COMPUTED_VALUE"""),0)</f>
        <v>0</v>
      </c>
      <c r="D2676" s="12" t="str">
        <f ca="1">IFERROR(__xludf.DUMMYFUNCTION("""COMPUTED_VALUE"""),"桐山 勝気")</f>
        <v>桐山 勝気</v>
      </c>
    </row>
    <row r="2677" spans="2:4" ht="13">
      <c r="B2677" s="12">
        <f ca="1">IFERROR(__xludf.DUMMYFUNCTION("""COMPUTED_VALUE"""),116843)</f>
        <v>116843</v>
      </c>
      <c r="C2677" s="14">
        <f ca="1">IFERROR(__xludf.DUMMYFUNCTION("""COMPUTED_VALUE"""),4)</f>
        <v>4</v>
      </c>
      <c r="D2677" s="12" t="str">
        <f ca="1">IFERROR(__xludf.DUMMYFUNCTION("""COMPUTED_VALUE"""),"辻村 将大")</f>
        <v>辻村 将大</v>
      </c>
    </row>
    <row r="2678" spans="2:4" ht="13">
      <c r="B2678" s="12">
        <f ca="1">IFERROR(__xludf.DUMMYFUNCTION("""COMPUTED_VALUE"""),116857)</f>
        <v>116857</v>
      </c>
      <c r="C2678" s="14">
        <f ca="1">IFERROR(__xludf.DUMMYFUNCTION("""COMPUTED_VALUE"""),0)</f>
        <v>0</v>
      </c>
      <c r="D2678" s="12" t="str">
        <f ca="1">IFERROR(__xludf.DUMMYFUNCTION("""COMPUTED_VALUE"""),"小川 純")</f>
        <v>小川 純</v>
      </c>
    </row>
    <row r="2679" spans="2:4" ht="13">
      <c r="B2679" s="12">
        <f ca="1">IFERROR(__xludf.DUMMYFUNCTION("""COMPUTED_VALUE"""),116860)</f>
        <v>116860</v>
      </c>
      <c r="C2679" s="14">
        <f ca="1">IFERROR(__xludf.DUMMYFUNCTION("""COMPUTED_VALUE"""),1)</f>
        <v>1</v>
      </c>
      <c r="D2679" s="12" t="str">
        <f ca="1">IFERROR(__xludf.DUMMYFUNCTION("""COMPUTED_VALUE"""),"松尾 尚樹")</f>
        <v>松尾 尚樹</v>
      </c>
    </row>
    <row r="2680" spans="2:4" ht="13">
      <c r="B2680" s="12">
        <f ca="1">IFERROR(__xludf.DUMMYFUNCTION("""COMPUTED_VALUE"""),116864)</f>
        <v>116864</v>
      </c>
      <c r="C2680" s="14">
        <f ca="1">IFERROR(__xludf.DUMMYFUNCTION("""COMPUTED_VALUE"""),0)</f>
        <v>0</v>
      </c>
      <c r="D2680" s="12" t="str">
        <f ca="1">IFERROR(__xludf.DUMMYFUNCTION("""COMPUTED_VALUE"""),"松尾 尚樹")</f>
        <v>松尾 尚樹</v>
      </c>
    </row>
    <row r="2681" spans="2:4" ht="13">
      <c r="B2681" s="12">
        <f ca="1">IFERROR(__xludf.DUMMYFUNCTION("""COMPUTED_VALUE"""),116865)</f>
        <v>116865</v>
      </c>
      <c r="C2681" s="14">
        <f ca="1">IFERROR(__xludf.DUMMYFUNCTION("""COMPUTED_VALUE"""),0)</f>
        <v>0</v>
      </c>
      <c r="D2681" s="12" t="str">
        <f ca="1">IFERROR(__xludf.DUMMYFUNCTION("""COMPUTED_VALUE"""),"菅野 ぎんが")</f>
        <v>菅野 ぎんが</v>
      </c>
    </row>
    <row r="2682" spans="2:4" ht="13">
      <c r="B2682" s="12">
        <f ca="1">IFERROR(__xludf.DUMMYFUNCTION("""COMPUTED_VALUE"""),116868)</f>
        <v>116868</v>
      </c>
      <c r="C2682" s="14">
        <f ca="1">IFERROR(__xludf.DUMMYFUNCTION("""COMPUTED_VALUE"""),169)</f>
        <v>169</v>
      </c>
      <c r="D2682" s="12" t="str">
        <f ca="1">IFERROR(__xludf.DUMMYFUNCTION("""COMPUTED_VALUE"""),"柿崎 晃司")</f>
        <v>柿崎 晃司</v>
      </c>
    </row>
    <row r="2683" spans="2:4" ht="13">
      <c r="B2683" s="12">
        <f ca="1">IFERROR(__xludf.DUMMYFUNCTION("""COMPUTED_VALUE"""),116871)</f>
        <v>116871</v>
      </c>
      <c r="C2683" s="14">
        <f ca="1">IFERROR(__xludf.DUMMYFUNCTION("""COMPUTED_VALUE"""),27)</f>
        <v>27</v>
      </c>
      <c r="D2683" s="12" t="str">
        <f ca="1">IFERROR(__xludf.DUMMYFUNCTION("""COMPUTED_VALUE"""),"村上 浩一朗")</f>
        <v>村上 浩一朗</v>
      </c>
    </row>
    <row r="2684" spans="2:4" ht="13">
      <c r="B2684" s="12">
        <f ca="1">IFERROR(__xludf.DUMMYFUNCTION("""COMPUTED_VALUE"""),116873)</f>
        <v>116873</v>
      </c>
      <c r="C2684" s="14">
        <f ca="1">IFERROR(__xludf.DUMMYFUNCTION("""COMPUTED_VALUE"""),20)</f>
        <v>20</v>
      </c>
      <c r="D2684" s="12" t="str">
        <f ca="1">IFERROR(__xludf.DUMMYFUNCTION("""COMPUTED_VALUE"""),"桐山 勝気")</f>
        <v>桐山 勝気</v>
      </c>
    </row>
    <row r="2685" spans="2:4" ht="13">
      <c r="B2685" s="12">
        <f ca="1">IFERROR(__xludf.DUMMYFUNCTION("""COMPUTED_VALUE"""),116879)</f>
        <v>116879</v>
      </c>
      <c r="C2685" s="14">
        <f ca="1">IFERROR(__xludf.DUMMYFUNCTION("""COMPUTED_VALUE"""),56)</f>
        <v>56</v>
      </c>
      <c r="D2685" s="12" t="str">
        <f ca="1">IFERROR(__xludf.DUMMYFUNCTION("""COMPUTED_VALUE"""),"小関 麻起")</f>
        <v>小関 麻起</v>
      </c>
    </row>
    <row r="2686" spans="2:4" ht="13">
      <c r="B2686" s="12">
        <f ca="1">IFERROR(__xludf.DUMMYFUNCTION("""COMPUTED_VALUE"""),116880)</f>
        <v>116880</v>
      </c>
      <c r="C2686" s="14">
        <f ca="1">IFERROR(__xludf.DUMMYFUNCTION("""COMPUTED_VALUE"""),0)</f>
        <v>0</v>
      </c>
      <c r="D2686" s="12" t="str">
        <f ca="1">IFERROR(__xludf.DUMMYFUNCTION("""COMPUTED_VALUE"""),"菅野 ぎんが")</f>
        <v>菅野 ぎんが</v>
      </c>
    </row>
    <row r="2687" spans="2:4" ht="13">
      <c r="B2687" s="12">
        <f ca="1">IFERROR(__xludf.DUMMYFUNCTION("""COMPUTED_VALUE"""),116892)</f>
        <v>116892</v>
      </c>
      <c r="C2687" s="14">
        <f ca="1">IFERROR(__xludf.DUMMYFUNCTION("""COMPUTED_VALUE"""),4)</f>
        <v>4</v>
      </c>
      <c r="D2687" s="12" t="str">
        <f ca="1">IFERROR(__xludf.DUMMYFUNCTION("""COMPUTED_VALUE"""),"菅野 ぎんが")</f>
        <v>菅野 ぎんが</v>
      </c>
    </row>
    <row r="2688" spans="2:4" ht="13">
      <c r="B2688" s="12">
        <f ca="1">IFERROR(__xludf.DUMMYFUNCTION("""COMPUTED_VALUE"""),116895)</f>
        <v>116895</v>
      </c>
      <c r="C2688" s="14">
        <f ca="1">IFERROR(__xludf.DUMMYFUNCTION("""COMPUTED_VALUE"""),2)</f>
        <v>2</v>
      </c>
      <c r="D2688" s="12" t="str">
        <f ca="1">IFERROR(__xludf.DUMMYFUNCTION("""COMPUTED_VALUE"""),"松尾 尚樹")</f>
        <v>松尾 尚樹</v>
      </c>
    </row>
    <row r="2689" spans="2:4" ht="13">
      <c r="B2689" s="12">
        <f ca="1">IFERROR(__xludf.DUMMYFUNCTION("""COMPUTED_VALUE"""),116896)</f>
        <v>116896</v>
      </c>
      <c r="C2689" s="14">
        <f ca="1">IFERROR(__xludf.DUMMYFUNCTION("""COMPUTED_VALUE"""),6)</f>
        <v>6</v>
      </c>
      <c r="D2689" s="12" t="str">
        <f ca="1">IFERROR(__xludf.DUMMYFUNCTION("""COMPUTED_VALUE"""),"大木 優香")</f>
        <v>大木 優香</v>
      </c>
    </row>
    <row r="2690" spans="2:4" ht="13">
      <c r="B2690" s="12">
        <f ca="1">IFERROR(__xludf.DUMMYFUNCTION("""COMPUTED_VALUE"""),116899)</f>
        <v>116899</v>
      </c>
      <c r="C2690" s="14">
        <f ca="1">IFERROR(__xludf.DUMMYFUNCTION("""COMPUTED_VALUE"""),36)</f>
        <v>36</v>
      </c>
      <c r="D2690" s="12" t="str">
        <f ca="1">IFERROR(__xludf.DUMMYFUNCTION("""COMPUTED_VALUE"""),"稲場 勇介")</f>
        <v>稲場 勇介</v>
      </c>
    </row>
    <row r="2691" spans="2:4" ht="13">
      <c r="B2691" s="12">
        <f ca="1">IFERROR(__xludf.DUMMYFUNCTION("""COMPUTED_VALUE"""),116910)</f>
        <v>116910</v>
      </c>
      <c r="C2691" s="14">
        <f ca="1">IFERROR(__xludf.DUMMYFUNCTION("""COMPUTED_VALUE"""),0)</f>
        <v>0</v>
      </c>
      <c r="D2691" s="12" t="str">
        <f ca="1">IFERROR(__xludf.DUMMYFUNCTION("""COMPUTED_VALUE"""),"桐山 勝気")</f>
        <v>桐山 勝気</v>
      </c>
    </row>
    <row r="2692" spans="2:4" ht="13">
      <c r="B2692" s="12">
        <f ca="1">IFERROR(__xludf.DUMMYFUNCTION("""COMPUTED_VALUE"""),116917)</f>
        <v>116917</v>
      </c>
      <c r="C2692" s="14">
        <f ca="1">IFERROR(__xludf.DUMMYFUNCTION("""COMPUTED_VALUE"""),12)</f>
        <v>12</v>
      </c>
      <c r="D2692" s="12" t="str">
        <f ca="1">IFERROR(__xludf.DUMMYFUNCTION("""COMPUTED_VALUE"""),"村上 浩一朗")</f>
        <v>村上 浩一朗</v>
      </c>
    </row>
    <row r="2693" spans="2:4" ht="13">
      <c r="B2693" s="12">
        <f ca="1">IFERROR(__xludf.DUMMYFUNCTION("""COMPUTED_VALUE"""),116918)</f>
        <v>116918</v>
      </c>
      <c r="C2693" s="14">
        <f ca="1">IFERROR(__xludf.DUMMYFUNCTION("""COMPUTED_VALUE"""),7)</f>
        <v>7</v>
      </c>
      <c r="D2693" s="12" t="str">
        <f ca="1">IFERROR(__xludf.DUMMYFUNCTION("""COMPUTED_VALUE"""),"村上 浩一朗")</f>
        <v>村上 浩一朗</v>
      </c>
    </row>
    <row r="2694" spans="2:4" ht="13">
      <c r="B2694" s="12">
        <f ca="1">IFERROR(__xludf.DUMMYFUNCTION("""COMPUTED_VALUE"""),116925)</f>
        <v>116925</v>
      </c>
      <c r="C2694" s="14">
        <f ca="1">IFERROR(__xludf.DUMMYFUNCTION("""COMPUTED_VALUE"""),0)</f>
        <v>0</v>
      </c>
      <c r="D2694" s="12" t="str">
        <f ca="1">IFERROR(__xludf.DUMMYFUNCTION("""COMPUTED_VALUE"""),"辻村 将大")</f>
        <v>辻村 将大</v>
      </c>
    </row>
    <row r="2695" spans="2:4" ht="13">
      <c r="B2695" s="12">
        <f ca="1">IFERROR(__xludf.DUMMYFUNCTION("""COMPUTED_VALUE"""),116931)</f>
        <v>116931</v>
      </c>
      <c r="C2695" s="14">
        <f ca="1">IFERROR(__xludf.DUMMYFUNCTION("""COMPUTED_VALUE"""),0)</f>
        <v>0</v>
      </c>
      <c r="D2695" s="12" t="str">
        <f ca="1">IFERROR(__xludf.DUMMYFUNCTION("""COMPUTED_VALUE"""),"森 光智")</f>
        <v>森 光智</v>
      </c>
    </row>
    <row r="2696" spans="2:4" ht="13">
      <c r="B2696" s="12">
        <f ca="1">IFERROR(__xludf.DUMMYFUNCTION("""COMPUTED_VALUE"""),116933)</f>
        <v>116933</v>
      </c>
      <c r="C2696" s="14">
        <f ca="1">IFERROR(__xludf.DUMMYFUNCTION("""COMPUTED_VALUE"""),0)</f>
        <v>0</v>
      </c>
      <c r="D2696" s="12" t="str">
        <f ca="1">IFERROR(__xludf.DUMMYFUNCTION("""COMPUTED_VALUE"""),"荻曽 克輝")</f>
        <v>荻曽 克輝</v>
      </c>
    </row>
    <row r="2697" spans="2:4" ht="13">
      <c r="B2697" s="12">
        <f ca="1">IFERROR(__xludf.DUMMYFUNCTION("""COMPUTED_VALUE"""),116934)</f>
        <v>116934</v>
      </c>
      <c r="C2697" s="14">
        <f ca="1">IFERROR(__xludf.DUMMYFUNCTION("""COMPUTED_VALUE"""),41)</f>
        <v>41</v>
      </c>
      <c r="D2697" s="12" t="str">
        <f ca="1">IFERROR(__xludf.DUMMYFUNCTION("""COMPUTED_VALUE"""),"老田 純輝")</f>
        <v>老田 純輝</v>
      </c>
    </row>
    <row r="2698" spans="2:4" ht="13">
      <c r="B2698" s="12">
        <f ca="1">IFERROR(__xludf.DUMMYFUNCTION("""COMPUTED_VALUE"""),116935)</f>
        <v>116935</v>
      </c>
      <c r="C2698" s="14">
        <f ca="1">IFERROR(__xludf.DUMMYFUNCTION("""COMPUTED_VALUE"""),0)</f>
        <v>0</v>
      </c>
      <c r="D2698" s="12" t="str">
        <f ca="1">IFERROR(__xludf.DUMMYFUNCTION("""COMPUTED_VALUE"""),"森 光智")</f>
        <v>森 光智</v>
      </c>
    </row>
    <row r="2699" spans="2:4" ht="13">
      <c r="B2699" s="12">
        <f ca="1">IFERROR(__xludf.DUMMYFUNCTION("""COMPUTED_VALUE"""),116936)</f>
        <v>116936</v>
      </c>
      <c r="C2699" s="14">
        <f ca="1">IFERROR(__xludf.DUMMYFUNCTION("""COMPUTED_VALUE"""),0)</f>
        <v>0</v>
      </c>
      <c r="D2699" s="12" t="str">
        <f ca="1">IFERROR(__xludf.DUMMYFUNCTION("""COMPUTED_VALUE"""),"森 光智")</f>
        <v>森 光智</v>
      </c>
    </row>
    <row r="2700" spans="2:4" ht="13">
      <c r="B2700" s="12">
        <f ca="1">IFERROR(__xludf.DUMMYFUNCTION("""COMPUTED_VALUE"""),116938)</f>
        <v>116938</v>
      </c>
      <c r="C2700" s="14">
        <f ca="1">IFERROR(__xludf.DUMMYFUNCTION("""COMPUTED_VALUE"""),0)</f>
        <v>0</v>
      </c>
      <c r="D2700" s="12" t="str">
        <f ca="1">IFERROR(__xludf.DUMMYFUNCTION("""COMPUTED_VALUE"""),"菅野 ぎんが")</f>
        <v>菅野 ぎんが</v>
      </c>
    </row>
    <row r="2701" spans="2:4" ht="13">
      <c r="B2701" s="12">
        <f ca="1">IFERROR(__xludf.DUMMYFUNCTION("""COMPUTED_VALUE"""),116939)</f>
        <v>116939</v>
      </c>
      <c r="C2701" s="14">
        <f ca="1">IFERROR(__xludf.DUMMYFUNCTION("""COMPUTED_VALUE"""),0)</f>
        <v>0</v>
      </c>
      <c r="D2701" s="12" t="str">
        <f ca="1">IFERROR(__xludf.DUMMYFUNCTION("""COMPUTED_VALUE"""),"稲場 勇介")</f>
        <v>稲場 勇介</v>
      </c>
    </row>
    <row r="2702" spans="2:4" ht="13">
      <c r="B2702" s="12">
        <f ca="1">IFERROR(__xludf.DUMMYFUNCTION("""COMPUTED_VALUE"""),116941)</f>
        <v>116941</v>
      </c>
      <c r="C2702" s="14">
        <f ca="1">IFERROR(__xludf.DUMMYFUNCTION("""COMPUTED_VALUE"""),1)</f>
        <v>1</v>
      </c>
      <c r="D2702" s="12" t="str">
        <f ca="1">IFERROR(__xludf.DUMMYFUNCTION("""COMPUTED_VALUE"""),"森 光智")</f>
        <v>森 光智</v>
      </c>
    </row>
    <row r="2703" spans="2:4" ht="13">
      <c r="B2703" s="12">
        <f ca="1">IFERROR(__xludf.DUMMYFUNCTION("""COMPUTED_VALUE"""),116942)</f>
        <v>116942</v>
      </c>
      <c r="C2703" s="14">
        <f ca="1">IFERROR(__xludf.DUMMYFUNCTION("""COMPUTED_VALUE"""),0)</f>
        <v>0</v>
      </c>
      <c r="D2703" s="12" t="str">
        <f ca="1">IFERROR(__xludf.DUMMYFUNCTION("""COMPUTED_VALUE"""),"森 光智")</f>
        <v>森 光智</v>
      </c>
    </row>
    <row r="2704" spans="2:4" ht="13">
      <c r="B2704" s="12">
        <f ca="1">IFERROR(__xludf.DUMMYFUNCTION("""COMPUTED_VALUE"""),116945)</f>
        <v>116945</v>
      </c>
      <c r="C2704" s="14">
        <f ca="1">IFERROR(__xludf.DUMMYFUNCTION("""COMPUTED_VALUE"""),0)</f>
        <v>0</v>
      </c>
      <c r="D2704" s="12" t="str">
        <f ca="1">IFERROR(__xludf.DUMMYFUNCTION("""COMPUTED_VALUE"""),"森 光智")</f>
        <v>森 光智</v>
      </c>
    </row>
    <row r="2705" spans="2:4" ht="13">
      <c r="B2705" s="12">
        <f ca="1">IFERROR(__xludf.DUMMYFUNCTION("""COMPUTED_VALUE"""),116948)</f>
        <v>116948</v>
      </c>
      <c r="C2705" s="14">
        <f ca="1">IFERROR(__xludf.DUMMYFUNCTION("""COMPUTED_VALUE"""),0)</f>
        <v>0</v>
      </c>
      <c r="D2705" s="12" t="str">
        <f ca="1">IFERROR(__xludf.DUMMYFUNCTION("""COMPUTED_VALUE"""),"菅野 ぎんが")</f>
        <v>菅野 ぎんが</v>
      </c>
    </row>
    <row r="2706" spans="2:4" ht="13">
      <c r="B2706" s="12">
        <f ca="1">IFERROR(__xludf.DUMMYFUNCTION("""COMPUTED_VALUE"""),116952)</f>
        <v>116952</v>
      </c>
      <c r="C2706" s="14">
        <f ca="1">IFERROR(__xludf.DUMMYFUNCTION("""COMPUTED_VALUE"""),11)</f>
        <v>11</v>
      </c>
      <c r="D2706" s="12" t="str">
        <f ca="1">IFERROR(__xludf.DUMMYFUNCTION("""COMPUTED_VALUE"""),"老田 純輝")</f>
        <v>老田 純輝</v>
      </c>
    </row>
    <row r="2707" spans="2:4" ht="13">
      <c r="B2707" s="12">
        <f ca="1">IFERROR(__xludf.DUMMYFUNCTION("""COMPUTED_VALUE"""),116956)</f>
        <v>116956</v>
      </c>
      <c r="C2707" s="14">
        <f ca="1">IFERROR(__xludf.DUMMYFUNCTION("""COMPUTED_VALUE"""),2)</f>
        <v>2</v>
      </c>
      <c r="D2707" s="12" t="str">
        <f ca="1">IFERROR(__xludf.DUMMYFUNCTION("""COMPUTED_VALUE"""),"稲場 勇介")</f>
        <v>稲場 勇介</v>
      </c>
    </row>
    <row r="2708" spans="2:4" ht="13">
      <c r="B2708" s="12">
        <f ca="1">IFERROR(__xludf.DUMMYFUNCTION("""COMPUTED_VALUE"""),116962)</f>
        <v>116962</v>
      </c>
      <c r="C2708" s="14">
        <f ca="1">IFERROR(__xludf.DUMMYFUNCTION("""COMPUTED_VALUE"""),0)</f>
        <v>0</v>
      </c>
      <c r="D2708" s="12" t="str">
        <f ca="1">IFERROR(__xludf.DUMMYFUNCTION("""COMPUTED_VALUE"""),"菅野 ぎんが")</f>
        <v>菅野 ぎんが</v>
      </c>
    </row>
    <row r="2709" spans="2:4" ht="13">
      <c r="B2709" s="12">
        <f ca="1">IFERROR(__xludf.DUMMYFUNCTION("""COMPUTED_VALUE"""),116965)</f>
        <v>116965</v>
      </c>
      <c r="C2709" s="14">
        <f ca="1">IFERROR(__xludf.DUMMYFUNCTION("""COMPUTED_VALUE"""),0)</f>
        <v>0</v>
      </c>
      <c r="D2709" s="12" t="str">
        <f ca="1">IFERROR(__xludf.DUMMYFUNCTION("""COMPUTED_VALUE"""),"成嶋 夏未")</f>
        <v>成嶋 夏未</v>
      </c>
    </row>
    <row r="2710" spans="2:4" ht="13">
      <c r="B2710" s="12">
        <f ca="1">IFERROR(__xludf.DUMMYFUNCTION("""COMPUTED_VALUE"""),116975)</f>
        <v>116975</v>
      </c>
      <c r="C2710" s="14">
        <f ca="1">IFERROR(__xludf.DUMMYFUNCTION("""COMPUTED_VALUE"""),115)</f>
        <v>115</v>
      </c>
      <c r="D2710" s="12" t="str">
        <f ca="1">IFERROR(__xludf.DUMMYFUNCTION("""COMPUTED_VALUE"""),"成嶋 夏未")</f>
        <v>成嶋 夏未</v>
      </c>
    </row>
    <row r="2711" spans="2:4" ht="13">
      <c r="B2711" s="12">
        <f ca="1">IFERROR(__xludf.DUMMYFUNCTION("""COMPUTED_VALUE"""),116976)</f>
        <v>116976</v>
      </c>
      <c r="C2711" s="14">
        <f ca="1">IFERROR(__xludf.DUMMYFUNCTION("""COMPUTED_VALUE"""),0)</f>
        <v>0</v>
      </c>
      <c r="D2711" s="12" t="str">
        <f ca="1">IFERROR(__xludf.DUMMYFUNCTION("""COMPUTED_VALUE"""),"成嶋 夏未")</f>
        <v>成嶋 夏未</v>
      </c>
    </row>
    <row r="2712" spans="2:4" ht="13">
      <c r="B2712" s="12">
        <f ca="1">IFERROR(__xludf.DUMMYFUNCTION("""COMPUTED_VALUE"""),116985)</f>
        <v>116985</v>
      </c>
      <c r="C2712" s="14">
        <f ca="1">IFERROR(__xludf.DUMMYFUNCTION("""COMPUTED_VALUE"""),0)</f>
        <v>0</v>
      </c>
      <c r="D2712" s="12" t="str">
        <f ca="1">IFERROR(__xludf.DUMMYFUNCTION("""COMPUTED_VALUE"""),"荻曽 克輝")</f>
        <v>荻曽 克輝</v>
      </c>
    </row>
    <row r="2713" spans="2:4" ht="13">
      <c r="B2713" s="12">
        <f ca="1">IFERROR(__xludf.DUMMYFUNCTION("""COMPUTED_VALUE"""),116986)</f>
        <v>116986</v>
      </c>
      <c r="C2713" s="14">
        <f ca="1">IFERROR(__xludf.DUMMYFUNCTION("""COMPUTED_VALUE"""),37)</f>
        <v>37</v>
      </c>
      <c r="D2713" s="12" t="str">
        <f ca="1">IFERROR(__xludf.DUMMYFUNCTION("""COMPUTED_VALUE"""),"小川 純")</f>
        <v>小川 純</v>
      </c>
    </row>
    <row r="2714" spans="2:4" ht="13">
      <c r="B2714" s="12">
        <f ca="1">IFERROR(__xludf.DUMMYFUNCTION("""COMPUTED_VALUE"""),116990)</f>
        <v>116990</v>
      </c>
      <c r="C2714" s="14">
        <f ca="1">IFERROR(__xludf.DUMMYFUNCTION("""COMPUTED_VALUE"""),9)</f>
        <v>9</v>
      </c>
      <c r="D2714" s="12" t="str">
        <f ca="1">IFERROR(__xludf.DUMMYFUNCTION("""COMPUTED_VALUE"""),"辻村 将大")</f>
        <v>辻村 将大</v>
      </c>
    </row>
    <row r="2715" spans="2:4" ht="13">
      <c r="B2715" s="12">
        <f ca="1">IFERROR(__xludf.DUMMYFUNCTION("""COMPUTED_VALUE"""),116993)</f>
        <v>116993</v>
      </c>
      <c r="C2715" s="14">
        <f ca="1">IFERROR(__xludf.DUMMYFUNCTION("""COMPUTED_VALUE"""),0)</f>
        <v>0</v>
      </c>
      <c r="D2715" s="12" t="str">
        <f ca="1">IFERROR(__xludf.DUMMYFUNCTION("""COMPUTED_VALUE"""),"森 光智")</f>
        <v>森 光智</v>
      </c>
    </row>
    <row r="2716" spans="2:4" ht="13">
      <c r="B2716" s="12">
        <f ca="1">IFERROR(__xludf.DUMMYFUNCTION("""COMPUTED_VALUE"""),116994)</f>
        <v>116994</v>
      </c>
      <c r="C2716" s="14">
        <f ca="1">IFERROR(__xludf.DUMMYFUNCTION("""COMPUTED_VALUE"""),0)</f>
        <v>0</v>
      </c>
      <c r="D2716" s="12" t="str">
        <f ca="1">IFERROR(__xludf.DUMMYFUNCTION("""COMPUTED_VALUE"""),"老田 純輝")</f>
        <v>老田 純輝</v>
      </c>
    </row>
    <row r="2717" spans="2:4" ht="13">
      <c r="B2717" s="12">
        <f ca="1">IFERROR(__xludf.DUMMYFUNCTION("""COMPUTED_VALUE"""),116995)</f>
        <v>116995</v>
      </c>
      <c r="C2717" s="14">
        <f ca="1">IFERROR(__xludf.DUMMYFUNCTION("""COMPUTED_VALUE"""),0)</f>
        <v>0</v>
      </c>
      <c r="D2717" s="12" t="str">
        <f ca="1">IFERROR(__xludf.DUMMYFUNCTION("""COMPUTED_VALUE"""),"菅野 ぎんが")</f>
        <v>菅野 ぎんが</v>
      </c>
    </row>
    <row r="2718" spans="2:4" ht="13">
      <c r="B2718" s="12">
        <f ca="1">IFERROR(__xludf.DUMMYFUNCTION("""COMPUTED_VALUE"""),117000)</f>
        <v>117000</v>
      </c>
      <c r="C2718" s="14">
        <f ca="1">IFERROR(__xludf.DUMMYFUNCTION("""COMPUTED_VALUE"""),0)</f>
        <v>0</v>
      </c>
      <c r="D2718" s="12" t="str">
        <f ca="1">IFERROR(__xludf.DUMMYFUNCTION("""COMPUTED_VALUE"""),"長谷川 陸朗")</f>
        <v>長谷川 陸朗</v>
      </c>
    </row>
    <row r="2719" spans="2:4" ht="13">
      <c r="B2719" s="12">
        <f ca="1">IFERROR(__xludf.DUMMYFUNCTION("""COMPUTED_VALUE"""),117001)</f>
        <v>117001</v>
      </c>
      <c r="C2719" s="14">
        <f ca="1">IFERROR(__xludf.DUMMYFUNCTION("""COMPUTED_VALUE"""),0)</f>
        <v>0</v>
      </c>
      <c r="D2719" s="12" t="str">
        <f ca="1">IFERROR(__xludf.DUMMYFUNCTION("""COMPUTED_VALUE"""),"長谷川 陸朗")</f>
        <v>長谷川 陸朗</v>
      </c>
    </row>
    <row r="2720" spans="2:4" ht="13">
      <c r="B2720" s="12">
        <f ca="1">IFERROR(__xludf.DUMMYFUNCTION("""COMPUTED_VALUE"""),117002)</f>
        <v>117002</v>
      </c>
      <c r="C2720" s="14">
        <f ca="1">IFERROR(__xludf.DUMMYFUNCTION("""COMPUTED_VALUE"""),0)</f>
        <v>0</v>
      </c>
      <c r="D2720" s="12" t="str">
        <f ca="1">IFERROR(__xludf.DUMMYFUNCTION("""COMPUTED_VALUE"""),"松尾 尚樹")</f>
        <v>松尾 尚樹</v>
      </c>
    </row>
    <row r="2721" spans="2:4" ht="13">
      <c r="B2721" s="12">
        <f ca="1">IFERROR(__xludf.DUMMYFUNCTION("""COMPUTED_VALUE"""),117005)</f>
        <v>117005</v>
      </c>
      <c r="C2721" s="14">
        <f ca="1">IFERROR(__xludf.DUMMYFUNCTION("""COMPUTED_VALUE"""),0)</f>
        <v>0</v>
      </c>
      <c r="D2721" s="12" t="str">
        <f ca="1">IFERROR(__xludf.DUMMYFUNCTION("""COMPUTED_VALUE"""),"老田 純輝")</f>
        <v>老田 純輝</v>
      </c>
    </row>
    <row r="2722" spans="2:4" ht="13">
      <c r="B2722" s="12">
        <f ca="1">IFERROR(__xludf.DUMMYFUNCTION("""COMPUTED_VALUE"""),117012)</f>
        <v>117012</v>
      </c>
      <c r="C2722" s="14">
        <f ca="1">IFERROR(__xludf.DUMMYFUNCTION("""COMPUTED_VALUE"""),0)</f>
        <v>0</v>
      </c>
      <c r="D2722" s="12" t="str">
        <f ca="1">IFERROR(__xludf.DUMMYFUNCTION("""COMPUTED_VALUE"""),"荻曽 克輝")</f>
        <v>荻曽 克輝</v>
      </c>
    </row>
    <row r="2723" spans="2:4" ht="13">
      <c r="B2723" s="12">
        <f ca="1">IFERROR(__xludf.DUMMYFUNCTION("""COMPUTED_VALUE"""),117013)</f>
        <v>117013</v>
      </c>
      <c r="C2723" s="14">
        <f ca="1">IFERROR(__xludf.DUMMYFUNCTION("""COMPUTED_VALUE"""),19)</f>
        <v>19</v>
      </c>
      <c r="D2723" s="12" t="str">
        <f ca="1">IFERROR(__xludf.DUMMYFUNCTION("""COMPUTED_VALUE"""),"桑原 明子")</f>
        <v>桑原 明子</v>
      </c>
    </row>
    <row r="2724" spans="2:4" ht="13">
      <c r="B2724" s="12">
        <f ca="1">IFERROR(__xludf.DUMMYFUNCTION("""COMPUTED_VALUE"""),117018)</f>
        <v>117018</v>
      </c>
      <c r="C2724" s="14">
        <f ca="1">IFERROR(__xludf.DUMMYFUNCTION("""COMPUTED_VALUE"""),0)</f>
        <v>0</v>
      </c>
      <c r="D2724" s="12" t="str">
        <f ca="1">IFERROR(__xludf.DUMMYFUNCTION("""COMPUTED_VALUE"""),"稲場 勇介")</f>
        <v>稲場 勇介</v>
      </c>
    </row>
    <row r="2725" spans="2:4" ht="13">
      <c r="B2725" s="12">
        <f ca="1">IFERROR(__xludf.DUMMYFUNCTION("""COMPUTED_VALUE"""),117031)</f>
        <v>117031</v>
      </c>
      <c r="C2725" s="14">
        <f ca="1">IFERROR(__xludf.DUMMYFUNCTION("""COMPUTED_VALUE"""),0)</f>
        <v>0</v>
      </c>
      <c r="D2725" s="12" t="str">
        <f ca="1">IFERROR(__xludf.DUMMYFUNCTION("""COMPUTED_VALUE"""),"桐山 勝気")</f>
        <v>桐山 勝気</v>
      </c>
    </row>
    <row r="2726" spans="2:4" ht="13">
      <c r="B2726" s="12">
        <f ca="1">IFERROR(__xludf.DUMMYFUNCTION("""COMPUTED_VALUE"""),117032)</f>
        <v>117032</v>
      </c>
      <c r="C2726" s="14">
        <f ca="1">IFERROR(__xludf.DUMMYFUNCTION("""COMPUTED_VALUE"""),0)</f>
        <v>0</v>
      </c>
      <c r="D2726" s="12" t="str">
        <f ca="1">IFERROR(__xludf.DUMMYFUNCTION("""COMPUTED_VALUE"""),"稲場 勇介")</f>
        <v>稲場 勇介</v>
      </c>
    </row>
    <row r="2727" spans="2:4" ht="13">
      <c r="B2727" s="12">
        <f ca="1">IFERROR(__xludf.DUMMYFUNCTION("""COMPUTED_VALUE"""),117034)</f>
        <v>117034</v>
      </c>
      <c r="C2727" s="14">
        <f ca="1">IFERROR(__xludf.DUMMYFUNCTION("""COMPUTED_VALUE"""),1)</f>
        <v>1</v>
      </c>
      <c r="D2727" s="12" t="str">
        <f ca="1">IFERROR(__xludf.DUMMYFUNCTION("""COMPUTED_VALUE"""),"荻曽 克輝")</f>
        <v>荻曽 克輝</v>
      </c>
    </row>
    <row r="2728" spans="2:4" ht="13">
      <c r="B2728" s="12">
        <f ca="1">IFERROR(__xludf.DUMMYFUNCTION("""COMPUTED_VALUE"""),117035)</f>
        <v>117035</v>
      </c>
      <c r="C2728" s="14">
        <f ca="1">IFERROR(__xludf.DUMMYFUNCTION("""COMPUTED_VALUE"""),2)</f>
        <v>2</v>
      </c>
      <c r="D2728" s="12" t="str">
        <f ca="1">IFERROR(__xludf.DUMMYFUNCTION("""COMPUTED_VALUE"""),"荻曽 克輝")</f>
        <v>荻曽 克輝</v>
      </c>
    </row>
    <row r="2729" spans="2:4" ht="13">
      <c r="B2729" s="12">
        <f ca="1">IFERROR(__xludf.DUMMYFUNCTION("""COMPUTED_VALUE"""),117040)</f>
        <v>117040</v>
      </c>
      <c r="C2729" s="14">
        <f ca="1">IFERROR(__xludf.DUMMYFUNCTION("""COMPUTED_VALUE"""),19)</f>
        <v>19</v>
      </c>
      <c r="D2729" s="12" t="str">
        <f ca="1">IFERROR(__xludf.DUMMYFUNCTION("""COMPUTED_VALUE"""),"菅野 ぎんが")</f>
        <v>菅野 ぎんが</v>
      </c>
    </row>
    <row r="2730" spans="2:4" ht="13">
      <c r="B2730" s="12">
        <f ca="1">IFERROR(__xludf.DUMMYFUNCTION("""COMPUTED_VALUE"""),117042)</f>
        <v>117042</v>
      </c>
      <c r="C2730" s="14">
        <f ca="1">IFERROR(__xludf.DUMMYFUNCTION("""COMPUTED_VALUE"""),9)</f>
        <v>9</v>
      </c>
      <c r="D2730" s="12" t="str">
        <f ca="1">IFERROR(__xludf.DUMMYFUNCTION("""COMPUTED_VALUE"""),"村上 浩一朗")</f>
        <v>村上 浩一朗</v>
      </c>
    </row>
    <row r="2731" spans="2:4" ht="13">
      <c r="B2731" s="12">
        <f ca="1">IFERROR(__xludf.DUMMYFUNCTION("""COMPUTED_VALUE"""),117055)</f>
        <v>117055</v>
      </c>
      <c r="C2731" s="14">
        <f ca="1">IFERROR(__xludf.DUMMYFUNCTION("""COMPUTED_VALUE"""),3)</f>
        <v>3</v>
      </c>
      <c r="D2731" s="12" t="str">
        <f ca="1">IFERROR(__xludf.DUMMYFUNCTION("""COMPUTED_VALUE"""),"小川 純")</f>
        <v>小川 純</v>
      </c>
    </row>
    <row r="2732" spans="2:4" ht="13">
      <c r="B2732" s="12">
        <f ca="1">IFERROR(__xludf.DUMMYFUNCTION("""COMPUTED_VALUE"""),117061)</f>
        <v>117061</v>
      </c>
      <c r="C2732" s="14">
        <f ca="1">IFERROR(__xludf.DUMMYFUNCTION("""COMPUTED_VALUE"""),0)</f>
        <v>0</v>
      </c>
      <c r="D2732" s="12" t="str">
        <f ca="1">IFERROR(__xludf.DUMMYFUNCTION("""COMPUTED_VALUE"""),"小関 麻起")</f>
        <v>小関 麻起</v>
      </c>
    </row>
    <row r="2733" spans="2:4" ht="13">
      <c r="B2733" s="12">
        <f ca="1">IFERROR(__xludf.DUMMYFUNCTION("""COMPUTED_VALUE"""),117074)</f>
        <v>117074</v>
      </c>
      <c r="C2733" s="14">
        <f ca="1">IFERROR(__xludf.DUMMYFUNCTION("""COMPUTED_VALUE"""),0)</f>
        <v>0</v>
      </c>
      <c r="D2733" s="12" t="str">
        <f ca="1">IFERROR(__xludf.DUMMYFUNCTION("""COMPUTED_VALUE"""),"桐山 勝気")</f>
        <v>桐山 勝気</v>
      </c>
    </row>
    <row r="2734" spans="2:4" ht="13">
      <c r="B2734" s="12">
        <f ca="1">IFERROR(__xludf.DUMMYFUNCTION("""COMPUTED_VALUE"""),117078)</f>
        <v>117078</v>
      </c>
      <c r="C2734" s="14">
        <f ca="1">IFERROR(__xludf.DUMMYFUNCTION("""COMPUTED_VALUE"""),20)</f>
        <v>20</v>
      </c>
      <c r="D2734" s="12" t="str">
        <f ca="1">IFERROR(__xludf.DUMMYFUNCTION("""COMPUTED_VALUE"""),"稲場 勇介")</f>
        <v>稲場 勇介</v>
      </c>
    </row>
    <row r="2735" spans="2:4" ht="13">
      <c r="B2735" s="12">
        <f ca="1">IFERROR(__xludf.DUMMYFUNCTION("""COMPUTED_VALUE"""),117101)</f>
        <v>117101</v>
      </c>
      <c r="C2735" s="14">
        <f ca="1">IFERROR(__xludf.DUMMYFUNCTION("""COMPUTED_VALUE"""),299)</f>
        <v>299</v>
      </c>
      <c r="D2735" s="12" t="str">
        <f ca="1">IFERROR(__xludf.DUMMYFUNCTION("""COMPUTED_VALUE"""),"栗原 大武")</f>
        <v>栗原 大武</v>
      </c>
    </row>
    <row r="2736" spans="2:4" ht="13">
      <c r="B2736" s="12">
        <f ca="1">IFERROR(__xludf.DUMMYFUNCTION("""COMPUTED_VALUE"""),117102)</f>
        <v>117102</v>
      </c>
      <c r="C2736" s="14">
        <f ca="1">IFERROR(__xludf.DUMMYFUNCTION("""COMPUTED_VALUE"""),379)</f>
        <v>379</v>
      </c>
      <c r="D2736" s="12" t="str">
        <f ca="1">IFERROR(__xludf.DUMMYFUNCTION("""COMPUTED_VALUE"""),"栗原 大武")</f>
        <v>栗原 大武</v>
      </c>
    </row>
    <row r="2737" spans="2:4" ht="13">
      <c r="B2737" s="12">
        <f ca="1">IFERROR(__xludf.DUMMYFUNCTION("""COMPUTED_VALUE"""),117103)</f>
        <v>117103</v>
      </c>
      <c r="C2737" s="14">
        <f ca="1">IFERROR(__xludf.DUMMYFUNCTION("""COMPUTED_VALUE"""),0)</f>
        <v>0</v>
      </c>
      <c r="D2737" s="12" t="str">
        <f ca="1">IFERROR(__xludf.DUMMYFUNCTION("""COMPUTED_VALUE"""),"栗原 大武")</f>
        <v>栗原 大武</v>
      </c>
    </row>
    <row r="2738" spans="2:4" ht="13">
      <c r="B2738" s="12">
        <f ca="1">IFERROR(__xludf.DUMMYFUNCTION("""COMPUTED_VALUE"""),117104)</f>
        <v>117104</v>
      </c>
      <c r="C2738" s="14">
        <f ca="1">IFERROR(__xludf.DUMMYFUNCTION("""COMPUTED_VALUE"""),0)</f>
        <v>0</v>
      </c>
      <c r="D2738" s="12" t="str">
        <f ca="1">IFERROR(__xludf.DUMMYFUNCTION("""COMPUTED_VALUE"""),"栗原 大武")</f>
        <v>栗原 大武</v>
      </c>
    </row>
    <row r="2739" spans="2:4" ht="13">
      <c r="B2739" s="12">
        <f ca="1">IFERROR(__xludf.DUMMYFUNCTION("""COMPUTED_VALUE"""),117105)</f>
        <v>117105</v>
      </c>
      <c r="C2739" s="14">
        <f ca="1">IFERROR(__xludf.DUMMYFUNCTION("""COMPUTED_VALUE"""),364)</f>
        <v>364</v>
      </c>
      <c r="D2739" s="12" t="str">
        <f ca="1">IFERROR(__xludf.DUMMYFUNCTION("""COMPUTED_VALUE"""),"栗原 大武")</f>
        <v>栗原 大武</v>
      </c>
    </row>
    <row r="2740" spans="2:4" ht="13">
      <c r="B2740" s="12">
        <f ca="1">IFERROR(__xludf.DUMMYFUNCTION("""COMPUTED_VALUE"""),117106)</f>
        <v>117106</v>
      </c>
      <c r="C2740" s="14">
        <f ca="1">IFERROR(__xludf.DUMMYFUNCTION("""COMPUTED_VALUE"""),361)</f>
        <v>361</v>
      </c>
      <c r="D2740" s="12" t="str">
        <f ca="1">IFERROR(__xludf.DUMMYFUNCTION("""COMPUTED_VALUE"""),"栗原 大武")</f>
        <v>栗原 大武</v>
      </c>
    </row>
    <row r="2741" spans="2:4" ht="13">
      <c r="B2741" s="12">
        <f ca="1">IFERROR(__xludf.DUMMYFUNCTION("""COMPUTED_VALUE"""),117107)</f>
        <v>117107</v>
      </c>
      <c r="C2741" s="14">
        <f ca="1">IFERROR(__xludf.DUMMYFUNCTION("""COMPUTED_VALUE"""),397)</f>
        <v>397</v>
      </c>
      <c r="D2741" s="12" t="str">
        <f ca="1">IFERROR(__xludf.DUMMYFUNCTION("""COMPUTED_VALUE"""),"栗原 大武")</f>
        <v>栗原 大武</v>
      </c>
    </row>
    <row r="2742" spans="2:4" ht="13">
      <c r="B2742" s="12">
        <f ca="1">IFERROR(__xludf.DUMMYFUNCTION("""COMPUTED_VALUE"""),117108)</f>
        <v>117108</v>
      </c>
      <c r="C2742" s="14">
        <f ca="1">IFERROR(__xludf.DUMMYFUNCTION("""COMPUTED_VALUE"""),360)</f>
        <v>360</v>
      </c>
      <c r="D2742" s="12" t="str">
        <f ca="1">IFERROR(__xludf.DUMMYFUNCTION("""COMPUTED_VALUE"""),"栗原 大武")</f>
        <v>栗原 大武</v>
      </c>
    </row>
    <row r="2743" spans="2:4" ht="13">
      <c r="B2743" s="12">
        <f ca="1">IFERROR(__xludf.DUMMYFUNCTION("""COMPUTED_VALUE"""),117109)</f>
        <v>117109</v>
      </c>
      <c r="C2743" s="14">
        <f ca="1">IFERROR(__xludf.DUMMYFUNCTION("""COMPUTED_VALUE"""),377)</f>
        <v>377</v>
      </c>
      <c r="D2743" s="12" t="str">
        <f ca="1">IFERROR(__xludf.DUMMYFUNCTION("""COMPUTED_VALUE"""),"栗原 大武")</f>
        <v>栗原 大武</v>
      </c>
    </row>
    <row r="2744" spans="2:4" ht="13">
      <c r="B2744" s="12">
        <f ca="1">IFERROR(__xludf.DUMMYFUNCTION("""COMPUTED_VALUE"""),117110)</f>
        <v>117110</v>
      </c>
      <c r="C2744" s="14">
        <f ca="1">IFERROR(__xludf.DUMMYFUNCTION("""COMPUTED_VALUE"""),353)</f>
        <v>353</v>
      </c>
      <c r="D2744" s="12" t="str">
        <f ca="1">IFERROR(__xludf.DUMMYFUNCTION("""COMPUTED_VALUE"""),"栗原 大武")</f>
        <v>栗原 大武</v>
      </c>
    </row>
    <row r="2745" spans="2:4" ht="13">
      <c r="B2745" s="12">
        <f ca="1">IFERROR(__xludf.DUMMYFUNCTION("""COMPUTED_VALUE"""),117111)</f>
        <v>117111</v>
      </c>
      <c r="C2745" s="14">
        <f ca="1">IFERROR(__xludf.DUMMYFUNCTION("""COMPUTED_VALUE"""),364)</f>
        <v>364</v>
      </c>
      <c r="D2745" s="12" t="str">
        <f ca="1">IFERROR(__xludf.DUMMYFUNCTION("""COMPUTED_VALUE"""),"栗原 大武")</f>
        <v>栗原 大武</v>
      </c>
    </row>
    <row r="2746" spans="2:4" ht="13">
      <c r="B2746" s="12">
        <f ca="1">IFERROR(__xludf.DUMMYFUNCTION("""COMPUTED_VALUE"""),117112)</f>
        <v>117112</v>
      </c>
      <c r="C2746" s="14">
        <f ca="1">IFERROR(__xludf.DUMMYFUNCTION("""COMPUTED_VALUE"""),0)</f>
        <v>0</v>
      </c>
      <c r="D2746" s="12" t="str">
        <f ca="1">IFERROR(__xludf.DUMMYFUNCTION("""COMPUTED_VALUE"""),"栗原 大武")</f>
        <v>栗原 大武</v>
      </c>
    </row>
    <row r="2747" spans="2:4" ht="13">
      <c r="B2747" s="12">
        <f ca="1">IFERROR(__xludf.DUMMYFUNCTION("""COMPUTED_VALUE"""),117113)</f>
        <v>117113</v>
      </c>
      <c r="C2747" s="14">
        <f ca="1">IFERROR(__xludf.DUMMYFUNCTION("""COMPUTED_VALUE"""),386)</f>
        <v>386</v>
      </c>
      <c r="D2747" s="12" t="str">
        <f ca="1">IFERROR(__xludf.DUMMYFUNCTION("""COMPUTED_VALUE"""),"栗原 大武")</f>
        <v>栗原 大武</v>
      </c>
    </row>
    <row r="2748" spans="2:4" ht="13">
      <c r="B2748" s="12">
        <f ca="1">IFERROR(__xludf.DUMMYFUNCTION("""COMPUTED_VALUE"""),117114)</f>
        <v>117114</v>
      </c>
      <c r="C2748" s="14">
        <f ca="1">IFERROR(__xludf.DUMMYFUNCTION("""COMPUTED_VALUE"""),390)</f>
        <v>390</v>
      </c>
      <c r="D2748" s="12" t="str">
        <f ca="1">IFERROR(__xludf.DUMMYFUNCTION("""COMPUTED_VALUE"""),"栗原 大武")</f>
        <v>栗原 大武</v>
      </c>
    </row>
    <row r="2749" spans="2:4" ht="13">
      <c r="B2749" s="12">
        <f ca="1">IFERROR(__xludf.DUMMYFUNCTION("""COMPUTED_VALUE"""),117118)</f>
        <v>117118</v>
      </c>
      <c r="C2749" s="14">
        <f ca="1">IFERROR(__xludf.DUMMYFUNCTION("""COMPUTED_VALUE"""),58)</f>
        <v>58</v>
      </c>
      <c r="D2749" s="12" t="str">
        <f ca="1">IFERROR(__xludf.DUMMYFUNCTION("""COMPUTED_VALUE"""),"菅野 ぎんが")</f>
        <v>菅野 ぎんが</v>
      </c>
    </row>
    <row r="2750" spans="2:4" ht="13">
      <c r="B2750" s="12">
        <f ca="1">IFERROR(__xludf.DUMMYFUNCTION("""COMPUTED_VALUE"""),117120)</f>
        <v>117120</v>
      </c>
      <c r="C2750" s="14">
        <f ca="1">IFERROR(__xludf.DUMMYFUNCTION("""COMPUTED_VALUE"""),0)</f>
        <v>0</v>
      </c>
      <c r="D2750" s="12" t="str">
        <f ca="1">IFERROR(__xludf.DUMMYFUNCTION("""COMPUTED_VALUE"""),"成嶋 夏未")</f>
        <v>成嶋 夏未</v>
      </c>
    </row>
    <row r="2751" spans="2:4" ht="13">
      <c r="B2751" s="12">
        <f ca="1">IFERROR(__xludf.DUMMYFUNCTION("""COMPUTED_VALUE"""),117122)</f>
        <v>117122</v>
      </c>
      <c r="C2751" s="14">
        <f ca="1">IFERROR(__xludf.DUMMYFUNCTION("""COMPUTED_VALUE"""),16)</f>
        <v>16</v>
      </c>
      <c r="D2751" s="12" t="str">
        <f ca="1">IFERROR(__xludf.DUMMYFUNCTION("""COMPUTED_VALUE"""),"桐山 勝気")</f>
        <v>桐山 勝気</v>
      </c>
    </row>
    <row r="2752" spans="2:4" ht="13">
      <c r="B2752" s="12">
        <f ca="1">IFERROR(__xludf.DUMMYFUNCTION("""COMPUTED_VALUE"""),117130)</f>
        <v>117130</v>
      </c>
      <c r="C2752" s="14">
        <f ca="1">IFERROR(__xludf.DUMMYFUNCTION("""COMPUTED_VALUE"""),2)</f>
        <v>2</v>
      </c>
      <c r="D2752" s="12" t="str">
        <f ca="1">IFERROR(__xludf.DUMMYFUNCTION("""COMPUTED_VALUE"""),"老田 純輝")</f>
        <v>老田 純輝</v>
      </c>
    </row>
    <row r="2753" spans="2:4" ht="13">
      <c r="B2753" s="12">
        <f ca="1">IFERROR(__xludf.DUMMYFUNCTION("""COMPUTED_VALUE"""),117131)</f>
        <v>117131</v>
      </c>
      <c r="C2753" s="14">
        <f ca="1">IFERROR(__xludf.DUMMYFUNCTION("""COMPUTED_VALUE"""),1)</f>
        <v>1</v>
      </c>
      <c r="D2753" s="12" t="str">
        <f ca="1">IFERROR(__xludf.DUMMYFUNCTION("""COMPUTED_VALUE"""),"松尾 尚樹")</f>
        <v>松尾 尚樹</v>
      </c>
    </row>
    <row r="2754" spans="2:4" ht="13">
      <c r="B2754" s="12">
        <f ca="1">IFERROR(__xludf.DUMMYFUNCTION("""COMPUTED_VALUE"""),117134)</f>
        <v>117134</v>
      </c>
      <c r="C2754" s="14">
        <f ca="1">IFERROR(__xludf.DUMMYFUNCTION("""COMPUTED_VALUE"""),0)</f>
        <v>0</v>
      </c>
      <c r="D2754" s="12" t="str">
        <f ca="1">IFERROR(__xludf.DUMMYFUNCTION("""COMPUTED_VALUE"""),"松尾 尚樹")</f>
        <v>松尾 尚樹</v>
      </c>
    </row>
    <row r="2755" spans="2:4" ht="13">
      <c r="B2755" s="12">
        <f ca="1">IFERROR(__xludf.DUMMYFUNCTION("""COMPUTED_VALUE"""),117137)</f>
        <v>117137</v>
      </c>
      <c r="C2755" s="14">
        <f ca="1">IFERROR(__xludf.DUMMYFUNCTION("""COMPUTED_VALUE"""),0)</f>
        <v>0</v>
      </c>
      <c r="D2755" s="12" t="str">
        <f ca="1">IFERROR(__xludf.DUMMYFUNCTION("""COMPUTED_VALUE"""),"辻村 将大")</f>
        <v>辻村 将大</v>
      </c>
    </row>
    <row r="2756" spans="2:4" ht="13">
      <c r="B2756" s="12">
        <f ca="1">IFERROR(__xludf.DUMMYFUNCTION("""COMPUTED_VALUE"""),117140)</f>
        <v>117140</v>
      </c>
      <c r="C2756" s="14">
        <f ca="1">IFERROR(__xludf.DUMMYFUNCTION("""COMPUTED_VALUE"""),0)</f>
        <v>0</v>
      </c>
      <c r="D2756" s="12" t="str">
        <f ca="1">IFERROR(__xludf.DUMMYFUNCTION("""COMPUTED_VALUE"""),"稲場 勇介")</f>
        <v>稲場 勇介</v>
      </c>
    </row>
    <row r="2757" spans="2:4" ht="13">
      <c r="B2757" s="12">
        <f ca="1">IFERROR(__xludf.DUMMYFUNCTION("""COMPUTED_VALUE"""),117142)</f>
        <v>117142</v>
      </c>
      <c r="C2757" s="14">
        <f ca="1">IFERROR(__xludf.DUMMYFUNCTION("""COMPUTED_VALUE"""),0)</f>
        <v>0</v>
      </c>
      <c r="D2757" s="12" t="str">
        <f ca="1">IFERROR(__xludf.DUMMYFUNCTION("""COMPUTED_VALUE"""),"松尾 尚樹")</f>
        <v>松尾 尚樹</v>
      </c>
    </row>
    <row r="2758" spans="2:4" ht="13">
      <c r="B2758" s="12">
        <f ca="1">IFERROR(__xludf.DUMMYFUNCTION("""COMPUTED_VALUE"""),117154)</f>
        <v>117154</v>
      </c>
      <c r="C2758" s="14">
        <f ca="1">IFERROR(__xludf.DUMMYFUNCTION("""COMPUTED_VALUE"""),0)</f>
        <v>0</v>
      </c>
      <c r="D2758" s="12" t="str">
        <f ca="1">IFERROR(__xludf.DUMMYFUNCTION("""COMPUTED_VALUE"""),"成嶋 夏未")</f>
        <v>成嶋 夏未</v>
      </c>
    </row>
    <row r="2759" spans="2:4" ht="13">
      <c r="B2759" s="12">
        <f ca="1">IFERROR(__xludf.DUMMYFUNCTION("""COMPUTED_VALUE"""),117159)</f>
        <v>117159</v>
      </c>
      <c r="C2759" s="14">
        <f ca="1">IFERROR(__xludf.DUMMYFUNCTION("""COMPUTED_VALUE"""),0)</f>
        <v>0</v>
      </c>
      <c r="D2759" s="12" t="str">
        <f ca="1">IFERROR(__xludf.DUMMYFUNCTION("""COMPUTED_VALUE"""),"村上 浩一朗")</f>
        <v>村上 浩一朗</v>
      </c>
    </row>
    <row r="2760" spans="2:4" ht="13">
      <c r="B2760" s="12">
        <f ca="1">IFERROR(__xludf.DUMMYFUNCTION("""COMPUTED_VALUE"""),117163)</f>
        <v>117163</v>
      </c>
      <c r="C2760" s="14">
        <f ca="1">IFERROR(__xludf.DUMMYFUNCTION("""COMPUTED_VALUE"""),0)</f>
        <v>0</v>
      </c>
      <c r="D2760" s="12" t="str">
        <f ca="1">IFERROR(__xludf.DUMMYFUNCTION("""COMPUTED_VALUE"""),"長谷川 陸朗")</f>
        <v>長谷川 陸朗</v>
      </c>
    </row>
    <row r="2761" spans="2:4" ht="13">
      <c r="B2761" s="12">
        <f ca="1">IFERROR(__xludf.DUMMYFUNCTION("""COMPUTED_VALUE"""),117165)</f>
        <v>117165</v>
      </c>
      <c r="C2761" s="14">
        <f ca="1">IFERROR(__xludf.DUMMYFUNCTION("""COMPUTED_VALUE"""),0)</f>
        <v>0</v>
      </c>
      <c r="D2761" s="12" t="str">
        <f ca="1">IFERROR(__xludf.DUMMYFUNCTION("""COMPUTED_VALUE"""),"成嶋 夏未")</f>
        <v>成嶋 夏未</v>
      </c>
    </row>
    <row r="2762" spans="2:4" ht="13">
      <c r="B2762" s="12">
        <f ca="1">IFERROR(__xludf.DUMMYFUNCTION("""COMPUTED_VALUE"""),117166)</f>
        <v>117166</v>
      </c>
      <c r="C2762" s="14">
        <f ca="1">IFERROR(__xludf.DUMMYFUNCTION("""COMPUTED_VALUE"""),0)</f>
        <v>0</v>
      </c>
      <c r="D2762" s="12" t="str">
        <f ca="1">IFERROR(__xludf.DUMMYFUNCTION("""COMPUTED_VALUE"""),"成嶋 夏未")</f>
        <v>成嶋 夏未</v>
      </c>
    </row>
    <row r="2763" spans="2:4" ht="13">
      <c r="B2763" s="12">
        <f ca="1">IFERROR(__xludf.DUMMYFUNCTION("""COMPUTED_VALUE"""),117174)</f>
        <v>117174</v>
      </c>
      <c r="C2763" s="14">
        <f ca="1">IFERROR(__xludf.DUMMYFUNCTION("""COMPUTED_VALUE"""),2)</f>
        <v>2</v>
      </c>
      <c r="D2763" s="12" t="str">
        <f ca="1">IFERROR(__xludf.DUMMYFUNCTION("""COMPUTED_VALUE"""),"小関 麻起")</f>
        <v>小関 麻起</v>
      </c>
    </row>
    <row r="2764" spans="2:4" ht="13">
      <c r="B2764" s="12">
        <f ca="1">IFERROR(__xludf.DUMMYFUNCTION("""COMPUTED_VALUE"""),117175)</f>
        <v>117175</v>
      </c>
      <c r="C2764" s="14">
        <f ca="1">IFERROR(__xludf.DUMMYFUNCTION("""COMPUTED_VALUE"""),7)</f>
        <v>7</v>
      </c>
      <c r="D2764" s="12" t="str">
        <f ca="1">IFERROR(__xludf.DUMMYFUNCTION("""COMPUTED_VALUE"""),"小関 麻起")</f>
        <v>小関 麻起</v>
      </c>
    </row>
    <row r="2765" spans="2:4" ht="13">
      <c r="B2765" s="12">
        <f ca="1">IFERROR(__xludf.DUMMYFUNCTION("""COMPUTED_VALUE"""),117178)</f>
        <v>117178</v>
      </c>
      <c r="C2765" s="14">
        <f ca="1">IFERROR(__xludf.DUMMYFUNCTION("""COMPUTED_VALUE"""),3)</f>
        <v>3</v>
      </c>
      <c r="D2765" s="12" t="str">
        <f ca="1">IFERROR(__xludf.DUMMYFUNCTION("""COMPUTED_VALUE"""),"田嶋 将太")</f>
        <v>田嶋 将太</v>
      </c>
    </row>
    <row r="2766" spans="2:4" ht="13">
      <c r="B2766" s="12">
        <f ca="1">IFERROR(__xludf.DUMMYFUNCTION("""COMPUTED_VALUE"""),117179)</f>
        <v>117179</v>
      </c>
      <c r="C2766" s="14">
        <f ca="1">IFERROR(__xludf.DUMMYFUNCTION("""COMPUTED_VALUE"""),0)</f>
        <v>0</v>
      </c>
      <c r="D2766" s="12" t="str">
        <f ca="1">IFERROR(__xludf.DUMMYFUNCTION("""COMPUTED_VALUE"""),"菅野 ぎんが")</f>
        <v>菅野 ぎんが</v>
      </c>
    </row>
    <row r="2767" spans="2:4" ht="13">
      <c r="B2767" s="12">
        <f ca="1">IFERROR(__xludf.DUMMYFUNCTION("""COMPUTED_VALUE"""),117184)</f>
        <v>117184</v>
      </c>
      <c r="C2767" s="14">
        <f ca="1">IFERROR(__xludf.DUMMYFUNCTION("""COMPUTED_VALUE"""),0)</f>
        <v>0</v>
      </c>
      <c r="D2767" s="12" t="str">
        <f ca="1">IFERROR(__xludf.DUMMYFUNCTION("""COMPUTED_VALUE"""),"栗原 大武")</f>
        <v>栗原 大武</v>
      </c>
    </row>
    <row r="2768" spans="2:4" ht="13">
      <c r="B2768" s="12">
        <f ca="1">IFERROR(__xludf.DUMMYFUNCTION("""COMPUTED_VALUE"""),117186)</f>
        <v>117186</v>
      </c>
      <c r="C2768" s="14">
        <f ca="1">IFERROR(__xludf.DUMMYFUNCTION("""COMPUTED_VALUE"""),2)</f>
        <v>2</v>
      </c>
      <c r="D2768" s="12" t="str">
        <f ca="1">IFERROR(__xludf.DUMMYFUNCTION("""COMPUTED_VALUE"""),"老田 純輝")</f>
        <v>老田 純輝</v>
      </c>
    </row>
    <row r="2769" spans="2:4" ht="13">
      <c r="B2769" s="12">
        <f ca="1">IFERROR(__xludf.DUMMYFUNCTION("""COMPUTED_VALUE"""),117187)</f>
        <v>117187</v>
      </c>
      <c r="C2769" s="14">
        <f ca="1">IFERROR(__xludf.DUMMYFUNCTION("""COMPUTED_VALUE"""),12)</f>
        <v>12</v>
      </c>
      <c r="D2769" s="12" t="str">
        <f ca="1">IFERROR(__xludf.DUMMYFUNCTION("""COMPUTED_VALUE"""),"老田 純輝")</f>
        <v>老田 純輝</v>
      </c>
    </row>
    <row r="2770" spans="2:4" ht="13">
      <c r="B2770" s="12">
        <f ca="1">IFERROR(__xludf.DUMMYFUNCTION("""COMPUTED_VALUE"""),117190)</f>
        <v>117190</v>
      </c>
      <c r="C2770" s="14">
        <f ca="1">IFERROR(__xludf.DUMMYFUNCTION("""COMPUTED_VALUE"""),0)</f>
        <v>0</v>
      </c>
      <c r="D2770" s="12" t="str">
        <f ca="1">IFERROR(__xludf.DUMMYFUNCTION("""COMPUTED_VALUE"""),"菅野 ぎんが")</f>
        <v>菅野 ぎんが</v>
      </c>
    </row>
    <row r="2771" spans="2:4" ht="13">
      <c r="B2771" s="12">
        <f ca="1">IFERROR(__xludf.DUMMYFUNCTION("""COMPUTED_VALUE"""),117191)</f>
        <v>117191</v>
      </c>
      <c r="C2771" s="14">
        <f ca="1">IFERROR(__xludf.DUMMYFUNCTION("""COMPUTED_VALUE"""),0)</f>
        <v>0</v>
      </c>
      <c r="D2771" s="12" t="str">
        <f ca="1">IFERROR(__xludf.DUMMYFUNCTION("""COMPUTED_VALUE"""),"小関 麻起")</f>
        <v>小関 麻起</v>
      </c>
    </row>
    <row r="2772" spans="2:4" ht="13">
      <c r="B2772" s="12">
        <f ca="1">IFERROR(__xludf.DUMMYFUNCTION("""COMPUTED_VALUE"""),117192)</f>
        <v>117192</v>
      </c>
      <c r="C2772" s="14">
        <f ca="1">IFERROR(__xludf.DUMMYFUNCTION("""COMPUTED_VALUE"""),0)</f>
        <v>0</v>
      </c>
      <c r="D2772" s="12" t="str">
        <f ca="1">IFERROR(__xludf.DUMMYFUNCTION("""COMPUTED_VALUE"""),"松尾 尚樹")</f>
        <v>松尾 尚樹</v>
      </c>
    </row>
    <row r="2773" spans="2:4" ht="13">
      <c r="B2773" s="12">
        <f ca="1">IFERROR(__xludf.DUMMYFUNCTION("""COMPUTED_VALUE"""),117197)</f>
        <v>117197</v>
      </c>
      <c r="C2773" s="14">
        <f ca="1">IFERROR(__xludf.DUMMYFUNCTION("""COMPUTED_VALUE"""),2)</f>
        <v>2</v>
      </c>
      <c r="D2773" s="12" t="str">
        <f ca="1">IFERROR(__xludf.DUMMYFUNCTION("""COMPUTED_VALUE"""),"菅野 ぎんが")</f>
        <v>菅野 ぎんが</v>
      </c>
    </row>
    <row r="2774" spans="2:4" ht="13">
      <c r="B2774" s="12">
        <f ca="1">IFERROR(__xludf.DUMMYFUNCTION("""COMPUTED_VALUE"""),117198)</f>
        <v>117198</v>
      </c>
      <c r="C2774" s="14">
        <f ca="1">IFERROR(__xludf.DUMMYFUNCTION("""COMPUTED_VALUE"""),0)</f>
        <v>0</v>
      </c>
      <c r="D2774" s="12" t="str">
        <f ca="1">IFERROR(__xludf.DUMMYFUNCTION("""COMPUTED_VALUE"""),"栗原 大武")</f>
        <v>栗原 大武</v>
      </c>
    </row>
    <row r="2775" spans="2:4" ht="13">
      <c r="B2775" s="12">
        <f ca="1">IFERROR(__xludf.DUMMYFUNCTION("""COMPUTED_VALUE"""),117210)</f>
        <v>117210</v>
      </c>
      <c r="C2775" s="14">
        <f ca="1">IFERROR(__xludf.DUMMYFUNCTION("""COMPUTED_VALUE"""),0)</f>
        <v>0</v>
      </c>
      <c r="D2775" s="12" t="str">
        <f ca="1">IFERROR(__xludf.DUMMYFUNCTION("""COMPUTED_VALUE"""),"成嶋 夏未")</f>
        <v>成嶋 夏未</v>
      </c>
    </row>
    <row r="2776" spans="2:4" ht="13">
      <c r="B2776" s="12">
        <f ca="1">IFERROR(__xludf.DUMMYFUNCTION("""COMPUTED_VALUE"""),117211)</f>
        <v>117211</v>
      </c>
      <c r="C2776" s="14">
        <f ca="1">IFERROR(__xludf.DUMMYFUNCTION("""COMPUTED_VALUE"""),0)</f>
        <v>0</v>
      </c>
      <c r="D2776" s="12" t="str">
        <f ca="1">IFERROR(__xludf.DUMMYFUNCTION("""COMPUTED_VALUE"""),"小関 麻起")</f>
        <v>小関 麻起</v>
      </c>
    </row>
    <row r="2777" spans="2:4" ht="13">
      <c r="B2777" s="12">
        <f ca="1">IFERROR(__xludf.DUMMYFUNCTION("""COMPUTED_VALUE"""),117212)</f>
        <v>117212</v>
      </c>
      <c r="C2777" s="14">
        <f ca="1">IFERROR(__xludf.DUMMYFUNCTION("""COMPUTED_VALUE"""),0)</f>
        <v>0</v>
      </c>
      <c r="D2777" s="12" t="str">
        <f ca="1">IFERROR(__xludf.DUMMYFUNCTION("""COMPUTED_VALUE"""),"小関 麻起")</f>
        <v>小関 麻起</v>
      </c>
    </row>
    <row r="2778" spans="2:4" ht="13">
      <c r="B2778" s="12">
        <f ca="1">IFERROR(__xludf.DUMMYFUNCTION("""COMPUTED_VALUE"""),117221)</f>
        <v>117221</v>
      </c>
      <c r="C2778" s="14">
        <f ca="1">IFERROR(__xludf.DUMMYFUNCTION("""COMPUTED_VALUE"""),0)</f>
        <v>0</v>
      </c>
      <c r="D2778" s="12" t="str">
        <f ca="1">IFERROR(__xludf.DUMMYFUNCTION("""COMPUTED_VALUE"""),"成嶋 夏未")</f>
        <v>成嶋 夏未</v>
      </c>
    </row>
    <row r="2779" spans="2:4" ht="13">
      <c r="B2779" s="12">
        <f ca="1">IFERROR(__xludf.DUMMYFUNCTION("""COMPUTED_VALUE"""),117222)</f>
        <v>117222</v>
      </c>
      <c r="C2779" s="14">
        <f ca="1">IFERROR(__xludf.DUMMYFUNCTION("""COMPUTED_VALUE"""),0)</f>
        <v>0</v>
      </c>
      <c r="D2779" s="12" t="str">
        <f ca="1">IFERROR(__xludf.DUMMYFUNCTION("""COMPUTED_VALUE"""),"菅野 ぎんが")</f>
        <v>菅野 ぎんが</v>
      </c>
    </row>
    <row r="2780" spans="2:4" ht="13">
      <c r="B2780" s="12">
        <f ca="1">IFERROR(__xludf.DUMMYFUNCTION("""COMPUTED_VALUE"""),117223)</f>
        <v>117223</v>
      </c>
      <c r="C2780" s="14">
        <f ca="1">IFERROR(__xludf.DUMMYFUNCTION("""COMPUTED_VALUE"""),0)</f>
        <v>0</v>
      </c>
      <c r="D2780" s="12" t="str">
        <f ca="1">IFERROR(__xludf.DUMMYFUNCTION("""COMPUTED_VALUE"""),"松尾 尚樹")</f>
        <v>松尾 尚樹</v>
      </c>
    </row>
    <row r="2781" spans="2:4" ht="13">
      <c r="B2781" s="12">
        <f ca="1">IFERROR(__xludf.DUMMYFUNCTION("""COMPUTED_VALUE"""),117224)</f>
        <v>117224</v>
      </c>
      <c r="C2781" s="14">
        <f ca="1">IFERROR(__xludf.DUMMYFUNCTION("""COMPUTED_VALUE"""),0)</f>
        <v>0</v>
      </c>
      <c r="D2781" s="12" t="str">
        <f ca="1">IFERROR(__xludf.DUMMYFUNCTION("""COMPUTED_VALUE"""),"稲場 勇介")</f>
        <v>稲場 勇介</v>
      </c>
    </row>
    <row r="2782" spans="2:4" ht="13">
      <c r="B2782" s="12">
        <f ca="1">IFERROR(__xludf.DUMMYFUNCTION("""COMPUTED_VALUE"""),117236)</f>
        <v>117236</v>
      </c>
      <c r="C2782" s="14">
        <f ca="1">IFERROR(__xludf.DUMMYFUNCTION("""COMPUTED_VALUE"""),0)</f>
        <v>0</v>
      </c>
      <c r="D2782" s="12" t="str">
        <f ca="1">IFERROR(__xludf.DUMMYFUNCTION("""COMPUTED_VALUE"""),"松尾 尚樹")</f>
        <v>松尾 尚樹</v>
      </c>
    </row>
    <row r="2783" spans="2:4" ht="13">
      <c r="B2783" s="12">
        <f ca="1">IFERROR(__xludf.DUMMYFUNCTION("""COMPUTED_VALUE"""),117237)</f>
        <v>117237</v>
      </c>
      <c r="C2783" s="14">
        <f ca="1">IFERROR(__xludf.DUMMYFUNCTION("""COMPUTED_VALUE"""),0)</f>
        <v>0</v>
      </c>
      <c r="D2783" s="12" t="str">
        <f ca="1">IFERROR(__xludf.DUMMYFUNCTION("""COMPUTED_VALUE"""),"松尾 尚樹")</f>
        <v>松尾 尚樹</v>
      </c>
    </row>
    <row r="2784" spans="2:4" ht="13">
      <c r="B2784" s="12">
        <f ca="1">IFERROR(__xludf.DUMMYFUNCTION("""COMPUTED_VALUE"""),117238)</f>
        <v>117238</v>
      </c>
      <c r="C2784" s="14">
        <f ca="1">IFERROR(__xludf.DUMMYFUNCTION("""COMPUTED_VALUE"""),0)</f>
        <v>0</v>
      </c>
      <c r="D2784" s="12" t="str">
        <f ca="1">IFERROR(__xludf.DUMMYFUNCTION("""COMPUTED_VALUE"""),"松尾 尚樹")</f>
        <v>松尾 尚樹</v>
      </c>
    </row>
    <row r="2785" spans="2:4" ht="13">
      <c r="B2785" s="12">
        <f ca="1">IFERROR(__xludf.DUMMYFUNCTION("""COMPUTED_VALUE"""),117258)</f>
        <v>117258</v>
      </c>
      <c r="C2785" s="14">
        <f ca="1">IFERROR(__xludf.DUMMYFUNCTION("""COMPUTED_VALUE"""),0)</f>
        <v>0</v>
      </c>
      <c r="D2785" s="12" t="str">
        <f ca="1">IFERROR(__xludf.DUMMYFUNCTION("""COMPUTED_VALUE"""),"松尾 尚樹")</f>
        <v>松尾 尚樹</v>
      </c>
    </row>
    <row r="2786" spans="2:4" ht="13">
      <c r="B2786" s="12">
        <f ca="1">IFERROR(__xludf.DUMMYFUNCTION("""COMPUTED_VALUE"""),117260)</f>
        <v>117260</v>
      </c>
      <c r="C2786" s="14">
        <f ca="1">IFERROR(__xludf.DUMMYFUNCTION("""COMPUTED_VALUE"""),62)</f>
        <v>62</v>
      </c>
      <c r="D2786" s="12" t="str">
        <f ca="1">IFERROR(__xludf.DUMMYFUNCTION("""COMPUTED_VALUE"""),"小関 麻起")</f>
        <v>小関 麻起</v>
      </c>
    </row>
    <row r="2787" spans="2:4" ht="13">
      <c r="B2787" s="12">
        <f ca="1">IFERROR(__xludf.DUMMYFUNCTION("""COMPUTED_VALUE"""),117265)</f>
        <v>117265</v>
      </c>
      <c r="C2787" s="14">
        <f ca="1">IFERROR(__xludf.DUMMYFUNCTION("""COMPUTED_VALUE"""),3)</f>
        <v>3</v>
      </c>
      <c r="D2787" s="12" t="str">
        <f ca="1">IFERROR(__xludf.DUMMYFUNCTION("""COMPUTED_VALUE"""),"老田 純輝")</f>
        <v>老田 純輝</v>
      </c>
    </row>
    <row r="2788" spans="2:4" ht="13">
      <c r="B2788" s="12">
        <f ca="1">IFERROR(__xludf.DUMMYFUNCTION("""COMPUTED_VALUE"""),117267)</f>
        <v>117267</v>
      </c>
      <c r="C2788" s="14">
        <f ca="1">IFERROR(__xludf.DUMMYFUNCTION("""COMPUTED_VALUE"""),0)</f>
        <v>0</v>
      </c>
      <c r="D2788" s="12" t="str">
        <f ca="1">IFERROR(__xludf.DUMMYFUNCTION("""COMPUTED_VALUE"""),"菅野 ぎんが")</f>
        <v>菅野 ぎんが</v>
      </c>
    </row>
    <row r="2789" spans="2:4" ht="13">
      <c r="B2789" s="12">
        <f ca="1">IFERROR(__xludf.DUMMYFUNCTION("""COMPUTED_VALUE"""),117275)</f>
        <v>117275</v>
      </c>
      <c r="C2789" s="14">
        <f ca="1">IFERROR(__xludf.DUMMYFUNCTION("""COMPUTED_VALUE"""),15)</f>
        <v>15</v>
      </c>
      <c r="D2789" s="12" t="str">
        <f ca="1">IFERROR(__xludf.DUMMYFUNCTION("""COMPUTED_VALUE"""),"栗原 大武")</f>
        <v>栗原 大武</v>
      </c>
    </row>
    <row r="2790" spans="2:4" ht="13">
      <c r="B2790" s="12">
        <f ca="1">IFERROR(__xludf.DUMMYFUNCTION("""COMPUTED_VALUE"""),117279)</f>
        <v>117279</v>
      </c>
      <c r="C2790" s="14">
        <f ca="1">IFERROR(__xludf.DUMMYFUNCTION("""COMPUTED_VALUE"""),0)</f>
        <v>0</v>
      </c>
      <c r="D2790" s="12" t="str">
        <f ca="1">IFERROR(__xludf.DUMMYFUNCTION("""COMPUTED_VALUE"""),"長谷川 陸朗")</f>
        <v>長谷川 陸朗</v>
      </c>
    </row>
    <row r="2791" spans="2:4" ht="13">
      <c r="B2791" s="12">
        <f ca="1">IFERROR(__xludf.DUMMYFUNCTION("""COMPUTED_VALUE"""),117287)</f>
        <v>117287</v>
      </c>
      <c r="C2791" s="14">
        <f ca="1">IFERROR(__xludf.DUMMYFUNCTION("""COMPUTED_VALUE"""),0)</f>
        <v>0</v>
      </c>
      <c r="D2791" s="12" t="str">
        <f ca="1">IFERROR(__xludf.DUMMYFUNCTION("""COMPUTED_VALUE"""),"稲場 勇介")</f>
        <v>稲場 勇介</v>
      </c>
    </row>
    <row r="2792" spans="2:4" ht="13">
      <c r="B2792" s="12">
        <f ca="1">IFERROR(__xludf.DUMMYFUNCTION("""COMPUTED_VALUE"""),117289)</f>
        <v>117289</v>
      </c>
      <c r="C2792" s="14">
        <f ca="1">IFERROR(__xludf.DUMMYFUNCTION("""COMPUTED_VALUE"""),0)</f>
        <v>0</v>
      </c>
      <c r="D2792" s="12" t="str">
        <f ca="1">IFERROR(__xludf.DUMMYFUNCTION("""COMPUTED_VALUE"""),"村上 浩一朗")</f>
        <v>村上 浩一朗</v>
      </c>
    </row>
    <row r="2793" spans="2:4" ht="13">
      <c r="B2793" s="12">
        <f ca="1">IFERROR(__xludf.DUMMYFUNCTION("""COMPUTED_VALUE"""),117292)</f>
        <v>117292</v>
      </c>
      <c r="C2793" s="14">
        <f ca="1">IFERROR(__xludf.DUMMYFUNCTION("""COMPUTED_VALUE"""),0)</f>
        <v>0</v>
      </c>
      <c r="D2793" s="12" t="str">
        <f ca="1">IFERROR(__xludf.DUMMYFUNCTION("""COMPUTED_VALUE"""),"松尾 尚樹")</f>
        <v>松尾 尚樹</v>
      </c>
    </row>
    <row r="2794" spans="2:4" ht="13">
      <c r="B2794" s="12">
        <f ca="1">IFERROR(__xludf.DUMMYFUNCTION("""COMPUTED_VALUE"""),117298)</f>
        <v>117298</v>
      </c>
      <c r="C2794" s="14">
        <f ca="1">IFERROR(__xludf.DUMMYFUNCTION("""COMPUTED_VALUE"""),9)</f>
        <v>9</v>
      </c>
      <c r="D2794" s="12" t="str">
        <f ca="1">IFERROR(__xludf.DUMMYFUNCTION("""COMPUTED_VALUE"""),"菅野 ぎんが")</f>
        <v>菅野 ぎんが</v>
      </c>
    </row>
    <row r="2795" spans="2:4" ht="13">
      <c r="B2795" s="12">
        <f ca="1">IFERROR(__xludf.DUMMYFUNCTION("""COMPUTED_VALUE"""),117300)</f>
        <v>117300</v>
      </c>
      <c r="C2795" s="14">
        <f ca="1">IFERROR(__xludf.DUMMYFUNCTION("""COMPUTED_VALUE"""),0)</f>
        <v>0</v>
      </c>
      <c r="D2795" s="12" t="str">
        <f ca="1">IFERROR(__xludf.DUMMYFUNCTION("""COMPUTED_VALUE"""),"小関 麻起")</f>
        <v>小関 麻起</v>
      </c>
    </row>
    <row r="2796" spans="2:4" ht="13">
      <c r="B2796" s="12">
        <f ca="1">IFERROR(__xludf.DUMMYFUNCTION("""COMPUTED_VALUE"""),117321)</f>
        <v>117321</v>
      </c>
      <c r="C2796" s="14">
        <f ca="1">IFERROR(__xludf.DUMMYFUNCTION("""COMPUTED_VALUE"""),0)</f>
        <v>0</v>
      </c>
      <c r="D2796" s="12" t="str">
        <f ca="1">IFERROR(__xludf.DUMMYFUNCTION("""COMPUTED_VALUE"""),"稲場 勇介")</f>
        <v>稲場 勇介</v>
      </c>
    </row>
    <row r="2797" spans="2:4" ht="13">
      <c r="B2797" s="12">
        <f ca="1">IFERROR(__xludf.DUMMYFUNCTION("""COMPUTED_VALUE"""),117324)</f>
        <v>117324</v>
      </c>
      <c r="C2797" s="14">
        <f ca="1">IFERROR(__xludf.DUMMYFUNCTION("""COMPUTED_VALUE"""),3)</f>
        <v>3</v>
      </c>
      <c r="D2797" s="12" t="str">
        <f ca="1">IFERROR(__xludf.DUMMYFUNCTION("""COMPUTED_VALUE"""),"田嶋 将太")</f>
        <v>田嶋 将太</v>
      </c>
    </row>
    <row r="2798" spans="2:4" ht="13">
      <c r="B2798" s="12">
        <f ca="1">IFERROR(__xludf.DUMMYFUNCTION("""COMPUTED_VALUE"""),117325)</f>
        <v>117325</v>
      </c>
      <c r="C2798" s="14">
        <f ca="1">IFERROR(__xludf.DUMMYFUNCTION("""COMPUTED_VALUE"""),0)</f>
        <v>0</v>
      </c>
      <c r="D2798" s="12" t="str">
        <f ca="1">IFERROR(__xludf.DUMMYFUNCTION("""COMPUTED_VALUE"""),"松尾 尚樹")</f>
        <v>松尾 尚樹</v>
      </c>
    </row>
    <row r="2799" spans="2:4" ht="13">
      <c r="B2799" s="12">
        <f ca="1">IFERROR(__xludf.DUMMYFUNCTION("""COMPUTED_VALUE"""),117326)</f>
        <v>117326</v>
      </c>
      <c r="C2799" s="14">
        <f ca="1">IFERROR(__xludf.DUMMYFUNCTION("""COMPUTED_VALUE"""),0)</f>
        <v>0</v>
      </c>
      <c r="D2799" s="12" t="str">
        <f ca="1">IFERROR(__xludf.DUMMYFUNCTION("""COMPUTED_VALUE"""),"稲場 勇介")</f>
        <v>稲場 勇介</v>
      </c>
    </row>
    <row r="2800" spans="2:4" ht="13">
      <c r="B2800" s="12">
        <f ca="1">IFERROR(__xludf.DUMMYFUNCTION("""COMPUTED_VALUE"""),117330)</f>
        <v>117330</v>
      </c>
      <c r="C2800" s="14">
        <f ca="1">IFERROR(__xludf.DUMMYFUNCTION("""COMPUTED_VALUE"""),2)</f>
        <v>2</v>
      </c>
      <c r="D2800" s="12" t="str">
        <f ca="1">IFERROR(__xludf.DUMMYFUNCTION("""COMPUTED_VALUE"""),"川島 幹也")</f>
        <v>川島 幹也</v>
      </c>
    </row>
    <row r="2801" spans="2:4" ht="13">
      <c r="B2801" s="12">
        <f ca="1">IFERROR(__xludf.DUMMYFUNCTION("""COMPUTED_VALUE"""),117336)</f>
        <v>117336</v>
      </c>
      <c r="C2801" s="14">
        <f ca="1">IFERROR(__xludf.DUMMYFUNCTION("""COMPUTED_VALUE"""),46)</f>
        <v>46</v>
      </c>
      <c r="D2801" s="12" t="str">
        <f ca="1">IFERROR(__xludf.DUMMYFUNCTION("""COMPUTED_VALUE"""),"小関 麻起")</f>
        <v>小関 麻起</v>
      </c>
    </row>
    <row r="2802" spans="2:4" ht="13">
      <c r="B2802" s="12">
        <f ca="1">IFERROR(__xludf.DUMMYFUNCTION("""COMPUTED_VALUE"""),117338)</f>
        <v>117338</v>
      </c>
      <c r="C2802" s="14">
        <f ca="1">IFERROR(__xludf.DUMMYFUNCTION("""COMPUTED_VALUE"""),21)</f>
        <v>21</v>
      </c>
      <c r="D2802" s="12" t="str">
        <f ca="1">IFERROR(__xludf.DUMMYFUNCTION("""COMPUTED_VALUE"""),"堀越 駿")</f>
        <v>堀越 駿</v>
      </c>
    </row>
    <row r="2803" spans="2:4" ht="13">
      <c r="B2803" s="12">
        <f ca="1">IFERROR(__xludf.DUMMYFUNCTION("""COMPUTED_VALUE"""),117343)</f>
        <v>117343</v>
      </c>
      <c r="C2803" s="14">
        <f ca="1">IFERROR(__xludf.DUMMYFUNCTION("""COMPUTED_VALUE"""),137)</f>
        <v>137</v>
      </c>
      <c r="D2803" s="12" t="str">
        <f ca="1">IFERROR(__xludf.DUMMYFUNCTION("""COMPUTED_VALUE"""),"柿崎 晃司")</f>
        <v>柿崎 晃司</v>
      </c>
    </row>
    <row r="2804" spans="2:4" ht="13">
      <c r="B2804" s="12">
        <f ca="1">IFERROR(__xludf.DUMMYFUNCTION("""COMPUTED_VALUE"""),117346)</f>
        <v>117346</v>
      </c>
      <c r="C2804" s="14">
        <f ca="1">IFERROR(__xludf.DUMMYFUNCTION("""COMPUTED_VALUE"""),0)</f>
        <v>0</v>
      </c>
      <c r="D2804" s="12" t="str">
        <f ca="1">IFERROR(__xludf.DUMMYFUNCTION("""COMPUTED_VALUE"""),"成嶋 夏未")</f>
        <v>成嶋 夏未</v>
      </c>
    </row>
    <row r="2805" spans="2:4" ht="13">
      <c r="B2805" s="12">
        <f ca="1">IFERROR(__xludf.DUMMYFUNCTION("""COMPUTED_VALUE"""),117350)</f>
        <v>117350</v>
      </c>
      <c r="C2805" s="14">
        <f ca="1">IFERROR(__xludf.DUMMYFUNCTION("""COMPUTED_VALUE"""),0)</f>
        <v>0</v>
      </c>
      <c r="D2805" s="12" t="str">
        <f ca="1">IFERROR(__xludf.DUMMYFUNCTION("""COMPUTED_VALUE"""),"老田 純輝")</f>
        <v>老田 純輝</v>
      </c>
    </row>
    <row r="2806" spans="2:4" ht="13">
      <c r="B2806" s="12">
        <f ca="1">IFERROR(__xludf.DUMMYFUNCTION("""COMPUTED_VALUE"""),117352)</f>
        <v>117352</v>
      </c>
      <c r="C2806" s="14">
        <f ca="1">IFERROR(__xludf.DUMMYFUNCTION("""COMPUTED_VALUE"""),0)</f>
        <v>0</v>
      </c>
      <c r="D2806" s="12" t="str">
        <f ca="1">IFERROR(__xludf.DUMMYFUNCTION("""COMPUTED_VALUE"""),"辻村 将大")</f>
        <v>辻村 将大</v>
      </c>
    </row>
    <row r="2807" spans="2:4" ht="13">
      <c r="B2807" s="12">
        <f ca="1">IFERROR(__xludf.DUMMYFUNCTION("""COMPUTED_VALUE"""),117356)</f>
        <v>117356</v>
      </c>
      <c r="C2807" s="14">
        <f ca="1">IFERROR(__xludf.DUMMYFUNCTION("""COMPUTED_VALUE"""),0)</f>
        <v>0</v>
      </c>
      <c r="D2807" s="12" t="str">
        <f ca="1">IFERROR(__xludf.DUMMYFUNCTION("""COMPUTED_VALUE"""),"松尾 尚樹")</f>
        <v>松尾 尚樹</v>
      </c>
    </row>
    <row r="2808" spans="2:4" ht="13">
      <c r="B2808" s="12">
        <f ca="1">IFERROR(__xludf.DUMMYFUNCTION("""COMPUTED_VALUE"""),117358)</f>
        <v>117358</v>
      </c>
      <c r="C2808" s="14">
        <f ca="1">IFERROR(__xludf.DUMMYFUNCTION("""COMPUTED_VALUE"""),0)</f>
        <v>0</v>
      </c>
      <c r="D2808" s="12" t="str">
        <f ca="1">IFERROR(__xludf.DUMMYFUNCTION("""COMPUTED_VALUE"""),"小関 麻起")</f>
        <v>小関 麻起</v>
      </c>
    </row>
    <row r="2809" spans="2:4" ht="13">
      <c r="B2809" s="12">
        <f ca="1">IFERROR(__xludf.DUMMYFUNCTION("""COMPUTED_VALUE"""),117365)</f>
        <v>117365</v>
      </c>
      <c r="C2809" s="14">
        <f ca="1">IFERROR(__xludf.DUMMYFUNCTION("""COMPUTED_VALUE"""),0)</f>
        <v>0</v>
      </c>
      <c r="D2809" s="12" t="str">
        <f ca="1">IFERROR(__xludf.DUMMYFUNCTION("""COMPUTED_VALUE"""),"稲場 勇介")</f>
        <v>稲場 勇介</v>
      </c>
    </row>
    <row r="2810" spans="2:4" ht="13">
      <c r="B2810" s="12">
        <f ca="1">IFERROR(__xludf.DUMMYFUNCTION("""COMPUTED_VALUE"""),117368)</f>
        <v>117368</v>
      </c>
      <c r="C2810" s="14">
        <f ca="1">IFERROR(__xludf.DUMMYFUNCTION("""COMPUTED_VALUE"""),0)</f>
        <v>0</v>
      </c>
      <c r="D2810" s="12" t="str">
        <f ca="1">IFERROR(__xludf.DUMMYFUNCTION("""COMPUTED_VALUE"""),"松尾 尚樹")</f>
        <v>松尾 尚樹</v>
      </c>
    </row>
    <row r="2811" spans="2:4" ht="13">
      <c r="B2811" s="12">
        <f ca="1">IFERROR(__xludf.DUMMYFUNCTION("""COMPUTED_VALUE"""),117372)</f>
        <v>117372</v>
      </c>
      <c r="C2811" s="14">
        <f ca="1">IFERROR(__xludf.DUMMYFUNCTION("""COMPUTED_VALUE"""),0)</f>
        <v>0</v>
      </c>
      <c r="D2811" s="12" t="str">
        <f ca="1">IFERROR(__xludf.DUMMYFUNCTION("""COMPUTED_VALUE"""),"成嶋 夏未")</f>
        <v>成嶋 夏未</v>
      </c>
    </row>
    <row r="2812" spans="2:4" ht="13">
      <c r="B2812" s="12">
        <f ca="1">IFERROR(__xludf.DUMMYFUNCTION("""COMPUTED_VALUE"""),117381)</f>
        <v>117381</v>
      </c>
      <c r="C2812" s="14">
        <f ca="1">IFERROR(__xludf.DUMMYFUNCTION("""COMPUTED_VALUE"""),0)</f>
        <v>0</v>
      </c>
      <c r="D2812" s="12" t="str">
        <f ca="1">IFERROR(__xludf.DUMMYFUNCTION("""COMPUTED_VALUE"""),"老田 純輝")</f>
        <v>老田 純輝</v>
      </c>
    </row>
    <row r="2813" spans="2:4" ht="13">
      <c r="B2813" s="12">
        <f ca="1">IFERROR(__xludf.DUMMYFUNCTION("""COMPUTED_VALUE"""),117382)</f>
        <v>117382</v>
      </c>
      <c r="C2813" s="14">
        <f ca="1">IFERROR(__xludf.DUMMYFUNCTION("""COMPUTED_VALUE"""),0)</f>
        <v>0</v>
      </c>
      <c r="D2813" s="12" t="str">
        <f ca="1">IFERROR(__xludf.DUMMYFUNCTION("""COMPUTED_VALUE"""),"奥野 貴大")</f>
        <v>奥野 貴大</v>
      </c>
    </row>
    <row r="2814" spans="2:4" ht="13">
      <c r="B2814" s="12">
        <f ca="1">IFERROR(__xludf.DUMMYFUNCTION("""COMPUTED_VALUE"""),117388)</f>
        <v>117388</v>
      </c>
      <c r="C2814" s="14">
        <f ca="1">IFERROR(__xludf.DUMMYFUNCTION("""COMPUTED_VALUE"""),0)</f>
        <v>0</v>
      </c>
      <c r="D2814" s="12" t="str">
        <f ca="1">IFERROR(__xludf.DUMMYFUNCTION("""COMPUTED_VALUE"""),"松尾 尚樹")</f>
        <v>松尾 尚樹</v>
      </c>
    </row>
    <row r="2815" spans="2:4" ht="13">
      <c r="B2815" s="12">
        <f ca="1">IFERROR(__xludf.DUMMYFUNCTION("""COMPUTED_VALUE"""),117389)</f>
        <v>117389</v>
      </c>
      <c r="C2815" s="14">
        <f ca="1">IFERROR(__xludf.DUMMYFUNCTION("""COMPUTED_VALUE"""),3)</f>
        <v>3</v>
      </c>
      <c r="D2815" s="12" t="str">
        <f ca="1">IFERROR(__xludf.DUMMYFUNCTION("""COMPUTED_VALUE"""),"村上 浩一朗")</f>
        <v>村上 浩一朗</v>
      </c>
    </row>
    <row r="2816" spans="2:4" ht="13">
      <c r="B2816" s="12">
        <f ca="1">IFERROR(__xludf.DUMMYFUNCTION("""COMPUTED_VALUE"""),117392)</f>
        <v>117392</v>
      </c>
      <c r="C2816" s="14">
        <f ca="1">IFERROR(__xludf.DUMMYFUNCTION("""COMPUTED_VALUE"""),29)</f>
        <v>29</v>
      </c>
      <c r="D2816" s="12" t="str">
        <f ca="1">IFERROR(__xludf.DUMMYFUNCTION("""COMPUTED_VALUE"""),"成嶋 夏未")</f>
        <v>成嶋 夏未</v>
      </c>
    </row>
    <row r="2817" spans="2:4" ht="13">
      <c r="B2817" s="12">
        <f ca="1">IFERROR(__xludf.DUMMYFUNCTION("""COMPUTED_VALUE"""),117393)</f>
        <v>117393</v>
      </c>
      <c r="C2817" s="14">
        <f ca="1">IFERROR(__xludf.DUMMYFUNCTION("""COMPUTED_VALUE"""),31)</f>
        <v>31</v>
      </c>
      <c r="D2817" s="12" t="str">
        <f ca="1">IFERROR(__xludf.DUMMYFUNCTION("""COMPUTED_VALUE"""),"奥野 貴大")</f>
        <v>奥野 貴大</v>
      </c>
    </row>
    <row r="2818" spans="2:4" ht="13">
      <c r="B2818" s="12">
        <f ca="1">IFERROR(__xludf.DUMMYFUNCTION("""COMPUTED_VALUE"""),117395)</f>
        <v>117395</v>
      </c>
      <c r="C2818" s="14">
        <f ca="1">IFERROR(__xludf.DUMMYFUNCTION("""COMPUTED_VALUE"""),8)</f>
        <v>8</v>
      </c>
      <c r="D2818" s="12" t="str">
        <f ca="1">IFERROR(__xludf.DUMMYFUNCTION("""COMPUTED_VALUE"""),"村上 浩一朗")</f>
        <v>村上 浩一朗</v>
      </c>
    </row>
    <row r="2819" spans="2:4" ht="13">
      <c r="B2819" s="12">
        <f ca="1">IFERROR(__xludf.DUMMYFUNCTION("""COMPUTED_VALUE"""),117398)</f>
        <v>117398</v>
      </c>
      <c r="C2819" s="14">
        <f ca="1">IFERROR(__xludf.DUMMYFUNCTION("""COMPUTED_VALUE"""),7)</f>
        <v>7</v>
      </c>
      <c r="D2819" s="12" t="str">
        <f ca="1">IFERROR(__xludf.DUMMYFUNCTION("""COMPUTED_VALUE"""),"松尾 尚樹")</f>
        <v>松尾 尚樹</v>
      </c>
    </row>
    <row r="2820" spans="2:4" ht="13">
      <c r="B2820" s="12">
        <f ca="1">IFERROR(__xludf.DUMMYFUNCTION("""COMPUTED_VALUE"""),117399)</f>
        <v>117399</v>
      </c>
      <c r="C2820" s="14">
        <f ca="1">IFERROR(__xludf.DUMMYFUNCTION("""COMPUTED_VALUE"""),0)</f>
        <v>0</v>
      </c>
      <c r="D2820" s="12" t="str">
        <f ca="1">IFERROR(__xludf.DUMMYFUNCTION("""COMPUTED_VALUE"""),"稲場 勇介")</f>
        <v>稲場 勇介</v>
      </c>
    </row>
    <row r="2821" spans="2:4" ht="13">
      <c r="B2821" s="12">
        <f ca="1">IFERROR(__xludf.DUMMYFUNCTION("""COMPUTED_VALUE"""),117401)</f>
        <v>117401</v>
      </c>
      <c r="C2821" s="14">
        <f ca="1">IFERROR(__xludf.DUMMYFUNCTION("""COMPUTED_VALUE"""),11)</f>
        <v>11</v>
      </c>
      <c r="D2821" s="12" t="str">
        <f ca="1">IFERROR(__xludf.DUMMYFUNCTION("""COMPUTED_VALUE"""),"桐山 勝気")</f>
        <v>桐山 勝気</v>
      </c>
    </row>
    <row r="2822" spans="2:4" ht="13">
      <c r="B2822" s="12">
        <f ca="1">IFERROR(__xludf.DUMMYFUNCTION("""COMPUTED_VALUE"""),117408)</f>
        <v>117408</v>
      </c>
      <c r="C2822" s="14">
        <f ca="1">IFERROR(__xludf.DUMMYFUNCTION("""COMPUTED_VALUE"""),0)</f>
        <v>0</v>
      </c>
      <c r="D2822" s="12" t="str">
        <f ca="1">IFERROR(__xludf.DUMMYFUNCTION("""COMPUTED_VALUE"""),"成嶋 夏未")</f>
        <v>成嶋 夏未</v>
      </c>
    </row>
    <row r="2823" spans="2:4" ht="13">
      <c r="B2823" s="12">
        <f ca="1">IFERROR(__xludf.DUMMYFUNCTION("""COMPUTED_VALUE"""),117412)</f>
        <v>117412</v>
      </c>
      <c r="C2823" s="14">
        <f ca="1">IFERROR(__xludf.DUMMYFUNCTION("""COMPUTED_VALUE"""),1)</f>
        <v>1</v>
      </c>
      <c r="D2823" s="12" t="str">
        <f ca="1">IFERROR(__xludf.DUMMYFUNCTION("""COMPUTED_VALUE"""),"長谷川 陸朗")</f>
        <v>長谷川 陸朗</v>
      </c>
    </row>
    <row r="2824" spans="2:4" ht="13">
      <c r="B2824" s="12">
        <f ca="1">IFERROR(__xludf.DUMMYFUNCTION("""COMPUTED_VALUE"""),117418)</f>
        <v>117418</v>
      </c>
      <c r="C2824" s="14">
        <f ca="1">IFERROR(__xludf.DUMMYFUNCTION("""COMPUTED_VALUE"""),9)</f>
        <v>9</v>
      </c>
      <c r="D2824" s="12" t="str">
        <f ca="1">IFERROR(__xludf.DUMMYFUNCTION("""COMPUTED_VALUE"""),"稲場 勇介")</f>
        <v>稲場 勇介</v>
      </c>
    </row>
    <row r="2825" spans="2:4" ht="13">
      <c r="B2825" s="12">
        <f ca="1">IFERROR(__xludf.DUMMYFUNCTION("""COMPUTED_VALUE"""),117422)</f>
        <v>117422</v>
      </c>
      <c r="C2825" s="14">
        <f ca="1">IFERROR(__xludf.DUMMYFUNCTION("""COMPUTED_VALUE"""),0)</f>
        <v>0</v>
      </c>
      <c r="D2825" s="12" t="str">
        <f ca="1">IFERROR(__xludf.DUMMYFUNCTION("""COMPUTED_VALUE"""),"村上 浩一朗")</f>
        <v>村上 浩一朗</v>
      </c>
    </row>
    <row r="2826" spans="2:4" ht="13">
      <c r="B2826" s="12">
        <f ca="1">IFERROR(__xludf.DUMMYFUNCTION("""COMPUTED_VALUE"""),117424)</f>
        <v>117424</v>
      </c>
      <c r="C2826" s="14">
        <f ca="1">IFERROR(__xludf.DUMMYFUNCTION("""COMPUTED_VALUE"""),0)</f>
        <v>0</v>
      </c>
      <c r="D2826" s="12" t="str">
        <f ca="1">IFERROR(__xludf.DUMMYFUNCTION("""COMPUTED_VALUE"""),"成嶋 夏未")</f>
        <v>成嶋 夏未</v>
      </c>
    </row>
    <row r="2827" spans="2:4" ht="13">
      <c r="B2827" s="12">
        <f ca="1">IFERROR(__xludf.DUMMYFUNCTION("""COMPUTED_VALUE"""),117425)</f>
        <v>117425</v>
      </c>
      <c r="C2827" s="14">
        <f ca="1">IFERROR(__xludf.DUMMYFUNCTION("""COMPUTED_VALUE"""),0)</f>
        <v>0</v>
      </c>
      <c r="D2827" s="12" t="str">
        <f ca="1">IFERROR(__xludf.DUMMYFUNCTION("""COMPUTED_VALUE"""),"稲場 勇介")</f>
        <v>稲場 勇介</v>
      </c>
    </row>
    <row r="2828" spans="2:4" ht="13">
      <c r="B2828" s="12">
        <f ca="1">IFERROR(__xludf.DUMMYFUNCTION("""COMPUTED_VALUE"""),117430)</f>
        <v>117430</v>
      </c>
      <c r="C2828" s="14">
        <f ca="1">IFERROR(__xludf.DUMMYFUNCTION("""COMPUTED_VALUE"""),0)</f>
        <v>0</v>
      </c>
      <c r="D2828" s="12" t="str">
        <f ca="1">IFERROR(__xludf.DUMMYFUNCTION("""COMPUTED_VALUE"""),"栗原 大武")</f>
        <v>栗原 大武</v>
      </c>
    </row>
    <row r="2829" spans="2:4" ht="13">
      <c r="B2829" s="12">
        <f ca="1">IFERROR(__xludf.DUMMYFUNCTION("""COMPUTED_VALUE"""),117431)</f>
        <v>117431</v>
      </c>
      <c r="C2829" s="14">
        <f ca="1">IFERROR(__xludf.DUMMYFUNCTION("""COMPUTED_VALUE"""),62)</f>
        <v>62</v>
      </c>
      <c r="D2829" s="12" t="str">
        <f ca="1">IFERROR(__xludf.DUMMYFUNCTION("""COMPUTED_VALUE"""),"長谷川 陸朗")</f>
        <v>長谷川 陸朗</v>
      </c>
    </row>
    <row r="2830" spans="2:4" ht="13">
      <c r="B2830" s="12">
        <f ca="1">IFERROR(__xludf.DUMMYFUNCTION("""COMPUTED_VALUE"""),117434)</f>
        <v>117434</v>
      </c>
      <c r="C2830" s="14">
        <f ca="1">IFERROR(__xludf.DUMMYFUNCTION("""COMPUTED_VALUE"""),0)</f>
        <v>0</v>
      </c>
      <c r="D2830" s="12" t="str">
        <f ca="1">IFERROR(__xludf.DUMMYFUNCTION("""COMPUTED_VALUE"""),"稲場 勇介")</f>
        <v>稲場 勇介</v>
      </c>
    </row>
    <row r="2831" spans="2:4" ht="13">
      <c r="B2831" s="12">
        <f ca="1">IFERROR(__xludf.DUMMYFUNCTION("""COMPUTED_VALUE"""),117435)</f>
        <v>117435</v>
      </c>
      <c r="C2831" s="14">
        <f ca="1">IFERROR(__xludf.DUMMYFUNCTION("""COMPUTED_VALUE"""),5)</f>
        <v>5</v>
      </c>
      <c r="D2831" s="12" t="str">
        <f ca="1">IFERROR(__xludf.DUMMYFUNCTION("""COMPUTED_VALUE"""),"長谷川 陸朗")</f>
        <v>長谷川 陸朗</v>
      </c>
    </row>
    <row r="2832" spans="2:4" ht="13">
      <c r="B2832" s="12">
        <f ca="1">IFERROR(__xludf.DUMMYFUNCTION("""COMPUTED_VALUE"""),117436)</f>
        <v>117436</v>
      </c>
      <c r="C2832" s="14">
        <f ca="1">IFERROR(__xludf.DUMMYFUNCTION("""COMPUTED_VALUE"""),0)</f>
        <v>0</v>
      </c>
      <c r="D2832" s="12" t="str">
        <f ca="1">IFERROR(__xludf.DUMMYFUNCTION("""COMPUTED_VALUE"""),"小関 麻起")</f>
        <v>小関 麻起</v>
      </c>
    </row>
    <row r="2833" spans="2:4" ht="13">
      <c r="B2833" s="12">
        <f ca="1">IFERROR(__xludf.DUMMYFUNCTION("""COMPUTED_VALUE"""),117440)</f>
        <v>117440</v>
      </c>
      <c r="C2833" s="14">
        <f ca="1">IFERROR(__xludf.DUMMYFUNCTION("""COMPUTED_VALUE"""),0)</f>
        <v>0</v>
      </c>
      <c r="D2833" s="12" t="str">
        <f ca="1">IFERROR(__xludf.DUMMYFUNCTION("""COMPUTED_VALUE"""),"稲場 勇介")</f>
        <v>稲場 勇介</v>
      </c>
    </row>
    <row r="2834" spans="2:4" ht="13">
      <c r="B2834" s="12">
        <f ca="1">IFERROR(__xludf.DUMMYFUNCTION("""COMPUTED_VALUE"""),117443)</f>
        <v>117443</v>
      </c>
      <c r="C2834" s="14">
        <f ca="1">IFERROR(__xludf.DUMMYFUNCTION("""COMPUTED_VALUE"""),8)</f>
        <v>8</v>
      </c>
      <c r="D2834" s="12" t="str">
        <f ca="1">IFERROR(__xludf.DUMMYFUNCTION("""COMPUTED_VALUE"""),"堀越 駿")</f>
        <v>堀越 駿</v>
      </c>
    </row>
    <row r="2835" spans="2:4" ht="13">
      <c r="B2835" s="12">
        <f ca="1">IFERROR(__xludf.DUMMYFUNCTION("""COMPUTED_VALUE"""),117457)</f>
        <v>117457</v>
      </c>
      <c r="C2835" s="14">
        <f ca="1">IFERROR(__xludf.DUMMYFUNCTION("""COMPUTED_VALUE"""),13)</f>
        <v>13</v>
      </c>
      <c r="D2835" s="12" t="str">
        <f ca="1">IFERROR(__xludf.DUMMYFUNCTION("""COMPUTED_VALUE"""),"辻村 将大")</f>
        <v>辻村 将大</v>
      </c>
    </row>
    <row r="2836" spans="2:4" ht="13">
      <c r="B2836" s="12">
        <f ca="1">IFERROR(__xludf.DUMMYFUNCTION("""COMPUTED_VALUE"""),117463)</f>
        <v>117463</v>
      </c>
      <c r="C2836" s="14">
        <f ca="1">IFERROR(__xludf.DUMMYFUNCTION("""COMPUTED_VALUE"""),0)</f>
        <v>0</v>
      </c>
      <c r="D2836" s="12" t="str">
        <f ca="1">IFERROR(__xludf.DUMMYFUNCTION("""COMPUTED_VALUE"""),"成嶋 夏未")</f>
        <v>成嶋 夏未</v>
      </c>
    </row>
    <row r="2837" spans="2:4" ht="13">
      <c r="B2837" s="12">
        <f ca="1">IFERROR(__xludf.DUMMYFUNCTION("""COMPUTED_VALUE"""),117465)</f>
        <v>117465</v>
      </c>
      <c r="C2837" s="14">
        <f ca="1">IFERROR(__xludf.DUMMYFUNCTION("""COMPUTED_VALUE"""),0)</f>
        <v>0</v>
      </c>
      <c r="D2837" s="12" t="str">
        <f ca="1">IFERROR(__xludf.DUMMYFUNCTION("""COMPUTED_VALUE"""),"成嶋 夏未")</f>
        <v>成嶋 夏未</v>
      </c>
    </row>
    <row r="2838" spans="2:4" ht="13">
      <c r="B2838" s="12">
        <f ca="1">IFERROR(__xludf.DUMMYFUNCTION("""COMPUTED_VALUE"""),117471)</f>
        <v>117471</v>
      </c>
      <c r="C2838" s="14">
        <f ca="1">IFERROR(__xludf.DUMMYFUNCTION("""COMPUTED_VALUE"""),0)</f>
        <v>0</v>
      </c>
      <c r="D2838" s="12" t="str">
        <f ca="1">IFERROR(__xludf.DUMMYFUNCTION("""COMPUTED_VALUE"""),"松尾 尚樹")</f>
        <v>松尾 尚樹</v>
      </c>
    </row>
    <row r="2839" spans="2:4" ht="13">
      <c r="B2839" s="12">
        <f ca="1">IFERROR(__xludf.DUMMYFUNCTION("""COMPUTED_VALUE"""),117479)</f>
        <v>117479</v>
      </c>
      <c r="C2839" s="14">
        <f ca="1">IFERROR(__xludf.DUMMYFUNCTION("""COMPUTED_VALUE"""),0)</f>
        <v>0</v>
      </c>
      <c r="D2839" s="12" t="str">
        <f ca="1">IFERROR(__xludf.DUMMYFUNCTION("""COMPUTED_VALUE"""),"小関 麻起")</f>
        <v>小関 麻起</v>
      </c>
    </row>
    <row r="2840" spans="2:4" ht="13">
      <c r="B2840" s="12">
        <f ca="1">IFERROR(__xludf.DUMMYFUNCTION("""COMPUTED_VALUE"""),117497)</f>
        <v>117497</v>
      </c>
      <c r="C2840" s="14">
        <f ca="1">IFERROR(__xludf.DUMMYFUNCTION("""COMPUTED_VALUE"""),0)</f>
        <v>0</v>
      </c>
      <c r="D2840" s="12" t="str">
        <f ca="1">IFERROR(__xludf.DUMMYFUNCTION("""COMPUTED_VALUE"""),"小関 麻起")</f>
        <v>小関 麻起</v>
      </c>
    </row>
    <row r="2841" spans="2:4" ht="13">
      <c r="B2841" s="12">
        <f ca="1">IFERROR(__xludf.DUMMYFUNCTION("""COMPUTED_VALUE"""),117501)</f>
        <v>117501</v>
      </c>
      <c r="C2841" s="14">
        <f ca="1">IFERROR(__xludf.DUMMYFUNCTION("""COMPUTED_VALUE"""),0)</f>
        <v>0</v>
      </c>
      <c r="D2841" s="12" t="str">
        <f ca="1">IFERROR(__xludf.DUMMYFUNCTION("""COMPUTED_VALUE"""),"菅野 ぎんが")</f>
        <v>菅野 ぎんが</v>
      </c>
    </row>
    <row r="2842" spans="2:4" ht="13">
      <c r="B2842" s="12">
        <f ca="1">IFERROR(__xludf.DUMMYFUNCTION("""COMPUTED_VALUE"""),117520)</f>
        <v>117520</v>
      </c>
      <c r="C2842" s="14">
        <f ca="1">IFERROR(__xludf.DUMMYFUNCTION("""COMPUTED_VALUE"""),0)</f>
        <v>0</v>
      </c>
      <c r="D2842" s="12" t="str">
        <f ca="1">IFERROR(__xludf.DUMMYFUNCTION("""COMPUTED_VALUE"""),"小関 麻起")</f>
        <v>小関 麻起</v>
      </c>
    </row>
    <row r="2843" spans="2:4" ht="13">
      <c r="B2843" s="12">
        <f ca="1">IFERROR(__xludf.DUMMYFUNCTION("""COMPUTED_VALUE"""),117524)</f>
        <v>117524</v>
      </c>
      <c r="C2843" s="14">
        <f ca="1">IFERROR(__xludf.DUMMYFUNCTION("""COMPUTED_VALUE"""),1)</f>
        <v>1</v>
      </c>
      <c r="D2843" s="12" t="str">
        <f ca="1">IFERROR(__xludf.DUMMYFUNCTION("""COMPUTED_VALUE"""),"成嶋 夏未")</f>
        <v>成嶋 夏未</v>
      </c>
    </row>
    <row r="2844" spans="2:4" ht="13">
      <c r="B2844" s="12">
        <f ca="1">IFERROR(__xludf.DUMMYFUNCTION("""COMPUTED_VALUE"""),117525)</f>
        <v>117525</v>
      </c>
      <c r="C2844" s="14">
        <f ca="1">IFERROR(__xludf.DUMMYFUNCTION("""COMPUTED_VALUE"""),0)</f>
        <v>0</v>
      </c>
      <c r="D2844" s="12" t="str">
        <f ca="1">IFERROR(__xludf.DUMMYFUNCTION("""COMPUTED_VALUE"""),"成嶋 夏未")</f>
        <v>成嶋 夏未</v>
      </c>
    </row>
    <row r="2845" spans="2:4" ht="13">
      <c r="B2845" s="12">
        <f ca="1">IFERROR(__xludf.DUMMYFUNCTION("""COMPUTED_VALUE"""),117527)</f>
        <v>117527</v>
      </c>
      <c r="C2845" s="14">
        <f ca="1">IFERROR(__xludf.DUMMYFUNCTION("""COMPUTED_VALUE"""),0)</f>
        <v>0</v>
      </c>
      <c r="D2845" s="12" t="str">
        <f ca="1">IFERROR(__xludf.DUMMYFUNCTION("""COMPUTED_VALUE"""),"荻曽 克輝")</f>
        <v>荻曽 克輝</v>
      </c>
    </row>
    <row r="2846" spans="2:4" ht="13">
      <c r="B2846" s="12">
        <f ca="1">IFERROR(__xludf.DUMMYFUNCTION("""COMPUTED_VALUE"""),117528)</f>
        <v>117528</v>
      </c>
      <c r="C2846" s="14">
        <f ca="1">IFERROR(__xludf.DUMMYFUNCTION("""COMPUTED_VALUE"""),0)</f>
        <v>0</v>
      </c>
      <c r="D2846" s="12" t="str">
        <f ca="1">IFERROR(__xludf.DUMMYFUNCTION("""COMPUTED_VALUE"""),"菅野 ぎんが")</f>
        <v>菅野 ぎんが</v>
      </c>
    </row>
    <row r="2847" spans="2:4" ht="13">
      <c r="B2847" s="12">
        <f ca="1">IFERROR(__xludf.DUMMYFUNCTION("""COMPUTED_VALUE"""),117539)</f>
        <v>117539</v>
      </c>
      <c r="C2847" s="14">
        <f ca="1">IFERROR(__xludf.DUMMYFUNCTION("""COMPUTED_VALUE"""),0)</f>
        <v>0</v>
      </c>
      <c r="D2847" s="12" t="str">
        <f ca="1">IFERROR(__xludf.DUMMYFUNCTION("""COMPUTED_VALUE"""),"老田 純輝")</f>
        <v>老田 純輝</v>
      </c>
    </row>
    <row r="2848" spans="2:4" ht="13">
      <c r="B2848" s="12">
        <f ca="1">IFERROR(__xludf.DUMMYFUNCTION("""COMPUTED_VALUE"""),117541)</f>
        <v>117541</v>
      </c>
      <c r="C2848" s="14">
        <f ca="1">IFERROR(__xludf.DUMMYFUNCTION("""COMPUTED_VALUE"""),0)</f>
        <v>0</v>
      </c>
      <c r="D2848" s="12" t="str">
        <f ca="1">IFERROR(__xludf.DUMMYFUNCTION("""COMPUTED_VALUE"""),"成嶋 夏未")</f>
        <v>成嶋 夏未</v>
      </c>
    </row>
    <row r="2849" spans="2:4" ht="13">
      <c r="B2849" s="12">
        <f ca="1">IFERROR(__xludf.DUMMYFUNCTION("""COMPUTED_VALUE"""),117543)</f>
        <v>117543</v>
      </c>
      <c r="C2849" s="14">
        <f ca="1">IFERROR(__xludf.DUMMYFUNCTION("""COMPUTED_VALUE"""),0)</f>
        <v>0</v>
      </c>
      <c r="D2849" s="12" t="str">
        <f ca="1">IFERROR(__xludf.DUMMYFUNCTION("""COMPUTED_VALUE"""),"菅野 ぎんが")</f>
        <v>菅野 ぎんが</v>
      </c>
    </row>
    <row r="2850" spans="2:4" ht="13">
      <c r="B2850" s="12">
        <f ca="1">IFERROR(__xludf.DUMMYFUNCTION("""COMPUTED_VALUE"""),117545)</f>
        <v>117545</v>
      </c>
      <c r="C2850" s="14">
        <f ca="1">IFERROR(__xludf.DUMMYFUNCTION("""COMPUTED_VALUE"""),0)</f>
        <v>0</v>
      </c>
      <c r="D2850" s="12" t="str">
        <f ca="1">IFERROR(__xludf.DUMMYFUNCTION("""COMPUTED_VALUE"""),"稲場 勇介")</f>
        <v>稲場 勇介</v>
      </c>
    </row>
    <row r="2851" spans="2:4" ht="13">
      <c r="B2851" s="12">
        <f ca="1">IFERROR(__xludf.DUMMYFUNCTION("""COMPUTED_VALUE"""),117550)</f>
        <v>117550</v>
      </c>
      <c r="C2851" s="14">
        <f ca="1">IFERROR(__xludf.DUMMYFUNCTION("""COMPUTED_VALUE"""),2)</f>
        <v>2</v>
      </c>
      <c r="D2851" s="12" t="str">
        <f ca="1">IFERROR(__xludf.DUMMYFUNCTION("""COMPUTED_VALUE"""),"松尾 尚樹")</f>
        <v>松尾 尚樹</v>
      </c>
    </row>
    <row r="2852" spans="2:4" ht="13">
      <c r="B2852" s="12">
        <f ca="1">IFERROR(__xludf.DUMMYFUNCTION("""COMPUTED_VALUE"""),117556)</f>
        <v>117556</v>
      </c>
      <c r="C2852" s="14">
        <f ca="1">IFERROR(__xludf.DUMMYFUNCTION("""COMPUTED_VALUE"""),0)</f>
        <v>0</v>
      </c>
      <c r="D2852" s="12" t="str">
        <f ca="1">IFERROR(__xludf.DUMMYFUNCTION("""COMPUTED_VALUE"""),"稲場 勇介")</f>
        <v>稲場 勇介</v>
      </c>
    </row>
    <row r="2853" spans="2:4" ht="13">
      <c r="B2853" s="12">
        <f ca="1">IFERROR(__xludf.DUMMYFUNCTION("""COMPUTED_VALUE"""),117578)</f>
        <v>117578</v>
      </c>
      <c r="C2853" s="14">
        <f ca="1">IFERROR(__xludf.DUMMYFUNCTION("""COMPUTED_VALUE"""),0)</f>
        <v>0</v>
      </c>
      <c r="D2853" s="12" t="str">
        <f ca="1">IFERROR(__xludf.DUMMYFUNCTION("""COMPUTED_VALUE"""),"成嶋 夏未")</f>
        <v>成嶋 夏未</v>
      </c>
    </row>
    <row r="2854" spans="2:4" ht="13">
      <c r="B2854" s="12">
        <f ca="1">IFERROR(__xludf.DUMMYFUNCTION("""COMPUTED_VALUE"""),117579)</f>
        <v>117579</v>
      </c>
      <c r="C2854" s="14">
        <f ca="1">IFERROR(__xludf.DUMMYFUNCTION("""COMPUTED_VALUE"""),0)</f>
        <v>0</v>
      </c>
      <c r="D2854" s="12" t="str">
        <f ca="1">IFERROR(__xludf.DUMMYFUNCTION("""COMPUTED_VALUE"""),"成嶋 夏未")</f>
        <v>成嶋 夏未</v>
      </c>
    </row>
    <row r="2855" spans="2:4" ht="13">
      <c r="B2855" s="12">
        <f ca="1">IFERROR(__xludf.DUMMYFUNCTION("""COMPUTED_VALUE"""),117580)</f>
        <v>117580</v>
      </c>
      <c r="C2855" s="14">
        <f ca="1">IFERROR(__xludf.DUMMYFUNCTION("""COMPUTED_VALUE"""),0)</f>
        <v>0</v>
      </c>
      <c r="D2855" s="12" t="str">
        <f ca="1">IFERROR(__xludf.DUMMYFUNCTION("""COMPUTED_VALUE"""),"桐山 勝気")</f>
        <v>桐山 勝気</v>
      </c>
    </row>
    <row r="2856" spans="2:4" ht="13">
      <c r="B2856" s="12">
        <f ca="1">IFERROR(__xludf.DUMMYFUNCTION("""COMPUTED_VALUE"""),117582)</f>
        <v>117582</v>
      </c>
      <c r="C2856" s="14">
        <f ca="1">IFERROR(__xludf.DUMMYFUNCTION("""COMPUTED_VALUE"""),0)</f>
        <v>0</v>
      </c>
      <c r="D2856" s="12" t="str">
        <f ca="1">IFERROR(__xludf.DUMMYFUNCTION("""COMPUTED_VALUE"""),"堀越 駿")</f>
        <v>堀越 駿</v>
      </c>
    </row>
    <row r="2857" spans="2:4" ht="13">
      <c r="B2857" s="12">
        <f ca="1">IFERROR(__xludf.DUMMYFUNCTION("""COMPUTED_VALUE"""),117583)</f>
        <v>117583</v>
      </c>
      <c r="C2857" s="14">
        <f ca="1">IFERROR(__xludf.DUMMYFUNCTION("""COMPUTED_VALUE"""),0)</f>
        <v>0</v>
      </c>
      <c r="D2857" s="12" t="str">
        <f ca="1">IFERROR(__xludf.DUMMYFUNCTION("""COMPUTED_VALUE"""),"栗原 大武")</f>
        <v>栗原 大武</v>
      </c>
    </row>
    <row r="2858" spans="2:4" ht="13">
      <c r="B2858" s="12">
        <f ca="1">IFERROR(__xludf.DUMMYFUNCTION("""COMPUTED_VALUE"""),117586)</f>
        <v>117586</v>
      </c>
      <c r="C2858" s="14">
        <f ca="1">IFERROR(__xludf.DUMMYFUNCTION("""COMPUTED_VALUE"""),0)</f>
        <v>0</v>
      </c>
      <c r="D2858" s="12" t="str">
        <f ca="1">IFERROR(__xludf.DUMMYFUNCTION("""COMPUTED_VALUE"""),"成嶋 夏未")</f>
        <v>成嶋 夏未</v>
      </c>
    </row>
    <row r="2859" spans="2:4" ht="13">
      <c r="B2859" s="12">
        <f ca="1">IFERROR(__xludf.DUMMYFUNCTION("""COMPUTED_VALUE"""),117588)</f>
        <v>117588</v>
      </c>
      <c r="C2859" s="14">
        <f ca="1">IFERROR(__xludf.DUMMYFUNCTION("""COMPUTED_VALUE"""),0)</f>
        <v>0</v>
      </c>
      <c r="D2859" s="12" t="str">
        <f ca="1">IFERROR(__xludf.DUMMYFUNCTION("""COMPUTED_VALUE"""),"内丸 裕子")</f>
        <v>内丸 裕子</v>
      </c>
    </row>
    <row r="2860" spans="2:4" ht="13">
      <c r="B2860" s="12">
        <f ca="1">IFERROR(__xludf.DUMMYFUNCTION("""COMPUTED_VALUE"""),117604)</f>
        <v>117604</v>
      </c>
      <c r="C2860" s="14">
        <f ca="1">IFERROR(__xludf.DUMMYFUNCTION("""COMPUTED_VALUE"""),0)</f>
        <v>0</v>
      </c>
      <c r="D2860" s="12" t="str">
        <f ca="1">IFERROR(__xludf.DUMMYFUNCTION("""COMPUTED_VALUE"""),"小関 麻起")</f>
        <v>小関 麻起</v>
      </c>
    </row>
    <row r="2861" spans="2:4" ht="13">
      <c r="B2861" s="12">
        <f ca="1">IFERROR(__xludf.DUMMYFUNCTION("""COMPUTED_VALUE"""),117612)</f>
        <v>117612</v>
      </c>
      <c r="C2861" s="14">
        <f ca="1">IFERROR(__xludf.DUMMYFUNCTION("""COMPUTED_VALUE"""),0)</f>
        <v>0</v>
      </c>
      <c r="D2861" s="12" t="str">
        <f ca="1">IFERROR(__xludf.DUMMYFUNCTION("""COMPUTED_VALUE"""),"栗原 大武")</f>
        <v>栗原 大武</v>
      </c>
    </row>
    <row r="2862" spans="2:4" ht="13">
      <c r="B2862" s="12">
        <f ca="1">IFERROR(__xludf.DUMMYFUNCTION("""COMPUTED_VALUE"""),117619)</f>
        <v>117619</v>
      </c>
      <c r="C2862" s="14">
        <f ca="1">IFERROR(__xludf.DUMMYFUNCTION("""COMPUTED_VALUE"""),0)</f>
        <v>0</v>
      </c>
      <c r="D2862" s="12" t="str">
        <f ca="1">IFERROR(__xludf.DUMMYFUNCTION("""COMPUTED_VALUE"""),"堀越 駿")</f>
        <v>堀越 駿</v>
      </c>
    </row>
    <row r="2863" spans="2:4" ht="13">
      <c r="B2863" s="12">
        <f ca="1">IFERROR(__xludf.DUMMYFUNCTION("""COMPUTED_VALUE"""),117620)</f>
        <v>117620</v>
      </c>
      <c r="C2863" s="14">
        <f ca="1">IFERROR(__xludf.DUMMYFUNCTION("""COMPUTED_VALUE"""),395)</f>
        <v>395</v>
      </c>
      <c r="D2863" s="12" t="str">
        <f ca="1">IFERROR(__xludf.DUMMYFUNCTION("""COMPUTED_VALUE"""),"栗原 大武")</f>
        <v>栗原 大武</v>
      </c>
    </row>
    <row r="2864" spans="2:4" ht="13">
      <c r="B2864" s="12">
        <f ca="1">IFERROR(__xludf.DUMMYFUNCTION("""COMPUTED_VALUE"""),117629)</f>
        <v>117629</v>
      </c>
      <c r="C2864" s="14">
        <f ca="1">IFERROR(__xludf.DUMMYFUNCTION("""COMPUTED_VALUE"""),0)</f>
        <v>0</v>
      </c>
      <c r="D2864" s="12" t="str">
        <f ca="1">IFERROR(__xludf.DUMMYFUNCTION("""COMPUTED_VALUE"""),"松尾 尚樹")</f>
        <v>松尾 尚樹</v>
      </c>
    </row>
    <row r="2865" spans="2:4" ht="13">
      <c r="B2865" s="12">
        <f ca="1">IFERROR(__xludf.DUMMYFUNCTION("""COMPUTED_VALUE"""),117633)</f>
        <v>117633</v>
      </c>
      <c r="C2865" s="14">
        <f ca="1">IFERROR(__xludf.DUMMYFUNCTION("""COMPUTED_VALUE"""),1)</f>
        <v>1</v>
      </c>
      <c r="D2865" s="12" t="str">
        <f ca="1">IFERROR(__xludf.DUMMYFUNCTION("""COMPUTED_VALUE"""),"松尾 尚樹")</f>
        <v>松尾 尚樹</v>
      </c>
    </row>
    <row r="2866" spans="2:4" ht="13">
      <c r="B2866" s="12">
        <f ca="1">IFERROR(__xludf.DUMMYFUNCTION("""COMPUTED_VALUE"""),117642)</f>
        <v>117642</v>
      </c>
      <c r="C2866" s="14">
        <f ca="1">IFERROR(__xludf.DUMMYFUNCTION("""COMPUTED_VALUE"""),1)</f>
        <v>1</v>
      </c>
      <c r="D2866" s="12" t="str">
        <f ca="1">IFERROR(__xludf.DUMMYFUNCTION("""COMPUTED_VALUE"""),"大木 優香")</f>
        <v>大木 優香</v>
      </c>
    </row>
    <row r="2867" spans="2:4" ht="13">
      <c r="B2867" s="12">
        <f ca="1">IFERROR(__xludf.DUMMYFUNCTION("""COMPUTED_VALUE"""),117643)</f>
        <v>117643</v>
      </c>
      <c r="C2867" s="14">
        <f ca="1">IFERROR(__xludf.DUMMYFUNCTION("""COMPUTED_VALUE"""),3)</f>
        <v>3</v>
      </c>
      <c r="D2867" s="12" t="str">
        <f ca="1">IFERROR(__xludf.DUMMYFUNCTION("""COMPUTED_VALUE"""),"大木 優香")</f>
        <v>大木 優香</v>
      </c>
    </row>
    <row r="2868" spans="2:4" ht="13">
      <c r="B2868" s="12">
        <f ca="1">IFERROR(__xludf.DUMMYFUNCTION("""COMPUTED_VALUE"""),117644)</f>
        <v>117644</v>
      </c>
      <c r="C2868" s="14">
        <f ca="1">IFERROR(__xludf.DUMMYFUNCTION("""COMPUTED_VALUE"""),0)</f>
        <v>0</v>
      </c>
      <c r="D2868" s="12" t="str">
        <f ca="1">IFERROR(__xludf.DUMMYFUNCTION("""COMPUTED_VALUE"""),"大木 優香")</f>
        <v>大木 優香</v>
      </c>
    </row>
    <row r="2869" spans="2:4" ht="13">
      <c r="B2869" s="12">
        <f ca="1">IFERROR(__xludf.DUMMYFUNCTION("""COMPUTED_VALUE"""),117645)</f>
        <v>117645</v>
      </c>
      <c r="C2869" s="14">
        <f ca="1">IFERROR(__xludf.DUMMYFUNCTION("""COMPUTED_VALUE"""),2)</f>
        <v>2</v>
      </c>
      <c r="D2869" s="12" t="str">
        <f ca="1">IFERROR(__xludf.DUMMYFUNCTION("""COMPUTED_VALUE"""),"大木 優香")</f>
        <v>大木 優香</v>
      </c>
    </row>
    <row r="2870" spans="2:4" ht="13">
      <c r="B2870" s="12">
        <f ca="1">IFERROR(__xludf.DUMMYFUNCTION("""COMPUTED_VALUE"""),117646)</f>
        <v>117646</v>
      </c>
      <c r="C2870" s="14">
        <f ca="1">IFERROR(__xludf.DUMMYFUNCTION("""COMPUTED_VALUE"""),2)</f>
        <v>2</v>
      </c>
      <c r="D2870" s="12" t="str">
        <f ca="1">IFERROR(__xludf.DUMMYFUNCTION("""COMPUTED_VALUE"""),"大木 優香")</f>
        <v>大木 優香</v>
      </c>
    </row>
    <row r="2871" spans="2:4" ht="13">
      <c r="B2871" s="12">
        <f ca="1">IFERROR(__xludf.DUMMYFUNCTION("""COMPUTED_VALUE"""),117647)</f>
        <v>117647</v>
      </c>
      <c r="C2871" s="14">
        <f ca="1">IFERROR(__xludf.DUMMYFUNCTION("""COMPUTED_VALUE"""),2)</f>
        <v>2</v>
      </c>
      <c r="D2871" s="12" t="str">
        <f ca="1">IFERROR(__xludf.DUMMYFUNCTION("""COMPUTED_VALUE"""),"大木 優香")</f>
        <v>大木 優香</v>
      </c>
    </row>
    <row r="2872" spans="2:4" ht="13">
      <c r="B2872" s="12">
        <f ca="1">IFERROR(__xludf.DUMMYFUNCTION("""COMPUTED_VALUE"""),117649)</f>
        <v>117649</v>
      </c>
      <c r="C2872" s="14">
        <f ca="1">IFERROR(__xludf.DUMMYFUNCTION("""COMPUTED_VALUE"""),56)</f>
        <v>56</v>
      </c>
      <c r="D2872" s="12" t="str">
        <f ca="1">IFERROR(__xludf.DUMMYFUNCTION("""COMPUTED_VALUE"""),"老田 純輝")</f>
        <v>老田 純輝</v>
      </c>
    </row>
    <row r="2873" spans="2:4" ht="13">
      <c r="B2873" s="12">
        <f ca="1">IFERROR(__xludf.DUMMYFUNCTION("""COMPUTED_VALUE"""),117655)</f>
        <v>117655</v>
      </c>
      <c r="C2873" s="14">
        <f ca="1">IFERROR(__xludf.DUMMYFUNCTION("""COMPUTED_VALUE"""),0)</f>
        <v>0</v>
      </c>
      <c r="D2873" s="12" t="str">
        <f ca="1">IFERROR(__xludf.DUMMYFUNCTION("""COMPUTED_VALUE"""),"小川 純")</f>
        <v>小川 純</v>
      </c>
    </row>
    <row r="2874" spans="2:4" ht="13">
      <c r="B2874" s="12">
        <f ca="1">IFERROR(__xludf.DUMMYFUNCTION("""COMPUTED_VALUE"""),117663)</f>
        <v>117663</v>
      </c>
      <c r="C2874" s="14">
        <f ca="1">IFERROR(__xludf.DUMMYFUNCTION("""COMPUTED_VALUE"""),35)</f>
        <v>35</v>
      </c>
      <c r="D2874" s="12" t="str">
        <f ca="1">IFERROR(__xludf.DUMMYFUNCTION("""COMPUTED_VALUE"""),"栗原 大武")</f>
        <v>栗原 大武</v>
      </c>
    </row>
    <row r="2875" spans="2:4" ht="13">
      <c r="B2875" s="12">
        <f ca="1">IFERROR(__xludf.DUMMYFUNCTION("""COMPUTED_VALUE"""),117672)</f>
        <v>117672</v>
      </c>
      <c r="C2875" s="14">
        <f ca="1">IFERROR(__xludf.DUMMYFUNCTION("""COMPUTED_VALUE"""),12)</f>
        <v>12</v>
      </c>
      <c r="D2875" s="12" t="str">
        <f ca="1">IFERROR(__xludf.DUMMYFUNCTION("""COMPUTED_VALUE"""),"長谷川 陸朗")</f>
        <v>長谷川 陸朗</v>
      </c>
    </row>
    <row r="2876" spans="2:4" ht="13">
      <c r="B2876" s="12">
        <f ca="1">IFERROR(__xludf.DUMMYFUNCTION("""COMPUTED_VALUE"""),117673)</f>
        <v>117673</v>
      </c>
      <c r="C2876" s="14">
        <f ca="1">IFERROR(__xludf.DUMMYFUNCTION("""COMPUTED_VALUE"""),0)</f>
        <v>0</v>
      </c>
      <c r="D2876" s="12" t="str">
        <f ca="1">IFERROR(__xludf.DUMMYFUNCTION("""COMPUTED_VALUE"""),"老田 純輝")</f>
        <v>老田 純輝</v>
      </c>
    </row>
    <row r="2877" spans="2:4" ht="13">
      <c r="B2877" s="12">
        <f ca="1">IFERROR(__xludf.DUMMYFUNCTION("""COMPUTED_VALUE"""),117677)</f>
        <v>117677</v>
      </c>
      <c r="C2877" s="14">
        <f ca="1">IFERROR(__xludf.DUMMYFUNCTION("""COMPUTED_VALUE"""),0)</f>
        <v>0</v>
      </c>
      <c r="D2877" s="12" t="str">
        <f ca="1">IFERROR(__xludf.DUMMYFUNCTION("""COMPUTED_VALUE"""),"稲場 勇介")</f>
        <v>稲場 勇介</v>
      </c>
    </row>
    <row r="2878" spans="2:4" ht="13">
      <c r="B2878" s="12">
        <f ca="1">IFERROR(__xludf.DUMMYFUNCTION("""COMPUTED_VALUE"""),117681)</f>
        <v>117681</v>
      </c>
      <c r="C2878" s="14">
        <f ca="1">IFERROR(__xludf.DUMMYFUNCTION("""COMPUTED_VALUE"""),51)</f>
        <v>51</v>
      </c>
      <c r="D2878" s="12" t="str">
        <f ca="1">IFERROR(__xludf.DUMMYFUNCTION("""COMPUTED_VALUE"""),"稲場 勇介")</f>
        <v>稲場 勇介</v>
      </c>
    </row>
    <row r="2879" spans="2:4" ht="13">
      <c r="B2879" s="12">
        <f ca="1">IFERROR(__xludf.DUMMYFUNCTION("""COMPUTED_VALUE"""),117685)</f>
        <v>117685</v>
      </c>
      <c r="C2879" s="14">
        <f ca="1">IFERROR(__xludf.DUMMYFUNCTION("""COMPUTED_VALUE"""),5)</f>
        <v>5</v>
      </c>
      <c r="D2879" s="12" t="str">
        <f ca="1">IFERROR(__xludf.DUMMYFUNCTION("""COMPUTED_VALUE"""),"小関 麻起")</f>
        <v>小関 麻起</v>
      </c>
    </row>
    <row r="2880" spans="2:4" ht="13">
      <c r="B2880" s="12">
        <f ca="1">IFERROR(__xludf.DUMMYFUNCTION("""COMPUTED_VALUE"""),117698)</f>
        <v>117698</v>
      </c>
      <c r="C2880" s="14">
        <f ca="1">IFERROR(__xludf.DUMMYFUNCTION("""COMPUTED_VALUE"""),225)</f>
        <v>225</v>
      </c>
      <c r="D2880" s="12" t="str">
        <f ca="1">IFERROR(__xludf.DUMMYFUNCTION("""COMPUTED_VALUE"""),"柿崎 晃司")</f>
        <v>柿崎 晃司</v>
      </c>
    </row>
    <row r="2881" spans="2:4" ht="13">
      <c r="B2881" s="12">
        <f ca="1">IFERROR(__xludf.DUMMYFUNCTION("""COMPUTED_VALUE"""),117701)</f>
        <v>117701</v>
      </c>
      <c r="C2881" s="14">
        <f ca="1">IFERROR(__xludf.DUMMYFUNCTION("""COMPUTED_VALUE"""),13)</f>
        <v>13</v>
      </c>
      <c r="D2881" s="12" t="str">
        <f ca="1">IFERROR(__xludf.DUMMYFUNCTION("""COMPUTED_VALUE"""),"成嶋 夏未")</f>
        <v>成嶋 夏未</v>
      </c>
    </row>
    <row r="2882" spans="2:4" ht="13">
      <c r="B2882" s="12">
        <f ca="1">IFERROR(__xludf.DUMMYFUNCTION("""COMPUTED_VALUE"""),117713)</f>
        <v>117713</v>
      </c>
      <c r="C2882" s="14">
        <f ca="1">IFERROR(__xludf.DUMMYFUNCTION("""COMPUTED_VALUE"""),0)</f>
        <v>0</v>
      </c>
      <c r="D2882" s="12" t="str">
        <f ca="1">IFERROR(__xludf.DUMMYFUNCTION("""COMPUTED_VALUE"""),"桑原 明子")</f>
        <v>桑原 明子</v>
      </c>
    </row>
    <row r="2883" spans="2:4" ht="13">
      <c r="B2883" s="12">
        <f ca="1">IFERROR(__xludf.DUMMYFUNCTION("""COMPUTED_VALUE"""),117714)</f>
        <v>117714</v>
      </c>
      <c r="C2883" s="14">
        <f ca="1">IFERROR(__xludf.DUMMYFUNCTION("""COMPUTED_VALUE"""),0)</f>
        <v>0</v>
      </c>
      <c r="D2883" s="12" t="str">
        <f ca="1">IFERROR(__xludf.DUMMYFUNCTION("""COMPUTED_VALUE"""),"荻曽 克輝")</f>
        <v>荻曽 克輝</v>
      </c>
    </row>
    <row r="2884" spans="2:4" ht="13">
      <c r="B2884" s="12">
        <f ca="1">IFERROR(__xludf.DUMMYFUNCTION("""COMPUTED_VALUE"""),117716)</f>
        <v>117716</v>
      </c>
      <c r="C2884" s="14">
        <f ca="1">IFERROR(__xludf.DUMMYFUNCTION("""COMPUTED_VALUE"""),0)</f>
        <v>0</v>
      </c>
      <c r="D2884" s="12" t="str">
        <f ca="1">IFERROR(__xludf.DUMMYFUNCTION("""COMPUTED_VALUE"""),"長谷川 陸朗")</f>
        <v>長谷川 陸朗</v>
      </c>
    </row>
    <row r="2885" spans="2:4" ht="13">
      <c r="B2885" s="12">
        <f ca="1">IFERROR(__xludf.DUMMYFUNCTION("""COMPUTED_VALUE"""),117718)</f>
        <v>117718</v>
      </c>
      <c r="C2885" s="14">
        <f ca="1">IFERROR(__xludf.DUMMYFUNCTION("""COMPUTED_VALUE"""),11)</f>
        <v>11</v>
      </c>
      <c r="D2885" s="12" t="str">
        <f ca="1">IFERROR(__xludf.DUMMYFUNCTION("""COMPUTED_VALUE"""),"桑原 明子")</f>
        <v>桑原 明子</v>
      </c>
    </row>
    <row r="2886" spans="2:4" ht="13">
      <c r="B2886" s="12">
        <f ca="1">IFERROR(__xludf.DUMMYFUNCTION("""COMPUTED_VALUE"""),117737)</f>
        <v>117737</v>
      </c>
      <c r="C2886" s="14">
        <f ca="1">IFERROR(__xludf.DUMMYFUNCTION("""COMPUTED_VALUE"""),9)</f>
        <v>9</v>
      </c>
      <c r="D2886" s="12" t="str">
        <f ca="1">IFERROR(__xludf.DUMMYFUNCTION("""COMPUTED_VALUE"""),"辻村 将大")</f>
        <v>辻村 将大</v>
      </c>
    </row>
    <row r="2887" spans="2:4" ht="13">
      <c r="B2887" s="12">
        <f ca="1">IFERROR(__xludf.DUMMYFUNCTION("""COMPUTED_VALUE"""),117752)</f>
        <v>117752</v>
      </c>
      <c r="C2887" s="14">
        <f ca="1">IFERROR(__xludf.DUMMYFUNCTION("""COMPUTED_VALUE"""),2)</f>
        <v>2</v>
      </c>
      <c r="D2887" s="12" t="str">
        <f ca="1">IFERROR(__xludf.DUMMYFUNCTION("""COMPUTED_VALUE"""),"稲場 勇介")</f>
        <v>稲場 勇介</v>
      </c>
    </row>
    <row r="2888" spans="2:4" ht="13">
      <c r="B2888" s="12">
        <f ca="1">IFERROR(__xludf.DUMMYFUNCTION("""COMPUTED_VALUE"""),117756)</f>
        <v>117756</v>
      </c>
      <c r="C2888" s="14">
        <f ca="1">IFERROR(__xludf.DUMMYFUNCTION("""COMPUTED_VALUE"""),0)</f>
        <v>0</v>
      </c>
      <c r="D2888" s="12" t="str">
        <f ca="1">IFERROR(__xludf.DUMMYFUNCTION("""COMPUTED_VALUE"""),"菅野 ぎんが")</f>
        <v>菅野 ぎんが</v>
      </c>
    </row>
    <row r="2889" spans="2:4" ht="13">
      <c r="B2889" s="12">
        <f ca="1">IFERROR(__xludf.DUMMYFUNCTION("""COMPUTED_VALUE"""),117764)</f>
        <v>117764</v>
      </c>
      <c r="C2889" s="14">
        <f ca="1">IFERROR(__xludf.DUMMYFUNCTION("""COMPUTED_VALUE"""),0)</f>
        <v>0</v>
      </c>
      <c r="D2889" s="12" t="str">
        <f ca="1">IFERROR(__xludf.DUMMYFUNCTION("""COMPUTED_VALUE"""),"成嶋 夏未")</f>
        <v>成嶋 夏未</v>
      </c>
    </row>
    <row r="2890" spans="2:4" ht="13">
      <c r="B2890" s="12">
        <f ca="1">IFERROR(__xludf.DUMMYFUNCTION("""COMPUTED_VALUE"""),117766)</f>
        <v>117766</v>
      </c>
      <c r="C2890" s="14">
        <f ca="1">IFERROR(__xludf.DUMMYFUNCTION("""COMPUTED_VALUE"""),3)</f>
        <v>3</v>
      </c>
      <c r="D2890" s="12" t="str">
        <f ca="1">IFERROR(__xludf.DUMMYFUNCTION("""COMPUTED_VALUE"""),"老田 純輝")</f>
        <v>老田 純輝</v>
      </c>
    </row>
    <row r="2891" spans="2:4" ht="13">
      <c r="B2891" s="12">
        <f ca="1">IFERROR(__xludf.DUMMYFUNCTION("""COMPUTED_VALUE"""),117783)</f>
        <v>117783</v>
      </c>
      <c r="C2891" s="14">
        <f ca="1">IFERROR(__xludf.DUMMYFUNCTION("""COMPUTED_VALUE"""),8)</f>
        <v>8</v>
      </c>
      <c r="D2891" s="12" t="str">
        <f ca="1">IFERROR(__xludf.DUMMYFUNCTION("""COMPUTED_VALUE"""),"田嶋 将太")</f>
        <v>田嶋 将太</v>
      </c>
    </row>
    <row r="2892" spans="2:4" ht="13">
      <c r="B2892" s="12">
        <f ca="1">IFERROR(__xludf.DUMMYFUNCTION("""COMPUTED_VALUE"""),117786)</f>
        <v>117786</v>
      </c>
      <c r="C2892" s="14">
        <f ca="1">IFERROR(__xludf.DUMMYFUNCTION("""COMPUTED_VALUE"""),2)</f>
        <v>2</v>
      </c>
      <c r="D2892" s="12" t="str">
        <f ca="1">IFERROR(__xludf.DUMMYFUNCTION("""COMPUTED_VALUE"""),"稲場 勇介")</f>
        <v>稲場 勇介</v>
      </c>
    </row>
    <row r="2893" spans="2:4" ht="13">
      <c r="B2893" s="12">
        <f ca="1">IFERROR(__xludf.DUMMYFUNCTION("""COMPUTED_VALUE"""),117788)</f>
        <v>117788</v>
      </c>
      <c r="C2893" s="14">
        <f ca="1">IFERROR(__xludf.DUMMYFUNCTION("""COMPUTED_VALUE"""),0)</f>
        <v>0</v>
      </c>
      <c r="D2893" s="12" t="str">
        <f ca="1">IFERROR(__xludf.DUMMYFUNCTION("""COMPUTED_VALUE"""),"成嶋 夏未")</f>
        <v>成嶋 夏未</v>
      </c>
    </row>
    <row r="2894" spans="2:4" ht="13">
      <c r="B2894" s="12">
        <f ca="1">IFERROR(__xludf.DUMMYFUNCTION("""COMPUTED_VALUE"""),117796)</f>
        <v>117796</v>
      </c>
      <c r="C2894" s="14">
        <f ca="1">IFERROR(__xludf.DUMMYFUNCTION("""COMPUTED_VALUE"""),3)</f>
        <v>3</v>
      </c>
      <c r="D2894" s="12" t="str">
        <f ca="1">IFERROR(__xludf.DUMMYFUNCTION("""COMPUTED_VALUE"""),"芳賀 亮輔")</f>
        <v>芳賀 亮輔</v>
      </c>
    </row>
    <row r="2895" spans="2:4" ht="13">
      <c r="B2895" s="12">
        <f ca="1">IFERROR(__xludf.DUMMYFUNCTION("""COMPUTED_VALUE"""),117797)</f>
        <v>117797</v>
      </c>
      <c r="C2895" s="14">
        <f ca="1">IFERROR(__xludf.DUMMYFUNCTION("""COMPUTED_VALUE"""),56)</f>
        <v>56</v>
      </c>
      <c r="D2895" s="12" t="str">
        <f ca="1">IFERROR(__xludf.DUMMYFUNCTION("""COMPUTED_VALUE"""),"内丸 裕子")</f>
        <v>内丸 裕子</v>
      </c>
    </row>
    <row r="2896" spans="2:4" ht="13">
      <c r="B2896" s="12">
        <f ca="1">IFERROR(__xludf.DUMMYFUNCTION("""COMPUTED_VALUE"""),117800)</f>
        <v>117800</v>
      </c>
      <c r="C2896" s="14">
        <f ca="1">IFERROR(__xludf.DUMMYFUNCTION("""COMPUTED_VALUE"""),4)</f>
        <v>4</v>
      </c>
      <c r="D2896" s="12" t="str">
        <f ca="1">IFERROR(__xludf.DUMMYFUNCTION("""COMPUTED_VALUE"""),"松尾 尚樹")</f>
        <v>松尾 尚樹</v>
      </c>
    </row>
    <row r="2897" spans="2:4" ht="13">
      <c r="B2897" s="12">
        <f ca="1">IFERROR(__xludf.DUMMYFUNCTION("""COMPUTED_VALUE"""),117803)</f>
        <v>117803</v>
      </c>
      <c r="C2897" s="14">
        <f ca="1">IFERROR(__xludf.DUMMYFUNCTION("""COMPUTED_VALUE"""),52)</f>
        <v>52</v>
      </c>
      <c r="D2897" s="12" t="str">
        <f ca="1">IFERROR(__xludf.DUMMYFUNCTION("""COMPUTED_VALUE"""),"村上 浩一朗")</f>
        <v>村上 浩一朗</v>
      </c>
    </row>
    <row r="2898" spans="2:4" ht="13">
      <c r="B2898" s="12">
        <f ca="1">IFERROR(__xludf.DUMMYFUNCTION("""COMPUTED_VALUE"""),117812)</f>
        <v>117812</v>
      </c>
      <c r="C2898" s="14">
        <f ca="1">IFERROR(__xludf.DUMMYFUNCTION("""COMPUTED_VALUE"""),20)</f>
        <v>20</v>
      </c>
      <c r="D2898" s="12" t="str">
        <f ca="1">IFERROR(__xludf.DUMMYFUNCTION("""COMPUTED_VALUE"""),"稲場 勇介")</f>
        <v>稲場 勇介</v>
      </c>
    </row>
    <row r="2899" spans="2:4" ht="13">
      <c r="B2899" s="12">
        <f ca="1">IFERROR(__xludf.DUMMYFUNCTION("""COMPUTED_VALUE"""),117814)</f>
        <v>117814</v>
      </c>
      <c r="C2899" s="14">
        <f ca="1">IFERROR(__xludf.DUMMYFUNCTION("""COMPUTED_VALUE"""),123)</f>
        <v>123</v>
      </c>
      <c r="D2899" s="12" t="str">
        <f ca="1">IFERROR(__xludf.DUMMYFUNCTION("""COMPUTED_VALUE"""),"辻村 将大")</f>
        <v>辻村 将大</v>
      </c>
    </row>
    <row r="2900" spans="2:4" ht="13">
      <c r="B2900" s="12">
        <f ca="1">IFERROR(__xludf.DUMMYFUNCTION("""COMPUTED_VALUE"""),117815)</f>
        <v>117815</v>
      </c>
      <c r="C2900" s="14">
        <f ca="1">IFERROR(__xludf.DUMMYFUNCTION("""COMPUTED_VALUE"""),6)</f>
        <v>6</v>
      </c>
      <c r="D2900" s="12" t="str">
        <f ca="1">IFERROR(__xludf.DUMMYFUNCTION("""COMPUTED_VALUE"""),"成嶋 夏未")</f>
        <v>成嶋 夏未</v>
      </c>
    </row>
    <row r="2901" spans="2:4" ht="13">
      <c r="B2901" s="12">
        <f ca="1">IFERROR(__xludf.DUMMYFUNCTION("""COMPUTED_VALUE"""),117819)</f>
        <v>117819</v>
      </c>
      <c r="C2901" s="14">
        <f ca="1">IFERROR(__xludf.DUMMYFUNCTION("""COMPUTED_VALUE"""),0)</f>
        <v>0</v>
      </c>
      <c r="D2901" s="12" t="str">
        <f ca="1">IFERROR(__xludf.DUMMYFUNCTION("""COMPUTED_VALUE"""),"桐山 勝気")</f>
        <v>桐山 勝気</v>
      </c>
    </row>
    <row r="2902" spans="2:4" ht="13">
      <c r="B2902" s="12">
        <f ca="1">IFERROR(__xludf.DUMMYFUNCTION("""COMPUTED_VALUE"""),117821)</f>
        <v>117821</v>
      </c>
      <c r="C2902" s="14">
        <f ca="1">IFERROR(__xludf.DUMMYFUNCTION("""COMPUTED_VALUE"""),0)</f>
        <v>0</v>
      </c>
      <c r="D2902" s="12" t="str">
        <f ca="1">IFERROR(__xludf.DUMMYFUNCTION("""COMPUTED_VALUE"""),"菅野 ぎんが")</f>
        <v>菅野 ぎんが</v>
      </c>
    </row>
    <row r="2903" spans="2:4" ht="13">
      <c r="B2903" s="12">
        <f ca="1">IFERROR(__xludf.DUMMYFUNCTION("""COMPUTED_VALUE"""),117829)</f>
        <v>117829</v>
      </c>
      <c r="C2903" s="14">
        <f ca="1">IFERROR(__xludf.DUMMYFUNCTION("""COMPUTED_VALUE"""),61)</f>
        <v>61</v>
      </c>
      <c r="D2903" s="12" t="str">
        <f ca="1">IFERROR(__xludf.DUMMYFUNCTION("""COMPUTED_VALUE"""),"堀越 駿")</f>
        <v>堀越 駿</v>
      </c>
    </row>
    <row r="2904" spans="2:4" ht="13">
      <c r="B2904" s="12">
        <f ca="1">IFERROR(__xludf.DUMMYFUNCTION("""COMPUTED_VALUE"""),117832)</f>
        <v>117832</v>
      </c>
      <c r="C2904" s="14">
        <f ca="1">IFERROR(__xludf.DUMMYFUNCTION("""COMPUTED_VALUE"""),0)</f>
        <v>0</v>
      </c>
      <c r="D2904" s="12" t="str">
        <f ca="1">IFERROR(__xludf.DUMMYFUNCTION("""COMPUTED_VALUE"""),"松尾 尚樹")</f>
        <v>松尾 尚樹</v>
      </c>
    </row>
    <row r="2905" spans="2:4" ht="13">
      <c r="B2905" s="12">
        <f ca="1">IFERROR(__xludf.DUMMYFUNCTION("""COMPUTED_VALUE"""),117844)</f>
        <v>117844</v>
      </c>
      <c r="C2905" s="14">
        <f ca="1">IFERROR(__xludf.DUMMYFUNCTION("""COMPUTED_VALUE"""),0)</f>
        <v>0</v>
      </c>
      <c r="D2905" s="12" t="str">
        <f ca="1">IFERROR(__xludf.DUMMYFUNCTION("""COMPUTED_VALUE"""),"小関 麻起")</f>
        <v>小関 麻起</v>
      </c>
    </row>
    <row r="2906" spans="2:4" ht="13">
      <c r="B2906" s="12">
        <f ca="1">IFERROR(__xludf.DUMMYFUNCTION("""COMPUTED_VALUE"""),117845)</f>
        <v>117845</v>
      </c>
      <c r="C2906" s="14">
        <f ca="1">IFERROR(__xludf.DUMMYFUNCTION("""COMPUTED_VALUE"""),1)</f>
        <v>1</v>
      </c>
      <c r="D2906" s="12" t="str">
        <f ca="1">IFERROR(__xludf.DUMMYFUNCTION("""COMPUTED_VALUE"""),"栗原 大武")</f>
        <v>栗原 大武</v>
      </c>
    </row>
    <row r="2907" spans="2:4" ht="13">
      <c r="B2907" s="12">
        <f ca="1">IFERROR(__xludf.DUMMYFUNCTION("""COMPUTED_VALUE"""),117847)</f>
        <v>117847</v>
      </c>
      <c r="C2907" s="14">
        <f ca="1">IFERROR(__xludf.DUMMYFUNCTION("""COMPUTED_VALUE"""),0)</f>
        <v>0</v>
      </c>
      <c r="D2907" s="12" t="str">
        <f ca="1">IFERROR(__xludf.DUMMYFUNCTION("""COMPUTED_VALUE"""),"松尾 尚樹")</f>
        <v>松尾 尚樹</v>
      </c>
    </row>
    <row r="2908" spans="2:4" ht="13">
      <c r="B2908" s="12">
        <f ca="1">IFERROR(__xludf.DUMMYFUNCTION("""COMPUTED_VALUE"""),117861)</f>
        <v>117861</v>
      </c>
      <c r="C2908" s="14">
        <f ca="1">IFERROR(__xludf.DUMMYFUNCTION("""COMPUTED_VALUE"""),30)</f>
        <v>30</v>
      </c>
      <c r="D2908" s="12" t="str">
        <f ca="1">IFERROR(__xludf.DUMMYFUNCTION("""COMPUTED_VALUE"""),"川島 幹也")</f>
        <v>川島 幹也</v>
      </c>
    </row>
    <row r="2909" spans="2:4" ht="13">
      <c r="B2909" s="12">
        <f ca="1">IFERROR(__xludf.DUMMYFUNCTION("""COMPUTED_VALUE"""),117870)</f>
        <v>117870</v>
      </c>
      <c r="C2909" s="14">
        <f ca="1">IFERROR(__xludf.DUMMYFUNCTION("""COMPUTED_VALUE"""),0)</f>
        <v>0</v>
      </c>
      <c r="D2909" s="12" t="str">
        <f ca="1">IFERROR(__xludf.DUMMYFUNCTION("""COMPUTED_VALUE"""),"成嶋 夏未")</f>
        <v>成嶋 夏未</v>
      </c>
    </row>
    <row r="2910" spans="2:4" ht="13">
      <c r="B2910" s="12">
        <f ca="1">IFERROR(__xludf.DUMMYFUNCTION("""COMPUTED_VALUE"""),117871)</f>
        <v>117871</v>
      </c>
      <c r="C2910" s="14">
        <f ca="1">IFERROR(__xludf.DUMMYFUNCTION("""COMPUTED_VALUE"""),0)</f>
        <v>0</v>
      </c>
      <c r="D2910" s="12" t="str">
        <f ca="1">IFERROR(__xludf.DUMMYFUNCTION("""COMPUTED_VALUE"""),"成嶋 夏未")</f>
        <v>成嶋 夏未</v>
      </c>
    </row>
    <row r="2911" spans="2:4" ht="13">
      <c r="B2911" s="12">
        <f ca="1">IFERROR(__xludf.DUMMYFUNCTION("""COMPUTED_VALUE"""),117882)</f>
        <v>117882</v>
      </c>
      <c r="C2911" s="14">
        <f ca="1">IFERROR(__xludf.DUMMYFUNCTION("""COMPUTED_VALUE"""),0)</f>
        <v>0</v>
      </c>
      <c r="D2911" s="12" t="str">
        <f ca="1">IFERROR(__xludf.DUMMYFUNCTION("""COMPUTED_VALUE"""),"辻村 将大")</f>
        <v>辻村 将大</v>
      </c>
    </row>
    <row r="2912" spans="2:4" ht="13">
      <c r="B2912" s="12">
        <f ca="1">IFERROR(__xludf.DUMMYFUNCTION("""COMPUTED_VALUE"""),117884)</f>
        <v>117884</v>
      </c>
      <c r="C2912" s="14">
        <f ca="1">IFERROR(__xludf.DUMMYFUNCTION("""COMPUTED_VALUE"""),0)</f>
        <v>0</v>
      </c>
      <c r="D2912" s="12" t="str">
        <f ca="1">IFERROR(__xludf.DUMMYFUNCTION("""COMPUTED_VALUE"""),"長谷川 陸朗")</f>
        <v>長谷川 陸朗</v>
      </c>
    </row>
    <row r="2913" spans="2:4" ht="13">
      <c r="B2913" s="12">
        <f ca="1">IFERROR(__xludf.DUMMYFUNCTION("""COMPUTED_VALUE"""),117893)</f>
        <v>117893</v>
      </c>
      <c r="C2913" s="14">
        <f ca="1">IFERROR(__xludf.DUMMYFUNCTION("""COMPUTED_VALUE"""),9)</f>
        <v>9</v>
      </c>
      <c r="D2913" s="12" t="str">
        <f ca="1">IFERROR(__xludf.DUMMYFUNCTION("""COMPUTED_VALUE"""),"老田 純輝")</f>
        <v>老田 純輝</v>
      </c>
    </row>
    <row r="2914" spans="2:4" ht="13">
      <c r="B2914" s="12">
        <f ca="1">IFERROR(__xludf.DUMMYFUNCTION("""COMPUTED_VALUE"""),117899)</f>
        <v>117899</v>
      </c>
      <c r="C2914" s="14">
        <f ca="1">IFERROR(__xludf.DUMMYFUNCTION("""COMPUTED_VALUE"""),0)</f>
        <v>0</v>
      </c>
      <c r="D2914" s="12" t="str">
        <f ca="1">IFERROR(__xludf.DUMMYFUNCTION("""COMPUTED_VALUE"""),"川島 幹也")</f>
        <v>川島 幹也</v>
      </c>
    </row>
    <row r="2915" spans="2:4" ht="13">
      <c r="B2915" s="12">
        <f ca="1">IFERROR(__xludf.DUMMYFUNCTION("""COMPUTED_VALUE"""),117909)</f>
        <v>117909</v>
      </c>
      <c r="C2915" s="14">
        <f ca="1">IFERROR(__xludf.DUMMYFUNCTION("""COMPUTED_VALUE"""),0)</f>
        <v>0</v>
      </c>
      <c r="D2915" s="12" t="str">
        <f ca="1">IFERROR(__xludf.DUMMYFUNCTION("""COMPUTED_VALUE"""),"稲場 勇介")</f>
        <v>稲場 勇介</v>
      </c>
    </row>
    <row r="2916" spans="2:4" ht="13">
      <c r="B2916" s="12">
        <f ca="1">IFERROR(__xludf.DUMMYFUNCTION("""COMPUTED_VALUE"""),117912)</f>
        <v>117912</v>
      </c>
      <c r="C2916" s="14">
        <f ca="1">IFERROR(__xludf.DUMMYFUNCTION("""COMPUTED_VALUE"""),0)</f>
        <v>0</v>
      </c>
      <c r="D2916" s="12" t="str">
        <f ca="1">IFERROR(__xludf.DUMMYFUNCTION("""COMPUTED_VALUE"""),"桐山 勝気")</f>
        <v>桐山 勝気</v>
      </c>
    </row>
    <row r="2917" spans="2:4" ht="13">
      <c r="B2917" s="12">
        <f ca="1">IFERROR(__xludf.DUMMYFUNCTION("""COMPUTED_VALUE"""),117917)</f>
        <v>117917</v>
      </c>
      <c r="C2917" s="14">
        <f ca="1">IFERROR(__xludf.DUMMYFUNCTION("""COMPUTED_VALUE"""),0)</f>
        <v>0</v>
      </c>
      <c r="D2917" s="12" t="str">
        <f ca="1">IFERROR(__xludf.DUMMYFUNCTION("""COMPUTED_VALUE"""),"内丸 裕子")</f>
        <v>内丸 裕子</v>
      </c>
    </row>
    <row r="2918" spans="2:4" ht="13">
      <c r="B2918" s="12">
        <f ca="1">IFERROR(__xludf.DUMMYFUNCTION("""COMPUTED_VALUE"""),117921)</f>
        <v>117921</v>
      </c>
      <c r="C2918" s="14">
        <f ca="1">IFERROR(__xludf.DUMMYFUNCTION("""COMPUTED_VALUE"""),0)</f>
        <v>0</v>
      </c>
      <c r="D2918" s="12" t="str">
        <f ca="1">IFERROR(__xludf.DUMMYFUNCTION("""COMPUTED_VALUE"""),"稲場 勇介")</f>
        <v>稲場 勇介</v>
      </c>
    </row>
    <row r="2919" spans="2:4" ht="13">
      <c r="B2919" s="12">
        <f ca="1">IFERROR(__xludf.DUMMYFUNCTION("""COMPUTED_VALUE"""),117926)</f>
        <v>117926</v>
      </c>
      <c r="C2919" s="14">
        <f ca="1">IFERROR(__xludf.DUMMYFUNCTION("""COMPUTED_VALUE"""),0)</f>
        <v>0</v>
      </c>
      <c r="D2919" s="12" t="str">
        <f ca="1">IFERROR(__xludf.DUMMYFUNCTION("""COMPUTED_VALUE"""),"桐山 勝気")</f>
        <v>桐山 勝気</v>
      </c>
    </row>
    <row r="2920" spans="2:4" ht="13">
      <c r="B2920" s="12">
        <f ca="1">IFERROR(__xludf.DUMMYFUNCTION("""COMPUTED_VALUE"""),117929)</f>
        <v>117929</v>
      </c>
      <c r="C2920" s="14">
        <f ca="1">IFERROR(__xludf.DUMMYFUNCTION("""COMPUTED_VALUE"""),0)</f>
        <v>0</v>
      </c>
      <c r="D2920" s="12" t="str">
        <f ca="1">IFERROR(__xludf.DUMMYFUNCTION("""COMPUTED_VALUE"""),"松尾 尚樹")</f>
        <v>松尾 尚樹</v>
      </c>
    </row>
    <row r="2921" spans="2:4" ht="13">
      <c r="B2921" s="12">
        <f ca="1">IFERROR(__xludf.DUMMYFUNCTION("""COMPUTED_VALUE"""),117930)</f>
        <v>117930</v>
      </c>
      <c r="C2921" s="14">
        <f ca="1">IFERROR(__xludf.DUMMYFUNCTION("""COMPUTED_VALUE"""),0)</f>
        <v>0</v>
      </c>
      <c r="D2921" s="12" t="str">
        <f ca="1">IFERROR(__xludf.DUMMYFUNCTION("""COMPUTED_VALUE"""),"桑原 明子")</f>
        <v>桑原 明子</v>
      </c>
    </row>
    <row r="2922" spans="2:4" ht="13">
      <c r="B2922" s="12">
        <f ca="1">IFERROR(__xludf.DUMMYFUNCTION("""COMPUTED_VALUE"""),117947)</f>
        <v>117947</v>
      </c>
      <c r="C2922" s="14">
        <f ca="1">IFERROR(__xludf.DUMMYFUNCTION("""COMPUTED_VALUE"""),4)</f>
        <v>4</v>
      </c>
      <c r="D2922" s="12" t="str">
        <f ca="1">IFERROR(__xludf.DUMMYFUNCTION("""COMPUTED_VALUE"""),"菅野 ぎんが")</f>
        <v>菅野 ぎんが</v>
      </c>
    </row>
    <row r="2923" spans="2:4" ht="13">
      <c r="B2923" s="12">
        <f ca="1">IFERROR(__xludf.DUMMYFUNCTION("""COMPUTED_VALUE"""),117951)</f>
        <v>117951</v>
      </c>
      <c r="C2923" s="14">
        <f ca="1">IFERROR(__xludf.DUMMYFUNCTION("""COMPUTED_VALUE"""),3)</f>
        <v>3</v>
      </c>
      <c r="D2923" s="12" t="str">
        <f ca="1">IFERROR(__xludf.DUMMYFUNCTION("""COMPUTED_VALUE"""),"村上 浩一朗")</f>
        <v>村上 浩一朗</v>
      </c>
    </row>
    <row r="2924" spans="2:4" ht="13">
      <c r="B2924" s="12">
        <f ca="1">IFERROR(__xludf.DUMMYFUNCTION("""COMPUTED_VALUE"""),117969)</f>
        <v>117969</v>
      </c>
      <c r="C2924" s="14">
        <f ca="1">IFERROR(__xludf.DUMMYFUNCTION("""COMPUTED_VALUE"""),17)</f>
        <v>17</v>
      </c>
      <c r="D2924" s="12" t="str">
        <f ca="1">IFERROR(__xludf.DUMMYFUNCTION("""COMPUTED_VALUE"""),"奥野 貴大")</f>
        <v>奥野 貴大</v>
      </c>
    </row>
    <row r="2925" spans="2:4" ht="13">
      <c r="B2925" s="12">
        <f ca="1">IFERROR(__xludf.DUMMYFUNCTION("""COMPUTED_VALUE"""),117970)</f>
        <v>117970</v>
      </c>
      <c r="C2925" s="14">
        <f ca="1">IFERROR(__xludf.DUMMYFUNCTION("""COMPUTED_VALUE"""),5)</f>
        <v>5</v>
      </c>
      <c r="D2925" s="12" t="str">
        <f ca="1">IFERROR(__xludf.DUMMYFUNCTION("""COMPUTED_VALUE"""),"小関 麻起")</f>
        <v>小関 麻起</v>
      </c>
    </row>
    <row r="2926" spans="2:4" ht="13">
      <c r="B2926" s="12">
        <f ca="1">IFERROR(__xludf.DUMMYFUNCTION("""COMPUTED_VALUE"""),117987)</f>
        <v>117987</v>
      </c>
      <c r="C2926" s="14">
        <f ca="1">IFERROR(__xludf.DUMMYFUNCTION("""COMPUTED_VALUE"""),5)</f>
        <v>5</v>
      </c>
      <c r="D2926" s="12" t="str">
        <f ca="1">IFERROR(__xludf.DUMMYFUNCTION("""COMPUTED_VALUE"""),"桑原 明子")</f>
        <v>桑原 明子</v>
      </c>
    </row>
    <row r="2927" spans="2:4" ht="13">
      <c r="B2927" s="12">
        <f ca="1">IFERROR(__xludf.DUMMYFUNCTION("""COMPUTED_VALUE"""),117989)</f>
        <v>117989</v>
      </c>
      <c r="C2927" s="14">
        <f ca="1">IFERROR(__xludf.DUMMYFUNCTION("""COMPUTED_VALUE"""),10)</f>
        <v>10</v>
      </c>
      <c r="D2927" s="12" t="str">
        <f ca="1">IFERROR(__xludf.DUMMYFUNCTION("""COMPUTED_VALUE"""),"成嶋 夏未")</f>
        <v>成嶋 夏未</v>
      </c>
    </row>
    <row r="2928" spans="2:4" ht="13">
      <c r="B2928" s="12">
        <f ca="1">IFERROR(__xludf.DUMMYFUNCTION("""COMPUTED_VALUE"""),117991)</f>
        <v>117991</v>
      </c>
      <c r="C2928" s="14">
        <f ca="1">IFERROR(__xludf.DUMMYFUNCTION("""COMPUTED_VALUE"""),0)</f>
        <v>0</v>
      </c>
      <c r="D2928" s="12" t="str">
        <f ca="1">IFERROR(__xludf.DUMMYFUNCTION("""COMPUTED_VALUE"""),"小川 純")</f>
        <v>小川 純</v>
      </c>
    </row>
    <row r="2929" spans="2:4" ht="13">
      <c r="B2929" s="12">
        <f ca="1">IFERROR(__xludf.DUMMYFUNCTION("""COMPUTED_VALUE"""),117992)</f>
        <v>117992</v>
      </c>
      <c r="C2929" s="14">
        <f ca="1">IFERROR(__xludf.DUMMYFUNCTION("""COMPUTED_VALUE"""),7)</f>
        <v>7</v>
      </c>
      <c r="D2929" s="12" t="str">
        <f ca="1">IFERROR(__xludf.DUMMYFUNCTION("""COMPUTED_VALUE"""),"栗原 大武")</f>
        <v>栗原 大武</v>
      </c>
    </row>
    <row r="2930" spans="2:4" ht="13">
      <c r="B2930" s="12">
        <f ca="1">IFERROR(__xludf.DUMMYFUNCTION("""COMPUTED_VALUE"""),118007)</f>
        <v>118007</v>
      </c>
      <c r="C2930" s="14">
        <f ca="1">IFERROR(__xludf.DUMMYFUNCTION("""COMPUTED_VALUE"""),21)</f>
        <v>21</v>
      </c>
      <c r="D2930" s="12" t="str">
        <f ca="1">IFERROR(__xludf.DUMMYFUNCTION("""COMPUTED_VALUE"""),"芳賀 亮輔")</f>
        <v>芳賀 亮輔</v>
      </c>
    </row>
    <row r="2931" spans="2:4" ht="13">
      <c r="B2931" s="12">
        <f ca="1">IFERROR(__xludf.DUMMYFUNCTION("""COMPUTED_VALUE"""),118008)</f>
        <v>118008</v>
      </c>
      <c r="C2931" s="14">
        <f ca="1">IFERROR(__xludf.DUMMYFUNCTION("""COMPUTED_VALUE"""),38)</f>
        <v>38</v>
      </c>
      <c r="D2931" s="12" t="str">
        <f ca="1">IFERROR(__xludf.DUMMYFUNCTION("""COMPUTED_VALUE"""),"稲場 勇介")</f>
        <v>稲場 勇介</v>
      </c>
    </row>
    <row r="2932" spans="2:4" ht="13">
      <c r="B2932" s="12">
        <f ca="1">IFERROR(__xludf.DUMMYFUNCTION("""COMPUTED_VALUE"""),118028)</f>
        <v>118028</v>
      </c>
      <c r="C2932" s="14">
        <f ca="1">IFERROR(__xludf.DUMMYFUNCTION("""COMPUTED_VALUE"""),5)</f>
        <v>5</v>
      </c>
      <c r="D2932" s="12" t="str">
        <f ca="1">IFERROR(__xludf.DUMMYFUNCTION("""COMPUTED_VALUE"""),"小川 純")</f>
        <v>小川 純</v>
      </c>
    </row>
    <row r="2933" spans="2:4" ht="13">
      <c r="B2933" s="12">
        <f ca="1">IFERROR(__xludf.DUMMYFUNCTION("""COMPUTED_VALUE"""),118070)</f>
        <v>118070</v>
      </c>
      <c r="C2933" s="14">
        <f ca="1">IFERROR(__xludf.DUMMYFUNCTION("""COMPUTED_VALUE"""),119)</f>
        <v>119</v>
      </c>
      <c r="D2933" s="12" t="str">
        <f ca="1">IFERROR(__xludf.DUMMYFUNCTION("""COMPUTED_VALUE"""),"松尾 尚樹")</f>
        <v>松尾 尚樹</v>
      </c>
    </row>
    <row r="2934" spans="2:4" ht="13">
      <c r="B2934" s="12">
        <f ca="1">IFERROR(__xludf.DUMMYFUNCTION("""COMPUTED_VALUE"""),118080)</f>
        <v>118080</v>
      </c>
      <c r="C2934" s="14">
        <f ca="1">IFERROR(__xludf.DUMMYFUNCTION("""COMPUTED_VALUE"""),0)</f>
        <v>0</v>
      </c>
      <c r="D2934" s="12" t="str">
        <f ca="1">IFERROR(__xludf.DUMMYFUNCTION("""COMPUTED_VALUE"""),"菅野 ぎんが")</f>
        <v>菅野 ぎんが</v>
      </c>
    </row>
    <row r="2935" spans="2:4" ht="13">
      <c r="B2935" s="12">
        <f ca="1">IFERROR(__xludf.DUMMYFUNCTION("""COMPUTED_VALUE"""),118081)</f>
        <v>118081</v>
      </c>
      <c r="C2935" s="14">
        <f ca="1">IFERROR(__xludf.DUMMYFUNCTION("""COMPUTED_VALUE"""),0)</f>
        <v>0</v>
      </c>
      <c r="D2935" s="12" t="str">
        <f ca="1">IFERROR(__xludf.DUMMYFUNCTION("""COMPUTED_VALUE"""),"菅野 ぎんが")</f>
        <v>菅野 ぎんが</v>
      </c>
    </row>
    <row r="2936" spans="2:4" ht="13">
      <c r="B2936" s="12">
        <f ca="1">IFERROR(__xludf.DUMMYFUNCTION("""COMPUTED_VALUE"""),118085)</f>
        <v>118085</v>
      </c>
      <c r="C2936" s="14">
        <f ca="1">IFERROR(__xludf.DUMMYFUNCTION("""COMPUTED_VALUE"""),7)</f>
        <v>7</v>
      </c>
      <c r="D2936" s="12" t="str">
        <f ca="1">IFERROR(__xludf.DUMMYFUNCTION("""COMPUTED_VALUE"""),"長谷川 陸朗")</f>
        <v>長谷川 陸朗</v>
      </c>
    </row>
    <row r="2937" spans="2:4" ht="13">
      <c r="B2937" s="12">
        <f ca="1">IFERROR(__xludf.DUMMYFUNCTION("""COMPUTED_VALUE"""),118091)</f>
        <v>118091</v>
      </c>
      <c r="C2937" s="14">
        <f ca="1">IFERROR(__xludf.DUMMYFUNCTION("""COMPUTED_VALUE"""),0)</f>
        <v>0</v>
      </c>
      <c r="D2937" s="12" t="str">
        <f ca="1">IFERROR(__xludf.DUMMYFUNCTION("""COMPUTED_VALUE"""),"桑原 明子")</f>
        <v>桑原 明子</v>
      </c>
    </row>
    <row r="2938" spans="2:4" ht="13">
      <c r="B2938" s="12">
        <f ca="1">IFERROR(__xludf.DUMMYFUNCTION("""COMPUTED_VALUE"""),118098)</f>
        <v>118098</v>
      </c>
      <c r="C2938" s="14">
        <f ca="1">IFERROR(__xludf.DUMMYFUNCTION("""COMPUTED_VALUE"""),0)</f>
        <v>0</v>
      </c>
      <c r="D2938" s="12" t="str">
        <f ca="1">IFERROR(__xludf.DUMMYFUNCTION("""COMPUTED_VALUE"""),"松尾 尚樹")</f>
        <v>松尾 尚樹</v>
      </c>
    </row>
    <row r="2939" spans="2:4" ht="13">
      <c r="B2939" s="12">
        <f ca="1">IFERROR(__xludf.DUMMYFUNCTION("""COMPUTED_VALUE"""),118101)</f>
        <v>118101</v>
      </c>
      <c r="C2939" s="14">
        <f ca="1">IFERROR(__xludf.DUMMYFUNCTION("""COMPUTED_VALUE"""),2)</f>
        <v>2</v>
      </c>
      <c r="D2939" s="12" t="str">
        <f ca="1">IFERROR(__xludf.DUMMYFUNCTION("""COMPUTED_VALUE"""),"堀越 駿")</f>
        <v>堀越 駿</v>
      </c>
    </row>
    <row r="2940" spans="2:4" ht="13">
      <c r="B2940" s="12">
        <f ca="1">IFERROR(__xludf.DUMMYFUNCTION("""COMPUTED_VALUE"""),118102)</f>
        <v>118102</v>
      </c>
      <c r="C2940" s="14">
        <f ca="1">IFERROR(__xludf.DUMMYFUNCTION("""COMPUTED_VALUE"""),19)</f>
        <v>19</v>
      </c>
      <c r="D2940" s="12" t="str">
        <f ca="1">IFERROR(__xludf.DUMMYFUNCTION("""COMPUTED_VALUE"""),"桐山 勝気")</f>
        <v>桐山 勝気</v>
      </c>
    </row>
    <row r="2941" spans="2:4" ht="13">
      <c r="B2941" s="12">
        <f ca="1">IFERROR(__xludf.DUMMYFUNCTION("""COMPUTED_VALUE"""),118104)</f>
        <v>118104</v>
      </c>
      <c r="C2941" s="14">
        <f ca="1">IFERROR(__xludf.DUMMYFUNCTION("""COMPUTED_VALUE"""),3)</f>
        <v>3</v>
      </c>
      <c r="D2941" s="12" t="str">
        <f ca="1">IFERROR(__xludf.DUMMYFUNCTION("""COMPUTED_VALUE"""),"成嶋 夏未")</f>
        <v>成嶋 夏未</v>
      </c>
    </row>
    <row r="2942" spans="2:4" ht="13">
      <c r="B2942" s="12">
        <f ca="1">IFERROR(__xludf.DUMMYFUNCTION("""COMPUTED_VALUE"""),118113)</f>
        <v>118113</v>
      </c>
      <c r="C2942" s="14">
        <f ca="1">IFERROR(__xludf.DUMMYFUNCTION("""COMPUTED_VALUE"""),9)</f>
        <v>9</v>
      </c>
      <c r="D2942" s="12" t="str">
        <f ca="1">IFERROR(__xludf.DUMMYFUNCTION("""COMPUTED_VALUE"""),"成嶋 夏未")</f>
        <v>成嶋 夏未</v>
      </c>
    </row>
    <row r="2943" spans="2:4" ht="13">
      <c r="B2943" s="12">
        <f ca="1">IFERROR(__xludf.DUMMYFUNCTION("""COMPUTED_VALUE"""),118114)</f>
        <v>118114</v>
      </c>
      <c r="C2943" s="14">
        <f ca="1">IFERROR(__xludf.DUMMYFUNCTION("""COMPUTED_VALUE"""),26)</f>
        <v>26</v>
      </c>
      <c r="D2943" s="12" t="str">
        <f ca="1">IFERROR(__xludf.DUMMYFUNCTION("""COMPUTED_VALUE"""),"成嶋 夏未")</f>
        <v>成嶋 夏未</v>
      </c>
    </row>
    <row r="2944" spans="2:4" ht="13">
      <c r="B2944" s="12">
        <f ca="1">IFERROR(__xludf.DUMMYFUNCTION("""COMPUTED_VALUE"""),118115)</f>
        <v>118115</v>
      </c>
      <c r="C2944" s="14">
        <f ca="1">IFERROR(__xludf.DUMMYFUNCTION("""COMPUTED_VALUE"""),62)</f>
        <v>62</v>
      </c>
      <c r="D2944" s="12" t="str">
        <f ca="1">IFERROR(__xludf.DUMMYFUNCTION("""COMPUTED_VALUE"""),"芳賀 亮輔")</f>
        <v>芳賀 亮輔</v>
      </c>
    </row>
    <row r="2945" spans="2:4" ht="13">
      <c r="B2945" s="12">
        <f ca="1">IFERROR(__xludf.DUMMYFUNCTION("""COMPUTED_VALUE"""),118116)</f>
        <v>118116</v>
      </c>
      <c r="C2945" s="14">
        <f ca="1">IFERROR(__xludf.DUMMYFUNCTION("""COMPUTED_VALUE"""),4)</f>
        <v>4</v>
      </c>
      <c r="D2945" s="12" t="str">
        <f ca="1">IFERROR(__xludf.DUMMYFUNCTION("""COMPUTED_VALUE"""),"小関 麻起")</f>
        <v>小関 麻起</v>
      </c>
    </row>
    <row r="2946" spans="2:4" ht="13">
      <c r="B2946" s="12">
        <f ca="1">IFERROR(__xludf.DUMMYFUNCTION("""COMPUTED_VALUE"""),118122)</f>
        <v>118122</v>
      </c>
      <c r="C2946" s="14">
        <f ca="1">IFERROR(__xludf.DUMMYFUNCTION("""COMPUTED_VALUE"""),0)</f>
        <v>0</v>
      </c>
      <c r="D2946" s="12" t="str">
        <f ca="1">IFERROR(__xludf.DUMMYFUNCTION("""COMPUTED_VALUE"""),"小川 純")</f>
        <v>小川 純</v>
      </c>
    </row>
    <row r="2947" spans="2:4" ht="13">
      <c r="B2947" s="12">
        <f ca="1">IFERROR(__xludf.DUMMYFUNCTION("""COMPUTED_VALUE"""),118125)</f>
        <v>118125</v>
      </c>
      <c r="C2947" s="14">
        <f ca="1">IFERROR(__xludf.DUMMYFUNCTION("""COMPUTED_VALUE"""),10)</f>
        <v>10</v>
      </c>
      <c r="D2947" s="12" t="str">
        <f ca="1">IFERROR(__xludf.DUMMYFUNCTION("""COMPUTED_VALUE"""),"成嶋 夏未")</f>
        <v>成嶋 夏未</v>
      </c>
    </row>
    <row r="2948" spans="2:4" ht="13">
      <c r="B2948" s="12">
        <f ca="1">IFERROR(__xludf.DUMMYFUNCTION("""COMPUTED_VALUE"""),118126)</f>
        <v>118126</v>
      </c>
      <c r="C2948" s="14">
        <f ca="1">IFERROR(__xludf.DUMMYFUNCTION("""COMPUTED_VALUE"""),4)</f>
        <v>4</v>
      </c>
      <c r="D2948" s="12" t="str">
        <f ca="1">IFERROR(__xludf.DUMMYFUNCTION("""COMPUTED_VALUE"""),"老田 純輝")</f>
        <v>老田 純輝</v>
      </c>
    </row>
    <row r="2949" spans="2:4" ht="13">
      <c r="B2949" s="12">
        <f ca="1">IFERROR(__xludf.DUMMYFUNCTION("""COMPUTED_VALUE"""),118128)</f>
        <v>118128</v>
      </c>
      <c r="C2949" s="14">
        <f ca="1">IFERROR(__xludf.DUMMYFUNCTION("""COMPUTED_VALUE"""),0)</f>
        <v>0</v>
      </c>
      <c r="D2949" s="12" t="str">
        <f ca="1">IFERROR(__xludf.DUMMYFUNCTION("""COMPUTED_VALUE"""),"内丸 裕子")</f>
        <v>内丸 裕子</v>
      </c>
    </row>
    <row r="2950" spans="2:4" ht="13">
      <c r="B2950" s="12">
        <f ca="1">IFERROR(__xludf.DUMMYFUNCTION("""COMPUTED_VALUE"""),118134)</f>
        <v>118134</v>
      </c>
      <c r="C2950" s="14">
        <f ca="1">IFERROR(__xludf.DUMMYFUNCTION("""COMPUTED_VALUE"""),0)</f>
        <v>0</v>
      </c>
      <c r="D2950" s="12" t="str">
        <f ca="1">IFERROR(__xludf.DUMMYFUNCTION("""COMPUTED_VALUE"""),"菅野 ぎんが")</f>
        <v>菅野 ぎんが</v>
      </c>
    </row>
    <row r="2951" spans="2:4" ht="13">
      <c r="B2951" s="12">
        <f ca="1">IFERROR(__xludf.DUMMYFUNCTION("""COMPUTED_VALUE"""),118136)</f>
        <v>118136</v>
      </c>
      <c r="C2951" s="14">
        <f ca="1">IFERROR(__xludf.DUMMYFUNCTION("""COMPUTED_VALUE"""),0)</f>
        <v>0</v>
      </c>
      <c r="D2951" s="12" t="str">
        <f ca="1">IFERROR(__xludf.DUMMYFUNCTION("""COMPUTED_VALUE"""),"辻村 将大")</f>
        <v>辻村 将大</v>
      </c>
    </row>
    <row r="2952" spans="2:4" ht="13">
      <c r="B2952" s="12">
        <f ca="1">IFERROR(__xludf.DUMMYFUNCTION("""COMPUTED_VALUE"""),118137)</f>
        <v>118137</v>
      </c>
      <c r="C2952" s="14">
        <f ca="1">IFERROR(__xludf.DUMMYFUNCTION("""COMPUTED_VALUE"""),29)</f>
        <v>29</v>
      </c>
      <c r="D2952" s="12" t="str">
        <f ca="1">IFERROR(__xludf.DUMMYFUNCTION("""COMPUTED_VALUE"""),"桐山 勝気")</f>
        <v>桐山 勝気</v>
      </c>
    </row>
    <row r="2953" spans="2:4" ht="13">
      <c r="B2953" s="12">
        <f ca="1">IFERROR(__xludf.DUMMYFUNCTION("""COMPUTED_VALUE"""),118140)</f>
        <v>118140</v>
      </c>
      <c r="C2953" s="14">
        <f ca="1">IFERROR(__xludf.DUMMYFUNCTION("""COMPUTED_VALUE"""),5)</f>
        <v>5</v>
      </c>
      <c r="D2953" s="12" t="str">
        <f ca="1">IFERROR(__xludf.DUMMYFUNCTION("""COMPUTED_VALUE"""),"奥野 貴大")</f>
        <v>奥野 貴大</v>
      </c>
    </row>
    <row r="2954" spans="2:4" ht="13">
      <c r="B2954" s="12">
        <f ca="1">IFERROR(__xludf.DUMMYFUNCTION("""COMPUTED_VALUE"""),118148)</f>
        <v>118148</v>
      </c>
      <c r="C2954" s="14">
        <f ca="1">IFERROR(__xludf.DUMMYFUNCTION("""COMPUTED_VALUE"""),23)</f>
        <v>23</v>
      </c>
      <c r="D2954" s="12" t="str">
        <f ca="1">IFERROR(__xludf.DUMMYFUNCTION("""COMPUTED_VALUE"""),"柿崎 晃司")</f>
        <v>柿崎 晃司</v>
      </c>
    </row>
    <row r="2955" spans="2:4" ht="13">
      <c r="B2955" s="12">
        <f ca="1">IFERROR(__xludf.DUMMYFUNCTION("""COMPUTED_VALUE"""),118155)</f>
        <v>118155</v>
      </c>
      <c r="C2955" s="14">
        <f ca="1">IFERROR(__xludf.DUMMYFUNCTION("""COMPUTED_VALUE"""),43)</f>
        <v>43</v>
      </c>
      <c r="D2955" s="12" t="str">
        <f ca="1">IFERROR(__xludf.DUMMYFUNCTION("""COMPUTED_VALUE"""),"老田 純輝")</f>
        <v>老田 純輝</v>
      </c>
    </row>
    <row r="2956" spans="2:4" ht="13">
      <c r="B2956" s="12">
        <f ca="1">IFERROR(__xludf.DUMMYFUNCTION("""COMPUTED_VALUE"""),118158)</f>
        <v>118158</v>
      </c>
      <c r="C2956" s="14">
        <f ca="1">IFERROR(__xludf.DUMMYFUNCTION("""COMPUTED_VALUE"""),1)</f>
        <v>1</v>
      </c>
      <c r="D2956" s="12" t="str">
        <f ca="1">IFERROR(__xludf.DUMMYFUNCTION("""COMPUTED_VALUE"""),"辻村 将大")</f>
        <v>辻村 将大</v>
      </c>
    </row>
    <row r="2957" spans="2:4" ht="13">
      <c r="B2957" s="12">
        <f ca="1">IFERROR(__xludf.DUMMYFUNCTION("""COMPUTED_VALUE"""),118164)</f>
        <v>118164</v>
      </c>
      <c r="C2957" s="14">
        <f ca="1">IFERROR(__xludf.DUMMYFUNCTION("""COMPUTED_VALUE"""),0)</f>
        <v>0</v>
      </c>
      <c r="D2957" s="12" t="str">
        <f ca="1">IFERROR(__xludf.DUMMYFUNCTION("""COMPUTED_VALUE"""),"稲場 勇介")</f>
        <v>稲場 勇介</v>
      </c>
    </row>
    <row r="2958" spans="2:4" ht="13">
      <c r="B2958" s="12">
        <f ca="1">IFERROR(__xludf.DUMMYFUNCTION("""COMPUTED_VALUE"""),118166)</f>
        <v>118166</v>
      </c>
      <c r="C2958" s="14">
        <f ca="1">IFERROR(__xludf.DUMMYFUNCTION("""COMPUTED_VALUE"""),7)</f>
        <v>7</v>
      </c>
      <c r="D2958" s="12" t="str">
        <f ca="1">IFERROR(__xludf.DUMMYFUNCTION("""COMPUTED_VALUE"""),"森 光智")</f>
        <v>森 光智</v>
      </c>
    </row>
    <row r="2959" spans="2:4" ht="13">
      <c r="B2959" s="12">
        <f ca="1">IFERROR(__xludf.DUMMYFUNCTION("""COMPUTED_VALUE"""),118167)</f>
        <v>118167</v>
      </c>
      <c r="C2959" s="14">
        <f ca="1">IFERROR(__xludf.DUMMYFUNCTION("""COMPUTED_VALUE"""),6)</f>
        <v>6</v>
      </c>
      <c r="D2959" s="12" t="str">
        <f ca="1">IFERROR(__xludf.DUMMYFUNCTION("""COMPUTED_VALUE"""),"田嶋 将太")</f>
        <v>田嶋 将太</v>
      </c>
    </row>
    <row r="2960" spans="2:4" ht="13">
      <c r="B2960" s="12">
        <f ca="1">IFERROR(__xludf.DUMMYFUNCTION("""COMPUTED_VALUE"""),118178)</f>
        <v>118178</v>
      </c>
      <c r="C2960" s="14">
        <f ca="1">IFERROR(__xludf.DUMMYFUNCTION("""COMPUTED_VALUE"""),10)</f>
        <v>10</v>
      </c>
      <c r="D2960" s="12" t="str">
        <f ca="1">IFERROR(__xludf.DUMMYFUNCTION("""COMPUTED_VALUE"""),"桐山 勝気")</f>
        <v>桐山 勝気</v>
      </c>
    </row>
    <row r="2961" spans="2:4" ht="13">
      <c r="B2961" s="12">
        <f ca="1">IFERROR(__xludf.DUMMYFUNCTION("""COMPUTED_VALUE"""),118179)</f>
        <v>118179</v>
      </c>
      <c r="C2961" s="14">
        <f ca="1">IFERROR(__xludf.DUMMYFUNCTION("""COMPUTED_VALUE"""),0)</f>
        <v>0</v>
      </c>
      <c r="D2961" s="12" t="str">
        <f ca="1">IFERROR(__xludf.DUMMYFUNCTION("""COMPUTED_VALUE"""),"老田 純輝")</f>
        <v>老田 純輝</v>
      </c>
    </row>
    <row r="2962" spans="2:4" ht="13">
      <c r="B2962" s="12">
        <f ca="1">IFERROR(__xludf.DUMMYFUNCTION("""COMPUTED_VALUE"""),118186)</f>
        <v>118186</v>
      </c>
      <c r="C2962" s="14">
        <f ca="1">IFERROR(__xludf.DUMMYFUNCTION("""COMPUTED_VALUE"""),5)</f>
        <v>5</v>
      </c>
      <c r="D2962" s="12" t="str">
        <f ca="1">IFERROR(__xludf.DUMMYFUNCTION("""COMPUTED_VALUE"""),"川島 幹也")</f>
        <v>川島 幹也</v>
      </c>
    </row>
    <row r="2963" spans="2:4" ht="13">
      <c r="B2963" s="12">
        <f ca="1">IFERROR(__xludf.DUMMYFUNCTION("""COMPUTED_VALUE"""),118188)</f>
        <v>118188</v>
      </c>
      <c r="C2963" s="14">
        <f ca="1">IFERROR(__xludf.DUMMYFUNCTION("""COMPUTED_VALUE"""),0)</f>
        <v>0</v>
      </c>
      <c r="D2963" s="12" t="str">
        <f ca="1">IFERROR(__xludf.DUMMYFUNCTION("""COMPUTED_VALUE"""),"村上 浩一朗")</f>
        <v>村上 浩一朗</v>
      </c>
    </row>
    <row r="2964" spans="2:4" ht="13">
      <c r="B2964" s="12">
        <f ca="1">IFERROR(__xludf.DUMMYFUNCTION("""COMPUTED_VALUE"""),118201)</f>
        <v>118201</v>
      </c>
      <c r="C2964" s="14">
        <f ca="1">IFERROR(__xludf.DUMMYFUNCTION("""COMPUTED_VALUE"""),5)</f>
        <v>5</v>
      </c>
      <c r="D2964" s="12" t="str">
        <f ca="1">IFERROR(__xludf.DUMMYFUNCTION("""COMPUTED_VALUE"""),"栗原 大武")</f>
        <v>栗原 大武</v>
      </c>
    </row>
    <row r="2965" spans="2:4" ht="13">
      <c r="B2965" s="12">
        <f ca="1">IFERROR(__xludf.DUMMYFUNCTION("""COMPUTED_VALUE"""),118206)</f>
        <v>118206</v>
      </c>
      <c r="C2965" s="14">
        <f ca="1">IFERROR(__xludf.DUMMYFUNCTION("""COMPUTED_VALUE"""),0)</f>
        <v>0</v>
      </c>
      <c r="D2965" s="12" t="str">
        <f ca="1">IFERROR(__xludf.DUMMYFUNCTION("""COMPUTED_VALUE"""),"菅野 ぎんが")</f>
        <v>菅野 ぎんが</v>
      </c>
    </row>
    <row r="2966" spans="2:4" ht="13">
      <c r="B2966" s="12">
        <f ca="1">IFERROR(__xludf.DUMMYFUNCTION("""COMPUTED_VALUE"""),118216)</f>
        <v>118216</v>
      </c>
      <c r="C2966" s="14">
        <f ca="1">IFERROR(__xludf.DUMMYFUNCTION("""COMPUTED_VALUE"""),1)</f>
        <v>1</v>
      </c>
      <c r="D2966" s="12" t="str">
        <f ca="1">IFERROR(__xludf.DUMMYFUNCTION("""COMPUTED_VALUE"""),"成嶋 夏未")</f>
        <v>成嶋 夏未</v>
      </c>
    </row>
    <row r="2967" spans="2:4" ht="13">
      <c r="B2967" s="12">
        <f ca="1">IFERROR(__xludf.DUMMYFUNCTION("""COMPUTED_VALUE"""),118217)</f>
        <v>118217</v>
      </c>
      <c r="C2967" s="14">
        <f ca="1">IFERROR(__xludf.DUMMYFUNCTION("""COMPUTED_VALUE"""),142)</f>
        <v>142</v>
      </c>
      <c r="D2967" s="12" t="str">
        <f ca="1">IFERROR(__xludf.DUMMYFUNCTION("""COMPUTED_VALUE"""),"柿崎 晃司")</f>
        <v>柿崎 晃司</v>
      </c>
    </row>
    <row r="2968" spans="2:4" ht="13">
      <c r="B2968" s="12">
        <f ca="1">IFERROR(__xludf.DUMMYFUNCTION("""COMPUTED_VALUE"""),118229)</f>
        <v>118229</v>
      </c>
      <c r="C2968" s="14">
        <f ca="1">IFERROR(__xludf.DUMMYFUNCTION("""COMPUTED_VALUE"""),11)</f>
        <v>11</v>
      </c>
      <c r="D2968" s="12" t="str">
        <f ca="1">IFERROR(__xludf.DUMMYFUNCTION("""COMPUTED_VALUE"""),"小川 純")</f>
        <v>小川 純</v>
      </c>
    </row>
    <row r="2969" spans="2:4" ht="13">
      <c r="B2969" s="12">
        <f ca="1">IFERROR(__xludf.DUMMYFUNCTION("""COMPUTED_VALUE"""),118237)</f>
        <v>118237</v>
      </c>
      <c r="C2969" s="14">
        <f ca="1">IFERROR(__xludf.DUMMYFUNCTION("""COMPUTED_VALUE"""),0)</f>
        <v>0</v>
      </c>
      <c r="D2969" s="12" t="str">
        <f ca="1">IFERROR(__xludf.DUMMYFUNCTION("""COMPUTED_VALUE"""),"老田 純輝")</f>
        <v>老田 純輝</v>
      </c>
    </row>
    <row r="2970" spans="2:4" ht="13">
      <c r="B2970" s="12">
        <f ca="1">IFERROR(__xludf.DUMMYFUNCTION("""COMPUTED_VALUE"""),118239)</f>
        <v>118239</v>
      </c>
      <c r="C2970" s="14">
        <f ca="1">IFERROR(__xludf.DUMMYFUNCTION("""COMPUTED_VALUE"""),0)</f>
        <v>0</v>
      </c>
      <c r="D2970" s="12" t="str">
        <f ca="1">IFERROR(__xludf.DUMMYFUNCTION("""COMPUTED_VALUE"""),"菅野 ぎんが")</f>
        <v>菅野 ぎんが</v>
      </c>
    </row>
    <row r="2971" spans="2:4" ht="13">
      <c r="B2971" s="12">
        <f ca="1">IFERROR(__xludf.DUMMYFUNCTION("""COMPUTED_VALUE"""),118240)</f>
        <v>118240</v>
      </c>
      <c r="C2971" s="14">
        <f ca="1">IFERROR(__xludf.DUMMYFUNCTION("""COMPUTED_VALUE"""),43)</f>
        <v>43</v>
      </c>
      <c r="D2971" s="12" t="str">
        <f ca="1">IFERROR(__xludf.DUMMYFUNCTION("""COMPUTED_VALUE"""),"菅野 ぎんが")</f>
        <v>菅野 ぎんが</v>
      </c>
    </row>
    <row r="2972" spans="2:4" ht="13">
      <c r="B2972" s="12">
        <f ca="1">IFERROR(__xludf.DUMMYFUNCTION("""COMPUTED_VALUE"""),118244)</f>
        <v>118244</v>
      </c>
      <c r="C2972" s="14">
        <f ca="1">IFERROR(__xludf.DUMMYFUNCTION("""COMPUTED_VALUE"""),1)</f>
        <v>1</v>
      </c>
      <c r="D2972" s="12" t="str">
        <f ca="1">IFERROR(__xludf.DUMMYFUNCTION("""COMPUTED_VALUE"""),"稲場 勇介")</f>
        <v>稲場 勇介</v>
      </c>
    </row>
    <row r="2973" spans="2:4" ht="13">
      <c r="B2973" s="12">
        <f ca="1">IFERROR(__xludf.DUMMYFUNCTION("""COMPUTED_VALUE"""),118251)</f>
        <v>118251</v>
      </c>
      <c r="C2973" s="14">
        <f ca="1">IFERROR(__xludf.DUMMYFUNCTION("""COMPUTED_VALUE"""),24)</f>
        <v>24</v>
      </c>
      <c r="D2973" s="12" t="str">
        <f ca="1">IFERROR(__xludf.DUMMYFUNCTION("""COMPUTED_VALUE"""),"松尾 尚樹")</f>
        <v>松尾 尚樹</v>
      </c>
    </row>
    <row r="2974" spans="2:4" ht="13">
      <c r="B2974" s="12">
        <f ca="1">IFERROR(__xludf.DUMMYFUNCTION("""COMPUTED_VALUE"""),118258)</f>
        <v>118258</v>
      </c>
      <c r="C2974" s="14">
        <f ca="1">IFERROR(__xludf.DUMMYFUNCTION("""COMPUTED_VALUE"""),7)</f>
        <v>7</v>
      </c>
      <c r="D2974" s="12" t="str">
        <f ca="1">IFERROR(__xludf.DUMMYFUNCTION("""COMPUTED_VALUE"""),"堀越 駿")</f>
        <v>堀越 駿</v>
      </c>
    </row>
    <row r="2975" spans="2:4" ht="13">
      <c r="B2975" s="12">
        <f ca="1">IFERROR(__xludf.DUMMYFUNCTION("""COMPUTED_VALUE"""),118263)</f>
        <v>118263</v>
      </c>
      <c r="C2975" s="14">
        <f ca="1">IFERROR(__xludf.DUMMYFUNCTION("""COMPUTED_VALUE"""),0)</f>
        <v>0</v>
      </c>
      <c r="D2975" s="12" t="str">
        <f ca="1">IFERROR(__xludf.DUMMYFUNCTION("""COMPUTED_VALUE"""),"森 光智")</f>
        <v>森 光智</v>
      </c>
    </row>
    <row r="2976" spans="2:4" ht="13">
      <c r="B2976" s="12">
        <f ca="1">IFERROR(__xludf.DUMMYFUNCTION("""COMPUTED_VALUE"""),118267)</f>
        <v>118267</v>
      </c>
      <c r="C2976" s="14">
        <f ca="1">IFERROR(__xludf.DUMMYFUNCTION("""COMPUTED_VALUE"""),0)</f>
        <v>0</v>
      </c>
      <c r="D2976" s="12" t="str">
        <f ca="1">IFERROR(__xludf.DUMMYFUNCTION("""COMPUTED_VALUE"""),"稲場 勇介")</f>
        <v>稲場 勇介</v>
      </c>
    </row>
    <row r="2977" spans="2:4" ht="13">
      <c r="B2977" s="12">
        <f ca="1">IFERROR(__xludf.DUMMYFUNCTION("""COMPUTED_VALUE"""),118271)</f>
        <v>118271</v>
      </c>
      <c r="C2977" s="14">
        <f ca="1">IFERROR(__xludf.DUMMYFUNCTION("""COMPUTED_VALUE"""),13)</f>
        <v>13</v>
      </c>
      <c r="D2977" s="12" t="str">
        <f ca="1">IFERROR(__xludf.DUMMYFUNCTION("""COMPUTED_VALUE"""),"松尾 尚樹")</f>
        <v>松尾 尚樹</v>
      </c>
    </row>
    <row r="2978" spans="2:4" ht="13">
      <c r="B2978" s="12">
        <f ca="1">IFERROR(__xludf.DUMMYFUNCTION("""COMPUTED_VALUE"""),118272)</f>
        <v>118272</v>
      </c>
      <c r="C2978" s="14">
        <f ca="1">IFERROR(__xludf.DUMMYFUNCTION("""COMPUTED_VALUE"""),0)</f>
        <v>0</v>
      </c>
      <c r="D2978" s="12" t="str">
        <f ca="1">IFERROR(__xludf.DUMMYFUNCTION("""COMPUTED_VALUE"""),"田嶋 将太")</f>
        <v>田嶋 将太</v>
      </c>
    </row>
    <row r="2979" spans="2:4" ht="13">
      <c r="B2979" s="12">
        <f ca="1">IFERROR(__xludf.DUMMYFUNCTION("""COMPUTED_VALUE"""),118273)</f>
        <v>118273</v>
      </c>
      <c r="C2979" s="14">
        <f ca="1">IFERROR(__xludf.DUMMYFUNCTION("""COMPUTED_VALUE"""),0)</f>
        <v>0</v>
      </c>
      <c r="D2979" s="12" t="str">
        <f ca="1">IFERROR(__xludf.DUMMYFUNCTION("""COMPUTED_VALUE"""),"老田 純輝")</f>
        <v>老田 純輝</v>
      </c>
    </row>
    <row r="2980" spans="2:4" ht="13">
      <c r="B2980" s="12">
        <f ca="1">IFERROR(__xludf.DUMMYFUNCTION("""COMPUTED_VALUE"""),118278)</f>
        <v>118278</v>
      </c>
      <c r="C2980" s="14">
        <f ca="1">IFERROR(__xludf.DUMMYFUNCTION("""COMPUTED_VALUE"""),20)</f>
        <v>20</v>
      </c>
      <c r="D2980" s="12" t="str">
        <f ca="1">IFERROR(__xludf.DUMMYFUNCTION("""COMPUTED_VALUE"""),"稲場 勇介")</f>
        <v>稲場 勇介</v>
      </c>
    </row>
    <row r="2981" spans="2:4" ht="13">
      <c r="B2981" s="12">
        <f ca="1">IFERROR(__xludf.DUMMYFUNCTION("""COMPUTED_VALUE"""),118281)</f>
        <v>118281</v>
      </c>
      <c r="C2981" s="14">
        <f ca="1">IFERROR(__xludf.DUMMYFUNCTION("""COMPUTED_VALUE"""),36)</f>
        <v>36</v>
      </c>
      <c r="D2981" s="12" t="str">
        <f ca="1">IFERROR(__xludf.DUMMYFUNCTION("""COMPUTED_VALUE"""),"稲場 勇介")</f>
        <v>稲場 勇介</v>
      </c>
    </row>
    <row r="2982" spans="2:4" ht="13">
      <c r="B2982" s="12">
        <f ca="1">IFERROR(__xludf.DUMMYFUNCTION("""COMPUTED_VALUE"""),118282)</f>
        <v>118282</v>
      </c>
      <c r="C2982" s="14">
        <f ca="1">IFERROR(__xludf.DUMMYFUNCTION("""COMPUTED_VALUE"""),20)</f>
        <v>20</v>
      </c>
      <c r="D2982" s="12" t="str">
        <f ca="1">IFERROR(__xludf.DUMMYFUNCTION("""COMPUTED_VALUE"""),"稲場 勇介")</f>
        <v>稲場 勇介</v>
      </c>
    </row>
    <row r="2983" spans="2:4" ht="13">
      <c r="B2983" s="12">
        <f ca="1">IFERROR(__xludf.DUMMYFUNCTION("""COMPUTED_VALUE"""),118283)</f>
        <v>118283</v>
      </c>
      <c r="C2983" s="14">
        <f ca="1">IFERROR(__xludf.DUMMYFUNCTION("""COMPUTED_VALUE"""),0)</f>
        <v>0</v>
      </c>
      <c r="D2983" s="12" t="str">
        <f ca="1">IFERROR(__xludf.DUMMYFUNCTION("""COMPUTED_VALUE"""),"松尾 尚樹")</f>
        <v>松尾 尚樹</v>
      </c>
    </row>
    <row r="2984" spans="2:4" ht="13">
      <c r="B2984" s="12">
        <f ca="1">IFERROR(__xludf.DUMMYFUNCTION("""COMPUTED_VALUE"""),118285)</f>
        <v>118285</v>
      </c>
      <c r="C2984" s="14">
        <f ca="1">IFERROR(__xludf.DUMMYFUNCTION("""COMPUTED_VALUE"""),21)</f>
        <v>21</v>
      </c>
      <c r="D2984" s="12" t="str">
        <f ca="1">IFERROR(__xludf.DUMMYFUNCTION("""COMPUTED_VALUE"""),"荻曽 克輝")</f>
        <v>荻曽 克輝</v>
      </c>
    </row>
    <row r="2985" spans="2:4" ht="13">
      <c r="B2985" s="12">
        <f ca="1">IFERROR(__xludf.DUMMYFUNCTION("""COMPUTED_VALUE"""),118289)</f>
        <v>118289</v>
      </c>
      <c r="C2985" s="14">
        <f ca="1">IFERROR(__xludf.DUMMYFUNCTION("""COMPUTED_VALUE"""),1)</f>
        <v>1</v>
      </c>
      <c r="D2985" s="12" t="str">
        <f ca="1">IFERROR(__xludf.DUMMYFUNCTION("""COMPUTED_VALUE"""),"松尾 尚樹")</f>
        <v>松尾 尚樹</v>
      </c>
    </row>
    <row r="2986" spans="2:4" ht="13">
      <c r="B2986" s="12">
        <f ca="1">IFERROR(__xludf.DUMMYFUNCTION("""COMPUTED_VALUE"""),118291)</f>
        <v>118291</v>
      </c>
      <c r="C2986" s="14">
        <f ca="1">IFERROR(__xludf.DUMMYFUNCTION("""COMPUTED_VALUE"""),0)</f>
        <v>0</v>
      </c>
      <c r="D2986" s="12" t="str">
        <f ca="1">IFERROR(__xludf.DUMMYFUNCTION("""COMPUTED_VALUE"""),"栗原 大武")</f>
        <v>栗原 大武</v>
      </c>
    </row>
    <row r="2987" spans="2:4" ht="13">
      <c r="B2987" s="12">
        <f ca="1">IFERROR(__xludf.DUMMYFUNCTION("""COMPUTED_VALUE"""),118293)</f>
        <v>118293</v>
      </c>
      <c r="C2987" s="14">
        <f ca="1">IFERROR(__xludf.DUMMYFUNCTION("""COMPUTED_VALUE"""),0)</f>
        <v>0</v>
      </c>
      <c r="D2987" s="12" t="str">
        <f ca="1">IFERROR(__xludf.DUMMYFUNCTION("""COMPUTED_VALUE"""),"奥野 貴大")</f>
        <v>奥野 貴大</v>
      </c>
    </row>
    <row r="2988" spans="2:4" ht="13">
      <c r="B2988" s="12">
        <f ca="1">IFERROR(__xludf.DUMMYFUNCTION("""COMPUTED_VALUE"""),118299)</f>
        <v>118299</v>
      </c>
      <c r="C2988" s="14">
        <f ca="1">IFERROR(__xludf.DUMMYFUNCTION("""COMPUTED_VALUE"""),12)</f>
        <v>12</v>
      </c>
      <c r="D2988" s="12" t="str">
        <f ca="1">IFERROR(__xludf.DUMMYFUNCTION("""COMPUTED_VALUE"""),"桐山 勝気")</f>
        <v>桐山 勝気</v>
      </c>
    </row>
    <row r="2989" spans="2:4" ht="13">
      <c r="B2989" s="12">
        <f ca="1">IFERROR(__xludf.DUMMYFUNCTION("""COMPUTED_VALUE"""),118317)</f>
        <v>118317</v>
      </c>
      <c r="C2989" s="14">
        <f ca="1">IFERROR(__xludf.DUMMYFUNCTION("""COMPUTED_VALUE"""),0)</f>
        <v>0</v>
      </c>
      <c r="D2989" s="12" t="str">
        <f ca="1">IFERROR(__xludf.DUMMYFUNCTION("""COMPUTED_VALUE"""),"成嶋 夏未")</f>
        <v>成嶋 夏未</v>
      </c>
    </row>
    <row r="2990" spans="2:4" ht="13">
      <c r="B2990" s="12">
        <f ca="1">IFERROR(__xludf.DUMMYFUNCTION("""COMPUTED_VALUE"""),118323)</f>
        <v>118323</v>
      </c>
      <c r="C2990" s="14">
        <f ca="1">IFERROR(__xludf.DUMMYFUNCTION("""COMPUTED_VALUE"""),129)</f>
        <v>129</v>
      </c>
      <c r="D2990" s="12" t="str">
        <f ca="1">IFERROR(__xludf.DUMMYFUNCTION("""COMPUTED_VALUE"""),"栗原 大武")</f>
        <v>栗原 大武</v>
      </c>
    </row>
    <row r="2991" spans="2:4" ht="13">
      <c r="B2991" s="12">
        <f ca="1">IFERROR(__xludf.DUMMYFUNCTION("""COMPUTED_VALUE"""),118345)</f>
        <v>118345</v>
      </c>
      <c r="C2991" s="14">
        <f ca="1">IFERROR(__xludf.DUMMYFUNCTION("""COMPUTED_VALUE"""),15)</f>
        <v>15</v>
      </c>
      <c r="D2991" s="12" t="str">
        <f ca="1">IFERROR(__xludf.DUMMYFUNCTION("""COMPUTED_VALUE"""),"芳賀 亮輔")</f>
        <v>芳賀 亮輔</v>
      </c>
    </row>
    <row r="2992" spans="2:4" ht="13">
      <c r="B2992" s="12">
        <f ca="1">IFERROR(__xludf.DUMMYFUNCTION("""COMPUTED_VALUE"""),118350)</f>
        <v>118350</v>
      </c>
      <c r="C2992" s="14">
        <f ca="1">IFERROR(__xludf.DUMMYFUNCTION("""COMPUTED_VALUE"""),2)</f>
        <v>2</v>
      </c>
      <c r="D2992" s="12" t="str">
        <f ca="1">IFERROR(__xludf.DUMMYFUNCTION("""COMPUTED_VALUE"""),"川島 幹也")</f>
        <v>川島 幹也</v>
      </c>
    </row>
    <row r="2993" spans="2:4" ht="13">
      <c r="B2993" s="12">
        <f ca="1">IFERROR(__xludf.DUMMYFUNCTION("""COMPUTED_VALUE"""),118353)</f>
        <v>118353</v>
      </c>
      <c r="C2993" s="14">
        <f ca="1">IFERROR(__xludf.DUMMYFUNCTION("""COMPUTED_VALUE"""),0)</f>
        <v>0</v>
      </c>
      <c r="D2993" s="12" t="str">
        <f ca="1">IFERROR(__xludf.DUMMYFUNCTION("""COMPUTED_VALUE"""),"松尾 尚樹")</f>
        <v>松尾 尚樹</v>
      </c>
    </row>
    <row r="2994" spans="2:4" ht="13">
      <c r="B2994" s="12">
        <f ca="1">IFERROR(__xludf.DUMMYFUNCTION("""COMPUTED_VALUE"""),118358)</f>
        <v>118358</v>
      </c>
      <c r="C2994" s="14">
        <f ca="1">IFERROR(__xludf.DUMMYFUNCTION("""COMPUTED_VALUE"""),96)</f>
        <v>96</v>
      </c>
      <c r="D2994" s="12" t="str">
        <f ca="1">IFERROR(__xludf.DUMMYFUNCTION("""COMPUTED_VALUE"""),"芳賀 亮輔")</f>
        <v>芳賀 亮輔</v>
      </c>
    </row>
    <row r="2995" spans="2:4" ht="13">
      <c r="B2995" s="12">
        <f ca="1">IFERROR(__xludf.DUMMYFUNCTION("""COMPUTED_VALUE"""),118362)</f>
        <v>118362</v>
      </c>
      <c r="C2995" s="14">
        <f ca="1">IFERROR(__xludf.DUMMYFUNCTION("""COMPUTED_VALUE"""),90)</f>
        <v>90</v>
      </c>
      <c r="D2995" s="12" t="str">
        <f ca="1">IFERROR(__xludf.DUMMYFUNCTION("""COMPUTED_VALUE"""),"成嶋 夏未")</f>
        <v>成嶋 夏未</v>
      </c>
    </row>
    <row r="2996" spans="2:4" ht="13">
      <c r="B2996" s="12">
        <f ca="1">IFERROR(__xludf.DUMMYFUNCTION("""COMPUTED_VALUE"""),118380)</f>
        <v>118380</v>
      </c>
      <c r="C2996" s="14">
        <f ca="1">IFERROR(__xludf.DUMMYFUNCTION("""COMPUTED_VALUE"""),0)</f>
        <v>0</v>
      </c>
      <c r="D2996" s="12" t="str">
        <f ca="1">IFERROR(__xludf.DUMMYFUNCTION("""COMPUTED_VALUE"""),"老田 純輝")</f>
        <v>老田 純輝</v>
      </c>
    </row>
    <row r="2997" spans="2:4" ht="13">
      <c r="B2997" s="12">
        <f ca="1">IFERROR(__xludf.DUMMYFUNCTION("""COMPUTED_VALUE"""),118384)</f>
        <v>118384</v>
      </c>
      <c r="C2997" s="14">
        <f ca="1">IFERROR(__xludf.DUMMYFUNCTION("""COMPUTED_VALUE"""),6)</f>
        <v>6</v>
      </c>
      <c r="D2997" s="12" t="str">
        <f ca="1">IFERROR(__xludf.DUMMYFUNCTION("""COMPUTED_VALUE"""),"川島 幹也")</f>
        <v>川島 幹也</v>
      </c>
    </row>
    <row r="2998" spans="2:4" ht="13">
      <c r="B2998" s="12">
        <f ca="1">IFERROR(__xludf.DUMMYFUNCTION("""COMPUTED_VALUE"""),118386)</f>
        <v>118386</v>
      </c>
      <c r="C2998" s="14">
        <f ca="1">IFERROR(__xludf.DUMMYFUNCTION("""COMPUTED_VALUE"""),4)</f>
        <v>4</v>
      </c>
      <c r="D2998" s="12" t="str">
        <f ca="1">IFERROR(__xludf.DUMMYFUNCTION("""COMPUTED_VALUE"""),"栗原 大武")</f>
        <v>栗原 大武</v>
      </c>
    </row>
    <row r="2999" spans="2:4" ht="13">
      <c r="B2999" s="12">
        <f ca="1">IFERROR(__xludf.DUMMYFUNCTION("""COMPUTED_VALUE"""),118398)</f>
        <v>118398</v>
      </c>
      <c r="C2999" s="14">
        <f ca="1">IFERROR(__xludf.DUMMYFUNCTION("""COMPUTED_VALUE"""),0)</f>
        <v>0</v>
      </c>
      <c r="D2999" s="12" t="str">
        <f ca="1">IFERROR(__xludf.DUMMYFUNCTION("""COMPUTED_VALUE"""),"稲場 勇介")</f>
        <v>稲場 勇介</v>
      </c>
    </row>
    <row r="3000" spans="2:4" ht="13">
      <c r="B3000" s="12">
        <f ca="1">IFERROR(__xludf.DUMMYFUNCTION("""COMPUTED_VALUE"""),118400)</f>
        <v>118400</v>
      </c>
      <c r="C3000" s="14">
        <f ca="1">IFERROR(__xludf.DUMMYFUNCTION("""COMPUTED_VALUE"""),28)</f>
        <v>28</v>
      </c>
      <c r="D3000" s="12" t="str">
        <f ca="1">IFERROR(__xludf.DUMMYFUNCTION("""COMPUTED_VALUE"""),"稲場 勇介")</f>
        <v>稲場 勇介</v>
      </c>
    </row>
    <row r="3001" spans="2:4" ht="13">
      <c r="B3001" s="12">
        <f ca="1">IFERROR(__xludf.DUMMYFUNCTION("""COMPUTED_VALUE"""),118406)</f>
        <v>118406</v>
      </c>
      <c r="C3001" s="14">
        <f ca="1">IFERROR(__xludf.DUMMYFUNCTION("""COMPUTED_VALUE"""),1)</f>
        <v>1</v>
      </c>
      <c r="D3001" s="12" t="str">
        <f ca="1">IFERROR(__xludf.DUMMYFUNCTION("""COMPUTED_VALUE"""),"芳賀 亮輔")</f>
        <v>芳賀 亮輔</v>
      </c>
    </row>
    <row r="3002" spans="2:4" ht="13">
      <c r="B3002" s="12">
        <f ca="1">IFERROR(__xludf.DUMMYFUNCTION("""COMPUTED_VALUE"""),118411)</f>
        <v>118411</v>
      </c>
      <c r="C3002" s="14">
        <f ca="1">IFERROR(__xludf.DUMMYFUNCTION("""COMPUTED_VALUE"""),146)</f>
        <v>146</v>
      </c>
      <c r="D3002" s="12" t="str">
        <f ca="1">IFERROR(__xludf.DUMMYFUNCTION("""COMPUTED_VALUE"""),"柿崎 晃司")</f>
        <v>柿崎 晃司</v>
      </c>
    </row>
    <row r="3003" spans="2:4" ht="13">
      <c r="B3003" s="12">
        <f ca="1">IFERROR(__xludf.DUMMYFUNCTION("""COMPUTED_VALUE"""),118413)</f>
        <v>118413</v>
      </c>
      <c r="C3003" s="14">
        <f ca="1">IFERROR(__xludf.DUMMYFUNCTION("""COMPUTED_VALUE"""),56)</f>
        <v>56</v>
      </c>
      <c r="D3003" s="12" t="str">
        <f ca="1">IFERROR(__xludf.DUMMYFUNCTION("""COMPUTED_VALUE"""),"桑原 明子")</f>
        <v>桑原 明子</v>
      </c>
    </row>
    <row r="3004" spans="2:4" ht="13">
      <c r="B3004" s="12">
        <f ca="1">IFERROR(__xludf.DUMMYFUNCTION("""COMPUTED_VALUE"""),118414)</f>
        <v>118414</v>
      </c>
      <c r="C3004" s="14">
        <f ca="1">IFERROR(__xludf.DUMMYFUNCTION("""COMPUTED_VALUE"""),76)</f>
        <v>76</v>
      </c>
      <c r="D3004" s="12" t="str">
        <f ca="1">IFERROR(__xludf.DUMMYFUNCTION("""COMPUTED_VALUE"""),"桐山 勝気")</f>
        <v>桐山 勝気</v>
      </c>
    </row>
    <row r="3005" spans="2:4" ht="13">
      <c r="B3005" s="12">
        <f ca="1">IFERROR(__xludf.DUMMYFUNCTION("""COMPUTED_VALUE"""),118417)</f>
        <v>118417</v>
      </c>
      <c r="C3005" s="14">
        <f ca="1">IFERROR(__xludf.DUMMYFUNCTION("""COMPUTED_VALUE"""),0)</f>
        <v>0</v>
      </c>
      <c r="D3005" s="12" t="str">
        <f ca="1">IFERROR(__xludf.DUMMYFUNCTION("""COMPUTED_VALUE"""),"芳賀 亮輔")</f>
        <v>芳賀 亮輔</v>
      </c>
    </row>
    <row r="3006" spans="2:4" ht="13">
      <c r="B3006" s="12">
        <f ca="1">IFERROR(__xludf.DUMMYFUNCTION("""COMPUTED_VALUE"""),118419)</f>
        <v>118419</v>
      </c>
      <c r="C3006" s="14">
        <f ca="1">IFERROR(__xludf.DUMMYFUNCTION("""COMPUTED_VALUE"""),57)</f>
        <v>57</v>
      </c>
      <c r="D3006" s="12" t="str">
        <f ca="1">IFERROR(__xludf.DUMMYFUNCTION("""COMPUTED_VALUE"""),"栗原 大武")</f>
        <v>栗原 大武</v>
      </c>
    </row>
    <row r="3007" spans="2:4" ht="13">
      <c r="B3007" s="12">
        <f ca="1">IFERROR(__xludf.DUMMYFUNCTION("""COMPUTED_VALUE"""),118427)</f>
        <v>118427</v>
      </c>
      <c r="C3007" s="14">
        <f ca="1">IFERROR(__xludf.DUMMYFUNCTION("""COMPUTED_VALUE"""),0)</f>
        <v>0</v>
      </c>
      <c r="D3007" s="12" t="str">
        <f ca="1">IFERROR(__xludf.DUMMYFUNCTION("""COMPUTED_VALUE"""),"桑原 明子")</f>
        <v>桑原 明子</v>
      </c>
    </row>
    <row r="3008" spans="2:4" ht="13">
      <c r="B3008" s="12">
        <f ca="1">IFERROR(__xludf.DUMMYFUNCTION("""COMPUTED_VALUE"""),118432)</f>
        <v>118432</v>
      </c>
      <c r="C3008" s="14">
        <f ca="1">IFERROR(__xludf.DUMMYFUNCTION("""COMPUTED_VALUE"""),0)</f>
        <v>0</v>
      </c>
      <c r="D3008" s="12" t="str">
        <f ca="1">IFERROR(__xludf.DUMMYFUNCTION("""COMPUTED_VALUE"""),"松尾 尚樹")</f>
        <v>松尾 尚樹</v>
      </c>
    </row>
    <row r="3009" spans="2:4" ht="13">
      <c r="B3009" s="12">
        <f ca="1">IFERROR(__xludf.DUMMYFUNCTION("""COMPUTED_VALUE"""),118446)</f>
        <v>118446</v>
      </c>
      <c r="C3009" s="14">
        <f ca="1">IFERROR(__xludf.DUMMYFUNCTION("""COMPUTED_VALUE"""),0)</f>
        <v>0</v>
      </c>
      <c r="D3009" s="12" t="str">
        <f ca="1">IFERROR(__xludf.DUMMYFUNCTION("""COMPUTED_VALUE"""),"辻村 将大")</f>
        <v>辻村 将大</v>
      </c>
    </row>
    <row r="3010" spans="2:4" ht="13">
      <c r="B3010" s="12">
        <f ca="1">IFERROR(__xludf.DUMMYFUNCTION("""COMPUTED_VALUE"""),118452)</f>
        <v>118452</v>
      </c>
      <c r="C3010" s="14">
        <f ca="1">IFERROR(__xludf.DUMMYFUNCTION("""COMPUTED_VALUE"""),3)</f>
        <v>3</v>
      </c>
      <c r="D3010" s="12" t="str">
        <f ca="1">IFERROR(__xludf.DUMMYFUNCTION("""COMPUTED_VALUE"""),"長谷川 陸朗")</f>
        <v>長谷川 陸朗</v>
      </c>
    </row>
    <row r="3011" spans="2:4" ht="13">
      <c r="B3011" s="12">
        <f ca="1">IFERROR(__xludf.DUMMYFUNCTION("""COMPUTED_VALUE"""),118459)</f>
        <v>118459</v>
      </c>
      <c r="C3011" s="14">
        <f ca="1">IFERROR(__xludf.DUMMYFUNCTION("""COMPUTED_VALUE"""),0)</f>
        <v>0</v>
      </c>
      <c r="D3011" s="12" t="str">
        <f ca="1">IFERROR(__xludf.DUMMYFUNCTION("""COMPUTED_VALUE"""),"老田 純輝")</f>
        <v>老田 純輝</v>
      </c>
    </row>
    <row r="3012" spans="2:4" ht="13">
      <c r="B3012" s="12">
        <f ca="1">IFERROR(__xludf.DUMMYFUNCTION("""COMPUTED_VALUE"""),118462)</f>
        <v>118462</v>
      </c>
      <c r="C3012" s="14">
        <f ca="1">IFERROR(__xludf.DUMMYFUNCTION("""COMPUTED_VALUE"""),121)</f>
        <v>121</v>
      </c>
      <c r="D3012" s="12" t="str">
        <f ca="1">IFERROR(__xludf.DUMMYFUNCTION("""COMPUTED_VALUE"""),"柿崎 晃司")</f>
        <v>柿崎 晃司</v>
      </c>
    </row>
    <row r="3013" spans="2:4" ht="13">
      <c r="B3013" s="12">
        <f ca="1">IFERROR(__xludf.DUMMYFUNCTION("""COMPUTED_VALUE"""),118467)</f>
        <v>118467</v>
      </c>
      <c r="C3013" s="14">
        <f ca="1">IFERROR(__xludf.DUMMYFUNCTION("""COMPUTED_VALUE"""),0)</f>
        <v>0</v>
      </c>
      <c r="D3013" s="12" t="str">
        <f ca="1">IFERROR(__xludf.DUMMYFUNCTION("""COMPUTED_VALUE"""),"成嶋 夏未")</f>
        <v>成嶋 夏未</v>
      </c>
    </row>
    <row r="3014" spans="2:4" ht="13">
      <c r="B3014" s="12">
        <f ca="1">IFERROR(__xludf.DUMMYFUNCTION("""COMPUTED_VALUE"""),118473)</f>
        <v>118473</v>
      </c>
      <c r="C3014" s="14">
        <f ca="1">IFERROR(__xludf.DUMMYFUNCTION("""COMPUTED_VALUE"""),20)</f>
        <v>20</v>
      </c>
      <c r="D3014" s="12" t="str">
        <f ca="1">IFERROR(__xludf.DUMMYFUNCTION("""COMPUTED_VALUE"""),"菅野 ぎんが")</f>
        <v>菅野 ぎんが</v>
      </c>
    </row>
    <row r="3015" spans="2:4" ht="13">
      <c r="B3015" s="12">
        <f ca="1">IFERROR(__xludf.DUMMYFUNCTION("""COMPUTED_VALUE"""),118478)</f>
        <v>118478</v>
      </c>
      <c r="C3015" s="14">
        <f ca="1">IFERROR(__xludf.DUMMYFUNCTION("""COMPUTED_VALUE"""),0)</f>
        <v>0</v>
      </c>
      <c r="D3015" s="12" t="str">
        <f ca="1">IFERROR(__xludf.DUMMYFUNCTION("""COMPUTED_VALUE"""),"松尾 尚樹")</f>
        <v>松尾 尚樹</v>
      </c>
    </row>
    <row r="3016" spans="2:4" ht="13">
      <c r="B3016" s="12">
        <f ca="1">IFERROR(__xludf.DUMMYFUNCTION("""COMPUTED_VALUE"""),118485)</f>
        <v>118485</v>
      </c>
      <c r="C3016" s="14">
        <f ca="1">IFERROR(__xludf.DUMMYFUNCTION("""COMPUTED_VALUE"""),0)</f>
        <v>0</v>
      </c>
      <c r="D3016" s="12" t="str">
        <f ca="1">IFERROR(__xludf.DUMMYFUNCTION("""COMPUTED_VALUE"""),"稲場 勇介")</f>
        <v>稲場 勇介</v>
      </c>
    </row>
    <row r="3017" spans="2:4" ht="13">
      <c r="B3017" s="12">
        <f ca="1">IFERROR(__xludf.DUMMYFUNCTION("""COMPUTED_VALUE"""),118488)</f>
        <v>118488</v>
      </c>
      <c r="C3017" s="14">
        <f ca="1">IFERROR(__xludf.DUMMYFUNCTION("""COMPUTED_VALUE"""),0)</f>
        <v>0</v>
      </c>
      <c r="D3017" s="12" t="str">
        <f ca="1">IFERROR(__xludf.DUMMYFUNCTION("""COMPUTED_VALUE"""),"辻村 将大")</f>
        <v>辻村 将大</v>
      </c>
    </row>
    <row r="3018" spans="2:4" ht="13">
      <c r="B3018" s="12">
        <f ca="1">IFERROR(__xludf.DUMMYFUNCTION("""COMPUTED_VALUE"""),118490)</f>
        <v>118490</v>
      </c>
      <c r="C3018" s="14">
        <f ca="1">IFERROR(__xludf.DUMMYFUNCTION("""COMPUTED_VALUE"""),0)</f>
        <v>0</v>
      </c>
      <c r="D3018" s="12" t="str">
        <f ca="1">IFERROR(__xludf.DUMMYFUNCTION("""COMPUTED_VALUE"""),"栗原 大武")</f>
        <v>栗原 大武</v>
      </c>
    </row>
    <row r="3019" spans="2:4" ht="13">
      <c r="B3019" s="12">
        <f ca="1">IFERROR(__xludf.DUMMYFUNCTION("""COMPUTED_VALUE"""),118492)</f>
        <v>118492</v>
      </c>
      <c r="C3019" s="14">
        <f ca="1">IFERROR(__xludf.DUMMYFUNCTION("""COMPUTED_VALUE"""),0)</f>
        <v>0</v>
      </c>
      <c r="D3019" s="12" t="str">
        <f ca="1">IFERROR(__xludf.DUMMYFUNCTION("""COMPUTED_VALUE"""),"村上 浩一朗")</f>
        <v>村上 浩一朗</v>
      </c>
    </row>
    <row r="3020" spans="2:4" ht="13">
      <c r="B3020" s="12">
        <f ca="1">IFERROR(__xludf.DUMMYFUNCTION("""COMPUTED_VALUE"""),118504)</f>
        <v>118504</v>
      </c>
      <c r="C3020" s="14">
        <f ca="1">IFERROR(__xludf.DUMMYFUNCTION("""COMPUTED_VALUE"""),0)</f>
        <v>0</v>
      </c>
      <c r="D3020" s="12" t="str">
        <f ca="1">IFERROR(__xludf.DUMMYFUNCTION("""COMPUTED_VALUE"""),"小関 麻起")</f>
        <v>小関 麻起</v>
      </c>
    </row>
    <row r="3021" spans="2:4" ht="13">
      <c r="B3021" s="12">
        <f ca="1">IFERROR(__xludf.DUMMYFUNCTION("""COMPUTED_VALUE"""),118525)</f>
        <v>118525</v>
      </c>
      <c r="C3021" s="14">
        <f ca="1">IFERROR(__xludf.DUMMYFUNCTION("""COMPUTED_VALUE"""),8)</f>
        <v>8</v>
      </c>
      <c r="D3021" s="12" t="str">
        <f ca="1">IFERROR(__xludf.DUMMYFUNCTION("""COMPUTED_VALUE"""),"桑原 明子")</f>
        <v>桑原 明子</v>
      </c>
    </row>
    <row r="3022" spans="2:4" ht="13">
      <c r="B3022" s="12">
        <f ca="1">IFERROR(__xludf.DUMMYFUNCTION("""COMPUTED_VALUE"""),118550)</f>
        <v>118550</v>
      </c>
      <c r="C3022" s="14">
        <f ca="1">IFERROR(__xludf.DUMMYFUNCTION("""COMPUTED_VALUE"""),0)</f>
        <v>0</v>
      </c>
      <c r="D3022" s="12" t="str">
        <f ca="1">IFERROR(__xludf.DUMMYFUNCTION("""COMPUTED_VALUE"""),"栗原 大武")</f>
        <v>栗原 大武</v>
      </c>
    </row>
    <row r="3023" spans="2:4" ht="13">
      <c r="B3023" s="12">
        <f ca="1">IFERROR(__xludf.DUMMYFUNCTION("""COMPUTED_VALUE"""),118551)</f>
        <v>118551</v>
      </c>
      <c r="C3023" s="14">
        <f ca="1">IFERROR(__xludf.DUMMYFUNCTION("""COMPUTED_VALUE"""),26)</f>
        <v>26</v>
      </c>
      <c r="D3023" s="12" t="str">
        <f ca="1">IFERROR(__xludf.DUMMYFUNCTION("""COMPUTED_VALUE"""),"成嶋 夏未")</f>
        <v>成嶋 夏未</v>
      </c>
    </row>
    <row r="3024" spans="2:4" ht="13">
      <c r="B3024" s="12">
        <f ca="1">IFERROR(__xludf.DUMMYFUNCTION("""COMPUTED_VALUE"""),118556)</f>
        <v>118556</v>
      </c>
      <c r="C3024" s="14">
        <f ca="1">IFERROR(__xludf.DUMMYFUNCTION("""COMPUTED_VALUE"""),0)</f>
        <v>0</v>
      </c>
      <c r="D3024" s="12" t="str">
        <f ca="1">IFERROR(__xludf.DUMMYFUNCTION("""COMPUTED_VALUE"""),"成嶋 夏未")</f>
        <v>成嶋 夏未</v>
      </c>
    </row>
    <row r="3025" spans="2:4" ht="13">
      <c r="B3025" s="12">
        <f ca="1">IFERROR(__xludf.DUMMYFUNCTION("""COMPUTED_VALUE"""),118565)</f>
        <v>118565</v>
      </c>
      <c r="C3025" s="14">
        <f ca="1">IFERROR(__xludf.DUMMYFUNCTION("""COMPUTED_VALUE"""),4)</f>
        <v>4</v>
      </c>
      <c r="D3025" s="12" t="str">
        <f ca="1">IFERROR(__xludf.DUMMYFUNCTION("""COMPUTED_VALUE"""),"森 光智")</f>
        <v>森 光智</v>
      </c>
    </row>
    <row r="3026" spans="2:4" ht="13">
      <c r="B3026" s="12">
        <f ca="1">IFERROR(__xludf.DUMMYFUNCTION("""COMPUTED_VALUE"""),118572)</f>
        <v>118572</v>
      </c>
      <c r="C3026" s="14">
        <f ca="1">IFERROR(__xludf.DUMMYFUNCTION("""COMPUTED_VALUE"""),3)</f>
        <v>3</v>
      </c>
      <c r="D3026" s="12" t="str">
        <f ca="1">IFERROR(__xludf.DUMMYFUNCTION("""COMPUTED_VALUE"""),"小関 麻起")</f>
        <v>小関 麻起</v>
      </c>
    </row>
    <row r="3027" spans="2:4" ht="13">
      <c r="B3027" s="12">
        <f ca="1">IFERROR(__xludf.DUMMYFUNCTION("""COMPUTED_VALUE"""),118573)</f>
        <v>118573</v>
      </c>
      <c r="C3027" s="14">
        <f ca="1">IFERROR(__xludf.DUMMYFUNCTION("""COMPUTED_VALUE"""),4)</f>
        <v>4</v>
      </c>
      <c r="D3027" s="12" t="str">
        <f ca="1">IFERROR(__xludf.DUMMYFUNCTION("""COMPUTED_VALUE"""),"小関 麻起")</f>
        <v>小関 麻起</v>
      </c>
    </row>
    <row r="3028" spans="2:4" ht="13">
      <c r="B3028" s="12">
        <f ca="1">IFERROR(__xludf.DUMMYFUNCTION("""COMPUTED_VALUE"""),118579)</f>
        <v>118579</v>
      </c>
      <c r="C3028" s="14">
        <f ca="1">IFERROR(__xludf.DUMMYFUNCTION("""COMPUTED_VALUE"""),3)</f>
        <v>3</v>
      </c>
      <c r="D3028" s="12" t="str">
        <f ca="1">IFERROR(__xludf.DUMMYFUNCTION("""COMPUTED_VALUE"""),"小関 麻起")</f>
        <v>小関 麻起</v>
      </c>
    </row>
    <row r="3029" spans="2:4" ht="13">
      <c r="B3029" s="12">
        <f ca="1">IFERROR(__xludf.DUMMYFUNCTION("""COMPUTED_VALUE"""),118580)</f>
        <v>118580</v>
      </c>
      <c r="C3029" s="14">
        <f ca="1">IFERROR(__xludf.DUMMYFUNCTION("""COMPUTED_VALUE"""),0)</f>
        <v>0</v>
      </c>
      <c r="D3029" s="12" t="str">
        <f ca="1">IFERROR(__xludf.DUMMYFUNCTION("""COMPUTED_VALUE"""),"松尾 尚樹")</f>
        <v>松尾 尚樹</v>
      </c>
    </row>
    <row r="3030" spans="2:4" ht="13">
      <c r="B3030" s="12">
        <f ca="1">IFERROR(__xludf.DUMMYFUNCTION("""COMPUTED_VALUE"""),118632)</f>
        <v>118632</v>
      </c>
      <c r="C3030" s="14">
        <f ca="1">IFERROR(__xludf.DUMMYFUNCTION("""COMPUTED_VALUE"""),21)</f>
        <v>21</v>
      </c>
      <c r="D3030" s="12" t="str">
        <f ca="1">IFERROR(__xludf.DUMMYFUNCTION("""COMPUTED_VALUE"""),"堀越 駿")</f>
        <v>堀越 駿</v>
      </c>
    </row>
    <row r="3031" spans="2:4" ht="13">
      <c r="B3031" s="12">
        <f ca="1">IFERROR(__xludf.DUMMYFUNCTION("""COMPUTED_VALUE"""),118668)</f>
        <v>118668</v>
      </c>
      <c r="C3031" s="14">
        <f ca="1">IFERROR(__xludf.DUMMYFUNCTION("""COMPUTED_VALUE"""),2)</f>
        <v>2</v>
      </c>
      <c r="D3031" s="12" t="str">
        <f ca="1">IFERROR(__xludf.DUMMYFUNCTION("""COMPUTED_VALUE"""),"長谷川 陸朗")</f>
        <v>長谷川 陸朗</v>
      </c>
    </row>
    <row r="3032" spans="2:4" ht="13">
      <c r="B3032" s="12">
        <f ca="1">IFERROR(__xludf.DUMMYFUNCTION("""COMPUTED_VALUE"""),118669)</f>
        <v>118669</v>
      </c>
      <c r="C3032" s="14">
        <f ca="1">IFERROR(__xludf.DUMMYFUNCTION("""COMPUTED_VALUE"""),4)</f>
        <v>4</v>
      </c>
      <c r="D3032" s="12" t="str">
        <f ca="1">IFERROR(__xludf.DUMMYFUNCTION("""COMPUTED_VALUE"""),"辻村 将大")</f>
        <v>辻村 将大</v>
      </c>
    </row>
    <row r="3033" spans="2:4" ht="13">
      <c r="B3033" s="12">
        <f ca="1">IFERROR(__xludf.DUMMYFUNCTION("""COMPUTED_VALUE"""),118670)</f>
        <v>118670</v>
      </c>
      <c r="C3033" s="14">
        <f ca="1">IFERROR(__xludf.DUMMYFUNCTION("""COMPUTED_VALUE"""),3)</f>
        <v>3</v>
      </c>
      <c r="D3033" s="12" t="str">
        <f ca="1">IFERROR(__xludf.DUMMYFUNCTION("""COMPUTED_VALUE"""),"老田 純輝")</f>
        <v>老田 純輝</v>
      </c>
    </row>
    <row r="3034" spans="2:4" ht="13">
      <c r="B3034" s="12">
        <f ca="1">IFERROR(__xludf.DUMMYFUNCTION("""COMPUTED_VALUE"""),118688)</f>
        <v>118688</v>
      </c>
      <c r="C3034" s="14">
        <f ca="1">IFERROR(__xludf.DUMMYFUNCTION("""COMPUTED_VALUE"""),0)</f>
        <v>0</v>
      </c>
      <c r="D3034" s="12" t="str">
        <f ca="1">IFERROR(__xludf.DUMMYFUNCTION("""COMPUTED_VALUE"""),"稲場 勇介")</f>
        <v>稲場 勇介</v>
      </c>
    </row>
    <row r="3035" spans="2:4" ht="13">
      <c r="B3035" s="12">
        <f ca="1">IFERROR(__xludf.DUMMYFUNCTION("""COMPUTED_VALUE"""),118714)</f>
        <v>118714</v>
      </c>
      <c r="C3035" s="14">
        <f ca="1">IFERROR(__xludf.DUMMYFUNCTION("""COMPUTED_VALUE"""),85)</f>
        <v>85</v>
      </c>
      <c r="D3035" s="12" t="str">
        <f ca="1">IFERROR(__xludf.DUMMYFUNCTION("""COMPUTED_VALUE"""),"稲場 勇介")</f>
        <v>稲場 勇介</v>
      </c>
    </row>
    <row r="3036" spans="2:4" ht="13">
      <c r="B3036" s="12">
        <f ca="1">IFERROR(__xludf.DUMMYFUNCTION("""COMPUTED_VALUE"""),118719)</f>
        <v>118719</v>
      </c>
      <c r="C3036" s="14">
        <f ca="1">IFERROR(__xludf.DUMMYFUNCTION("""COMPUTED_VALUE"""),0)</f>
        <v>0</v>
      </c>
      <c r="D3036" s="12" t="str">
        <f ca="1">IFERROR(__xludf.DUMMYFUNCTION("""COMPUTED_VALUE"""),"小関 麻起")</f>
        <v>小関 麻起</v>
      </c>
    </row>
    <row r="3037" spans="2:4" ht="13">
      <c r="B3037" s="12">
        <f ca="1">IFERROR(__xludf.DUMMYFUNCTION("""COMPUTED_VALUE"""),118723)</f>
        <v>118723</v>
      </c>
      <c r="C3037" s="14">
        <f ca="1">IFERROR(__xludf.DUMMYFUNCTION("""COMPUTED_VALUE"""),5)</f>
        <v>5</v>
      </c>
      <c r="D3037" s="12" t="str">
        <f ca="1">IFERROR(__xludf.DUMMYFUNCTION("""COMPUTED_VALUE"""),"桐山 勝気")</f>
        <v>桐山 勝気</v>
      </c>
    </row>
    <row r="3038" spans="2:4" ht="13">
      <c r="B3038" s="12">
        <f ca="1">IFERROR(__xludf.DUMMYFUNCTION("""COMPUTED_VALUE"""),118735)</f>
        <v>118735</v>
      </c>
      <c r="C3038" s="14">
        <f ca="1">IFERROR(__xludf.DUMMYFUNCTION("""COMPUTED_VALUE"""),38)</f>
        <v>38</v>
      </c>
      <c r="D3038" s="12" t="str">
        <f ca="1">IFERROR(__xludf.DUMMYFUNCTION("""COMPUTED_VALUE"""),"内丸 裕子")</f>
        <v>内丸 裕子</v>
      </c>
    </row>
    <row r="3039" spans="2:4" ht="13">
      <c r="B3039" s="12">
        <f ca="1">IFERROR(__xludf.DUMMYFUNCTION("""COMPUTED_VALUE"""),118743)</f>
        <v>118743</v>
      </c>
      <c r="C3039" s="14">
        <f ca="1">IFERROR(__xludf.DUMMYFUNCTION("""COMPUTED_VALUE"""),0)</f>
        <v>0</v>
      </c>
      <c r="D3039" s="12" t="str">
        <f ca="1">IFERROR(__xludf.DUMMYFUNCTION("""COMPUTED_VALUE"""),"栗原 大武")</f>
        <v>栗原 大武</v>
      </c>
    </row>
    <row r="3040" spans="2:4" ht="13">
      <c r="B3040" s="12">
        <f ca="1">IFERROR(__xludf.DUMMYFUNCTION("""COMPUTED_VALUE"""),118764)</f>
        <v>118764</v>
      </c>
      <c r="C3040" s="14">
        <f ca="1">IFERROR(__xludf.DUMMYFUNCTION("""COMPUTED_VALUE"""),2)</f>
        <v>2</v>
      </c>
      <c r="D3040" s="12" t="str">
        <f ca="1">IFERROR(__xludf.DUMMYFUNCTION("""COMPUTED_VALUE"""),"老田 純輝")</f>
        <v>老田 純輝</v>
      </c>
    </row>
    <row r="3041" spans="2:4" ht="13">
      <c r="B3041" s="12">
        <f ca="1">IFERROR(__xludf.DUMMYFUNCTION("""COMPUTED_VALUE"""),118768)</f>
        <v>118768</v>
      </c>
      <c r="C3041" s="14">
        <f ca="1">IFERROR(__xludf.DUMMYFUNCTION("""COMPUTED_VALUE"""),8)</f>
        <v>8</v>
      </c>
      <c r="D3041" s="12" t="str">
        <f ca="1">IFERROR(__xludf.DUMMYFUNCTION("""COMPUTED_VALUE"""),"成嶋 夏未")</f>
        <v>成嶋 夏未</v>
      </c>
    </row>
    <row r="3042" spans="2:4" ht="13">
      <c r="B3042" s="12">
        <f ca="1">IFERROR(__xludf.DUMMYFUNCTION("""COMPUTED_VALUE"""),118776)</f>
        <v>118776</v>
      </c>
      <c r="C3042" s="14">
        <f ca="1">IFERROR(__xludf.DUMMYFUNCTION("""COMPUTED_VALUE"""),91)</f>
        <v>91</v>
      </c>
      <c r="D3042" s="12" t="str">
        <f ca="1">IFERROR(__xludf.DUMMYFUNCTION("""COMPUTED_VALUE"""),"小関 麻起")</f>
        <v>小関 麻起</v>
      </c>
    </row>
    <row r="3043" spans="2:4" ht="13">
      <c r="B3043" s="12">
        <f ca="1">IFERROR(__xludf.DUMMYFUNCTION("""COMPUTED_VALUE"""),118786)</f>
        <v>118786</v>
      </c>
      <c r="C3043" s="14">
        <f ca="1">IFERROR(__xludf.DUMMYFUNCTION("""COMPUTED_VALUE"""),0)</f>
        <v>0</v>
      </c>
      <c r="D3043" s="12" t="str">
        <f ca="1">IFERROR(__xludf.DUMMYFUNCTION("""COMPUTED_VALUE"""),"老田 純輝")</f>
        <v>老田 純輝</v>
      </c>
    </row>
    <row r="3044" spans="2:4" ht="13">
      <c r="B3044" s="12">
        <f ca="1">IFERROR(__xludf.DUMMYFUNCTION("""COMPUTED_VALUE"""),118787)</f>
        <v>118787</v>
      </c>
      <c r="C3044" s="14">
        <f ca="1">IFERROR(__xludf.DUMMYFUNCTION("""COMPUTED_VALUE"""),0)</f>
        <v>0</v>
      </c>
      <c r="D3044" s="12" t="str">
        <f ca="1">IFERROR(__xludf.DUMMYFUNCTION("""COMPUTED_VALUE"""),"菅野 ぎんが")</f>
        <v>菅野 ぎんが</v>
      </c>
    </row>
    <row r="3045" spans="2:4" ht="13">
      <c r="B3045" s="12">
        <f ca="1">IFERROR(__xludf.DUMMYFUNCTION("""COMPUTED_VALUE"""),118789)</f>
        <v>118789</v>
      </c>
      <c r="C3045" s="14">
        <f ca="1">IFERROR(__xludf.DUMMYFUNCTION("""COMPUTED_VALUE"""),0)</f>
        <v>0</v>
      </c>
      <c r="D3045" s="12" t="str">
        <f ca="1">IFERROR(__xludf.DUMMYFUNCTION("""COMPUTED_VALUE"""),"老田 純輝")</f>
        <v>老田 純輝</v>
      </c>
    </row>
    <row r="3046" spans="2:4" ht="13">
      <c r="B3046" s="12">
        <f ca="1">IFERROR(__xludf.DUMMYFUNCTION("""COMPUTED_VALUE"""),118792)</f>
        <v>118792</v>
      </c>
      <c r="C3046" s="14">
        <f ca="1">IFERROR(__xludf.DUMMYFUNCTION("""COMPUTED_VALUE"""),0)</f>
        <v>0</v>
      </c>
      <c r="D3046" s="12" t="str">
        <f ca="1">IFERROR(__xludf.DUMMYFUNCTION("""COMPUTED_VALUE"""),"成嶋 夏未")</f>
        <v>成嶋 夏未</v>
      </c>
    </row>
    <row r="3047" spans="2:4" ht="13">
      <c r="B3047" s="12">
        <f ca="1">IFERROR(__xludf.DUMMYFUNCTION("""COMPUTED_VALUE"""),118804)</f>
        <v>118804</v>
      </c>
      <c r="C3047" s="14">
        <f ca="1">IFERROR(__xludf.DUMMYFUNCTION("""COMPUTED_VALUE"""),0)</f>
        <v>0</v>
      </c>
      <c r="D3047" s="12" t="str">
        <f ca="1">IFERROR(__xludf.DUMMYFUNCTION("""COMPUTED_VALUE"""),"荻曽 克輝")</f>
        <v>荻曽 克輝</v>
      </c>
    </row>
    <row r="3048" spans="2:4" ht="13">
      <c r="B3048" s="12">
        <f ca="1">IFERROR(__xludf.DUMMYFUNCTION("""COMPUTED_VALUE"""),118810)</f>
        <v>118810</v>
      </c>
      <c r="C3048" s="14">
        <f ca="1">IFERROR(__xludf.DUMMYFUNCTION("""COMPUTED_VALUE"""),0)</f>
        <v>0</v>
      </c>
      <c r="D3048" s="12" t="str">
        <f ca="1">IFERROR(__xludf.DUMMYFUNCTION("""COMPUTED_VALUE"""),"奥野 貴大")</f>
        <v>奥野 貴大</v>
      </c>
    </row>
    <row r="3049" spans="2:4" ht="13">
      <c r="B3049" s="12">
        <f ca="1">IFERROR(__xludf.DUMMYFUNCTION("""COMPUTED_VALUE"""),118811)</f>
        <v>118811</v>
      </c>
      <c r="C3049" s="14">
        <f ca="1">IFERROR(__xludf.DUMMYFUNCTION("""COMPUTED_VALUE"""),10)</f>
        <v>10</v>
      </c>
      <c r="D3049" s="12" t="str">
        <f ca="1">IFERROR(__xludf.DUMMYFUNCTION("""COMPUTED_VALUE"""),"成嶋 夏未")</f>
        <v>成嶋 夏未</v>
      </c>
    </row>
    <row r="3050" spans="2:4" ht="13">
      <c r="B3050" s="12">
        <f ca="1">IFERROR(__xludf.DUMMYFUNCTION("""COMPUTED_VALUE"""),118817)</f>
        <v>118817</v>
      </c>
      <c r="C3050" s="14">
        <f ca="1">IFERROR(__xludf.DUMMYFUNCTION("""COMPUTED_VALUE"""),1)</f>
        <v>1</v>
      </c>
      <c r="D3050" s="12" t="str">
        <f ca="1">IFERROR(__xludf.DUMMYFUNCTION("""COMPUTED_VALUE"""),"小川 純")</f>
        <v>小川 純</v>
      </c>
    </row>
    <row r="3051" spans="2:4" ht="13">
      <c r="B3051" s="12">
        <f ca="1">IFERROR(__xludf.DUMMYFUNCTION("""COMPUTED_VALUE"""),118824)</f>
        <v>118824</v>
      </c>
      <c r="C3051" s="14">
        <f ca="1">IFERROR(__xludf.DUMMYFUNCTION("""COMPUTED_VALUE"""),0)</f>
        <v>0</v>
      </c>
      <c r="D3051" s="12" t="str">
        <f ca="1">IFERROR(__xludf.DUMMYFUNCTION("""COMPUTED_VALUE"""),"松尾 尚樹")</f>
        <v>松尾 尚樹</v>
      </c>
    </row>
    <row r="3052" spans="2:4" ht="13">
      <c r="B3052" s="12">
        <f ca="1">IFERROR(__xludf.DUMMYFUNCTION("""COMPUTED_VALUE"""),118825)</f>
        <v>118825</v>
      </c>
      <c r="C3052" s="14">
        <f ca="1">IFERROR(__xludf.DUMMYFUNCTION("""COMPUTED_VALUE"""),0)</f>
        <v>0</v>
      </c>
      <c r="D3052" s="12" t="str">
        <f ca="1">IFERROR(__xludf.DUMMYFUNCTION("""COMPUTED_VALUE"""),"村上 浩一朗")</f>
        <v>村上 浩一朗</v>
      </c>
    </row>
    <row r="3053" spans="2:4" ht="13">
      <c r="B3053" s="12">
        <f ca="1">IFERROR(__xludf.DUMMYFUNCTION("""COMPUTED_VALUE"""),118826)</f>
        <v>118826</v>
      </c>
      <c r="C3053" s="14">
        <f ca="1">IFERROR(__xludf.DUMMYFUNCTION("""COMPUTED_VALUE"""),0)</f>
        <v>0</v>
      </c>
      <c r="D3053" s="12" t="str">
        <f ca="1">IFERROR(__xludf.DUMMYFUNCTION("""COMPUTED_VALUE"""),"松尾 尚樹")</f>
        <v>松尾 尚樹</v>
      </c>
    </row>
    <row r="3054" spans="2:4" ht="13">
      <c r="B3054" s="12">
        <f ca="1">IFERROR(__xludf.DUMMYFUNCTION("""COMPUTED_VALUE"""),118827)</f>
        <v>118827</v>
      </c>
      <c r="C3054" s="14">
        <f ca="1">IFERROR(__xludf.DUMMYFUNCTION("""COMPUTED_VALUE"""),4)</f>
        <v>4</v>
      </c>
      <c r="D3054" s="12" t="str">
        <f ca="1">IFERROR(__xludf.DUMMYFUNCTION("""COMPUTED_VALUE"""),"奥野 貴大")</f>
        <v>奥野 貴大</v>
      </c>
    </row>
    <row r="3055" spans="2:4" ht="13">
      <c r="B3055" s="12">
        <f ca="1">IFERROR(__xludf.DUMMYFUNCTION("""COMPUTED_VALUE"""),118828)</f>
        <v>118828</v>
      </c>
      <c r="C3055" s="14">
        <f ca="1">IFERROR(__xludf.DUMMYFUNCTION("""COMPUTED_VALUE"""),26)</f>
        <v>26</v>
      </c>
      <c r="D3055" s="12" t="str">
        <f ca="1">IFERROR(__xludf.DUMMYFUNCTION("""COMPUTED_VALUE"""),"奥野 貴大")</f>
        <v>奥野 貴大</v>
      </c>
    </row>
    <row r="3056" spans="2:4" ht="13">
      <c r="B3056" s="12">
        <f ca="1">IFERROR(__xludf.DUMMYFUNCTION("""COMPUTED_VALUE"""),118829)</f>
        <v>118829</v>
      </c>
      <c r="C3056" s="14">
        <f ca="1">IFERROR(__xludf.DUMMYFUNCTION("""COMPUTED_VALUE"""),4)</f>
        <v>4</v>
      </c>
      <c r="D3056" s="12" t="str">
        <f ca="1">IFERROR(__xludf.DUMMYFUNCTION("""COMPUTED_VALUE"""),"奥野 貴大")</f>
        <v>奥野 貴大</v>
      </c>
    </row>
    <row r="3057" spans="2:4" ht="13">
      <c r="B3057" s="12">
        <f ca="1">IFERROR(__xludf.DUMMYFUNCTION("""COMPUTED_VALUE"""),118830)</f>
        <v>118830</v>
      </c>
      <c r="C3057" s="14">
        <f ca="1">IFERROR(__xludf.DUMMYFUNCTION("""COMPUTED_VALUE"""),1)</f>
        <v>1</v>
      </c>
      <c r="D3057" s="12" t="str">
        <f ca="1">IFERROR(__xludf.DUMMYFUNCTION("""COMPUTED_VALUE"""),"奥野 貴大")</f>
        <v>奥野 貴大</v>
      </c>
    </row>
    <row r="3058" spans="2:4" ht="13">
      <c r="B3058" s="12">
        <f ca="1">IFERROR(__xludf.DUMMYFUNCTION("""COMPUTED_VALUE"""),118831)</f>
        <v>118831</v>
      </c>
      <c r="C3058" s="14">
        <f ca="1">IFERROR(__xludf.DUMMYFUNCTION("""COMPUTED_VALUE"""),1)</f>
        <v>1</v>
      </c>
      <c r="D3058" s="12" t="str">
        <f ca="1">IFERROR(__xludf.DUMMYFUNCTION("""COMPUTED_VALUE"""),"奥野 貴大")</f>
        <v>奥野 貴大</v>
      </c>
    </row>
    <row r="3059" spans="2:4" ht="13">
      <c r="B3059" s="12">
        <f ca="1">IFERROR(__xludf.DUMMYFUNCTION("""COMPUTED_VALUE"""),118833)</f>
        <v>118833</v>
      </c>
      <c r="C3059" s="14">
        <f ca="1">IFERROR(__xludf.DUMMYFUNCTION("""COMPUTED_VALUE"""),2)</f>
        <v>2</v>
      </c>
      <c r="D3059" s="12" t="str">
        <f ca="1">IFERROR(__xludf.DUMMYFUNCTION("""COMPUTED_VALUE"""),"奥野 貴大")</f>
        <v>奥野 貴大</v>
      </c>
    </row>
    <row r="3060" spans="2:4" ht="13">
      <c r="B3060" s="12">
        <f ca="1">IFERROR(__xludf.DUMMYFUNCTION("""COMPUTED_VALUE"""),118834)</f>
        <v>118834</v>
      </c>
      <c r="C3060" s="14">
        <f ca="1">IFERROR(__xludf.DUMMYFUNCTION("""COMPUTED_VALUE"""),19)</f>
        <v>19</v>
      </c>
      <c r="D3060" s="12" t="str">
        <f ca="1">IFERROR(__xludf.DUMMYFUNCTION("""COMPUTED_VALUE"""),"桐山 勝気")</f>
        <v>桐山 勝気</v>
      </c>
    </row>
    <row r="3061" spans="2:4" ht="13">
      <c r="B3061" s="12">
        <f ca="1">IFERROR(__xludf.DUMMYFUNCTION("""COMPUTED_VALUE"""),118838)</f>
        <v>118838</v>
      </c>
      <c r="C3061" s="14">
        <f ca="1">IFERROR(__xludf.DUMMYFUNCTION("""COMPUTED_VALUE"""),0)</f>
        <v>0</v>
      </c>
      <c r="D3061" s="12" t="str">
        <f ca="1">IFERROR(__xludf.DUMMYFUNCTION("""COMPUTED_VALUE"""),"菅野 ぎんが")</f>
        <v>菅野 ぎんが</v>
      </c>
    </row>
    <row r="3062" spans="2:4" ht="13">
      <c r="B3062" s="12">
        <f ca="1">IFERROR(__xludf.DUMMYFUNCTION("""COMPUTED_VALUE"""),118839)</f>
        <v>118839</v>
      </c>
      <c r="C3062" s="14">
        <f ca="1">IFERROR(__xludf.DUMMYFUNCTION("""COMPUTED_VALUE"""),0)</f>
        <v>0</v>
      </c>
      <c r="D3062" s="12" t="str">
        <f ca="1">IFERROR(__xludf.DUMMYFUNCTION("""COMPUTED_VALUE"""),"長谷川 陸朗")</f>
        <v>長谷川 陸朗</v>
      </c>
    </row>
    <row r="3063" spans="2:4" ht="13">
      <c r="B3063" s="12">
        <f ca="1">IFERROR(__xludf.DUMMYFUNCTION("""COMPUTED_VALUE"""),118841)</f>
        <v>118841</v>
      </c>
      <c r="C3063" s="14">
        <f ca="1">IFERROR(__xludf.DUMMYFUNCTION("""COMPUTED_VALUE"""),0)</f>
        <v>0</v>
      </c>
      <c r="D3063" s="12" t="str">
        <f ca="1">IFERROR(__xludf.DUMMYFUNCTION("""COMPUTED_VALUE"""),"村上 浩一朗")</f>
        <v>村上 浩一朗</v>
      </c>
    </row>
    <row r="3064" spans="2:4" ht="13">
      <c r="B3064" s="12">
        <f ca="1">IFERROR(__xludf.DUMMYFUNCTION("""COMPUTED_VALUE"""),118870)</f>
        <v>118870</v>
      </c>
      <c r="C3064" s="14">
        <f ca="1">IFERROR(__xludf.DUMMYFUNCTION("""COMPUTED_VALUE"""),2)</f>
        <v>2</v>
      </c>
      <c r="D3064" s="12" t="str">
        <f ca="1">IFERROR(__xludf.DUMMYFUNCTION("""COMPUTED_VALUE"""),"松尾 尚樹")</f>
        <v>松尾 尚樹</v>
      </c>
    </row>
    <row r="3065" spans="2:4" ht="13">
      <c r="B3065" s="12">
        <f ca="1">IFERROR(__xludf.DUMMYFUNCTION("""COMPUTED_VALUE"""),118871)</f>
        <v>118871</v>
      </c>
      <c r="C3065" s="14">
        <f ca="1">IFERROR(__xludf.DUMMYFUNCTION("""COMPUTED_VALUE"""),2)</f>
        <v>2</v>
      </c>
      <c r="D3065" s="12" t="str">
        <f ca="1">IFERROR(__xludf.DUMMYFUNCTION("""COMPUTED_VALUE"""),"荻曽 克輝")</f>
        <v>荻曽 克輝</v>
      </c>
    </row>
    <row r="3066" spans="2:4" ht="13">
      <c r="B3066" s="12">
        <f ca="1">IFERROR(__xludf.DUMMYFUNCTION("""COMPUTED_VALUE"""),118876)</f>
        <v>118876</v>
      </c>
      <c r="C3066" s="14">
        <f ca="1">IFERROR(__xludf.DUMMYFUNCTION("""COMPUTED_VALUE"""),5)</f>
        <v>5</v>
      </c>
      <c r="D3066" s="12" t="str">
        <f ca="1">IFERROR(__xludf.DUMMYFUNCTION("""COMPUTED_VALUE"""),"老田 純輝")</f>
        <v>老田 純輝</v>
      </c>
    </row>
    <row r="3067" spans="2:4" ht="13">
      <c r="B3067" s="12">
        <f ca="1">IFERROR(__xludf.DUMMYFUNCTION("""COMPUTED_VALUE"""),118884)</f>
        <v>118884</v>
      </c>
      <c r="C3067" s="14">
        <f ca="1">IFERROR(__xludf.DUMMYFUNCTION("""COMPUTED_VALUE"""),0)</f>
        <v>0</v>
      </c>
      <c r="D3067" s="12" t="str">
        <f ca="1">IFERROR(__xludf.DUMMYFUNCTION("""COMPUTED_VALUE"""),"奥野 貴大")</f>
        <v>奥野 貴大</v>
      </c>
    </row>
    <row r="3068" spans="2:4" ht="13">
      <c r="B3068" s="12">
        <f ca="1">IFERROR(__xludf.DUMMYFUNCTION("""COMPUTED_VALUE"""),118886)</f>
        <v>118886</v>
      </c>
      <c r="C3068" s="14">
        <f ca="1">IFERROR(__xludf.DUMMYFUNCTION("""COMPUTED_VALUE"""),8)</f>
        <v>8</v>
      </c>
      <c r="D3068" s="12" t="str">
        <f ca="1">IFERROR(__xludf.DUMMYFUNCTION("""COMPUTED_VALUE"""),"稲場 勇介")</f>
        <v>稲場 勇介</v>
      </c>
    </row>
    <row r="3069" spans="2:4" ht="13">
      <c r="B3069" s="12">
        <f ca="1">IFERROR(__xludf.DUMMYFUNCTION("""COMPUTED_VALUE"""),118888)</f>
        <v>118888</v>
      </c>
      <c r="C3069" s="14">
        <f ca="1">IFERROR(__xludf.DUMMYFUNCTION("""COMPUTED_VALUE"""),6)</f>
        <v>6</v>
      </c>
      <c r="D3069" s="12" t="str">
        <f ca="1">IFERROR(__xludf.DUMMYFUNCTION("""COMPUTED_VALUE"""),"稲場 勇介")</f>
        <v>稲場 勇介</v>
      </c>
    </row>
    <row r="3070" spans="2:4" ht="13">
      <c r="B3070" s="12">
        <f ca="1">IFERROR(__xludf.DUMMYFUNCTION("""COMPUTED_VALUE"""),118889)</f>
        <v>118889</v>
      </c>
      <c r="C3070" s="14">
        <f ca="1">IFERROR(__xludf.DUMMYFUNCTION("""COMPUTED_VALUE"""),10)</f>
        <v>10</v>
      </c>
      <c r="D3070" s="12" t="str">
        <f ca="1">IFERROR(__xludf.DUMMYFUNCTION("""COMPUTED_VALUE"""),"稲場 勇介")</f>
        <v>稲場 勇介</v>
      </c>
    </row>
    <row r="3071" spans="2:4" ht="13">
      <c r="B3071" s="12">
        <f ca="1">IFERROR(__xludf.DUMMYFUNCTION("""COMPUTED_VALUE"""),118891)</f>
        <v>118891</v>
      </c>
      <c r="C3071" s="14">
        <f ca="1">IFERROR(__xludf.DUMMYFUNCTION("""COMPUTED_VALUE"""),17)</f>
        <v>17</v>
      </c>
      <c r="D3071" s="12" t="str">
        <f ca="1">IFERROR(__xludf.DUMMYFUNCTION("""COMPUTED_VALUE"""),"桐山 勝気")</f>
        <v>桐山 勝気</v>
      </c>
    </row>
    <row r="3072" spans="2:4" ht="13">
      <c r="B3072" s="12">
        <f ca="1">IFERROR(__xludf.DUMMYFUNCTION("""COMPUTED_VALUE"""),118913)</f>
        <v>118913</v>
      </c>
      <c r="C3072" s="14">
        <f ca="1">IFERROR(__xludf.DUMMYFUNCTION("""COMPUTED_VALUE"""),0)</f>
        <v>0</v>
      </c>
      <c r="D3072" s="12" t="str">
        <f ca="1">IFERROR(__xludf.DUMMYFUNCTION("""COMPUTED_VALUE"""),"内丸 裕子")</f>
        <v>内丸 裕子</v>
      </c>
    </row>
    <row r="3073" spans="2:4" ht="13">
      <c r="B3073" s="12">
        <f ca="1">IFERROR(__xludf.DUMMYFUNCTION("""COMPUTED_VALUE"""),118922)</f>
        <v>118922</v>
      </c>
      <c r="C3073" s="14">
        <f ca="1">IFERROR(__xludf.DUMMYFUNCTION("""COMPUTED_VALUE"""),0)</f>
        <v>0</v>
      </c>
      <c r="D3073" s="12" t="str">
        <f ca="1">IFERROR(__xludf.DUMMYFUNCTION("""COMPUTED_VALUE"""),"荻曽 克輝")</f>
        <v>荻曽 克輝</v>
      </c>
    </row>
    <row r="3074" spans="2:4" ht="13">
      <c r="B3074" s="12">
        <f ca="1">IFERROR(__xludf.DUMMYFUNCTION("""COMPUTED_VALUE"""),118929)</f>
        <v>118929</v>
      </c>
      <c r="C3074" s="14">
        <f ca="1">IFERROR(__xludf.DUMMYFUNCTION("""COMPUTED_VALUE"""),1)</f>
        <v>1</v>
      </c>
      <c r="D3074" s="12" t="str">
        <f ca="1">IFERROR(__xludf.DUMMYFUNCTION("""COMPUTED_VALUE"""),"小関 麻起")</f>
        <v>小関 麻起</v>
      </c>
    </row>
    <row r="3075" spans="2:4" ht="13">
      <c r="B3075" s="12">
        <f ca="1">IFERROR(__xludf.DUMMYFUNCTION("""COMPUTED_VALUE"""),118930)</f>
        <v>118930</v>
      </c>
      <c r="C3075" s="14">
        <f ca="1">IFERROR(__xludf.DUMMYFUNCTION("""COMPUTED_VALUE"""),0)</f>
        <v>0</v>
      </c>
      <c r="D3075" s="12" t="str">
        <f ca="1">IFERROR(__xludf.DUMMYFUNCTION("""COMPUTED_VALUE"""),"成嶋 夏未")</f>
        <v>成嶋 夏未</v>
      </c>
    </row>
    <row r="3076" spans="2:4" ht="13">
      <c r="B3076" s="12">
        <f ca="1">IFERROR(__xludf.DUMMYFUNCTION("""COMPUTED_VALUE"""),118932)</f>
        <v>118932</v>
      </c>
      <c r="C3076" s="14">
        <f ca="1">IFERROR(__xludf.DUMMYFUNCTION("""COMPUTED_VALUE"""),0)</f>
        <v>0</v>
      </c>
      <c r="D3076" s="12" t="str">
        <f ca="1">IFERROR(__xludf.DUMMYFUNCTION("""COMPUTED_VALUE"""),"村上 浩一朗")</f>
        <v>村上 浩一朗</v>
      </c>
    </row>
    <row r="3077" spans="2:4" ht="13">
      <c r="B3077" s="12">
        <f ca="1">IFERROR(__xludf.DUMMYFUNCTION("""COMPUTED_VALUE"""),118974)</f>
        <v>118974</v>
      </c>
      <c r="C3077" s="14">
        <f ca="1">IFERROR(__xludf.DUMMYFUNCTION("""COMPUTED_VALUE"""),0)</f>
        <v>0</v>
      </c>
      <c r="D3077" s="12" t="str">
        <f ca="1">IFERROR(__xludf.DUMMYFUNCTION("""COMPUTED_VALUE"""),"内丸 裕子")</f>
        <v>内丸 裕子</v>
      </c>
    </row>
    <row r="3078" spans="2:4" ht="13">
      <c r="B3078" s="12">
        <f ca="1">IFERROR(__xludf.DUMMYFUNCTION("""COMPUTED_VALUE"""),118979)</f>
        <v>118979</v>
      </c>
      <c r="C3078" s="14">
        <f ca="1">IFERROR(__xludf.DUMMYFUNCTION("""COMPUTED_VALUE"""),5)</f>
        <v>5</v>
      </c>
      <c r="D3078" s="12" t="str">
        <f ca="1">IFERROR(__xludf.DUMMYFUNCTION("""COMPUTED_VALUE"""),"松尾 尚樹")</f>
        <v>松尾 尚樹</v>
      </c>
    </row>
    <row r="3079" spans="2:4" ht="13">
      <c r="B3079" s="12">
        <f ca="1">IFERROR(__xludf.DUMMYFUNCTION("""COMPUTED_VALUE"""),118986)</f>
        <v>118986</v>
      </c>
      <c r="C3079" s="14">
        <f ca="1">IFERROR(__xludf.DUMMYFUNCTION("""COMPUTED_VALUE"""),21)</f>
        <v>21</v>
      </c>
      <c r="D3079" s="12" t="str">
        <f ca="1">IFERROR(__xludf.DUMMYFUNCTION("""COMPUTED_VALUE"""),"荻曽 克輝")</f>
        <v>荻曽 克輝</v>
      </c>
    </row>
    <row r="3080" spans="2:4" ht="13">
      <c r="B3080" s="12">
        <f ca="1">IFERROR(__xludf.DUMMYFUNCTION("""COMPUTED_VALUE"""),118994)</f>
        <v>118994</v>
      </c>
      <c r="C3080" s="14">
        <f ca="1">IFERROR(__xludf.DUMMYFUNCTION("""COMPUTED_VALUE"""),0)</f>
        <v>0</v>
      </c>
      <c r="D3080" s="12" t="str">
        <f ca="1">IFERROR(__xludf.DUMMYFUNCTION("""COMPUTED_VALUE"""),"菅野 ぎんが")</f>
        <v>菅野 ぎんが</v>
      </c>
    </row>
    <row r="3081" spans="2:4" ht="13">
      <c r="B3081" s="12">
        <f ca="1">IFERROR(__xludf.DUMMYFUNCTION("""COMPUTED_VALUE"""),119003)</f>
        <v>119003</v>
      </c>
      <c r="C3081" s="14">
        <f ca="1">IFERROR(__xludf.DUMMYFUNCTION("""COMPUTED_VALUE"""),1)</f>
        <v>1</v>
      </c>
      <c r="D3081" s="12" t="str">
        <f ca="1">IFERROR(__xludf.DUMMYFUNCTION("""COMPUTED_VALUE"""),"成嶋 夏未")</f>
        <v>成嶋 夏未</v>
      </c>
    </row>
    <row r="3082" spans="2:4" ht="13">
      <c r="B3082" s="12">
        <f ca="1">IFERROR(__xludf.DUMMYFUNCTION("""COMPUTED_VALUE"""),119004)</f>
        <v>119004</v>
      </c>
      <c r="C3082" s="14">
        <f ca="1">IFERROR(__xludf.DUMMYFUNCTION("""COMPUTED_VALUE"""),103)</f>
        <v>103</v>
      </c>
      <c r="D3082" s="12" t="str">
        <f ca="1">IFERROR(__xludf.DUMMYFUNCTION("""COMPUTED_VALUE"""),"松尾 尚樹")</f>
        <v>松尾 尚樹</v>
      </c>
    </row>
    <row r="3083" spans="2:4" ht="13">
      <c r="B3083" s="12">
        <f ca="1">IFERROR(__xludf.DUMMYFUNCTION("""COMPUTED_VALUE"""),119005)</f>
        <v>119005</v>
      </c>
      <c r="C3083" s="14">
        <f ca="1">IFERROR(__xludf.DUMMYFUNCTION("""COMPUTED_VALUE"""),22)</f>
        <v>22</v>
      </c>
      <c r="D3083" s="12" t="str">
        <f ca="1">IFERROR(__xludf.DUMMYFUNCTION("""COMPUTED_VALUE"""),"長谷川 陸朗")</f>
        <v>長谷川 陸朗</v>
      </c>
    </row>
    <row r="3084" spans="2:4" ht="13">
      <c r="B3084" s="12">
        <f ca="1">IFERROR(__xludf.DUMMYFUNCTION("""COMPUTED_VALUE"""),119006)</f>
        <v>119006</v>
      </c>
      <c r="C3084" s="14">
        <f ca="1">IFERROR(__xludf.DUMMYFUNCTION("""COMPUTED_VALUE"""),73)</f>
        <v>73</v>
      </c>
      <c r="D3084" s="12" t="str">
        <f ca="1">IFERROR(__xludf.DUMMYFUNCTION("""COMPUTED_VALUE"""),"松尾 尚樹")</f>
        <v>松尾 尚樹</v>
      </c>
    </row>
    <row r="3085" spans="2:4" ht="13">
      <c r="B3085" s="12">
        <f ca="1">IFERROR(__xludf.DUMMYFUNCTION("""COMPUTED_VALUE"""),119007)</f>
        <v>119007</v>
      </c>
      <c r="C3085" s="14">
        <f ca="1">IFERROR(__xludf.DUMMYFUNCTION("""COMPUTED_VALUE"""),0)</f>
        <v>0</v>
      </c>
      <c r="D3085" s="12" t="str">
        <f ca="1">IFERROR(__xludf.DUMMYFUNCTION("""COMPUTED_VALUE"""),"稲場 勇介")</f>
        <v>稲場 勇介</v>
      </c>
    </row>
    <row r="3086" spans="2:4" ht="13">
      <c r="B3086" s="12">
        <f ca="1">IFERROR(__xludf.DUMMYFUNCTION("""COMPUTED_VALUE"""),119010)</f>
        <v>119010</v>
      </c>
      <c r="C3086" s="14">
        <f ca="1">IFERROR(__xludf.DUMMYFUNCTION("""COMPUTED_VALUE"""),0)</f>
        <v>0</v>
      </c>
      <c r="D3086" s="12" t="str">
        <f ca="1">IFERROR(__xludf.DUMMYFUNCTION("""COMPUTED_VALUE"""),"稲場 勇介")</f>
        <v>稲場 勇介</v>
      </c>
    </row>
    <row r="3087" spans="2:4" ht="13">
      <c r="B3087" s="12">
        <f ca="1">IFERROR(__xludf.DUMMYFUNCTION("""COMPUTED_VALUE"""),119011)</f>
        <v>119011</v>
      </c>
      <c r="C3087" s="14">
        <f ca="1">IFERROR(__xludf.DUMMYFUNCTION("""COMPUTED_VALUE"""),17)</f>
        <v>17</v>
      </c>
      <c r="D3087" s="12" t="str">
        <f ca="1">IFERROR(__xludf.DUMMYFUNCTION("""COMPUTED_VALUE"""),"森 光智")</f>
        <v>森 光智</v>
      </c>
    </row>
    <row r="3088" spans="2:4" ht="13">
      <c r="B3088" s="12">
        <f ca="1">IFERROR(__xludf.DUMMYFUNCTION("""COMPUTED_VALUE"""),119019)</f>
        <v>119019</v>
      </c>
      <c r="C3088" s="14">
        <f ca="1">IFERROR(__xludf.DUMMYFUNCTION("""COMPUTED_VALUE"""),0)</f>
        <v>0</v>
      </c>
      <c r="D3088" s="12" t="str">
        <f ca="1">IFERROR(__xludf.DUMMYFUNCTION("""COMPUTED_VALUE"""),"大木 優香")</f>
        <v>大木 優香</v>
      </c>
    </row>
    <row r="3089" spans="2:4" ht="13">
      <c r="B3089" s="12">
        <f ca="1">IFERROR(__xludf.DUMMYFUNCTION("""COMPUTED_VALUE"""),119020)</f>
        <v>119020</v>
      </c>
      <c r="C3089" s="14">
        <f ca="1">IFERROR(__xludf.DUMMYFUNCTION("""COMPUTED_VALUE"""),13)</f>
        <v>13</v>
      </c>
      <c r="D3089" s="12" t="str">
        <f ca="1">IFERROR(__xludf.DUMMYFUNCTION("""COMPUTED_VALUE"""),"柿崎 晃司")</f>
        <v>柿崎 晃司</v>
      </c>
    </row>
    <row r="3090" spans="2:4" ht="13">
      <c r="B3090" s="12">
        <f ca="1">IFERROR(__xludf.DUMMYFUNCTION("""COMPUTED_VALUE"""),119021)</f>
        <v>119021</v>
      </c>
      <c r="C3090" s="14">
        <f ca="1">IFERROR(__xludf.DUMMYFUNCTION("""COMPUTED_VALUE"""),0)</f>
        <v>0</v>
      </c>
      <c r="D3090" s="12" t="str">
        <f ca="1">IFERROR(__xludf.DUMMYFUNCTION("""COMPUTED_VALUE"""),"大木 優香")</f>
        <v>大木 優香</v>
      </c>
    </row>
    <row r="3091" spans="2:4" ht="13">
      <c r="B3091" s="12">
        <f ca="1">IFERROR(__xludf.DUMMYFUNCTION("""COMPUTED_VALUE"""),119022)</f>
        <v>119022</v>
      </c>
      <c r="C3091" s="14">
        <f ca="1">IFERROR(__xludf.DUMMYFUNCTION("""COMPUTED_VALUE"""),0)</f>
        <v>0</v>
      </c>
      <c r="D3091" s="12" t="str">
        <f ca="1">IFERROR(__xludf.DUMMYFUNCTION("""COMPUTED_VALUE"""),"大木 優香")</f>
        <v>大木 優香</v>
      </c>
    </row>
    <row r="3092" spans="2:4" ht="13">
      <c r="B3092" s="12">
        <f ca="1">IFERROR(__xludf.DUMMYFUNCTION("""COMPUTED_VALUE"""),119023)</f>
        <v>119023</v>
      </c>
      <c r="C3092" s="14">
        <f ca="1">IFERROR(__xludf.DUMMYFUNCTION("""COMPUTED_VALUE"""),12)</f>
        <v>12</v>
      </c>
      <c r="D3092" s="12" t="str">
        <f ca="1">IFERROR(__xludf.DUMMYFUNCTION("""COMPUTED_VALUE"""),"大木 優香")</f>
        <v>大木 優香</v>
      </c>
    </row>
    <row r="3093" spans="2:4" ht="13">
      <c r="B3093" s="12">
        <f ca="1">IFERROR(__xludf.DUMMYFUNCTION("""COMPUTED_VALUE"""),119025)</f>
        <v>119025</v>
      </c>
      <c r="C3093" s="14">
        <f ca="1">IFERROR(__xludf.DUMMYFUNCTION("""COMPUTED_VALUE"""),0)</f>
        <v>0</v>
      </c>
      <c r="D3093" s="12" t="str">
        <f ca="1">IFERROR(__xludf.DUMMYFUNCTION("""COMPUTED_VALUE"""),"大木 優香")</f>
        <v>大木 優香</v>
      </c>
    </row>
    <row r="3094" spans="2:4" ht="13">
      <c r="B3094" s="12">
        <f ca="1">IFERROR(__xludf.DUMMYFUNCTION("""COMPUTED_VALUE"""),119027)</f>
        <v>119027</v>
      </c>
      <c r="C3094" s="14">
        <f ca="1">IFERROR(__xludf.DUMMYFUNCTION("""COMPUTED_VALUE"""),0)</f>
        <v>0</v>
      </c>
      <c r="D3094" s="12" t="str">
        <f ca="1">IFERROR(__xludf.DUMMYFUNCTION("""COMPUTED_VALUE"""),"大木 優香")</f>
        <v>大木 優香</v>
      </c>
    </row>
    <row r="3095" spans="2:4" ht="13">
      <c r="B3095" s="12">
        <f ca="1">IFERROR(__xludf.DUMMYFUNCTION("""COMPUTED_VALUE"""),119028)</f>
        <v>119028</v>
      </c>
      <c r="C3095" s="14">
        <f ca="1">IFERROR(__xludf.DUMMYFUNCTION("""COMPUTED_VALUE"""),2)</f>
        <v>2</v>
      </c>
      <c r="D3095" s="12" t="str">
        <f ca="1">IFERROR(__xludf.DUMMYFUNCTION("""COMPUTED_VALUE"""),"大木 優香")</f>
        <v>大木 優香</v>
      </c>
    </row>
    <row r="3096" spans="2:4" ht="13">
      <c r="B3096" s="12">
        <f ca="1">IFERROR(__xludf.DUMMYFUNCTION("""COMPUTED_VALUE"""),119029)</f>
        <v>119029</v>
      </c>
      <c r="C3096" s="14">
        <f ca="1">IFERROR(__xludf.DUMMYFUNCTION("""COMPUTED_VALUE"""),0)</f>
        <v>0</v>
      </c>
      <c r="D3096" s="12" t="str">
        <f ca="1">IFERROR(__xludf.DUMMYFUNCTION("""COMPUTED_VALUE"""),"大木 優香")</f>
        <v>大木 優香</v>
      </c>
    </row>
    <row r="3097" spans="2:4" ht="13">
      <c r="B3097" s="12">
        <f ca="1">IFERROR(__xludf.DUMMYFUNCTION("""COMPUTED_VALUE"""),119031)</f>
        <v>119031</v>
      </c>
      <c r="C3097" s="14">
        <f ca="1">IFERROR(__xludf.DUMMYFUNCTION("""COMPUTED_VALUE"""),2)</f>
        <v>2</v>
      </c>
      <c r="D3097" s="12" t="str">
        <f ca="1">IFERROR(__xludf.DUMMYFUNCTION("""COMPUTED_VALUE"""),"大木 優香")</f>
        <v>大木 優香</v>
      </c>
    </row>
    <row r="3098" spans="2:4" ht="13">
      <c r="B3098" s="12">
        <f ca="1">IFERROR(__xludf.DUMMYFUNCTION("""COMPUTED_VALUE"""),119032)</f>
        <v>119032</v>
      </c>
      <c r="C3098" s="14">
        <f ca="1">IFERROR(__xludf.DUMMYFUNCTION("""COMPUTED_VALUE"""),0)</f>
        <v>0</v>
      </c>
      <c r="D3098" s="12" t="str">
        <f ca="1">IFERROR(__xludf.DUMMYFUNCTION("""COMPUTED_VALUE"""),"大木 優香")</f>
        <v>大木 優香</v>
      </c>
    </row>
    <row r="3099" spans="2:4" ht="13">
      <c r="B3099" s="12">
        <f ca="1">IFERROR(__xludf.DUMMYFUNCTION("""COMPUTED_VALUE"""),119033)</f>
        <v>119033</v>
      </c>
      <c r="C3099" s="14">
        <f ca="1">IFERROR(__xludf.DUMMYFUNCTION("""COMPUTED_VALUE"""),0)</f>
        <v>0</v>
      </c>
      <c r="D3099" s="12" t="str">
        <f ca="1">IFERROR(__xludf.DUMMYFUNCTION("""COMPUTED_VALUE"""),"大木 優香")</f>
        <v>大木 優香</v>
      </c>
    </row>
    <row r="3100" spans="2:4" ht="13">
      <c r="B3100" s="12">
        <f ca="1">IFERROR(__xludf.DUMMYFUNCTION("""COMPUTED_VALUE"""),119035)</f>
        <v>119035</v>
      </c>
      <c r="C3100" s="14">
        <f ca="1">IFERROR(__xludf.DUMMYFUNCTION("""COMPUTED_VALUE"""),0)</f>
        <v>0</v>
      </c>
      <c r="D3100" s="12" t="str">
        <f ca="1">IFERROR(__xludf.DUMMYFUNCTION("""COMPUTED_VALUE"""),"大木 優香")</f>
        <v>大木 優香</v>
      </c>
    </row>
    <row r="3101" spans="2:4" ht="13">
      <c r="B3101" s="12">
        <f ca="1">IFERROR(__xludf.DUMMYFUNCTION("""COMPUTED_VALUE"""),119036)</f>
        <v>119036</v>
      </c>
      <c r="C3101" s="14">
        <f ca="1">IFERROR(__xludf.DUMMYFUNCTION("""COMPUTED_VALUE"""),2)</f>
        <v>2</v>
      </c>
      <c r="D3101" s="12" t="str">
        <f ca="1">IFERROR(__xludf.DUMMYFUNCTION("""COMPUTED_VALUE"""),"大木 優香")</f>
        <v>大木 優香</v>
      </c>
    </row>
    <row r="3102" spans="2:4" ht="13">
      <c r="B3102" s="12">
        <f ca="1">IFERROR(__xludf.DUMMYFUNCTION("""COMPUTED_VALUE"""),119037)</f>
        <v>119037</v>
      </c>
      <c r="C3102" s="14">
        <f ca="1">IFERROR(__xludf.DUMMYFUNCTION("""COMPUTED_VALUE"""),0)</f>
        <v>0</v>
      </c>
      <c r="D3102" s="12" t="str">
        <f ca="1">IFERROR(__xludf.DUMMYFUNCTION("""COMPUTED_VALUE"""),"大木 優香")</f>
        <v>大木 優香</v>
      </c>
    </row>
    <row r="3103" spans="2:4" ht="13">
      <c r="B3103" s="12">
        <f ca="1">IFERROR(__xludf.DUMMYFUNCTION("""COMPUTED_VALUE"""),119038)</f>
        <v>119038</v>
      </c>
      <c r="C3103" s="14">
        <f ca="1">IFERROR(__xludf.DUMMYFUNCTION("""COMPUTED_VALUE"""),0)</f>
        <v>0</v>
      </c>
      <c r="D3103" s="12" t="str">
        <f ca="1">IFERROR(__xludf.DUMMYFUNCTION("""COMPUTED_VALUE"""),"大木 優香")</f>
        <v>大木 優香</v>
      </c>
    </row>
    <row r="3104" spans="2:4" ht="13">
      <c r="B3104" s="12">
        <f ca="1">IFERROR(__xludf.DUMMYFUNCTION("""COMPUTED_VALUE"""),119040)</f>
        <v>119040</v>
      </c>
      <c r="C3104" s="14">
        <f ca="1">IFERROR(__xludf.DUMMYFUNCTION("""COMPUTED_VALUE"""),0)</f>
        <v>0</v>
      </c>
      <c r="D3104" s="12" t="str">
        <f ca="1">IFERROR(__xludf.DUMMYFUNCTION("""COMPUTED_VALUE"""),"大木 優香")</f>
        <v>大木 優香</v>
      </c>
    </row>
    <row r="3105" spans="2:4" ht="13">
      <c r="B3105" s="12">
        <f ca="1">IFERROR(__xludf.DUMMYFUNCTION("""COMPUTED_VALUE"""),119041)</f>
        <v>119041</v>
      </c>
      <c r="C3105" s="14">
        <f ca="1">IFERROR(__xludf.DUMMYFUNCTION("""COMPUTED_VALUE"""),0)</f>
        <v>0</v>
      </c>
      <c r="D3105" s="12" t="str">
        <f ca="1">IFERROR(__xludf.DUMMYFUNCTION("""COMPUTED_VALUE"""),"大木 優香")</f>
        <v>大木 優香</v>
      </c>
    </row>
    <row r="3106" spans="2:4" ht="13">
      <c r="B3106" s="12">
        <f ca="1">IFERROR(__xludf.DUMMYFUNCTION("""COMPUTED_VALUE"""),119044)</f>
        <v>119044</v>
      </c>
      <c r="C3106" s="14">
        <f ca="1">IFERROR(__xludf.DUMMYFUNCTION("""COMPUTED_VALUE"""),0)</f>
        <v>0</v>
      </c>
      <c r="D3106" s="12" t="str">
        <f ca="1">IFERROR(__xludf.DUMMYFUNCTION("""COMPUTED_VALUE"""),"大木 優香")</f>
        <v>大木 優香</v>
      </c>
    </row>
    <row r="3107" spans="2:4" ht="13">
      <c r="B3107" s="12">
        <f ca="1">IFERROR(__xludf.DUMMYFUNCTION("""COMPUTED_VALUE"""),119047)</f>
        <v>119047</v>
      </c>
      <c r="C3107" s="14">
        <f ca="1">IFERROR(__xludf.DUMMYFUNCTION("""COMPUTED_VALUE"""),0)</f>
        <v>0</v>
      </c>
      <c r="D3107" s="12" t="str">
        <f ca="1">IFERROR(__xludf.DUMMYFUNCTION("""COMPUTED_VALUE"""),"大木 優香")</f>
        <v>大木 優香</v>
      </c>
    </row>
    <row r="3108" spans="2:4" ht="13">
      <c r="B3108" s="12">
        <f ca="1">IFERROR(__xludf.DUMMYFUNCTION("""COMPUTED_VALUE"""),119049)</f>
        <v>119049</v>
      </c>
      <c r="C3108" s="14">
        <f ca="1">IFERROR(__xludf.DUMMYFUNCTION("""COMPUTED_VALUE"""),2)</f>
        <v>2</v>
      </c>
      <c r="D3108" s="12" t="str">
        <f ca="1">IFERROR(__xludf.DUMMYFUNCTION("""COMPUTED_VALUE"""),"大木 優香")</f>
        <v>大木 優香</v>
      </c>
    </row>
    <row r="3109" spans="2:4" ht="13">
      <c r="B3109" s="12">
        <f ca="1">IFERROR(__xludf.DUMMYFUNCTION("""COMPUTED_VALUE"""),119052)</f>
        <v>119052</v>
      </c>
      <c r="C3109" s="14">
        <f ca="1">IFERROR(__xludf.DUMMYFUNCTION("""COMPUTED_VALUE"""),0)</f>
        <v>0</v>
      </c>
      <c r="D3109" s="12" t="str">
        <f ca="1">IFERROR(__xludf.DUMMYFUNCTION("""COMPUTED_VALUE"""),"大木 優香")</f>
        <v>大木 優香</v>
      </c>
    </row>
    <row r="3110" spans="2:4" ht="13">
      <c r="B3110" s="12">
        <f ca="1">IFERROR(__xludf.DUMMYFUNCTION("""COMPUTED_VALUE"""),119058)</f>
        <v>119058</v>
      </c>
      <c r="C3110" s="14">
        <f ca="1">IFERROR(__xludf.DUMMYFUNCTION("""COMPUTED_VALUE"""),0)</f>
        <v>0</v>
      </c>
      <c r="D3110" s="12" t="str">
        <f ca="1">IFERROR(__xludf.DUMMYFUNCTION("""COMPUTED_VALUE"""),"大木 優香")</f>
        <v>大木 優香</v>
      </c>
    </row>
    <row r="3111" spans="2:4" ht="13">
      <c r="B3111" s="12">
        <f ca="1">IFERROR(__xludf.DUMMYFUNCTION("""COMPUTED_VALUE"""),119059)</f>
        <v>119059</v>
      </c>
      <c r="C3111" s="14">
        <f ca="1">IFERROR(__xludf.DUMMYFUNCTION("""COMPUTED_VALUE"""),1)</f>
        <v>1</v>
      </c>
      <c r="D3111" s="12" t="str">
        <f ca="1">IFERROR(__xludf.DUMMYFUNCTION("""COMPUTED_VALUE"""),"大木 優香")</f>
        <v>大木 優香</v>
      </c>
    </row>
    <row r="3112" spans="2:4" ht="13">
      <c r="B3112" s="12">
        <f ca="1">IFERROR(__xludf.DUMMYFUNCTION("""COMPUTED_VALUE"""),119061)</f>
        <v>119061</v>
      </c>
      <c r="C3112" s="14">
        <f ca="1">IFERROR(__xludf.DUMMYFUNCTION("""COMPUTED_VALUE"""),0)</f>
        <v>0</v>
      </c>
      <c r="D3112" s="12" t="str">
        <f ca="1">IFERROR(__xludf.DUMMYFUNCTION("""COMPUTED_VALUE"""),"大木 優香")</f>
        <v>大木 優香</v>
      </c>
    </row>
    <row r="3113" spans="2:4" ht="13">
      <c r="B3113" s="12">
        <f ca="1">IFERROR(__xludf.DUMMYFUNCTION("""COMPUTED_VALUE"""),119069)</f>
        <v>119069</v>
      </c>
      <c r="C3113" s="14">
        <f ca="1">IFERROR(__xludf.DUMMYFUNCTION("""COMPUTED_VALUE"""),0)</f>
        <v>0</v>
      </c>
      <c r="D3113" s="12" t="str">
        <f ca="1">IFERROR(__xludf.DUMMYFUNCTION("""COMPUTED_VALUE"""),"小関 麻起")</f>
        <v>小関 麻起</v>
      </c>
    </row>
    <row r="3114" spans="2:4" ht="13">
      <c r="B3114" s="12">
        <f ca="1">IFERROR(__xludf.DUMMYFUNCTION("""COMPUTED_VALUE"""),119071)</f>
        <v>119071</v>
      </c>
      <c r="C3114" s="14">
        <f ca="1">IFERROR(__xludf.DUMMYFUNCTION("""COMPUTED_VALUE"""),1)</f>
        <v>1</v>
      </c>
      <c r="D3114" s="12" t="str">
        <f ca="1">IFERROR(__xludf.DUMMYFUNCTION("""COMPUTED_VALUE"""),"荻曽 克輝")</f>
        <v>荻曽 克輝</v>
      </c>
    </row>
    <row r="3115" spans="2:4" ht="13">
      <c r="B3115" s="12">
        <f ca="1">IFERROR(__xludf.DUMMYFUNCTION("""COMPUTED_VALUE"""),119073)</f>
        <v>119073</v>
      </c>
      <c r="C3115" s="14">
        <f ca="1">IFERROR(__xludf.DUMMYFUNCTION("""COMPUTED_VALUE"""),0)</f>
        <v>0</v>
      </c>
      <c r="D3115" s="12" t="str">
        <f ca="1">IFERROR(__xludf.DUMMYFUNCTION("""COMPUTED_VALUE"""),"成嶋 夏未")</f>
        <v>成嶋 夏未</v>
      </c>
    </row>
    <row r="3116" spans="2:4" ht="13">
      <c r="B3116" s="12">
        <f ca="1">IFERROR(__xludf.DUMMYFUNCTION("""COMPUTED_VALUE"""),119100)</f>
        <v>119100</v>
      </c>
      <c r="C3116" s="14">
        <f ca="1">IFERROR(__xludf.DUMMYFUNCTION("""COMPUTED_VALUE"""),0)</f>
        <v>0</v>
      </c>
      <c r="D3116" s="12" t="str">
        <f ca="1">IFERROR(__xludf.DUMMYFUNCTION("""COMPUTED_VALUE"""),"長谷川 陸朗")</f>
        <v>長谷川 陸朗</v>
      </c>
    </row>
    <row r="3117" spans="2:4" ht="13">
      <c r="B3117" s="12">
        <f ca="1">IFERROR(__xludf.DUMMYFUNCTION("""COMPUTED_VALUE"""),119116)</f>
        <v>119116</v>
      </c>
      <c r="C3117" s="14">
        <f ca="1">IFERROR(__xludf.DUMMYFUNCTION("""COMPUTED_VALUE"""),0)</f>
        <v>0</v>
      </c>
      <c r="D3117" s="12" t="str">
        <f ca="1">IFERROR(__xludf.DUMMYFUNCTION("""COMPUTED_VALUE"""),"芳賀 亮輔")</f>
        <v>芳賀 亮輔</v>
      </c>
    </row>
    <row r="3118" spans="2:4" ht="13">
      <c r="B3118" s="12">
        <f ca="1">IFERROR(__xludf.DUMMYFUNCTION("""COMPUTED_VALUE"""),119119)</f>
        <v>119119</v>
      </c>
      <c r="C3118" s="14">
        <f ca="1">IFERROR(__xludf.DUMMYFUNCTION("""COMPUTED_VALUE"""),0)</f>
        <v>0</v>
      </c>
      <c r="D3118" s="12" t="str">
        <f ca="1">IFERROR(__xludf.DUMMYFUNCTION("""COMPUTED_VALUE"""),"栗原 大武")</f>
        <v>栗原 大武</v>
      </c>
    </row>
    <row r="3119" spans="2:4" ht="13">
      <c r="B3119" s="12">
        <f ca="1">IFERROR(__xludf.DUMMYFUNCTION("""COMPUTED_VALUE"""),119131)</f>
        <v>119131</v>
      </c>
      <c r="C3119" s="14">
        <f ca="1">IFERROR(__xludf.DUMMYFUNCTION("""COMPUTED_VALUE"""),0)</f>
        <v>0</v>
      </c>
      <c r="D3119" s="12" t="str">
        <f ca="1">IFERROR(__xludf.DUMMYFUNCTION("""COMPUTED_VALUE"""),"長谷川 陸朗")</f>
        <v>長谷川 陸朗</v>
      </c>
    </row>
    <row r="3120" spans="2:4" ht="13">
      <c r="B3120" s="12">
        <f ca="1">IFERROR(__xludf.DUMMYFUNCTION("""COMPUTED_VALUE"""),119165)</f>
        <v>119165</v>
      </c>
      <c r="C3120" s="14">
        <f ca="1">IFERROR(__xludf.DUMMYFUNCTION("""COMPUTED_VALUE"""),0)</f>
        <v>0</v>
      </c>
      <c r="D3120" s="12" t="str">
        <f ca="1">IFERROR(__xludf.DUMMYFUNCTION("""COMPUTED_VALUE"""),"老田 純輝")</f>
        <v>老田 純輝</v>
      </c>
    </row>
    <row r="3121" spans="2:4" ht="13">
      <c r="B3121" s="12">
        <f ca="1">IFERROR(__xludf.DUMMYFUNCTION("""COMPUTED_VALUE"""),119172)</f>
        <v>119172</v>
      </c>
      <c r="C3121" s="14">
        <f ca="1">IFERROR(__xludf.DUMMYFUNCTION("""COMPUTED_VALUE"""),3)</f>
        <v>3</v>
      </c>
      <c r="D3121" s="12" t="str">
        <f ca="1">IFERROR(__xludf.DUMMYFUNCTION("""COMPUTED_VALUE"""),"老田 純輝")</f>
        <v>老田 純輝</v>
      </c>
    </row>
    <row r="3122" spans="2:4" ht="13">
      <c r="B3122" s="12">
        <f ca="1">IFERROR(__xludf.DUMMYFUNCTION("""COMPUTED_VALUE"""),119173)</f>
        <v>119173</v>
      </c>
      <c r="C3122" s="14">
        <f ca="1">IFERROR(__xludf.DUMMYFUNCTION("""COMPUTED_VALUE"""),5)</f>
        <v>5</v>
      </c>
      <c r="D3122" s="12" t="str">
        <f ca="1">IFERROR(__xludf.DUMMYFUNCTION("""COMPUTED_VALUE"""),"老田 純輝")</f>
        <v>老田 純輝</v>
      </c>
    </row>
    <row r="3123" spans="2:4" ht="13">
      <c r="B3123" s="12">
        <f ca="1">IFERROR(__xludf.DUMMYFUNCTION("""COMPUTED_VALUE"""),119185)</f>
        <v>119185</v>
      </c>
      <c r="C3123" s="14">
        <f ca="1">IFERROR(__xludf.DUMMYFUNCTION("""COMPUTED_VALUE"""),2)</f>
        <v>2</v>
      </c>
      <c r="D3123" s="12" t="str">
        <f ca="1">IFERROR(__xludf.DUMMYFUNCTION("""COMPUTED_VALUE"""),"桐山 勝気")</f>
        <v>桐山 勝気</v>
      </c>
    </row>
    <row r="3124" spans="2:4" ht="13">
      <c r="B3124" s="12">
        <f ca="1">IFERROR(__xludf.DUMMYFUNCTION("""COMPUTED_VALUE"""),119191)</f>
        <v>119191</v>
      </c>
      <c r="C3124" s="14">
        <f ca="1">IFERROR(__xludf.DUMMYFUNCTION("""COMPUTED_VALUE"""),8)</f>
        <v>8</v>
      </c>
      <c r="D3124" s="12" t="str">
        <f ca="1">IFERROR(__xludf.DUMMYFUNCTION("""COMPUTED_VALUE"""),"老田 純輝")</f>
        <v>老田 純輝</v>
      </c>
    </row>
    <row r="3125" spans="2:4" ht="13">
      <c r="B3125" s="12">
        <f ca="1">IFERROR(__xludf.DUMMYFUNCTION("""COMPUTED_VALUE"""),119200)</f>
        <v>119200</v>
      </c>
      <c r="C3125" s="14">
        <f ca="1">IFERROR(__xludf.DUMMYFUNCTION("""COMPUTED_VALUE"""),1)</f>
        <v>1</v>
      </c>
      <c r="D3125" s="12" t="str">
        <f ca="1">IFERROR(__xludf.DUMMYFUNCTION("""COMPUTED_VALUE"""),"大木 優香")</f>
        <v>大木 優香</v>
      </c>
    </row>
    <row r="3126" spans="2:4" ht="13">
      <c r="B3126" s="12">
        <f ca="1">IFERROR(__xludf.DUMMYFUNCTION("""COMPUTED_VALUE"""),119201)</f>
        <v>119201</v>
      </c>
      <c r="C3126" s="14">
        <f ca="1">IFERROR(__xludf.DUMMYFUNCTION("""COMPUTED_VALUE"""),2)</f>
        <v>2</v>
      </c>
      <c r="D3126" s="12" t="str">
        <f ca="1">IFERROR(__xludf.DUMMYFUNCTION("""COMPUTED_VALUE"""),"松尾 尚樹")</f>
        <v>松尾 尚樹</v>
      </c>
    </row>
    <row r="3127" spans="2:4" ht="13">
      <c r="B3127" s="12">
        <f ca="1">IFERROR(__xludf.DUMMYFUNCTION("""COMPUTED_VALUE"""),119204)</f>
        <v>119204</v>
      </c>
      <c r="C3127" s="14">
        <f ca="1">IFERROR(__xludf.DUMMYFUNCTION("""COMPUTED_VALUE"""),24)</f>
        <v>24</v>
      </c>
      <c r="D3127" s="12" t="str">
        <f ca="1">IFERROR(__xludf.DUMMYFUNCTION("""COMPUTED_VALUE"""),"小関 麻起")</f>
        <v>小関 麻起</v>
      </c>
    </row>
    <row r="3128" spans="2:4" ht="13">
      <c r="B3128" s="12">
        <f ca="1">IFERROR(__xludf.DUMMYFUNCTION("""COMPUTED_VALUE"""),119209)</f>
        <v>119209</v>
      </c>
      <c r="C3128" s="14">
        <f ca="1">IFERROR(__xludf.DUMMYFUNCTION("""COMPUTED_VALUE"""),9)</f>
        <v>9</v>
      </c>
      <c r="D3128" s="12" t="str">
        <f ca="1">IFERROR(__xludf.DUMMYFUNCTION("""COMPUTED_VALUE"""),"稲場 勇介")</f>
        <v>稲場 勇介</v>
      </c>
    </row>
    <row r="3129" spans="2:4" ht="13">
      <c r="B3129" s="12">
        <f ca="1">IFERROR(__xludf.DUMMYFUNCTION("""COMPUTED_VALUE"""),119210)</f>
        <v>119210</v>
      </c>
      <c r="C3129" s="14">
        <f ca="1">IFERROR(__xludf.DUMMYFUNCTION("""COMPUTED_VALUE"""),13)</f>
        <v>13</v>
      </c>
      <c r="D3129" s="12" t="str">
        <f ca="1">IFERROR(__xludf.DUMMYFUNCTION("""COMPUTED_VALUE"""),"稲場 勇介")</f>
        <v>稲場 勇介</v>
      </c>
    </row>
    <row r="3130" spans="2:4" ht="13">
      <c r="B3130" s="12">
        <f ca="1">IFERROR(__xludf.DUMMYFUNCTION("""COMPUTED_VALUE"""),119212)</f>
        <v>119212</v>
      </c>
      <c r="C3130" s="14">
        <f ca="1">IFERROR(__xludf.DUMMYFUNCTION("""COMPUTED_VALUE"""),16)</f>
        <v>16</v>
      </c>
      <c r="D3130" s="12" t="str">
        <f ca="1">IFERROR(__xludf.DUMMYFUNCTION("""COMPUTED_VALUE"""),"稲場 勇介")</f>
        <v>稲場 勇介</v>
      </c>
    </row>
    <row r="3131" spans="2:4" ht="13">
      <c r="B3131" s="12">
        <f ca="1">IFERROR(__xludf.DUMMYFUNCTION("""COMPUTED_VALUE"""),119218)</f>
        <v>119218</v>
      </c>
      <c r="C3131" s="14">
        <f ca="1">IFERROR(__xludf.DUMMYFUNCTION("""COMPUTED_VALUE"""),14)</f>
        <v>14</v>
      </c>
      <c r="D3131" s="12" t="str">
        <f ca="1">IFERROR(__xludf.DUMMYFUNCTION("""COMPUTED_VALUE"""),"稲場 勇介")</f>
        <v>稲場 勇介</v>
      </c>
    </row>
    <row r="3132" spans="2:4" ht="13">
      <c r="B3132" s="12">
        <f ca="1">IFERROR(__xludf.DUMMYFUNCTION("""COMPUTED_VALUE"""),119221)</f>
        <v>119221</v>
      </c>
      <c r="C3132" s="14">
        <f ca="1">IFERROR(__xludf.DUMMYFUNCTION("""COMPUTED_VALUE"""),3)</f>
        <v>3</v>
      </c>
      <c r="D3132" s="12" t="str">
        <f ca="1">IFERROR(__xludf.DUMMYFUNCTION("""COMPUTED_VALUE"""),"村上 浩一朗")</f>
        <v>村上 浩一朗</v>
      </c>
    </row>
    <row r="3133" spans="2:4" ht="13">
      <c r="B3133" s="12">
        <f ca="1">IFERROR(__xludf.DUMMYFUNCTION("""COMPUTED_VALUE"""),119227)</f>
        <v>119227</v>
      </c>
      <c r="C3133" s="14">
        <f ca="1">IFERROR(__xludf.DUMMYFUNCTION("""COMPUTED_VALUE"""),2)</f>
        <v>2</v>
      </c>
      <c r="D3133" s="12" t="str">
        <f ca="1">IFERROR(__xludf.DUMMYFUNCTION("""COMPUTED_VALUE"""),"老田 純輝")</f>
        <v>老田 純輝</v>
      </c>
    </row>
    <row r="3134" spans="2:4" ht="13">
      <c r="B3134" s="12">
        <f ca="1">IFERROR(__xludf.DUMMYFUNCTION("""COMPUTED_VALUE"""),119229)</f>
        <v>119229</v>
      </c>
      <c r="C3134" s="14">
        <f ca="1">IFERROR(__xludf.DUMMYFUNCTION("""COMPUTED_VALUE"""),97)</f>
        <v>97</v>
      </c>
      <c r="D3134" s="12" t="str">
        <f ca="1">IFERROR(__xludf.DUMMYFUNCTION("""COMPUTED_VALUE"""),"桐山 勝気")</f>
        <v>桐山 勝気</v>
      </c>
    </row>
    <row r="3135" spans="2:4" ht="13">
      <c r="B3135" s="12">
        <f ca="1">IFERROR(__xludf.DUMMYFUNCTION("""COMPUTED_VALUE"""),119230)</f>
        <v>119230</v>
      </c>
      <c r="C3135" s="14">
        <f ca="1">IFERROR(__xludf.DUMMYFUNCTION("""COMPUTED_VALUE"""),5)</f>
        <v>5</v>
      </c>
      <c r="D3135" s="12" t="str">
        <f ca="1">IFERROR(__xludf.DUMMYFUNCTION("""COMPUTED_VALUE"""),"堀越 駿")</f>
        <v>堀越 駿</v>
      </c>
    </row>
    <row r="3136" spans="2:4" ht="13">
      <c r="B3136" s="12">
        <f ca="1">IFERROR(__xludf.DUMMYFUNCTION("""COMPUTED_VALUE"""),119235)</f>
        <v>119235</v>
      </c>
      <c r="C3136" s="14">
        <f ca="1">IFERROR(__xludf.DUMMYFUNCTION("""COMPUTED_VALUE"""),0)</f>
        <v>0</v>
      </c>
      <c r="D3136" s="12" t="str">
        <f ca="1">IFERROR(__xludf.DUMMYFUNCTION("""COMPUTED_VALUE"""),"大木 優香")</f>
        <v>大木 優香</v>
      </c>
    </row>
    <row r="3137" spans="2:4" ht="13">
      <c r="B3137" s="12">
        <f ca="1">IFERROR(__xludf.DUMMYFUNCTION("""COMPUTED_VALUE"""),119239)</f>
        <v>119239</v>
      </c>
      <c r="C3137" s="14">
        <f ca="1">IFERROR(__xludf.DUMMYFUNCTION("""COMPUTED_VALUE"""),0)</f>
        <v>0</v>
      </c>
      <c r="D3137" s="12" t="str">
        <f ca="1">IFERROR(__xludf.DUMMYFUNCTION("""COMPUTED_VALUE"""),"川島 幹也")</f>
        <v>川島 幹也</v>
      </c>
    </row>
    <row r="3138" spans="2:4" ht="13">
      <c r="B3138" s="12">
        <f ca="1">IFERROR(__xludf.DUMMYFUNCTION("""COMPUTED_VALUE"""),119241)</f>
        <v>119241</v>
      </c>
      <c r="C3138" s="14">
        <f ca="1">IFERROR(__xludf.DUMMYFUNCTION("""COMPUTED_VALUE"""),6)</f>
        <v>6</v>
      </c>
      <c r="D3138" s="12" t="str">
        <f ca="1">IFERROR(__xludf.DUMMYFUNCTION("""COMPUTED_VALUE"""),"稲場 勇介")</f>
        <v>稲場 勇介</v>
      </c>
    </row>
    <row r="3139" spans="2:4" ht="13">
      <c r="B3139" s="12">
        <f ca="1">IFERROR(__xludf.DUMMYFUNCTION("""COMPUTED_VALUE"""),119242)</f>
        <v>119242</v>
      </c>
      <c r="C3139" s="14">
        <f ca="1">IFERROR(__xludf.DUMMYFUNCTION("""COMPUTED_VALUE"""),6)</f>
        <v>6</v>
      </c>
      <c r="D3139" s="12" t="str">
        <f ca="1">IFERROR(__xludf.DUMMYFUNCTION("""COMPUTED_VALUE"""),"長谷川 陸朗")</f>
        <v>長谷川 陸朗</v>
      </c>
    </row>
    <row r="3140" spans="2:4" ht="13">
      <c r="B3140" s="12">
        <f ca="1">IFERROR(__xludf.DUMMYFUNCTION("""COMPUTED_VALUE"""),119249)</f>
        <v>119249</v>
      </c>
      <c r="C3140" s="14">
        <f ca="1">IFERROR(__xludf.DUMMYFUNCTION("""COMPUTED_VALUE"""),4)</f>
        <v>4</v>
      </c>
      <c r="D3140" s="12" t="str">
        <f ca="1">IFERROR(__xludf.DUMMYFUNCTION("""COMPUTED_VALUE"""),"長谷川 陸朗")</f>
        <v>長谷川 陸朗</v>
      </c>
    </row>
    <row r="3141" spans="2:4" ht="13">
      <c r="B3141" s="12">
        <f ca="1">IFERROR(__xludf.DUMMYFUNCTION("""COMPUTED_VALUE"""),119254)</f>
        <v>119254</v>
      </c>
      <c r="C3141" s="14">
        <f ca="1">IFERROR(__xludf.DUMMYFUNCTION("""COMPUTED_VALUE"""),0)</f>
        <v>0</v>
      </c>
      <c r="D3141" s="12" t="str">
        <f ca="1">IFERROR(__xludf.DUMMYFUNCTION("""COMPUTED_VALUE"""),"小関 麻起")</f>
        <v>小関 麻起</v>
      </c>
    </row>
    <row r="3142" spans="2:4" ht="13">
      <c r="B3142" s="12">
        <f ca="1">IFERROR(__xludf.DUMMYFUNCTION("""COMPUTED_VALUE"""),119256)</f>
        <v>119256</v>
      </c>
      <c r="C3142" s="14">
        <f ca="1">IFERROR(__xludf.DUMMYFUNCTION("""COMPUTED_VALUE"""),0)</f>
        <v>0</v>
      </c>
      <c r="D3142" s="12" t="str">
        <f ca="1">IFERROR(__xludf.DUMMYFUNCTION("""COMPUTED_VALUE"""),"村上 浩一朗")</f>
        <v>村上 浩一朗</v>
      </c>
    </row>
    <row r="3143" spans="2:4" ht="13">
      <c r="B3143" s="12">
        <f ca="1">IFERROR(__xludf.DUMMYFUNCTION("""COMPUTED_VALUE"""),119257)</f>
        <v>119257</v>
      </c>
      <c r="C3143" s="14">
        <f ca="1">IFERROR(__xludf.DUMMYFUNCTION("""COMPUTED_VALUE"""),0)</f>
        <v>0</v>
      </c>
      <c r="D3143" s="12" t="str">
        <f ca="1">IFERROR(__xludf.DUMMYFUNCTION("""COMPUTED_VALUE"""),"成嶋 夏未")</f>
        <v>成嶋 夏未</v>
      </c>
    </row>
    <row r="3144" spans="2:4" ht="13">
      <c r="B3144" s="12">
        <f ca="1">IFERROR(__xludf.DUMMYFUNCTION("""COMPUTED_VALUE"""),119264)</f>
        <v>119264</v>
      </c>
      <c r="C3144" s="14">
        <f ca="1">IFERROR(__xludf.DUMMYFUNCTION("""COMPUTED_VALUE"""),0)</f>
        <v>0</v>
      </c>
      <c r="D3144" s="12" t="str">
        <f ca="1">IFERROR(__xludf.DUMMYFUNCTION("""COMPUTED_VALUE"""),"菅野 ぎんが")</f>
        <v>菅野 ぎんが</v>
      </c>
    </row>
    <row r="3145" spans="2:4" ht="13">
      <c r="B3145" s="12">
        <f ca="1">IFERROR(__xludf.DUMMYFUNCTION("""COMPUTED_VALUE"""),119269)</f>
        <v>119269</v>
      </c>
      <c r="C3145" s="14">
        <f ca="1">IFERROR(__xludf.DUMMYFUNCTION("""COMPUTED_VALUE"""),2)</f>
        <v>2</v>
      </c>
      <c r="D3145" s="12" t="str">
        <f ca="1">IFERROR(__xludf.DUMMYFUNCTION("""COMPUTED_VALUE"""),"森 光智")</f>
        <v>森 光智</v>
      </c>
    </row>
    <row r="3146" spans="2:4" ht="13">
      <c r="B3146" s="12">
        <f ca="1">IFERROR(__xludf.DUMMYFUNCTION("""COMPUTED_VALUE"""),119280)</f>
        <v>119280</v>
      </c>
      <c r="C3146" s="14">
        <f ca="1">IFERROR(__xludf.DUMMYFUNCTION("""COMPUTED_VALUE"""),0)</f>
        <v>0</v>
      </c>
      <c r="D3146" s="12" t="str">
        <f ca="1">IFERROR(__xludf.DUMMYFUNCTION("""COMPUTED_VALUE"""),"内丸 裕子")</f>
        <v>内丸 裕子</v>
      </c>
    </row>
    <row r="3147" spans="2:4" ht="13">
      <c r="B3147" s="12">
        <f ca="1">IFERROR(__xludf.DUMMYFUNCTION("""COMPUTED_VALUE"""),119282)</f>
        <v>119282</v>
      </c>
      <c r="C3147" s="14">
        <f ca="1">IFERROR(__xludf.DUMMYFUNCTION("""COMPUTED_VALUE"""),10)</f>
        <v>10</v>
      </c>
      <c r="D3147" s="12" t="str">
        <f ca="1">IFERROR(__xludf.DUMMYFUNCTION("""COMPUTED_VALUE"""),"菅野 ぎんが")</f>
        <v>菅野 ぎんが</v>
      </c>
    </row>
    <row r="3148" spans="2:4" ht="13">
      <c r="B3148" s="12">
        <f ca="1">IFERROR(__xludf.DUMMYFUNCTION("""COMPUTED_VALUE"""),119309)</f>
        <v>119309</v>
      </c>
      <c r="C3148" s="14">
        <f ca="1">IFERROR(__xludf.DUMMYFUNCTION("""COMPUTED_VALUE"""),40)</f>
        <v>40</v>
      </c>
      <c r="D3148" s="12" t="str">
        <f ca="1">IFERROR(__xludf.DUMMYFUNCTION("""COMPUTED_VALUE"""),"荻曽 克輝")</f>
        <v>荻曽 克輝</v>
      </c>
    </row>
    <row r="3149" spans="2:4" ht="13">
      <c r="B3149" s="12">
        <f ca="1">IFERROR(__xludf.DUMMYFUNCTION("""COMPUTED_VALUE"""),119321)</f>
        <v>119321</v>
      </c>
      <c r="C3149" s="14">
        <f ca="1">IFERROR(__xludf.DUMMYFUNCTION("""COMPUTED_VALUE"""),0)</f>
        <v>0</v>
      </c>
      <c r="D3149" s="12" t="str">
        <f ca="1">IFERROR(__xludf.DUMMYFUNCTION("""COMPUTED_VALUE"""),"荻曽 克輝")</f>
        <v>荻曽 克輝</v>
      </c>
    </row>
    <row r="3150" spans="2:4" ht="13">
      <c r="B3150" s="12">
        <f ca="1">IFERROR(__xludf.DUMMYFUNCTION("""COMPUTED_VALUE"""),119323)</f>
        <v>119323</v>
      </c>
      <c r="C3150" s="14">
        <f ca="1">IFERROR(__xludf.DUMMYFUNCTION("""COMPUTED_VALUE"""),0)</f>
        <v>0</v>
      </c>
      <c r="D3150" s="12" t="str">
        <f ca="1">IFERROR(__xludf.DUMMYFUNCTION("""COMPUTED_VALUE"""),"小関 麻起")</f>
        <v>小関 麻起</v>
      </c>
    </row>
    <row r="3151" spans="2:4" ht="13">
      <c r="B3151" s="12">
        <f ca="1">IFERROR(__xludf.DUMMYFUNCTION("""COMPUTED_VALUE"""),119345)</f>
        <v>119345</v>
      </c>
      <c r="C3151" s="14">
        <f ca="1">IFERROR(__xludf.DUMMYFUNCTION("""COMPUTED_VALUE"""),2)</f>
        <v>2</v>
      </c>
      <c r="D3151" s="12" t="str">
        <f ca="1">IFERROR(__xludf.DUMMYFUNCTION("""COMPUTED_VALUE"""),"菅野 ぎんが")</f>
        <v>菅野 ぎんが</v>
      </c>
    </row>
    <row r="3152" spans="2:4" ht="13">
      <c r="B3152" s="12">
        <f ca="1">IFERROR(__xludf.DUMMYFUNCTION("""COMPUTED_VALUE"""),119347)</f>
        <v>119347</v>
      </c>
      <c r="C3152" s="14">
        <f ca="1">IFERROR(__xludf.DUMMYFUNCTION("""COMPUTED_VALUE"""),2)</f>
        <v>2</v>
      </c>
      <c r="D3152" s="12" t="str">
        <f ca="1">IFERROR(__xludf.DUMMYFUNCTION("""COMPUTED_VALUE"""),"栗原 大武")</f>
        <v>栗原 大武</v>
      </c>
    </row>
    <row r="3153" spans="2:4" ht="13">
      <c r="B3153" s="12">
        <f ca="1">IFERROR(__xludf.DUMMYFUNCTION("""COMPUTED_VALUE"""),119350)</f>
        <v>119350</v>
      </c>
      <c r="C3153" s="14">
        <f ca="1">IFERROR(__xludf.DUMMYFUNCTION("""COMPUTED_VALUE"""),0)</f>
        <v>0</v>
      </c>
      <c r="D3153" s="12" t="str">
        <f ca="1">IFERROR(__xludf.DUMMYFUNCTION("""COMPUTED_VALUE"""),"荻曽 克輝")</f>
        <v>荻曽 克輝</v>
      </c>
    </row>
    <row r="3154" spans="2:4" ht="13">
      <c r="B3154" s="12">
        <f ca="1">IFERROR(__xludf.DUMMYFUNCTION("""COMPUTED_VALUE"""),119365)</f>
        <v>119365</v>
      </c>
      <c r="C3154" s="14">
        <f ca="1">IFERROR(__xludf.DUMMYFUNCTION("""COMPUTED_VALUE"""),13)</f>
        <v>13</v>
      </c>
      <c r="D3154" s="12" t="str">
        <f ca="1">IFERROR(__xludf.DUMMYFUNCTION("""COMPUTED_VALUE"""),"菅野 ぎんが")</f>
        <v>菅野 ぎんが</v>
      </c>
    </row>
    <row r="3155" spans="2:4" ht="13">
      <c r="B3155" s="12">
        <f ca="1">IFERROR(__xludf.DUMMYFUNCTION("""COMPUTED_VALUE"""),119366)</f>
        <v>119366</v>
      </c>
      <c r="C3155" s="14">
        <f ca="1">IFERROR(__xludf.DUMMYFUNCTION("""COMPUTED_VALUE"""),2)</f>
        <v>2</v>
      </c>
      <c r="D3155" s="12" t="str">
        <f ca="1">IFERROR(__xludf.DUMMYFUNCTION("""COMPUTED_VALUE"""),"長谷川 陸朗")</f>
        <v>長谷川 陸朗</v>
      </c>
    </row>
    <row r="3156" spans="2:4" ht="13">
      <c r="B3156" s="12">
        <f ca="1">IFERROR(__xludf.DUMMYFUNCTION("""COMPUTED_VALUE"""),119375)</f>
        <v>119375</v>
      </c>
      <c r="C3156" s="14">
        <f ca="1">IFERROR(__xludf.DUMMYFUNCTION("""COMPUTED_VALUE"""),0)</f>
        <v>0</v>
      </c>
      <c r="D3156" s="12" t="str">
        <f ca="1">IFERROR(__xludf.DUMMYFUNCTION("""COMPUTED_VALUE"""),"長谷川 陸朗")</f>
        <v>長谷川 陸朗</v>
      </c>
    </row>
    <row r="3157" spans="2:4" ht="13">
      <c r="B3157" s="12">
        <f ca="1">IFERROR(__xludf.DUMMYFUNCTION("""COMPUTED_VALUE"""),119384)</f>
        <v>119384</v>
      </c>
      <c r="C3157" s="14">
        <f ca="1">IFERROR(__xludf.DUMMYFUNCTION("""COMPUTED_VALUE"""),1)</f>
        <v>1</v>
      </c>
      <c r="D3157" s="12" t="str">
        <f ca="1">IFERROR(__xludf.DUMMYFUNCTION("""COMPUTED_VALUE"""),"小関 麻起")</f>
        <v>小関 麻起</v>
      </c>
    </row>
    <row r="3158" spans="2:4" ht="13">
      <c r="B3158" s="12">
        <f ca="1">IFERROR(__xludf.DUMMYFUNCTION("""COMPUTED_VALUE"""),119388)</f>
        <v>119388</v>
      </c>
      <c r="C3158" s="14">
        <f ca="1">IFERROR(__xludf.DUMMYFUNCTION("""COMPUTED_VALUE"""),16)</f>
        <v>16</v>
      </c>
      <c r="D3158" s="12" t="str">
        <f ca="1">IFERROR(__xludf.DUMMYFUNCTION("""COMPUTED_VALUE"""),"桐山 勝気")</f>
        <v>桐山 勝気</v>
      </c>
    </row>
    <row r="3159" spans="2:4" ht="13">
      <c r="B3159" s="12">
        <f ca="1">IFERROR(__xludf.DUMMYFUNCTION("""COMPUTED_VALUE"""),119397)</f>
        <v>119397</v>
      </c>
      <c r="C3159" s="14">
        <f ca="1">IFERROR(__xludf.DUMMYFUNCTION("""COMPUTED_VALUE"""),0)</f>
        <v>0</v>
      </c>
      <c r="D3159" s="12" t="str">
        <f ca="1">IFERROR(__xludf.DUMMYFUNCTION("""COMPUTED_VALUE"""),"芳賀 亮輔")</f>
        <v>芳賀 亮輔</v>
      </c>
    </row>
    <row r="3160" spans="2:4" ht="13">
      <c r="B3160" s="12">
        <f ca="1">IFERROR(__xludf.DUMMYFUNCTION("""COMPUTED_VALUE"""),119405)</f>
        <v>119405</v>
      </c>
      <c r="C3160" s="14">
        <f ca="1">IFERROR(__xludf.DUMMYFUNCTION("""COMPUTED_VALUE"""),0)</f>
        <v>0</v>
      </c>
      <c r="D3160" s="12" t="str">
        <f ca="1">IFERROR(__xludf.DUMMYFUNCTION("""COMPUTED_VALUE"""),"長谷川 陸朗")</f>
        <v>長谷川 陸朗</v>
      </c>
    </row>
    <row r="3161" spans="2:4" ht="13">
      <c r="B3161" s="12">
        <f ca="1">IFERROR(__xludf.DUMMYFUNCTION("""COMPUTED_VALUE"""),119408)</f>
        <v>119408</v>
      </c>
      <c r="C3161" s="14">
        <f ca="1">IFERROR(__xludf.DUMMYFUNCTION("""COMPUTED_VALUE"""),0)</f>
        <v>0</v>
      </c>
      <c r="D3161" s="12" t="str">
        <f ca="1">IFERROR(__xludf.DUMMYFUNCTION("""COMPUTED_VALUE"""),"菅野 ぎんが")</f>
        <v>菅野 ぎんが</v>
      </c>
    </row>
    <row r="3162" spans="2:4" ht="13">
      <c r="B3162" s="12">
        <f ca="1">IFERROR(__xludf.DUMMYFUNCTION("""COMPUTED_VALUE"""),119410)</f>
        <v>119410</v>
      </c>
      <c r="C3162" s="14">
        <f ca="1">IFERROR(__xludf.DUMMYFUNCTION("""COMPUTED_VALUE"""),0)</f>
        <v>0</v>
      </c>
      <c r="D3162" s="12" t="str">
        <f ca="1">IFERROR(__xludf.DUMMYFUNCTION("""COMPUTED_VALUE"""),"芳賀 亮輔")</f>
        <v>芳賀 亮輔</v>
      </c>
    </row>
    <row r="3163" spans="2:4" ht="13">
      <c r="B3163" s="12">
        <f ca="1">IFERROR(__xludf.DUMMYFUNCTION("""COMPUTED_VALUE"""),119412)</f>
        <v>119412</v>
      </c>
      <c r="C3163" s="14">
        <f ca="1">IFERROR(__xludf.DUMMYFUNCTION("""COMPUTED_VALUE"""),0)</f>
        <v>0</v>
      </c>
      <c r="D3163" s="12" t="str">
        <f ca="1">IFERROR(__xludf.DUMMYFUNCTION("""COMPUTED_VALUE"""),"芳賀 亮輔")</f>
        <v>芳賀 亮輔</v>
      </c>
    </row>
    <row r="3164" spans="2:4" ht="13">
      <c r="B3164" s="12">
        <f ca="1">IFERROR(__xludf.DUMMYFUNCTION("""COMPUTED_VALUE"""),119414)</f>
        <v>119414</v>
      </c>
      <c r="C3164" s="14">
        <f ca="1">IFERROR(__xludf.DUMMYFUNCTION("""COMPUTED_VALUE"""),0)</f>
        <v>0</v>
      </c>
      <c r="D3164" s="12" t="str">
        <f ca="1">IFERROR(__xludf.DUMMYFUNCTION("""COMPUTED_VALUE"""),"芳賀 亮輔")</f>
        <v>芳賀 亮輔</v>
      </c>
    </row>
    <row r="3165" spans="2:4" ht="13">
      <c r="B3165" s="12">
        <f ca="1">IFERROR(__xludf.DUMMYFUNCTION("""COMPUTED_VALUE"""),119416)</f>
        <v>119416</v>
      </c>
      <c r="C3165" s="14">
        <f ca="1">IFERROR(__xludf.DUMMYFUNCTION("""COMPUTED_VALUE"""),0)</f>
        <v>0</v>
      </c>
      <c r="D3165" s="12" t="str">
        <f ca="1">IFERROR(__xludf.DUMMYFUNCTION("""COMPUTED_VALUE"""),"芳賀 亮輔")</f>
        <v>芳賀 亮輔</v>
      </c>
    </row>
    <row r="3166" spans="2:4" ht="13">
      <c r="B3166" s="12">
        <f ca="1">IFERROR(__xludf.DUMMYFUNCTION("""COMPUTED_VALUE"""),119417)</f>
        <v>119417</v>
      </c>
      <c r="C3166" s="14">
        <f ca="1">IFERROR(__xludf.DUMMYFUNCTION("""COMPUTED_VALUE"""),0)</f>
        <v>0</v>
      </c>
      <c r="D3166" s="12" t="str">
        <f ca="1">IFERROR(__xludf.DUMMYFUNCTION("""COMPUTED_VALUE"""),"芳賀 亮輔")</f>
        <v>芳賀 亮輔</v>
      </c>
    </row>
    <row r="3167" spans="2:4" ht="13">
      <c r="B3167" s="12">
        <f ca="1">IFERROR(__xludf.DUMMYFUNCTION("""COMPUTED_VALUE"""),119418)</f>
        <v>119418</v>
      </c>
      <c r="C3167" s="14">
        <f ca="1">IFERROR(__xludf.DUMMYFUNCTION("""COMPUTED_VALUE"""),0)</f>
        <v>0</v>
      </c>
      <c r="D3167" s="12" t="str">
        <f ca="1">IFERROR(__xludf.DUMMYFUNCTION("""COMPUTED_VALUE"""),"芳賀 亮輔")</f>
        <v>芳賀 亮輔</v>
      </c>
    </row>
    <row r="3168" spans="2:4" ht="13">
      <c r="B3168" s="12">
        <f ca="1">IFERROR(__xludf.DUMMYFUNCTION("""COMPUTED_VALUE"""),119423)</f>
        <v>119423</v>
      </c>
      <c r="C3168" s="14">
        <f ca="1">IFERROR(__xludf.DUMMYFUNCTION("""COMPUTED_VALUE"""),24)</f>
        <v>24</v>
      </c>
      <c r="D3168" s="12" t="str">
        <f ca="1">IFERROR(__xludf.DUMMYFUNCTION("""COMPUTED_VALUE"""),"稲場 勇介")</f>
        <v>稲場 勇介</v>
      </c>
    </row>
    <row r="3169" spans="2:4" ht="13">
      <c r="B3169" s="12">
        <f ca="1">IFERROR(__xludf.DUMMYFUNCTION("""COMPUTED_VALUE"""),119434)</f>
        <v>119434</v>
      </c>
      <c r="C3169" s="14">
        <f ca="1">IFERROR(__xludf.DUMMYFUNCTION("""COMPUTED_VALUE"""),0)</f>
        <v>0</v>
      </c>
      <c r="D3169" s="12" t="str">
        <f ca="1">IFERROR(__xludf.DUMMYFUNCTION("""COMPUTED_VALUE"""),"小関 麻起")</f>
        <v>小関 麻起</v>
      </c>
    </row>
    <row r="3170" spans="2:4" ht="13">
      <c r="B3170" s="12">
        <f ca="1">IFERROR(__xludf.DUMMYFUNCTION("""COMPUTED_VALUE"""),119438)</f>
        <v>119438</v>
      </c>
      <c r="C3170" s="14">
        <f ca="1">IFERROR(__xludf.DUMMYFUNCTION("""COMPUTED_VALUE"""),1)</f>
        <v>1</v>
      </c>
      <c r="D3170" s="12" t="str">
        <f ca="1">IFERROR(__xludf.DUMMYFUNCTION("""COMPUTED_VALUE"""),"長谷川 陸朗")</f>
        <v>長谷川 陸朗</v>
      </c>
    </row>
    <row r="3171" spans="2:4" ht="13">
      <c r="B3171" s="12">
        <f ca="1">IFERROR(__xludf.DUMMYFUNCTION("""COMPUTED_VALUE"""),119447)</f>
        <v>119447</v>
      </c>
      <c r="C3171" s="14">
        <f ca="1">IFERROR(__xludf.DUMMYFUNCTION("""COMPUTED_VALUE"""),0)</f>
        <v>0</v>
      </c>
      <c r="D3171" s="12" t="str">
        <f ca="1">IFERROR(__xludf.DUMMYFUNCTION("""COMPUTED_VALUE"""),"松尾 尚樹")</f>
        <v>松尾 尚樹</v>
      </c>
    </row>
    <row r="3172" spans="2:4" ht="13">
      <c r="B3172" s="12">
        <f ca="1">IFERROR(__xludf.DUMMYFUNCTION("""COMPUTED_VALUE"""),119456)</f>
        <v>119456</v>
      </c>
      <c r="C3172" s="14">
        <f ca="1">IFERROR(__xludf.DUMMYFUNCTION("""COMPUTED_VALUE"""),81)</f>
        <v>81</v>
      </c>
      <c r="D3172" s="12" t="str">
        <f ca="1">IFERROR(__xludf.DUMMYFUNCTION("""COMPUTED_VALUE"""),"内丸 裕子")</f>
        <v>内丸 裕子</v>
      </c>
    </row>
    <row r="3173" spans="2:4" ht="13">
      <c r="B3173" s="12">
        <f ca="1">IFERROR(__xludf.DUMMYFUNCTION("""COMPUTED_VALUE"""),119457)</f>
        <v>119457</v>
      </c>
      <c r="C3173" s="14">
        <f ca="1">IFERROR(__xludf.DUMMYFUNCTION("""COMPUTED_VALUE"""),85)</f>
        <v>85</v>
      </c>
      <c r="D3173" s="12" t="str">
        <f ca="1">IFERROR(__xludf.DUMMYFUNCTION("""COMPUTED_VALUE"""),"内丸 裕子")</f>
        <v>内丸 裕子</v>
      </c>
    </row>
    <row r="3174" spans="2:4" ht="13">
      <c r="B3174" s="12">
        <f ca="1">IFERROR(__xludf.DUMMYFUNCTION("""COMPUTED_VALUE"""),119485)</f>
        <v>119485</v>
      </c>
      <c r="C3174" s="14">
        <f ca="1">IFERROR(__xludf.DUMMYFUNCTION("""COMPUTED_VALUE"""),0)</f>
        <v>0</v>
      </c>
      <c r="D3174" s="12" t="str">
        <f ca="1">IFERROR(__xludf.DUMMYFUNCTION("""COMPUTED_VALUE"""),"辻村 将大")</f>
        <v>辻村 将大</v>
      </c>
    </row>
    <row r="3175" spans="2:4" ht="13">
      <c r="B3175" s="12">
        <f ca="1">IFERROR(__xludf.DUMMYFUNCTION("""COMPUTED_VALUE"""),119487)</f>
        <v>119487</v>
      </c>
      <c r="C3175" s="14">
        <f ca="1">IFERROR(__xludf.DUMMYFUNCTION("""COMPUTED_VALUE"""),49)</f>
        <v>49</v>
      </c>
      <c r="D3175" s="12" t="str">
        <f ca="1">IFERROR(__xludf.DUMMYFUNCTION("""COMPUTED_VALUE"""),"稲場 勇介")</f>
        <v>稲場 勇介</v>
      </c>
    </row>
    <row r="3176" spans="2:4" ht="13">
      <c r="B3176" s="12">
        <f ca="1">IFERROR(__xludf.DUMMYFUNCTION("""COMPUTED_VALUE"""),119502)</f>
        <v>119502</v>
      </c>
      <c r="C3176" s="14">
        <f ca="1">IFERROR(__xludf.DUMMYFUNCTION("""COMPUTED_VALUE"""),2)</f>
        <v>2</v>
      </c>
      <c r="D3176" s="12" t="str">
        <f ca="1">IFERROR(__xludf.DUMMYFUNCTION("""COMPUTED_VALUE"""),"稲場 勇介")</f>
        <v>稲場 勇介</v>
      </c>
    </row>
    <row r="3177" spans="2:4" ht="13">
      <c r="B3177" s="12">
        <f ca="1">IFERROR(__xludf.DUMMYFUNCTION("""COMPUTED_VALUE"""),119522)</f>
        <v>119522</v>
      </c>
      <c r="C3177" s="14">
        <f ca="1">IFERROR(__xludf.DUMMYFUNCTION("""COMPUTED_VALUE"""),2)</f>
        <v>2</v>
      </c>
      <c r="D3177" s="12" t="str">
        <f ca="1">IFERROR(__xludf.DUMMYFUNCTION("""COMPUTED_VALUE"""),"成嶋 夏未")</f>
        <v>成嶋 夏未</v>
      </c>
    </row>
    <row r="3178" spans="2:4" ht="13">
      <c r="B3178" s="12">
        <f ca="1">IFERROR(__xludf.DUMMYFUNCTION("""COMPUTED_VALUE"""),119526)</f>
        <v>119526</v>
      </c>
      <c r="C3178" s="14">
        <f ca="1">IFERROR(__xludf.DUMMYFUNCTION("""COMPUTED_VALUE"""),90)</f>
        <v>90</v>
      </c>
      <c r="D3178" s="12" t="str">
        <f ca="1">IFERROR(__xludf.DUMMYFUNCTION("""COMPUTED_VALUE"""),"栗原 大武")</f>
        <v>栗原 大武</v>
      </c>
    </row>
    <row r="3179" spans="2:4" ht="13">
      <c r="B3179" s="12">
        <f ca="1">IFERROR(__xludf.DUMMYFUNCTION("""COMPUTED_VALUE"""),119536)</f>
        <v>119536</v>
      </c>
      <c r="C3179" s="14">
        <f ca="1">IFERROR(__xludf.DUMMYFUNCTION("""COMPUTED_VALUE"""),0)</f>
        <v>0</v>
      </c>
      <c r="D3179" s="12" t="str">
        <f ca="1">IFERROR(__xludf.DUMMYFUNCTION("""COMPUTED_VALUE"""),"川島 幹也")</f>
        <v>川島 幹也</v>
      </c>
    </row>
    <row r="3180" spans="2:4" ht="13">
      <c r="B3180" s="12">
        <f ca="1">IFERROR(__xludf.DUMMYFUNCTION("""COMPUTED_VALUE"""),119571)</f>
        <v>119571</v>
      </c>
      <c r="C3180" s="14">
        <f ca="1">IFERROR(__xludf.DUMMYFUNCTION("""COMPUTED_VALUE"""),0)</f>
        <v>0</v>
      </c>
      <c r="D3180" s="12" t="str">
        <f ca="1">IFERROR(__xludf.DUMMYFUNCTION("""COMPUTED_VALUE"""),"老田 純輝")</f>
        <v>老田 純輝</v>
      </c>
    </row>
    <row r="3181" spans="2:4" ht="13">
      <c r="B3181" s="12">
        <f ca="1">IFERROR(__xludf.DUMMYFUNCTION("""COMPUTED_VALUE"""),119575)</f>
        <v>119575</v>
      </c>
      <c r="C3181" s="14">
        <f ca="1">IFERROR(__xludf.DUMMYFUNCTION("""COMPUTED_VALUE"""),0)</f>
        <v>0</v>
      </c>
      <c r="D3181" s="12" t="str">
        <f ca="1">IFERROR(__xludf.DUMMYFUNCTION("""COMPUTED_VALUE"""),"成嶋 夏未")</f>
        <v>成嶋 夏未</v>
      </c>
    </row>
    <row r="3182" spans="2:4" ht="13">
      <c r="B3182" s="12">
        <f ca="1">IFERROR(__xludf.DUMMYFUNCTION("""COMPUTED_VALUE"""),119586)</f>
        <v>119586</v>
      </c>
      <c r="C3182" s="14">
        <f ca="1">IFERROR(__xludf.DUMMYFUNCTION("""COMPUTED_VALUE"""),0)</f>
        <v>0</v>
      </c>
      <c r="D3182" s="12" t="str">
        <f ca="1">IFERROR(__xludf.DUMMYFUNCTION("""COMPUTED_VALUE"""),"芳賀 亮輔")</f>
        <v>芳賀 亮輔</v>
      </c>
    </row>
    <row r="3183" spans="2:4" ht="13">
      <c r="B3183" s="12">
        <f ca="1">IFERROR(__xludf.DUMMYFUNCTION("""COMPUTED_VALUE"""),119589)</f>
        <v>119589</v>
      </c>
      <c r="C3183" s="14">
        <f ca="1">IFERROR(__xludf.DUMMYFUNCTION("""COMPUTED_VALUE"""),0)</f>
        <v>0</v>
      </c>
      <c r="D3183" s="12" t="str">
        <f ca="1">IFERROR(__xludf.DUMMYFUNCTION("""COMPUTED_VALUE"""),"桐山 勝気")</f>
        <v>桐山 勝気</v>
      </c>
    </row>
    <row r="3184" spans="2:4" ht="13">
      <c r="B3184" s="12">
        <f ca="1">IFERROR(__xludf.DUMMYFUNCTION("""COMPUTED_VALUE"""),119591)</f>
        <v>119591</v>
      </c>
      <c r="C3184" s="14">
        <f ca="1">IFERROR(__xludf.DUMMYFUNCTION("""COMPUTED_VALUE"""),14)</f>
        <v>14</v>
      </c>
      <c r="D3184" s="12" t="str">
        <f ca="1">IFERROR(__xludf.DUMMYFUNCTION("""COMPUTED_VALUE"""),"栗原 大武")</f>
        <v>栗原 大武</v>
      </c>
    </row>
    <row r="3185" spans="2:4" ht="13">
      <c r="B3185" s="12">
        <f ca="1">IFERROR(__xludf.DUMMYFUNCTION("""COMPUTED_VALUE"""),119595)</f>
        <v>119595</v>
      </c>
      <c r="C3185" s="14">
        <f ca="1">IFERROR(__xludf.DUMMYFUNCTION("""COMPUTED_VALUE"""),11)</f>
        <v>11</v>
      </c>
      <c r="D3185" s="12" t="str">
        <f ca="1">IFERROR(__xludf.DUMMYFUNCTION("""COMPUTED_VALUE"""),"長谷川 陸朗")</f>
        <v>長谷川 陸朗</v>
      </c>
    </row>
    <row r="3186" spans="2:4" ht="13">
      <c r="B3186" s="12">
        <f ca="1">IFERROR(__xludf.DUMMYFUNCTION("""COMPUTED_VALUE"""),119596)</f>
        <v>119596</v>
      </c>
      <c r="C3186" s="14">
        <f ca="1">IFERROR(__xludf.DUMMYFUNCTION("""COMPUTED_VALUE"""),0)</f>
        <v>0</v>
      </c>
      <c r="D3186" s="12" t="str">
        <f ca="1">IFERROR(__xludf.DUMMYFUNCTION("""COMPUTED_VALUE"""),"稲場 勇介")</f>
        <v>稲場 勇介</v>
      </c>
    </row>
    <row r="3187" spans="2:4" ht="13">
      <c r="B3187" s="12">
        <f ca="1">IFERROR(__xludf.DUMMYFUNCTION("""COMPUTED_VALUE"""),119628)</f>
        <v>119628</v>
      </c>
      <c r="C3187" s="14">
        <f ca="1">IFERROR(__xludf.DUMMYFUNCTION("""COMPUTED_VALUE"""),22)</f>
        <v>22</v>
      </c>
      <c r="D3187" s="12" t="str">
        <f ca="1">IFERROR(__xludf.DUMMYFUNCTION("""COMPUTED_VALUE"""),"奥野 貴大")</f>
        <v>奥野 貴大</v>
      </c>
    </row>
    <row r="3188" spans="2:4" ht="13">
      <c r="B3188" s="12">
        <f ca="1">IFERROR(__xludf.DUMMYFUNCTION("""COMPUTED_VALUE"""),119630)</f>
        <v>119630</v>
      </c>
      <c r="C3188" s="14">
        <f ca="1">IFERROR(__xludf.DUMMYFUNCTION("""COMPUTED_VALUE"""),9)</f>
        <v>9</v>
      </c>
      <c r="D3188" s="12" t="str">
        <f ca="1">IFERROR(__xludf.DUMMYFUNCTION("""COMPUTED_VALUE"""),"村上 浩一朗")</f>
        <v>村上 浩一朗</v>
      </c>
    </row>
    <row r="3189" spans="2:4" ht="13">
      <c r="B3189" s="12">
        <f ca="1">IFERROR(__xludf.DUMMYFUNCTION("""COMPUTED_VALUE"""),119639)</f>
        <v>119639</v>
      </c>
      <c r="C3189" s="14">
        <f ca="1">IFERROR(__xludf.DUMMYFUNCTION("""COMPUTED_VALUE"""),9)</f>
        <v>9</v>
      </c>
      <c r="D3189" s="12" t="str">
        <f ca="1">IFERROR(__xludf.DUMMYFUNCTION("""COMPUTED_VALUE"""),"内丸 裕子")</f>
        <v>内丸 裕子</v>
      </c>
    </row>
    <row r="3190" spans="2:4" ht="13">
      <c r="B3190" s="12">
        <f ca="1">IFERROR(__xludf.DUMMYFUNCTION("""COMPUTED_VALUE"""),119668)</f>
        <v>119668</v>
      </c>
      <c r="C3190" s="14">
        <f ca="1">IFERROR(__xludf.DUMMYFUNCTION("""COMPUTED_VALUE"""),30)</f>
        <v>30</v>
      </c>
      <c r="D3190" s="12" t="str">
        <f ca="1">IFERROR(__xludf.DUMMYFUNCTION("""COMPUTED_VALUE"""),"奥野 貴大")</f>
        <v>奥野 貴大</v>
      </c>
    </row>
    <row r="3191" spans="2:4" ht="13">
      <c r="B3191" s="12">
        <f ca="1">IFERROR(__xludf.DUMMYFUNCTION("""COMPUTED_VALUE"""),119671)</f>
        <v>119671</v>
      </c>
      <c r="C3191" s="14">
        <f ca="1">IFERROR(__xludf.DUMMYFUNCTION("""COMPUTED_VALUE"""),0)</f>
        <v>0</v>
      </c>
      <c r="D3191" s="12" t="str">
        <f ca="1">IFERROR(__xludf.DUMMYFUNCTION("""COMPUTED_VALUE"""),"菅野 ぎんが")</f>
        <v>菅野 ぎんが</v>
      </c>
    </row>
    <row r="3192" spans="2:4" ht="13">
      <c r="B3192" s="12">
        <f ca="1">IFERROR(__xludf.DUMMYFUNCTION("""COMPUTED_VALUE"""),119688)</f>
        <v>119688</v>
      </c>
      <c r="C3192" s="14">
        <f ca="1">IFERROR(__xludf.DUMMYFUNCTION("""COMPUTED_VALUE"""),0)</f>
        <v>0</v>
      </c>
      <c r="D3192" s="12" t="str">
        <f ca="1">IFERROR(__xludf.DUMMYFUNCTION("""COMPUTED_VALUE"""),"長谷川 陸朗")</f>
        <v>長谷川 陸朗</v>
      </c>
    </row>
    <row r="3193" spans="2:4" ht="13">
      <c r="B3193" s="12">
        <f ca="1">IFERROR(__xludf.DUMMYFUNCTION("""COMPUTED_VALUE"""),119695)</f>
        <v>119695</v>
      </c>
      <c r="C3193" s="14">
        <f ca="1">IFERROR(__xludf.DUMMYFUNCTION("""COMPUTED_VALUE"""),0)</f>
        <v>0</v>
      </c>
      <c r="D3193" s="12" t="str">
        <f ca="1">IFERROR(__xludf.DUMMYFUNCTION("""COMPUTED_VALUE"""),"菅野 ぎんが")</f>
        <v>菅野 ぎんが</v>
      </c>
    </row>
    <row r="3194" spans="2:4" ht="13">
      <c r="B3194" s="12">
        <f ca="1">IFERROR(__xludf.DUMMYFUNCTION("""COMPUTED_VALUE"""),119711)</f>
        <v>119711</v>
      </c>
      <c r="C3194" s="14">
        <f ca="1">IFERROR(__xludf.DUMMYFUNCTION("""COMPUTED_VALUE"""),124)</f>
        <v>124</v>
      </c>
      <c r="D3194" s="12" t="str">
        <f ca="1">IFERROR(__xludf.DUMMYFUNCTION("""COMPUTED_VALUE"""),"栗原 大武")</f>
        <v>栗原 大武</v>
      </c>
    </row>
    <row r="3195" spans="2:4" ht="13">
      <c r="B3195" s="12">
        <f ca="1">IFERROR(__xludf.DUMMYFUNCTION("""COMPUTED_VALUE"""),119722)</f>
        <v>119722</v>
      </c>
      <c r="C3195" s="14">
        <f ca="1">IFERROR(__xludf.DUMMYFUNCTION("""COMPUTED_VALUE"""),0)</f>
        <v>0</v>
      </c>
      <c r="D3195" s="12" t="str">
        <f ca="1">IFERROR(__xludf.DUMMYFUNCTION("""COMPUTED_VALUE"""),"辻村 将大")</f>
        <v>辻村 将大</v>
      </c>
    </row>
    <row r="3196" spans="2:4" ht="13">
      <c r="B3196" s="12">
        <f ca="1">IFERROR(__xludf.DUMMYFUNCTION("""COMPUTED_VALUE"""),119729)</f>
        <v>119729</v>
      </c>
      <c r="C3196" s="14">
        <f ca="1">IFERROR(__xludf.DUMMYFUNCTION("""COMPUTED_VALUE"""),0)</f>
        <v>0</v>
      </c>
      <c r="D3196" s="12" t="str">
        <f ca="1">IFERROR(__xludf.DUMMYFUNCTION("""COMPUTED_VALUE"""),"老田 純輝")</f>
        <v>老田 純輝</v>
      </c>
    </row>
    <row r="3197" spans="2:4" ht="13">
      <c r="B3197" s="12">
        <f ca="1">IFERROR(__xludf.DUMMYFUNCTION("""COMPUTED_VALUE"""),119759)</f>
        <v>119759</v>
      </c>
      <c r="C3197" s="14">
        <f ca="1">IFERROR(__xludf.DUMMYFUNCTION("""COMPUTED_VALUE"""),0)</f>
        <v>0</v>
      </c>
      <c r="D3197" s="12" t="str">
        <f ca="1">IFERROR(__xludf.DUMMYFUNCTION("""COMPUTED_VALUE"""),"老田 純輝")</f>
        <v>老田 純輝</v>
      </c>
    </row>
    <row r="3198" spans="2:4" ht="13">
      <c r="B3198" s="12">
        <f ca="1">IFERROR(__xludf.DUMMYFUNCTION("""COMPUTED_VALUE"""),119796)</f>
        <v>119796</v>
      </c>
      <c r="C3198" s="14">
        <f ca="1">IFERROR(__xludf.DUMMYFUNCTION("""COMPUTED_VALUE"""),0)</f>
        <v>0</v>
      </c>
      <c r="D3198" s="12" t="str">
        <f ca="1">IFERROR(__xludf.DUMMYFUNCTION("""COMPUTED_VALUE"""),"老田 純輝")</f>
        <v>老田 純輝</v>
      </c>
    </row>
    <row r="3199" spans="2:4" ht="13">
      <c r="B3199" s="12">
        <f ca="1">IFERROR(__xludf.DUMMYFUNCTION("""COMPUTED_VALUE"""),119808)</f>
        <v>119808</v>
      </c>
      <c r="C3199" s="14">
        <f ca="1">IFERROR(__xludf.DUMMYFUNCTION("""COMPUTED_VALUE"""),26)</f>
        <v>26</v>
      </c>
      <c r="D3199" s="12" t="str">
        <f ca="1">IFERROR(__xludf.DUMMYFUNCTION("""COMPUTED_VALUE"""),"稲場 勇介")</f>
        <v>稲場 勇介</v>
      </c>
    </row>
    <row r="3200" spans="2:4" ht="13">
      <c r="B3200" s="12">
        <f ca="1">IFERROR(__xludf.DUMMYFUNCTION("""COMPUTED_VALUE"""),119809)</f>
        <v>119809</v>
      </c>
      <c r="C3200" s="14">
        <f ca="1">IFERROR(__xludf.DUMMYFUNCTION("""COMPUTED_VALUE"""),102)</f>
        <v>102</v>
      </c>
      <c r="D3200" s="12" t="str">
        <f ca="1">IFERROR(__xludf.DUMMYFUNCTION("""COMPUTED_VALUE"""),"辻村 将大")</f>
        <v>辻村 将大</v>
      </c>
    </row>
    <row r="3201" spans="2:4" ht="13">
      <c r="B3201" s="12">
        <f ca="1">IFERROR(__xludf.DUMMYFUNCTION("""COMPUTED_VALUE"""),119821)</f>
        <v>119821</v>
      </c>
      <c r="C3201" s="14">
        <f ca="1">IFERROR(__xludf.DUMMYFUNCTION("""COMPUTED_VALUE"""),0)</f>
        <v>0</v>
      </c>
      <c r="D3201" s="12" t="str">
        <f ca="1">IFERROR(__xludf.DUMMYFUNCTION("""COMPUTED_VALUE"""),"内丸 裕子")</f>
        <v>内丸 裕子</v>
      </c>
    </row>
    <row r="3202" spans="2:4" ht="13">
      <c r="B3202" s="12">
        <f ca="1">IFERROR(__xludf.DUMMYFUNCTION("""COMPUTED_VALUE"""),119843)</f>
        <v>119843</v>
      </c>
      <c r="C3202" s="14">
        <f ca="1">IFERROR(__xludf.DUMMYFUNCTION("""COMPUTED_VALUE"""),0)</f>
        <v>0</v>
      </c>
      <c r="D3202" s="12" t="str">
        <f ca="1">IFERROR(__xludf.DUMMYFUNCTION("""COMPUTED_VALUE"""),"成嶋 夏未")</f>
        <v>成嶋 夏未</v>
      </c>
    </row>
    <row r="3203" spans="2:4" ht="13">
      <c r="B3203" s="12">
        <f ca="1">IFERROR(__xludf.DUMMYFUNCTION("""COMPUTED_VALUE"""),119869)</f>
        <v>119869</v>
      </c>
      <c r="C3203" s="14">
        <f ca="1">IFERROR(__xludf.DUMMYFUNCTION("""COMPUTED_VALUE"""),12)</f>
        <v>12</v>
      </c>
      <c r="D3203" s="12" t="str">
        <f ca="1">IFERROR(__xludf.DUMMYFUNCTION("""COMPUTED_VALUE"""),"堀越 駿")</f>
        <v>堀越 駿</v>
      </c>
    </row>
    <row r="3204" spans="2:4" ht="13">
      <c r="B3204" s="12">
        <f ca="1">IFERROR(__xludf.DUMMYFUNCTION("""COMPUTED_VALUE"""),119870)</f>
        <v>119870</v>
      </c>
      <c r="C3204" s="14">
        <f ca="1">IFERROR(__xludf.DUMMYFUNCTION("""COMPUTED_VALUE"""),11)</f>
        <v>11</v>
      </c>
      <c r="D3204" s="12" t="str">
        <f ca="1">IFERROR(__xludf.DUMMYFUNCTION("""COMPUTED_VALUE"""),"荻曽 克輝")</f>
        <v>荻曽 克輝</v>
      </c>
    </row>
    <row r="3205" spans="2:4" ht="13">
      <c r="B3205" s="12">
        <f ca="1">IFERROR(__xludf.DUMMYFUNCTION("""COMPUTED_VALUE"""),119907)</f>
        <v>119907</v>
      </c>
      <c r="C3205" s="14">
        <f ca="1">IFERROR(__xludf.DUMMYFUNCTION("""COMPUTED_VALUE"""),2)</f>
        <v>2</v>
      </c>
      <c r="D3205" s="12" t="str">
        <f ca="1">IFERROR(__xludf.DUMMYFUNCTION("""COMPUTED_VALUE"""),"稲場 勇介")</f>
        <v>稲場 勇介</v>
      </c>
    </row>
    <row r="3206" spans="2:4" ht="13">
      <c r="B3206" s="12">
        <f ca="1">IFERROR(__xludf.DUMMYFUNCTION("""COMPUTED_VALUE"""),119913)</f>
        <v>119913</v>
      </c>
      <c r="C3206" s="14">
        <f ca="1">IFERROR(__xludf.DUMMYFUNCTION("""COMPUTED_VALUE"""),0)</f>
        <v>0</v>
      </c>
      <c r="D3206" s="12" t="str">
        <f ca="1">IFERROR(__xludf.DUMMYFUNCTION("""COMPUTED_VALUE"""),"老田 純輝")</f>
        <v>老田 純輝</v>
      </c>
    </row>
    <row r="3207" spans="2:4" ht="13">
      <c r="B3207" s="12">
        <f ca="1">IFERROR(__xludf.DUMMYFUNCTION("""COMPUTED_VALUE"""),119920)</f>
        <v>119920</v>
      </c>
      <c r="C3207" s="14">
        <f ca="1">IFERROR(__xludf.DUMMYFUNCTION("""COMPUTED_VALUE"""),0)</f>
        <v>0</v>
      </c>
      <c r="D3207" s="12" t="str">
        <f ca="1">IFERROR(__xludf.DUMMYFUNCTION("""COMPUTED_VALUE"""),"芳賀 亮輔")</f>
        <v>芳賀 亮輔</v>
      </c>
    </row>
    <row r="3208" spans="2:4" ht="13">
      <c r="B3208" s="12">
        <f ca="1">IFERROR(__xludf.DUMMYFUNCTION("""COMPUTED_VALUE"""),119974)</f>
        <v>119974</v>
      </c>
      <c r="C3208" s="14">
        <f ca="1">IFERROR(__xludf.DUMMYFUNCTION("""COMPUTED_VALUE"""),0)</f>
        <v>0</v>
      </c>
      <c r="D3208" s="12" t="str">
        <f ca="1">IFERROR(__xludf.DUMMYFUNCTION("""COMPUTED_VALUE"""),"菅野 ぎんが")</f>
        <v>菅野 ぎんが</v>
      </c>
    </row>
    <row r="3209" spans="2:4" ht="13">
      <c r="B3209" s="12">
        <f ca="1">IFERROR(__xludf.DUMMYFUNCTION("""COMPUTED_VALUE"""),119975)</f>
        <v>119975</v>
      </c>
      <c r="C3209" s="14">
        <f ca="1">IFERROR(__xludf.DUMMYFUNCTION("""COMPUTED_VALUE"""),0)</f>
        <v>0</v>
      </c>
      <c r="D3209" s="12" t="str">
        <f ca="1">IFERROR(__xludf.DUMMYFUNCTION("""COMPUTED_VALUE"""),"稲場 勇介")</f>
        <v>稲場 勇介</v>
      </c>
    </row>
    <row r="3210" spans="2:4" ht="13">
      <c r="B3210" s="12">
        <f ca="1">IFERROR(__xludf.DUMMYFUNCTION("""COMPUTED_VALUE"""),120019)</f>
        <v>120019</v>
      </c>
      <c r="C3210" s="14">
        <f ca="1">IFERROR(__xludf.DUMMYFUNCTION("""COMPUTED_VALUE"""),0)</f>
        <v>0</v>
      </c>
      <c r="D3210" s="12" t="str">
        <f ca="1">IFERROR(__xludf.DUMMYFUNCTION("""COMPUTED_VALUE"""),"長谷川 陸朗")</f>
        <v>長谷川 陸朗</v>
      </c>
    </row>
    <row r="3211" spans="2:4" ht="13">
      <c r="B3211" s="12">
        <f ca="1">IFERROR(__xludf.DUMMYFUNCTION("""COMPUTED_VALUE"""),120033)</f>
        <v>120033</v>
      </c>
      <c r="C3211" s="14">
        <f ca="1">IFERROR(__xludf.DUMMYFUNCTION("""COMPUTED_VALUE"""),1)</f>
        <v>1</v>
      </c>
      <c r="D3211" s="12" t="str">
        <f ca="1">IFERROR(__xludf.DUMMYFUNCTION("""COMPUTED_VALUE"""),"稲場 勇介")</f>
        <v>稲場 勇介</v>
      </c>
    </row>
    <row r="3212" spans="2:4" ht="13">
      <c r="B3212" s="12">
        <f ca="1">IFERROR(__xludf.DUMMYFUNCTION("""COMPUTED_VALUE"""),120042)</f>
        <v>120042</v>
      </c>
      <c r="C3212" s="14">
        <f ca="1">IFERROR(__xludf.DUMMYFUNCTION("""COMPUTED_VALUE"""),0)</f>
        <v>0</v>
      </c>
      <c r="D3212" s="12" t="str">
        <f ca="1">IFERROR(__xludf.DUMMYFUNCTION("""COMPUTED_VALUE"""),"長谷川 陸朗")</f>
        <v>長谷川 陸朗</v>
      </c>
    </row>
    <row r="3213" spans="2:4" ht="13">
      <c r="B3213" s="12">
        <f ca="1">IFERROR(__xludf.DUMMYFUNCTION("""COMPUTED_VALUE"""),120119)</f>
        <v>120119</v>
      </c>
      <c r="C3213" s="14">
        <f ca="1">IFERROR(__xludf.DUMMYFUNCTION("""COMPUTED_VALUE"""),0)</f>
        <v>0</v>
      </c>
      <c r="D3213" s="12" t="str">
        <f ca="1">IFERROR(__xludf.DUMMYFUNCTION("""COMPUTED_VALUE"""),"大木 優香")</f>
        <v>大木 優香</v>
      </c>
    </row>
    <row r="3214" spans="2:4" ht="13">
      <c r="B3214" s="12">
        <f ca="1">IFERROR(__xludf.DUMMYFUNCTION("""COMPUTED_VALUE"""),120121)</f>
        <v>120121</v>
      </c>
      <c r="C3214" s="14">
        <f ca="1">IFERROR(__xludf.DUMMYFUNCTION("""COMPUTED_VALUE"""),0)</f>
        <v>0</v>
      </c>
      <c r="D3214" s="12" t="str">
        <f ca="1">IFERROR(__xludf.DUMMYFUNCTION("""COMPUTED_VALUE"""),"小川 純")</f>
        <v>小川 純</v>
      </c>
    </row>
    <row r="3215" spans="2:4" ht="13">
      <c r="B3215" s="12">
        <f ca="1">IFERROR(__xludf.DUMMYFUNCTION("""COMPUTED_VALUE"""),120135)</f>
        <v>120135</v>
      </c>
      <c r="C3215" s="14">
        <f ca="1">IFERROR(__xludf.DUMMYFUNCTION("""COMPUTED_VALUE"""),0)</f>
        <v>0</v>
      </c>
      <c r="D3215" s="12" t="str">
        <f ca="1">IFERROR(__xludf.DUMMYFUNCTION("""COMPUTED_VALUE"""),"小関 麻起")</f>
        <v>小関 麻起</v>
      </c>
    </row>
    <row r="3216" spans="2:4" ht="13">
      <c r="B3216" s="12">
        <f ca="1">IFERROR(__xludf.DUMMYFUNCTION("""COMPUTED_VALUE"""),120188)</f>
        <v>120188</v>
      </c>
      <c r="C3216" s="14">
        <f ca="1">IFERROR(__xludf.DUMMYFUNCTION("""COMPUTED_VALUE"""),0)</f>
        <v>0</v>
      </c>
      <c r="D3216" s="12" t="str">
        <f ca="1">IFERROR(__xludf.DUMMYFUNCTION("""COMPUTED_VALUE"""),"老田 純輝")</f>
        <v>老田 純輝</v>
      </c>
    </row>
    <row r="3217" spans="2:4" ht="13">
      <c r="B3217" s="12">
        <f ca="1">IFERROR(__xludf.DUMMYFUNCTION("""COMPUTED_VALUE"""),120191)</f>
        <v>120191</v>
      </c>
      <c r="C3217" s="14">
        <f ca="1">IFERROR(__xludf.DUMMYFUNCTION("""COMPUTED_VALUE"""),0)</f>
        <v>0</v>
      </c>
      <c r="D3217" s="12" t="str">
        <f ca="1">IFERROR(__xludf.DUMMYFUNCTION("""COMPUTED_VALUE"""),"松尾 尚樹")</f>
        <v>松尾 尚樹</v>
      </c>
    </row>
    <row r="3218" spans="2:4" ht="13">
      <c r="B3218" s="12">
        <f ca="1">IFERROR(__xludf.DUMMYFUNCTION("""COMPUTED_VALUE"""),120193)</f>
        <v>120193</v>
      </c>
      <c r="C3218" s="14">
        <f ca="1">IFERROR(__xludf.DUMMYFUNCTION("""COMPUTED_VALUE"""),8)</f>
        <v>8</v>
      </c>
      <c r="D3218" s="12" t="str">
        <f ca="1">IFERROR(__xludf.DUMMYFUNCTION("""COMPUTED_VALUE"""),"桐山 勝気")</f>
        <v>桐山 勝気</v>
      </c>
    </row>
    <row r="3219" spans="2:4" ht="13">
      <c r="B3219" s="12">
        <f ca="1">IFERROR(__xludf.DUMMYFUNCTION("""COMPUTED_VALUE"""),120194)</f>
        <v>120194</v>
      </c>
      <c r="C3219" s="14">
        <f ca="1">IFERROR(__xludf.DUMMYFUNCTION("""COMPUTED_VALUE"""),6)</f>
        <v>6</v>
      </c>
      <c r="D3219" s="12" t="str">
        <f ca="1">IFERROR(__xludf.DUMMYFUNCTION("""COMPUTED_VALUE"""),"桐山 勝気")</f>
        <v>桐山 勝気</v>
      </c>
    </row>
    <row r="3220" spans="2:4" ht="13">
      <c r="B3220" s="12">
        <f ca="1">IFERROR(__xludf.DUMMYFUNCTION("""COMPUTED_VALUE"""),120195)</f>
        <v>120195</v>
      </c>
      <c r="C3220" s="14">
        <f ca="1">IFERROR(__xludf.DUMMYFUNCTION("""COMPUTED_VALUE"""),8)</f>
        <v>8</v>
      </c>
      <c r="D3220" s="12" t="str">
        <f ca="1">IFERROR(__xludf.DUMMYFUNCTION("""COMPUTED_VALUE"""),"桐山 勝気")</f>
        <v>桐山 勝気</v>
      </c>
    </row>
    <row r="3221" spans="2:4" ht="13">
      <c r="B3221" s="12">
        <f ca="1">IFERROR(__xludf.DUMMYFUNCTION("""COMPUTED_VALUE"""),120196)</f>
        <v>120196</v>
      </c>
      <c r="C3221" s="14">
        <f ca="1">IFERROR(__xludf.DUMMYFUNCTION("""COMPUTED_VALUE"""),8)</f>
        <v>8</v>
      </c>
      <c r="D3221" s="12" t="str">
        <f ca="1">IFERROR(__xludf.DUMMYFUNCTION("""COMPUTED_VALUE"""),"桐山 勝気")</f>
        <v>桐山 勝気</v>
      </c>
    </row>
    <row r="3222" spans="2:4" ht="13">
      <c r="B3222" s="12">
        <f ca="1">IFERROR(__xludf.DUMMYFUNCTION("""COMPUTED_VALUE"""),120197)</f>
        <v>120197</v>
      </c>
      <c r="C3222" s="14">
        <f ca="1">IFERROR(__xludf.DUMMYFUNCTION("""COMPUTED_VALUE"""),181)</f>
        <v>181</v>
      </c>
      <c r="D3222" s="12" t="str">
        <f ca="1">IFERROR(__xludf.DUMMYFUNCTION("""COMPUTED_VALUE"""),"桐山 勝気")</f>
        <v>桐山 勝気</v>
      </c>
    </row>
    <row r="3223" spans="2:4" ht="13">
      <c r="B3223" s="12">
        <f ca="1">IFERROR(__xludf.DUMMYFUNCTION("""COMPUTED_VALUE"""),120199)</f>
        <v>120199</v>
      </c>
      <c r="C3223" s="14">
        <f ca="1">IFERROR(__xludf.DUMMYFUNCTION("""COMPUTED_VALUE"""),200)</f>
        <v>200</v>
      </c>
      <c r="D3223" s="12" t="str">
        <f ca="1">IFERROR(__xludf.DUMMYFUNCTION("""COMPUTED_VALUE"""),"桐山 勝気")</f>
        <v>桐山 勝気</v>
      </c>
    </row>
    <row r="3224" spans="2:4" ht="13">
      <c r="B3224" s="12">
        <f ca="1">IFERROR(__xludf.DUMMYFUNCTION("""COMPUTED_VALUE"""),120200)</f>
        <v>120200</v>
      </c>
      <c r="C3224" s="14">
        <f ca="1">IFERROR(__xludf.DUMMYFUNCTION("""COMPUTED_VALUE"""),194)</f>
        <v>194</v>
      </c>
      <c r="D3224" s="12" t="str">
        <f ca="1">IFERROR(__xludf.DUMMYFUNCTION("""COMPUTED_VALUE"""),"桐山 勝気")</f>
        <v>桐山 勝気</v>
      </c>
    </row>
    <row r="3225" spans="2:4" ht="13">
      <c r="B3225" s="12">
        <f ca="1">IFERROR(__xludf.DUMMYFUNCTION("""COMPUTED_VALUE"""),120201)</f>
        <v>120201</v>
      </c>
      <c r="C3225" s="14">
        <f ca="1">IFERROR(__xludf.DUMMYFUNCTION("""COMPUTED_VALUE"""),179)</f>
        <v>179</v>
      </c>
      <c r="D3225" s="12" t="str">
        <f ca="1">IFERROR(__xludf.DUMMYFUNCTION("""COMPUTED_VALUE"""),"桐山 勝気")</f>
        <v>桐山 勝気</v>
      </c>
    </row>
    <row r="3226" spans="2:4" ht="13">
      <c r="B3226" s="12">
        <f ca="1">IFERROR(__xludf.DUMMYFUNCTION("""COMPUTED_VALUE"""),120202)</f>
        <v>120202</v>
      </c>
      <c r="C3226" s="14">
        <f ca="1">IFERROR(__xludf.DUMMYFUNCTION("""COMPUTED_VALUE"""),178)</f>
        <v>178</v>
      </c>
      <c r="D3226" s="12" t="str">
        <f ca="1">IFERROR(__xludf.DUMMYFUNCTION("""COMPUTED_VALUE"""),"桐山 勝気")</f>
        <v>桐山 勝気</v>
      </c>
    </row>
    <row r="3227" spans="2:4" ht="13">
      <c r="B3227" s="12">
        <f ca="1">IFERROR(__xludf.DUMMYFUNCTION("""COMPUTED_VALUE"""),120204)</f>
        <v>120204</v>
      </c>
      <c r="C3227" s="14">
        <f ca="1">IFERROR(__xludf.DUMMYFUNCTION("""COMPUTED_VALUE"""),0)</f>
        <v>0</v>
      </c>
      <c r="D3227" s="12" t="str">
        <f ca="1">IFERROR(__xludf.DUMMYFUNCTION("""COMPUTED_VALUE"""),"松尾 尚樹")</f>
        <v>松尾 尚樹</v>
      </c>
    </row>
    <row r="3228" spans="2:4" ht="13">
      <c r="B3228" s="12">
        <f ca="1">IFERROR(__xludf.DUMMYFUNCTION("""COMPUTED_VALUE"""),120212)</f>
        <v>120212</v>
      </c>
      <c r="C3228" s="14">
        <f ca="1">IFERROR(__xludf.DUMMYFUNCTION("""COMPUTED_VALUE"""),0)</f>
        <v>0</v>
      </c>
      <c r="D3228" s="12" t="str">
        <f ca="1">IFERROR(__xludf.DUMMYFUNCTION("""COMPUTED_VALUE"""),"菅野 ぎんが")</f>
        <v>菅野 ぎんが</v>
      </c>
    </row>
    <row r="3229" spans="2:4" ht="13">
      <c r="B3229" s="12">
        <f ca="1">IFERROR(__xludf.DUMMYFUNCTION("""COMPUTED_VALUE"""),120215)</f>
        <v>120215</v>
      </c>
      <c r="C3229" s="14">
        <f ca="1">IFERROR(__xludf.DUMMYFUNCTION("""COMPUTED_VALUE"""),5)</f>
        <v>5</v>
      </c>
      <c r="D3229" s="12" t="str">
        <f ca="1">IFERROR(__xludf.DUMMYFUNCTION("""COMPUTED_VALUE"""),"村上 浩一朗")</f>
        <v>村上 浩一朗</v>
      </c>
    </row>
    <row r="3230" spans="2:4" ht="13">
      <c r="B3230" s="12">
        <f ca="1">IFERROR(__xludf.DUMMYFUNCTION("""COMPUTED_VALUE"""),120247)</f>
        <v>120247</v>
      </c>
      <c r="C3230" s="14">
        <f ca="1">IFERROR(__xludf.DUMMYFUNCTION("""COMPUTED_VALUE"""),4)</f>
        <v>4</v>
      </c>
      <c r="D3230" s="12" t="str">
        <f ca="1">IFERROR(__xludf.DUMMYFUNCTION("""COMPUTED_VALUE"""),"長谷川 陸朗")</f>
        <v>長谷川 陸朗</v>
      </c>
    </row>
    <row r="3231" spans="2:4" ht="13">
      <c r="B3231" s="12">
        <f ca="1">IFERROR(__xludf.DUMMYFUNCTION("""COMPUTED_VALUE"""),120258)</f>
        <v>120258</v>
      </c>
      <c r="C3231" s="14">
        <f ca="1">IFERROR(__xludf.DUMMYFUNCTION("""COMPUTED_VALUE"""),17)</f>
        <v>17</v>
      </c>
      <c r="D3231" s="12" t="str">
        <f ca="1">IFERROR(__xludf.DUMMYFUNCTION("""COMPUTED_VALUE"""),"松尾 尚樹")</f>
        <v>松尾 尚樹</v>
      </c>
    </row>
    <row r="3232" spans="2:4" ht="13">
      <c r="B3232" s="12">
        <f ca="1">IFERROR(__xludf.DUMMYFUNCTION("""COMPUTED_VALUE"""),120299)</f>
        <v>120299</v>
      </c>
      <c r="C3232" s="14">
        <f ca="1">IFERROR(__xludf.DUMMYFUNCTION("""COMPUTED_VALUE"""),2)</f>
        <v>2</v>
      </c>
      <c r="D3232" s="12" t="str">
        <f ca="1">IFERROR(__xludf.DUMMYFUNCTION("""COMPUTED_VALUE"""),"松尾 尚樹")</f>
        <v>松尾 尚樹</v>
      </c>
    </row>
    <row r="3233" spans="2:4" ht="13">
      <c r="B3233" s="12">
        <f ca="1">IFERROR(__xludf.DUMMYFUNCTION("""COMPUTED_VALUE"""),120335)</f>
        <v>120335</v>
      </c>
      <c r="C3233" s="14">
        <f ca="1">IFERROR(__xludf.DUMMYFUNCTION("""COMPUTED_VALUE"""),9)</f>
        <v>9</v>
      </c>
      <c r="D3233" s="12" t="str">
        <f ca="1">IFERROR(__xludf.DUMMYFUNCTION("""COMPUTED_VALUE"""),"田嶋 将太")</f>
        <v>田嶋 将太</v>
      </c>
    </row>
    <row r="3234" spans="2:4" ht="13">
      <c r="B3234" s="12">
        <f ca="1">IFERROR(__xludf.DUMMYFUNCTION("""COMPUTED_VALUE"""),120351)</f>
        <v>120351</v>
      </c>
      <c r="C3234" s="14">
        <f ca="1">IFERROR(__xludf.DUMMYFUNCTION("""COMPUTED_VALUE"""),0)</f>
        <v>0</v>
      </c>
      <c r="D3234" s="12" t="str">
        <f ca="1">IFERROR(__xludf.DUMMYFUNCTION("""COMPUTED_VALUE"""),"松尾 尚樹")</f>
        <v>松尾 尚樹</v>
      </c>
    </row>
    <row r="3235" spans="2:4" ht="13">
      <c r="B3235" s="12">
        <f ca="1">IFERROR(__xludf.DUMMYFUNCTION("""COMPUTED_VALUE"""),120362)</f>
        <v>120362</v>
      </c>
      <c r="C3235" s="14">
        <f ca="1">IFERROR(__xludf.DUMMYFUNCTION("""COMPUTED_VALUE"""),0)</f>
        <v>0</v>
      </c>
      <c r="D3235" s="12" t="str">
        <f ca="1">IFERROR(__xludf.DUMMYFUNCTION("""COMPUTED_VALUE"""),"辻村 将大")</f>
        <v>辻村 将大</v>
      </c>
    </row>
    <row r="3236" spans="2:4" ht="13">
      <c r="B3236" s="12">
        <f ca="1">IFERROR(__xludf.DUMMYFUNCTION("""COMPUTED_VALUE"""),120374)</f>
        <v>120374</v>
      </c>
      <c r="C3236" s="14">
        <f ca="1">IFERROR(__xludf.DUMMYFUNCTION("""COMPUTED_VALUE"""),0)</f>
        <v>0</v>
      </c>
      <c r="D3236" s="12" t="str">
        <f ca="1">IFERROR(__xludf.DUMMYFUNCTION("""COMPUTED_VALUE"""),"村上 浩一朗")</f>
        <v>村上 浩一朗</v>
      </c>
    </row>
    <row r="3237" spans="2:4" ht="13">
      <c r="B3237" s="12">
        <f ca="1">IFERROR(__xludf.DUMMYFUNCTION("""COMPUTED_VALUE"""),120380)</f>
        <v>120380</v>
      </c>
      <c r="C3237" s="14">
        <f ca="1">IFERROR(__xludf.DUMMYFUNCTION("""COMPUTED_VALUE"""),0)</f>
        <v>0</v>
      </c>
      <c r="D3237" s="12" t="str">
        <f ca="1">IFERROR(__xludf.DUMMYFUNCTION("""COMPUTED_VALUE"""),"成嶋 夏未")</f>
        <v>成嶋 夏未</v>
      </c>
    </row>
    <row r="3238" spans="2:4" ht="13">
      <c r="B3238" s="12">
        <f ca="1">IFERROR(__xludf.DUMMYFUNCTION("""COMPUTED_VALUE"""),120395)</f>
        <v>120395</v>
      </c>
      <c r="C3238" s="14">
        <f ca="1">IFERROR(__xludf.DUMMYFUNCTION("""COMPUTED_VALUE"""),6)</f>
        <v>6</v>
      </c>
      <c r="D3238" s="12" t="str">
        <f ca="1">IFERROR(__xludf.DUMMYFUNCTION("""COMPUTED_VALUE"""),"成嶋 夏未")</f>
        <v>成嶋 夏未</v>
      </c>
    </row>
    <row r="3239" spans="2:4" ht="13">
      <c r="B3239" s="12">
        <f ca="1">IFERROR(__xludf.DUMMYFUNCTION("""COMPUTED_VALUE"""),120404)</f>
        <v>120404</v>
      </c>
      <c r="C3239" s="14">
        <f ca="1">IFERROR(__xludf.DUMMYFUNCTION("""COMPUTED_VALUE"""),0)</f>
        <v>0</v>
      </c>
      <c r="D3239" s="12" t="str">
        <f ca="1">IFERROR(__xludf.DUMMYFUNCTION("""COMPUTED_VALUE"""),"栗原 大武")</f>
        <v>栗原 大武</v>
      </c>
    </row>
    <row r="3240" spans="2:4" ht="13">
      <c r="B3240" s="12">
        <f ca="1">IFERROR(__xludf.DUMMYFUNCTION("""COMPUTED_VALUE"""),120413)</f>
        <v>120413</v>
      </c>
      <c r="C3240" s="14">
        <f ca="1">IFERROR(__xludf.DUMMYFUNCTION("""COMPUTED_VALUE"""),0)</f>
        <v>0</v>
      </c>
      <c r="D3240" s="12" t="str">
        <f ca="1">IFERROR(__xludf.DUMMYFUNCTION("""COMPUTED_VALUE"""),"栗原 大武")</f>
        <v>栗原 大武</v>
      </c>
    </row>
    <row r="3241" spans="2:4" ht="13">
      <c r="B3241" s="12">
        <f ca="1">IFERROR(__xludf.DUMMYFUNCTION("""COMPUTED_VALUE"""),120415)</f>
        <v>120415</v>
      </c>
      <c r="C3241" s="14">
        <f ca="1">IFERROR(__xludf.DUMMYFUNCTION("""COMPUTED_VALUE"""),0)</f>
        <v>0</v>
      </c>
      <c r="D3241" s="12" t="str">
        <f ca="1">IFERROR(__xludf.DUMMYFUNCTION("""COMPUTED_VALUE"""),"成嶋 夏未")</f>
        <v>成嶋 夏未</v>
      </c>
    </row>
    <row r="3242" spans="2:4" ht="13">
      <c r="B3242" s="12">
        <f ca="1">IFERROR(__xludf.DUMMYFUNCTION("""COMPUTED_VALUE"""),120427)</f>
        <v>120427</v>
      </c>
      <c r="C3242" s="14">
        <f ca="1">IFERROR(__xludf.DUMMYFUNCTION("""COMPUTED_VALUE"""),0)</f>
        <v>0</v>
      </c>
      <c r="D3242" s="12" t="str">
        <f ca="1">IFERROR(__xludf.DUMMYFUNCTION("""COMPUTED_VALUE"""),"長谷川 陸朗")</f>
        <v>長谷川 陸朗</v>
      </c>
    </row>
    <row r="3243" spans="2:4" ht="13">
      <c r="B3243" s="12">
        <f ca="1">IFERROR(__xludf.DUMMYFUNCTION("""COMPUTED_VALUE"""),120431)</f>
        <v>120431</v>
      </c>
      <c r="C3243" s="14">
        <f ca="1">IFERROR(__xludf.DUMMYFUNCTION("""COMPUTED_VALUE"""),0)</f>
        <v>0</v>
      </c>
      <c r="D3243" s="12" t="str">
        <f ca="1">IFERROR(__xludf.DUMMYFUNCTION("""COMPUTED_VALUE"""),"小関 麻起")</f>
        <v>小関 麻起</v>
      </c>
    </row>
    <row r="3244" spans="2:4" ht="13">
      <c r="B3244" s="12">
        <f ca="1">IFERROR(__xludf.DUMMYFUNCTION("""COMPUTED_VALUE"""),120437)</f>
        <v>120437</v>
      </c>
      <c r="C3244" s="14">
        <f ca="1">IFERROR(__xludf.DUMMYFUNCTION("""COMPUTED_VALUE"""),0)</f>
        <v>0</v>
      </c>
      <c r="D3244" s="12" t="str">
        <f ca="1">IFERROR(__xludf.DUMMYFUNCTION("""COMPUTED_VALUE"""),"小関 麻起")</f>
        <v>小関 麻起</v>
      </c>
    </row>
    <row r="3245" spans="2:4" ht="13">
      <c r="B3245" s="12">
        <f ca="1">IFERROR(__xludf.DUMMYFUNCTION("""COMPUTED_VALUE"""),120439)</f>
        <v>120439</v>
      </c>
      <c r="C3245" s="14">
        <f ca="1">IFERROR(__xludf.DUMMYFUNCTION("""COMPUTED_VALUE"""),81)</f>
        <v>81</v>
      </c>
      <c r="D3245" s="12" t="str">
        <f ca="1">IFERROR(__xludf.DUMMYFUNCTION("""COMPUTED_VALUE"""),"松尾 尚樹")</f>
        <v>松尾 尚樹</v>
      </c>
    </row>
    <row r="3246" spans="2:4" ht="13">
      <c r="B3246" s="12">
        <f ca="1">IFERROR(__xludf.DUMMYFUNCTION("""COMPUTED_VALUE"""),120465)</f>
        <v>120465</v>
      </c>
      <c r="C3246" s="14">
        <f ca="1">IFERROR(__xludf.DUMMYFUNCTION("""COMPUTED_VALUE"""),0)</f>
        <v>0</v>
      </c>
      <c r="D3246" s="12" t="str">
        <f ca="1">IFERROR(__xludf.DUMMYFUNCTION("""COMPUTED_VALUE"""),"長谷川 陸朗")</f>
        <v>長谷川 陸朗</v>
      </c>
    </row>
    <row r="3247" spans="2:4" ht="13">
      <c r="B3247" s="12">
        <f ca="1">IFERROR(__xludf.DUMMYFUNCTION("""COMPUTED_VALUE"""),120473)</f>
        <v>120473</v>
      </c>
      <c r="C3247" s="14">
        <f ca="1">IFERROR(__xludf.DUMMYFUNCTION("""COMPUTED_VALUE"""),0)</f>
        <v>0</v>
      </c>
      <c r="D3247" s="12" t="str">
        <f ca="1">IFERROR(__xludf.DUMMYFUNCTION("""COMPUTED_VALUE"""),"荻曽 克輝")</f>
        <v>荻曽 克輝</v>
      </c>
    </row>
    <row r="3248" spans="2:4" ht="13">
      <c r="B3248" s="12">
        <f ca="1">IFERROR(__xludf.DUMMYFUNCTION("""COMPUTED_VALUE"""),120475)</f>
        <v>120475</v>
      </c>
      <c r="C3248" s="14">
        <f ca="1">IFERROR(__xludf.DUMMYFUNCTION("""COMPUTED_VALUE"""),32)</f>
        <v>32</v>
      </c>
      <c r="D3248" s="12" t="str">
        <f ca="1">IFERROR(__xludf.DUMMYFUNCTION("""COMPUTED_VALUE"""),"小関 麻起")</f>
        <v>小関 麻起</v>
      </c>
    </row>
    <row r="3249" spans="2:4" ht="13">
      <c r="B3249" s="12">
        <f ca="1">IFERROR(__xludf.DUMMYFUNCTION("""COMPUTED_VALUE"""),120477)</f>
        <v>120477</v>
      </c>
      <c r="C3249" s="14">
        <f ca="1">IFERROR(__xludf.DUMMYFUNCTION("""COMPUTED_VALUE"""),222)</f>
        <v>222</v>
      </c>
      <c r="D3249" s="12" t="str">
        <f ca="1">IFERROR(__xludf.DUMMYFUNCTION("""COMPUTED_VALUE"""),"柿崎 晃司")</f>
        <v>柿崎 晃司</v>
      </c>
    </row>
    <row r="3250" spans="2:4" ht="13">
      <c r="B3250" s="12">
        <f ca="1">IFERROR(__xludf.DUMMYFUNCTION("""COMPUTED_VALUE"""),120478)</f>
        <v>120478</v>
      </c>
      <c r="C3250" s="14">
        <f ca="1">IFERROR(__xludf.DUMMYFUNCTION("""COMPUTED_VALUE"""),37)</f>
        <v>37</v>
      </c>
      <c r="D3250" s="12" t="str">
        <f ca="1">IFERROR(__xludf.DUMMYFUNCTION("""COMPUTED_VALUE"""),"芳賀 亮輔")</f>
        <v>芳賀 亮輔</v>
      </c>
    </row>
    <row r="3251" spans="2:4" ht="13">
      <c r="B3251" s="12">
        <f ca="1">IFERROR(__xludf.DUMMYFUNCTION("""COMPUTED_VALUE"""),120488)</f>
        <v>120488</v>
      </c>
      <c r="C3251" s="14">
        <f ca="1">IFERROR(__xludf.DUMMYFUNCTION("""COMPUTED_VALUE"""),0)</f>
        <v>0</v>
      </c>
      <c r="D3251" s="12" t="str">
        <f ca="1">IFERROR(__xludf.DUMMYFUNCTION("""COMPUTED_VALUE"""),"荻曽 克輝")</f>
        <v>荻曽 克輝</v>
      </c>
    </row>
    <row r="3252" spans="2:4" ht="13">
      <c r="B3252" s="12">
        <f ca="1">IFERROR(__xludf.DUMMYFUNCTION("""COMPUTED_VALUE"""),120492)</f>
        <v>120492</v>
      </c>
      <c r="C3252" s="14">
        <f ca="1">IFERROR(__xludf.DUMMYFUNCTION("""COMPUTED_VALUE"""),1)</f>
        <v>1</v>
      </c>
      <c r="D3252" s="12" t="str">
        <f ca="1">IFERROR(__xludf.DUMMYFUNCTION("""COMPUTED_VALUE"""),"菅野 ぎんが")</f>
        <v>菅野 ぎんが</v>
      </c>
    </row>
    <row r="3253" spans="2:4" ht="13">
      <c r="B3253" s="12">
        <f ca="1">IFERROR(__xludf.DUMMYFUNCTION("""COMPUTED_VALUE"""),120503)</f>
        <v>120503</v>
      </c>
      <c r="C3253" s="14">
        <f ca="1">IFERROR(__xludf.DUMMYFUNCTION("""COMPUTED_VALUE"""),7)</f>
        <v>7</v>
      </c>
      <c r="D3253" s="12" t="str">
        <f ca="1">IFERROR(__xludf.DUMMYFUNCTION("""COMPUTED_VALUE"""),"小関 麻起")</f>
        <v>小関 麻起</v>
      </c>
    </row>
    <row r="3254" spans="2:4" ht="13">
      <c r="B3254" s="12">
        <f ca="1">IFERROR(__xludf.DUMMYFUNCTION("""COMPUTED_VALUE"""),120506)</f>
        <v>120506</v>
      </c>
      <c r="C3254" s="14">
        <f ca="1">IFERROR(__xludf.DUMMYFUNCTION("""COMPUTED_VALUE"""),82)</f>
        <v>82</v>
      </c>
      <c r="D3254" s="12" t="str">
        <f ca="1">IFERROR(__xludf.DUMMYFUNCTION("""COMPUTED_VALUE"""),"栗原 大武")</f>
        <v>栗原 大武</v>
      </c>
    </row>
    <row r="3255" spans="2:4" ht="13">
      <c r="B3255" s="12">
        <f ca="1">IFERROR(__xludf.DUMMYFUNCTION("""COMPUTED_VALUE"""),120507)</f>
        <v>120507</v>
      </c>
      <c r="C3255" s="14">
        <f ca="1">IFERROR(__xludf.DUMMYFUNCTION("""COMPUTED_VALUE"""),44)</f>
        <v>44</v>
      </c>
      <c r="D3255" s="12" t="str">
        <f ca="1">IFERROR(__xludf.DUMMYFUNCTION("""COMPUTED_VALUE"""),"村上 浩一朗")</f>
        <v>村上 浩一朗</v>
      </c>
    </row>
    <row r="3256" spans="2:4" ht="13">
      <c r="B3256" s="12">
        <f ca="1">IFERROR(__xludf.DUMMYFUNCTION("""COMPUTED_VALUE"""),120509)</f>
        <v>120509</v>
      </c>
      <c r="C3256" s="14">
        <f ca="1">IFERROR(__xludf.DUMMYFUNCTION("""COMPUTED_VALUE"""),1)</f>
        <v>1</v>
      </c>
      <c r="D3256" s="12" t="str">
        <f ca="1">IFERROR(__xludf.DUMMYFUNCTION("""COMPUTED_VALUE"""),"荻曽 克輝")</f>
        <v>荻曽 克輝</v>
      </c>
    </row>
    <row r="3257" spans="2:4" ht="13">
      <c r="B3257" s="12">
        <f ca="1">IFERROR(__xludf.DUMMYFUNCTION("""COMPUTED_VALUE"""),120513)</f>
        <v>120513</v>
      </c>
      <c r="C3257" s="14">
        <f ca="1">IFERROR(__xludf.DUMMYFUNCTION("""COMPUTED_VALUE"""),1)</f>
        <v>1</v>
      </c>
      <c r="D3257" s="12" t="str">
        <f ca="1">IFERROR(__xludf.DUMMYFUNCTION("""COMPUTED_VALUE"""),"菅野 ぎんが")</f>
        <v>菅野 ぎんが</v>
      </c>
    </row>
    <row r="3258" spans="2:4" ht="13">
      <c r="B3258" s="12">
        <f ca="1">IFERROR(__xludf.DUMMYFUNCTION("""COMPUTED_VALUE"""),120515)</f>
        <v>120515</v>
      </c>
      <c r="C3258" s="14">
        <f ca="1">IFERROR(__xludf.DUMMYFUNCTION("""COMPUTED_VALUE"""),6)</f>
        <v>6</v>
      </c>
      <c r="D3258" s="12" t="str">
        <f ca="1">IFERROR(__xludf.DUMMYFUNCTION("""COMPUTED_VALUE"""),"桑原 明子")</f>
        <v>桑原 明子</v>
      </c>
    </row>
    <row r="3259" spans="2:4" ht="13">
      <c r="B3259" s="12">
        <f ca="1">IFERROR(__xludf.DUMMYFUNCTION("""COMPUTED_VALUE"""),120522)</f>
        <v>120522</v>
      </c>
      <c r="C3259" s="14">
        <f ca="1">IFERROR(__xludf.DUMMYFUNCTION("""COMPUTED_VALUE"""),0)</f>
        <v>0</v>
      </c>
      <c r="D3259" s="12" t="str">
        <f ca="1">IFERROR(__xludf.DUMMYFUNCTION("""COMPUTED_VALUE"""),"桐山 勝気")</f>
        <v>桐山 勝気</v>
      </c>
    </row>
    <row r="3260" spans="2:4" ht="13">
      <c r="B3260" s="12">
        <f ca="1">IFERROR(__xludf.DUMMYFUNCTION("""COMPUTED_VALUE"""),120528)</f>
        <v>120528</v>
      </c>
      <c r="C3260" s="14">
        <f ca="1">IFERROR(__xludf.DUMMYFUNCTION("""COMPUTED_VALUE"""),55)</f>
        <v>55</v>
      </c>
      <c r="D3260" s="12" t="str">
        <f ca="1">IFERROR(__xludf.DUMMYFUNCTION("""COMPUTED_VALUE"""),"小川 純")</f>
        <v>小川 純</v>
      </c>
    </row>
    <row r="3261" spans="2:4" ht="13">
      <c r="B3261" s="12">
        <f ca="1">IFERROR(__xludf.DUMMYFUNCTION("""COMPUTED_VALUE"""),120534)</f>
        <v>120534</v>
      </c>
      <c r="C3261" s="14">
        <f ca="1">IFERROR(__xludf.DUMMYFUNCTION("""COMPUTED_VALUE"""),37)</f>
        <v>37</v>
      </c>
      <c r="D3261" s="12" t="str">
        <f ca="1">IFERROR(__xludf.DUMMYFUNCTION("""COMPUTED_VALUE"""),"柿崎 晃司")</f>
        <v>柿崎 晃司</v>
      </c>
    </row>
    <row r="3262" spans="2:4" ht="13">
      <c r="B3262" s="12">
        <f ca="1">IFERROR(__xludf.DUMMYFUNCTION("""COMPUTED_VALUE"""),120563)</f>
        <v>120563</v>
      </c>
      <c r="C3262" s="14">
        <f ca="1">IFERROR(__xludf.DUMMYFUNCTION("""COMPUTED_VALUE"""),47)</f>
        <v>47</v>
      </c>
      <c r="D3262" s="12" t="str">
        <f ca="1">IFERROR(__xludf.DUMMYFUNCTION("""COMPUTED_VALUE"""),"松尾 尚樹")</f>
        <v>松尾 尚樹</v>
      </c>
    </row>
    <row r="3263" spans="2:4" ht="13">
      <c r="B3263" s="12">
        <f ca="1">IFERROR(__xludf.DUMMYFUNCTION("""COMPUTED_VALUE"""),120573)</f>
        <v>120573</v>
      </c>
      <c r="C3263" s="14">
        <f ca="1">IFERROR(__xludf.DUMMYFUNCTION("""COMPUTED_VALUE"""),0)</f>
        <v>0</v>
      </c>
      <c r="D3263" s="12" t="str">
        <f ca="1">IFERROR(__xludf.DUMMYFUNCTION("""COMPUTED_VALUE"""),"村上 浩一朗")</f>
        <v>村上 浩一朗</v>
      </c>
    </row>
    <row r="3264" spans="2:4" ht="13">
      <c r="B3264" s="12">
        <f ca="1">IFERROR(__xludf.DUMMYFUNCTION("""COMPUTED_VALUE"""),120574)</f>
        <v>120574</v>
      </c>
      <c r="C3264" s="14">
        <f ca="1">IFERROR(__xludf.DUMMYFUNCTION("""COMPUTED_VALUE"""),52)</f>
        <v>52</v>
      </c>
      <c r="D3264" s="12" t="str">
        <f ca="1">IFERROR(__xludf.DUMMYFUNCTION("""COMPUTED_VALUE"""),"菅野 ぎんが")</f>
        <v>菅野 ぎんが</v>
      </c>
    </row>
    <row r="3265" spans="2:4" ht="13">
      <c r="B3265" s="12">
        <f ca="1">IFERROR(__xludf.DUMMYFUNCTION("""COMPUTED_VALUE"""),120583)</f>
        <v>120583</v>
      </c>
      <c r="C3265" s="14">
        <f ca="1">IFERROR(__xludf.DUMMYFUNCTION("""COMPUTED_VALUE"""),0)</f>
        <v>0</v>
      </c>
      <c r="D3265" s="12" t="str">
        <f ca="1">IFERROR(__xludf.DUMMYFUNCTION("""COMPUTED_VALUE"""),"成嶋 夏未")</f>
        <v>成嶋 夏未</v>
      </c>
    </row>
    <row r="3266" spans="2:4" ht="13">
      <c r="B3266" s="12">
        <f ca="1">IFERROR(__xludf.DUMMYFUNCTION("""COMPUTED_VALUE"""),120599)</f>
        <v>120599</v>
      </c>
      <c r="C3266" s="14">
        <f ca="1">IFERROR(__xludf.DUMMYFUNCTION("""COMPUTED_VALUE"""),0)</f>
        <v>0</v>
      </c>
      <c r="D3266" s="12" t="str">
        <f ca="1">IFERROR(__xludf.DUMMYFUNCTION("""COMPUTED_VALUE"""),"小関 麻起")</f>
        <v>小関 麻起</v>
      </c>
    </row>
    <row r="3267" spans="2:4" ht="13">
      <c r="B3267" s="12">
        <f ca="1">IFERROR(__xludf.DUMMYFUNCTION("""COMPUTED_VALUE"""),120604)</f>
        <v>120604</v>
      </c>
      <c r="C3267" s="14">
        <f ca="1">IFERROR(__xludf.DUMMYFUNCTION("""COMPUTED_VALUE"""),30)</f>
        <v>30</v>
      </c>
      <c r="D3267" s="12" t="str">
        <f ca="1">IFERROR(__xludf.DUMMYFUNCTION("""COMPUTED_VALUE"""),"成嶋 夏未")</f>
        <v>成嶋 夏未</v>
      </c>
    </row>
    <row r="3268" spans="2:4" ht="13">
      <c r="B3268" s="12">
        <f ca="1">IFERROR(__xludf.DUMMYFUNCTION("""COMPUTED_VALUE"""),120605)</f>
        <v>120605</v>
      </c>
      <c r="C3268" s="14">
        <f ca="1">IFERROR(__xludf.DUMMYFUNCTION("""COMPUTED_VALUE"""),0)</f>
        <v>0</v>
      </c>
      <c r="D3268" s="12" t="str">
        <f ca="1">IFERROR(__xludf.DUMMYFUNCTION("""COMPUTED_VALUE"""),"小関 麻起")</f>
        <v>小関 麻起</v>
      </c>
    </row>
    <row r="3269" spans="2:4" ht="13">
      <c r="B3269" s="12">
        <f ca="1">IFERROR(__xludf.DUMMYFUNCTION("""COMPUTED_VALUE"""),120608)</f>
        <v>120608</v>
      </c>
      <c r="C3269" s="14">
        <f ca="1">IFERROR(__xludf.DUMMYFUNCTION("""COMPUTED_VALUE"""),0)</f>
        <v>0</v>
      </c>
      <c r="D3269" s="12" t="str">
        <f ca="1">IFERROR(__xludf.DUMMYFUNCTION("""COMPUTED_VALUE"""),"長谷川 陸朗")</f>
        <v>長谷川 陸朗</v>
      </c>
    </row>
    <row r="3270" spans="2:4" ht="13">
      <c r="B3270" s="12">
        <f ca="1">IFERROR(__xludf.DUMMYFUNCTION("""COMPUTED_VALUE"""),120609)</f>
        <v>120609</v>
      </c>
      <c r="C3270" s="14">
        <f ca="1">IFERROR(__xludf.DUMMYFUNCTION("""COMPUTED_VALUE"""),8)</f>
        <v>8</v>
      </c>
      <c r="D3270" s="12" t="str">
        <f ca="1">IFERROR(__xludf.DUMMYFUNCTION("""COMPUTED_VALUE"""),"稲場 勇介")</f>
        <v>稲場 勇介</v>
      </c>
    </row>
    <row r="3271" spans="2:4" ht="13">
      <c r="B3271" s="12">
        <f ca="1">IFERROR(__xludf.DUMMYFUNCTION("""COMPUTED_VALUE"""),120618)</f>
        <v>120618</v>
      </c>
      <c r="C3271" s="14">
        <f ca="1">IFERROR(__xludf.DUMMYFUNCTION("""COMPUTED_VALUE"""),2)</f>
        <v>2</v>
      </c>
      <c r="D3271" s="12" t="str">
        <f ca="1">IFERROR(__xludf.DUMMYFUNCTION("""COMPUTED_VALUE"""),"大木 優香")</f>
        <v>大木 優香</v>
      </c>
    </row>
    <row r="3272" spans="2:4" ht="13">
      <c r="B3272" s="12">
        <f ca="1">IFERROR(__xludf.DUMMYFUNCTION("""COMPUTED_VALUE"""),120622)</f>
        <v>120622</v>
      </c>
      <c r="C3272" s="14">
        <f ca="1">IFERROR(__xludf.DUMMYFUNCTION("""COMPUTED_VALUE"""),0)</f>
        <v>0</v>
      </c>
      <c r="D3272" s="12" t="str">
        <f ca="1">IFERROR(__xludf.DUMMYFUNCTION("""COMPUTED_VALUE"""),"大木 優香")</f>
        <v>大木 優香</v>
      </c>
    </row>
    <row r="3273" spans="2:4" ht="13">
      <c r="B3273" s="12">
        <f ca="1">IFERROR(__xludf.DUMMYFUNCTION("""COMPUTED_VALUE"""),120623)</f>
        <v>120623</v>
      </c>
      <c r="C3273" s="14">
        <f ca="1">IFERROR(__xludf.DUMMYFUNCTION("""COMPUTED_VALUE"""),0)</f>
        <v>0</v>
      </c>
      <c r="D3273" s="12" t="str">
        <f ca="1">IFERROR(__xludf.DUMMYFUNCTION("""COMPUTED_VALUE"""),"大木 優香")</f>
        <v>大木 優香</v>
      </c>
    </row>
    <row r="3274" spans="2:4" ht="13">
      <c r="B3274" s="12">
        <f ca="1">IFERROR(__xludf.DUMMYFUNCTION("""COMPUTED_VALUE"""),120624)</f>
        <v>120624</v>
      </c>
      <c r="C3274" s="14">
        <f ca="1">IFERROR(__xludf.DUMMYFUNCTION("""COMPUTED_VALUE"""),1)</f>
        <v>1</v>
      </c>
      <c r="D3274" s="12" t="str">
        <f ca="1">IFERROR(__xludf.DUMMYFUNCTION("""COMPUTED_VALUE"""),"大木 優香")</f>
        <v>大木 優香</v>
      </c>
    </row>
    <row r="3275" spans="2:4" ht="13">
      <c r="B3275" s="12">
        <f ca="1">IFERROR(__xludf.DUMMYFUNCTION("""COMPUTED_VALUE"""),120629)</f>
        <v>120629</v>
      </c>
      <c r="C3275" s="14">
        <f ca="1">IFERROR(__xludf.DUMMYFUNCTION("""COMPUTED_VALUE"""),0)</f>
        <v>0</v>
      </c>
      <c r="D3275" s="12" t="str">
        <f ca="1">IFERROR(__xludf.DUMMYFUNCTION("""COMPUTED_VALUE"""),"大木 優香")</f>
        <v>大木 優香</v>
      </c>
    </row>
    <row r="3276" spans="2:4" ht="13">
      <c r="B3276" s="12">
        <f ca="1">IFERROR(__xludf.DUMMYFUNCTION("""COMPUTED_VALUE"""),120631)</f>
        <v>120631</v>
      </c>
      <c r="C3276" s="14">
        <f ca="1">IFERROR(__xludf.DUMMYFUNCTION("""COMPUTED_VALUE"""),0)</f>
        <v>0</v>
      </c>
      <c r="D3276" s="12" t="str">
        <f ca="1">IFERROR(__xludf.DUMMYFUNCTION("""COMPUTED_VALUE"""),"大木 優香")</f>
        <v>大木 優香</v>
      </c>
    </row>
    <row r="3277" spans="2:4" ht="13">
      <c r="B3277" s="12">
        <f ca="1">IFERROR(__xludf.DUMMYFUNCTION("""COMPUTED_VALUE"""),120634)</f>
        <v>120634</v>
      </c>
      <c r="C3277" s="14">
        <f ca="1">IFERROR(__xludf.DUMMYFUNCTION("""COMPUTED_VALUE"""),0)</f>
        <v>0</v>
      </c>
      <c r="D3277" s="12" t="str">
        <f ca="1">IFERROR(__xludf.DUMMYFUNCTION("""COMPUTED_VALUE"""),"大木 優香")</f>
        <v>大木 優香</v>
      </c>
    </row>
    <row r="3278" spans="2:4" ht="13">
      <c r="B3278" s="12">
        <f ca="1">IFERROR(__xludf.DUMMYFUNCTION("""COMPUTED_VALUE"""),120636)</f>
        <v>120636</v>
      </c>
      <c r="C3278" s="14">
        <f ca="1">IFERROR(__xludf.DUMMYFUNCTION("""COMPUTED_VALUE"""),0)</f>
        <v>0</v>
      </c>
      <c r="D3278" s="12" t="str">
        <f ca="1">IFERROR(__xludf.DUMMYFUNCTION("""COMPUTED_VALUE"""),"大木 優香")</f>
        <v>大木 優香</v>
      </c>
    </row>
    <row r="3279" spans="2:4" ht="13">
      <c r="B3279" s="12">
        <f ca="1">IFERROR(__xludf.DUMMYFUNCTION("""COMPUTED_VALUE"""),120638)</f>
        <v>120638</v>
      </c>
      <c r="C3279" s="14">
        <f ca="1">IFERROR(__xludf.DUMMYFUNCTION("""COMPUTED_VALUE"""),0)</f>
        <v>0</v>
      </c>
      <c r="D3279" s="12" t="str">
        <f ca="1">IFERROR(__xludf.DUMMYFUNCTION("""COMPUTED_VALUE"""),"大木 優香")</f>
        <v>大木 優香</v>
      </c>
    </row>
    <row r="3280" spans="2:4" ht="13">
      <c r="B3280" s="12">
        <f ca="1">IFERROR(__xludf.DUMMYFUNCTION("""COMPUTED_VALUE"""),120641)</f>
        <v>120641</v>
      </c>
      <c r="C3280" s="14">
        <f ca="1">IFERROR(__xludf.DUMMYFUNCTION("""COMPUTED_VALUE"""),0)</f>
        <v>0</v>
      </c>
      <c r="D3280" s="12" t="str">
        <f ca="1">IFERROR(__xludf.DUMMYFUNCTION("""COMPUTED_VALUE"""),"大木 優香")</f>
        <v>大木 優香</v>
      </c>
    </row>
    <row r="3281" spans="2:4" ht="13">
      <c r="B3281" s="12">
        <f ca="1">IFERROR(__xludf.DUMMYFUNCTION("""COMPUTED_VALUE"""),120645)</f>
        <v>120645</v>
      </c>
      <c r="C3281" s="14">
        <f ca="1">IFERROR(__xludf.DUMMYFUNCTION("""COMPUTED_VALUE"""),39)</f>
        <v>39</v>
      </c>
      <c r="D3281" s="12" t="str">
        <f ca="1">IFERROR(__xludf.DUMMYFUNCTION("""COMPUTED_VALUE"""),"奥野 貴大")</f>
        <v>奥野 貴大</v>
      </c>
    </row>
    <row r="3282" spans="2:4" ht="13">
      <c r="B3282" s="12">
        <f ca="1">IFERROR(__xludf.DUMMYFUNCTION("""COMPUTED_VALUE"""),120648)</f>
        <v>120648</v>
      </c>
      <c r="C3282" s="14">
        <f ca="1">IFERROR(__xludf.DUMMYFUNCTION("""COMPUTED_VALUE"""),0)</f>
        <v>0</v>
      </c>
      <c r="D3282" s="12" t="str">
        <f ca="1">IFERROR(__xludf.DUMMYFUNCTION("""COMPUTED_VALUE"""),"村上 浩一朗")</f>
        <v>村上 浩一朗</v>
      </c>
    </row>
    <row r="3283" spans="2:4" ht="13">
      <c r="B3283" s="12">
        <f ca="1">IFERROR(__xludf.DUMMYFUNCTION("""COMPUTED_VALUE"""),120653)</f>
        <v>120653</v>
      </c>
      <c r="C3283" s="14">
        <f ca="1">IFERROR(__xludf.DUMMYFUNCTION("""COMPUTED_VALUE"""),11)</f>
        <v>11</v>
      </c>
      <c r="D3283" s="12" t="str">
        <f ca="1">IFERROR(__xludf.DUMMYFUNCTION("""COMPUTED_VALUE"""),"柿崎 晃司")</f>
        <v>柿崎 晃司</v>
      </c>
    </row>
    <row r="3284" spans="2:4" ht="13">
      <c r="B3284" s="12">
        <f ca="1">IFERROR(__xludf.DUMMYFUNCTION("""COMPUTED_VALUE"""),120662)</f>
        <v>120662</v>
      </c>
      <c r="C3284" s="14">
        <f ca="1">IFERROR(__xludf.DUMMYFUNCTION("""COMPUTED_VALUE"""),9)</f>
        <v>9</v>
      </c>
      <c r="D3284" s="12" t="str">
        <f ca="1">IFERROR(__xludf.DUMMYFUNCTION("""COMPUTED_VALUE"""),"小川 純")</f>
        <v>小川 純</v>
      </c>
    </row>
    <row r="3285" spans="2:4" ht="13">
      <c r="B3285" s="12">
        <f ca="1">IFERROR(__xludf.DUMMYFUNCTION("""COMPUTED_VALUE"""),120671)</f>
        <v>120671</v>
      </c>
      <c r="C3285" s="14">
        <f ca="1">IFERROR(__xludf.DUMMYFUNCTION("""COMPUTED_VALUE"""),8)</f>
        <v>8</v>
      </c>
      <c r="D3285" s="12" t="str">
        <f ca="1">IFERROR(__xludf.DUMMYFUNCTION("""COMPUTED_VALUE"""),"稲場 勇介")</f>
        <v>稲場 勇介</v>
      </c>
    </row>
    <row r="3286" spans="2:4" ht="13">
      <c r="B3286" s="12">
        <f ca="1">IFERROR(__xludf.DUMMYFUNCTION("""COMPUTED_VALUE"""),120687)</f>
        <v>120687</v>
      </c>
      <c r="C3286" s="14">
        <f ca="1">IFERROR(__xludf.DUMMYFUNCTION("""COMPUTED_VALUE"""),2)</f>
        <v>2</v>
      </c>
      <c r="D3286" s="12" t="str">
        <f ca="1">IFERROR(__xludf.DUMMYFUNCTION("""COMPUTED_VALUE"""),"老田 純輝")</f>
        <v>老田 純輝</v>
      </c>
    </row>
    <row r="3287" spans="2:4" ht="13">
      <c r="B3287" s="12">
        <f ca="1">IFERROR(__xludf.DUMMYFUNCTION("""COMPUTED_VALUE"""),120691)</f>
        <v>120691</v>
      </c>
      <c r="C3287" s="14">
        <f ca="1">IFERROR(__xludf.DUMMYFUNCTION("""COMPUTED_VALUE"""),0)</f>
        <v>0</v>
      </c>
      <c r="D3287" s="12" t="str">
        <f ca="1">IFERROR(__xludf.DUMMYFUNCTION("""COMPUTED_VALUE"""),"小関 麻起")</f>
        <v>小関 麻起</v>
      </c>
    </row>
    <row r="3288" spans="2:4" ht="13">
      <c r="B3288" s="12">
        <f ca="1">IFERROR(__xludf.DUMMYFUNCTION("""COMPUTED_VALUE"""),120694)</f>
        <v>120694</v>
      </c>
      <c r="C3288" s="14">
        <f ca="1">IFERROR(__xludf.DUMMYFUNCTION("""COMPUTED_VALUE"""),0)</f>
        <v>0</v>
      </c>
      <c r="D3288" s="12" t="str">
        <f ca="1">IFERROR(__xludf.DUMMYFUNCTION("""COMPUTED_VALUE"""),"稲場 勇介")</f>
        <v>稲場 勇介</v>
      </c>
    </row>
    <row r="3289" spans="2:4" ht="13">
      <c r="B3289" s="12">
        <f ca="1">IFERROR(__xludf.DUMMYFUNCTION("""COMPUTED_VALUE"""),120695)</f>
        <v>120695</v>
      </c>
      <c r="C3289" s="14">
        <f ca="1">IFERROR(__xludf.DUMMYFUNCTION("""COMPUTED_VALUE"""),0)</f>
        <v>0</v>
      </c>
      <c r="D3289" s="12" t="str">
        <f ca="1">IFERROR(__xludf.DUMMYFUNCTION("""COMPUTED_VALUE"""),"稲場 勇介")</f>
        <v>稲場 勇介</v>
      </c>
    </row>
    <row r="3290" spans="2:4" ht="13">
      <c r="B3290" s="12">
        <f ca="1">IFERROR(__xludf.DUMMYFUNCTION("""COMPUTED_VALUE"""),120696)</f>
        <v>120696</v>
      </c>
      <c r="C3290" s="14">
        <f ca="1">IFERROR(__xludf.DUMMYFUNCTION("""COMPUTED_VALUE"""),0)</f>
        <v>0</v>
      </c>
      <c r="D3290" s="12" t="str">
        <f ca="1">IFERROR(__xludf.DUMMYFUNCTION("""COMPUTED_VALUE"""),"稲場 勇介")</f>
        <v>稲場 勇介</v>
      </c>
    </row>
    <row r="3291" spans="2:4" ht="13">
      <c r="B3291" s="12">
        <f ca="1">IFERROR(__xludf.DUMMYFUNCTION("""COMPUTED_VALUE"""),120697)</f>
        <v>120697</v>
      </c>
      <c r="C3291" s="14">
        <f ca="1">IFERROR(__xludf.DUMMYFUNCTION("""COMPUTED_VALUE"""),0)</f>
        <v>0</v>
      </c>
      <c r="D3291" s="12" t="str">
        <f ca="1">IFERROR(__xludf.DUMMYFUNCTION("""COMPUTED_VALUE"""),"稲場 勇介")</f>
        <v>稲場 勇介</v>
      </c>
    </row>
    <row r="3292" spans="2:4" ht="13">
      <c r="B3292" s="12">
        <f ca="1">IFERROR(__xludf.DUMMYFUNCTION("""COMPUTED_VALUE"""),120708)</f>
        <v>120708</v>
      </c>
      <c r="C3292" s="14">
        <f ca="1">IFERROR(__xludf.DUMMYFUNCTION("""COMPUTED_VALUE"""),0)</f>
        <v>0</v>
      </c>
      <c r="D3292" s="12" t="str">
        <f ca="1">IFERROR(__xludf.DUMMYFUNCTION("""COMPUTED_VALUE"""),"稲場 勇介")</f>
        <v>稲場 勇介</v>
      </c>
    </row>
    <row r="3293" spans="2:4" ht="13">
      <c r="B3293" s="12">
        <f ca="1">IFERROR(__xludf.DUMMYFUNCTION("""COMPUTED_VALUE"""),120721)</f>
        <v>120721</v>
      </c>
      <c r="C3293" s="14">
        <f ca="1">IFERROR(__xludf.DUMMYFUNCTION("""COMPUTED_VALUE"""),0)</f>
        <v>0</v>
      </c>
      <c r="D3293" s="12" t="str">
        <f ca="1">IFERROR(__xludf.DUMMYFUNCTION("""COMPUTED_VALUE"""),"村上 浩一朗")</f>
        <v>村上 浩一朗</v>
      </c>
    </row>
    <row r="3294" spans="2:4" ht="13">
      <c r="B3294" s="12">
        <f ca="1">IFERROR(__xludf.DUMMYFUNCTION("""COMPUTED_VALUE"""),120729)</f>
        <v>120729</v>
      </c>
      <c r="C3294" s="14">
        <f ca="1">IFERROR(__xludf.DUMMYFUNCTION("""COMPUTED_VALUE"""),0)</f>
        <v>0</v>
      </c>
      <c r="D3294" s="12" t="str">
        <f ca="1">IFERROR(__xludf.DUMMYFUNCTION("""COMPUTED_VALUE"""),"老田 純輝")</f>
        <v>老田 純輝</v>
      </c>
    </row>
    <row r="3295" spans="2:4" ht="13">
      <c r="B3295" s="12">
        <f ca="1">IFERROR(__xludf.DUMMYFUNCTION("""COMPUTED_VALUE"""),120748)</f>
        <v>120748</v>
      </c>
      <c r="C3295" s="14">
        <f ca="1">IFERROR(__xludf.DUMMYFUNCTION("""COMPUTED_VALUE"""),0)</f>
        <v>0</v>
      </c>
      <c r="D3295" s="12" t="str">
        <f ca="1">IFERROR(__xludf.DUMMYFUNCTION("""COMPUTED_VALUE"""),"成嶋 夏未")</f>
        <v>成嶋 夏未</v>
      </c>
    </row>
    <row r="3296" spans="2:4" ht="13">
      <c r="B3296" s="12">
        <f ca="1">IFERROR(__xludf.DUMMYFUNCTION("""COMPUTED_VALUE"""),120754)</f>
        <v>120754</v>
      </c>
      <c r="C3296" s="14">
        <f ca="1">IFERROR(__xludf.DUMMYFUNCTION("""COMPUTED_VALUE"""),5)</f>
        <v>5</v>
      </c>
      <c r="D3296" s="12" t="str">
        <f ca="1">IFERROR(__xludf.DUMMYFUNCTION("""COMPUTED_VALUE"""),"小関 麻起")</f>
        <v>小関 麻起</v>
      </c>
    </row>
    <row r="3297" spans="2:4" ht="13">
      <c r="B3297" s="12">
        <f ca="1">IFERROR(__xludf.DUMMYFUNCTION("""COMPUTED_VALUE"""),120765)</f>
        <v>120765</v>
      </c>
      <c r="C3297" s="14">
        <f ca="1">IFERROR(__xludf.DUMMYFUNCTION("""COMPUTED_VALUE"""),0)</f>
        <v>0</v>
      </c>
      <c r="D3297" s="12" t="str">
        <f ca="1">IFERROR(__xludf.DUMMYFUNCTION("""COMPUTED_VALUE"""),"辻村 将大")</f>
        <v>辻村 将大</v>
      </c>
    </row>
    <row r="3298" spans="2:4" ht="13">
      <c r="B3298" s="12">
        <f ca="1">IFERROR(__xludf.DUMMYFUNCTION("""COMPUTED_VALUE"""),120766)</f>
        <v>120766</v>
      </c>
      <c r="C3298" s="14">
        <f ca="1">IFERROR(__xludf.DUMMYFUNCTION("""COMPUTED_VALUE"""),175)</f>
        <v>175</v>
      </c>
      <c r="D3298" s="12" t="str">
        <f ca="1">IFERROR(__xludf.DUMMYFUNCTION("""COMPUTED_VALUE"""),"柿崎 晃司")</f>
        <v>柿崎 晃司</v>
      </c>
    </row>
    <row r="3299" spans="2:4" ht="13">
      <c r="B3299" s="12">
        <f ca="1">IFERROR(__xludf.DUMMYFUNCTION("""COMPUTED_VALUE"""),120768)</f>
        <v>120768</v>
      </c>
      <c r="C3299" s="14">
        <f ca="1">IFERROR(__xludf.DUMMYFUNCTION("""COMPUTED_VALUE"""),0)</f>
        <v>0</v>
      </c>
      <c r="D3299" s="12" t="str">
        <f ca="1">IFERROR(__xludf.DUMMYFUNCTION("""COMPUTED_VALUE"""),"長谷川 陸朗")</f>
        <v>長谷川 陸朗</v>
      </c>
    </row>
    <row r="3300" spans="2:4" ht="13">
      <c r="B3300" s="12">
        <f ca="1">IFERROR(__xludf.DUMMYFUNCTION("""COMPUTED_VALUE"""),120774)</f>
        <v>120774</v>
      </c>
      <c r="C3300" s="14">
        <f ca="1">IFERROR(__xludf.DUMMYFUNCTION("""COMPUTED_VALUE"""),0)</f>
        <v>0</v>
      </c>
      <c r="D3300" s="12" t="str">
        <f ca="1">IFERROR(__xludf.DUMMYFUNCTION("""COMPUTED_VALUE"""),"稲場 勇介")</f>
        <v>稲場 勇介</v>
      </c>
    </row>
    <row r="3301" spans="2:4" ht="13">
      <c r="B3301" s="12">
        <f ca="1">IFERROR(__xludf.DUMMYFUNCTION("""COMPUTED_VALUE"""),120786)</f>
        <v>120786</v>
      </c>
      <c r="C3301" s="14">
        <f ca="1">IFERROR(__xludf.DUMMYFUNCTION("""COMPUTED_VALUE"""),9)</f>
        <v>9</v>
      </c>
      <c r="D3301" s="12" t="str">
        <f ca="1">IFERROR(__xludf.DUMMYFUNCTION("""COMPUTED_VALUE"""),"稲場 勇介")</f>
        <v>稲場 勇介</v>
      </c>
    </row>
    <row r="3302" spans="2:4" ht="13">
      <c r="B3302" s="12">
        <f ca="1">IFERROR(__xludf.DUMMYFUNCTION("""COMPUTED_VALUE"""),120788)</f>
        <v>120788</v>
      </c>
      <c r="C3302" s="14">
        <f ca="1">IFERROR(__xludf.DUMMYFUNCTION("""COMPUTED_VALUE"""),6)</f>
        <v>6</v>
      </c>
      <c r="D3302" s="12" t="str">
        <f ca="1">IFERROR(__xludf.DUMMYFUNCTION("""COMPUTED_VALUE"""),"成嶋 夏未")</f>
        <v>成嶋 夏未</v>
      </c>
    </row>
    <row r="3303" spans="2:4" ht="13">
      <c r="B3303" s="12">
        <f ca="1">IFERROR(__xludf.DUMMYFUNCTION("""COMPUTED_VALUE"""),120791)</f>
        <v>120791</v>
      </c>
      <c r="C3303" s="14">
        <f ca="1">IFERROR(__xludf.DUMMYFUNCTION("""COMPUTED_VALUE"""),0)</f>
        <v>0</v>
      </c>
      <c r="D3303" s="12" t="str">
        <f ca="1">IFERROR(__xludf.DUMMYFUNCTION("""COMPUTED_VALUE"""),"老田 純輝")</f>
        <v>老田 純輝</v>
      </c>
    </row>
    <row r="3304" spans="2:4" ht="13">
      <c r="B3304" s="12">
        <f ca="1">IFERROR(__xludf.DUMMYFUNCTION("""COMPUTED_VALUE"""),120792)</f>
        <v>120792</v>
      </c>
      <c r="C3304" s="14">
        <f ca="1">IFERROR(__xludf.DUMMYFUNCTION("""COMPUTED_VALUE"""),0)</f>
        <v>0</v>
      </c>
      <c r="D3304" s="12" t="str">
        <f ca="1">IFERROR(__xludf.DUMMYFUNCTION("""COMPUTED_VALUE"""),"稲場 勇介")</f>
        <v>稲場 勇介</v>
      </c>
    </row>
    <row r="3305" spans="2:4" ht="13">
      <c r="B3305" s="12">
        <f ca="1">IFERROR(__xludf.DUMMYFUNCTION("""COMPUTED_VALUE"""),120807)</f>
        <v>120807</v>
      </c>
      <c r="C3305" s="14">
        <f ca="1">IFERROR(__xludf.DUMMYFUNCTION("""COMPUTED_VALUE"""),2)</f>
        <v>2</v>
      </c>
      <c r="D3305" s="12" t="str">
        <f ca="1">IFERROR(__xludf.DUMMYFUNCTION("""COMPUTED_VALUE"""),"稲場 勇介")</f>
        <v>稲場 勇介</v>
      </c>
    </row>
    <row r="3306" spans="2:4" ht="13">
      <c r="B3306" s="12">
        <f ca="1">IFERROR(__xludf.DUMMYFUNCTION("""COMPUTED_VALUE"""),120811)</f>
        <v>120811</v>
      </c>
      <c r="C3306" s="14">
        <f ca="1">IFERROR(__xludf.DUMMYFUNCTION("""COMPUTED_VALUE"""),32)</f>
        <v>32</v>
      </c>
      <c r="D3306" s="12" t="str">
        <f ca="1">IFERROR(__xludf.DUMMYFUNCTION("""COMPUTED_VALUE"""),"荻曽 克輝")</f>
        <v>荻曽 克輝</v>
      </c>
    </row>
    <row r="3307" spans="2:4" ht="13">
      <c r="B3307" s="12">
        <f ca="1">IFERROR(__xludf.DUMMYFUNCTION("""COMPUTED_VALUE"""),120815)</f>
        <v>120815</v>
      </c>
      <c r="C3307" s="14">
        <f ca="1">IFERROR(__xludf.DUMMYFUNCTION("""COMPUTED_VALUE"""),0)</f>
        <v>0</v>
      </c>
      <c r="D3307" s="12" t="str">
        <f ca="1">IFERROR(__xludf.DUMMYFUNCTION("""COMPUTED_VALUE"""),"荻曽 克輝")</f>
        <v>荻曽 克輝</v>
      </c>
    </row>
    <row r="3308" spans="2:4" ht="13">
      <c r="B3308" s="12">
        <f ca="1">IFERROR(__xludf.DUMMYFUNCTION("""COMPUTED_VALUE"""),120816)</f>
        <v>120816</v>
      </c>
      <c r="C3308" s="14">
        <f ca="1">IFERROR(__xludf.DUMMYFUNCTION("""COMPUTED_VALUE"""),0)</f>
        <v>0</v>
      </c>
      <c r="D3308" s="12" t="str">
        <f ca="1">IFERROR(__xludf.DUMMYFUNCTION("""COMPUTED_VALUE"""),"堀越 駿")</f>
        <v>堀越 駿</v>
      </c>
    </row>
    <row r="3309" spans="2:4" ht="13">
      <c r="B3309" s="12">
        <f ca="1">IFERROR(__xludf.DUMMYFUNCTION("""COMPUTED_VALUE"""),120819)</f>
        <v>120819</v>
      </c>
      <c r="C3309" s="14">
        <f ca="1">IFERROR(__xludf.DUMMYFUNCTION("""COMPUTED_VALUE"""),0)</f>
        <v>0</v>
      </c>
      <c r="D3309" s="12" t="str">
        <f ca="1">IFERROR(__xludf.DUMMYFUNCTION("""COMPUTED_VALUE"""),"稲場 勇介")</f>
        <v>稲場 勇介</v>
      </c>
    </row>
    <row r="3310" spans="2:4" ht="13">
      <c r="B3310" s="12">
        <f ca="1">IFERROR(__xludf.DUMMYFUNCTION("""COMPUTED_VALUE"""),120820)</f>
        <v>120820</v>
      </c>
      <c r="C3310" s="14">
        <f ca="1">IFERROR(__xludf.DUMMYFUNCTION("""COMPUTED_VALUE"""),9)</f>
        <v>9</v>
      </c>
      <c r="D3310" s="12" t="str">
        <f ca="1">IFERROR(__xludf.DUMMYFUNCTION("""COMPUTED_VALUE"""),"成嶋 夏未")</f>
        <v>成嶋 夏未</v>
      </c>
    </row>
    <row r="3311" spans="2:4" ht="13">
      <c r="B3311" s="12">
        <f ca="1">IFERROR(__xludf.DUMMYFUNCTION("""COMPUTED_VALUE"""),120821)</f>
        <v>120821</v>
      </c>
      <c r="C3311" s="14">
        <f ca="1">IFERROR(__xludf.DUMMYFUNCTION("""COMPUTED_VALUE"""),2)</f>
        <v>2</v>
      </c>
      <c r="D3311" s="12" t="str">
        <f ca="1">IFERROR(__xludf.DUMMYFUNCTION("""COMPUTED_VALUE"""),"大木 優香")</f>
        <v>大木 優香</v>
      </c>
    </row>
    <row r="3312" spans="2:4" ht="13">
      <c r="B3312" s="12">
        <f ca="1">IFERROR(__xludf.DUMMYFUNCTION("""COMPUTED_VALUE"""),120839)</f>
        <v>120839</v>
      </c>
      <c r="C3312" s="14">
        <f ca="1">IFERROR(__xludf.DUMMYFUNCTION("""COMPUTED_VALUE"""),1)</f>
        <v>1</v>
      </c>
      <c r="D3312" s="12" t="str">
        <f ca="1">IFERROR(__xludf.DUMMYFUNCTION("""COMPUTED_VALUE"""),"菅野 ぎんが")</f>
        <v>菅野 ぎんが</v>
      </c>
    </row>
    <row r="3313" spans="2:4" ht="13">
      <c r="B3313" s="12">
        <f ca="1">IFERROR(__xludf.DUMMYFUNCTION("""COMPUTED_VALUE"""),120845)</f>
        <v>120845</v>
      </c>
      <c r="C3313" s="14">
        <f ca="1">IFERROR(__xludf.DUMMYFUNCTION("""COMPUTED_VALUE"""),10)</f>
        <v>10</v>
      </c>
      <c r="D3313" s="12" t="str">
        <f ca="1">IFERROR(__xludf.DUMMYFUNCTION("""COMPUTED_VALUE"""),"村上 浩一朗")</f>
        <v>村上 浩一朗</v>
      </c>
    </row>
    <row r="3314" spans="2:4" ht="13">
      <c r="B3314" s="12">
        <f ca="1">IFERROR(__xludf.DUMMYFUNCTION("""COMPUTED_VALUE"""),120846)</f>
        <v>120846</v>
      </c>
      <c r="C3314" s="14">
        <f ca="1">IFERROR(__xludf.DUMMYFUNCTION("""COMPUTED_VALUE"""),17)</f>
        <v>17</v>
      </c>
      <c r="D3314" s="12" t="str">
        <f ca="1">IFERROR(__xludf.DUMMYFUNCTION("""COMPUTED_VALUE"""),"村上 浩一朗")</f>
        <v>村上 浩一朗</v>
      </c>
    </row>
    <row r="3315" spans="2:4" ht="13">
      <c r="B3315" s="12">
        <f ca="1">IFERROR(__xludf.DUMMYFUNCTION("""COMPUTED_VALUE"""),120847)</f>
        <v>120847</v>
      </c>
      <c r="C3315" s="14">
        <f ca="1">IFERROR(__xludf.DUMMYFUNCTION("""COMPUTED_VALUE"""),13)</f>
        <v>13</v>
      </c>
      <c r="D3315" s="12" t="str">
        <f ca="1">IFERROR(__xludf.DUMMYFUNCTION("""COMPUTED_VALUE"""),"村上 浩一朗")</f>
        <v>村上 浩一朗</v>
      </c>
    </row>
    <row r="3316" spans="2:4" ht="13">
      <c r="B3316" s="12">
        <f ca="1">IFERROR(__xludf.DUMMYFUNCTION("""COMPUTED_VALUE"""),120855)</f>
        <v>120855</v>
      </c>
      <c r="C3316" s="14">
        <f ca="1">IFERROR(__xludf.DUMMYFUNCTION("""COMPUTED_VALUE"""),3)</f>
        <v>3</v>
      </c>
      <c r="D3316" s="12" t="str">
        <f ca="1">IFERROR(__xludf.DUMMYFUNCTION("""COMPUTED_VALUE"""),"松尾 尚樹")</f>
        <v>松尾 尚樹</v>
      </c>
    </row>
    <row r="3317" spans="2:4" ht="13">
      <c r="B3317" s="12">
        <f ca="1">IFERROR(__xludf.DUMMYFUNCTION("""COMPUTED_VALUE"""),120863)</f>
        <v>120863</v>
      </c>
      <c r="C3317" s="14">
        <f ca="1">IFERROR(__xludf.DUMMYFUNCTION("""COMPUTED_VALUE"""),79)</f>
        <v>79</v>
      </c>
      <c r="D3317" s="12" t="str">
        <f ca="1">IFERROR(__xludf.DUMMYFUNCTION("""COMPUTED_VALUE"""),"内丸 裕子")</f>
        <v>内丸 裕子</v>
      </c>
    </row>
    <row r="3318" spans="2:4" ht="13">
      <c r="B3318" s="12">
        <f ca="1">IFERROR(__xludf.DUMMYFUNCTION("""COMPUTED_VALUE"""),120868)</f>
        <v>120868</v>
      </c>
      <c r="C3318" s="14">
        <f ca="1">IFERROR(__xludf.DUMMYFUNCTION("""COMPUTED_VALUE"""),50)</f>
        <v>50</v>
      </c>
      <c r="D3318" s="12" t="str">
        <f ca="1">IFERROR(__xludf.DUMMYFUNCTION("""COMPUTED_VALUE"""),"辻村 将大")</f>
        <v>辻村 将大</v>
      </c>
    </row>
    <row r="3319" spans="2:4" ht="13">
      <c r="B3319" s="12">
        <f ca="1">IFERROR(__xludf.DUMMYFUNCTION("""COMPUTED_VALUE"""),120871)</f>
        <v>120871</v>
      </c>
      <c r="C3319" s="14">
        <f ca="1">IFERROR(__xludf.DUMMYFUNCTION("""COMPUTED_VALUE"""),17)</f>
        <v>17</v>
      </c>
      <c r="D3319" s="12" t="str">
        <f ca="1">IFERROR(__xludf.DUMMYFUNCTION("""COMPUTED_VALUE"""),"荻曽 克輝")</f>
        <v>荻曽 克輝</v>
      </c>
    </row>
    <row r="3320" spans="2:4" ht="13">
      <c r="B3320" s="12">
        <f ca="1">IFERROR(__xludf.DUMMYFUNCTION("""COMPUTED_VALUE"""),120873)</f>
        <v>120873</v>
      </c>
      <c r="C3320" s="14">
        <f ca="1">IFERROR(__xludf.DUMMYFUNCTION("""COMPUTED_VALUE"""),43)</f>
        <v>43</v>
      </c>
      <c r="D3320" s="12" t="str">
        <f ca="1">IFERROR(__xludf.DUMMYFUNCTION("""COMPUTED_VALUE"""),"菅野 ぎんが")</f>
        <v>菅野 ぎんが</v>
      </c>
    </row>
    <row r="3321" spans="2:4" ht="13">
      <c r="B3321" s="12">
        <f ca="1">IFERROR(__xludf.DUMMYFUNCTION("""COMPUTED_VALUE"""),120877)</f>
        <v>120877</v>
      </c>
      <c r="C3321" s="14">
        <f ca="1">IFERROR(__xludf.DUMMYFUNCTION("""COMPUTED_VALUE"""),0)</f>
        <v>0</v>
      </c>
      <c r="D3321" s="12" t="str">
        <f ca="1">IFERROR(__xludf.DUMMYFUNCTION("""COMPUTED_VALUE"""),"辻村 将大")</f>
        <v>辻村 将大</v>
      </c>
    </row>
    <row r="3322" spans="2:4" ht="13">
      <c r="B3322" s="12">
        <f ca="1">IFERROR(__xludf.DUMMYFUNCTION("""COMPUTED_VALUE"""),120878)</f>
        <v>120878</v>
      </c>
      <c r="C3322" s="14">
        <f ca="1">IFERROR(__xludf.DUMMYFUNCTION("""COMPUTED_VALUE"""),4)</f>
        <v>4</v>
      </c>
      <c r="D3322" s="12" t="str">
        <f ca="1">IFERROR(__xludf.DUMMYFUNCTION("""COMPUTED_VALUE"""),"村上 浩一朗")</f>
        <v>村上 浩一朗</v>
      </c>
    </row>
    <row r="3323" spans="2:4" ht="13">
      <c r="B3323" s="12">
        <f ca="1">IFERROR(__xludf.DUMMYFUNCTION("""COMPUTED_VALUE"""),120879)</f>
        <v>120879</v>
      </c>
      <c r="C3323" s="14">
        <f ca="1">IFERROR(__xludf.DUMMYFUNCTION("""COMPUTED_VALUE"""),0)</f>
        <v>0</v>
      </c>
      <c r="D3323" s="12" t="str">
        <f ca="1">IFERROR(__xludf.DUMMYFUNCTION("""COMPUTED_VALUE"""),"菅野 ぎんが")</f>
        <v>菅野 ぎんが</v>
      </c>
    </row>
    <row r="3324" spans="2:4" ht="13">
      <c r="B3324" s="12">
        <f ca="1">IFERROR(__xludf.DUMMYFUNCTION("""COMPUTED_VALUE"""),120882)</f>
        <v>120882</v>
      </c>
      <c r="C3324" s="14">
        <f ca="1">IFERROR(__xludf.DUMMYFUNCTION("""COMPUTED_VALUE"""),0)</f>
        <v>0</v>
      </c>
      <c r="D3324" s="12" t="str">
        <f ca="1">IFERROR(__xludf.DUMMYFUNCTION("""COMPUTED_VALUE"""),"松尾 尚樹")</f>
        <v>松尾 尚樹</v>
      </c>
    </row>
    <row r="3325" spans="2:4" ht="13">
      <c r="B3325" s="12">
        <f ca="1">IFERROR(__xludf.DUMMYFUNCTION("""COMPUTED_VALUE"""),120886)</f>
        <v>120886</v>
      </c>
      <c r="C3325" s="14">
        <f ca="1">IFERROR(__xludf.DUMMYFUNCTION("""COMPUTED_VALUE"""),32)</f>
        <v>32</v>
      </c>
      <c r="D3325" s="12" t="str">
        <f ca="1">IFERROR(__xludf.DUMMYFUNCTION("""COMPUTED_VALUE"""),"桑原 明子")</f>
        <v>桑原 明子</v>
      </c>
    </row>
    <row r="3326" spans="2:4" ht="13">
      <c r="B3326" s="12">
        <f ca="1">IFERROR(__xludf.DUMMYFUNCTION("""COMPUTED_VALUE"""),120891)</f>
        <v>120891</v>
      </c>
      <c r="C3326" s="14">
        <f ca="1">IFERROR(__xludf.DUMMYFUNCTION("""COMPUTED_VALUE"""),2)</f>
        <v>2</v>
      </c>
      <c r="D3326" s="12" t="str">
        <f ca="1">IFERROR(__xludf.DUMMYFUNCTION("""COMPUTED_VALUE"""),"大木 優香")</f>
        <v>大木 優香</v>
      </c>
    </row>
    <row r="3327" spans="2:4" ht="13">
      <c r="B3327" s="12">
        <f ca="1">IFERROR(__xludf.DUMMYFUNCTION("""COMPUTED_VALUE"""),120911)</f>
        <v>120911</v>
      </c>
      <c r="C3327" s="14">
        <f ca="1">IFERROR(__xludf.DUMMYFUNCTION("""COMPUTED_VALUE"""),0)</f>
        <v>0</v>
      </c>
      <c r="D3327" s="12" t="str">
        <f ca="1">IFERROR(__xludf.DUMMYFUNCTION("""COMPUTED_VALUE"""),"稲場 勇介")</f>
        <v>稲場 勇介</v>
      </c>
    </row>
    <row r="3328" spans="2:4" ht="13">
      <c r="B3328" s="12">
        <f ca="1">IFERROR(__xludf.DUMMYFUNCTION("""COMPUTED_VALUE"""),120914)</f>
        <v>120914</v>
      </c>
      <c r="C3328" s="14">
        <f ca="1">IFERROR(__xludf.DUMMYFUNCTION("""COMPUTED_VALUE"""),0)</f>
        <v>0</v>
      </c>
      <c r="D3328" s="12" t="str">
        <f ca="1">IFERROR(__xludf.DUMMYFUNCTION("""COMPUTED_VALUE"""),"稲場 勇介")</f>
        <v>稲場 勇介</v>
      </c>
    </row>
    <row r="3329" spans="2:4" ht="13">
      <c r="B3329" s="12">
        <f ca="1">IFERROR(__xludf.DUMMYFUNCTION("""COMPUTED_VALUE"""),120915)</f>
        <v>120915</v>
      </c>
      <c r="C3329" s="14">
        <f ca="1">IFERROR(__xludf.DUMMYFUNCTION("""COMPUTED_VALUE"""),0)</f>
        <v>0</v>
      </c>
      <c r="D3329" s="12" t="str">
        <f ca="1">IFERROR(__xludf.DUMMYFUNCTION("""COMPUTED_VALUE"""),"桐山 勝気")</f>
        <v>桐山 勝気</v>
      </c>
    </row>
    <row r="3330" spans="2:4" ht="13">
      <c r="B3330" s="12">
        <f ca="1">IFERROR(__xludf.DUMMYFUNCTION("""COMPUTED_VALUE"""),120922)</f>
        <v>120922</v>
      </c>
      <c r="C3330" s="14">
        <f ca="1">IFERROR(__xludf.DUMMYFUNCTION("""COMPUTED_VALUE"""),0)</f>
        <v>0</v>
      </c>
      <c r="D3330" s="12" t="str">
        <f ca="1">IFERROR(__xludf.DUMMYFUNCTION("""COMPUTED_VALUE"""),"松尾 尚樹")</f>
        <v>松尾 尚樹</v>
      </c>
    </row>
    <row r="3331" spans="2:4" ht="13">
      <c r="B3331" s="12">
        <f ca="1">IFERROR(__xludf.DUMMYFUNCTION("""COMPUTED_VALUE"""),120925)</f>
        <v>120925</v>
      </c>
      <c r="C3331" s="14">
        <f ca="1">IFERROR(__xludf.DUMMYFUNCTION("""COMPUTED_VALUE"""),0)</f>
        <v>0</v>
      </c>
      <c r="D3331" s="12" t="str">
        <f ca="1">IFERROR(__xludf.DUMMYFUNCTION("""COMPUTED_VALUE"""),"稲場 勇介")</f>
        <v>稲場 勇介</v>
      </c>
    </row>
    <row r="3332" spans="2:4" ht="13">
      <c r="B3332" s="12">
        <f ca="1">IFERROR(__xludf.DUMMYFUNCTION("""COMPUTED_VALUE"""),120928)</f>
        <v>120928</v>
      </c>
      <c r="C3332" s="14">
        <f ca="1">IFERROR(__xludf.DUMMYFUNCTION("""COMPUTED_VALUE"""),2)</f>
        <v>2</v>
      </c>
      <c r="D3332" s="12" t="str">
        <f ca="1">IFERROR(__xludf.DUMMYFUNCTION("""COMPUTED_VALUE"""),"長谷川 陸朗")</f>
        <v>長谷川 陸朗</v>
      </c>
    </row>
    <row r="3333" spans="2:4" ht="13">
      <c r="B3333" s="12">
        <f ca="1">IFERROR(__xludf.DUMMYFUNCTION("""COMPUTED_VALUE"""),120930)</f>
        <v>120930</v>
      </c>
      <c r="C3333" s="14">
        <f ca="1">IFERROR(__xludf.DUMMYFUNCTION("""COMPUTED_VALUE"""),4)</f>
        <v>4</v>
      </c>
      <c r="D3333" s="12" t="str">
        <f ca="1">IFERROR(__xludf.DUMMYFUNCTION("""COMPUTED_VALUE"""),"栗原 大武")</f>
        <v>栗原 大武</v>
      </c>
    </row>
    <row r="3334" spans="2:4" ht="13">
      <c r="B3334" s="12">
        <f ca="1">IFERROR(__xludf.DUMMYFUNCTION("""COMPUTED_VALUE"""),120941)</f>
        <v>120941</v>
      </c>
      <c r="C3334" s="14">
        <f ca="1">IFERROR(__xludf.DUMMYFUNCTION("""COMPUTED_VALUE"""),80)</f>
        <v>80</v>
      </c>
      <c r="D3334" s="12" t="str">
        <f ca="1">IFERROR(__xludf.DUMMYFUNCTION("""COMPUTED_VALUE"""),"小関 麻起")</f>
        <v>小関 麻起</v>
      </c>
    </row>
    <row r="3335" spans="2:4" ht="13">
      <c r="B3335" s="12">
        <f ca="1">IFERROR(__xludf.DUMMYFUNCTION("""COMPUTED_VALUE"""),120958)</f>
        <v>120958</v>
      </c>
      <c r="C3335" s="14">
        <f ca="1">IFERROR(__xludf.DUMMYFUNCTION("""COMPUTED_VALUE"""),10)</f>
        <v>10</v>
      </c>
      <c r="D3335" s="12" t="str">
        <f ca="1">IFERROR(__xludf.DUMMYFUNCTION("""COMPUTED_VALUE"""),"老田 純輝")</f>
        <v>老田 純輝</v>
      </c>
    </row>
    <row r="3336" spans="2:4" ht="13">
      <c r="B3336" s="12">
        <f ca="1">IFERROR(__xludf.DUMMYFUNCTION("""COMPUTED_VALUE"""),120972)</f>
        <v>120972</v>
      </c>
      <c r="C3336" s="14">
        <f ca="1">IFERROR(__xludf.DUMMYFUNCTION("""COMPUTED_VALUE"""),57)</f>
        <v>57</v>
      </c>
      <c r="D3336" s="12" t="str">
        <f ca="1">IFERROR(__xludf.DUMMYFUNCTION("""COMPUTED_VALUE"""),"辻村 将大")</f>
        <v>辻村 将大</v>
      </c>
    </row>
    <row r="3337" spans="2:4" ht="13">
      <c r="B3337" s="12">
        <f ca="1">IFERROR(__xludf.DUMMYFUNCTION("""COMPUTED_VALUE"""),120977)</f>
        <v>120977</v>
      </c>
      <c r="C3337" s="14">
        <f ca="1">IFERROR(__xludf.DUMMYFUNCTION("""COMPUTED_VALUE"""),11)</f>
        <v>11</v>
      </c>
      <c r="D3337" s="12" t="str">
        <f ca="1">IFERROR(__xludf.DUMMYFUNCTION("""COMPUTED_VALUE"""),"松尾 尚樹")</f>
        <v>松尾 尚樹</v>
      </c>
    </row>
    <row r="3338" spans="2:4" ht="13">
      <c r="B3338" s="12">
        <f ca="1">IFERROR(__xludf.DUMMYFUNCTION("""COMPUTED_VALUE"""),120987)</f>
        <v>120987</v>
      </c>
      <c r="C3338" s="14">
        <f ca="1">IFERROR(__xludf.DUMMYFUNCTION("""COMPUTED_VALUE"""),34)</f>
        <v>34</v>
      </c>
      <c r="D3338" s="12" t="str">
        <f ca="1">IFERROR(__xludf.DUMMYFUNCTION("""COMPUTED_VALUE"""),"川島 幹也")</f>
        <v>川島 幹也</v>
      </c>
    </row>
    <row r="3339" spans="2:4" ht="13">
      <c r="B3339" s="12">
        <f ca="1">IFERROR(__xludf.DUMMYFUNCTION("""COMPUTED_VALUE"""),120989)</f>
        <v>120989</v>
      </c>
      <c r="C3339" s="14">
        <f ca="1">IFERROR(__xludf.DUMMYFUNCTION("""COMPUTED_VALUE"""),21)</f>
        <v>21</v>
      </c>
      <c r="D3339" s="12" t="str">
        <f ca="1">IFERROR(__xludf.DUMMYFUNCTION("""COMPUTED_VALUE"""),"川島 幹也")</f>
        <v>川島 幹也</v>
      </c>
    </row>
    <row r="3340" spans="2:4" ht="13">
      <c r="B3340" s="12">
        <f ca="1">IFERROR(__xludf.DUMMYFUNCTION("""COMPUTED_VALUE"""),120990)</f>
        <v>120990</v>
      </c>
      <c r="C3340" s="14">
        <f ca="1">IFERROR(__xludf.DUMMYFUNCTION("""COMPUTED_VALUE"""),12)</f>
        <v>12</v>
      </c>
      <c r="D3340" s="12" t="str">
        <f ca="1">IFERROR(__xludf.DUMMYFUNCTION("""COMPUTED_VALUE"""),"川島 幹也")</f>
        <v>川島 幹也</v>
      </c>
    </row>
    <row r="3341" spans="2:4" ht="13">
      <c r="B3341" s="12">
        <f ca="1">IFERROR(__xludf.DUMMYFUNCTION("""COMPUTED_VALUE"""),120992)</f>
        <v>120992</v>
      </c>
      <c r="C3341" s="14">
        <f ca="1">IFERROR(__xludf.DUMMYFUNCTION("""COMPUTED_VALUE"""),0)</f>
        <v>0</v>
      </c>
      <c r="D3341" s="12" t="str">
        <f ca="1">IFERROR(__xludf.DUMMYFUNCTION("""COMPUTED_VALUE"""),"奥野 貴大")</f>
        <v>奥野 貴大</v>
      </c>
    </row>
    <row r="3342" spans="2:4" ht="13">
      <c r="B3342" s="12">
        <f ca="1">IFERROR(__xludf.DUMMYFUNCTION("""COMPUTED_VALUE"""),120996)</f>
        <v>120996</v>
      </c>
      <c r="C3342" s="14">
        <f ca="1">IFERROR(__xludf.DUMMYFUNCTION("""COMPUTED_VALUE"""),0)</f>
        <v>0</v>
      </c>
      <c r="D3342" s="12" t="str">
        <f ca="1">IFERROR(__xludf.DUMMYFUNCTION("""COMPUTED_VALUE"""),"大木 優香")</f>
        <v>大木 優香</v>
      </c>
    </row>
    <row r="3343" spans="2:4" ht="13">
      <c r="B3343" s="12">
        <f ca="1">IFERROR(__xludf.DUMMYFUNCTION("""COMPUTED_VALUE"""),120999)</f>
        <v>120999</v>
      </c>
      <c r="C3343" s="14">
        <f ca="1">IFERROR(__xludf.DUMMYFUNCTION("""COMPUTED_VALUE"""),0)</f>
        <v>0</v>
      </c>
      <c r="D3343" s="12" t="str">
        <f ca="1">IFERROR(__xludf.DUMMYFUNCTION("""COMPUTED_VALUE"""),"荻曽 克輝")</f>
        <v>荻曽 克輝</v>
      </c>
    </row>
    <row r="3344" spans="2:4" ht="13">
      <c r="B3344" s="12">
        <f ca="1">IFERROR(__xludf.DUMMYFUNCTION("""COMPUTED_VALUE"""),121001)</f>
        <v>121001</v>
      </c>
      <c r="C3344" s="14">
        <f ca="1">IFERROR(__xludf.DUMMYFUNCTION("""COMPUTED_VALUE"""),0)</f>
        <v>0</v>
      </c>
      <c r="D3344" s="12" t="str">
        <f ca="1">IFERROR(__xludf.DUMMYFUNCTION("""COMPUTED_VALUE"""),"村上 浩一朗")</f>
        <v>村上 浩一朗</v>
      </c>
    </row>
    <row r="3345" spans="2:4" ht="13">
      <c r="B3345" s="12">
        <f ca="1">IFERROR(__xludf.DUMMYFUNCTION("""COMPUTED_VALUE"""),121004)</f>
        <v>121004</v>
      </c>
      <c r="C3345" s="14">
        <f ca="1">IFERROR(__xludf.DUMMYFUNCTION("""COMPUTED_VALUE"""),0)</f>
        <v>0</v>
      </c>
      <c r="D3345" s="12" t="str">
        <f ca="1">IFERROR(__xludf.DUMMYFUNCTION("""COMPUTED_VALUE"""),"成嶋 夏未")</f>
        <v>成嶋 夏未</v>
      </c>
    </row>
    <row r="3346" spans="2:4" ht="13">
      <c r="B3346" s="12">
        <f ca="1">IFERROR(__xludf.DUMMYFUNCTION("""COMPUTED_VALUE"""),121006)</f>
        <v>121006</v>
      </c>
      <c r="C3346" s="14">
        <f ca="1">IFERROR(__xludf.DUMMYFUNCTION("""COMPUTED_VALUE"""),16)</f>
        <v>16</v>
      </c>
      <c r="D3346" s="12" t="str">
        <f ca="1">IFERROR(__xludf.DUMMYFUNCTION("""COMPUTED_VALUE"""),"松尾 尚樹")</f>
        <v>松尾 尚樹</v>
      </c>
    </row>
    <row r="3347" spans="2:4" ht="13">
      <c r="B3347" s="12">
        <f ca="1">IFERROR(__xludf.DUMMYFUNCTION("""COMPUTED_VALUE"""),121012)</f>
        <v>121012</v>
      </c>
      <c r="C3347" s="14">
        <f ca="1">IFERROR(__xludf.DUMMYFUNCTION("""COMPUTED_VALUE"""),0)</f>
        <v>0</v>
      </c>
      <c r="D3347" s="12" t="str">
        <f ca="1">IFERROR(__xludf.DUMMYFUNCTION("""COMPUTED_VALUE"""),"成嶋 夏未")</f>
        <v>成嶋 夏未</v>
      </c>
    </row>
    <row r="3348" spans="2:4" ht="13">
      <c r="B3348" s="12">
        <f ca="1">IFERROR(__xludf.DUMMYFUNCTION("""COMPUTED_VALUE"""),121021)</f>
        <v>121021</v>
      </c>
      <c r="C3348" s="14">
        <f ca="1">IFERROR(__xludf.DUMMYFUNCTION("""COMPUTED_VALUE"""),46)</f>
        <v>46</v>
      </c>
      <c r="D3348" s="12" t="str">
        <f ca="1">IFERROR(__xludf.DUMMYFUNCTION("""COMPUTED_VALUE"""),"小関 麻起")</f>
        <v>小関 麻起</v>
      </c>
    </row>
    <row r="3349" spans="2:4" ht="13">
      <c r="B3349" s="12">
        <f ca="1">IFERROR(__xludf.DUMMYFUNCTION("""COMPUTED_VALUE"""),121051)</f>
        <v>121051</v>
      </c>
      <c r="C3349" s="14">
        <f ca="1">IFERROR(__xludf.DUMMYFUNCTION("""COMPUTED_VALUE"""),26)</f>
        <v>26</v>
      </c>
      <c r="D3349" s="12" t="str">
        <f ca="1">IFERROR(__xludf.DUMMYFUNCTION("""COMPUTED_VALUE"""),"栗原 大武")</f>
        <v>栗原 大武</v>
      </c>
    </row>
    <row r="3350" spans="2:4" ht="13">
      <c r="B3350" s="12">
        <f ca="1">IFERROR(__xludf.DUMMYFUNCTION("""COMPUTED_VALUE"""),121060)</f>
        <v>121060</v>
      </c>
      <c r="C3350" s="14">
        <f ca="1">IFERROR(__xludf.DUMMYFUNCTION("""COMPUTED_VALUE"""),0)</f>
        <v>0</v>
      </c>
      <c r="D3350" s="12" t="str">
        <f ca="1">IFERROR(__xludf.DUMMYFUNCTION("""COMPUTED_VALUE"""),"栗原 大武")</f>
        <v>栗原 大武</v>
      </c>
    </row>
    <row r="3351" spans="2:4" ht="13">
      <c r="B3351" s="12">
        <f ca="1">IFERROR(__xludf.DUMMYFUNCTION("""COMPUTED_VALUE"""),121068)</f>
        <v>121068</v>
      </c>
      <c r="C3351" s="14">
        <f ca="1">IFERROR(__xludf.DUMMYFUNCTION("""COMPUTED_VALUE"""),0)</f>
        <v>0</v>
      </c>
      <c r="D3351" s="12" t="str">
        <f ca="1">IFERROR(__xludf.DUMMYFUNCTION("""COMPUTED_VALUE"""),"荻曽 克輝")</f>
        <v>荻曽 克輝</v>
      </c>
    </row>
    <row r="3352" spans="2:4" ht="13">
      <c r="B3352" s="12">
        <f ca="1">IFERROR(__xludf.DUMMYFUNCTION("""COMPUTED_VALUE"""),121079)</f>
        <v>121079</v>
      </c>
      <c r="C3352" s="14">
        <f ca="1">IFERROR(__xludf.DUMMYFUNCTION("""COMPUTED_VALUE"""),2)</f>
        <v>2</v>
      </c>
      <c r="D3352" s="12" t="str">
        <f ca="1">IFERROR(__xludf.DUMMYFUNCTION("""COMPUTED_VALUE"""),"大木 優香")</f>
        <v>大木 優香</v>
      </c>
    </row>
    <row r="3353" spans="2:4" ht="13">
      <c r="B3353" s="12">
        <f ca="1">IFERROR(__xludf.DUMMYFUNCTION("""COMPUTED_VALUE"""),121080)</f>
        <v>121080</v>
      </c>
      <c r="C3353" s="14">
        <f ca="1">IFERROR(__xludf.DUMMYFUNCTION("""COMPUTED_VALUE"""),0)</f>
        <v>0</v>
      </c>
      <c r="D3353" s="12" t="str">
        <f ca="1">IFERROR(__xludf.DUMMYFUNCTION("""COMPUTED_VALUE"""),"栗原 大武")</f>
        <v>栗原 大武</v>
      </c>
    </row>
    <row r="3354" spans="2:4" ht="13">
      <c r="B3354" s="12">
        <f ca="1">IFERROR(__xludf.DUMMYFUNCTION("""COMPUTED_VALUE"""),121084)</f>
        <v>121084</v>
      </c>
      <c r="C3354" s="14">
        <f ca="1">IFERROR(__xludf.DUMMYFUNCTION("""COMPUTED_VALUE"""),0)</f>
        <v>0</v>
      </c>
      <c r="D3354" s="12" t="str">
        <f ca="1">IFERROR(__xludf.DUMMYFUNCTION("""COMPUTED_VALUE"""),"菅野 ぎんが")</f>
        <v>菅野 ぎんが</v>
      </c>
    </row>
    <row r="3355" spans="2:4" ht="13">
      <c r="B3355" s="12">
        <f ca="1">IFERROR(__xludf.DUMMYFUNCTION("""COMPUTED_VALUE"""),121127)</f>
        <v>121127</v>
      </c>
      <c r="C3355" s="14">
        <f ca="1">IFERROR(__xludf.DUMMYFUNCTION("""COMPUTED_VALUE"""),29)</f>
        <v>29</v>
      </c>
      <c r="D3355" s="12" t="str">
        <f ca="1">IFERROR(__xludf.DUMMYFUNCTION("""COMPUTED_VALUE"""),"老田 純輝")</f>
        <v>老田 純輝</v>
      </c>
    </row>
    <row r="3356" spans="2:4" ht="13">
      <c r="B3356" s="12">
        <f ca="1">IFERROR(__xludf.DUMMYFUNCTION("""COMPUTED_VALUE"""),121145)</f>
        <v>121145</v>
      </c>
      <c r="C3356" s="14">
        <f ca="1">IFERROR(__xludf.DUMMYFUNCTION("""COMPUTED_VALUE"""),5)</f>
        <v>5</v>
      </c>
      <c r="D3356" s="12" t="str">
        <f ca="1">IFERROR(__xludf.DUMMYFUNCTION("""COMPUTED_VALUE"""),"菅野 ぎんが")</f>
        <v>菅野 ぎんが</v>
      </c>
    </row>
    <row r="3357" spans="2:4" ht="13">
      <c r="B3357" s="12">
        <f ca="1">IFERROR(__xludf.DUMMYFUNCTION("""COMPUTED_VALUE"""),121146)</f>
        <v>121146</v>
      </c>
      <c r="C3357" s="14">
        <f ca="1">IFERROR(__xludf.DUMMYFUNCTION("""COMPUTED_VALUE"""),12)</f>
        <v>12</v>
      </c>
      <c r="D3357" s="12" t="str">
        <f ca="1">IFERROR(__xludf.DUMMYFUNCTION("""COMPUTED_VALUE"""),"小関 麻起")</f>
        <v>小関 麻起</v>
      </c>
    </row>
    <row r="3358" spans="2:4" ht="13">
      <c r="B3358" s="12">
        <f ca="1">IFERROR(__xludf.DUMMYFUNCTION("""COMPUTED_VALUE"""),121160)</f>
        <v>121160</v>
      </c>
      <c r="C3358" s="14">
        <f ca="1">IFERROR(__xludf.DUMMYFUNCTION("""COMPUTED_VALUE"""),2)</f>
        <v>2</v>
      </c>
      <c r="D3358" s="12" t="str">
        <f ca="1">IFERROR(__xludf.DUMMYFUNCTION("""COMPUTED_VALUE"""),"村上 浩一朗")</f>
        <v>村上 浩一朗</v>
      </c>
    </row>
    <row r="3359" spans="2:4" ht="13">
      <c r="B3359" s="12">
        <f ca="1">IFERROR(__xludf.DUMMYFUNCTION("""COMPUTED_VALUE"""),121167)</f>
        <v>121167</v>
      </c>
      <c r="C3359" s="14">
        <f ca="1">IFERROR(__xludf.DUMMYFUNCTION("""COMPUTED_VALUE"""),2)</f>
        <v>2</v>
      </c>
      <c r="D3359" s="12" t="str">
        <f ca="1">IFERROR(__xludf.DUMMYFUNCTION("""COMPUTED_VALUE"""),"長谷川 陸朗")</f>
        <v>長谷川 陸朗</v>
      </c>
    </row>
    <row r="3360" spans="2:4" ht="13">
      <c r="B3360" s="12">
        <f ca="1">IFERROR(__xludf.DUMMYFUNCTION("""COMPUTED_VALUE"""),121172)</f>
        <v>121172</v>
      </c>
      <c r="C3360" s="14">
        <f ca="1">IFERROR(__xludf.DUMMYFUNCTION("""COMPUTED_VALUE"""),0)</f>
        <v>0</v>
      </c>
      <c r="D3360" s="12" t="str">
        <f ca="1">IFERROR(__xludf.DUMMYFUNCTION("""COMPUTED_VALUE"""),"菅野 ぎんが")</f>
        <v>菅野 ぎんが</v>
      </c>
    </row>
    <row r="3361" spans="2:4" ht="13">
      <c r="B3361" s="12">
        <f ca="1">IFERROR(__xludf.DUMMYFUNCTION("""COMPUTED_VALUE"""),121183)</f>
        <v>121183</v>
      </c>
      <c r="C3361" s="14">
        <f ca="1">IFERROR(__xludf.DUMMYFUNCTION("""COMPUTED_VALUE"""),0)</f>
        <v>0</v>
      </c>
      <c r="D3361" s="12" t="str">
        <f ca="1">IFERROR(__xludf.DUMMYFUNCTION("""COMPUTED_VALUE"""),"桐山 勝気")</f>
        <v>桐山 勝気</v>
      </c>
    </row>
    <row r="3362" spans="2:4" ht="13">
      <c r="B3362" s="12">
        <f ca="1">IFERROR(__xludf.DUMMYFUNCTION("""COMPUTED_VALUE"""),121185)</f>
        <v>121185</v>
      </c>
      <c r="C3362" s="14">
        <f ca="1">IFERROR(__xludf.DUMMYFUNCTION("""COMPUTED_VALUE"""),10)</f>
        <v>10</v>
      </c>
      <c r="D3362" s="12" t="str">
        <f ca="1">IFERROR(__xludf.DUMMYFUNCTION("""COMPUTED_VALUE"""),"村上 浩一朗")</f>
        <v>村上 浩一朗</v>
      </c>
    </row>
    <row r="3363" spans="2:4" ht="13">
      <c r="B3363" s="12">
        <f ca="1">IFERROR(__xludf.DUMMYFUNCTION("""COMPUTED_VALUE"""),121196)</f>
        <v>121196</v>
      </c>
      <c r="C3363" s="14">
        <f ca="1">IFERROR(__xludf.DUMMYFUNCTION("""COMPUTED_VALUE"""),4)</f>
        <v>4</v>
      </c>
      <c r="D3363" s="12" t="str">
        <f ca="1">IFERROR(__xludf.DUMMYFUNCTION("""COMPUTED_VALUE"""),"桐山 勝気")</f>
        <v>桐山 勝気</v>
      </c>
    </row>
    <row r="3364" spans="2:4" ht="13">
      <c r="B3364" s="12">
        <f ca="1">IFERROR(__xludf.DUMMYFUNCTION("""COMPUTED_VALUE"""),121197)</f>
        <v>121197</v>
      </c>
      <c r="C3364" s="14">
        <f ca="1">IFERROR(__xludf.DUMMYFUNCTION("""COMPUTED_VALUE"""),1)</f>
        <v>1</v>
      </c>
      <c r="D3364" s="12" t="str">
        <f ca="1">IFERROR(__xludf.DUMMYFUNCTION("""COMPUTED_VALUE"""),"小川 純")</f>
        <v>小川 純</v>
      </c>
    </row>
    <row r="3365" spans="2:4" ht="13">
      <c r="B3365" s="12">
        <f ca="1">IFERROR(__xludf.DUMMYFUNCTION("""COMPUTED_VALUE"""),121209)</f>
        <v>121209</v>
      </c>
      <c r="C3365" s="14">
        <f ca="1">IFERROR(__xludf.DUMMYFUNCTION("""COMPUTED_VALUE"""),15)</f>
        <v>15</v>
      </c>
      <c r="D3365" s="12" t="str">
        <f ca="1">IFERROR(__xludf.DUMMYFUNCTION("""COMPUTED_VALUE"""),"長谷川 陸朗")</f>
        <v>長谷川 陸朗</v>
      </c>
    </row>
    <row r="3366" spans="2:4" ht="13">
      <c r="B3366" s="12">
        <f ca="1">IFERROR(__xludf.DUMMYFUNCTION("""COMPUTED_VALUE"""),121210)</f>
        <v>121210</v>
      </c>
      <c r="C3366" s="14">
        <f ca="1">IFERROR(__xludf.DUMMYFUNCTION("""COMPUTED_VALUE"""),27)</f>
        <v>27</v>
      </c>
      <c r="D3366" s="12" t="str">
        <f ca="1">IFERROR(__xludf.DUMMYFUNCTION("""COMPUTED_VALUE"""),"長谷川 陸朗")</f>
        <v>長谷川 陸朗</v>
      </c>
    </row>
    <row r="3367" spans="2:4" ht="13">
      <c r="B3367" s="12">
        <f ca="1">IFERROR(__xludf.DUMMYFUNCTION("""COMPUTED_VALUE"""),121211)</f>
        <v>121211</v>
      </c>
      <c r="C3367" s="14">
        <f ca="1">IFERROR(__xludf.DUMMYFUNCTION("""COMPUTED_VALUE"""),1)</f>
        <v>1</v>
      </c>
      <c r="D3367" s="12" t="str">
        <f ca="1">IFERROR(__xludf.DUMMYFUNCTION("""COMPUTED_VALUE"""),"長谷川 陸朗")</f>
        <v>長谷川 陸朗</v>
      </c>
    </row>
    <row r="3368" spans="2:4" ht="13">
      <c r="B3368" s="12">
        <f ca="1">IFERROR(__xludf.DUMMYFUNCTION("""COMPUTED_VALUE"""),121212)</f>
        <v>121212</v>
      </c>
      <c r="C3368" s="14">
        <f ca="1">IFERROR(__xludf.DUMMYFUNCTION("""COMPUTED_VALUE"""),3)</f>
        <v>3</v>
      </c>
      <c r="D3368" s="12" t="str">
        <f ca="1">IFERROR(__xludf.DUMMYFUNCTION("""COMPUTED_VALUE"""),"長谷川 陸朗")</f>
        <v>長谷川 陸朗</v>
      </c>
    </row>
    <row r="3369" spans="2:4" ht="13">
      <c r="B3369" s="12">
        <f ca="1">IFERROR(__xludf.DUMMYFUNCTION("""COMPUTED_VALUE"""),121213)</f>
        <v>121213</v>
      </c>
      <c r="C3369" s="14">
        <f ca="1">IFERROR(__xludf.DUMMYFUNCTION("""COMPUTED_VALUE"""),3)</f>
        <v>3</v>
      </c>
      <c r="D3369" s="12" t="str">
        <f ca="1">IFERROR(__xludf.DUMMYFUNCTION("""COMPUTED_VALUE"""),"長谷川 陸朗")</f>
        <v>長谷川 陸朗</v>
      </c>
    </row>
    <row r="3370" spans="2:4" ht="13">
      <c r="B3370" s="12">
        <f ca="1">IFERROR(__xludf.DUMMYFUNCTION("""COMPUTED_VALUE"""),121214)</f>
        <v>121214</v>
      </c>
      <c r="C3370" s="14">
        <f ca="1">IFERROR(__xludf.DUMMYFUNCTION("""COMPUTED_VALUE"""),2)</f>
        <v>2</v>
      </c>
      <c r="D3370" s="12" t="str">
        <f ca="1">IFERROR(__xludf.DUMMYFUNCTION("""COMPUTED_VALUE"""),"長谷川 陸朗")</f>
        <v>長谷川 陸朗</v>
      </c>
    </row>
    <row r="3371" spans="2:4" ht="13">
      <c r="B3371" s="12">
        <f ca="1">IFERROR(__xludf.DUMMYFUNCTION("""COMPUTED_VALUE"""),121218)</f>
        <v>121218</v>
      </c>
      <c r="C3371" s="14">
        <f ca="1">IFERROR(__xludf.DUMMYFUNCTION("""COMPUTED_VALUE"""),13)</f>
        <v>13</v>
      </c>
      <c r="D3371" s="12" t="str">
        <f ca="1">IFERROR(__xludf.DUMMYFUNCTION("""COMPUTED_VALUE"""),"内丸 裕子")</f>
        <v>内丸 裕子</v>
      </c>
    </row>
    <row r="3372" spans="2:4" ht="13">
      <c r="B3372" s="12">
        <f ca="1">IFERROR(__xludf.DUMMYFUNCTION("""COMPUTED_VALUE"""),121219)</f>
        <v>121219</v>
      </c>
      <c r="C3372" s="14">
        <f ca="1">IFERROR(__xludf.DUMMYFUNCTION("""COMPUTED_VALUE"""),0)</f>
        <v>0</v>
      </c>
      <c r="D3372" s="12" t="str">
        <f ca="1">IFERROR(__xludf.DUMMYFUNCTION("""COMPUTED_VALUE"""),"小関 麻起")</f>
        <v>小関 麻起</v>
      </c>
    </row>
    <row r="3373" spans="2:4" ht="13">
      <c r="B3373" s="12">
        <f ca="1">IFERROR(__xludf.DUMMYFUNCTION("""COMPUTED_VALUE"""),121222)</f>
        <v>121222</v>
      </c>
      <c r="C3373" s="14">
        <f ca="1">IFERROR(__xludf.DUMMYFUNCTION("""COMPUTED_VALUE"""),67)</f>
        <v>67</v>
      </c>
      <c r="D3373" s="12" t="str">
        <f ca="1">IFERROR(__xludf.DUMMYFUNCTION("""COMPUTED_VALUE"""),"稲場 勇介")</f>
        <v>稲場 勇介</v>
      </c>
    </row>
    <row r="3374" spans="2:4" ht="13">
      <c r="B3374" s="12">
        <f ca="1">IFERROR(__xludf.DUMMYFUNCTION("""COMPUTED_VALUE"""),121239)</f>
        <v>121239</v>
      </c>
      <c r="C3374" s="14">
        <f ca="1">IFERROR(__xludf.DUMMYFUNCTION("""COMPUTED_VALUE"""),36)</f>
        <v>36</v>
      </c>
      <c r="D3374" s="12" t="str">
        <f ca="1">IFERROR(__xludf.DUMMYFUNCTION("""COMPUTED_VALUE"""),"成嶋 夏未")</f>
        <v>成嶋 夏未</v>
      </c>
    </row>
    <row r="3375" spans="2:4" ht="13">
      <c r="B3375" s="12">
        <f ca="1">IFERROR(__xludf.DUMMYFUNCTION("""COMPUTED_VALUE"""),121257)</f>
        <v>121257</v>
      </c>
      <c r="C3375" s="14">
        <f ca="1">IFERROR(__xludf.DUMMYFUNCTION("""COMPUTED_VALUE"""),0)</f>
        <v>0</v>
      </c>
      <c r="D3375" s="12" t="str">
        <f ca="1">IFERROR(__xludf.DUMMYFUNCTION("""COMPUTED_VALUE"""),"稲場 勇介")</f>
        <v>稲場 勇介</v>
      </c>
    </row>
    <row r="3376" spans="2:4" ht="13">
      <c r="B3376" s="12">
        <f ca="1">IFERROR(__xludf.DUMMYFUNCTION("""COMPUTED_VALUE"""),121269)</f>
        <v>121269</v>
      </c>
      <c r="C3376" s="14">
        <f ca="1">IFERROR(__xludf.DUMMYFUNCTION("""COMPUTED_VALUE"""),8)</f>
        <v>8</v>
      </c>
      <c r="D3376" s="12" t="str">
        <f ca="1">IFERROR(__xludf.DUMMYFUNCTION("""COMPUTED_VALUE"""),"菅野 ぎんが")</f>
        <v>菅野 ぎんが</v>
      </c>
    </row>
    <row r="3377" spans="2:4" ht="13">
      <c r="B3377" s="12">
        <f ca="1">IFERROR(__xludf.DUMMYFUNCTION("""COMPUTED_VALUE"""),121278)</f>
        <v>121278</v>
      </c>
      <c r="C3377" s="14">
        <f ca="1">IFERROR(__xludf.DUMMYFUNCTION("""COMPUTED_VALUE"""),0)</f>
        <v>0</v>
      </c>
      <c r="D3377" s="12" t="str">
        <f ca="1">IFERROR(__xludf.DUMMYFUNCTION("""COMPUTED_VALUE"""),"成嶋 夏未")</f>
        <v>成嶋 夏未</v>
      </c>
    </row>
    <row r="3378" spans="2:4" ht="13">
      <c r="B3378" s="12">
        <f ca="1">IFERROR(__xludf.DUMMYFUNCTION("""COMPUTED_VALUE"""),121283)</f>
        <v>121283</v>
      </c>
      <c r="C3378" s="14">
        <f ca="1">IFERROR(__xludf.DUMMYFUNCTION("""COMPUTED_VALUE"""),0)</f>
        <v>0</v>
      </c>
      <c r="D3378" s="12" t="str">
        <f ca="1">IFERROR(__xludf.DUMMYFUNCTION("""COMPUTED_VALUE"""),"荻曽 克輝")</f>
        <v>荻曽 克輝</v>
      </c>
    </row>
    <row r="3379" spans="2:4" ht="13">
      <c r="B3379" s="12">
        <f ca="1">IFERROR(__xludf.DUMMYFUNCTION("""COMPUTED_VALUE"""),121284)</f>
        <v>121284</v>
      </c>
      <c r="C3379" s="14">
        <f ca="1">IFERROR(__xludf.DUMMYFUNCTION("""COMPUTED_VALUE"""),54)</f>
        <v>54</v>
      </c>
      <c r="D3379" s="12" t="str">
        <f ca="1">IFERROR(__xludf.DUMMYFUNCTION("""COMPUTED_VALUE"""),"村上 浩一朗")</f>
        <v>村上 浩一朗</v>
      </c>
    </row>
    <row r="3380" spans="2:4" ht="13">
      <c r="B3380" s="12">
        <f ca="1">IFERROR(__xludf.DUMMYFUNCTION("""COMPUTED_VALUE"""),121292)</f>
        <v>121292</v>
      </c>
      <c r="C3380" s="14">
        <f ca="1">IFERROR(__xludf.DUMMYFUNCTION("""COMPUTED_VALUE"""),13)</f>
        <v>13</v>
      </c>
      <c r="D3380" s="12" t="str">
        <f ca="1">IFERROR(__xludf.DUMMYFUNCTION("""COMPUTED_VALUE"""),"小関 麻起")</f>
        <v>小関 麻起</v>
      </c>
    </row>
    <row r="3381" spans="2:4" ht="13">
      <c r="B3381" s="12">
        <f ca="1">IFERROR(__xludf.DUMMYFUNCTION("""COMPUTED_VALUE"""),121293)</f>
        <v>121293</v>
      </c>
      <c r="C3381" s="14">
        <f ca="1">IFERROR(__xludf.DUMMYFUNCTION("""COMPUTED_VALUE"""),9)</f>
        <v>9</v>
      </c>
      <c r="D3381" s="12" t="str">
        <f ca="1">IFERROR(__xludf.DUMMYFUNCTION("""COMPUTED_VALUE"""),"荻曽 克輝")</f>
        <v>荻曽 克輝</v>
      </c>
    </row>
    <row r="3382" spans="2:4" ht="13">
      <c r="B3382" s="12">
        <f ca="1">IFERROR(__xludf.DUMMYFUNCTION("""COMPUTED_VALUE"""),121304)</f>
        <v>121304</v>
      </c>
      <c r="C3382" s="14">
        <f ca="1">IFERROR(__xludf.DUMMYFUNCTION("""COMPUTED_VALUE"""),2)</f>
        <v>2</v>
      </c>
      <c r="D3382" s="12" t="str">
        <f ca="1">IFERROR(__xludf.DUMMYFUNCTION("""COMPUTED_VALUE"""),"川島 幹也")</f>
        <v>川島 幹也</v>
      </c>
    </row>
    <row r="3383" spans="2:4" ht="13">
      <c r="B3383" s="12">
        <f ca="1">IFERROR(__xludf.DUMMYFUNCTION("""COMPUTED_VALUE"""),121321)</f>
        <v>121321</v>
      </c>
      <c r="C3383" s="14">
        <f ca="1">IFERROR(__xludf.DUMMYFUNCTION("""COMPUTED_VALUE"""),31)</f>
        <v>31</v>
      </c>
      <c r="D3383" s="12" t="str">
        <f ca="1">IFERROR(__xludf.DUMMYFUNCTION("""COMPUTED_VALUE"""),"柿崎 晃司")</f>
        <v>柿崎 晃司</v>
      </c>
    </row>
    <row r="3384" spans="2:4" ht="13">
      <c r="B3384" s="12">
        <f ca="1">IFERROR(__xludf.DUMMYFUNCTION("""COMPUTED_VALUE"""),121335)</f>
        <v>121335</v>
      </c>
      <c r="C3384" s="14">
        <f ca="1">IFERROR(__xludf.DUMMYFUNCTION("""COMPUTED_VALUE"""),0)</f>
        <v>0</v>
      </c>
      <c r="D3384" s="12" t="str">
        <f ca="1">IFERROR(__xludf.DUMMYFUNCTION("""COMPUTED_VALUE"""),"桐山 勝気")</f>
        <v>桐山 勝気</v>
      </c>
    </row>
    <row r="3385" spans="2:4" ht="13">
      <c r="B3385" s="12">
        <f ca="1">IFERROR(__xludf.DUMMYFUNCTION("""COMPUTED_VALUE"""),121351)</f>
        <v>121351</v>
      </c>
      <c r="C3385" s="14">
        <f ca="1">IFERROR(__xludf.DUMMYFUNCTION("""COMPUTED_VALUE"""),2)</f>
        <v>2</v>
      </c>
      <c r="D3385" s="12" t="str">
        <f ca="1">IFERROR(__xludf.DUMMYFUNCTION("""COMPUTED_VALUE"""),"小関 麻起")</f>
        <v>小関 麻起</v>
      </c>
    </row>
    <row r="3386" spans="2:4" ht="13">
      <c r="B3386" s="12">
        <f ca="1">IFERROR(__xludf.DUMMYFUNCTION("""COMPUTED_VALUE"""),121360)</f>
        <v>121360</v>
      </c>
      <c r="C3386" s="14">
        <f ca="1">IFERROR(__xludf.DUMMYFUNCTION("""COMPUTED_VALUE"""),2)</f>
        <v>2</v>
      </c>
      <c r="D3386" s="12" t="str">
        <f ca="1">IFERROR(__xludf.DUMMYFUNCTION("""COMPUTED_VALUE"""),"長谷川 陸朗")</f>
        <v>長谷川 陸朗</v>
      </c>
    </row>
    <row r="3387" spans="2:4" ht="13">
      <c r="B3387" s="12">
        <f ca="1">IFERROR(__xludf.DUMMYFUNCTION("""COMPUTED_VALUE"""),121387)</f>
        <v>121387</v>
      </c>
      <c r="C3387" s="14">
        <f ca="1">IFERROR(__xludf.DUMMYFUNCTION("""COMPUTED_VALUE"""),3)</f>
        <v>3</v>
      </c>
      <c r="D3387" s="12" t="str">
        <f ca="1">IFERROR(__xludf.DUMMYFUNCTION("""COMPUTED_VALUE"""),"菅野 ぎんが")</f>
        <v>菅野 ぎんが</v>
      </c>
    </row>
    <row r="3388" spans="2:4" ht="13">
      <c r="B3388" s="12">
        <f ca="1">IFERROR(__xludf.DUMMYFUNCTION("""COMPUTED_VALUE"""),121437)</f>
        <v>121437</v>
      </c>
      <c r="C3388" s="14">
        <f ca="1">IFERROR(__xludf.DUMMYFUNCTION("""COMPUTED_VALUE"""),10)</f>
        <v>10</v>
      </c>
      <c r="D3388" s="12" t="str">
        <f ca="1">IFERROR(__xludf.DUMMYFUNCTION("""COMPUTED_VALUE"""),"川島 幹也")</f>
        <v>川島 幹也</v>
      </c>
    </row>
    <row r="3389" spans="2:4" ht="13">
      <c r="B3389" s="12">
        <f ca="1">IFERROR(__xludf.DUMMYFUNCTION("""COMPUTED_VALUE"""),121447)</f>
        <v>121447</v>
      </c>
      <c r="C3389" s="14">
        <f ca="1">IFERROR(__xludf.DUMMYFUNCTION("""COMPUTED_VALUE"""),0)</f>
        <v>0</v>
      </c>
      <c r="D3389" s="12" t="str">
        <f ca="1">IFERROR(__xludf.DUMMYFUNCTION("""COMPUTED_VALUE"""),"辻村 将大")</f>
        <v>辻村 将大</v>
      </c>
    </row>
    <row r="3390" spans="2:4" ht="13">
      <c r="B3390" s="12">
        <f ca="1">IFERROR(__xludf.DUMMYFUNCTION("""COMPUTED_VALUE"""),121450)</f>
        <v>121450</v>
      </c>
      <c r="C3390" s="14">
        <f ca="1">IFERROR(__xludf.DUMMYFUNCTION("""COMPUTED_VALUE"""),0)</f>
        <v>0</v>
      </c>
      <c r="D3390" s="12" t="str">
        <f ca="1">IFERROR(__xludf.DUMMYFUNCTION("""COMPUTED_VALUE"""),"長谷川 陸朗")</f>
        <v>長谷川 陸朗</v>
      </c>
    </row>
    <row r="3391" spans="2:4" ht="13">
      <c r="B3391" s="12">
        <f ca="1">IFERROR(__xludf.DUMMYFUNCTION("""COMPUTED_VALUE"""),121458)</f>
        <v>121458</v>
      </c>
      <c r="C3391" s="14">
        <f ca="1">IFERROR(__xludf.DUMMYFUNCTION("""COMPUTED_VALUE"""),2)</f>
        <v>2</v>
      </c>
      <c r="D3391" s="12" t="str">
        <f ca="1">IFERROR(__xludf.DUMMYFUNCTION("""COMPUTED_VALUE"""),"栗原 大武")</f>
        <v>栗原 大武</v>
      </c>
    </row>
    <row r="3392" spans="2:4" ht="13">
      <c r="B3392" s="12">
        <f ca="1">IFERROR(__xludf.DUMMYFUNCTION("""COMPUTED_VALUE"""),121459)</f>
        <v>121459</v>
      </c>
      <c r="C3392" s="14">
        <f ca="1">IFERROR(__xludf.DUMMYFUNCTION("""COMPUTED_VALUE"""),1)</f>
        <v>1</v>
      </c>
      <c r="D3392" s="12" t="str">
        <f ca="1">IFERROR(__xludf.DUMMYFUNCTION("""COMPUTED_VALUE"""),"桑原 明子")</f>
        <v>桑原 明子</v>
      </c>
    </row>
    <row r="3393" spans="2:4" ht="13">
      <c r="B3393" s="12">
        <f ca="1">IFERROR(__xludf.DUMMYFUNCTION("""COMPUTED_VALUE"""),121461)</f>
        <v>121461</v>
      </c>
      <c r="C3393" s="14">
        <f ca="1">IFERROR(__xludf.DUMMYFUNCTION("""COMPUTED_VALUE"""),73)</f>
        <v>73</v>
      </c>
      <c r="D3393" s="12" t="str">
        <f ca="1">IFERROR(__xludf.DUMMYFUNCTION("""COMPUTED_VALUE"""),"長谷川 陸朗")</f>
        <v>長谷川 陸朗</v>
      </c>
    </row>
    <row r="3394" spans="2:4" ht="13">
      <c r="B3394" s="12">
        <f ca="1">IFERROR(__xludf.DUMMYFUNCTION("""COMPUTED_VALUE"""),121462)</f>
        <v>121462</v>
      </c>
      <c r="C3394" s="14">
        <f ca="1">IFERROR(__xludf.DUMMYFUNCTION("""COMPUTED_VALUE"""),1)</f>
        <v>1</v>
      </c>
      <c r="D3394" s="12" t="str">
        <f ca="1">IFERROR(__xludf.DUMMYFUNCTION("""COMPUTED_VALUE"""),"小関 麻起")</f>
        <v>小関 麻起</v>
      </c>
    </row>
    <row r="3395" spans="2:4" ht="13">
      <c r="B3395" s="12">
        <f ca="1">IFERROR(__xludf.DUMMYFUNCTION("""COMPUTED_VALUE"""),121463)</f>
        <v>121463</v>
      </c>
      <c r="C3395" s="14">
        <f ca="1">IFERROR(__xludf.DUMMYFUNCTION("""COMPUTED_VALUE"""),15)</f>
        <v>15</v>
      </c>
      <c r="D3395" s="12" t="str">
        <f ca="1">IFERROR(__xludf.DUMMYFUNCTION("""COMPUTED_VALUE"""),"小関 麻起")</f>
        <v>小関 麻起</v>
      </c>
    </row>
    <row r="3396" spans="2:4" ht="13">
      <c r="B3396" s="12">
        <f ca="1">IFERROR(__xludf.DUMMYFUNCTION("""COMPUTED_VALUE"""),121464)</f>
        <v>121464</v>
      </c>
      <c r="C3396" s="14">
        <f ca="1">IFERROR(__xludf.DUMMYFUNCTION("""COMPUTED_VALUE"""),2)</f>
        <v>2</v>
      </c>
      <c r="D3396" s="12" t="str">
        <f ca="1">IFERROR(__xludf.DUMMYFUNCTION("""COMPUTED_VALUE"""),"小関 麻起")</f>
        <v>小関 麻起</v>
      </c>
    </row>
    <row r="3397" spans="2:4" ht="13">
      <c r="B3397" s="12">
        <f ca="1">IFERROR(__xludf.DUMMYFUNCTION("""COMPUTED_VALUE"""),121479)</f>
        <v>121479</v>
      </c>
      <c r="C3397" s="14">
        <f ca="1">IFERROR(__xludf.DUMMYFUNCTION("""COMPUTED_VALUE"""),4)</f>
        <v>4</v>
      </c>
      <c r="D3397" s="12" t="str">
        <f ca="1">IFERROR(__xludf.DUMMYFUNCTION("""COMPUTED_VALUE"""),"松尾 尚樹")</f>
        <v>松尾 尚樹</v>
      </c>
    </row>
    <row r="3398" spans="2:4" ht="13">
      <c r="B3398" s="12">
        <f ca="1">IFERROR(__xludf.DUMMYFUNCTION("""COMPUTED_VALUE"""),121481)</f>
        <v>121481</v>
      </c>
      <c r="C3398" s="14">
        <f ca="1">IFERROR(__xludf.DUMMYFUNCTION("""COMPUTED_VALUE"""),6)</f>
        <v>6</v>
      </c>
      <c r="D3398" s="12" t="str">
        <f ca="1">IFERROR(__xludf.DUMMYFUNCTION("""COMPUTED_VALUE"""),"菅野 ぎんが")</f>
        <v>菅野 ぎんが</v>
      </c>
    </row>
    <row r="3399" spans="2:4" ht="13">
      <c r="B3399" s="12">
        <f ca="1">IFERROR(__xludf.DUMMYFUNCTION("""COMPUTED_VALUE"""),121483)</f>
        <v>121483</v>
      </c>
      <c r="C3399" s="14">
        <f ca="1">IFERROR(__xludf.DUMMYFUNCTION("""COMPUTED_VALUE"""),1)</f>
        <v>1</v>
      </c>
      <c r="D3399" s="12" t="str">
        <f ca="1">IFERROR(__xludf.DUMMYFUNCTION("""COMPUTED_VALUE"""),"荻曽 克輝")</f>
        <v>荻曽 克輝</v>
      </c>
    </row>
    <row r="3400" spans="2:4" ht="13">
      <c r="B3400" s="12">
        <f ca="1">IFERROR(__xludf.DUMMYFUNCTION("""COMPUTED_VALUE"""),121490)</f>
        <v>121490</v>
      </c>
      <c r="C3400" s="14">
        <f ca="1">IFERROR(__xludf.DUMMYFUNCTION("""COMPUTED_VALUE"""),4)</f>
        <v>4</v>
      </c>
      <c r="D3400" s="12" t="str">
        <f ca="1">IFERROR(__xludf.DUMMYFUNCTION("""COMPUTED_VALUE"""),"菅野 ぎんが")</f>
        <v>菅野 ぎんが</v>
      </c>
    </row>
    <row r="3401" spans="2:4" ht="13">
      <c r="B3401" s="12">
        <f ca="1">IFERROR(__xludf.DUMMYFUNCTION("""COMPUTED_VALUE"""),121492)</f>
        <v>121492</v>
      </c>
      <c r="C3401" s="14">
        <f ca="1">IFERROR(__xludf.DUMMYFUNCTION("""COMPUTED_VALUE"""),0)</f>
        <v>0</v>
      </c>
      <c r="D3401" s="12" t="str">
        <f ca="1">IFERROR(__xludf.DUMMYFUNCTION("""COMPUTED_VALUE"""),"荻曽 克輝")</f>
        <v>荻曽 克輝</v>
      </c>
    </row>
    <row r="3402" spans="2:4" ht="13">
      <c r="B3402" s="12">
        <f ca="1">IFERROR(__xludf.DUMMYFUNCTION("""COMPUTED_VALUE"""),121493)</f>
        <v>121493</v>
      </c>
      <c r="C3402" s="14">
        <f ca="1">IFERROR(__xludf.DUMMYFUNCTION("""COMPUTED_VALUE"""),1)</f>
        <v>1</v>
      </c>
      <c r="D3402" s="12" t="str">
        <f ca="1">IFERROR(__xludf.DUMMYFUNCTION("""COMPUTED_VALUE"""),"稲場 勇介")</f>
        <v>稲場 勇介</v>
      </c>
    </row>
    <row r="3403" spans="2:4" ht="13">
      <c r="B3403" s="12">
        <f ca="1">IFERROR(__xludf.DUMMYFUNCTION("""COMPUTED_VALUE"""),121501)</f>
        <v>121501</v>
      </c>
      <c r="C3403" s="14">
        <f ca="1">IFERROR(__xludf.DUMMYFUNCTION("""COMPUTED_VALUE"""),0)</f>
        <v>0</v>
      </c>
      <c r="D3403" s="12" t="str">
        <f ca="1">IFERROR(__xludf.DUMMYFUNCTION("""COMPUTED_VALUE"""),"小関 麻起")</f>
        <v>小関 麻起</v>
      </c>
    </row>
    <row r="3404" spans="2:4" ht="13">
      <c r="B3404" s="12">
        <f ca="1">IFERROR(__xludf.DUMMYFUNCTION("""COMPUTED_VALUE"""),121520)</f>
        <v>121520</v>
      </c>
      <c r="C3404" s="14">
        <f ca="1">IFERROR(__xludf.DUMMYFUNCTION("""COMPUTED_VALUE"""),3)</f>
        <v>3</v>
      </c>
      <c r="D3404" s="12" t="str">
        <f ca="1">IFERROR(__xludf.DUMMYFUNCTION("""COMPUTED_VALUE"""),"稲場 勇介")</f>
        <v>稲場 勇介</v>
      </c>
    </row>
    <row r="3405" spans="2:4" ht="13">
      <c r="B3405" s="12">
        <f ca="1">IFERROR(__xludf.DUMMYFUNCTION("""COMPUTED_VALUE"""),121528)</f>
        <v>121528</v>
      </c>
      <c r="C3405" s="14">
        <f ca="1">IFERROR(__xludf.DUMMYFUNCTION("""COMPUTED_VALUE"""),0)</f>
        <v>0</v>
      </c>
      <c r="D3405" s="12" t="str">
        <f ca="1">IFERROR(__xludf.DUMMYFUNCTION("""COMPUTED_VALUE"""),"桑原 明子")</f>
        <v>桑原 明子</v>
      </c>
    </row>
    <row r="3406" spans="2:4" ht="13">
      <c r="B3406" s="12">
        <f ca="1">IFERROR(__xludf.DUMMYFUNCTION("""COMPUTED_VALUE"""),121540)</f>
        <v>121540</v>
      </c>
      <c r="C3406" s="14">
        <f ca="1">IFERROR(__xludf.DUMMYFUNCTION("""COMPUTED_VALUE"""),9)</f>
        <v>9</v>
      </c>
      <c r="D3406" s="12" t="str">
        <f ca="1">IFERROR(__xludf.DUMMYFUNCTION("""COMPUTED_VALUE"""),"堀越 駿")</f>
        <v>堀越 駿</v>
      </c>
    </row>
    <row r="3407" spans="2:4" ht="13">
      <c r="B3407" s="12">
        <f ca="1">IFERROR(__xludf.DUMMYFUNCTION("""COMPUTED_VALUE"""),121591)</f>
        <v>121591</v>
      </c>
      <c r="C3407" s="14">
        <f ca="1">IFERROR(__xludf.DUMMYFUNCTION("""COMPUTED_VALUE"""),19)</f>
        <v>19</v>
      </c>
      <c r="D3407" s="12" t="str">
        <f ca="1">IFERROR(__xludf.DUMMYFUNCTION("""COMPUTED_VALUE"""),"菅野 ぎんが")</f>
        <v>菅野 ぎんが</v>
      </c>
    </row>
    <row r="3408" spans="2:4" ht="13">
      <c r="B3408" s="12">
        <f ca="1">IFERROR(__xludf.DUMMYFUNCTION("""COMPUTED_VALUE"""),121593)</f>
        <v>121593</v>
      </c>
      <c r="C3408" s="14">
        <f ca="1">IFERROR(__xludf.DUMMYFUNCTION("""COMPUTED_VALUE"""),12)</f>
        <v>12</v>
      </c>
      <c r="D3408" s="12" t="str">
        <f ca="1">IFERROR(__xludf.DUMMYFUNCTION("""COMPUTED_VALUE"""),"菅野 ぎんが")</f>
        <v>菅野 ぎんが</v>
      </c>
    </row>
    <row r="3409" spans="2:4" ht="13">
      <c r="B3409" s="12">
        <f ca="1">IFERROR(__xludf.DUMMYFUNCTION("""COMPUTED_VALUE"""),121598)</f>
        <v>121598</v>
      </c>
      <c r="C3409" s="14">
        <f ca="1">IFERROR(__xludf.DUMMYFUNCTION("""COMPUTED_VALUE"""),23)</f>
        <v>23</v>
      </c>
      <c r="D3409" s="12" t="str">
        <f ca="1">IFERROR(__xludf.DUMMYFUNCTION("""COMPUTED_VALUE"""),"村上 浩一朗")</f>
        <v>村上 浩一朗</v>
      </c>
    </row>
    <row r="3410" spans="2:4" ht="13">
      <c r="B3410" s="12">
        <f ca="1">IFERROR(__xludf.DUMMYFUNCTION("""COMPUTED_VALUE"""),121601)</f>
        <v>121601</v>
      </c>
      <c r="C3410" s="14">
        <f ca="1">IFERROR(__xludf.DUMMYFUNCTION("""COMPUTED_VALUE"""),0)</f>
        <v>0</v>
      </c>
      <c r="D3410" s="12" t="str">
        <f ca="1">IFERROR(__xludf.DUMMYFUNCTION("""COMPUTED_VALUE"""),"小関 麻起")</f>
        <v>小関 麻起</v>
      </c>
    </row>
    <row r="3411" spans="2:4" ht="13">
      <c r="B3411" s="12">
        <f ca="1">IFERROR(__xludf.DUMMYFUNCTION("""COMPUTED_VALUE"""),121603)</f>
        <v>121603</v>
      </c>
      <c r="C3411" s="14">
        <f ca="1">IFERROR(__xludf.DUMMYFUNCTION("""COMPUTED_VALUE"""),80)</f>
        <v>80</v>
      </c>
      <c r="D3411" s="12" t="str">
        <f ca="1">IFERROR(__xludf.DUMMYFUNCTION("""COMPUTED_VALUE"""),"松尾 尚樹")</f>
        <v>松尾 尚樹</v>
      </c>
    </row>
    <row r="3412" spans="2:4" ht="13">
      <c r="B3412" s="12">
        <f ca="1">IFERROR(__xludf.DUMMYFUNCTION("""COMPUTED_VALUE"""),121617)</f>
        <v>121617</v>
      </c>
      <c r="C3412" s="14">
        <f ca="1">IFERROR(__xludf.DUMMYFUNCTION("""COMPUTED_VALUE"""),1)</f>
        <v>1</v>
      </c>
      <c r="D3412" s="12" t="str">
        <f ca="1">IFERROR(__xludf.DUMMYFUNCTION("""COMPUTED_VALUE"""),"菅野 ぎんが")</f>
        <v>菅野 ぎんが</v>
      </c>
    </row>
    <row r="3413" spans="2:4" ht="13">
      <c r="B3413" s="12">
        <f ca="1">IFERROR(__xludf.DUMMYFUNCTION("""COMPUTED_VALUE"""),121633)</f>
        <v>121633</v>
      </c>
      <c r="C3413" s="14">
        <f ca="1">IFERROR(__xludf.DUMMYFUNCTION("""COMPUTED_VALUE"""),0)</f>
        <v>0</v>
      </c>
      <c r="D3413" s="12" t="str">
        <f ca="1">IFERROR(__xludf.DUMMYFUNCTION("""COMPUTED_VALUE"""),"稲場 勇介")</f>
        <v>稲場 勇介</v>
      </c>
    </row>
    <row r="3414" spans="2:4" ht="13">
      <c r="B3414" s="12">
        <f ca="1">IFERROR(__xludf.DUMMYFUNCTION("""COMPUTED_VALUE"""),121636)</f>
        <v>121636</v>
      </c>
      <c r="C3414" s="14">
        <f ca="1">IFERROR(__xludf.DUMMYFUNCTION("""COMPUTED_VALUE"""),0)</f>
        <v>0</v>
      </c>
      <c r="D3414" s="12" t="str">
        <f ca="1">IFERROR(__xludf.DUMMYFUNCTION("""COMPUTED_VALUE"""),"長谷川 陸朗")</f>
        <v>長谷川 陸朗</v>
      </c>
    </row>
    <row r="3415" spans="2:4" ht="13">
      <c r="B3415" s="12">
        <f ca="1">IFERROR(__xludf.DUMMYFUNCTION("""COMPUTED_VALUE"""),121640)</f>
        <v>121640</v>
      </c>
      <c r="C3415" s="14">
        <f ca="1">IFERROR(__xludf.DUMMYFUNCTION("""COMPUTED_VALUE"""),21)</f>
        <v>21</v>
      </c>
      <c r="D3415" s="12" t="str">
        <f ca="1">IFERROR(__xludf.DUMMYFUNCTION("""COMPUTED_VALUE"""),"小関 麻起")</f>
        <v>小関 麻起</v>
      </c>
    </row>
    <row r="3416" spans="2:4" ht="13">
      <c r="B3416" s="12">
        <f ca="1">IFERROR(__xludf.DUMMYFUNCTION("""COMPUTED_VALUE"""),121643)</f>
        <v>121643</v>
      </c>
      <c r="C3416" s="14">
        <f ca="1">IFERROR(__xludf.DUMMYFUNCTION("""COMPUTED_VALUE"""),4)</f>
        <v>4</v>
      </c>
      <c r="D3416" s="12" t="str">
        <f ca="1">IFERROR(__xludf.DUMMYFUNCTION("""COMPUTED_VALUE"""),"老田 純輝")</f>
        <v>老田 純輝</v>
      </c>
    </row>
    <row r="3417" spans="2:4" ht="13">
      <c r="B3417" s="12">
        <f ca="1">IFERROR(__xludf.DUMMYFUNCTION("""COMPUTED_VALUE"""),121648)</f>
        <v>121648</v>
      </c>
      <c r="C3417" s="14">
        <f ca="1">IFERROR(__xludf.DUMMYFUNCTION("""COMPUTED_VALUE"""),28)</f>
        <v>28</v>
      </c>
      <c r="D3417" s="12" t="str">
        <f ca="1">IFERROR(__xludf.DUMMYFUNCTION("""COMPUTED_VALUE"""),"桐山 勝気")</f>
        <v>桐山 勝気</v>
      </c>
    </row>
    <row r="3418" spans="2:4" ht="13">
      <c r="B3418" s="12">
        <f ca="1">IFERROR(__xludf.DUMMYFUNCTION("""COMPUTED_VALUE"""),121649)</f>
        <v>121649</v>
      </c>
      <c r="C3418" s="14">
        <f ca="1">IFERROR(__xludf.DUMMYFUNCTION("""COMPUTED_VALUE"""),0)</f>
        <v>0</v>
      </c>
      <c r="D3418" s="12" t="str">
        <f ca="1">IFERROR(__xludf.DUMMYFUNCTION("""COMPUTED_VALUE"""),"菅野 ぎんが")</f>
        <v>菅野 ぎんが</v>
      </c>
    </row>
    <row r="3419" spans="2:4" ht="13">
      <c r="B3419" s="12">
        <f ca="1">IFERROR(__xludf.DUMMYFUNCTION("""COMPUTED_VALUE"""),121650)</f>
        <v>121650</v>
      </c>
      <c r="C3419" s="14">
        <f ca="1">IFERROR(__xludf.DUMMYFUNCTION("""COMPUTED_VALUE"""),12)</f>
        <v>12</v>
      </c>
      <c r="D3419" s="12" t="str">
        <f ca="1">IFERROR(__xludf.DUMMYFUNCTION("""COMPUTED_VALUE"""),"小関 麻起")</f>
        <v>小関 麻起</v>
      </c>
    </row>
    <row r="3420" spans="2:4" ht="13">
      <c r="B3420" s="12">
        <f ca="1">IFERROR(__xludf.DUMMYFUNCTION("""COMPUTED_VALUE"""),121669)</f>
        <v>121669</v>
      </c>
      <c r="C3420" s="14">
        <f ca="1">IFERROR(__xludf.DUMMYFUNCTION("""COMPUTED_VALUE"""),0)</f>
        <v>0</v>
      </c>
      <c r="D3420" s="12" t="str">
        <f ca="1">IFERROR(__xludf.DUMMYFUNCTION("""COMPUTED_VALUE"""),"松尾 尚樹")</f>
        <v>松尾 尚樹</v>
      </c>
    </row>
    <row r="3421" spans="2:4" ht="13">
      <c r="B3421" s="12">
        <f ca="1">IFERROR(__xludf.DUMMYFUNCTION("""COMPUTED_VALUE"""),121678)</f>
        <v>121678</v>
      </c>
      <c r="C3421" s="14">
        <f ca="1">IFERROR(__xludf.DUMMYFUNCTION("""COMPUTED_VALUE"""),6)</f>
        <v>6</v>
      </c>
      <c r="D3421" s="12" t="str">
        <f ca="1">IFERROR(__xludf.DUMMYFUNCTION("""COMPUTED_VALUE"""),"村上 浩一朗")</f>
        <v>村上 浩一朗</v>
      </c>
    </row>
    <row r="3422" spans="2:4" ht="13">
      <c r="B3422" s="12">
        <f ca="1">IFERROR(__xludf.DUMMYFUNCTION("""COMPUTED_VALUE"""),121679)</f>
        <v>121679</v>
      </c>
      <c r="C3422" s="14">
        <f ca="1">IFERROR(__xludf.DUMMYFUNCTION("""COMPUTED_VALUE"""),0)</f>
        <v>0</v>
      </c>
      <c r="D3422" s="12" t="str">
        <f ca="1">IFERROR(__xludf.DUMMYFUNCTION("""COMPUTED_VALUE"""),"桑原 明子")</f>
        <v>桑原 明子</v>
      </c>
    </row>
    <row r="3423" spans="2:4" ht="13">
      <c r="B3423" s="12">
        <f ca="1">IFERROR(__xludf.DUMMYFUNCTION("""COMPUTED_VALUE"""),121680)</f>
        <v>121680</v>
      </c>
      <c r="C3423" s="14">
        <f ca="1">IFERROR(__xludf.DUMMYFUNCTION("""COMPUTED_VALUE"""),3)</f>
        <v>3</v>
      </c>
      <c r="D3423" s="12" t="str">
        <f ca="1">IFERROR(__xludf.DUMMYFUNCTION("""COMPUTED_VALUE"""),"老田 純輝")</f>
        <v>老田 純輝</v>
      </c>
    </row>
    <row r="3424" spans="2:4" ht="13">
      <c r="B3424" s="12">
        <f ca="1">IFERROR(__xludf.DUMMYFUNCTION("""COMPUTED_VALUE"""),121686)</f>
        <v>121686</v>
      </c>
      <c r="C3424" s="14">
        <f ca="1">IFERROR(__xludf.DUMMYFUNCTION("""COMPUTED_VALUE"""),2)</f>
        <v>2</v>
      </c>
      <c r="D3424" s="12" t="str">
        <f ca="1">IFERROR(__xludf.DUMMYFUNCTION("""COMPUTED_VALUE"""),"荻曽 克輝")</f>
        <v>荻曽 克輝</v>
      </c>
    </row>
    <row r="3425" spans="2:4" ht="13">
      <c r="B3425" s="12">
        <f ca="1">IFERROR(__xludf.DUMMYFUNCTION("""COMPUTED_VALUE"""),121691)</f>
        <v>121691</v>
      </c>
      <c r="C3425" s="14">
        <f ca="1">IFERROR(__xludf.DUMMYFUNCTION("""COMPUTED_VALUE"""),0)</f>
        <v>0</v>
      </c>
      <c r="D3425" s="12" t="str">
        <f ca="1">IFERROR(__xludf.DUMMYFUNCTION("""COMPUTED_VALUE"""),"小関 麻起")</f>
        <v>小関 麻起</v>
      </c>
    </row>
    <row r="3426" spans="2:4" ht="13">
      <c r="B3426" s="12">
        <f ca="1">IFERROR(__xludf.DUMMYFUNCTION("""COMPUTED_VALUE"""),121692)</f>
        <v>121692</v>
      </c>
      <c r="C3426" s="14">
        <f ca="1">IFERROR(__xludf.DUMMYFUNCTION("""COMPUTED_VALUE"""),6)</f>
        <v>6</v>
      </c>
      <c r="D3426" s="12" t="str">
        <f ca="1">IFERROR(__xludf.DUMMYFUNCTION("""COMPUTED_VALUE"""),"菅野 ぎんが")</f>
        <v>菅野 ぎんが</v>
      </c>
    </row>
    <row r="3427" spans="2:4" ht="13">
      <c r="B3427" s="12">
        <f ca="1">IFERROR(__xludf.DUMMYFUNCTION("""COMPUTED_VALUE"""),121696)</f>
        <v>121696</v>
      </c>
      <c r="C3427" s="14">
        <f ca="1">IFERROR(__xludf.DUMMYFUNCTION("""COMPUTED_VALUE"""),0)</f>
        <v>0</v>
      </c>
      <c r="D3427" s="12" t="str">
        <f ca="1">IFERROR(__xludf.DUMMYFUNCTION("""COMPUTED_VALUE"""),"小川 純")</f>
        <v>小川 純</v>
      </c>
    </row>
    <row r="3428" spans="2:4" ht="13">
      <c r="B3428" s="12">
        <f ca="1">IFERROR(__xludf.DUMMYFUNCTION("""COMPUTED_VALUE"""),121697)</f>
        <v>121697</v>
      </c>
      <c r="C3428" s="14">
        <f ca="1">IFERROR(__xludf.DUMMYFUNCTION("""COMPUTED_VALUE"""),0)</f>
        <v>0</v>
      </c>
      <c r="D3428" s="12" t="str">
        <f ca="1">IFERROR(__xludf.DUMMYFUNCTION("""COMPUTED_VALUE"""),"菅野 ぎんが")</f>
        <v>菅野 ぎんが</v>
      </c>
    </row>
    <row r="3429" spans="2:4" ht="13">
      <c r="B3429" s="12">
        <f ca="1">IFERROR(__xludf.DUMMYFUNCTION("""COMPUTED_VALUE"""),121709)</f>
        <v>121709</v>
      </c>
      <c r="C3429" s="14">
        <f ca="1">IFERROR(__xludf.DUMMYFUNCTION("""COMPUTED_VALUE"""),7)</f>
        <v>7</v>
      </c>
      <c r="D3429" s="12" t="str">
        <f ca="1">IFERROR(__xludf.DUMMYFUNCTION("""COMPUTED_VALUE"""),"老田 純輝")</f>
        <v>老田 純輝</v>
      </c>
    </row>
    <row r="3430" spans="2:4" ht="13">
      <c r="B3430" s="12">
        <f ca="1">IFERROR(__xludf.DUMMYFUNCTION("""COMPUTED_VALUE"""),121721)</f>
        <v>121721</v>
      </c>
      <c r="C3430" s="14">
        <f ca="1">IFERROR(__xludf.DUMMYFUNCTION("""COMPUTED_VALUE"""),0)</f>
        <v>0</v>
      </c>
      <c r="D3430" s="12" t="str">
        <f ca="1">IFERROR(__xludf.DUMMYFUNCTION("""COMPUTED_VALUE"""),"柿崎 晃司")</f>
        <v>柿崎 晃司</v>
      </c>
    </row>
    <row r="3431" spans="2:4" ht="13">
      <c r="B3431" s="12">
        <f ca="1">IFERROR(__xludf.DUMMYFUNCTION("""COMPUTED_VALUE"""),121722)</f>
        <v>121722</v>
      </c>
      <c r="C3431" s="14">
        <f ca="1">IFERROR(__xludf.DUMMYFUNCTION("""COMPUTED_VALUE"""),0)</f>
        <v>0</v>
      </c>
      <c r="D3431" s="12" t="str">
        <f ca="1">IFERROR(__xludf.DUMMYFUNCTION("""COMPUTED_VALUE"""),"柿崎 晃司")</f>
        <v>柿崎 晃司</v>
      </c>
    </row>
    <row r="3432" spans="2:4" ht="13">
      <c r="B3432" s="12">
        <f ca="1">IFERROR(__xludf.DUMMYFUNCTION("""COMPUTED_VALUE"""),121725)</f>
        <v>121725</v>
      </c>
      <c r="C3432" s="14">
        <f ca="1">IFERROR(__xludf.DUMMYFUNCTION("""COMPUTED_VALUE"""),0)</f>
        <v>0</v>
      </c>
      <c r="D3432" s="12" t="str">
        <f ca="1">IFERROR(__xludf.DUMMYFUNCTION("""COMPUTED_VALUE"""),"柿崎 晃司")</f>
        <v>柿崎 晃司</v>
      </c>
    </row>
    <row r="3433" spans="2:4" ht="13">
      <c r="B3433" s="12">
        <f ca="1">IFERROR(__xludf.DUMMYFUNCTION("""COMPUTED_VALUE"""),121750)</f>
        <v>121750</v>
      </c>
      <c r="C3433" s="14">
        <f ca="1">IFERROR(__xludf.DUMMYFUNCTION("""COMPUTED_VALUE"""),0)</f>
        <v>0</v>
      </c>
      <c r="D3433" s="12" t="str">
        <f ca="1">IFERROR(__xludf.DUMMYFUNCTION("""COMPUTED_VALUE"""),"成嶋 夏未")</f>
        <v>成嶋 夏未</v>
      </c>
    </row>
    <row r="3434" spans="2:4" ht="13">
      <c r="B3434" s="12">
        <f ca="1">IFERROR(__xludf.DUMMYFUNCTION("""COMPUTED_VALUE"""),121758)</f>
        <v>121758</v>
      </c>
      <c r="C3434" s="14">
        <f ca="1">IFERROR(__xludf.DUMMYFUNCTION("""COMPUTED_VALUE"""),1)</f>
        <v>1</v>
      </c>
      <c r="D3434" s="12" t="str">
        <f ca="1">IFERROR(__xludf.DUMMYFUNCTION("""COMPUTED_VALUE"""),"長谷川 陸朗")</f>
        <v>長谷川 陸朗</v>
      </c>
    </row>
    <row r="3435" spans="2:4" ht="13">
      <c r="B3435" s="12">
        <f ca="1">IFERROR(__xludf.DUMMYFUNCTION("""COMPUTED_VALUE"""),121774)</f>
        <v>121774</v>
      </c>
      <c r="C3435" s="14">
        <f ca="1">IFERROR(__xludf.DUMMYFUNCTION("""COMPUTED_VALUE"""),0)</f>
        <v>0</v>
      </c>
      <c r="D3435" s="12" t="str">
        <f ca="1">IFERROR(__xludf.DUMMYFUNCTION("""COMPUTED_VALUE"""),"老田 純輝")</f>
        <v>老田 純輝</v>
      </c>
    </row>
    <row r="3436" spans="2:4" ht="13">
      <c r="B3436" s="12">
        <f ca="1">IFERROR(__xludf.DUMMYFUNCTION("""COMPUTED_VALUE"""),121806)</f>
        <v>121806</v>
      </c>
      <c r="C3436" s="14">
        <f ca="1">IFERROR(__xludf.DUMMYFUNCTION("""COMPUTED_VALUE"""),0)</f>
        <v>0</v>
      </c>
      <c r="D3436" s="12" t="str">
        <f ca="1">IFERROR(__xludf.DUMMYFUNCTION("""COMPUTED_VALUE"""),"成嶋 夏未")</f>
        <v>成嶋 夏未</v>
      </c>
    </row>
    <row r="3437" spans="2:4" ht="13">
      <c r="B3437" s="12">
        <f ca="1">IFERROR(__xludf.DUMMYFUNCTION("""COMPUTED_VALUE"""),121811)</f>
        <v>121811</v>
      </c>
      <c r="C3437" s="14">
        <f ca="1">IFERROR(__xludf.DUMMYFUNCTION("""COMPUTED_VALUE"""),2)</f>
        <v>2</v>
      </c>
      <c r="D3437" s="12" t="str">
        <f ca="1">IFERROR(__xludf.DUMMYFUNCTION("""COMPUTED_VALUE"""),"稲場 勇介")</f>
        <v>稲場 勇介</v>
      </c>
    </row>
    <row r="3438" spans="2:4" ht="13">
      <c r="B3438" s="12">
        <f ca="1">IFERROR(__xludf.DUMMYFUNCTION("""COMPUTED_VALUE"""),121814)</f>
        <v>121814</v>
      </c>
      <c r="C3438" s="14">
        <f ca="1">IFERROR(__xludf.DUMMYFUNCTION("""COMPUTED_VALUE"""),0)</f>
        <v>0</v>
      </c>
      <c r="D3438" s="12" t="str">
        <f ca="1">IFERROR(__xludf.DUMMYFUNCTION("""COMPUTED_VALUE"""),"長谷川 陸朗")</f>
        <v>長谷川 陸朗</v>
      </c>
    </row>
    <row r="3439" spans="2:4" ht="13">
      <c r="B3439" s="12">
        <f ca="1">IFERROR(__xludf.DUMMYFUNCTION("""COMPUTED_VALUE"""),121838)</f>
        <v>121838</v>
      </c>
      <c r="C3439" s="14">
        <f ca="1">IFERROR(__xludf.DUMMYFUNCTION("""COMPUTED_VALUE"""),0)</f>
        <v>0</v>
      </c>
      <c r="D3439" s="12" t="str">
        <f ca="1">IFERROR(__xludf.DUMMYFUNCTION("""COMPUTED_VALUE"""),"小関 麻起")</f>
        <v>小関 麻起</v>
      </c>
    </row>
    <row r="3440" spans="2:4" ht="13">
      <c r="B3440" s="12">
        <f ca="1">IFERROR(__xludf.DUMMYFUNCTION("""COMPUTED_VALUE"""),121842)</f>
        <v>121842</v>
      </c>
      <c r="C3440" s="14">
        <f ca="1">IFERROR(__xludf.DUMMYFUNCTION("""COMPUTED_VALUE"""),7)</f>
        <v>7</v>
      </c>
      <c r="D3440" s="12" t="str">
        <f ca="1">IFERROR(__xludf.DUMMYFUNCTION("""COMPUTED_VALUE"""),"老田 純輝")</f>
        <v>老田 純輝</v>
      </c>
    </row>
    <row r="3441" spans="2:4" ht="13">
      <c r="B3441" s="12">
        <f ca="1">IFERROR(__xludf.DUMMYFUNCTION("""COMPUTED_VALUE"""),121845)</f>
        <v>121845</v>
      </c>
      <c r="C3441" s="14">
        <f ca="1">IFERROR(__xludf.DUMMYFUNCTION("""COMPUTED_VALUE"""),21)</f>
        <v>21</v>
      </c>
      <c r="D3441" s="12" t="str">
        <f ca="1">IFERROR(__xludf.DUMMYFUNCTION("""COMPUTED_VALUE"""),"桑原 明子")</f>
        <v>桑原 明子</v>
      </c>
    </row>
    <row r="3442" spans="2:4" ht="13">
      <c r="B3442" s="12">
        <f ca="1">IFERROR(__xludf.DUMMYFUNCTION("""COMPUTED_VALUE"""),121850)</f>
        <v>121850</v>
      </c>
      <c r="C3442" s="14">
        <f ca="1">IFERROR(__xludf.DUMMYFUNCTION("""COMPUTED_VALUE"""),14)</f>
        <v>14</v>
      </c>
      <c r="D3442" s="12" t="str">
        <f ca="1">IFERROR(__xludf.DUMMYFUNCTION("""COMPUTED_VALUE"""),"老田 純輝")</f>
        <v>老田 純輝</v>
      </c>
    </row>
    <row r="3443" spans="2:4" ht="13">
      <c r="B3443" s="12">
        <f ca="1">IFERROR(__xludf.DUMMYFUNCTION("""COMPUTED_VALUE"""),121854)</f>
        <v>121854</v>
      </c>
      <c r="C3443" s="14">
        <f ca="1">IFERROR(__xludf.DUMMYFUNCTION("""COMPUTED_VALUE"""),0)</f>
        <v>0</v>
      </c>
      <c r="D3443" s="12" t="str">
        <f ca="1">IFERROR(__xludf.DUMMYFUNCTION("""COMPUTED_VALUE"""),"森 光智")</f>
        <v>森 光智</v>
      </c>
    </row>
    <row r="3444" spans="2:4" ht="13">
      <c r="B3444" s="12">
        <f ca="1">IFERROR(__xludf.DUMMYFUNCTION("""COMPUTED_VALUE"""),121864)</f>
        <v>121864</v>
      </c>
      <c r="C3444" s="14">
        <f ca="1">IFERROR(__xludf.DUMMYFUNCTION("""COMPUTED_VALUE"""),0)</f>
        <v>0</v>
      </c>
      <c r="D3444" s="12" t="str">
        <f ca="1">IFERROR(__xludf.DUMMYFUNCTION("""COMPUTED_VALUE"""),"菅野 ぎんが")</f>
        <v>菅野 ぎんが</v>
      </c>
    </row>
    <row r="3445" spans="2:4" ht="13">
      <c r="B3445" s="12">
        <f ca="1">IFERROR(__xludf.DUMMYFUNCTION("""COMPUTED_VALUE"""),121884)</f>
        <v>121884</v>
      </c>
      <c r="C3445" s="14">
        <f ca="1">IFERROR(__xludf.DUMMYFUNCTION("""COMPUTED_VALUE"""),0)</f>
        <v>0</v>
      </c>
      <c r="D3445" s="12" t="str">
        <f ca="1">IFERROR(__xludf.DUMMYFUNCTION("""COMPUTED_VALUE"""),"老田 純輝")</f>
        <v>老田 純輝</v>
      </c>
    </row>
    <row r="3446" spans="2:4" ht="13">
      <c r="B3446" s="12">
        <f ca="1">IFERROR(__xludf.DUMMYFUNCTION("""COMPUTED_VALUE"""),121886)</f>
        <v>121886</v>
      </c>
      <c r="C3446" s="14">
        <f ca="1">IFERROR(__xludf.DUMMYFUNCTION("""COMPUTED_VALUE"""),6)</f>
        <v>6</v>
      </c>
      <c r="D3446" s="12" t="str">
        <f ca="1">IFERROR(__xludf.DUMMYFUNCTION("""COMPUTED_VALUE"""),"小関 麻起")</f>
        <v>小関 麻起</v>
      </c>
    </row>
    <row r="3447" spans="2:4" ht="13">
      <c r="B3447" s="12">
        <f ca="1">IFERROR(__xludf.DUMMYFUNCTION("""COMPUTED_VALUE"""),121899)</f>
        <v>121899</v>
      </c>
      <c r="C3447" s="14">
        <f ca="1">IFERROR(__xludf.DUMMYFUNCTION("""COMPUTED_VALUE"""),18)</f>
        <v>18</v>
      </c>
      <c r="D3447" s="12" t="str">
        <f ca="1">IFERROR(__xludf.DUMMYFUNCTION("""COMPUTED_VALUE"""),"辻村 将大")</f>
        <v>辻村 将大</v>
      </c>
    </row>
    <row r="3448" spans="2:4" ht="13">
      <c r="B3448" s="12">
        <f ca="1">IFERROR(__xludf.DUMMYFUNCTION("""COMPUTED_VALUE"""),121911)</f>
        <v>121911</v>
      </c>
      <c r="C3448" s="14">
        <f ca="1">IFERROR(__xludf.DUMMYFUNCTION("""COMPUTED_VALUE"""),3)</f>
        <v>3</v>
      </c>
      <c r="D3448" s="12" t="str">
        <f ca="1">IFERROR(__xludf.DUMMYFUNCTION("""COMPUTED_VALUE"""),"成嶋 夏未")</f>
        <v>成嶋 夏未</v>
      </c>
    </row>
    <row r="3449" spans="2:4" ht="13">
      <c r="B3449" s="12">
        <f ca="1">IFERROR(__xludf.DUMMYFUNCTION("""COMPUTED_VALUE"""),121913)</f>
        <v>121913</v>
      </c>
      <c r="C3449" s="14">
        <f ca="1">IFERROR(__xludf.DUMMYFUNCTION("""COMPUTED_VALUE"""),0)</f>
        <v>0</v>
      </c>
      <c r="D3449" s="12" t="str">
        <f ca="1">IFERROR(__xludf.DUMMYFUNCTION("""COMPUTED_VALUE"""),"稲場 勇介")</f>
        <v>稲場 勇介</v>
      </c>
    </row>
    <row r="3450" spans="2:4" ht="13">
      <c r="B3450" s="12">
        <f ca="1">IFERROR(__xludf.DUMMYFUNCTION("""COMPUTED_VALUE"""),121922)</f>
        <v>121922</v>
      </c>
      <c r="C3450" s="14">
        <f ca="1">IFERROR(__xludf.DUMMYFUNCTION("""COMPUTED_VALUE"""),0)</f>
        <v>0</v>
      </c>
      <c r="D3450" s="12" t="str">
        <f ca="1">IFERROR(__xludf.DUMMYFUNCTION("""COMPUTED_VALUE"""),"桐山 勝気")</f>
        <v>桐山 勝気</v>
      </c>
    </row>
    <row r="3451" spans="2:4" ht="13">
      <c r="B3451" s="12">
        <f ca="1">IFERROR(__xludf.DUMMYFUNCTION("""COMPUTED_VALUE"""),121944)</f>
        <v>121944</v>
      </c>
      <c r="C3451" s="14">
        <f ca="1">IFERROR(__xludf.DUMMYFUNCTION("""COMPUTED_VALUE"""),0)</f>
        <v>0</v>
      </c>
      <c r="D3451" s="12" t="str">
        <f ca="1">IFERROR(__xludf.DUMMYFUNCTION("""COMPUTED_VALUE"""),"辻村 将大")</f>
        <v>辻村 将大</v>
      </c>
    </row>
    <row r="3452" spans="2:4" ht="13">
      <c r="B3452" s="12">
        <f ca="1">IFERROR(__xludf.DUMMYFUNCTION("""COMPUTED_VALUE"""),121946)</f>
        <v>121946</v>
      </c>
      <c r="C3452" s="14">
        <f ca="1">IFERROR(__xludf.DUMMYFUNCTION("""COMPUTED_VALUE"""),76)</f>
        <v>76</v>
      </c>
      <c r="D3452" s="12" t="str">
        <f ca="1">IFERROR(__xludf.DUMMYFUNCTION("""COMPUTED_VALUE"""),"成嶋 夏未")</f>
        <v>成嶋 夏未</v>
      </c>
    </row>
    <row r="3453" spans="2:4" ht="13">
      <c r="B3453" s="12">
        <f ca="1">IFERROR(__xludf.DUMMYFUNCTION("""COMPUTED_VALUE"""),121947)</f>
        <v>121947</v>
      </c>
      <c r="C3453" s="14">
        <f ca="1">IFERROR(__xludf.DUMMYFUNCTION("""COMPUTED_VALUE"""),0)</f>
        <v>0</v>
      </c>
      <c r="D3453" s="12" t="str">
        <f ca="1">IFERROR(__xludf.DUMMYFUNCTION("""COMPUTED_VALUE"""),"小川 純")</f>
        <v>小川 純</v>
      </c>
    </row>
    <row r="3454" spans="2:4" ht="13">
      <c r="B3454" s="12">
        <f ca="1">IFERROR(__xludf.DUMMYFUNCTION("""COMPUTED_VALUE"""),121961)</f>
        <v>121961</v>
      </c>
      <c r="C3454" s="14">
        <f ca="1">IFERROR(__xludf.DUMMYFUNCTION("""COMPUTED_VALUE"""),0)</f>
        <v>0</v>
      </c>
      <c r="D3454" s="12" t="str">
        <f ca="1">IFERROR(__xludf.DUMMYFUNCTION("""COMPUTED_VALUE"""),"小関 麻起")</f>
        <v>小関 麻起</v>
      </c>
    </row>
    <row r="3455" spans="2:4" ht="13">
      <c r="B3455" s="12">
        <f ca="1">IFERROR(__xludf.DUMMYFUNCTION("""COMPUTED_VALUE"""),121966)</f>
        <v>121966</v>
      </c>
      <c r="C3455" s="14">
        <f ca="1">IFERROR(__xludf.DUMMYFUNCTION("""COMPUTED_VALUE"""),4)</f>
        <v>4</v>
      </c>
      <c r="D3455" s="12" t="str">
        <f ca="1">IFERROR(__xludf.DUMMYFUNCTION("""COMPUTED_VALUE"""),"稲場 勇介")</f>
        <v>稲場 勇介</v>
      </c>
    </row>
    <row r="3456" spans="2:4" ht="13">
      <c r="B3456" s="12">
        <f ca="1">IFERROR(__xludf.DUMMYFUNCTION("""COMPUTED_VALUE"""),121970)</f>
        <v>121970</v>
      </c>
      <c r="C3456" s="14">
        <f ca="1">IFERROR(__xludf.DUMMYFUNCTION("""COMPUTED_VALUE"""),0)</f>
        <v>0</v>
      </c>
      <c r="D3456" s="12" t="str">
        <f ca="1">IFERROR(__xludf.DUMMYFUNCTION("""COMPUTED_VALUE"""),"辻村 将大")</f>
        <v>辻村 将大</v>
      </c>
    </row>
    <row r="3457" spans="2:4" ht="13">
      <c r="B3457" s="12">
        <f ca="1">IFERROR(__xludf.DUMMYFUNCTION("""COMPUTED_VALUE"""),122088)</f>
        <v>122088</v>
      </c>
      <c r="C3457" s="14">
        <f ca="1">IFERROR(__xludf.DUMMYFUNCTION("""COMPUTED_VALUE"""),0)</f>
        <v>0</v>
      </c>
      <c r="D3457" s="12" t="str">
        <f ca="1">IFERROR(__xludf.DUMMYFUNCTION("""COMPUTED_VALUE"""),"老田 純輝")</f>
        <v>老田 純輝</v>
      </c>
    </row>
    <row r="3458" spans="2:4" ht="13">
      <c r="B3458" s="12">
        <f ca="1">IFERROR(__xludf.DUMMYFUNCTION("""COMPUTED_VALUE"""),122104)</f>
        <v>122104</v>
      </c>
      <c r="C3458" s="14">
        <f ca="1">IFERROR(__xludf.DUMMYFUNCTION("""COMPUTED_VALUE"""),16)</f>
        <v>16</v>
      </c>
      <c r="D3458" s="12" t="str">
        <f ca="1">IFERROR(__xludf.DUMMYFUNCTION("""COMPUTED_VALUE"""),"荻曽 克輝")</f>
        <v>荻曽 克輝</v>
      </c>
    </row>
    <row r="3459" spans="2:4" ht="13">
      <c r="B3459" s="12">
        <f ca="1">IFERROR(__xludf.DUMMYFUNCTION("""COMPUTED_VALUE"""),122111)</f>
        <v>122111</v>
      </c>
      <c r="C3459" s="14">
        <f ca="1">IFERROR(__xludf.DUMMYFUNCTION("""COMPUTED_VALUE"""),0)</f>
        <v>0</v>
      </c>
      <c r="D3459" s="12" t="str">
        <f ca="1">IFERROR(__xludf.DUMMYFUNCTION("""COMPUTED_VALUE"""),"菅野 ぎんが")</f>
        <v>菅野 ぎんが</v>
      </c>
    </row>
    <row r="3460" spans="2:4" ht="13">
      <c r="B3460" s="12">
        <f ca="1">IFERROR(__xludf.DUMMYFUNCTION("""COMPUTED_VALUE"""),122114)</f>
        <v>122114</v>
      </c>
      <c r="C3460" s="14">
        <f ca="1">IFERROR(__xludf.DUMMYFUNCTION("""COMPUTED_VALUE"""),0)</f>
        <v>0</v>
      </c>
      <c r="D3460" s="12" t="str">
        <f ca="1">IFERROR(__xludf.DUMMYFUNCTION("""COMPUTED_VALUE"""),"荻曽 克輝")</f>
        <v>荻曽 克輝</v>
      </c>
    </row>
    <row r="3461" spans="2:4" ht="13">
      <c r="B3461" s="12">
        <f ca="1">IFERROR(__xludf.DUMMYFUNCTION("""COMPUTED_VALUE"""),122121)</f>
        <v>122121</v>
      </c>
      <c r="C3461" s="14">
        <f ca="1">IFERROR(__xludf.DUMMYFUNCTION("""COMPUTED_VALUE"""),2)</f>
        <v>2</v>
      </c>
      <c r="D3461" s="12" t="str">
        <f ca="1">IFERROR(__xludf.DUMMYFUNCTION("""COMPUTED_VALUE"""),"稲場 勇介")</f>
        <v>稲場 勇介</v>
      </c>
    </row>
    <row r="3462" spans="2:4" ht="13">
      <c r="B3462" s="12">
        <f ca="1">IFERROR(__xludf.DUMMYFUNCTION("""COMPUTED_VALUE"""),122126)</f>
        <v>122126</v>
      </c>
      <c r="C3462" s="14">
        <f ca="1">IFERROR(__xludf.DUMMYFUNCTION("""COMPUTED_VALUE"""),27)</f>
        <v>27</v>
      </c>
      <c r="D3462" s="12" t="str">
        <f ca="1">IFERROR(__xludf.DUMMYFUNCTION("""COMPUTED_VALUE"""),"桐山 勝気")</f>
        <v>桐山 勝気</v>
      </c>
    </row>
    <row r="3463" spans="2:4" ht="13">
      <c r="B3463" s="12">
        <f ca="1">IFERROR(__xludf.DUMMYFUNCTION("""COMPUTED_VALUE"""),122133)</f>
        <v>122133</v>
      </c>
      <c r="C3463" s="14">
        <f ca="1">IFERROR(__xludf.DUMMYFUNCTION("""COMPUTED_VALUE"""),0)</f>
        <v>0</v>
      </c>
      <c r="D3463" s="12" t="str">
        <f ca="1">IFERROR(__xludf.DUMMYFUNCTION("""COMPUTED_VALUE"""),"内丸 裕子")</f>
        <v>内丸 裕子</v>
      </c>
    </row>
    <row r="3464" spans="2:4" ht="13">
      <c r="B3464" s="12">
        <f ca="1">IFERROR(__xludf.DUMMYFUNCTION("""COMPUTED_VALUE"""),122160)</f>
        <v>122160</v>
      </c>
      <c r="C3464" s="14">
        <f ca="1">IFERROR(__xludf.DUMMYFUNCTION("""COMPUTED_VALUE"""),31)</f>
        <v>31</v>
      </c>
      <c r="D3464" s="12" t="str">
        <f ca="1">IFERROR(__xludf.DUMMYFUNCTION("""COMPUTED_VALUE"""),"稲場 勇介")</f>
        <v>稲場 勇介</v>
      </c>
    </row>
    <row r="3465" spans="2:4" ht="13">
      <c r="B3465" s="12">
        <f ca="1">IFERROR(__xludf.DUMMYFUNCTION("""COMPUTED_VALUE"""),122164)</f>
        <v>122164</v>
      </c>
      <c r="C3465" s="14">
        <f ca="1">IFERROR(__xludf.DUMMYFUNCTION("""COMPUTED_VALUE"""),8)</f>
        <v>8</v>
      </c>
      <c r="D3465" s="12" t="str">
        <f ca="1">IFERROR(__xludf.DUMMYFUNCTION("""COMPUTED_VALUE"""),"村上 浩一朗")</f>
        <v>村上 浩一朗</v>
      </c>
    </row>
    <row r="3466" spans="2:4" ht="13">
      <c r="B3466" s="12">
        <f ca="1">IFERROR(__xludf.DUMMYFUNCTION("""COMPUTED_VALUE"""),122166)</f>
        <v>122166</v>
      </c>
      <c r="C3466" s="14">
        <f ca="1">IFERROR(__xludf.DUMMYFUNCTION("""COMPUTED_VALUE"""),0)</f>
        <v>0</v>
      </c>
      <c r="D3466" s="12" t="str">
        <f ca="1">IFERROR(__xludf.DUMMYFUNCTION("""COMPUTED_VALUE"""),"桐山 勝気")</f>
        <v>桐山 勝気</v>
      </c>
    </row>
    <row r="3467" spans="2:4" ht="13">
      <c r="B3467" s="12">
        <f ca="1">IFERROR(__xludf.DUMMYFUNCTION("""COMPUTED_VALUE"""),122167)</f>
        <v>122167</v>
      </c>
      <c r="C3467" s="14">
        <f ca="1">IFERROR(__xludf.DUMMYFUNCTION("""COMPUTED_VALUE"""),0)</f>
        <v>0</v>
      </c>
      <c r="D3467" s="12" t="str">
        <f ca="1">IFERROR(__xludf.DUMMYFUNCTION("""COMPUTED_VALUE"""),"栗原 大武")</f>
        <v>栗原 大武</v>
      </c>
    </row>
    <row r="3468" spans="2:4" ht="13">
      <c r="B3468" s="12">
        <f ca="1">IFERROR(__xludf.DUMMYFUNCTION("""COMPUTED_VALUE"""),122172)</f>
        <v>122172</v>
      </c>
      <c r="C3468" s="14">
        <f ca="1">IFERROR(__xludf.DUMMYFUNCTION("""COMPUTED_VALUE"""),6)</f>
        <v>6</v>
      </c>
      <c r="D3468" s="12" t="str">
        <f ca="1">IFERROR(__xludf.DUMMYFUNCTION("""COMPUTED_VALUE"""),"小関 麻起")</f>
        <v>小関 麻起</v>
      </c>
    </row>
    <row r="3469" spans="2:4" ht="13">
      <c r="B3469" s="12">
        <f ca="1">IFERROR(__xludf.DUMMYFUNCTION("""COMPUTED_VALUE"""),122181)</f>
        <v>122181</v>
      </c>
      <c r="C3469" s="14">
        <f ca="1">IFERROR(__xludf.DUMMYFUNCTION("""COMPUTED_VALUE"""),3)</f>
        <v>3</v>
      </c>
      <c r="D3469" s="12" t="str">
        <f ca="1">IFERROR(__xludf.DUMMYFUNCTION("""COMPUTED_VALUE"""),"芳賀 亮輔")</f>
        <v>芳賀 亮輔</v>
      </c>
    </row>
    <row r="3470" spans="2:4" ht="13">
      <c r="B3470" s="12">
        <f ca="1">IFERROR(__xludf.DUMMYFUNCTION("""COMPUTED_VALUE"""),122188)</f>
        <v>122188</v>
      </c>
      <c r="C3470" s="14">
        <f ca="1">IFERROR(__xludf.DUMMYFUNCTION("""COMPUTED_VALUE"""),29)</f>
        <v>29</v>
      </c>
      <c r="D3470" s="12" t="str">
        <f ca="1">IFERROR(__xludf.DUMMYFUNCTION("""COMPUTED_VALUE"""),"菅野 ぎんが")</f>
        <v>菅野 ぎんが</v>
      </c>
    </row>
    <row r="3471" spans="2:4" ht="13">
      <c r="B3471" s="12">
        <f ca="1">IFERROR(__xludf.DUMMYFUNCTION("""COMPUTED_VALUE"""),122216)</f>
        <v>122216</v>
      </c>
      <c r="C3471" s="14">
        <f ca="1">IFERROR(__xludf.DUMMYFUNCTION("""COMPUTED_VALUE"""),2)</f>
        <v>2</v>
      </c>
      <c r="D3471" s="12" t="str">
        <f ca="1">IFERROR(__xludf.DUMMYFUNCTION("""COMPUTED_VALUE"""),"小関 麻起")</f>
        <v>小関 麻起</v>
      </c>
    </row>
    <row r="3472" spans="2:4" ht="13">
      <c r="B3472" s="12">
        <f ca="1">IFERROR(__xludf.DUMMYFUNCTION("""COMPUTED_VALUE"""),122226)</f>
        <v>122226</v>
      </c>
      <c r="C3472" s="14">
        <f ca="1">IFERROR(__xludf.DUMMYFUNCTION("""COMPUTED_VALUE"""),19)</f>
        <v>19</v>
      </c>
      <c r="D3472" s="12" t="str">
        <f ca="1">IFERROR(__xludf.DUMMYFUNCTION("""COMPUTED_VALUE"""),"稲場 勇介")</f>
        <v>稲場 勇介</v>
      </c>
    </row>
    <row r="3473" spans="2:4" ht="13">
      <c r="B3473" s="12">
        <f ca="1">IFERROR(__xludf.DUMMYFUNCTION("""COMPUTED_VALUE"""),122230)</f>
        <v>122230</v>
      </c>
      <c r="C3473" s="14">
        <f ca="1">IFERROR(__xludf.DUMMYFUNCTION("""COMPUTED_VALUE"""),0)</f>
        <v>0</v>
      </c>
      <c r="D3473" s="12" t="str">
        <f ca="1">IFERROR(__xludf.DUMMYFUNCTION("""COMPUTED_VALUE"""),"稲場 勇介")</f>
        <v>稲場 勇介</v>
      </c>
    </row>
    <row r="3474" spans="2:4" ht="13">
      <c r="B3474" s="12">
        <f ca="1">IFERROR(__xludf.DUMMYFUNCTION("""COMPUTED_VALUE"""),122234)</f>
        <v>122234</v>
      </c>
      <c r="C3474" s="14">
        <f ca="1">IFERROR(__xludf.DUMMYFUNCTION("""COMPUTED_VALUE"""),15)</f>
        <v>15</v>
      </c>
      <c r="D3474" s="12" t="str">
        <f ca="1">IFERROR(__xludf.DUMMYFUNCTION("""COMPUTED_VALUE"""),"小川 純")</f>
        <v>小川 純</v>
      </c>
    </row>
    <row r="3475" spans="2:4" ht="13">
      <c r="B3475" s="12">
        <f ca="1">IFERROR(__xludf.DUMMYFUNCTION("""COMPUTED_VALUE"""),122238)</f>
        <v>122238</v>
      </c>
      <c r="C3475" s="14">
        <f ca="1">IFERROR(__xludf.DUMMYFUNCTION("""COMPUTED_VALUE"""),4)</f>
        <v>4</v>
      </c>
      <c r="D3475" s="12" t="str">
        <f ca="1">IFERROR(__xludf.DUMMYFUNCTION("""COMPUTED_VALUE"""),"村上 浩一朗")</f>
        <v>村上 浩一朗</v>
      </c>
    </row>
    <row r="3476" spans="2:4" ht="13">
      <c r="B3476" s="12">
        <f ca="1">IFERROR(__xludf.DUMMYFUNCTION("""COMPUTED_VALUE"""),122242)</f>
        <v>122242</v>
      </c>
      <c r="C3476" s="14">
        <f ca="1">IFERROR(__xludf.DUMMYFUNCTION("""COMPUTED_VALUE"""),2)</f>
        <v>2</v>
      </c>
      <c r="D3476" s="12" t="str">
        <f ca="1">IFERROR(__xludf.DUMMYFUNCTION("""COMPUTED_VALUE"""),"栗原 大武")</f>
        <v>栗原 大武</v>
      </c>
    </row>
    <row r="3477" spans="2:4" ht="13">
      <c r="B3477" s="12">
        <f ca="1">IFERROR(__xludf.DUMMYFUNCTION("""COMPUTED_VALUE"""),122246)</f>
        <v>122246</v>
      </c>
      <c r="C3477" s="14">
        <f ca="1">IFERROR(__xludf.DUMMYFUNCTION("""COMPUTED_VALUE"""),103)</f>
        <v>103</v>
      </c>
      <c r="D3477" s="12" t="str">
        <f ca="1">IFERROR(__xludf.DUMMYFUNCTION("""COMPUTED_VALUE"""),"栗原 大武")</f>
        <v>栗原 大武</v>
      </c>
    </row>
    <row r="3478" spans="2:4" ht="13">
      <c r="B3478" s="12">
        <f ca="1">IFERROR(__xludf.DUMMYFUNCTION("""COMPUTED_VALUE"""),122248)</f>
        <v>122248</v>
      </c>
      <c r="C3478" s="14">
        <f ca="1">IFERROR(__xludf.DUMMYFUNCTION("""COMPUTED_VALUE"""),22)</f>
        <v>22</v>
      </c>
      <c r="D3478" s="12" t="str">
        <f ca="1">IFERROR(__xludf.DUMMYFUNCTION("""COMPUTED_VALUE"""),"芳賀 亮輔")</f>
        <v>芳賀 亮輔</v>
      </c>
    </row>
    <row r="3479" spans="2:4" ht="13">
      <c r="B3479" s="12">
        <f ca="1">IFERROR(__xludf.DUMMYFUNCTION("""COMPUTED_VALUE"""),122250)</f>
        <v>122250</v>
      </c>
      <c r="C3479" s="14">
        <f ca="1">IFERROR(__xludf.DUMMYFUNCTION("""COMPUTED_VALUE"""),1)</f>
        <v>1</v>
      </c>
      <c r="D3479" s="12" t="str">
        <f ca="1">IFERROR(__xludf.DUMMYFUNCTION("""COMPUTED_VALUE"""),"老田 純輝")</f>
        <v>老田 純輝</v>
      </c>
    </row>
    <row r="3480" spans="2:4" ht="13">
      <c r="B3480" s="12">
        <f ca="1">IFERROR(__xludf.DUMMYFUNCTION("""COMPUTED_VALUE"""),122251)</f>
        <v>122251</v>
      </c>
      <c r="C3480" s="14">
        <f ca="1">IFERROR(__xludf.DUMMYFUNCTION("""COMPUTED_VALUE"""),6)</f>
        <v>6</v>
      </c>
      <c r="D3480" s="12" t="str">
        <f ca="1">IFERROR(__xludf.DUMMYFUNCTION("""COMPUTED_VALUE"""),"老田 純輝")</f>
        <v>老田 純輝</v>
      </c>
    </row>
    <row r="3481" spans="2:4" ht="13">
      <c r="B3481" s="12">
        <f ca="1">IFERROR(__xludf.DUMMYFUNCTION("""COMPUTED_VALUE"""),122258)</f>
        <v>122258</v>
      </c>
      <c r="C3481" s="14">
        <f ca="1">IFERROR(__xludf.DUMMYFUNCTION("""COMPUTED_VALUE"""),5)</f>
        <v>5</v>
      </c>
      <c r="D3481" s="12" t="str">
        <f ca="1">IFERROR(__xludf.DUMMYFUNCTION("""COMPUTED_VALUE"""),"栗原 大武")</f>
        <v>栗原 大武</v>
      </c>
    </row>
    <row r="3482" spans="2:4" ht="13">
      <c r="B3482" s="12">
        <f ca="1">IFERROR(__xludf.DUMMYFUNCTION("""COMPUTED_VALUE"""),122259)</f>
        <v>122259</v>
      </c>
      <c r="C3482" s="14">
        <f ca="1">IFERROR(__xludf.DUMMYFUNCTION("""COMPUTED_VALUE"""),2)</f>
        <v>2</v>
      </c>
      <c r="D3482" s="12" t="str">
        <f ca="1">IFERROR(__xludf.DUMMYFUNCTION("""COMPUTED_VALUE"""),"芳賀 亮輔")</f>
        <v>芳賀 亮輔</v>
      </c>
    </row>
    <row r="3483" spans="2:4" ht="13">
      <c r="B3483" s="12">
        <f ca="1">IFERROR(__xludf.DUMMYFUNCTION("""COMPUTED_VALUE"""),122260)</f>
        <v>122260</v>
      </c>
      <c r="C3483" s="14">
        <f ca="1">IFERROR(__xludf.DUMMYFUNCTION("""COMPUTED_VALUE"""),6)</f>
        <v>6</v>
      </c>
      <c r="D3483" s="12" t="str">
        <f ca="1">IFERROR(__xludf.DUMMYFUNCTION("""COMPUTED_VALUE"""),"芳賀 亮輔")</f>
        <v>芳賀 亮輔</v>
      </c>
    </row>
    <row r="3484" spans="2:4" ht="13">
      <c r="B3484" s="12">
        <f ca="1">IFERROR(__xludf.DUMMYFUNCTION("""COMPUTED_VALUE"""),122261)</f>
        <v>122261</v>
      </c>
      <c r="C3484" s="14">
        <f ca="1">IFERROR(__xludf.DUMMYFUNCTION("""COMPUTED_VALUE"""),6)</f>
        <v>6</v>
      </c>
      <c r="D3484" s="12" t="str">
        <f ca="1">IFERROR(__xludf.DUMMYFUNCTION("""COMPUTED_VALUE"""),"芳賀 亮輔")</f>
        <v>芳賀 亮輔</v>
      </c>
    </row>
    <row r="3485" spans="2:4" ht="13">
      <c r="B3485" s="12">
        <f ca="1">IFERROR(__xludf.DUMMYFUNCTION("""COMPUTED_VALUE"""),122262)</f>
        <v>122262</v>
      </c>
      <c r="C3485" s="14">
        <f ca="1">IFERROR(__xludf.DUMMYFUNCTION("""COMPUTED_VALUE"""),2)</f>
        <v>2</v>
      </c>
      <c r="D3485" s="12" t="str">
        <f ca="1">IFERROR(__xludf.DUMMYFUNCTION("""COMPUTED_VALUE"""),"芳賀 亮輔")</f>
        <v>芳賀 亮輔</v>
      </c>
    </row>
    <row r="3486" spans="2:4" ht="13">
      <c r="B3486" s="12">
        <f ca="1">IFERROR(__xludf.DUMMYFUNCTION("""COMPUTED_VALUE"""),122263)</f>
        <v>122263</v>
      </c>
      <c r="C3486" s="14">
        <f ca="1">IFERROR(__xludf.DUMMYFUNCTION("""COMPUTED_VALUE"""),6)</f>
        <v>6</v>
      </c>
      <c r="D3486" s="12" t="str">
        <f ca="1">IFERROR(__xludf.DUMMYFUNCTION("""COMPUTED_VALUE"""),"芳賀 亮輔")</f>
        <v>芳賀 亮輔</v>
      </c>
    </row>
    <row r="3487" spans="2:4" ht="13">
      <c r="B3487" s="12">
        <f ca="1">IFERROR(__xludf.DUMMYFUNCTION("""COMPUTED_VALUE"""),122266)</f>
        <v>122266</v>
      </c>
      <c r="C3487" s="14">
        <f ca="1">IFERROR(__xludf.DUMMYFUNCTION("""COMPUTED_VALUE"""),0)</f>
        <v>0</v>
      </c>
      <c r="D3487" s="12" t="str">
        <f ca="1">IFERROR(__xludf.DUMMYFUNCTION("""COMPUTED_VALUE"""),"芳賀 亮輔")</f>
        <v>芳賀 亮輔</v>
      </c>
    </row>
    <row r="3488" spans="2:4" ht="13">
      <c r="B3488" s="12">
        <f ca="1">IFERROR(__xludf.DUMMYFUNCTION("""COMPUTED_VALUE"""),122267)</f>
        <v>122267</v>
      </c>
      <c r="C3488" s="14">
        <f ca="1">IFERROR(__xludf.DUMMYFUNCTION("""COMPUTED_VALUE"""),0)</f>
        <v>0</v>
      </c>
      <c r="D3488" s="12" t="str">
        <f ca="1">IFERROR(__xludf.DUMMYFUNCTION("""COMPUTED_VALUE"""),"芳賀 亮輔")</f>
        <v>芳賀 亮輔</v>
      </c>
    </row>
    <row r="3489" spans="2:4" ht="13">
      <c r="B3489" s="12">
        <f ca="1">IFERROR(__xludf.DUMMYFUNCTION("""COMPUTED_VALUE"""),122268)</f>
        <v>122268</v>
      </c>
      <c r="C3489" s="14">
        <f ca="1">IFERROR(__xludf.DUMMYFUNCTION("""COMPUTED_VALUE"""),1)</f>
        <v>1</v>
      </c>
      <c r="D3489" s="12" t="str">
        <f ca="1">IFERROR(__xludf.DUMMYFUNCTION("""COMPUTED_VALUE"""),"荻曽 克輝")</f>
        <v>荻曽 克輝</v>
      </c>
    </row>
    <row r="3490" spans="2:4" ht="13">
      <c r="B3490" s="12">
        <f ca="1">IFERROR(__xludf.DUMMYFUNCTION("""COMPUTED_VALUE"""),122269)</f>
        <v>122269</v>
      </c>
      <c r="C3490" s="14">
        <f ca="1">IFERROR(__xludf.DUMMYFUNCTION("""COMPUTED_VALUE"""),0)</f>
        <v>0</v>
      </c>
      <c r="D3490" s="12" t="str">
        <f ca="1">IFERROR(__xludf.DUMMYFUNCTION("""COMPUTED_VALUE"""),"芳賀 亮輔")</f>
        <v>芳賀 亮輔</v>
      </c>
    </row>
    <row r="3491" spans="2:4" ht="13">
      <c r="B3491" s="12">
        <f ca="1">IFERROR(__xludf.DUMMYFUNCTION("""COMPUTED_VALUE"""),122272)</f>
        <v>122272</v>
      </c>
      <c r="C3491" s="14">
        <f ca="1">IFERROR(__xludf.DUMMYFUNCTION("""COMPUTED_VALUE"""),0)</f>
        <v>0</v>
      </c>
      <c r="D3491" s="12" t="str">
        <f ca="1">IFERROR(__xludf.DUMMYFUNCTION("""COMPUTED_VALUE"""),"田嶋 将太")</f>
        <v>田嶋 将太</v>
      </c>
    </row>
    <row r="3492" spans="2:4" ht="13">
      <c r="B3492" s="12">
        <f ca="1">IFERROR(__xludf.DUMMYFUNCTION("""COMPUTED_VALUE"""),122277)</f>
        <v>122277</v>
      </c>
      <c r="C3492" s="14">
        <f ca="1">IFERROR(__xludf.DUMMYFUNCTION("""COMPUTED_VALUE"""),54)</f>
        <v>54</v>
      </c>
      <c r="D3492" s="12" t="str">
        <f ca="1">IFERROR(__xludf.DUMMYFUNCTION("""COMPUTED_VALUE"""),"芳賀 亮輔")</f>
        <v>芳賀 亮輔</v>
      </c>
    </row>
    <row r="3493" spans="2:4" ht="13">
      <c r="B3493" s="12">
        <f ca="1">IFERROR(__xludf.DUMMYFUNCTION("""COMPUTED_VALUE"""),122300)</f>
        <v>122300</v>
      </c>
      <c r="C3493" s="14">
        <f ca="1">IFERROR(__xludf.DUMMYFUNCTION("""COMPUTED_VALUE"""),0)</f>
        <v>0</v>
      </c>
      <c r="D3493" s="12" t="str">
        <f ca="1">IFERROR(__xludf.DUMMYFUNCTION("""COMPUTED_VALUE"""),"柿崎 晃司")</f>
        <v>柿崎 晃司</v>
      </c>
    </row>
    <row r="3494" spans="2:4" ht="13">
      <c r="B3494" s="12">
        <f ca="1">IFERROR(__xludf.DUMMYFUNCTION("""COMPUTED_VALUE"""),122312)</f>
        <v>122312</v>
      </c>
      <c r="C3494" s="14">
        <f ca="1">IFERROR(__xludf.DUMMYFUNCTION("""COMPUTED_VALUE"""),0)</f>
        <v>0</v>
      </c>
      <c r="D3494" s="12" t="str">
        <f ca="1">IFERROR(__xludf.DUMMYFUNCTION("""COMPUTED_VALUE"""),"荻曽 克輝")</f>
        <v>荻曽 克輝</v>
      </c>
    </row>
    <row r="3495" spans="2:4" ht="13">
      <c r="B3495" s="12">
        <f ca="1">IFERROR(__xludf.DUMMYFUNCTION("""COMPUTED_VALUE"""),122315)</f>
        <v>122315</v>
      </c>
      <c r="C3495" s="14">
        <f ca="1">IFERROR(__xludf.DUMMYFUNCTION("""COMPUTED_VALUE"""),2)</f>
        <v>2</v>
      </c>
      <c r="D3495" s="12" t="str">
        <f ca="1">IFERROR(__xludf.DUMMYFUNCTION("""COMPUTED_VALUE"""),"小関 麻起")</f>
        <v>小関 麻起</v>
      </c>
    </row>
    <row r="3496" spans="2:4" ht="13">
      <c r="B3496" s="12">
        <f ca="1">IFERROR(__xludf.DUMMYFUNCTION("""COMPUTED_VALUE"""),122316)</f>
        <v>122316</v>
      </c>
      <c r="C3496" s="14">
        <f ca="1">IFERROR(__xludf.DUMMYFUNCTION("""COMPUTED_VALUE"""),0)</f>
        <v>0</v>
      </c>
      <c r="D3496" s="12" t="str">
        <f ca="1">IFERROR(__xludf.DUMMYFUNCTION("""COMPUTED_VALUE"""),"稲場 勇介")</f>
        <v>稲場 勇介</v>
      </c>
    </row>
    <row r="3497" spans="2:4" ht="13">
      <c r="B3497" s="12">
        <f ca="1">IFERROR(__xludf.DUMMYFUNCTION("""COMPUTED_VALUE"""),122318)</f>
        <v>122318</v>
      </c>
      <c r="C3497" s="14">
        <f ca="1">IFERROR(__xludf.DUMMYFUNCTION("""COMPUTED_VALUE"""),0)</f>
        <v>0</v>
      </c>
      <c r="D3497" s="12" t="str">
        <f ca="1">IFERROR(__xludf.DUMMYFUNCTION("""COMPUTED_VALUE"""),"稲場 勇介")</f>
        <v>稲場 勇介</v>
      </c>
    </row>
    <row r="3498" spans="2:4" ht="13">
      <c r="B3498" s="12">
        <f ca="1">IFERROR(__xludf.DUMMYFUNCTION("""COMPUTED_VALUE"""),122324)</f>
        <v>122324</v>
      </c>
      <c r="C3498" s="14">
        <f ca="1">IFERROR(__xludf.DUMMYFUNCTION("""COMPUTED_VALUE"""),0)</f>
        <v>0</v>
      </c>
      <c r="D3498" s="12" t="str">
        <f ca="1">IFERROR(__xludf.DUMMYFUNCTION("""COMPUTED_VALUE"""),"稲場 勇介")</f>
        <v>稲場 勇介</v>
      </c>
    </row>
    <row r="3499" spans="2:4" ht="13">
      <c r="B3499" s="12">
        <f ca="1">IFERROR(__xludf.DUMMYFUNCTION("""COMPUTED_VALUE"""),122328)</f>
        <v>122328</v>
      </c>
      <c r="C3499" s="14">
        <f ca="1">IFERROR(__xludf.DUMMYFUNCTION("""COMPUTED_VALUE"""),96)</f>
        <v>96</v>
      </c>
      <c r="D3499" s="12" t="str">
        <f ca="1">IFERROR(__xludf.DUMMYFUNCTION("""COMPUTED_VALUE"""),"芳賀 亮輔")</f>
        <v>芳賀 亮輔</v>
      </c>
    </row>
    <row r="3500" spans="2:4" ht="13">
      <c r="B3500" s="12">
        <f ca="1">IFERROR(__xludf.DUMMYFUNCTION("""COMPUTED_VALUE"""),122334)</f>
        <v>122334</v>
      </c>
      <c r="C3500" s="14">
        <f ca="1">IFERROR(__xludf.DUMMYFUNCTION("""COMPUTED_VALUE"""),2)</f>
        <v>2</v>
      </c>
      <c r="D3500" s="12" t="str">
        <f ca="1">IFERROR(__xludf.DUMMYFUNCTION("""COMPUTED_VALUE"""),"大木 優香")</f>
        <v>大木 優香</v>
      </c>
    </row>
    <row r="3501" spans="2:4" ht="13">
      <c r="B3501" s="12">
        <f ca="1">IFERROR(__xludf.DUMMYFUNCTION("""COMPUTED_VALUE"""),122366)</f>
        <v>122366</v>
      </c>
      <c r="C3501" s="14">
        <f ca="1">IFERROR(__xludf.DUMMYFUNCTION("""COMPUTED_VALUE"""),37)</f>
        <v>37</v>
      </c>
      <c r="D3501" s="12" t="str">
        <f ca="1">IFERROR(__xludf.DUMMYFUNCTION("""COMPUTED_VALUE"""),"長谷川 陸朗")</f>
        <v>長谷川 陸朗</v>
      </c>
    </row>
    <row r="3502" spans="2:4" ht="13">
      <c r="B3502" s="12">
        <f ca="1">IFERROR(__xludf.DUMMYFUNCTION("""COMPUTED_VALUE"""),122367)</f>
        <v>122367</v>
      </c>
      <c r="C3502" s="14">
        <f ca="1">IFERROR(__xludf.DUMMYFUNCTION("""COMPUTED_VALUE"""),0)</f>
        <v>0</v>
      </c>
      <c r="D3502" s="12" t="str">
        <f ca="1">IFERROR(__xludf.DUMMYFUNCTION("""COMPUTED_VALUE"""),"松尾 尚樹")</f>
        <v>松尾 尚樹</v>
      </c>
    </row>
    <row r="3503" spans="2:4" ht="13">
      <c r="B3503" s="12">
        <f ca="1">IFERROR(__xludf.DUMMYFUNCTION("""COMPUTED_VALUE"""),122371)</f>
        <v>122371</v>
      </c>
      <c r="C3503" s="14">
        <f ca="1">IFERROR(__xludf.DUMMYFUNCTION("""COMPUTED_VALUE"""),1)</f>
        <v>1</v>
      </c>
      <c r="D3503" s="12" t="str">
        <f ca="1">IFERROR(__xludf.DUMMYFUNCTION("""COMPUTED_VALUE"""),"堀越 駿")</f>
        <v>堀越 駿</v>
      </c>
    </row>
    <row r="3504" spans="2:4" ht="13">
      <c r="B3504" s="12">
        <f ca="1">IFERROR(__xludf.DUMMYFUNCTION("""COMPUTED_VALUE"""),122372)</f>
        <v>122372</v>
      </c>
      <c r="C3504" s="14">
        <f ca="1">IFERROR(__xludf.DUMMYFUNCTION("""COMPUTED_VALUE"""),13)</f>
        <v>13</v>
      </c>
      <c r="D3504" s="12" t="str">
        <f ca="1">IFERROR(__xludf.DUMMYFUNCTION("""COMPUTED_VALUE"""),"堀越 駿")</f>
        <v>堀越 駿</v>
      </c>
    </row>
    <row r="3505" spans="2:4" ht="13">
      <c r="B3505" s="12">
        <f ca="1">IFERROR(__xludf.DUMMYFUNCTION("""COMPUTED_VALUE"""),122373)</f>
        <v>122373</v>
      </c>
      <c r="C3505" s="14">
        <f ca="1">IFERROR(__xludf.DUMMYFUNCTION("""COMPUTED_VALUE"""),3)</f>
        <v>3</v>
      </c>
      <c r="D3505" s="12" t="str">
        <f ca="1">IFERROR(__xludf.DUMMYFUNCTION("""COMPUTED_VALUE"""),"堀越 駿")</f>
        <v>堀越 駿</v>
      </c>
    </row>
    <row r="3506" spans="2:4" ht="13">
      <c r="B3506" s="12">
        <f ca="1">IFERROR(__xludf.DUMMYFUNCTION("""COMPUTED_VALUE"""),122376)</f>
        <v>122376</v>
      </c>
      <c r="C3506" s="14">
        <f ca="1">IFERROR(__xludf.DUMMYFUNCTION("""COMPUTED_VALUE"""),34)</f>
        <v>34</v>
      </c>
      <c r="D3506" s="12" t="str">
        <f ca="1">IFERROR(__xludf.DUMMYFUNCTION("""COMPUTED_VALUE"""),"桐山 勝気")</f>
        <v>桐山 勝気</v>
      </c>
    </row>
    <row r="3507" spans="2:4" ht="13">
      <c r="B3507" s="12">
        <f ca="1">IFERROR(__xludf.DUMMYFUNCTION("""COMPUTED_VALUE"""),122383)</f>
        <v>122383</v>
      </c>
      <c r="C3507" s="14">
        <f ca="1">IFERROR(__xludf.DUMMYFUNCTION("""COMPUTED_VALUE"""),10)</f>
        <v>10</v>
      </c>
      <c r="D3507" s="12" t="str">
        <f ca="1">IFERROR(__xludf.DUMMYFUNCTION("""COMPUTED_VALUE"""),"成嶋 夏未")</f>
        <v>成嶋 夏未</v>
      </c>
    </row>
    <row r="3508" spans="2:4" ht="13">
      <c r="B3508" s="12">
        <f ca="1">IFERROR(__xludf.DUMMYFUNCTION("""COMPUTED_VALUE"""),122387)</f>
        <v>122387</v>
      </c>
      <c r="C3508" s="14">
        <f ca="1">IFERROR(__xludf.DUMMYFUNCTION("""COMPUTED_VALUE"""),0)</f>
        <v>0</v>
      </c>
      <c r="D3508" s="12" t="str">
        <f ca="1">IFERROR(__xludf.DUMMYFUNCTION("""COMPUTED_VALUE"""),"菅野 ぎんが")</f>
        <v>菅野 ぎんが</v>
      </c>
    </row>
    <row r="3509" spans="2:4" ht="13">
      <c r="B3509" s="12">
        <f ca="1">IFERROR(__xludf.DUMMYFUNCTION("""COMPUTED_VALUE"""),122388)</f>
        <v>122388</v>
      </c>
      <c r="C3509" s="14">
        <f ca="1">IFERROR(__xludf.DUMMYFUNCTION("""COMPUTED_VALUE"""),0)</f>
        <v>0</v>
      </c>
      <c r="D3509" s="12" t="str">
        <f ca="1">IFERROR(__xludf.DUMMYFUNCTION("""COMPUTED_VALUE"""),"菅野 ぎんが")</f>
        <v>菅野 ぎんが</v>
      </c>
    </row>
    <row r="3510" spans="2:4" ht="13">
      <c r="B3510" s="12">
        <f ca="1">IFERROR(__xludf.DUMMYFUNCTION("""COMPUTED_VALUE"""),122389)</f>
        <v>122389</v>
      </c>
      <c r="C3510" s="14">
        <f ca="1">IFERROR(__xludf.DUMMYFUNCTION("""COMPUTED_VALUE"""),0)</f>
        <v>0</v>
      </c>
      <c r="D3510" s="12" t="str">
        <f ca="1">IFERROR(__xludf.DUMMYFUNCTION("""COMPUTED_VALUE"""),"菅野 ぎんが")</f>
        <v>菅野 ぎんが</v>
      </c>
    </row>
    <row r="3511" spans="2:4" ht="13">
      <c r="B3511" s="12">
        <f ca="1">IFERROR(__xludf.DUMMYFUNCTION("""COMPUTED_VALUE"""),122397)</f>
        <v>122397</v>
      </c>
      <c r="C3511" s="14">
        <f ca="1">IFERROR(__xludf.DUMMYFUNCTION("""COMPUTED_VALUE"""),0)</f>
        <v>0</v>
      </c>
      <c r="D3511" s="12" t="str">
        <f ca="1">IFERROR(__xludf.DUMMYFUNCTION("""COMPUTED_VALUE"""),"森 光智")</f>
        <v>森 光智</v>
      </c>
    </row>
    <row r="3512" spans="2:4" ht="13">
      <c r="B3512" s="12">
        <f ca="1">IFERROR(__xludf.DUMMYFUNCTION("""COMPUTED_VALUE"""),122401)</f>
        <v>122401</v>
      </c>
      <c r="C3512" s="14">
        <f ca="1">IFERROR(__xludf.DUMMYFUNCTION("""COMPUTED_VALUE"""),0)</f>
        <v>0</v>
      </c>
      <c r="D3512" s="12" t="str">
        <f ca="1">IFERROR(__xludf.DUMMYFUNCTION("""COMPUTED_VALUE"""),"成嶋 夏未")</f>
        <v>成嶋 夏未</v>
      </c>
    </row>
    <row r="3513" spans="2:4" ht="13">
      <c r="B3513" s="12">
        <f ca="1">IFERROR(__xludf.DUMMYFUNCTION("""COMPUTED_VALUE"""),122408)</f>
        <v>122408</v>
      </c>
      <c r="C3513" s="14">
        <f ca="1">IFERROR(__xludf.DUMMYFUNCTION("""COMPUTED_VALUE"""),28)</f>
        <v>28</v>
      </c>
      <c r="D3513" s="12" t="str">
        <f ca="1">IFERROR(__xludf.DUMMYFUNCTION("""COMPUTED_VALUE"""),"栗原 大武")</f>
        <v>栗原 大武</v>
      </c>
    </row>
    <row r="3514" spans="2:4" ht="13">
      <c r="B3514" s="12">
        <f ca="1">IFERROR(__xludf.DUMMYFUNCTION("""COMPUTED_VALUE"""),122412)</f>
        <v>122412</v>
      </c>
      <c r="C3514" s="14">
        <f ca="1">IFERROR(__xludf.DUMMYFUNCTION("""COMPUTED_VALUE"""),10)</f>
        <v>10</v>
      </c>
      <c r="D3514" s="12" t="str">
        <f ca="1">IFERROR(__xludf.DUMMYFUNCTION("""COMPUTED_VALUE"""),"菅野 ぎんが")</f>
        <v>菅野 ぎんが</v>
      </c>
    </row>
    <row r="3515" spans="2:4" ht="13">
      <c r="B3515" s="12">
        <f ca="1">IFERROR(__xludf.DUMMYFUNCTION("""COMPUTED_VALUE"""),122421)</f>
        <v>122421</v>
      </c>
      <c r="C3515" s="14">
        <f ca="1">IFERROR(__xludf.DUMMYFUNCTION("""COMPUTED_VALUE"""),0)</f>
        <v>0</v>
      </c>
      <c r="D3515" s="12" t="str">
        <f ca="1">IFERROR(__xludf.DUMMYFUNCTION("""COMPUTED_VALUE"""),"芳賀 亮輔")</f>
        <v>芳賀 亮輔</v>
      </c>
    </row>
    <row r="3516" spans="2:4" ht="13">
      <c r="B3516" s="12">
        <f ca="1">IFERROR(__xludf.DUMMYFUNCTION("""COMPUTED_VALUE"""),122430)</f>
        <v>122430</v>
      </c>
      <c r="C3516" s="14">
        <f ca="1">IFERROR(__xludf.DUMMYFUNCTION("""COMPUTED_VALUE"""),0)</f>
        <v>0</v>
      </c>
      <c r="D3516" s="12" t="str">
        <f ca="1">IFERROR(__xludf.DUMMYFUNCTION("""COMPUTED_VALUE"""),"成嶋 夏未")</f>
        <v>成嶋 夏未</v>
      </c>
    </row>
    <row r="3517" spans="2:4" ht="13">
      <c r="B3517" s="12">
        <f ca="1">IFERROR(__xludf.DUMMYFUNCTION("""COMPUTED_VALUE"""),122432)</f>
        <v>122432</v>
      </c>
      <c r="C3517" s="14">
        <f ca="1">IFERROR(__xludf.DUMMYFUNCTION("""COMPUTED_VALUE"""),1)</f>
        <v>1</v>
      </c>
      <c r="D3517" s="12" t="str">
        <f ca="1">IFERROR(__xludf.DUMMYFUNCTION("""COMPUTED_VALUE"""),"柿崎 晃司")</f>
        <v>柿崎 晃司</v>
      </c>
    </row>
    <row r="3518" spans="2:4" ht="13">
      <c r="B3518" s="12">
        <f ca="1">IFERROR(__xludf.DUMMYFUNCTION("""COMPUTED_VALUE"""),122436)</f>
        <v>122436</v>
      </c>
      <c r="C3518" s="14">
        <f ca="1">IFERROR(__xludf.DUMMYFUNCTION("""COMPUTED_VALUE"""),29)</f>
        <v>29</v>
      </c>
      <c r="D3518" s="12" t="str">
        <f ca="1">IFERROR(__xludf.DUMMYFUNCTION("""COMPUTED_VALUE"""),"長谷川 陸朗")</f>
        <v>長谷川 陸朗</v>
      </c>
    </row>
    <row r="3519" spans="2:4" ht="13">
      <c r="B3519" s="12">
        <f ca="1">IFERROR(__xludf.DUMMYFUNCTION("""COMPUTED_VALUE"""),122440)</f>
        <v>122440</v>
      </c>
      <c r="C3519" s="14">
        <f ca="1">IFERROR(__xludf.DUMMYFUNCTION("""COMPUTED_VALUE"""),7)</f>
        <v>7</v>
      </c>
      <c r="D3519" s="12" t="str">
        <f ca="1">IFERROR(__xludf.DUMMYFUNCTION("""COMPUTED_VALUE"""),"松尾 尚樹")</f>
        <v>松尾 尚樹</v>
      </c>
    </row>
    <row r="3520" spans="2:4" ht="13">
      <c r="B3520" s="12">
        <f ca="1">IFERROR(__xludf.DUMMYFUNCTION("""COMPUTED_VALUE"""),122444)</f>
        <v>122444</v>
      </c>
      <c r="C3520" s="14">
        <f ca="1">IFERROR(__xludf.DUMMYFUNCTION("""COMPUTED_VALUE"""),39)</f>
        <v>39</v>
      </c>
      <c r="D3520" s="12" t="str">
        <f ca="1">IFERROR(__xludf.DUMMYFUNCTION("""COMPUTED_VALUE"""),"小関 麻起")</f>
        <v>小関 麻起</v>
      </c>
    </row>
    <row r="3521" spans="2:4" ht="13">
      <c r="B3521" s="12">
        <f ca="1">IFERROR(__xludf.DUMMYFUNCTION("""COMPUTED_VALUE"""),122449)</f>
        <v>122449</v>
      </c>
      <c r="C3521" s="14">
        <f ca="1">IFERROR(__xludf.DUMMYFUNCTION("""COMPUTED_VALUE"""),0)</f>
        <v>0</v>
      </c>
      <c r="D3521" s="12" t="str">
        <f ca="1">IFERROR(__xludf.DUMMYFUNCTION("""COMPUTED_VALUE"""),"栗原 大武")</f>
        <v>栗原 大武</v>
      </c>
    </row>
    <row r="3522" spans="2:4" ht="13">
      <c r="B3522" s="12">
        <f ca="1">IFERROR(__xludf.DUMMYFUNCTION("""COMPUTED_VALUE"""),122456)</f>
        <v>122456</v>
      </c>
      <c r="C3522" s="14">
        <f ca="1">IFERROR(__xludf.DUMMYFUNCTION("""COMPUTED_VALUE"""),0)</f>
        <v>0</v>
      </c>
      <c r="D3522" s="12" t="str">
        <f ca="1">IFERROR(__xludf.DUMMYFUNCTION("""COMPUTED_VALUE"""),"大木 優香")</f>
        <v>大木 優香</v>
      </c>
    </row>
    <row r="3523" spans="2:4" ht="13">
      <c r="B3523" s="12">
        <f ca="1">IFERROR(__xludf.DUMMYFUNCTION("""COMPUTED_VALUE"""),122457)</f>
        <v>122457</v>
      </c>
      <c r="C3523" s="14">
        <f ca="1">IFERROR(__xludf.DUMMYFUNCTION("""COMPUTED_VALUE"""),6)</f>
        <v>6</v>
      </c>
      <c r="D3523" s="12" t="str">
        <f ca="1">IFERROR(__xludf.DUMMYFUNCTION("""COMPUTED_VALUE"""),"小関 麻起")</f>
        <v>小関 麻起</v>
      </c>
    </row>
    <row r="3524" spans="2:4" ht="13">
      <c r="B3524" s="12">
        <f ca="1">IFERROR(__xludf.DUMMYFUNCTION("""COMPUTED_VALUE"""),122473)</f>
        <v>122473</v>
      </c>
      <c r="C3524" s="14">
        <f ca="1">IFERROR(__xludf.DUMMYFUNCTION("""COMPUTED_VALUE"""),1)</f>
        <v>1</v>
      </c>
      <c r="D3524" s="12" t="str">
        <f ca="1">IFERROR(__xludf.DUMMYFUNCTION("""COMPUTED_VALUE"""),"川島 幹也")</f>
        <v>川島 幹也</v>
      </c>
    </row>
    <row r="3525" spans="2:4" ht="13">
      <c r="B3525" s="12">
        <f ca="1">IFERROR(__xludf.DUMMYFUNCTION("""COMPUTED_VALUE"""),122475)</f>
        <v>122475</v>
      </c>
      <c r="C3525" s="14">
        <f ca="1">IFERROR(__xludf.DUMMYFUNCTION("""COMPUTED_VALUE"""),6)</f>
        <v>6</v>
      </c>
      <c r="D3525" s="12" t="str">
        <f ca="1">IFERROR(__xludf.DUMMYFUNCTION("""COMPUTED_VALUE"""),"成嶋 夏未")</f>
        <v>成嶋 夏未</v>
      </c>
    </row>
    <row r="3526" spans="2:4" ht="13">
      <c r="B3526" s="12">
        <f ca="1">IFERROR(__xludf.DUMMYFUNCTION("""COMPUTED_VALUE"""),122479)</f>
        <v>122479</v>
      </c>
      <c r="C3526" s="14">
        <f ca="1">IFERROR(__xludf.DUMMYFUNCTION("""COMPUTED_VALUE"""),0)</f>
        <v>0</v>
      </c>
      <c r="D3526" s="12" t="str">
        <f ca="1">IFERROR(__xludf.DUMMYFUNCTION("""COMPUTED_VALUE"""),"松尾 尚樹")</f>
        <v>松尾 尚樹</v>
      </c>
    </row>
    <row r="3527" spans="2:4" ht="13">
      <c r="B3527" s="12">
        <f ca="1">IFERROR(__xludf.DUMMYFUNCTION("""COMPUTED_VALUE"""),122483)</f>
        <v>122483</v>
      </c>
      <c r="C3527" s="14">
        <f ca="1">IFERROR(__xludf.DUMMYFUNCTION("""COMPUTED_VALUE"""),0)</f>
        <v>0</v>
      </c>
      <c r="D3527" s="12" t="str">
        <f ca="1">IFERROR(__xludf.DUMMYFUNCTION("""COMPUTED_VALUE"""),"村上 浩一朗")</f>
        <v>村上 浩一朗</v>
      </c>
    </row>
    <row r="3528" spans="2:4" ht="13">
      <c r="B3528" s="12">
        <f ca="1">IFERROR(__xludf.DUMMYFUNCTION("""COMPUTED_VALUE"""),122496)</f>
        <v>122496</v>
      </c>
      <c r="C3528" s="14">
        <f ca="1">IFERROR(__xludf.DUMMYFUNCTION("""COMPUTED_VALUE"""),0)</f>
        <v>0</v>
      </c>
      <c r="D3528" s="12" t="str">
        <f ca="1">IFERROR(__xludf.DUMMYFUNCTION("""COMPUTED_VALUE"""),"成嶋 夏未")</f>
        <v>成嶋 夏未</v>
      </c>
    </row>
    <row r="3529" spans="2:4" ht="13">
      <c r="B3529" s="12">
        <f ca="1">IFERROR(__xludf.DUMMYFUNCTION("""COMPUTED_VALUE"""),122497)</f>
        <v>122497</v>
      </c>
      <c r="C3529" s="14">
        <f ca="1">IFERROR(__xludf.DUMMYFUNCTION("""COMPUTED_VALUE"""),0)</f>
        <v>0</v>
      </c>
      <c r="D3529" s="12" t="str">
        <f ca="1">IFERROR(__xludf.DUMMYFUNCTION("""COMPUTED_VALUE"""),"松尾 尚樹")</f>
        <v>松尾 尚樹</v>
      </c>
    </row>
    <row r="3530" spans="2:4" ht="13">
      <c r="B3530" s="12">
        <f ca="1">IFERROR(__xludf.DUMMYFUNCTION("""COMPUTED_VALUE"""),122502)</f>
        <v>122502</v>
      </c>
      <c r="C3530" s="14">
        <f ca="1">IFERROR(__xludf.DUMMYFUNCTION("""COMPUTED_VALUE"""),15)</f>
        <v>15</v>
      </c>
      <c r="D3530" s="12" t="str">
        <f ca="1">IFERROR(__xludf.DUMMYFUNCTION("""COMPUTED_VALUE"""),"堀越 駿")</f>
        <v>堀越 駿</v>
      </c>
    </row>
    <row r="3531" spans="2:4" ht="13">
      <c r="B3531" s="12">
        <f ca="1">IFERROR(__xludf.DUMMYFUNCTION("""COMPUTED_VALUE"""),122507)</f>
        <v>122507</v>
      </c>
      <c r="C3531" s="14">
        <f ca="1">IFERROR(__xludf.DUMMYFUNCTION("""COMPUTED_VALUE"""),4)</f>
        <v>4</v>
      </c>
      <c r="D3531" s="12" t="str">
        <f ca="1">IFERROR(__xludf.DUMMYFUNCTION("""COMPUTED_VALUE"""),"長谷川 陸朗")</f>
        <v>長谷川 陸朗</v>
      </c>
    </row>
    <row r="3532" spans="2:4" ht="13">
      <c r="B3532" s="12">
        <f ca="1">IFERROR(__xludf.DUMMYFUNCTION("""COMPUTED_VALUE"""),122509)</f>
        <v>122509</v>
      </c>
      <c r="C3532" s="14">
        <f ca="1">IFERROR(__xludf.DUMMYFUNCTION("""COMPUTED_VALUE"""),0)</f>
        <v>0</v>
      </c>
      <c r="D3532" s="12" t="str">
        <f ca="1">IFERROR(__xludf.DUMMYFUNCTION("""COMPUTED_VALUE"""),"菅野 ぎんが")</f>
        <v>菅野 ぎんが</v>
      </c>
    </row>
    <row r="3533" spans="2:4" ht="13">
      <c r="B3533" s="12">
        <f ca="1">IFERROR(__xludf.DUMMYFUNCTION("""COMPUTED_VALUE"""),122556)</f>
        <v>122556</v>
      </c>
      <c r="C3533" s="14">
        <f ca="1">IFERROR(__xludf.DUMMYFUNCTION("""COMPUTED_VALUE"""),2)</f>
        <v>2</v>
      </c>
      <c r="D3533" s="12" t="str">
        <f ca="1">IFERROR(__xludf.DUMMYFUNCTION("""COMPUTED_VALUE"""),"柿崎 晃司")</f>
        <v>柿崎 晃司</v>
      </c>
    </row>
    <row r="3534" spans="2:4" ht="13">
      <c r="B3534" s="12">
        <f ca="1">IFERROR(__xludf.DUMMYFUNCTION("""COMPUTED_VALUE"""),122559)</f>
        <v>122559</v>
      </c>
      <c r="C3534" s="14">
        <f ca="1">IFERROR(__xludf.DUMMYFUNCTION("""COMPUTED_VALUE"""),0)</f>
        <v>0</v>
      </c>
      <c r="D3534" s="12" t="str">
        <f ca="1">IFERROR(__xludf.DUMMYFUNCTION("""COMPUTED_VALUE"""),"老田 純輝")</f>
        <v>老田 純輝</v>
      </c>
    </row>
    <row r="3535" spans="2:4" ht="13">
      <c r="B3535" s="12">
        <f ca="1">IFERROR(__xludf.DUMMYFUNCTION("""COMPUTED_VALUE"""),122563)</f>
        <v>122563</v>
      </c>
      <c r="C3535" s="14">
        <f ca="1">IFERROR(__xludf.DUMMYFUNCTION("""COMPUTED_VALUE"""),88)</f>
        <v>88</v>
      </c>
      <c r="D3535" s="12" t="str">
        <f ca="1">IFERROR(__xludf.DUMMYFUNCTION("""COMPUTED_VALUE"""),"栗原 大武")</f>
        <v>栗原 大武</v>
      </c>
    </row>
    <row r="3536" spans="2:4" ht="13">
      <c r="B3536" s="12">
        <f ca="1">IFERROR(__xludf.DUMMYFUNCTION("""COMPUTED_VALUE"""),122571)</f>
        <v>122571</v>
      </c>
      <c r="C3536" s="14">
        <f ca="1">IFERROR(__xludf.DUMMYFUNCTION("""COMPUTED_VALUE"""),8)</f>
        <v>8</v>
      </c>
      <c r="D3536" s="12" t="str">
        <f ca="1">IFERROR(__xludf.DUMMYFUNCTION("""COMPUTED_VALUE"""),"小関 麻起")</f>
        <v>小関 麻起</v>
      </c>
    </row>
    <row r="3537" spans="2:4" ht="13">
      <c r="B3537" s="12">
        <f ca="1">IFERROR(__xludf.DUMMYFUNCTION("""COMPUTED_VALUE"""),122574)</f>
        <v>122574</v>
      </c>
      <c r="C3537" s="14">
        <f ca="1">IFERROR(__xludf.DUMMYFUNCTION("""COMPUTED_VALUE"""),2)</f>
        <v>2</v>
      </c>
      <c r="D3537" s="12" t="str">
        <f ca="1">IFERROR(__xludf.DUMMYFUNCTION("""COMPUTED_VALUE"""),"小川 純")</f>
        <v>小川 純</v>
      </c>
    </row>
    <row r="3538" spans="2:4" ht="13">
      <c r="B3538" s="12">
        <f ca="1">IFERROR(__xludf.DUMMYFUNCTION("""COMPUTED_VALUE"""),122575)</f>
        <v>122575</v>
      </c>
      <c r="C3538" s="14">
        <f ca="1">IFERROR(__xludf.DUMMYFUNCTION("""COMPUTED_VALUE"""),20)</f>
        <v>20</v>
      </c>
      <c r="D3538" s="12" t="str">
        <f ca="1">IFERROR(__xludf.DUMMYFUNCTION("""COMPUTED_VALUE"""),"菅野 ぎんが")</f>
        <v>菅野 ぎんが</v>
      </c>
    </row>
    <row r="3539" spans="2:4" ht="13">
      <c r="B3539" s="12">
        <f ca="1">IFERROR(__xludf.DUMMYFUNCTION("""COMPUTED_VALUE"""),122582)</f>
        <v>122582</v>
      </c>
      <c r="C3539" s="14">
        <f ca="1">IFERROR(__xludf.DUMMYFUNCTION("""COMPUTED_VALUE"""),12)</f>
        <v>12</v>
      </c>
      <c r="D3539" s="12" t="str">
        <f ca="1">IFERROR(__xludf.DUMMYFUNCTION("""COMPUTED_VALUE"""),"村上 浩一朗")</f>
        <v>村上 浩一朗</v>
      </c>
    </row>
    <row r="3540" spans="2:4" ht="13">
      <c r="B3540" s="12">
        <f ca="1">IFERROR(__xludf.DUMMYFUNCTION("""COMPUTED_VALUE"""),122583)</f>
        <v>122583</v>
      </c>
      <c r="C3540" s="14">
        <f ca="1">IFERROR(__xludf.DUMMYFUNCTION("""COMPUTED_VALUE"""),20)</f>
        <v>20</v>
      </c>
      <c r="D3540" s="12" t="str">
        <f ca="1">IFERROR(__xludf.DUMMYFUNCTION("""COMPUTED_VALUE"""),"村上 浩一朗")</f>
        <v>村上 浩一朗</v>
      </c>
    </row>
    <row r="3541" spans="2:4" ht="13">
      <c r="B3541" s="12">
        <f ca="1">IFERROR(__xludf.DUMMYFUNCTION("""COMPUTED_VALUE"""),122584)</f>
        <v>122584</v>
      </c>
      <c r="C3541" s="14">
        <f ca="1">IFERROR(__xludf.DUMMYFUNCTION("""COMPUTED_VALUE"""),21)</f>
        <v>21</v>
      </c>
      <c r="D3541" s="12" t="str">
        <f ca="1">IFERROR(__xludf.DUMMYFUNCTION("""COMPUTED_VALUE"""),"村上 浩一朗")</f>
        <v>村上 浩一朗</v>
      </c>
    </row>
    <row r="3542" spans="2:4" ht="13">
      <c r="B3542" s="12">
        <f ca="1">IFERROR(__xludf.DUMMYFUNCTION("""COMPUTED_VALUE"""),122587)</f>
        <v>122587</v>
      </c>
      <c r="C3542" s="14">
        <f ca="1">IFERROR(__xludf.DUMMYFUNCTION("""COMPUTED_VALUE"""),2)</f>
        <v>2</v>
      </c>
      <c r="D3542" s="12" t="str">
        <f ca="1">IFERROR(__xludf.DUMMYFUNCTION("""COMPUTED_VALUE"""),"柿崎 晃司")</f>
        <v>柿崎 晃司</v>
      </c>
    </row>
    <row r="3543" spans="2:4" ht="13">
      <c r="B3543" s="12">
        <f ca="1">IFERROR(__xludf.DUMMYFUNCTION("""COMPUTED_VALUE"""),122589)</f>
        <v>122589</v>
      </c>
      <c r="C3543" s="14">
        <f ca="1">IFERROR(__xludf.DUMMYFUNCTION("""COMPUTED_VALUE"""),11)</f>
        <v>11</v>
      </c>
      <c r="D3543" s="12" t="str">
        <f ca="1">IFERROR(__xludf.DUMMYFUNCTION("""COMPUTED_VALUE"""),"柿崎 晃司")</f>
        <v>柿崎 晃司</v>
      </c>
    </row>
    <row r="3544" spans="2:4" ht="13">
      <c r="B3544" s="12">
        <f ca="1">IFERROR(__xludf.DUMMYFUNCTION("""COMPUTED_VALUE"""),122592)</f>
        <v>122592</v>
      </c>
      <c r="C3544" s="14">
        <f ca="1">IFERROR(__xludf.DUMMYFUNCTION("""COMPUTED_VALUE"""),47)</f>
        <v>47</v>
      </c>
      <c r="D3544" s="12" t="str">
        <f ca="1">IFERROR(__xludf.DUMMYFUNCTION("""COMPUTED_VALUE"""),"成嶋 夏未")</f>
        <v>成嶋 夏未</v>
      </c>
    </row>
    <row r="3545" spans="2:4" ht="13">
      <c r="B3545" s="12">
        <f ca="1">IFERROR(__xludf.DUMMYFUNCTION("""COMPUTED_VALUE"""),122597)</f>
        <v>122597</v>
      </c>
      <c r="C3545" s="14">
        <f ca="1">IFERROR(__xludf.DUMMYFUNCTION("""COMPUTED_VALUE"""),181)</f>
        <v>181</v>
      </c>
      <c r="D3545" s="12" t="str">
        <f ca="1">IFERROR(__xludf.DUMMYFUNCTION("""COMPUTED_VALUE"""),"内丸 裕子")</f>
        <v>内丸 裕子</v>
      </c>
    </row>
    <row r="3546" spans="2:4" ht="13">
      <c r="B3546" s="12">
        <f ca="1">IFERROR(__xludf.DUMMYFUNCTION("""COMPUTED_VALUE"""),122602)</f>
        <v>122602</v>
      </c>
      <c r="C3546" s="14">
        <f ca="1">IFERROR(__xludf.DUMMYFUNCTION("""COMPUTED_VALUE"""),0)</f>
        <v>0</v>
      </c>
      <c r="D3546" s="12" t="str">
        <f ca="1">IFERROR(__xludf.DUMMYFUNCTION("""COMPUTED_VALUE"""),"小関 麻起")</f>
        <v>小関 麻起</v>
      </c>
    </row>
    <row r="3547" spans="2:4" ht="13">
      <c r="B3547" s="12">
        <f ca="1">IFERROR(__xludf.DUMMYFUNCTION("""COMPUTED_VALUE"""),122612)</f>
        <v>122612</v>
      </c>
      <c r="C3547" s="14">
        <f ca="1">IFERROR(__xludf.DUMMYFUNCTION("""COMPUTED_VALUE"""),1)</f>
        <v>1</v>
      </c>
      <c r="D3547" s="12" t="str">
        <f ca="1">IFERROR(__xludf.DUMMYFUNCTION("""COMPUTED_VALUE"""),"奥野 貴大")</f>
        <v>奥野 貴大</v>
      </c>
    </row>
    <row r="3548" spans="2:4" ht="13">
      <c r="B3548" s="12">
        <f ca="1">IFERROR(__xludf.DUMMYFUNCTION("""COMPUTED_VALUE"""),122625)</f>
        <v>122625</v>
      </c>
      <c r="C3548" s="14">
        <f ca="1">IFERROR(__xludf.DUMMYFUNCTION("""COMPUTED_VALUE"""),20)</f>
        <v>20</v>
      </c>
      <c r="D3548" s="12" t="str">
        <f ca="1">IFERROR(__xludf.DUMMYFUNCTION("""COMPUTED_VALUE"""),"芳賀 亮輔")</f>
        <v>芳賀 亮輔</v>
      </c>
    </row>
    <row r="3549" spans="2:4" ht="13">
      <c r="B3549" s="12">
        <f ca="1">IFERROR(__xludf.DUMMYFUNCTION("""COMPUTED_VALUE"""),122626)</f>
        <v>122626</v>
      </c>
      <c r="C3549" s="14">
        <f ca="1">IFERROR(__xludf.DUMMYFUNCTION("""COMPUTED_VALUE"""),0)</f>
        <v>0</v>
      </c>
      <c r="D3549" s="12" t="str">
        <f ca="1">IFERROR(__xludf.DUMMYFUNCTION("""COMPUTED_VALUE"""),"芳賀 亮輔")</f>
        <v>芳賀 亮輔</v>
      </c>
    </row>
    <row r="3550" spans="2:4" ht="13">
      <c r="B3550" s="12">
        <f ca="1">IFERROR(__xludf.DUMMYFUNCTION("""COMPUTED_VALUE"""),122633)</f>
        <v>122633</v>
      </c>
      <c r="C3550" s="14">
        <f ca="1">IFERROR(__xludf.DUMMYFUNCTION("""COMPUTED_VALUE"""),0)</f>
        <v>0</v>
      </c>
      <c r="D3550" s="12" t="str">
        <f ca="1">IFERROR(__xludf.DUMMYFUNCTION("""COMPUTED_VALUE"""),"成嶋 夏未")</f>
        <v>成嶋 夏未</v>
      </c>
    </row>
    <row r="3551" spans="2:4" ht="13">
      <c r="B3551" s="12">
        <f ca="1">IFERROR(__xludf.DUMMYFUNCTION("""COMPUTED_VALUE"""),122648)</f>
        <v>122648</v>
      </c>
      <c r="C3551" s="14">
        <f ca="1">IFERROR(__xludf.DUMMYFUNCTION("""COMPUTED_VALUE"""),56)</f>
        <v>56</v>
      </c>
      <c r="D3551" s="12" t="str">
        <f ca="1">IFERROR(__xludf.DUMMYFUNCTION("""COMPUTED_VALUE"""),"荻曽 克輝")</f>
        <v>荻曽 克輝</v>
      </c>
    </row>
    <row r="3552" spans="2:4" ht="13">
      <c r="B3552" s="12">
        <f ca="1">IFERROR(__xludf.DUMMYFUNCTION("""COMPUTED_VALUE"""),122652)</f>
        <v>122652</v>
      </c>
      <c r="C3552" s="14">
        <f ca="1">IFERROR(__xludf.DUMMYFUNCTION("""COMPUTED_VALUE"""),153)</f>
        <v>153</v>
      </c>
      <c r="D3552" s="12" t="str">
        <f ca="1">IFERROR(__xludf.DUMMYFUNCTION("""COMPUTED_VALUE"""),"柿崎 晃司")</f>
        <v>柿崎 晃司</v>
      </c>
    </row>
    <row r="3553" spans="2:4" ht="13">
      <c r="B3553" s="12">
        <f ca="1">IFERROR(__xludf.DUMMYFUNCTION("""COMPUTED_VALUE"""),122654)</f>
        <v>122654</v>
      </c>
      <c r="C3553" s="14">
        <f ca="1">IFERROR(__xludf.DUMMYFUNCTION("""COMPUTED_VALUE"""),7)</f>
        <v>7</v>
      </c>
      <c r="D3553" s="12" t="str">
        <f ca="1">IFERROR(__xludf.DUMMYFUNCTION("""COMPUTED_VALUE"""),"老田 純輝")</f>
        <v>老田 純輝</v>
      </c>
    </row>
    <row r="3554" spans="2:4" ht="13">
      <c r="B3554" s="12">
        <f ca="1">IFERROR(__xludf.DUMMYFUNCTION("""COMPUTED_VALUE"""),122657)</f>
        <v>122657</v>
      </c>
      <c r="C3554" s="14">
        <f ca="1">IFERROR(__xludf.DUMMYFUNCTION("""COMPUTED_VALUE"""),0)</f>
        <v>0</v>
      </c>
      <c r="D3554" s="12" t="str">
        <f ca="1">IFERROR(__xludf.DUMMYFUNCTION("""COMPUTED_VALUE"""),"菅野 ぎんが")</f>
        <v>菅野 ぎんが</v>
      </c>
    </row>
    <row r="3555" spans="2:4" ht="13">
      <c r="B3555" s="12">
        <f ca="1">IFERROR(__xludf.DUMMYFUNCTION("""COMPUTED_VALUE"""),122658)</f>
        <v>122658</v>
      </c>
      <c r="C3555" s="14">
        <f ca="1">IFERROR(__xludf.DUMMYFUNCTION("""COMPUTED_VALUE"""),0)</f>
        <v>0</v>
      </c>
      <c r="D3555" s="12" t="str">
        <f ca="1">IFERROR(__xludf.DUMMYFUNCTION("""COMPUTED_VALUE"""),"荻曽 克輝")</f>
        <v>荻曽 克輝</v>
      </c>
    </row>
    <row r="3556" spans="2:4" ht="13">
      <c r="B3556" s="12">
        <f ca="1">IFERROR(__xludf.DUMMYFUNCTION("""COMPUTED_VALUE"""),122669)</f>
        <v>122669</v>
      </c>
      <c r="C3556" s="14">
        <f ca="1">IFERROR(__xludf.DUMMYFUNCTION("""COMPUTED_VALUE"""),62)</f>
        <v>62</v>
      </c>
      <c r="D3556" s="12" t="str">
        <f ca="1">IFERROR(__xludf.DUMMYFUNCTION("""COMPUTED_VALUE"""),"内丸 裕子")</f>
        <v>内丸 裕子</v>
      </c>
    </row>
    <row r="3557" spans="2:4" ht="13">
      <c r="B3557" s="12">
        <f ca="1">IFERROR(__xludf.DUMMYFUNCTION("""COMPUTED_VALUE"""),122682)</f>
        <v>122682</v>
      </c>
      <c r="C3557" s="14">
        <f ca="1">IFERROR(__xludf.DUMMYFUNCTION("""COMPUTED_VALUE"""),0)</f>
        <v>0</v>
      </c>
      <c r="D3557" s="12" t="str">
        <f ca="1">IFERROR(__xludf.DUMMYFUNCTION("""COMPUTED_VALUE"""),"村上 浩一朗")</f>
        <v>村上 浩一朗</v>
      </c>
    </row>
    <row r="3558" spans="2:4" ht="13">
      <c r="B3558" s="12">
        <f ca="1">IFERROR(__xludf.DUMMYFUNCTION("""COMPUTED_VALUE"""),122686)</f>
        <v>122686</v>
      </c>
      <c r="C3558" s="14">
        <f ca="1">IFERROR(__xludf.DUMMYFUNCTION("""COMPUTED_VALUE"""),23)</f>
        <v>23</v>
      </c>
      <c r="D3558" s="12" t="str">
        <f ca="1">IFERROR(__xludf.DUMMYFUNCTION("""COMPUTED_VALUE"""),"菅野 ぎんが")</f>
        <v>菅野 ぎんが</v>
      </c>
    </row>
    <row r="3559" spans="2:4" ht="13">
      <c r="B3559" s="12">
        <f ca="1">IFERROR(__xludf.DUMMYFUNCTION("""COMPUTED_VALUE"""),122694)</f>
        <v>122694</v>
      </c>
      <c r="C3559" s="14">
        <f ca="1">IFERROR(__xludf.DUMMYFUNCTION("""COMPUTED_VALUE"""),0)</f>
        <v>0</v>
      </c>
      <c r="D3559" s="12" t="str">
        <f ca="1">IFERROR(__xludf.DUMMYFUNCTION("""COMPUTED_VALUE"""),"小川 純")</f>
        <v>小川 純</v>
      </c>
    </row>
    <row r="3560" spans="2:4" ht="13">
      <c r="B3560" s="12">
        <f ca="1">IFERROR(__xludf.DUMMYFUNCTION("""COMPUTED_VALUE"""),122697)</f>
        <v>122697</v>
      </c>
      <c r="C3560" s="14">
        <f ca="1">IFERROR(__xludf.DUMMYFUNCTION("""COMPUTED_VALUE"""),3)</f>
        <v>3</v>
      </c>
      <c r="D3560" s="12" t="str">
        <f ca="1">IFERROR(__xludf.DUMMYFUNCTION("""COMPUTED_VALUE"""),"稲場 勇介")</f>
        <v>稲場 勇介</v>
      </c>
    </row>
    <row r="3561" spans="2:4" ht="13">
      <c r="B3561" s="12">
        <f ca="1">IFERROR(__xludf.DUMMYFUNCTION("""COMPUTED_VALUE"""),122698)</f>
        <v>122698</v>
      </c>
      <c r="C3561" s="14">
        <f ca="1">IFERROR(__xludf.DUMMYFUNCTION("""COMPUTED_VALUE"""),0)</f>
        <v>0</v>
      </c>
      <c r="D3561" s="12" t="str">
        <f ca="1">IFERROR(__xludf.DUMMYFUNCTION("""COMPUTED_VALUE"""),"桑原 明子")</f>
        <v>桑原 明子</v>
      </c>
    </row>
    <row r="3562" spans="2:4" ht="13">
      <c r="B3562" s="12">
        <f ca="1">IFERROR(__xludf.DUMMYFUNCTION("""COMPUTED_VALUE"""),122708)</f>
        <v>122708</v>
      </c>
      <c r="C3562" s="14">
        <f ca="1">IFERROR(__xludf.DUMMYFUNCTION("""COMPUTED_VALUE"""),0)</f>
        <v>0</v>
      </c>
      <c r="D3562" s="12" t="str">
        <f ca="1">IFERROR(__xludf.DUMMYFUNCTION("""COMPUTED_VALUE"""),"成嶋 夏未")</f>
        <v>成嶋 夏未</v>
      </c>
    </row>
    <row r="3563" spans="2:4" ht="13">
      <c r="B3563" s="12">
        <f ca="1">IFERROR(__xludf.DUMMYFUNCTION("""COMPUTED_VALUE"""),122722)</f>
        <v>122722</v>
      </c>
      <c r="C3563" s="14">
        <f ca="1">IFERROR(__xludf.DUMMYFUNCTION("""COMPUTED_VALUE"""),0)</f>
        <v>0</v>
      </c>
      <c r="D3563" s="12" t="str">
        <f ca="1">IFERROR(__xludf.DUMMYFUNCTION("""COMPUTED_VALUE"""),"成嶋 夏未")</f>
        <v>成嶋 夏未</v>
      </c>
    </row>
    <row r="3564" spans="2:4" ht="13">
      <c r="B3564" s="12">
        <f ca="1">IFERROR(__xludf.DUMMYFUNCTION("""COMPUTED_VALUE"""),122733)</f>
        <v>122733</v>
      </c>
      <c r="C3564" s="14">
        <f ca="1">IFERROR(__xludf.DUMMYFUNCTION("""COMPUTED_VALUE"""),0)</f>
        <v>0</v>
      </c>
      <c r="D3564" s="12" t="str">
        <f ca="1">IFERROR(__xludf.DUMMYFUNCTION("""COMPUTED_VALUE"""),"老田 純輝")</f>
        <v>老田 純輝</v>
      </c>
    </row>
    <row r="3565" spans="2:4" ht="13">
      <c r="B3565" s="12">
        <f ca="1">IFERROR(__xludf.DUMMYFUNCTION("""COMPUTED_VALUE"""),122744)</f>
        <v>122744</v>
      </c>
      <c r="C3565" s="14">
        <f ca="1">IFERROR(__xludf.DUMMYFUNCTION("""COMPUTED_VALUE"""),0)</f>
        <v>0</v>
      </c>
      <c r="D3565" s="12" t="str">
        <f ca="1">IFERROR(__xludf.DUMMYFUNCTION("""COMPUTED_VALUE"""),"小川 純")</f>
        <v>小川 純</v>
      </c>
    </row>
    <row r="3566" spans="2:4" ht="13">
      <c r="B3566" s="12">
        <f ca="1">IFERROR(__xludf.DUMMYFUNCTION("""COMPUTED_VALUE"""),122748)</f>
        <v>122748</v>
      </c>
      <c r="C3566" s="14">
        <f ca="1">IFERROR(__xludf.DUMMYFUNCTION("""COMPUTED_VALUE"""),0)</f>
        <v>0</v>
      </c>
      <c r="D3566" s="12" t="str">
        <f ca="1">IFERROR(__xludf.DUMMYFUNCTION("""COMPUTED_VALUE"""),"稲場 勇介")</f>
        <v>稲場 勇介</v>
      </c>
    </row>
    <row r="3567" spans="2:4" ht="13">
      <c r="B3567" s="12">
        <f ca="1">IFERROR(__xludf.DUMMYFUNCTION("""COMPUTED_VALUE"""),122753)</f>
        <v>122753</v>
      </c>
      <c r="C3567" s="14">
        <f ca="1">IFERROR(__xludf.DUMMYFUNCTION("""COMPUTED_VALUE"""),11)</f>
        <v>11</v>
      </c>
      <c r="D3567" s="12" t="str">
        <f ca="1">IFERROR(__xludf.DUMMYFUNCTION("""COMPUTED_VALUE"""),"柿崎 晃司")</f>
        <v>柿崎 晃司</v>
      </c>
    </row>
    <row r="3568" spans="2:4" ht="13">
      <c r="B3568" s="12">
        <f ca="1">IFERROR(__xludf.DUMMYFUNCTION("""COMPUTED_VALUE"""),122757)</f>
        <v>122757</v>
      </c>
      <c r="C3568" s="14">
        <f ca="1">IFERROR(__xludf.DUMMYFUNCTION("""COMPUTED_VALUE"""),0)</f>
        <v>0</v>
      </c>
      <c r="D3568" s="12" t="str">
        <f ca="1">IFERROR(__xludf.DUMMYFUNCTION("""COMPUTED_VALUE"""),"稲場 勇介")</f>
        <v>稲場 勇介</v>
      </c>
    </row>
    <row r="3569" spans="2:4" ht="13">
      <c r="B3569" s="12">
        <f ca="1">IFERROR(__xludf.DUMMYFUNCTION("""COMPUTED_VALUE"""),122758)</f>
        <v>122758</v>
      </c>
      <c r="C3569" s="14">
        <f ca="1">IFERROR(__xludf.DUMMYFUNCTION("""COMPUTED_VALUE"""),0)</f>
        <v>0</v>
      </c>
      <c r="D3569" s="12" t="str">
        <f ca="1">IFERROR(__xludf.DUMMYFUNCTION("""COMPUTED_VALUE"""),"稲場 勇介")</f>
        <v>稲場 勇介</v>
      </c>
    </row>
    <row r="3570" spans="2:4" ht="13">
      <c r="B3570" s="12">
        <f ca="1">IFERROR(__xludf.DUMMYFUNCTION("""COMPUTED_VALUE"""),122759)</f>
        <v>122759</v>
      </c>
      <c r="C3570" s="14">
        <f ca="1">IFERROR(__xludf.DUMMYFUNCTION("""COMPUTED_VALUE"""),0)</f>
        <v>0</v>
      </c>
      <c r="D3570" s="12" t="str">
        <f ca="1">IFERROR(__xludf.DUMMYFUNCTION("""COMPUTED_VALUE"""),"桐山 勝気")</f>
        <v>桐山 勝気</v>
      </c>
    </row>
    <row r="3571" spans="2:4" ht="13">
      <c r="B3571" s="12">
        <f ca="1">IFERROR(__xludf.DUMMYFUNCTION("""COMPUTED_VALUE"""),122763)</f>
        <v>122763</v>
      </c>
      <c r="C3571" s="14">
        <f ca="1">IFERROR(__xludf.DUMMYFUNCTION("""COMPUTED_VALUE"""),0)</f>
        <v>0</v>
      </c>
      <c r="D3571" s="12" t="str">
        <f ca="1">IFERROR(__xludf.DUMMYFUNCTION("""COMPUTED_VALUE"""),"菅野 ぎんが")</f>
        <v>菅野 ぎんが</v>
      </c>
    </row>
    <row r="3572" spans="2:4" ht="13">
      <c r="B3572" s="12">
        <f ca="1">IFERROR(__xludf.DUMMYFUNCTION("""COMPUTED_VALUE"""),122765)</f>
        <v>122765</v>
      </c>
      <c r="C3572" s="14">
        <f ca="1">IFERROR(__xludf.DUMMYFUNCTION("""COMPUTED_VALUE"""),22)</f>
        <v>22</v>
      </c>
      <c r="D3572" s="12" t="str">
        <f ca="1">IFERROR(__xludf.DUMMYFUNCTION("""COMPUTED_VALUE"""),"老田 純輝")</f>
        <v>老田 純輝</v>
      </c>
    </row>
    <row r="3573" spans="2:4" ht="13">
      <c r="B3573" s="12">
        <f ca="1">IFERROR(__xludf.DUMMYFUNCTION("""COMPUTED_VALUE"""),122766)</f>
        <v>122766</v>
      </c>
      <c r="C3573" s="14">
        <f ca="1">IFERROR(__xludf.DUMMYFUNCTION("""COMPUTED_VALUE"""),6)</f>
        <v>6</v>
      </c>
      <c r="D3573" s="12" t="str">
        <f ca="1">IFERROR(__xludf.DUMMYFUNCTION("""COMPUTED_VALUE"""),"小川 純")</f>
        <v>小川 純</v>
      </c>
    </row>
    <row r="3574" spans="2:4" ht="13">
      <c r="B3574" s="12">
        <f ca="1">IFERROR(__xludf.DUMMYFUNCTION("""COMPUTED_VALUE"""),122767)</f>
        <v>122767</v>
      </c>
      <c r="C3574" s="14">
        <f ca="1">IFERROR(__xludf.DUMMYFUNCTION("""COMPUTED_VALUE"""),42)</f>
        <v>42</v>
      </c>
      <c r="D3574" s="12" t="str">
        <f ca="1">IFERROR(__xludf.DUMMYFUNCTION("""COMPUTED_VALUE"""),"桐山 勝気")</f>
        <v>桐山 勝気</v>
      </c>
    </row>
    <row r="3575" spans="2:4" ht="13">
      <c r="B3575" s="12">
        <f ca="1">IFERROR(__xludf.DUMMYFUNCTION("""COMPUTED_VALUE"""),122772)</f>
        <v>122772</v>
      </c>
      <c r="C3575" s="14">
        <f ca="1">IFERROR(__xludf.DUMMYFUNCTION("""COMPUTED_VALUE"""),2)</f>
        <v>2</v>
      </c>
      <c r="D3575" s="12" t="str">
        <f ca="1">IFERROR(__xludf.DUMMYFUNCTION("""COMPUTED_VALUE"""),"奥野 貴大")</f>
        <v>奥野 貴大</v>
      </c>
    </row>
    <row r="3576" spans="2:4" ht="13">
      <c r="B3576" s="12">
        <f ca="1">IFERROR(__xludf.DUMMYFUNCTION("""COMPUTED_VALUE"""),122776)</f>
        <v>122776</v>
      </c>
      <c r="C3576" s="14">
        <f ca="1">IFERROR(__xludf.DUMMYFUNCTION("""COMPUTED_VALUE"""),0)</f>
        <v>0</v>
      </c>
      <c r="D3576" s="12" t="str">
        <f ca="1">IFERROR(__xludf.DUMMYFUNCTION("""COMPUTED_VALUE"""),"内丸 裕子")</f>
        <v>内丸 裕子</v>
      </c>
    </row>
    <row r="3577" spans="2:4" ht="13">
      <c r="B3577" s="12">
        <f ca="1">IFERROR(__xludf.DUMMYFUNCTION("""COMPUTED_VALUE"""),122785)</f>
        <v>122785</v>
      </c>
      <c r="C3577" s="14">
        <f ca="1">IFERROR(__xludf.DUMMYFUNCTION("""COMPUTED_VALUE"""),0)</f>
        <v>0</v>
      </c>
      <c r="D3577" s="12" t="str">
        <f ca="1">IFERROR(__xludf.DUMMYFUNCTION("""COMPUTED_VALUE"""),"栗原 大武")</f>
        <v>栗原 大武</v>
      </c>
    </row>
    <row r="3578" spans="2:4" ht="13">
      <c r="B3578" s="12">
        <f ca="1">IFERROR(__xludf.DUMMYFUNCTION("""COMPUTED_VALUE"""),122797)</f>
        <v>122797</v>
      </c>
      <c r="C3578" s="14">
        <f ca="1">IFERROR(__xludf.DUMMYFUNCTION("""COMPUTED_VALUE"""),10)</f>
        <v>10</v>
      </c>
      <c r="D3578" s="12" t="str">
        <f ca="1">IFERROR(__xludf.DUMMYFUNCTION("""COMPUTED_VALUE"""),"小川 純")</f>
        <v>小川 純</v>
      </c>
    </row>
    <row r="3579" spans="2:4" ht="13">
      <c r="B3579" s="12">
        <f ca="1">IFERROR(__xludf.DUMMYFUNCTION("""COMPUTED_VALUE"""),122798)</f>
        <v>122798</v>
      </c>
      <c r="C3579" s="14">
        <f ca="1">IFERROR(__xludf.DUMMYFUNCTION("""COMPUTED_VALUE"""),77)</f>
        <v>77</v>
      </c>
      <c r="D3579" s="12" t="str">
        <f ca="1">IFERROR(__xludf.DUMMYFUNCTION("""COMPUTED_VALUE"""),"荻曽 克輝")</f>
        <v>荻曽 克輝</v>
      </c>
    </row>
    <row r="3580" spans="2:4" ht="13">
      <c r="B3580" s="12">
        <f ca="1">IFERROR(__xludf.DUMMYFUNCTION("""COMPUTED_VALUE"""),122799)</f>
        <v>122799</v>
      </c>
      <c r="C3580" s="14">
        <f ca="1">IFERROR(__xludf.DUMMYFUNCTION("""COMPUTED_VALUE"""),0)</f>
        <v>0</v>
      </c>
      <c r="D3580" s="12" t="str">
        <f ca="1">IFERROR(__xludf.DUMMYFUNCTION("""COMPUTED_VALUE"""),"荻曽 克輝")</f>
        <v>荻曽 克輝</v>
      </c>
    </row>
    <row r="3581" spans="2:4" ht="13">
      <c r="B3581" s="12">
        <f ca="1">IFERROR(__xludf.DUMMYFUNCTION("""COMPUTED_VALUE"""),122801)</f>
        <v>122801</v>
      </c>
      <c r="C3581" s="14">
        <f ca="1">IFERROR(__xludf.DUMMYFUNCTION("""COMPUTED_VALUE"""),3)</f>
        <v>3</v>
      </c>
      <c r="D3581" s="12" t="str">
        <f ca="1">IFERROR(__xludf.DUMMYFUNCTION("""COMPUTED_VALUE"""),"荻曽 克輝")</f>
        <v>荻曽 克輝</v>
      </c>
    </row>
    <row r="3582" spans="2:4" ht="13">
      <c r="B3582" s="12">
        <f ca="1">IFERROR(__xludf.DUMMYFUNCTION("""COMPUTED_VALUE"""),122802)</f>
        <v>122802</v>
      </c>
      <c r="C3582" s="14">
        <f ca="1">IFERROR(__xludf.DUMMYFUNCTION("""COMPUTED_VALUE"""),1)</f>
        <v>1</v>
      </c>
      <c r="D3582" s="12" t="str">
        <f ca="1">IFERROR(__xludf.DUMMYFUNCTION("""COMPUTED_VALUE"""),"稲場 勇介")</f>
        <v>稲場 勇介</v>
      </c>
    </row>
    <row r="3583" spans="2:4" ht="13">
      <c r="B3583" s="12">
        <f ca="1">IFERROR(__xludf.DUMMYFUNCTION("""COMPUTED_VALUE"""),122822)</f>
        <v>122822</v>
      </c>
      <c r="C3583" s="14">
        <f ca="1">IFERROR(__xludf.DUMMYFUNCTION("""COMPUTED_VALUE"""),0)</f>
        <v>0</v>
      </c>
      <c r="D3583" s="12" t="str">
        <f ca="1">IFERROR(__xludf.DUMMYFUNCTION("""COMPUTED_VALUE"""),"菅野 ぎんが")</f>
        <v>菅野 ぎんが</v>
      </c>
    </row>
    <row r="3584" spans="2:4" ht="13">
      <c r="B3584" s="12">
        <f ca="1">IFERROR(__xludf.DUMMYFUNCTION("""COMPUTED_VALUE"""),122826)</f>
        <v>122826</v>
      </c>
      <c r="C3584" s="14">
        <f ca="1">IFERROR(__xludf.DUMMYFUNCTION("""COMPUTED_VALUE"""),2)</f>
        <v>2</v>
      </c>
      <c r="D3584" s="12" t="str">
        <f ca="1">IFERROR(__xludf.DUMMYFUNCTION("""COMPUTED_VALUE"""),"堀越 駿")</f>
        <v>堀越 駿</v>
      </c>
    </row>
    <row r="3585" spans="2:4" ht="13">
      <c r="B3585" s="12">
        <f ca="1">IFERROR(__xludf.DUMMYFUNCTION("""COMPUTED_VALUE"""),122828)</f>
        <v>122828</v>
      </c>
      <c r="C3585" s="14">
        <f ca="1">IFERROR(__xludf.DUMMYFUNCTION("""COMPUTED_VALUE"""),0)</f>
        <v>0</v>
      </c>
      <c r="D3585" s="12" t="str">
        <f ca="1">IFERROR(__xludf.DUMMYFUNCTION("""COMPUTED_VALUE"""),"小関 麻起")</f>
        <v>小関 麻起</v>
      </c>
    </row>
    <row r="3586" spans="2:4" ht="13">
      <c r="B3586" s="12">
        <f ca="1">IFERROR(__xludf.DUMMYFUNCTION("""COMPUTED_VALUE"""),122832)</f>
        <v>122832</v>
      </c>
      <c r="C3586" s="14">
        <f ca="1">IFERROR(__xludf.DUMMYFUNCTION("""COMPUTED_VALUE"""),0)</f>
        <v>0</v>
      </c>
      <c r="D3586" s="12" t="str">
        <f ca="1">IFERROR(__xludf.DUMMYFUNCTION("""COMPUTED_VALUE"""),"成嶋 夏未")</f>
        <v>成嶋 夏未</v>
      </c>
    </row>
    <row r="3587" spans="2:4" ht="13">
      <c r="B3587" s="12">
        <f ca="1">IFERROR(__xludf.DUMMYFUNCTION("""COMPUTED_VALUE"""),122833)</f>
        <v>122833</v>
      </c>
      <c r="C3587" s="14">
        <f ca="1">IFERROR(__xludf.DUMMYFUNCTION("""COMPUTED_VALUE"""),2)</f>
        <v>2</v>
      </c>
      <c r="D3587" s="12" t="str">
        <f ca="1">IFERROR(__xludf.DUMMYFUNCTION("""COMPUTED_VALUE"""),"老田 純輝")</f>
        <v>老田 純輝</v>
      </c>
    </row>
    <row r="3588" spans="2:4" ht="13">
      <c r="B3588" s="12">
        <f ca="1">IFERROR(__xludf.DUMMYFUNCTION("""COMPUTED_VALUE"""),122840)</f>
        <v>122840</v>
      </c>
      <c r="C3588" s="14">
        <f ca="1">IFERROR(__xludf.DUMMYFUNCTION("""COMPUTED_VALUE"""),0)</f>
        <v>0</v>
      </c>
      <c r="D3588" s="12" t="str">
        <f ca="1">IFERROR(__xludf.DUMMYFUNCTION("""COMPUTED_VALUE"""),"菅野 ぎんが")</f>
        <v>菅野 ぎんが</v>
      </c>
    </row>
    <row r="3589" spans="2:4" ht="13">
      <c r="B3589" s="12">
        <f ca="1">IFERROR(__xludf.DUMMYFUNCTION("""COMPUTED_VALUE"""),122849)</f>
        <v>122849</v>
      </c>
      <c r="C3589" s="14">
        <f ca="1">IFERROR(__xludf.DUMMYFUNCTION("""COMPUTED_VALUE"""),0)</f>
        <v>0</v>
      </c>
      <c r="D3589" s="12" t="str">
        <f ca="1">IFERROR(__xludf.DUMMYFUNCTION("""COMPUTED_VALUE"""),"松尾 尚樹")</f>
        <v>松尾 尚樹</v>
      </c>
    </row>
    <row r="3590" spans="2:4" ht="13">
      <c r="B3590" s="12">
        <f ca="1">IFERROR(__xludf.DUMMYFUNCTION("""COMPUTED_VALUE"""),122850)</f>
        <v>122850</v>
      </c>
      <c r="C3590" s="14">
        <f ca="1">IFERROR(__xludf.DUMMYFUNCTION("""COMPUTED_VALUE"""),0)</f>
        <v>0</v>
      </c>
      <c r="D3590" s="12" t="str">
        <f ca="1">IFERROR(__xludf.DUMMYFUNCTION("""COMPUTED_VALUE"""),"辻村 将大")</f>
        <v>辻村 将大</v>
      </c>
    </row>
    <row r="3591" spans="2:4" ht="13">
      <c r="B3591" s="12">
        <f ca="1">IFERROR(__xludf.DUMMYFUNCTION("""COMPUTED_VALUE"""),122851)</f>
        <v>122851</v>
      </c>
      <c r="C3591" s="14">
        <f ca="1">IFERROR(__xludf.DUMMYFUNCTION("""COMPUTED_VALUE"""),11)</f>
        <v>11</v>
      </c>
      <c r="D3591" s="12" t="str">
        <f ca="1">IFERROR(__xludf.DUMMYFUNCTION("""COMPUTED_VALUE"""),"老田 純輝")</f>
        <v>老田 純輝</v>
      </c>
    </row>
    <row r="3592" spans="2:4" ht="13">
      <c r="B3592" s="12">
        <f ca="1">IFERROR(__xludf.DUMMYFUNCTION("""COMPUTED_VALUE"""),122860)</f>
        <v>122860</v>
      </c>
      <c r="C3592" s="14">
        <f ca="1">IFERROR(__xludf.DUMMYFUNCTION("""COMPUTED_VALUE"""),0)</f>
        <v>0</v>
      </c>
      <c r="D3592" s="12" t="str">
        <f ca="1">IFERROR(__xludf.DUMMYFUNCTION("""COMPUTED_VALUE"""),"小川 純")</f>
        <v>小川 純</v>
      </c>
    </row>
    <row r="3593" spans="2:4" ht="13">
      <c r="B3593" s="12">
        <f ca="1">IFERROR(__xludf.DUMMYFUNCTION("""COMPUTED_VALUE"""),122861)</f>
        <v>122861</v>
      </c>
      <c r="C3593" s="14">
        <f ca="1">IFERROR(__xludf.DUMMYFUNCTION("""COMPUTED_VALUE"""),25)</f>
        <v>25</v>
      </c>
      <c r="D3593" s="12" t="str">
        <f ca="1">IFERROR(__xludf.DUMMYFUNCTION("""COMPUTED_VALUE"""),"稲場 勇介")</f>
        <v>稲場 勇介</v>
      </c>
    </row>
    <row r="3594" spans="2:4" ht="13">
      <c r="B3594" s="12">
        <f ca="1">IFERROR(__xludf.DUMMYFUNCTION("""COMPUTED_VALUE"""),122865)</f>
        <v>122865</v>
      </c>
      <c r="C3594" s="14">
        <f ca="1">IFERROR(__xludf.DUMMYFUNCTION("""COMPUTED_VALUE"""),1)</f>
        <v>1</v>
      </c>
      <c r="D3594" s="12" t="str">
        <f ca="1">IFERROR(__xludf.DUMMYFUNCTION("""COMPUTED_VALUE"""),"村上 浩一朗")</f>
        <v>村上 浩一朗</v>
      </c>
    </row>
    <row r="3595" spans="2:4" ht="13">
      <c r="B3595" s="12">
        <f ca="1">IFERROR(__xludf.DUMMYFUNCTION("""COMPUTED_VALUE"""),122868)</f>
        <v>122868</v>
      </c>
      <c r="C3595" s="14">
        <f ca="1">IFERROR(__xludf.DUMMYFUNCTION("""COMPUTED_VALUE"""),0)</f>
        <v>0</v>
      </c>
      <c r="D3595" s="12" t="str">
        <f ca="1">IFERROR(__xludf.DUMMYFUNCTION("""COMPUTED_VALUE"""),"長谷川 陸朗")</f>
        <v>長谷川 陸朗</v>
      </c>
    </row>
    <row r="3596" spans="2:4" ht="13">
      <c r="B3596" s="12">
        <f ca="1">IFERROR(__xludf.DUMMYFUNCTION("""COMPUTED_VALUE"""),122877)</f>
        <v>122877</v>
      </c>
      <c r="C3596" s="14">
        <f ca="1">IFERROR(__xludf.DUMMYFUNCTION("""COMPUTED_VALUE"""),0)</f>
        <v>0</v>
      </c>
      <c r="D3596" s="12" t="str">
        <f ca="1">IFERROR(__xludf.DUMMYFUNCTION("""COMPUTED_VALUE"""),"奥野 貴大")</f>
        <v>奥野 貴大</v>
      </c>
    </row>
    <row r="3597" spans="2:4" ht="13">
      <c r="B3597" s="12">
        <f ca="1">IFERROR(__xludf.DUMMYFUNCTION("""COMPUTED_VALUE"""),122879)</f>
        <v>122879</v>
      </c>
      <c r="C3597" s="14">
        <f ca="1">IFERROR(__xludf.DUMMYFUNCTION("""COMPUTED_VALUE"""),1)</f>
        <v>1</v>
      </c>
      <c r="D3597" s="12" t="str">
        <f ca="1">IFERROR(__xludf.DUMMYFUNCTION("""COMPUTED_VALUE"""),"小川 純")</f>
        <v>小川 純</v>
      </c>
    </row>
    <row r="3598" spans="2:4" ht="13">
      <c r="B3598" s="12">
        <f ca="1">IFERROR(__xludf.DUMMYFUNCTION("""COMPUTED_VALUE"""),122882)</f>
        <v>122882</v>
      </c>
      <c r="C3598" s="14">
        <f ca="1">IFERROR(__xludf.DUMMYFUNCTION("""COMPUTED_VALUE"""),1)</f>
        <v>1</v>
      </c>
      <c r="D3598" s="12" t="str">
        <f ca="1">IFERROR(__xludf.DUMMYFUNCTION("""COMPUTED_VALUE"""),"小川 純")</f>
        <v>小川 純</v>
      </c>
    </row>
    <row r="3599" spans="2:4" ht="13">
      <c r="B3599" s="12">
        <f ca="1">IFERROR(__xludf.DUMMYFUNCTION("""COMPUTED_VALUE"""),122883)</f>
        <v>122883</v>
      </c>
      <c r="C3599" s="14">
        <f ca="1">IFERROR(__xludf.DUMMYFUNCTION("""COMPUTED_VALUE"""),5)</f>
        <v>5</v>
      </c>
      <c r="D3599" s="12" t="str">
        <f ca="1">IFERROR(__xludf.DUMMYFUNCTION("""COMPUTED_VALUE"""),"老田 純輝")</f>
        <v>老田 純輝</v>
      </c>
    </row>
    <row r="3600" spans="2:4" ht="13">
      <c r="B3600" s="12">
        <f ca="1">IFERROR(__xludf.DUMMYFUNCTION("""COMPUTED_VALUE"""),122884)</f>
        <v>122884</v>
      </c>
      <c r="C3600" s="14">
        <f ca="1">IFERROR(__xludf.DUMMYFUNCTION("""COMPUTED_VALUE"""),5)</f>
        <v>5</v>
      </c>
      <c r="D3600" s="12" t="str">
        <f ca="1">IFERROR(__xludf.DUMMYFUNCTION("""COMPUTED_VALUE"""),"稲場 勇介")</f>
        <v>稲場 勇介</v>
      </c>
    </row>
    <row r="3601" spans="2:4" ht="13">
      <c r="B3601" s="12">
        <f ca="1">IFERROR(__xludf.DUMMYFUNCTION("""COMPUTED_VALUE"""),122886)</f>
        <v>122886</v>
      </c>
      <c r="C3601" s="14">
        <f ca="1">IFERROR(__xludf.DUMMYFUNCTION("""COMPUTED_VALUE"""),0)</f>
        <v>0</v>
      </c>
      <c r="D3601" s="12" t="str">
        <f ca="1">IFERROR(__xludf.DUMMYFUNCTION("""COMPUTED_VALUE"""),"菅野 ぎんが")</f>
        <v>菅野 ぎんが</v>
      </c>
    </row>
    <row r="3602" spans="2:4" ht="13">
      <c r="B3602" s="12">
        <f ca="1">IFERROR(__xludf.DUMMYFUNCTION("""COMPUTED_VALUE"""),122902)</f>
        <v>122902</v>
      </c>
      <c r="C3602" s="14">
        <f ca="1">IFERROR(__xludf.DUMMYFUNCTION("""COMPUTED_VALUE"""),0)</f>
        <v>0</v>
      </c>
      <c r="D3602" s="12" t="str">
        <f ca="1">IFERROR(__xludf.DUMMYFUNCTION("""COMPUTED_VALUE"""),"成嶋 夏未")</f>
        <v>成嶋 夏未</v>
      </c>
    </row>
    <row r="3603" spans="2:4" ht="13">
      <c r="B3603" s="12">
        <f ca="1">IFERROR(__xludf.DUMMYFUNCTION("""COMPUTED_VALUE"""),122908)</f>
        <v>122908</v>
      </c>
      <c r="C3603" s="14">
        <f ca="1">IFERROR(__xludf.DUMMYFUNCTION("""COMPUTED_VALUE"""),43)</f>
        <v>43</v>
      </c>
      <c r="D3603" s="12" t="str">
        <f ca="1">IFERROR(__xludf.DUMMYFUNCTION("""COMPUTED_VALUE"""),"堀越 駿")</f>
        <v>堀越 駿</v>
      </c>
    </row>
    <row r="3604" spans="2:4" ht="13">
      <c r="B3604" s="12">
        <f ca="1">IFERROR(__xludf.DUMMYFUNCTION("""COMPUTED_VALUE"""),122910)</f>
        <v>122910</v>
      </c>
      <c r="C3604" s="14">
        <f ca="1">IFERROR(__xludf.DUMMYFUNCTION("""COMPUTED_VALUE"""),0)</f>
        <v>0</v>
      </c>
      <c r="D3604" s="12" t="str">
        <f ca="1">IFERROR(__xludf.DUMMYFUNCTION("""COMPUTED_VALUE"""),"小関 麻起")</f>
        <v>小関 麻起</v>
      </c>
    </row>
    <row r="3605" spans="2:4" ht="13">
      <c r="B3605" s="12">
        <f ca="1">IFERROR(__xludf.DUMMYFUNCTION("""COMPUTED_VALUE"""),122924)</f>
        <v>122924</v>
      </c>
      <c r="C3605" s="14">
        <f ca="1">IFERROR(__xludf.DUMMYFUNCTION("""COMPUTED_VALUE"""),43)</f>
        <v>43</v>
      </c>
      <c r="D3605" s="12" t="str">
        <f ca="1">IFERROR(__xludf.DUMMYFUNCTION("""COMPUTED_VALUE"""),"桐山 勝気")</f>
        <v>桐山 勝気</v>
      </c>
    </row>
    <row r="3606" spans="2:4" ht="13">
      <c r="B3606" s="12">
        <f ca="1">IFERROR(__xludf.DUMMYFUNCTION("""COMPUTED_VALUE"""),122925)</f>
        <v>122925</v>
      </c>
      <c r="C3606" s="14">
        <f ca="1">IFERROR(__xludf.DUMMYFUNCTION("""COMPUTED_VALUE"""),51)</f>
        <v>51</v>
      </c>
      <c r="D3606" s="12" t="str">
        <f ca="1">IFERROR(__xludf.DUMMYFUNCTION("""COMPUTED_VALUE"""),"成嶋 夏未")</f>
        <v>成嶋 夏未</v>
      </c>
    </row>
    <row r="3607" spans="2:4" ht="13">
      <c r="B3607" s="12">
        <f ca="1">IFERROR(__xludf.DUMMYFUNCTION("""COMPUTED_VALUE"""),122929)</f>
        <v>122929</v>
      </c>
      <c r="C3607" s="14">
        <f ca="1">IFERROR(__xludf.DUMMYFUNCTION("""COMPUTED_VALUE"""),0)</f>
        <v>0</v>
      </c>
      <c r="D3607" s="12" t="str">
        <f ca="1">IFERROR(__xludf.DUMMYFUNCTION("""COMPUTED_VALUE"""),"荻曽 克輝")</f>
        <v>荻曽 克輝</v>
      </c>
    </row>
    <row r="3608" spans="2:4" ht="13">
      <c r="B3608" s="12">
        <f ca="1">IFERROR(__xludf.DUMMYFUNCTION("""COMPUTED_VALUE"""),122941)</f>
        <v>122941</v>
      </c>
      <c r="C3608" s="14">
        <f ca="1">IFERROR(__xludf.DUMMYFUNCTION("""COMPUTED_VALUE"""),0)</f>
        <v>0</v>
      </c>
      <c r="D3608" s="12" t="str">
        <f ca="1">IFERROR(__xludf.DUMMYFUNCTION("""COMPUTED_VALUE"""),"渋谷 雄大")</f>
        <v>渋谷 雄大</v>
      </c>
    </row>
    <row r="3609" spans="2:4" ht="13">
      <c r="B3609" s="12">
        <f ca="1">IFERROR(__xludf.DUMMYFUNCTION("""COMPUTED_VALUE"""),122950)</f>
        <v>122950</v>
      </c>
      <c r="C3609" s="14">
        <f ca="1">IFERROR(__xludf.DUMMYFUNCTION("""COMPUTED_VALUE"""),0)</f>
        <v>0</v>
      </c>
      <c r="D3609" s="12" t="str">
        <f ca="1">IFERROR(__xludf.DUMMYFUNCTION("""COMPUTED_VALUE"""),"辻村 将大")</f>
        <v>辻村 将大</v>
      </c>
    </row>
    <row r="3610" spans="2:4" ht="13">
      <c r="B3610" s="12">
        <f ca="1">IFERROR(__xludf.DUMMYFUNCTION("""COMPUTED_VALUE"""),122953)</f>
        <v>122953</v>
      </c>
      <c r="C3610" s="14">
        <f ca="1">IFERROR(__xludf.DUMMYFUNCTION("""COMPUTED_VALUE"""),14)</f>
        <v>14</v>
      </c>
      <c r="D3610" s="12" t="str">
        <f ca="1">IFERROR(__xludf.DUMMYFUNCTION("""COMPUTED_VALUE"""),"小関 麻起")</f>
        <v>小関 麻起</v>
      </c>
    </row>
    <row r="3611" spans="2:4" ht="13">
      <c r="B3611" s="12">
        <f ca="1">IFERROR(__xludf.DUMMYFUNCTION("""COMPUTED_VALUE"""),122959)</f>
        <v>122959</v>
      </c>
      <c r="C3611" s="14">
        <f ca="1">IFERROR(__xludf.DUMMYFUNCTION("""COMPUTED_VALUE"""),0)</f>
        <v>0</v>
      </c>
      <c r="D3611" s="12" t="str">
        <f ca="1">IFERROR(__xludf.DUMMYFUNCTION("""COMPUTED_VALUE"""),"菅野 ぎんが")</f>
        <v>菅野 ぎんが</v>
      </c>
    </row>
    <row r="3612" spans="2:4" ht="13">
      <c r="B3612" s="12">
        <f ca="1">IFERROR(__xludf.DUMMYFUNCTION("""COMPUTED_VALUE"""),122963)</f>
        <v>122963</v>
      </c>
      <c r="C3612" s="14">
        <f ca="1">IFERROR(__xludf.DUMMYFUNCTION("""COMPUTED_VALUE"""),10)</f>
        <v>10</v>
      </c>
      <c r="D3612" s="12" t="str">
        <f ca="1">IFERROR(__xludf.DUMMYFUNCTION("""COMPUTED_VALUE"""),"辻村 将大")</f>
        <v>辻村 将大</v>
      </c>
    </row>
    <row r="3613" spans="2:4" ht="13">
      <c r="B3613" s="12">
        <f ca="1">IFERROR(__xludf.DUMMYFUNCTION("""COMPUTED_VALUE"""),122964)</f>
        <v>122964</v>
      </c>
      <c r="C3613" s="14">
        <f ca="1">IFERROR(__xludf.DUMMYFUNCTION("""COMPUTED_VALUE"""),1)</f>
        <v>1</v>
      </c>
      <c r="D3613" s="12" t="str">
        <f ca="1">IFERROR(__xludf.DUMMYFUNCTION("""COMPUTED_VALUE"""),"辻村 将大")</f>
        <v>辻村 将大</v>
      </c>
    </row>
    <row r="3614" spans="2:4" ht="13">
      <c r="B3614" s="12">
        <f ca="1">IFERROR(__xludf.DUMMYFUNCTION("""COMPUTED_VALUE"""),122965)</f>
        <v>122965</v>
      </c>
      <c r="C3614" s="14">
        <f ca="1">IFERROR(__xludf.DUMMYFUNCTION("""COMPUTED_VALUE"""),3)</f>
        <v>3</v>
      </c>
      <c r="D3614" s="12" t="str">
        <f ca="1">IFERROR(__xludf.DUMMYFUNCTION("""COMPUTED_VALUE"""),"辻村 将大")</f>
        <v>辻村 将大</v>
      </c>
    </row>
    <row r="3615" spans="2:4" ht="13">
      <c r="B3615" s="12">
        <f ca="1">IFERROR(__xludf.DUMMYFUNCTION("""COMPUTED_VALUE"""),122967)</f>
        <v>122967</v>
      </c>
      <c r="C3615" s="14">
        <f ca="1">IFERROR(__xludf.DUMMYFUNCTION("""COMPUTED_VALUE"""),1)</f>
        <v>1</v>
      </c>
      <c r="D3615" s="12" t="str">
        <f ca="1">IFERROR(__xludf.DUMMYFUNCTION("""COMPUTED_VALUE"""),"辻村 将大")</f>
        <v>辻村 将大</v>
      </c>
    </row>
    <row r="3616" spans="2:4" ht="13">
      <c r="B3616" s="12">
        <f ca="1">IFERROR(__xludf.DUMMYFUNCTION("""COMPUTED_VALUE"""),122968)</f>
        <v>122968</v>
      </c>
      <c r="C3616" s="14">
        <f ca="1">IFERROR(__xludf.DUMMYFUNCTION("""COMPUTED_VALUE"""),1)</f>
        <v>1</v>
      </c>
      <c r="D3616" s="12" t="str">
        <f ca="1">IFERROR(__xludf.DUMMYFUNCTION("""COMPUTED_VALUE"""),"辻村 将大")</f>
        <v>辻村 将大</v>
      </c>
    </row>
    <row r="3617" spans="2:4" ht="13">
      <c r="B3617" s="12">
        <f ca="1">IFERROR(__xludf.DUMMYFUNCTION("""COMPUTED_VALUE"""),122969)</f>
        <v>122969</v>
      </c>
      <c r="C3617" s="14">
        <f ca="1">IFERROR(__xludf.DUMMYFUNCTION("""COMPUTED_VALUE"""),0)</f>
        <v>0</v>
      </c>
      <c r="D3617" s="12" t="str">
        <f ca="1">IFERROR(__xludf.DUMMYFUNCTION("""COMPUTED_VALUE"""),"辻村 将大")</f>
        <v>辻村 将大</v>
      </c>
    </row>
    <row r="3618" spans="2:4" ht="13">
      <c r="B3618" s="12">
        <f ca="1">IFERROR(__xludf.DUMMYFUNCTION("""COMPUTED_VALUE"""),122972)</f>
        <v>122972</v>
      </c>
      <c r="C3618" s="14">
        <f ca="1">IFERROR(__xludf.DUMMYFUNCTION("""COMPUTED_VALUE"""),0)</f>
        <v>0</v>
      </c>
      <c r="D3618" s="12" t="str">
        <f ca="1">IFERROR(__xludf.DUMMYFUNCTION("""COMPUTED_VALUE"""),"辻村 将大")</f>
        <v>辻村 将大</v>
      </c>
    </row>
    <row r="3619" spans="2:4" ht="13">
      <c r="B3619" s="12">
        <f ca="1">IFERROR(__xludf.DUMMYFUNCTION("""COMPUTED_VALUE"""),122973)</f>
        <v>122973</v>
      </c>
      <c r="C3619" s="14">
        <f ca="1">IFERROR(__xludf.DUMMYFUNCTION("""COMPUTED_VALUE"""),2)</f>
        <v>2</v>
      </c>
      <c r="D3619" s="12" t="str">
        <f ca="1">IFERROR(__xludf.DUMMYFUNCTION("""COMPUTED_VALUE"""),"辻村 将大")</f>
        <v>辻村 将大</v>
      </c>
    </row>
    <row r="3620" spans="2:4" ht="13">
      <c r="B3620" s="12">
        <f ca="1">IFERROR(__xludf.DUMMYFUNCTION("""COMPUTED_VALUE"""),122974)</f>
        <v>122974</v>
      </c>
      <c r="C3620" s="14">
        <f ca="1">IFERROR(__xludf.DUMMYFUNCTION("""COMPUTED_VALUE"""),1)</f>
        <v>1</v>
      </c>
      <c r="D3620" s="12" t="str">
        <f ca="1">IFERROR(__xludf.DUMMYFUNCTION("""COMPUTED_VALUE"""),"辻村 将大")</f>
        <v>辻村 将大</v>
      </c>
    </row>
    <row r="3621" spans="2:4" ht="13">
      <c r="B3621" s="12">
        <f ca="1">IFERROR(__xludf.DUMMYFUNCTION("""COMPUTED_VALUE"""),122975)</f>
        <v>122975</v>
      </c>
      <c r="C3621" s="14">
        <f ca="1">IFERROR(__xludf.DUMMYFUNCTION("""COMPUTED_VALUE"""),1)</f>
        <v>1</v>
      </c>
      <c r="D3621" s="12" t="str">
        <f ca="1">IFERROR(__xludf.DUMMYFUNCTION("""COMPUTED_VALUE"""),"辻村 将大")</f>
        <v>辻村 将大</v>
      </c>
    </row>
    <row r="3622" spans="2:4" ht="13">
      <c r="B3622" s="12">
        <f ca="1">IFERROR(__xludf.DUMMYFUNCTION("""COMPUTED_VALUE"""),122984)</f>
        <v>122984</v>
      </c>
      <c r="C3622" s="14">
        <f ca="1">IFERROR(__xludf.DUMMYFUNCTION("""COMPUTED_VALUE"""),2)</f>
        <v>2</v>
      </c>
      <c r="D3622" s="12" t="str">
        <f ca="1">IFERROR(__xludf.DUMMYFUNCTION("""COMPUTED_VALUE"""),"稲場 勇介")</f>
        <v>稲場 勇介</v>
      </c>
    </row>
    <row r="3623" spans="2:4" ht="13">
      <c r="B3623" s="12">
        <f ca="1">IFERROR(__xludf.DUMMYFUNCTION("""COMPUTED_VALUE"""),122986)</f>
        <v>122986</v>
      </c>
      <c r="C3623" s="14">
        <f ca="1">IFERROR(__xludf.DUMMYFUNCTION("""COMPUTED_VALUE"""),41)</f>
        <v>41</v>
      </c>
      <c r="D3623" s="12" t="str">
        <f ca="1">IFERROR(__xludf.DUMMYFUNCTION("""COMPUTED_VALUE"""),"菅野 ぎんが")</f>
        <v>菅野 ぎんが</v>
      </c>
    </row>
    <row r="3624" spans="2:4" ht="13">
      <c r="B3624" s="12">
        <f ca="1">IFERROR(__xludf.DUMMYFUNCTION("""COMPUTED_VALUE"""),122989)</f>
        <v>122989</v>
      </c>
      <c r="C3624" s="14">
        <f ca="1">IFERROR(__xludf.DUMMYFUNCTION("""COMPUTED_VALUE"""),1)</f>
        <v>1</v>
      </c>
      <c r="D3624" s="12" t="str">
        <f ca="1">IFERROR(__xludf.DUMMYFUNCTION("""COMPUTED_VALUE"""),"辻村 将大")</f>
        <v>辻村 将大</v>
      </c>
    </row>
    <row r="3625" spans="2:4" ht="13">
      <c r="B3625" s="12">
        <f ca="1">IFERROR(__xludf.DUMMYFUNCTION("""COMPUTED_VALUE"""),122992)</f>
        <v>122992</v>
      </c>
      <c r="C3625" s="14">
        <f ca="1">IFERROR(__xludf.DUMMYFUNCTION("""COMPUTED_VALUE"""),0)</f>
        <v>0</v>
      </c>
      <c r="D3625" s="12" t="str">
        <f ca="1">IFERROR(__xludf.DUMMYFUNCTION("""COMPUTED_VALUE"""),"辻村 将大")</f>
        <v>辻村 将大</v>
      </c>
    </row>
    <row r="3626" spans="2:4" ht="13">
      <c r="B3626" s="12">
        <f ca="1">IFERROR(__xludf.DUMMYFUNCTION("""COMPUTED_VALUE"""),122999)</f>
        <v>122999</v>
      </c>
      <c r="C3626" s="14">
        <f ca="1">IFERROR(__xludf.DUMMYFUNCTION("""COMPUTED_VALUE"""),0)</f>
        <v>0</v>
      </c>
      <c r="D3626" s="12" t="str">
        <f ca="1">IFERROR(__xludf.DUMMYFUNCTION("""COMPUTED_VALUE"""),"成嶋 夏未")</f>
        <v>成嶋 夏未</v>
      </c>
    </row>
    <row r="3627" spans="2:4" ht="13">
      <c r="B3627" s="12">
        <f ca="1">IFERROR(__xludf.DUMMYFUNCTION("""COMPUTED_VALUE"""),123000)</f>
        <v>123000</v>
      </c>
      <c r="C3627" s="14">
        <f ca="1">IFERROR(__xludf.DUMMYFUNCTION("""COMPUTED_VALUE"""),4)</f>
        <v>4</v>
      </c>
      <c r="D3627" s="12" t="str">
        <f ca="1">IFERROR(__xludf.DUMMYFUNCTION("""COMPUTED_VALUE"""),"辻村 将大")</f>
        <v>辻村 将大</v>
      </c>
    </row>
    <row r="3628" spans="2:4" ht="13">
      <c r="B3628" s="12">
        <f ca="1">IFERROR(__xludf.DUMMYFUNCTION("""COMPUTED_VALUE"""),123006)</f>
        <v>123006</v>
      </c>
      <c r="C3628" s="14">
        <f ca="1">IFERROR(__xludf.DUMMYFUNCTION("""COMPUTED_VALUE"""),0)</f>
        <v>0</v>
      </c>
      <c r="D3628" s="12" t="str">
        <f ca="1">IFERROR(__xludf.DUMMYFUNCTION("""COMPUTED_VALUE"""),"稲場 勇介")</f>
        <v>稲場 勇介</v>
      </c>
    </row>
    <row r="3629" spans="2:4" ht="13">
      <c r="B3629" s="12">
        <f ca="1">IFERROR(__xludf.DUMMYFUNCTION("""COMPUTED_VALUE"""),123007)</f>
        <v>123007</v>
      </c>
      <c r="C3629" s="14">
        <f ca="1">IFERROR(__xludf.DUMMYFUNCTION("""COMPUTED_VALUE"""),0)</f>
        <v>0</v>
      </c>
      <c r="D3629" s="12" t="str">
        <f ca="1">IFERROR(__xludf.DUMMYFUNCTION("""COMPUTED_VALUE"""),"松尾 尚樹")</f>
        <v>松尾 尚樹</v>
      </c>
    </row>
    <row r="3630" spans="2:4" ht="13">
      <c r="B3630" s="12">
        <f ca="1">IFERROR(__xludf.DUMMYFUNCTION("""COMPUTED_VALUE"""),123014)</f>
        <v>123014</v>
      </c>
      <c r="C3630" s="14">
        <f ca="1">IFERROR(__xludf.DUMMYFUNCTION("""COMPUTED_VALUE"""),2)</f>
        <v>2</v>
      </c>
      <c r="D3630" s="12" t="str">
        <f ca="1">IFERROR(__xludf.DUMMYFUNCTION("""COMPUTED_VALUE"""),"荻曽 克輝")</f>
        <v>荻曽 克輝</v>
      </c>
    </row>
    <row r="3631" spans="2:4" ht="13">
      <c r="B3631" s="12">
        <f ca="1">IFERROR(__xludf.DUMMYFUNCTION("""COMPUTED_VALUE"""),123018)</f>
        <v>123018</v>
      </c>
      <c r="C3631" s="14">
        <f ca="1">IFERROR(__xludf.DUMMYFUNCTION("""COMPUTED_VALUE"""),6)</f>
        <v>6</v>
      </c>
      <c r="D3631" s="12" t="str">
        <f ca="1">IFERROR(__xludf.DUMMYFUNCTION("""COMPUTED_VALUE"""),"菅野 ぎんが")</f>
        <v>菅野 ぎんが</v>
      </c>
    </row>
    <row r="3632" spans="2:4" ht="13">
      <c r="B3632" s="12">
        <f ca="1">IFERROR(__xludf.DUMMYFUNCTION("""COMPUTED_VALUE"""),123032)</f>
        <v>123032</v>
      </c>
      <c r="C3632" s="14">
        <f ca="1">IFERROR(__xludf.DUMMYFUNCTION("""COMPUTED_VALUE"""),31)</f>
        <v>31</v>
      </c>
      <c r="D3632" s="12" t="str">
        <f ca="1">IFERROR(__xludf.DUMMYFUNCTION("""COMPUTED_VALUE"""),"栗原 大武")</f>
        <v>栗原 大武</v>
      </c>
    </row>
    <row r="3633" spans="2:4" ht="13">
      <c r="B3633" s="12">
        <f ca="1">IFERROR(__xludf.DUMMYFUNCTION("""COMPUTED_VALUE"""),123040)</f>
        <v>123040</v>
      </c>
      <c r="C3633" s="14">
        <f ca="1">IFERROR(__xludf.DUMMYFUNCTION("""COMPUTED_VALUE"""),0)</f>
        <v>0</v>
      </c>
      <c r="D3633" s="12" t="str">
        <f ca="1">IFERROR(__xludf.DUMMYFUNCTION("""COMPUTED_VALUE"""),"田嶋 将太")</f>
        <v>田嶋 将太</v>
      </c>
    </row>
    <row r="3634" spans="2:4" ht="13">
      <c r="B3634" s="12">
        <f ca="1">IFERROR(__xludf.DUMMYFUNCTION("""COMPUTED_VALUE"""),123041)</f>
        <v>123041</v>
      </c>
      <c r="C3634" s="14">
        <f ca="1">IFERROR(__xludf.DUMMYFUNCTION("""COMPUTED_VALUE"""),0)</f>
        <v>0</v>
      </c>
      <c r="D3634" s="12" t="str">
        <f ca="1">IFERROR(__xludf.DUMMYFUNCTION("""COMPUTED_VALUE"""),"松尾 尚樹")</f>
        <v>松尾 尚樹</v>
      </c>
    </row>
    <row r="3635" spans="2:4" ht="13">
      <c r="B3635" s="12">
        <f ca="1">IFERROR(__xludf.DUMMYFUNCTION("""COMPUTED_VALUE"""),123045)</f>
        <v>123045</v>
      </c>
      <c r="C3635" s="14">
        <f ca="1">IFERROR(__xludf.DUMMYFUNCTION("""COMPUTED_VALUE"""),17)</f>
        <v>17</v>
      </c>
      <c r="D3635" s="12" t="str">
        <f ca="1">IFERROR(__xludf.DUMMYFUNCTION("""COMPUTED_VALUE"""),"辻村 将大")</f>
        <v>辻村 将大</v>
      </c>
    </row>
    <row r="3636" spans="2:4" ht="13">
      <c r="B3636" s="12">
        <f ca="1">IFERROR(__xludf.DUMMYFUNCTION("""COMPUTED_VALUE"""),123046)</f>
        <v>123046</v>
      </c>
      <c r="C3636" s="14">
        <f ca="1">IFERROR(__xludf.DUMMYFUNCTION("""COMPUTED_VALUE"""),1)</f>
        <v>1</v>
      </c>
      <c r="D3636" s="12" t="str">
        <f ca="1">IFERROR(__xludf.DUMMYFUNCTION("""COMPUTED_VALUE"""),"老田 純輝")</f>
        <v>老田 純輝</v>
      </c>
    </row>
    <row r="3637" spans="2:4" ht="13">
      <c r="B3637" s="12">
        <f ca="1">IFERROR(__xludf.DUMMYFUNCTION("""COMPUTED_VALUE"""),123050)</f>
        <v>123050</v>
      </c>
      <c r="C3637" s="14">
        <f ca="1">IFERROR(__xludf.DUMMYFUNCTION("""COMPUTED_VALUE"""),129)</f>
        <v>129</v>
      </c>
      <c r="D3637" s="12" t="str">
        <f ca="1">IFERROR(__xludf.DUMMYFUNCTION("""COMPUTED_VALUE"""),"栗原 大武")</f>
        <v>栗原 大武</v>
      </c>
    </row>
    <row r="3638" spans="2:4" ht="13">
      <c r="B3638" s="12">
        <f ca="1">IFERROR(__xludf.DUMMYFUNCTION("""COMPUTED_VALUE"""),123059)</f>
        <v>123059</v>
      </c>
      <c r="C3638" s="14">
        <f ca="1">IFERROR(__xludf.DUMMYFUNCTION("""COMPUTED_VALUE"""),3)</f>
        <v>3</v>
      </c>
      <c r="D3638" s="12" t="str">
        <f ca="1">IFERROR(__xludf.DUMMYFUNCTION("""COMPUTED_VALUE"""),"村上 浩一朗")</f>
        <v>村上 浩一朗</v>
      </c>
    </row>
    <row r="3639" spans="2:4" ht="13">
      <c r="B3639" s="12">
        <f ca="1">IFERROR(__xludf.DUMMYFUNCTION("""COMPUTED_VALUE"""),123068)</f>
        <v>123068</v>
      </c>
      <c r="C3639" s="14">
        <f ca="1">IFERROR(__xludf.DUMMYFUNCTION("""COMPUTED_VALUE"""),2)</f>
        <v>2</v>
      </c>
      <c r="D3639" s="12" t="str">
        <f ca="1">IFERROR(__xludf.DUMMYFUNCTION("""COMPUTED_VALUE"""),"松尾 尚樹")</f>
        <v>松尾 尚樹</v>
      </c>
    </row>
    <row r="3640" spans="2:4" ht="13">
      <c r="B3640" s="12">
        <f ca="1">IFERROR(__xludf.DUMMYFUNCTION("""COMPUTED_VALUE"""),123069)</f>
        <v>123069</v>
      </c>
      <c r="C3640" s="14">
        <f ca="1">IFERROR(__xludf.DUMMYFUNCTION("""COMPUTED_VALUE"""),33)</f>
        <v>33</v>
      </c>
      <c r="D3640" s="12" t="str">
        <f ca="1">IFERROR(__xludf.DUMMYFUNCTION("""COMPUTED_VALUE"""),"菅野 ぎんが")</f>
        <v>菅野 ぎんが</v>
      </c>
    </row>
    <row r="3641" spans="2:4" ht="13">
      <c r="B3641" s="12">
        <f ca="1">IFERROR(__xludf.DUMMYFUNCTION("""COMPUTED_VALUE"""),123071)</f>
        <v>123071</v>
      </c>
      <c r="C3641" s="14">
        <f ca="1">IFERROR(__xludf.DUMMYFUNCTION("""COMPUTED_VALUE"""),14)</f>
        <v>14</v>
      </c>
      <c r="D3641" s="12" t="str">
        <f ca="1">IFERROR(__xludf.DUMMYFUNCTION("""COMPUTED_VALUE"""),"小川 純")</f>
        <v>小川 純</v>
      </c>
    </row>
    <row r="3642" spans="2:4" ht="13">
      <c r="B3642" s="12">
        <f ca="1">IFERROR(__xludf.DUMMYFUNCTION("""COMPUTED_VALUE"""),123078)</f>
        <v>123078</v>
      </c>
      <c r="C3642" s="14">
        <f ca="1">IFERROR(__xludf.DUMMYFUNCTION("""COMPUTED_VALUE"""),13)</f>
        <v>13</v>
      </c>
      <c r="D3642" s="12" t="str">
        <f ca="1">IFERROR(__xludf.DUMMYFUNCTION("""COMPUTED_VALUE"""),"稲場 勇介")</f>
        <v>稲場 勇介</v>
      </c>
    </row>
    <row r="3643" spans="2:4" ht="13">
      <c r="B3643" s="12">
        <f ca="1">IFERROR(__xludf.DUMMYFUNCTION("""COMPUTED_VALUE"""),123080)</f>
        <v>123080</v>
      </c>
      <c r="C3643" s="14">
        <f ca="1">IFERROR(__xludf.DUMMYFUNCTION("""COMPUTED_VALUE"""),23)</f>
        <v>23</v>
      </c>
      <c r="D3643" s="12" t="str">
        <f ca="1">IFERROR(__xludf.DUMMYFUNCTION("""COMPUTED_VALUE"""),"荻曽 克輝")</f>
        <v>荻曽 克輝</v>
      </c>
    </row>
    <row r="3644" spans="2:4" ht="13">
      <c r="B3644" s="12">
        <f ca="1">IFERROR(__xludf.DUMMYFUNCTION("""COMPUTED_VALUE"""),123086)</f>
        <v>123086</v>
      </c>
      <c r="C3644" s="14">
        <f ca="1">IFERROR(__xludf.DUMMYFUNCTION("""COMPUTED_VALUE"""),0)</f>
        <v>0</v>
      </c>
      <c r="D3644" s="12" t="str">
        <f ca="1">IFERROR(__xludf.DUMMYFUNCTION("""COMPUTED_VALUE"""),"成嶋 夏未")</f>
        <v>成嶋 夏未</v>
      </c>
    </row>
    <row r="3645" spans="2:4" ht="13">
      <c r="B3645" s="12">
        <f ca="1">IFERROR(__xludf.DUMMYFUNCTION("""COMPUTED_VALUE"""),123090)</f>
        <v>123090</v>
      </c>
      <c r="C3645" s="14">
        <f ca="1">IFERROR(__xludf.DUMMYFUNCTION("""COMPUTED_VALUE"""),54)</f>
        <v>54</v>
      </c>
      <c r="D3645" s="12" t="str">
        <f ca="1">IFERROR(__xludf.DUMMYFUNCTION("""COMPUTED_VALUE"""),"長谷川 陸朗")</f>
        <v>長谷川 陸朗</v>
      </c>
    </row>
    <row r="3646" spans="2:4" ht="13">
      <c r="B3646" s="12">
        <f ca="1">IFERROR(__xludf.DUMMYFUNCTION("""COMPUTED_VALUE"""),123098)</f>
        <v>123098</v>
      </c>
      <c r="C3646" s="14">
        <f ca="1">IFERROR(__xludf.DUMMYFUNCTION("""COMPUTED_VALUE"""),0)</f>
        <v>0</v>
      </c>
      <c r="D3646" s="12" t="str">
        <f ca="1">IFERROR(__xludf.DUMMYFUNCTION("""COMPUTED_VALUE"""),"菅野 ぎんが")</f>
        <v>菅野 ぎんが</v>
      </c>
    </row>
    <row r="3647" spans="2:4" ht="13">
      <c r="B3647" s="12">
        <f ca="1">IFERROR(__xludf.DUMMYFUNCTION("""COMPUTED_VALUE"""),123108)</f>
        <v>123108</v>
      </c>
      <c r="C3647" s="14">
        <f ca="1">IFERROR(__xludf.DUMMYFUNCTION("""COMPUTED_VALUE"""),0)</f>
        <v>0</v>
      </c>
      <c r="D3647" s="12" t="str">
        <f ca="1">IFERROR(__xludf.DUMMYFUNCTION("""COMPUTED_VALUE"""),"辻村 将大")</f>
        <v>辻村 将大</v>
      </c>
    </row>
    <row r="3648" spans="2:4" ht="13">
      <c r="B3648" s="12">
        <f ca="1">IFERROR(__xludf.DUMMYFUNCTION("""COMPUTED_VALUE"""),123109)</f>
        <v>123109</v>
      </c>
      <c r="C3648" s="14">
        <f ca="1">IFERROR(__xludf.DUMMYFUNCTION("""COMPUTED_VALUE"""),5)</f>
        <v>5</v>
      </c>
      <c r="D3648" s="12" t="str">
        <f ca="1">IFERROR(__xludf.DUMMYFUNCTION("""COMPUTED_VALUE"""),"辻村 将大")</f>
        <v>辻村 将大</v>
      </c>
    </row>
    <row r="3649" spans="2:4" ht="13">
      <c r="B3649" s="12">
        <f ca="1">IFERROR(__xludf.DUMMYFUNCTION("""COMPUTED_VALUE"""),123116)</f>
        <v>123116</v>
      </c>
      <c r="C3649" s="14">
        <f ca="1">IFERROR(__xludf.DUMMYFUNCTION("""COMPUTED_VALUE"""),0)</f>
        <v>0</v>
      </c>
      <c r="D3649" s="12" t="str">
        <f ca="1">IFERROR(__xludf.DUMMYFUNCTION("""COMPUTED_VALUE"""),"稲場 勇介")</f>
        <v>稲場 勇介</v>
      </c>
    </row>
    <row r="3650" spans="2:4" ht="13">
      <c r="B3650" s="12">
        <f ca="1">IFERROR(__xludf.DUMMYFUNCTION("""COMPUTED_VALUE"""),123118)</f>
        <v>123118</v>
      </c>
      <c r="C3650" s="14">
        <f ca="1">IFERROR(__xludf.DUMMYFUNCTION("""COMPUTED_VALUE"""),2)</f>
        <v>2</v>
      </c>
      <c r="D3650" s="12" t="str">
        <f ca="1">IFERROR(__xludf.DUMMYFUNCTION("""COMPUTED_VALUE"""),"松尾 尚樹")</f>
        <v>松尾 尚樹</v>
      </c>
    </row>
    <row r="3651" spans="2:4" ht="13">
      <c r="B3651" s="12">
        <f ca="1">IFERROR(__xludf.DUMMYFUNCTION("""COMPUTED_VALUE"""),123132)</f>
        <v>123132</v>
      </c>
      <c r="C3651" s="14">
        <f ca="1">IFERROR(__xludf.DUMMYFUNCTION("""COMPUTED_VALUE"""),27)</f>
        <v>27</v>
      </c>
      <c r="D3651" s="12" t="str">
        <f ca="1">IFERROR(__xludf.DUMMYFUNCTION("""COMPUTED_VALUE"""),"長谷川 陸朗")</f>
        <v>長谷川 陸朗</v>
      </c>
    </row>
    <row r="3652" spans="2:4" ht="13">
      <c r="B3652" s="12">
        <f ca="1">IFERROR(__xludf.DUMMYFUNCTION("""COMPUTED_VALUE"""),123134)</f>
        <v>123134</v>
      </c>
      <c r="C3652" s="14">
        <f ca="1">IFERROR(__xludf.DUMMYFUNCTION("""COMPUTED_VALUE"""),65)</f>
        <v>65</v>
      </c>
      <c r="D3652" s="12" t="str">
        <f ca="1">IFERROR(__xludf.DUMMYFUNCTION("""COMPUTED_VALUE"""),"小川 純")</f>
        <v>小川 純</v>
      </c>
    </row>
    <row r="3653" spans="2:4" ht="13">
      <c r="B3653" s="12">
        <f ca="1">IFERROR(__xludf.DUMMYFUNCTION("""COMPUTED_VALUE"""),123135)</f>
        <v>123135</v>
      </c>
      <c r="C3653" s="14">
        <f ca="1">IFERROR(__xludf.DUMMYFUNCTION("""COMPUTED_VALUE"""),11)</f>
        <v>11</v>
      </c>
      <c r="D3653" s="12" t="str">
        <f ca="1">IFERROR(__xludf.DUMMYFUNCTION("""COMPUTED_VALUE"""),"稲場 勇介")</f>
        <v>稲場 勇介</v>
      </c>
    </row>
    <row r="3654" spans="2:4" ht="13">
      <c r="B3654" s="12">
        <f ca="1">IFERROR(__xludf.DUMMYFUNCTION("""COMPUTED_VALUE"""),123136)</f>
        <v>123136</v>
      </c>
      <c r="C3654" s="14">
        <f ca="1">IFERROR(__xludf.DUMMYFUNCTION("""COMPUTED_VALUE"""),0)</f>
        <v>0</v>
      </c>
      <c r="D3654" s="12" t="str">
        <f ca="1">IFERROR(__xludf.DUMMYFUNCTION("""COMPUTED_VALUE"""),"菅野 ぎんが")</f>
        <v>菅野 ぎんが</v>
      </c>
    </row>
    <row r="3655" spans="2:4" ht="13">
      <c r="B3655" s="12">
        <f ca="1">IFERROR(__xludf.DUMMYFUNCTION("""COMPUTED_VALUE"""),123137)</f>
        <v>123137</v>
      </c>
      <c r="C3655" s="14">
        <f ca="1">IFERROR(__xludf.DUMMYFUNCTION("""COMPUTED_VALUE"""),0)</f>
        <v>0</v>
      </c>
      <c r="D3655" s="12" t="str">
        <f ca="1">IFERROR(__xludf.DUMMYFUNCTION("""COMPUTED_VALUE"""),"村上 浩一朗")</f>
        <v>村上 浩一朗</v>
      </c>
    </row>
    <row r="3656" spans="2:4" ht="13">
      <c r="B3656" s="12">
        <f ca="1">IFERROR(__xludf.DUMMYFUNCTION("""COMPUTED_VALUE"""),123146)</f>
        <v>123146</v>
      </c>
      <c r="C3656" s="14">
        <f ca="1">IFERROR(__xludf.DUMMYFUNCTION("""COMPUTED_VALUE"""),3)</f>
        <v>3</v>
      </c>
      <c r="D3656" s="12" t="str">
        <f ca="1">IFERROR(__xludf.DUMMYFUNCTION("""COMPUTED_VALUE"""),"小川 純")</f>
        <v>小川 純</v>
      </c>
    </row>
    <row r="3657" spans="2:4" ht="13">
      <c r="B3657" s="12">
        <f ca="1">IFERROR(__xludf.DUMMYFUNCTION("""COMPUTED_VALUE"""),123148)</f>
        <v>123148</v>
      </c>
      <c r="C3657" s="14">
        <f ca="1">IFERROR(__xludf.DUMMYFUNCTION("""COMPUTED_VALUE"""),6)</f>
        <v>6</v>
      </c>
      <c r="D3657" s="12" t="str">
        <f ca="1">IFERROR(__xludf.DUMMYFUNCTION("""COMPUTED_VALUE"""),"村上 浩一朗")</f>
        <v>村上 浩一朗</v>
      </c>
    </row>
    <row r="3658" spans="2:4" ht="13">
      <c r="B3658" s="12">
        <f ca="1">IFERROR(__xludf.DUMMYFUNCTION("""COMPUTED_VALUE"""),123150)</f>
        <v>123150</v>
      </c>
      <c r="C3658" s="14">
        <f ca="1">IFERROR(__xludf.DUMMYFUNCTION("""COMPUTED_VALUE"""),22)</f>
        <v>22</v>
      </c>
      <c r="D3658" s="12" t="str">
        <f ca="1">IFERROR(__xludf.DUMMYFUNCTION("""COMPUTED_VALUE"""),"村上 浩一朗")</f>
        <v>村上 浩一朗</v>
      </c>
    </row>
    <row r="3659" spans="2:4" ht="13">
      <c r="B3659" s="12">
        <f ca="1">IFERROR(__xludf.DUMMYFUNCTION("""COMPUTED_VALUE"""),123151)</f>
        <v>123151</v>
      </c>
      <c r="C3659" s="14">
        <f ca="1">IFERROR(__xludf.DUMMYFUNCTION("""COMPUTED_VALUE"""),21)</f>
        <v>21</v>
      </c>
      <c r="D3659" s="12" t="str">
        <f ca="1">IFERROR(__xludf.DUMMYFUNCTION("""COMPUTED_VALUE"""),"村上 浩一朗")</f>
        <v>村上 浩一朗</v>
      </c>
    </row>
    <row r="3660" spans="2:4" ht="13">
      <c r="B3660" s="12">
        <f ca="1">IFERROR(__xludf.DUMMYFUNCTION("""COMPUTED_VALUE"""),123152)</f>
        <v>123152</v>
      </c>
      <c r="C3660" s="14">
        <f ca="1">IFERROR(__xludf.DUMMYFUNCTION("""COMPUTED_VALUE"""),26)</f>
        <v>26</v>
      </c>
      <c r="D3660" s="12" t="str">
        <f ca="1">IFERROR(__xludf.DUMMYFUNCTION("""COMPUTED_VALUE"""),"村上 浩一朗")</f>
        <v>村上 浩一朗</v>
      </c>
    </row>
    <row r="3661" spans="2:4" ht="13">
      <c r="B3661" s="12">
        <f ca="1">IFERROR(__xludf.DUMMYFUNCTION("""COMPUTED_VALUE"""),123153)</f>
        <v>123153</v>
      </c>
      <c r="C3661" s="14">
        <f ca="1">IFERROR(__xludf.DUMMYFUNCTION("""COMPUTED_VALUE"""),32)</f>
        <v>32</v>
      </c>
      <c r="D3661" s="12" t="str">
        <f ca="1">IFERROR(__xludf.DUMMYFUNCTION("""COMPUTED_VALUE"""),"村上 浩一朗")</f>
        <v>村上 浩一朗</v>
      </c>
    </row>
    <row r="3662" spans="2:4" ht="13">
      <c r="B3662" s="12">
        <f ca="1">IFERROR(__xludf.DUMMYFUNCTION("""COMPUTED_VALUE"""),123154)</f>
        <v>123154</v>
      </c>
      <c r="C3662" s="14">
        <f ca="1">IFERROR(__xludf.DUMMYFUNCTION("""COMPUTED_VALUE"""),28)</f>
        <v>28</v>
      </c>
      <c r="D3662" s="12" t="str">
        <f ca="1">IFERROR(__xludf.DUMMYFUNCTION("""COMPUTED_VALUE"""),"村上 浩一朗")</f>
        <v>村上 浩一朗</v>
      </c>
    </row>
    <row r="3663" spans="2:4" ht="13">
      <c r="B3663" s="12">
        <f ca="1">IFERROR(__xludf.DUMMYFUNCTION("""COMPUTED_VALUE"""),123155)</f>
        <v>123155</v>
      </c>
      <c r="C3663" s="14">
        <f ca="1">IFERROR(__xludf.DUMMYFUNCTION("""COMPUTED_VALUE"""),14)</f>
        <v>14</v>
      </c>
      <c r="D3663" s="12" t="str">
        <f ca="1">IFERROR(__xludf.DUMMYFUNCTION("""COMPUTED_VALUE"""),"村上 浩一朗")</f>
        <v>村上 浩一朗</v>
      </c>
    </row>
    <row r="3664" spans="2:4" ht="13">
      <c r="B3664" s="12">
        <f ca="1">IFERROR(__xludf.DUMMYFUNCTION("""COMPUTED_VALUE"""),123156)</f>
        <v>123156</v>
      </c>
      <c r="C3664" s="14">
        <f ca="1">IFERROR(__xludf.DUMMYFUNCTION("""COMPUTED_VALUE"""),8)</f>
        <v>8</v>
      </c>
      <c r="D3664" s="12" t="str">
        <f ca="1">IFERROR(__xludf.DUMMYFUNCTION("""COMPUTED_VALUE"""),"村上 浩一朗")</f>
        <v>村上 浩一朗</v>
      </c>
    </row>
    <row r="3665" spans="2:4" ht="13">
      <c r="B3665" s="12">
        <f ca="1">IFERROR(__xludf.DUMMYFUNCTION("""COMPUTED_VALUE"""),123157)</f>
        <v>123157</v>
      </c>
      <c r="C3665" s="14">
        <f ca="1">IFERROR(__xludf.DUMMYFUNCTION("""COMPUTED_VALUE"""),9)</f>
        <v>9</v>
      </c>
      <c r="D3665" s="12" t="str">
        <f ca="1">IFERROR(__xludf.DUMMYFUNCTION("""COMPUTED_VALUE"""),"村上 浩一朗")</f>
        <v>村上 浩一朗</v>
      </c>
    </row>
    <row r="3666" spans="2:4" ht="13">
      <c r="B3666" s="12">
        <f ca="1">IFERROR(__xludf.DUMMYFUNCTION("""COMPUTED_VALUE"""),123158)</f>
        <v>123158</v>
      </c>
      <c r="C3666" s="14">
        <f ca="1">IFERROR(__xludf.DUMMYFUNCTION("""COMPUTED_VALUE"""),11)</f>
        <v>11</v>
      </c>
      <c r="D3666" s="12" t="str">
        <f ca="1">IFERROR(__xludf.DUMMYFUNCTION("""COMPUTED_VALUE"""),"村上 浩一朗")</f>
        <v>村上 浩一朗</v>
      </c>
    </row>
    <row r="3667" spans="2:4" ht="13">
      <c r="B3667" s="12">
        <f ca="1">IFERROR(__xludf.DUMMYFUNCTION("""COMPUTED_VALUE"""),123159)</f>
        <v>123159</v>
      </c>
      <c r="C3667" s="14">
        <f ca="1">IFERROR(__xludf.DUMMYFUNCTION("""COMPUTED_VALUE"""),9)</f>
        <v>9</v>
      </c>
      <c r="D3667" s="12" t="str">
        <f ca="1">IFERROR(__xludf.DUMMYFUNCTION("""COMPUTED_VALUE"""),"村上 浩一朗")</f>
        <v>村上 浩一朗</v>
      </c>
    </row>
    <row r="3668" spans="2:4" ht="13">
      <c r="B3668" s="12">
        <f ca="1">IFERROR(__xludf.DUMMYFUNCTION("""COMPUTED_VALUE"""),123160)</f>
        <v>123160</v>
      </c>
      <c r="C3668" s="14">
        <f ca="1">IFERROR(__xludf.DUMMYFUNCTION("""COMPUTED_VALUE"""),11)</f>
        <v>11</v>
      </c>
      <c r="D3668" s="12" t="str">
        <f ca="1">IFERROR(__xludf.DUMMYFUNCTION("""COMPUTED_VALUE"""),"村上 浩一朗")</f>
        <v>村上 浩一朗</v>
      </c>
    </row>
    <row r="3669" spans="2:4" ht="13">
      <c r="B3669" s="12">
        <f ca="1">IFERROR(__xludf.DUMMYFUNCTION("""COMPUTED_VALUE"""),123161)</f>
        <v>123161</v>
      </c>
      <c r="C3669" s="14">
        <f ca="1">IFERROR(__xludf.DUMMYFUNCTION("""COMPUTED_VALUE"""),12)</f>
        <v>12</v>
      </c>
      <c r="D3669" s="12" t="str">
        <f ca="1">IFERROR(__xludf.DUMMYFUNCTION("""COMPUTED_VALUE"""),"村上 浩一朗")</f>
        <v>村上 浩一朗</v>
      </c>
    </row>
    <row r="3670" spans="2:4" ht="13">
      <c r="B3670" s="12">
        <f ca="1">IFERROR(__xludf.DUMMYFUNCTION("""COMPUTED_VALUE"""),123162)</f>
        <v>123162</v>
      </c>
      <c r="C3670" s="14">
        <f ca="1">IFERROR(__xludf.DUMMYFUNCTION("""COMPUTED_VALUE"""),6)</f>
        <v>6</v>
      </c>
      <c r="D3670" s="12" t="str">
        <f ca="1">IFERROR(__xludf.DUMMYFUNCTION("""COMPUTED_VALUE"""),"村上 浩一朗")</f>
        <v>村上 浩一朗</v>
      </c>
    </row>
    <row r="3671" spans="2:4" ht="13">
      <c r="B3671" s="12">
        <f ca="1">IFERROR(__xludf.DUMMYFUNCTION("""COMPUTED_VALUE"""),123165)</f>
        <v>123165</v>
      </c>
      <c r="C3671" s="14">
        <f ca="1">IFERROR(__xludf.DUMMYFUNCTION("""COMPUTED_VALUE"""),0)</f>
        <v>0</v>
      </c>
      <c r="D3671" s="12" t="str">
        <f ca="1">IFERROR(__xludf.DUMMYFUNCTION("""COMPUTED_VALUE"""),"小川 純")</f>
        <v>小川 純</v>
      </c>
    </row>
    <row r="3672" spans="2:4" ht="13">
      <c r="B3672" s="12">
        <f ca="1">IFERROR(__xludf.DUMMYFUNCTION("""COMPUTED_VALUE"""),123173)</f>
        <v>123173</v>
      </c>
      <c r="C3672" s="14">
        <f ca="1">IFERROR(__xludf.DUMMYFUNCTION("""COMPUTED_VALUE"""),0)</f>
        <v>0</v>
      </c>
      <c r="D3672" s="12" t="str">
        <f ca="1">IFERROR(__xludf.DUMMYFUNCTION("""COMPUTED_VALUE"""),"小関 麻起")</f>
        <v>小関 麻起</v>
      </c>
    </row>
    <row r="3673" spans="2:4" ht="13">
      <c r="B3673" s="12">
        <f ca="1">IFERROR(__xludf.DUMMYFUNCTION("""COMPUTED_VALUE"""),123175)</f>
        <v>123175</v>
      </c>
      <c r="C3673" s="14">
        <f ca="1">IFERROR(__xludf.DUMMYFUNCTION("""COMPUTED_VALUE"""),81)</f>
        <v>81</v>
      </c>
      <c r="D3673" s="12" t="str">
        <f ca="1">IFERROR(__xludf.DUMMYFUNCTION("""COMPUTED_VALUE"""),"桐山 勝気")</f>
        <v>桐山 勝気</v>
      </c>
    </row>
    <row r="3674" spans="2:4" ht="13">
      <c r="B3674" s="12">
        <f ca="1">IFERROR(__xludf.DUMMYFUNCTION("""COMPUTED_VALUE"""),123180)</f>
        <v>123180</v>
      </c>
      <c r="C3674" s="14">
        <f ca="1">IFERROR(__xludf.DUMMYFUNCTION("""COMPUTED_VALUE"""),0)</f>
        <v>0</v>
      </c>
      <c r="D3674" s="12" t="str">
        <f ca="1">IFERROR(__xludf.DUMMYFUNCTION("""COMPUTED_VALUE"""),"村上 浩一朗")</f>
        <v>村上 浩一朗</v>
      </c>
    </row>
    <row r="3675" spans="2:4" ht="13">
      <c r="B3675" s="12">
        <f ca="1">IFERROR(__xludf.DUMMYFUNCTION("""COMPUTED_VALUE"""),123186)</f>
        <v>123186</v>
      </c>
      <c r="C3675" s="14">
        <f ca="1">IFERROR(__xludf.DUMMYFUNCTION("""COMPUTED_VALUE"""),0)</f>
        <v>0</v>
      </c>
      <c r="D3675" s="12" t="str">
        <f ca="1">IFERROR(__xludf.DUMMYFUNCTION("""COMPUTED_VALUE"""),"稲場 勇介")</f>
        <v>稲場 勇介</v>
      </c>
    </row>
    <row r="3676" spans="2:4" ht="13">
      <c r="B3676" s="12">
        <f ca="1">IFERROR(__xludf.DUMMYFUNCTION("""COMPUTED_VALUE"""),123188)</f>
        <v>123188</v>
      </c>
      <c r="C3676" s="14">
        <f ca="1">IFERROR(__xludf.DUMMYFUNCTION("""COMPUTED_VALUE"""),1)</f>
        <v>1</v>
      </c>
      <c r="D3676" s="12" t="str">
        <f ca="1">IFERROR(__xludf.DUMMYFUNCTION("""COMPUTED_VALUE"""),"長谷川 陸朗")</f>
        <v>長谷川 陸朗</v>
      </c>
    </row>
    <row r="3677" spans="2:4" ht="13">
      <c r="B3677" s="12">
        <f ca="1">IFERROR(__xludf.DUMMYFUNCTION("""COMPUTED_VALUE"""),123189)</f>
        <v>123189</v>
      </c>
      <c r="C3677" s="14">
        <f ca="1">IFERROR(__xludf.DUMMYFUNCTION("""COMPUTED_VALUE"""),0)</f>
        <v>0</v>
      </c>
      <c r="D3677" s="12" t="str">
        <f ca="1">IFERROR(__xludf.DUMMYFUNCTION("""COMPUTED_VALUE"""),"栗原 大武")</f>
        <v>栗原 大武</v>
      </c>
    </row>
    <row r="3678" spans="2:4" ht="13">
      <c r="B3678" s="12">
        <f ca="1">IFERROR(__xludf.DUMMYFUNCTION("""COMPUTED_VALUE"""),123195)</f>
        <v>123195</v>
      </c>
      <c r="C3678" s="14">
        <f ca="1">IFERROR(__xludf.DUMMYFUNCTION("""COMPUTED_VALUE"""),23)</f>
        <v>23</v>
      </c>
      <c r="D3678" s="12" t="str">
        <f ca="1">IFERROR(__xludf.DUMMYFUNCTION("""COMPUTED_VALUE"""),"栗原 大武")</f>
        <v>栗原 大武</v>
      </c>
    </row>
    <row r="3679" spans="2:4" ht="13">
      <c r="B3679" s="12">
        <f ca="1">IFERROR(__xludf.DUMMYFUNCTION("""COMPUTED_VALUE"""),123199)</f>
        <v>123199</v>
      </c>
      <c r="C3679" s="14">
        <f ca="1">IFERROR(__xludf.DUMMYFUNCTION("""COMPUTED_VALUE"""),0)</f>
        <v>0</v>
      </c>
      <c r="D3679" s="12" t="str">
        <f ca="1">IFERROR(__xludf.DUMMYFUNCTION("""COMPUTED_VALUE"""),"内丸 裕子")</f>
        <v>内丸 裕子</v>
      </c>
    </row>
    <row r="3680" spans="2:4" ht="13">
      <c r="B3680" s="12">
        <f ca="1">IFERROR(__xludf.DUMMYFUNCTION("""COMPUTED_VALUE"""),123201)</f>
        <v>123201</v>
      </c>
      <c r="C3680" s="14">
        <f ca="1">IFERROR(__xludf.DUMMYFUNCTION("""COMPUTED_VALUE"""),0)</f>
        <v>0</v>
      </c>
      <c r="D3680" s="12" t="str">
        <f ca="1">IFERROR(__xludf.DUMMYFUNCTION("""COMPUTED_VALUE"""),"小関 麻起")</f>
        <v>小関 麻起</v>
      </c>
    </row>
    <row r="3681" spans="2:4" ht="13">
      <c r="B3681" s="12">
        <f ca="1">IFERROR(__xludf.DUMMYFUNCTION("""COMPUTED_VALUE"""),123204)</f>
        <v>123204</v>
      </c>
      <c r="C3681" s="14">
        <f ca="1">IFERROR(__xludf.DUMMYFUNCTION("""COMPUTED_VALUE"""),2)</f>
        <v>2</v>
      </c>
      <c r="D3681" s="12" t="str">
        <f ca="1">IFERROR(__xludf.DUMMYFUNCTION("""COMPUTED_VALUE"""),"松尾 尚樹")</f>
        <v>松尾 尚樹</v>
      </c>
    </row>
    <row r="3682" spans="2:4" ht="13">
      <c r="B3682" s="12">
        <f ca="1">IFERROR(__xludf.DUMMYFUNCTION("""COMPUTED_VALUE"""),123205)</f>
        <v>123205</v>
      </c>
      <c r="C3682" s="14">
        <f ca="1">IFERROR(__xludf.DUMMYFUNCTION("""COMPUTED_VALUE"""),3)</f>
        <v>3</v>
      </c>
      <c r="D3682" s="12" t="str">
        <f ca="1">IFERROR(__xludf.DUMMYFUNCTION("""COMPUTED_VALUE"""),"老田 純輝")</f>
        <v>老田 純輝</v>
      </c>
    </row>
    <row r="3683" spans="2:4" ht="13">
      <c r="B3683" s="12">
        <f ca="1">IFERROR(__xludf.DUMMYFUNCTION("""COMPUTED_VALUE"""),123207)</f>
        <v>123207</v>
      </c>
      <c r="C3683" s="14">
        <f ca="1">IFERROR(__xludf.DUMMYFUNCTION("""COMPUTED_VALUE"""),1)</f>
        <v>1</v>
      </c>
      <c r="D3683" s="12" t="str">
        <f ca="1">IFERROR(__xludf.DUMMYFUNCTION("""COMPUTED_VALUE"""),"稲場 勇介")</f>
        <v>稲場 勇介</v>
      </c>
    </row>
    <row r="3684" spans="2:4" ht="13">
      <c r="B3684" s="12">
        <f ca="1">IFERROR(__xludf.DUMMYFUNCTION("""COMPUTED_VALUE"""),123208)</f>
        <v>123208</v>
      </c>
      <c r="C3684" s="14">
        <f ca="1">IFERROR(__xludf.DUMMYFUNCTION("""COMPUTED_VALUE"""),0)</f>
        <v>0</v>
      </c>
      <c r="D3684" s="12" t="str">
        <f ca="1">IFERROR(__xludf.DUMMYFUNCTION("""COMPUTED_VALUE"""),"長谷川 陸朗")</f>
        <v>長谷川 陸朗</v>
      </c>
    </row>
    <row r="3685" spans="2:4" ht="13">
      <c r="B3685" s="12">
        <f ca="1">IFERROR(__xludf.DUMMYFUNCTION("""COMPUTED_VALUE"""),123212)</f>
        <v>123212</v>
      </c>
      <c r="C3685" s="14">
        <f ca="1">IFERROR(__xludf.DUMMYFUNCTION("""COMPUTED_VALUE"""),0)</f>
        <v>0</v>
      </c>
      <c r="D3685" s="12" t="str">
        <f ca="1">IFERROR(__xludf.DUMMYFUNCTION("""COMPUTED_VALUE"""),"稲場 勇介")</f>
        <v>稲場 勇介</v>
      </c>
    </row>
    <row r="3686" spans="2:4" ht="13">
      <c r="B3686" s="12">
        <f ca="1">IFERROR(__xludf.DUMMYFUNCTION("""COMPUTED_VALUE"""),123213)</f>
        <v>123213</v>
      </c>
      <c r="C3686" s="14">
        <f ca="1">IFERROR(__xludf.DUMMYFUNCTION("""COMPUTED_VALUE"""),4)</f>
        <v>4</v>
      </c>
      <c r="D3686" s="12" t="str">
        <f ca="1">IFERROR(__xludf.DUMMYFUNCTION("""COMPUTED_VALUE"""),"老田 純輝")</f>
        <v>老田 純輝</v>
      </c>
    </row>
    <row r="3687" spans="2:4" ht="13">
      <c r="B3687" s="12">
        <f ca="1">IFERROR(__xludf.DUMMYFUNCTION("""COMPUTED_VALUE"""),123216)</f>
        <v>123216</v>
      </c>
      <c r="C3687" s="14">
        <f ca="1">IFERROR(__xludf.DUMMYFUNCTION("""COMPUTED_VALUE"""),5)</f>
        <v>5</v>
      </c>
      <c r="D3687" s="12" t="str">
        <f ca="1">IFERROR(__xludf.DUMMYFUNCTION("""COMPUTED_VALUE"""),"菅野 ぎんが")</f>
        <v>菅野 ぎんが</v>
      </c>
    </row>
    <row r="3688" spans="2:4" ht="13">
      <c r="B3688" s="12">
        <f ca="1">IFERROR(__xludf.DUMMYFUNCTION("""COMPUTED_VALUE"""),123218)</f>
        <v>123218</v>
      </c>
      <c r="C3688" s="14">
        <f ca="1">IFERROR(__xludf.DUMMYFUNCTION("""COMPUTED_VALUE"""),0)</f>
        <v>0</v>
      </c>
      <c r="D3688" s="12" t="str">
        <f ca="1">IFERROR(__xludf.DUMMYFUNCTION("""COMPUTED_VALUE"""),"村上 浩一朗")</f>
        <v>村上 浩一朗</v>
      </c>
    </row>
    <row r="3689" spans="2:4" ht="13">
      <c r="B3689" s="12">
        <f ca="1">IFERROR(__xludf.DUMMYFUNCTION("""COMPUTED_VALUE"""),123221)</f>
        <v>123221</v>
      </c>
      <c r="C3689" s="14">
        <f ca="1">IFERROR(__xludf.DUMMYFUNCTION("""COMPUTED_VALUE"""),61)</f>
        <v>61</v>
      </c>
      <c r="D3689" s="12" t="str">
        <f ca="1">IFERROR(__xludf.DUMMYFUNCTION("""COMPUTED_VALUE"""),"松尾 尚樹")</f>
        <v>松尾 尚樹</v>
      </c>
    </row>
    <row r="3690" spans="2:4" ht="13">
      <c r="B3690" s="12">
        <f ca="1">IFERROR(__xludf.DUMMYFUNCTION("""COMPUTED_VALUE"""),123222)</f>
        <v>123222</v>
      </c>
      <c r="C3690" s="14">
        <f ca="1">IFERROR(__xludf.DUMMYFUNCTION("""COMPUTED_VALUE"""),110)</f>
        <v>110</v>
      </c>
      <c r="D3690" s="12" t="str">
        <f ca="1">IFERROR(__xludf.DUMMYFUNCTION("""COMPUTED_VALUE"""),"柿崎 晃司")</f>
        <v>柿崎 晃司</v>
      </c>
    </row>
    <row r="3691" spans="2:4" ht="13">
      <c r="B3691" s="12">
        <f ca="1">IFERROR(__xludf.DUMMYFUNCTION("""COMPUTED_VALUE"""),123227)</f>
        <v>123227</v>
      </c>
      <c r="C3691" s="14">
        <f ca="1">IFERROR(__xludf.DUMMYFUNCTION("""COMPUTED_VALUE"""),1)</f>
        <v>1</v>
      </c>
      <c r="D3691" s="12" t="str">
        <f ca="1">IFERROR(__xludf.DUMMYFUNCTION("""COMPUTED_VALUE"""),"小関 麻起")</f>
        <v>小関 麻起</v>
      </c>
    </row>
    <row r="3692" spans="2:4" ht="13">
      <c r="B3692" s="12">
        <f ca="1">IFERROR(__xludf.DUMMYFUNCTION("""COMPUTED_VALUE"""),123228)</f>
        <v>123228</v>
      </c>
      <c r="C3692" s="14">
        <f ca="1">IFERROR(__xludf.DUMMYFUNCTION("""COMPUTED_VALUE"""),0)</f>
        <v>0</v>
      </c>
      <c r="D3692" s="12" t="str">
        <f ca="1">IFERROR(__xludf.DUMMYFUNCTION("""COMPUTED_VALUE"""),"成嶋 夏未")</f>
        <v>成嶋 夏未</v>
      </c>
    </row>
    <row r="3693" spans="2:4" ht="13">
      <c r="B3693" s="12">
        <f ca="1">IFERROR(__xludf.DUMMYFUNCTION("""COMPUTED_VALUE"""),123229)</f>
        <v>123229</v>
      </c>
      <c r="C3693" s="14">
        <f ca="1">IFERROR(__xludf.DUMMYFUNCTION("""COMPUTED_VALUE"""),4)</f>
        <v>4</v>
      </c>
      <c r="D3693" s="12" t="str">
        <f ca="1">IFERROR(__xludf.DUMMYFUNCTION("""COMPUTED_VALUE"""),"老田 純輝")</f>
        <v>老田 純輝</v>
      </c>
    </row>
    <row r="3694" spans="2:4" ht="13">
      <c r="B3694" s="12">
        <f ca="1">IFERROR(__xludf.DUMMYFUNCTION("""COMPUTED_VALUE"""),123233)</f>
        <v>123233</v>
      </c>
      <c r="C3694" s="14">
        <f ca="1">IFERROR(__xludf.DUMMYFUNCTION("""COMPUTED_VALUE"""),4)</f>
        <v>4</v>
      </c>
      <c r="D3694" s="12" t="str">
        <f ca="1">IFERROR(__xludf.DUMMYFUNCTION("""COMPUTED_VALUE"""),"老田 純輝")</f>
        <v>老田 純輝</v>
      </c>
    </row>
    <row r="3695" spans="2:4" ht="13">
      <c r="B3695" s="12">
        <f ca="1">IFERROR(__xludf.DUMMYFUNCTION("""COMPUTED_VALUE"""),123236)</f>
        <v>123236</v>
      </c>
      <c r="C3695" s="14">
        <f ca="1">IFERROR(__xludf.DUMMYFUNCTION("""COMPUTED_VALUE"""),0)</f>
        <v>0</v>
      </c>
      <c r="D3695" s="12" t="str">
        <f ca="1">IFERROR(__xludf.DUMMYFUNCTION("""COMPUTED_VALUE"""),"小関 麻起")</f>
        <v>小関 麻起</v>
      </c>
    </row>
    <row r="3696" spans="2:4" ht="13">
      <c r="B3696" s="12">
        <f ca="1">IFERROR(__xludf.DUMMYFUNCTION("""COMPUTED_VALUE"""),123263)</f>
        <v>123263</v>
      </c>
      <c r="C3696" s="14">
        <f ca="1">IFERROR(__xludf.DUMMYFUNCTION("""COMPUTED_VALUE"""),3)</f>
        <v>3</v>
      </c>
      <c r="D3696" s="12" t="str">
        <f ca="1">IFERROR(__xludf.DUMMYFUNCTION("""COMPUTED_VALUE"""),"栗原 大武")</f>
        <v>栗原 大武</v>
      </c>
    </row>
    <row r="3697" spans="2:4" ht="13">
      <c r="B3697" s="12">
        <f ca="1">IFERROR(__xludf.DUMMYFUNCTION("""COMPUTED_VALUE"""),123264)</f>
        <v>123264</v>
      </c>
      <c r="C3697" s="14">
        <f ca="1">IFERROR(__xludf.DUMMYFUNCTION("""COMPUTED_VALUE"""),1)</f>
        <v>1</v>
      </c>
      <c r="D3697" s="12" t="str">
        <f ca="1">IFERROR(__xludf.DUMMYFUNCTION("""COMPUTED_VALUE"""),"荻曽 克輝")</f>
        <v>荻曽 克輝</v>
      </c>
    </row>
    <row r="3698" spans="2:4" ht="13">
      <c r="B3698" s="12">
        <f ca="1">IFERROR(__xludf.DUMMYFUNCTION("""COMPUTED_VALUE"""),123265)</f>
        <v>123265</v>
      </c>
      <c r="C3698" s="14">
        <f ca="1">IFERROR(__xludf.DUMMYFUNCTION("""COMPUTED_VALUE"""),2)</f>
        <v>2</v>
      </c>
      <c r="D3698" s="12" t="str">
        <f ca="1">IFERROR(__xludf.DUMMYFUNCTION("""COMPUTED_VALUE"""),"成嶋 夏未")</f>
        <v>成嶋 夏未</v>
      </c>
    </row>
    <row r="3699" spans="2:4" ht="13">
      <c r="B3699" s="12">
        <f ca="1">IFERROR(__xludf.DUMMYFUNCTION("""COMPUTED_VALUE"""),123266)</f>
        <v>123266</v>
      </c>
      <c r="C3699" s="14">
        <f ca="1">IFERROR(__xludf.DUMMYFUNCTION("""COMPUTED_VALUE"""),39)</f>
        <v>39</v>
      </c>
      <c r="D3699" s="12" t="str">
        <f ca="1">IFERROR(__xludf.DUMMYFUNCTION("""COMPUTED_VALUE"""),"成嶋 夏未")</f>
        <v>成嶋 夏未</v>
      </c>
    </row>
    <row r="3700" spans="2:4" ht="13">
      <c r="B3700" s="12">
        <f ca="1">IFERROR(__xludf.DUMMYFUNCTION("""COMPUTED_VALUE"""),123268)</f>
        <v>123268</v>
      </c>
      <c r="C3700" s="14">
        <f ca="1">IFERROR(__xludf.DUMMYFUNCTION("""COMPUTED_VALUE"""),0)</f>
        <v>0</v>
      </c>
      <c r="D3700" s="12" t="str">
        <f ca="1">IFERROR(__xludf.DUMMYFUNCTION("""COMPUTED_VALUE"""),"栗原 大武")</f>
        <v>栗原 大武</v>
      </c>
    </row>
    <row r="3701" spans="2:4" ht="13">
      <c r="B3701" s="12">
        <f ca="1">IFERROR(__xludf.DUMMYFUNCTION("""COMPUTED_VALUE"""),123269)</f>
        <v>123269</v>
      </c>
      <c r="C3701" s="14">
        <f ca="1">IFERROR(__xludf.DUMMYFUNCTION("""COMPUTED_VALUE"""),11)</f>
        <v>11</v>
      </c>
      <c r="D3701" s="12" t="str">
        <f ca="1">IFERROR(__xludf.DUMMYFUNCTION("""COMPUTED_VALUE"""),"小川 純")</f>
        <v>小川 純</v>
      </c>
    </row>
    <row r="3702" spans="2:4" ht="13">
      <c r="B3702" s="12">
        <f ca="1">IFERROR(__xludf.DUMMYFUNCTION("""COMPUTED_VALUE"""),123297)</f>
        <v>123297</v>
      </c>
      <c r="C3702" s="14">
        <f ca="1">IFERROR(__xludf.DUMMYFUNCTION("""COMPUTED_VALUE"""),0)</f>
        <v>0</v>
      </c>
      <c r="D3702" s="12" t="str">
        <f ca="1">IFERROR(__xludf.DUMMYFUNCTION("""COMPUTED_VALUE"""),"老田 純輝")</f>
        <v>老田 純輝</v>
      </c>
    </row>
    <row r="3703" spans="2:4" ht="13">
      <c r="B3703" s="12">
        <f ca="1">IFERROR(__xludf.DUMMYFUNCTION("""COMPUTED_VALUE"""),123302)</f>
        <v>123302</v>
      </c>
      <c r="C3703" s="14">
        <f ca="1">IFERROR(__xludf.DUMMYFUNCTION("""COMPUTED_VALUE"""),96)</f>
        <v>96</v>
      </c>
      <c r="D3703" s="12" t="str">
        <f ca="1">IFERROR(__xludf.DUMMYFUNCTION("""COMPUTED_VALUE"""),"柿崎 晃司")</f>
        <v>柿崎 晃司</v>
      </c>
    </row>
    <row r="3704" spans="2:4" ht="13">
      <c r="B3704" s="12">
        <f ca="1">IFERROR(__xludf.DUMMYFUNCTION("""COMPUTED_VALUE"""),123303)</f>
        <v>123303</v>
      </c>
      <c r="C3704" s="14">
        <f ca="1">IFERROR(__xludf.DUMMYFUNCTION("""COMPUTED_VALUE"""),0)</f>
        <v>0</v>
      </c>
      <c r="D3704" s="12" t="str">
        <f ca="1">IFERROR(__xludf.DUMMYFUNCTION("""COMPUTED_VALUE"""),"辻村 将大")</f>
        <v>辻村 将大</v>
      </c>
    </row>
    <row r="3705" spans="2:4" ht="13">
      <c r="B3705" s="12">
        <f ca="1">IFERROR(__xludf.DUMMYFUNCTION("""COMPUTED_VALUE"""),123305)</f>
        <v>123305</v>
      </c>
      <c r="C3705" s="14">
        <f ca="1">IFERROR(__xludf.DUMMYFUNCTION("""COMPUTED_VALUE"""),15)</f>
        <v>15</v>
      </c>
      <c r="D3705" s="12" t="str">
        <f ca="1">IFERROR(__xludf.DUMMYFUNCTION("""COMPUTED_VALUE"""),"芳賀 亮輔")</f>
        <v>芳賀 亮輔</v>
      </c>
    </row>
    <row r="3706" spans="2:4" ht="13">
      <c r="B3706" s="12">
        <f ca="1">IFERROR(__xludf.DUMMYFUNCTION("""COMPUTED_VALUE"""),123306)</f>
        <v>123306</v>
      </c>
      <c r="C3706" s="14">
        <f ca="1">IFERROR(__xludf.DUMMYFUNCTION("""COMPUTED_VALUE"""),23)</f>
        <v>23</v>
      </c>
      <c r="D3706" s="12" t="str">
        <f ca="1">IFERROR(__xludf.DUMMYFUNCTION("""COMPUTED_VALUE"""),"芳賀 亮輔")</f>
        <v>芳賀 亮輔</v>
      </c>
    </row>
    <row r="3707" spans="2:4" ht="13">
      <c r="B3707" s="12">
        <f ca="1">IFERROR(__xludf.DUMMYFUNCTION("""COMPUTED_VALUE"""),123307)</f>
        <v>123307</v>
      </c>
      <c r="C3707" s="14">
        <f ca="1">IFERROR(__xludf.DUMMYFUNCTION("""COMPUTED_VALUE"""),73)</f>
        <v>73</v>
      </c>
      <c r="D3707" s="12" t="str">
        <f ca="1">IFERROR(__xludf.DUMMYFUNCTION("""COMPUTED_VALUE"""),"芳賀 亮輔")</f>
        <v>芳賀 亮輔</v>
      </c>
    </row>
    <row r="3708" spans="2:4" ht="13">
      <c r="B3708" s="12">
        <f ca="1">IFERROR(__xludf.DUMMYFUNCTION("""COMPUTED_VALUE"""),123310)</f>
        <v>123310</v>
      </c>
      <c r="C3708" s="14">
        <f ca="1">IFERROR(__xludf.DUMMYFUNCTION("""COMPUTED_VALUE"""),0)</f>
        <v>0</v>
      </c>
      <c r="D3708" s="12" t="str">
        <f ca="1">IFERROR(__xludf.DUMMYFUNCTION("""COMPUTED_VALUE"""),"松尾 尚樹")</f>
        <v>松尾 尚樹</v>
      </c>
    </row>
    <row r="3709" spans="2:4" ht="13">
      <c r="B3709" s="12">
        <f ca="1">IFERROR(__xludf.DUMMYFUNCTION("""COMPUTED_VALUE"""),123313)</f>
        <v>123313</v>
      </c>
      <c r="C3709" s="14">
        <f ca="1">IFERROR(__xludf.DUMMYFUNCTION("""COMPUTED_VALUE"""),42)</f>
        <v>42</v>
      </c>
      <c r="D3709" s="12" t="str">
        <f ca="1">IFERROR(__xludf.DUMMYFUNCTION("""COMPUTED_VALUE"""),"成嶋 夏未")</f>
        <v>成嶋 夏未</v>
      </c>
    </row>
    <row r="3710" spans="2:4" ht="13">
      <c r="B3710" s="12">
        <f ca="1">IFERROR(__xludf.DUMMYFUNCTION("""COMPUTED_VALUE"""),123321)</f>
        <v>123321</v>
      </c>
      <c r="C3710" s="14">
        <f ca="1">IFERROR(__xludf.DUMMYFUNCTION("""COMPUTED_VALUE"""),39)</f>
        <v>39</v>
      </c>
      <c r="D3710" s="12" t="str">
        <f ca="1">IFERROR(__xludf.DUMMYFUNCTION("""COMPUTED_VALUE"""),"堀越 駿")</f>
        <v>堀越 駿</v>
      </c>
    </row>
    <row r="3711" spans="2:4" ht="13">
      <c r="B3711" s="12">
        <f ca="1">IFERROR(__xludf.DUMMYFUNCTION("""COMPUTED_VALUE"""),123324)</f>
        <v>123324</v>
      </c>
      <c r="C3711" s="14">
        <f ca="1">IFERROR(__xludf.DUMMYFUNCTION("""COMPUTED_VALUE"""),0)</f>
        <v>0</v>
      </c>
      <c r="D3711" s="12" t="str">
        <f ca="1">IFERROR(__xludf.DUMMYFUNCTION("""COMPUTED_VALUE"""),"栗原 大武")</f>
        <v>栗原 大武</v>
      </c>
    </row>
    <row r="3712" spans="2:4" ht="13">
      <c r="B3712" s="12">
        <f ca="1">IFERROR(__xludf.DUMMYFUNCTION("""COMPUTED_VALUE"""),123325)</f>
        <v>123325</v>
      </c>
      <c r="C3712" s="14">
        <f ca="1">IFERROR(__xludf.DUMMYFUNCTION("""COMPUTED_VALUE"""),0)</f>
        <v>0</v>
      </c>
      <c r="D3712" s="12" t="str">
        <f ca="1">IFERROR(__xludf.DUMMYFUNCTION("""COMPUTED_VALUE"""),"芳賀 亮輔")</f>
        <v>芳賀 亮輔</v>
      </c>
    </row>
    <row r="3713" spans="2:4" ht="13">
      <c r="B3713" s="12">
        <f ca="1">IFERROR(__xludf.DUMMYFUNCTION("""COMPUTED_VALUE"""),123326)</f>
        <v>123326</v>
      </c>
      <c r="C3713" s="14">
        <f ca="1">IFERROR(__xludf.DUMMYFUNCTION("""COMPUTED_VALUE"""),0)</f>
        <v>0</v>
      </c>
      <c r="D3713" s="12" t="str">
        <f ca="1">IFERROR(__xludf.DUMMYFUNCTION("""COMPUTED_VALUE"""),"長谷川 陸朗")</f>
        <v>長谷川 陸朗</v>
      </c>
    </row>
    <row r="3714" spans="2:4" ht="13">
      <c r="B3714" s="12">
        <f ca="1">IFERROR(__xludf.DUMMYFUNCTION("""COMPUTED_VALUE"""),123327)</f>
        <v>123327</v>
      </c>
      <c r="C3714" s="14">
        <f ca="1">IFERROR(__xludf.DUMMYFUNCTION("""COMPUTED_VALUE"""),0)</f>
        <v>0</v>
      </c>
      <c r="D3714" s="12" t="str">
        <f ca="1">IFERROR(__xludf.DUMMYFUNCTION("""COMPUTED_VALUE"""),"長谷川 陸朗")</f>
        <v>長谷川 陸朗</v>
      </c>
    </row>
    <row r="3715" spans="2:4" ht="13">
      <c r="B3715" s="12">
        <f ca="1">IFERROR(__xludf.DUMMYFUNCTION("""COMPUTED_VALUE"""),123330)</f>
        <v>123330</v>
      </c>
      <c r="C3715" s="14">
        <f ca="1">IFERROR(__xludf.DUMMYFUNCTION("""COMPUTED_VALUE"""),0)</f>
        <v>0</v>
      </c>
      <c r="D3715" s="12" t="str">
        <f ca="1">IFERROR(__xludf.DUMMYFUNCTION("""COMPUTED_VALUE"""),"内丸 裕子")</f>
        <v>内丸 裕子</v>
      </c>
    </row>
    <row r="3716" spans="2:4" ht="13">
      <c r="B3716" s="12">
        <f ca="1">IFERROR(__xludf.DUMMYFUNCTION("""COMPUTED_VALUE"""),123332)</f>
        <v>123332</v>
      </c>
      <c r="C3716" s="14">
        <f ca="1">IFERROR(__xludf.DUMMYFUNCTION("""COMPUTED_VALUE"""),9)</f>
        <v>9</v>
      </c>
      <c r="D3716" s="12" t="str">
        <f ca="1">IFERROR(__xludf.DUMMYFUNCTION("""COMPUTED_VALUE"""),"村上 浩一朗")</f>
        <v>村上 浩一朗</v>
      </c>
    </row>
    <row r="3717" spans="2:4" ht="13">
      <c r="B3717" s="12">
        <f ca="1">IFERROR(__xludf.DUMMYFUNCTION("""COMPUTED_VALUE"""),123339)</f>
        <v>123339</v>
      </c>
      <c r="C3717" s="14">
        <f ca="1">IFERROR(__xludf.DUMMYFUNCTION("""COMPUTED_VALUE"""),7)</f>
        <v>7</v>
      </c>
      <c r="D3717" s="12" t="str">
        <f ca="1">IFERROR(__xludf.DUMMYFUNCTION("""COMPUTED_VALUE"""),"稲場 勇介")</f>
        <v>稲場 勇介</v>
      </c>
    </row>
    <row r="3718" spans="2:4" ht="13">
      <c r="B3718" s="12">
        <f ca="1">IFERROR(__xludf.DUMMYFUNCTION("""COMPUTED_VALUE"""),123340)</f>
        <v>123340</v>
      </c>
      <c r="C3718" s="14">
        <f ca="1">IFERROR(__xludf.DUMMYFUNCTION("""COMPUTED_VALUE"""),0)</f>
        <v>0</v>
      </c>
      <c r="D3718" s="12" t="str">
        <f ca="1">IFERROR(__xludf.DUMMYFUNCTION("""COMPUTED_VALUE"""),"稲場 勇介")</f>
        <v>稲場 勇介</v>
      </c>
    </row>
    <row r="3719" spans="2:4" ht="13">
      <c r="B3719" s="12">
        <f ca="1">IFERROR(__xludf.DUMMYFUNCTION("""COMPUTED_VALUE"""),123345)</f>
        <v>123345</v>
      </c>
      <c r="C3719" s="14">
        <f ca="1">IFERROR(__xludf.DUMMYFUNCTION("""COMPUTED_VALUE"""),55)</f>
        <v>55</v>
      </c>
      <c r="D3719" s="12" t="str">
        <f ca="1">IFERROR(__xludf.DUMMYFUNCTION("""COMPUTED_VALUE"""),"成嶋 夏未")</f>
        <v>成嶋 夏未</v>
      </c>
    </row>
    <row r="3720" spans="2:4" ht="13">
      <c r="B3720" s="12">
        <f ca="1">IFERROR(__xludf.DUMMYFUNCTION("""COMPUTED_VALUE"""),123349)</f>
        <v>123349</v>
      </c>
      <c r="C3720" s="14">
        <f ca="1">IFERROR(__xludf.DUMMYFUNCTION("""COMPUTED_VALUE"""),0)</f>
        <v>0</v>
      </c>
      <c r="D3720" s="12" t="str">
        <f ca="1">IFERROR(__xludf.DUMMYFUNCTION("""COMPUTED_VALUE"""),"菅野 ぎんが")</f>
        <v>菅野 ぎんが</v>
      </c>
    </row>
    <row r="3721" spans="2:4" ht="13">
      <c r="B3721" s="12">
        <f ca="1">IFERROR(__xludf.DUMMYFUNCTION("""COMPUTED_VALUE"""),123356)</f>
        <v>123356</v>
      </c>
      <c r="C3721" s="14">
        <f ca="1">IFERROR(__xludf.DUMMYFUNCTION("""COMPUTED_VALUE"""),0)</f>
        <v>0</v>
      </c>
      <c r="D3721" s="12" t="str">
        <f ca="1">IFERROR(__xludf.DUMMYFUNCTION("""COMPUTED_VALUE"""),"荻曽 克輝")</f>
        <v>荻曽 克輝</v>
      </c>
    </row>
    <row r="3722" spans="2:4" ht="13">
      <c r="B3722" s="12">
        <f ca="1">IFERROR(__xludf.DUMMYFUNCTION("""COMPUTED_VALUE"""),123363)</f>
        <v>123363</v>
      </c>
      <c r="C3722" s="14">
        <f ca="1">IFERROR(__xludf.DUMMYFUNCTION("""COMPUTED_VALUE"""),14)</f>
        <v>14</v>
      </c>
      <c r="D3722" s="12" t="str">
        <f ca="1">IFERROR(__xludf.DUMMYFUNCTION("""COMPUTED_VALUE"""),"村上 浩一朗")</f>
        <v>村上 浩一朗</v>
      </c>
    </row>
    <row r="3723" spans="2:4" ht="13">
      <c r="B3723" s="12">
        <f ca="1">IFERROR(__xludf.DUMMYFUNCTION("""COMPUTED_VALUE"""),123364)</f>
        <v>123364</v>
      </c>
      <c r="C3723" s="14">
        <f ca="1">IFERROR(__xludf.DUMMYFUNCTION("""COMPUTED_VALUE"""),0)</f>
        <v>0</v>
      </c>
      <c r="D3723" s="12" t="str">
        <f ca="1">IFERROR(__xludf.DUMMYFUNCTION("""COMPUTED_VALUE"""),"堀越 駿")</f>
        <v>堀越 駿</v>
      </c>
    </row>
    <row r="3724" spans="2:4" ht="13">
      <c r="B3724" s="12">
        <f ca="1">IFERROR(__xludf.DUMMYFUNCTION("""COMPUTED_VALUE"""),123365)</f>
        <v>123365</v>
      </c>
      <c r="C3724" s="14">
        <f ca="1">IFERROR(__xludf.DUMMYFUNCTION("""COMPUTED_VALUE"""),2)</f>
        <v>2</v>
      </c>
      <c r="D3724" s="12" t="str">
        <f ca="1">IFERROR(__xludf.DUMMYFUNCTION("""COMPUTED_VALUE"""),"松尾 尚樹")</f>
        <v>松尾 尚樹</v>
      </c>
    </row>
    <row r="3725" spans="2:4" ht="13">
      <c r="B3725" s="12">
        <f ca="1">IFERROR(__xludf.DUMMYFUNCTION("""COMPUTED_VALUE"""),123383)</f>
        <v>123383</v>
      </c>
      <c r="C3725" s="14">
        <f ca="1">IFERROR(__xludf.DUMMYFUNCTION("""COMPUTED_VALUE"""),0)</f>
        <v>0</v>
      </c>
      <c r="D3725" s="12" t="str">
        <f ca="1">IFERROR(__xludf.DUMMYFUNCTION("""COMPUTED_VALUE"""),"松尾 尚樹")</f>
        <v>松尾 尚樹</v>
      </c>
    </row>
    <row r="3726" spans="2:4" ht="13">
      <c r="B3726" s="12">
        <f ca="1">IFERROR(__xludf.DUMMYFUNCTION("""COMPUTED_VALUE"""),123391)</f>
        <v>123391</v>
      </c>
      <c r="C3726" s="14">
        <f ca="1">IFERROR(__xludf.DUMMYFUNCTION("""COMPUTED_VALUE"""),0)</f>
        <v>0</v>
      </c>
      <c r="D3726" s="12" t="str">
        <f ca="1">IFERROR(__xludf.DUMMYFUNCTION("""COMPUTED_VALUE"""),"小川 純")</f>
        <v>小川 純</v>
      </c>
    </row>
    <row r="3727" spans="2:4" ht="13">
      <c r="B3727" s="12">
        <f ca="1">IFERROR(__xludf.DUMMYFUNCTION("""COMPUTED_VALUE"""),123396)</f>
        <v>123396</v>
      </c>
      <c r="C3727" s="14">
        <f ca="1">IFERROR(__xludf.DUMMYFUNCTION("""COMPUTED_VALUE"""),19)</f>
        <v>19</v>
      </c>
      <c r="D3727" s="12" t="str">
        <f ca="1">IFERROR(__xludf.DUMMYFUNCTION("""COMPUTED_VALUE"""),"村上 浩一朗")</f>
        <v>村上 浩一朗</v>
      </c>
    </row>
    <row r="3728" spans="2:4" ht="13">
      <c r="B3728" s="12">
        <f ca="1">IFERROR(__xludf.DUMMYFUNCTION("""COMPUTED_VALUE"""),123409)</f>
        <v>123409</v>
      </c>
      <c r="C3728" s="14">
        <f ca="1">IFERROR(__xludf.DUMMYFUNCTION("""COMPUTED_VALUE"""),0)</f>
        <v>0</v>
      </c>
      <c r="D3728" s="12" t="str">
        <f ca="1">IFERROR(__xludf.DUMMYFUNCTION("""COMPUTED_VALUE"""),"桑原 明子")</f>
        <v>桑原 明子</v>
      </c>
    </row>
    <row r="3729" spans="2:4" ht="13">
      <c r="B3729" s="12">
        <f ca="1">IFERROR(__xludf.DUMMYFUNCTION("""COMPUTED_VALUE"""),123413)</f>
        <v>123413</v>
      </c>
      <c r="C3729" s="14">
        <f ca="1">IFERROR(__xludf.DUMMYFUNCTION("""COMPUTED_VALUE"""),0)</f>
        <v>0</v>
      </c>
      <c r="D3729" s="12" t="str">
        <f ca="1">IFERROR(__xludf.DUMMYFUNCTION("""COMPUTED_VALUE"""),"小関 麻起")</f>
        <v>小関 麻起</v>
      </c>
    </row>
    <row r="3730" spans="2:4" ht="13">
      <c r="B3730" s="12">
        <f ca="1">IFERROR(__xludf.DUMMYFUNCTION("""COMPUTED_VALUE"""),123414)</f>
        <v>123414</v>
      </c>
      <c r="C3730" s="14">
        <f ca="1">IFERROR(__xludf.DUMMYFUNCTION("""COMPUTED_VALUE"""),34)</f>
        <v>34</v>
      </c>
      <c r="D3730" s="12" t="str">
        <f ca="1">IFERROR(__xludf.DUMMYFUNCTION("""COMPUTED_VALUE"""),"小関 麻起")</f>
        <v>小関 麻起</v>
      </c>
    </row>
    <row r="3731" spans="2:4" ht="13">
      <c r="B3731" s="12">
        <f ca="1">IFERROR(__xludf.DUMMYFUNCTION("""COMPUTED_VALUE"""),123415)</f>
        <v>123415</v>
      </c>
      <c r="C3731" s="14">
        <f ca="1">IFERROR(__xludf.DUMMYFUNCTION("""COMPUTED_VALUE"""),0)</f>
        <v>0</v>
      </c>
      <c r="D3731" s="12" t="str">
        <f ca="1">IFERROR(__xludf.DUMMYFUNCTION("""COMPUTED_VALUE"""),"荻曽 克輝")</f>
        <v>荻曽 克輝</v>
      </c>
    </row>
    <row r="3732" spans="2:4" ht="13">
      <c r="B3732" s="12">
        <f ca="1">IFERROR(__xludf.DUMMYFUNCTION("""COMPUTED_VALUE"""),123416)</f>
        <v>123416</v>
      </c>
      <c r="C3732" s="14">
        <f ca="1">IFERROR(__xludf.DUMMYFUNCTION("""COMPUTED_VALUE"""),0)</f>
        <v>0</v>
      </c>
      <c r="D3732" s="12" t="str">
        <f ca="1">IFERROR(__xludf.DUMMYFUNCTION("""COMPUTED_VALUE"""),"奥野 貴大")</f>
        <v>奥野 貴大</v>
      </c>
    </row>
    <row r="3733" spans="2:4" ht="13">
      <c r="B3733" s="12">
        <f ca="1">IFERROR(__xludf.DUMMYFUNCTION("""COMPUTED_VALUE"""),123421)</f>
        <v>123421</v>
      </c>
      <c r="C3733" s="14">
        <f ca="1">IFERROR(__xludf.DUMMYFUNCTION("""COMPUTED_VALUE"""),1)</f>
        <v>1</v>
      </c>
      <c r="D3733" s="12" t="str">
        <f ca="1">IFERROR(__xludf.DUMMYFUNCTION("""COMPUTED_VALUE"""),"成嶋 夏未")</f>
        <v>成嶋 夏未</v>
      </c>
    </row>
    <row r="3734" spans="2:4" ht="13">
      <c r="B3734" s="12">
        <f ca="1">IFERROR(__xludf.DUMMYFUNCTION("""COMPUTED_VALUE"""),123445)</f>
        <v>123445</v>
      </c>
      <c r="C3734" s="14">
        <f ca="1">IFERROR(__xludf.DUMMYFUNCTION("""COMPUTED_VALUE"""),16)</f>
        <v>16</v>
      </c>
      <c r="D3734" s="12" t="str">
        <f ca="1">IFERROR(__xludf.DUMMYFUNCTION("""COMPUTED_VALUE"""),"村上 浩一朗")</f>
        <v>村上 浩一朗</v>
      </c>
    </row>
    <row r="3735" spans="2:4" ht="13">
      <c r="B3735" s="12">
        <f ca="1">IFERROR(__xludf.DUMMYFUNCTION("""COMPUTED_VALUE"""),123446)</f>
        <v>123446</v>
      </c>
      <c r="C3735" s="14">
        <f ca="1">IFERROR(__xludf.DUMMYFUNCTION("""COMPUTED_VALUE"""),12)</f>
        <v>12</v>
      </c>
      <c r="D3735" s="12" t="str">
        <f ca="1">IFERROR(__xludf.DUMMYFUNCTION("""COMPUTED_VALUE"""),"村上 浩一朗")</f>
        <v>村上 浩一朗</v>
      </c>
    </row>
    <row r="3736" spans="2:4" ht="13">
      <c r="B3736" s="12">
        <f ca="1">IFERROR(__xludf.DUMMYFUNCTION("""COMPUTED_VALUE"""),123447)</f>
        <v>123447</v>
      </c>
      <c r="C3736" s="14">
        <f ca="1">IFERROR(__xludf.DUMMYFUNCTION("""COMPUTED_VALUE"""),17)</f>
        <v>17</v>
      </c>
      <c r="D3736" s="12" t="str">
        <f ca="1">IFERROR(__xludf.DUMMYFUNCTION("""COMPUTED_VALUE"""),"村上 浩一朗")</f>
        <v>村上 浩一朗</v>
      </c>
    </row>
    <row r="3737" spans="2:4" ht="13">
      <c r="B3737" s="12">
        <f ca="1">IFERROR(__xludf.DUMMYFUNCTION("""COMPUTED_VALUE"""),123448)</f>
        <v>123448</v>
      </c>
      <c r="C3737" s="14">
        <f ca="1">IFERROR(__xludf.DUMMYFUNCTION("""COMPUTED_VALUE"""),25)</f>
        <v>25</v>
      </c>
      <c r="D3737" s="12" t="str">
        <f ca="1">IFERROR(__xludf.DUMMYFUNCTION("""COMPUTED_VALUE"""),"村上 浩一朗")</f>
        <v>村上 浩一朗</v>
      </c>
    </row>
    <row r="3738" spans="2:4" ht="13">
      <c r="B3738" s="12">
        <f ca="1">IFERROR(__xludf.DUMMYFUNCTION("""COMPUTED_VALUE"""),123453)</f>
        <v>123453</v>
      </c>
      <c r="C3738" s="14">
        <f ca="1">IFERROR(__xludf.DUMMYFUNCTION("""COMPUTED_VALUE"""),0)</f>
        <v>0</v>
      </c>
      <c r="D3738" s="12" t="str">
        <f ca="1">IFERROR(__xludf.DUMMYFUNCTION("""COMPUTED_VALUE"""),"桐山 勝気")</f>
        <v>桐山 勝気</v>
      </c>
    </row>
    <row r="3739" spans="2:4" ht="13">
      <c r="B3739" s="12">
        <f ca="1">IFERROR(__xludf.DUMMYFUNCTION("""COMPUTED_VALUE"""),123456)</f>
        <v>123456</v>
      </c>
      <c r="C3739" s="14">
        <f ca="1">IFERROR(__xludf.DUMMYFUNCTION("""COMPUTED_VALUE"""),0)</f>
        <v>0</v>
      </c>
      <c r="D3739" s="12" t="str">
        <f ca="1">IFERROR(__xludf.DUMMYFUNCTION("""COMPUTED_VALUE"""),"小関 麻起")</f>
        <v>小関 麻起</v>
      </c>
    </row>
    <row r="3740" spans="2:4" ht="13">
      <c r="B3740" s="12">
        <f ca="1">IFERROR(__xludf.DUMMYFUNCTION("""COMPUTED_VALUE"""),123461)</f>
        <v>123461</v>
      </c>
      <c r="C3740" s="14">
        <f ca="1">IFERROR(__xludf.DUMMYFUNCTION("""COMPUTED_VALUE"""),0)</f>
        <v>0</v>
      </c>
      <c r="D3740" s="12" t="str">
        <f ca="1">IFERROR(__xludf.DUMMYFUNCTION("""COMPUTED_VALUE"""),"松尾 尚樹")</f>
        <v>松尾 尚樹</v>
      </c>
    </row>
    <row r="3741" spans="2:4" ht="13">
      <c r="B3741" s="12">
        <f ca="1">IFERROR(__xludf.DUMMYFUNCTION("""COMPUTED_VALUE"""),123466)</f>
        <v>123466</v>
      </c>
      <c r="C3741" s="14">
        <f ca="1">IFERROR(__xludf.DUMMYFUNCTION("""COMPUTED_VALUE"""),0)</f>
        <v>0</v>
      </c>
      <c r="D3741" s="12" t="str">
        <f ca="1">IFERROR(__xludf.DUMMYFUNCTION("""COMPUTED_VALUE"""),"菅野 ぎんが")</f>
        <v>菅野 ぎんが</v>
      </c>
    </row>
    <row r="3742" spans="2:4" ht="13">
      <c r="B3742" s="12">
        <f ca="1">IFERROR(__xludf.DUMMYFUNCTION("""COMPUTED_VALUE"""),123471)</f>
        <v>123471</v>
      </c>
      <c r="C3742" s="14">
        <f ca="1">IFERROR(__xludf.DUMMYFUNCTION("""COMPUTED_VALUE"""),0)</f>
        <v>0</v>
      </c>
      <c r="D3742" s="12" t="str">
        <f ca="1">IFERROR(__xludf.DUMMYFUNCTION("""COMPUTED_VALUE"""),"芳賀 亮輔")</f>
        <v>芳賀 亮輔</v>
      </c>
    </row>
    <row r="3743" spans="2:4" ht="13">
      <c r="B3743" s="12">
        <f ca="1">IFERROR(__xludf.DUMMYFUNCTION("""COMPUTED_VALUE"""),123474)</f>
        <v>123474</v>
      </c>
      <c r="C3743" s="14">
        <f ca="1">IFERROR(__xludf.DUMMYFUNCTION("""COMPUTED_VALUE"""),17)</f>
        <v>17</v>
      </c>
      <c r="D3743" s="12" t="str">
        <f ca="1">IFERROR(__xludf.DUMMYFUNCTION("""COMPUTED_VALUE"""),"村上 浩一朗")</f>
        <v>村上 浩一朗</v>
      </c>
    </row>
    <row r="3744" spans="2:4" ht="13">
      <c r="B3744" s="12">
        <f ca="1">IFERROR(__xludf.DUMMYFUNCTION("""COMPUTED_VALUE"""),123482)</f>
        <v>123482</v>
      </c>
      <c r="C3744" s="14">
        <f ca="1">IFERROR(__xludf.DUMMYFUNCTION("""COMPUTED_VALUE"""),3)</f>
        <v>3</v>
      </c>
      <c r="D3744" s="12" t="str">
        <f ca="1">IFERROR(__xludf.DUMMYFUNCTION("""COMPUTED_VALUE"""),"森 光智")</f>
        <v>森 光智</v>
      </c>
    </row>
    <row r="3745" spans="2:4" ht="13">
      <c r="B3745" s="12">
        <f ca="1">IFERROR(__xludf.DUMMYFUNCTION("""COMPUTED_VALUE"""),123484)</f>
        <v>123484</v>
      </c>
      <c r="C3745" s="14">
        <f ca="1">IFERROR(__xludf.DUMMYFUNCTION("""COMPUTED_VALUE"""),18)</f>
        <v>18</v>
      </c>
      <c r="D3745" s="12" t="str">
        <f ca="1">IFERROR(__xludf.DUMMYFUNCTION("""COMPUTED_VALUE"""),"成嶋 夏未")</f>
        <v>成嶋 夏未</v>
      </c>
    </row>
    <row r="3746" spans="2:4" ht="13">
      <c r="B3746" s="12">
        <f ca="1">IFERROR(__xludf.DUMMYFUNCTION("""COMPUTED_VALUE"""),123486)</f>
        <v>123486</v>
      </c>
      <c r="C3746" s="14">
        <f ca="1">IFERROR(__xludf.DUMMYFUNCTION("""COMPUTED_VALUE"""),3)</f>
        <v>3</v>
      </c>
      <c r="D3746" s="12" t="str">
        <f ca="1">IFERROR(__xludf.DUMMYFUNCTION("""COMPUTED_VALUE"""),"小川 純")</f>
        <v>小川 純</v>
      </c>
    </row>
    <row r="3747" spans="2:4" ht="13">
      <c r="B3747" s="12">
        <f ca="1">IFERROR(__xludf.DUMMYFUNCTION("""COMPUTED_VALUE"""),123488)</f>
        <v>123488</v>
      </c>
      <c r="C3747" s="14">
        <f ca="1">IFERROR(__xludf.DUMMYFUNCTION("""COMPUTED_VALUE"""),0)</f>
        <v>0</v>
      </c>
      <c r="D3747" s="12" t="str">
        <f ca="1">IFERROR(__xludf.DUMMYFUNCTION("""COMPUTED_VALUE"""),"松尾 尚樹")</f>
        <v>松尾 尚樹</v>
      </c>
    </row>
    <row r="3748" spans="2:4" ht="13">
      <c r="B3748" s="12">
        <f ca="1">IFERROR(__xludf.DUMMYFUNCTION("""COMPUTED_VALUE"""),123490)</f>
        <v>123490</v>
      </c>
      <c r="C3748" s="14">
        <f ca="1">IFERROR(__xludf.DUMMYFUNCTION("""COMPUTED_VALUE"""),1)</f>
        <v>1</v>
      </c>
      <c r="D3748" s="12" t="str">
        <f ca="1">IFERROR(__xludf.DUMMYFUNCTION("""COMPUTED_VALUE"""),"菅野 ぎんが")</f>
        <v>菅野 ぎんが</v>
      </c>
    </row>
    <row r="3749" spans="2:4" ht="13">
      <c r="B3749" s="12">
        <f ca="1">IFERROR(__xludf.DUMMYFUNCTION("""COMPUTED_VALUE"""),123498)</f>
        <v>123498</v>
      </c>
      <c r="C3749" s="14">
        <f ca="1">IFERROR(__xludf.DUMMYFUNCTION("""COMPUTED_VALUE"""),0)</f>
        <v>0</v>
      </c>
      <c r="D3749" s="12" t="str">
        <f ca="1">IFERROR(__xludf.DUMMYFUNCTION("""COMPUTED_VALUE"""),"小関 麻起")</f>
        <v>小関 麻起</v>
      </c>
    </row>
    <row r="3750" spans="2:4" ht="13">
      <c r="B3750" s="12">
        <f ca="1">IFERROR(__xludf.DUMMYFUNCTION("""COMPUTED_VALUE"""),123499)</f>
        <v>123499</v>
      </c>
      <c r="C3750" s="14">
        <f ca="1">IFERROR(__xludf.DUMMYFUNCTION("""COMPUTED_VALUE"""),4)</f>
        <v>4</v>
      </c>
      <c r="D3750" s="12" t="str">
        <f ca="1">IFERROR(__xludf.DUMMYFUNCTION("""COMPUTED_VALUE"""),"小関 麻起")</f>
        <v>小関 麻起</v>
      </c>
    </row>
    <row r="3751" spans="2:4" ht="13">
      <c r="B3751" s="12">
        <f ca="1">IFERROR(__xludf.DUMMYFUNCTION("""COMPUTED_VALUE"""),123506)</f>
        <v>123506</v>
      </c>
      <c r="C3751" s="14">
        <f ca="1">IFERROR(__xludf.DUMMYFUNCTION("""COMPUTED_VALUE"""),0)</f>
        <v>0</v>
      </c>
      <c r="D3751" s="12" t="str">
        <f ca="1">IFERROR(__xludf.DUMMYFUNCTION("""COMPUTED_VALUE"""),"菅野 ぎんが")</f>
        <v>菅野 ぎんが</v>
      </c>
    </row>
    <row r="3752" spans="2:4" ht="13">
      <c r="B3752" s="12">
        <f ca="1">IFERROR(__xludf.DUMMYFUNCTION("""COMPUTED_VALUE"""),123510)</f>
        <v>123510</v>
      </c>
      <c r="C3752" s="14">
        <f ca="1">IFERROR(__xludf.DUMMYFUNCTION("""COMPUTED_VALUE"""),1)</f>
        <v>1</v>
      </c>
      <c r="D3752" s="12" t="str">
        <f ca="1">IFERROR(__xludf.DUMMYFUNCTION("""COMPUTED_VALUE"""),"成嶋 夏未")</f>
        <v>成嶋 夏未</v>
      </c>
    </row>
    <row r="3753" spans="2:4" ht="13">
      <c r="B3753" s="12">
        <f ca="1">IFERROR(__xludf.DUMMYFUNCTION("""COMPUTED_VALUE"""),123511)</f>
        <v>123511</v>
      </c>
      <c r="C3753" s="14">
        <f ca="1">IFERROR(__xludf.DUMMYFUNCTION("""COMPUTED_VALUE"""),0)</f>
        <v>0</v>
      </c>
      <c r="D3753" s="12" t="str">
        <f ca="1">IFERROR(__xludf.DUMMYFUNCTION("""COMPUTED_VALUE"""),"菅野 ぎんが")</f>
        <v>菅野 ぎんが</v>
      </c>
    </row>
    <row r="3754" spans="2:4" ht="13">
      <c r="B3754" s="12">
        <f ca="1">IFERROR(__xludf.DUMMYFUNCTION("""COMPUTED_VALUE"""),123522)</f>
        <v>123522</v>
      </c>
      <c r="C3754" s="14">
        <f ca="1">IFERROR(__xludf.DUMMYFUNCTION("""COMPUTED_VALUE"""),1)</f>
        <v>1</v>
      </c>
      <c r="D3754" s="12" t="str">
        <f ca="1">IFERROR(__xludf.DUMMYFUNCTION("""COMPUTED_VALUE"""),"長谷川 陸朗")</f>
        <v>長谷川 陸朗</v>
      </c>
    </row>
    <row r="3755" spans="2:4" ht="13">
      <c r="B3755" s="12">
        <f ca="1">IFERROR(__xludf.DUMMYFUNCTION("""COMPUTED_VALUE"""),123527)</f>
        <v>123527</v>
      </c>
      <c r="C3755" s="14">
        <f ca="1">IFERROR(__xludf.DUMMYFUNCTION("""COMPUTED_VALUE"""),0)</f>
        <v>0</v>
      </c>
      <c r="D3755" s="12" t="str">
        <f ca="1">IFERROR(__xludf.DUMMYFUNCTION("""COMPUTED_VALUE"""),"小川 純")</f>
        <v>小川 純</v>
      </c>
    </row>
    <row r="3756" spans="2:4" ht="13">
      <c r="B3756" s="12">
        <f ca="1">IFERROR(__xludf.DUMMYFUNCTION("""COMPUTED_VALUE"""),123528)</f>
        <v>123528</v>
      </c>
      <c r="C3756" s="14">
        <f ca="1">IFERROR(__xludf.DUMMYFUNCTION("""COMPUTED_VALUE"""),1)</f>
        <v>1</v>
      </c>
      <c r="D3756" s="12" t="str">
        <f ca="1">IFERROR(__xludf.DUMMYFUNCTION("""COMPUTED_VALUE"""),"長谷川 陸朗")</f>
        <v>長谷川 陸朗</v>
      </c>
    </row>
    <row r="3757" spans="2:4" ht="13">
      <c r="B3757" s="12">
        <f ca="1">IFERROR(__xludf.DUMMYFUNCTION("""COMPUTED_VALUE"""),123547)</f>
        <v>123547</v>
      </c>
      <c r="C3757" s="14">
        <f ca="1">IFERROR(__xludf.DUMMYFUNCTION("""COMPUTED_VALUE"""),17)</f>
        <v>17</v>
      </c>
      <c r="D3757" s="12" t="str">
        <f ca="1">IFERROR(__xludf.DUMMYFUNCTION("""COMPUTED_VALUE"""),"老田 純輝")</f>
        <v>老田 純輝</v>
      </c>
    </row>
    <row r="3758" spans="2:4" ht="13">
      <c r="B3758" s="12">
        <f ca="1">IFERROR(__xludf.DUMMYFUNCTION("""COMPUTED_VALUE"""),123549)</f>
        <v>123549</v>
      </c>
      <c r="C3758" s="14">
        <f ca="1">IFERROR(__xludf.DUMMYFUNCTION("""COMPUTED_VALUE"""),13)</f>
        <v>13</v>
      </c>
      <c r="D3758" s="12" t="str">
        <f ca="1">IFERROR(__xludf.DUMMYFUNCTION("""COMPUTED_VALUE"""),"内丸 裕子")</f>
        <v>内丸 裕子</v>
      </c>
    </row>
    <row r="3759" spans="2:4" ht="13">
      <c r="B3759" s="12">
        <f ca="1">IFERROR(__xludf.DUMMYFUNCTION("""COMPUTED_VALUE"""),123552)</f>
        <v>123552</v>
      </c>
      <c r="C3759" s="14">
        <f ca="1">IFERROR(__xludf.DUMMYFUNCTION("""COMPUTED_VALUE"""),0)</f>
        <v>0</v>
      </c>
      <c r="D3759" s="12" t="str">
        <f ca="1">IFERROR(__xludf.DUMMYFUNCTION("""COMPUTED_VALUE"""),"辻村 将大")</f>
        <v>辻村 将大</v>
      </c>
    </row>
    <row r="3760" spans="2:4" ht="13">
      <c r="B3760" s="12">
        <f ca="1">IFERROR(__xludf.DUMMYFUNCTION("""COMPUTED_VALUE"""),123555)</f>
        <v>123555</v>
      </c>
      <c r="C3760" s="14">
        <f ca="1">IFERROR(__xludf.DUMMYFUNCTION("""COMPUTED_VALUE"""),21)</f>
        <v>21</v>
      </c>
      <c r="D3760" s="12" t="str">
        <f ca="1">IFERROR(__xludf.DUMMYFUNCTION("""COMPUTED_VALUE"""),"村上 浩一朗")</f>
        <v>村上 浩一朗</v>
      </c>
    </row>
    <row r="3761" spans="2:4" ht="13">
      <c r="B3761" s="12">
        <f ca="1">IFERROR(__xludf.DUMMYFUNCTION("""COMPUTED_VALUE"""),123559)</f>
        <v>123559</v>
      </c>
      <c r="C3761" s="14">
        <f ca="1">IFERROR(__xludf.DUMMYFUNCTION("""COMPUTED_VALUE"""),138)</f>
        <v>138</v>
      </c>
      <c r="D3761" s="12" t="str">
        <f ca="1">IFERROR(__xludf.DUMMYFUNCTION("""COMPUTED_VALUE"""),"栗原 大武")</f>
        <v>栗原 大武</v>
      </c>
    </row>
    <row r="3762" spans="2:4" ht="13">
      <c r="B3762" s="12">
        <f ca="1">IFERROR(__xludf.DUMMYFUNCTION("""COMPUTED_VALUE"""),123561)</f>
        <v>123561</v>
      </c>
      <c r="C3762" s="14">
        <f ca="1">IFERROR(__xludf.DUMMYFUNCTION("""COMPUTED_VALUE"""),0)</f>
        <v>0</v>
      </c>
      <c r="D3762" s="12" t="str">
        <f ca="1">IFERROR(__xludf.DUMMYFUNCTION("""COMPUTED_VALUE"""),"小関 麻起")</f>
        <v>小関 麻起</v>
      </c>
    </row>
    <row r="3763" spans="2:4" ht="13">
      <c r="B3763" s="12">
        <f ca="1">IFERROR(__xludf.DUMMYFUNCTION("""COMPUTED_VALUE"""),123563)</f>
        <v>123563</v>
      </c>
      <c r="C3763" s="14">
        <f ca="1">IFERROR(__xludf.DUMMYFUNCTION("""COMPUTED_VALUE"""),5)</f>
        <v>5</v>
      </c>
      <c r="D3763" s="12" t="str">
        <f ca="1">IFERROR(__xludf.DUMMYFUNCTION("""COMPUTED_VALUE"""),"川島 幹也")</f>
        <v>川島 幹也</v>
      </c>
    </row>
    <row r="3764" spans="2:4" ht="13">
      <c r="B3764" s="12">
        <f ca="1">IFERROR(__xludf.DUMMYFUNCTION("""COMPUTED_VALUE"""),123569)</f>
        <v>123569</v>
      </c>
      <c r="C3764" s="14">
        <f ca="1">IFERROR(__xludf.DUMMYFUNCTION("""COMPUTED_VALUE"""),0)</f>
        <v>0</v>
      </c>
      <c r="D3764" s="12" t="str">
        <f ca="1">IFERROR(__xludf.DUMMYFUNCTION("""COMPUTED_VALUE"""),"老田 純輝")</f>
        <v>老田 純輝</v>
      </c>
    </row>
    <row r="3765" spans="2:4" ht="13">
      <c r="B3765" s="12">
        <f ca="1">IFERROR(__xludf.DUMMYFUNCTION("""COMPUTED_VALUE"""),123574)</f>
        <v>123574</v>
      </c>
      <c r="C3765" s="14">
        <f ca="1">IFERROR(__xludf.DUMMYFUNCTION("""COMPUTED_VALUE"""),0)</f>
        <v>0</v>
      </c>
      <c r="D3765" s="12" t="str">
        <f ca="1">IFERROR(__xludf.DUMMYFUNCTION("""COMPUTED_VALUE"""),"稲場 勇介")</f>
        <v>稲場 勇介</v>
      </c>
    </row>
    <row r="3766" spans="2:4" ht="13">
      <c r="B3766" s="12">
        <f ca="1">IFERROR(__xludf.DUMMYFUNCTION("""COMPUTED_VALUE"""),123576)</f>
        <v>123576</v>
      </c>
      <c r="C3766" s="14">
        <f ca="1">IFERROR(__xludf.DUMMYFUNCTION("""COMPUTED_VALUE"""),101)</f>
        <v>101</v>
      </c>
      <c r="D3766" s="12" t="str">
        <f ca="1">IFERROR(__xludf.DUMMYFUNCTION("""COMPUTED_VALUE"""),"菅野 ぎんが")</f>
        <v>菅野 ぎんが</v>
      </c>
    </row>
    <row r="3767" spans="2:4" ht="13">
      <c r="B3767" s="12">
        <f ca="1">IFERROR(__xludf.DUMMYFUNCTION("""COMPUTED_VALUE"""),123592)</f>
        <v>123592</v>
      </c>
      <c r="C3767" s="14">
        <f ca="1">IFERROR(__xludf.DUMMYFUNCTION("""COMPUTED_VALUE"""),1)</f>
        <v>1</v>
      </c>
      <c r="D3767" s="12" t="str">
        <f ca="1">IFERROR(__xludf.DUMMYFUNCTION("""COMPUTED_VALUE"""),"松尾 尚樹")</f>
        <v>松尾 尚樹</v>
      </c>
    </row>
    <row r="3768" spans="2:4" ht="13">
      <c r="B3768" s="12">
        <f ca="1">IFERROR(__xludf.DUMMYFUNCTION("""COMPUTED_VALUE"""),123595)</f>
        <v>123595</v>
      </c>
      <c r="C3768" s="14">
        <f ca="1">IFERROR(__xludf.DUMMYFUNCTION("""COMPUTED_VALUE"""),29)</f>
        <v>29</v>
      </c>
      <c r="D3768" s="12" t="str">
        <f ca="1">IFERROR(__xludf.DUMMYFUNCTION("""COMPUTED_VALUE"""),"柿崎 晃司")</f>
        <v>柿崎 晃司</v>
      </c>
    </row>
    <row r="3769" spans="2:4" ht="13">
      <c r="B3769" s="12">
        <f ca="1">IFERROR(__xludf.DUMMYFUNCTION("""COMPUTED_VALUE"""),123596)</f>
        <v>123596</v>
      </c>
      <c r="C3769" s="14">
        <f ca="1">IFERROR(__xludf.DUMMYFUNCTION("""COMPUTED_VALUE"""),60)</f>
        <v>60</v>
      </c>
      <c r="D3769" s="12" t="str">
        <f ca="1">IFERROR(__xludf.DUMMYFUNCTION("""COMPUTED_VALUE"""),"柿崎 晃司")</f>
        <v>柿崎 晃司</v>
      </c>
    </row>
    <row r="3770" spans="2:4" ht="13">
      <c r="B3770" s="12">
        <f ca="1">IFERROR(__xludf.DUMMYFUNCTION("""COMPUTED_VALUE"""),123597)</f>
        <v>123597</v>
      </c>
      <c r="C3770" s="14">
        <f ca="1">IFERROR(__xludf.DUMMYFUNCTION("""COMPUTED_VALUE"""),0)</f>
        <v>0</v>
      </c>
      <c r="D3770" s="12" t="str">
        <f ca="1">IFERROR(__xludf.DUMMYFUNCTION("""COMPUTED_VALUE"""),"菅野 ぎんが")</f>
        <v>菅野 ぎんが</v>
      </c>
    </row>
    <row r="3771" spans="2:4" ht="13">
      <c r="B3771" s="12">
        <f ca="1">IFERROR(__xludf.DUMMYFUNCTION("""COMPUTED_VALUE"""),123601)</f>
        <v>123601</v>
      </c>
      <c r="C3771" s="14">
        <f ca="1">IFERROR(__xludf.DUMMYFUNCTION("""COMPUTED_VALUE"""),0)</f>
        <v>0</v>
      </c>
      <c r="D3771" s="12" t="str">
        <f ca="1">IFERROR(__xludf.DUMMYFUNCTION("""COMPUTED_VALUE"""),"長谷川 陸朗")</f>
        <v>長谷川 陸朗</v>
      </c>
    </row>
    <row r="3772" spans="2:4" ht="13">
      <c r="B3772" s="12">
        <f ca="1">IFERROR(__xludf.DUMMYFUNCTION("""COMPUTED_VALUE"""),123603)</f>
        <v>123603</v>
      </c>
      <c r="C3772" s="14">
        <f ca="1">IFERROR(__xludf.DUMMYFUNCTION("""COMPUTED_VALUE"""),0)</f>
        <v>0</v>
      </c>
      <c r="D3772" s="12" t="str">
        <f ca="1">IFERROR(__xludf.DUMMYFUNCTION("""COMPUTED_VALUE"""),"成嶋 夏未")</f>
        <v>成嶋 夏未</v>
      </c>
    </row>
    <row r="3773" spans="2:4" ht="13">
      <c r="B3773" s="12">
        <f ca="1">IFERROR(__xludf.DUMMYFUNCTION("""COMPUTED_VALUE"""),123605)</f>
        <v>123605</v>
      </c>
      <c r="C3773" s="14">
        <f ca="1">IFERROR(__xludf.DUMMYFUNCTION("""COMPUTED_VALUE"""),0)</f>
        <v>0</v>
      </c>
      <c r="D3773" s="12" t="str">
        <f ca="1">IFERROR(__xludf.DUMMYFUNCTION("""COMPUTED_VALUE"""),"成嶋 夏未")</f>
        <v>成嶋 夏未</v>
      </c>
    </row>
    <row r="3774" spans="2:4" ht="13">
      <c r="B3774" s="12">
        <f ca="1">IFERROR(__xludf.DUMMYFUNCTION("""COMPUTED_VALUE"""),123607)</f>
        <v>123607</v>
      </c>
      <c r="C3774" s="14">
        <f ca="1">IFERROR(__xludf.DUMMYFUNCTION("""COMPUTED_VALUE"""),80)</f>
        <v>80</v>
      </c>
      <c r="D3774" s="12" t="str">
        <f ca="1">IFERROR(__xludf.DUMMYFUNCTION("""COMPUTED_VALUE"""),"内丸 裕子")</f>
        <v>内丸 裕子</v>
      </c>
    </row>
    <row r="3775" spans="2:4" ht="13">
      <c r="B3775" s="12">
        <f ca="1">IFERROR(__xludf.DUMMYFUNCTION("""COMPUTED_VALUE"""),123608)</f>
        <v>123608</v>
      </c>
      <c r="C3775" s="14">
        <f ca="1">IFERROR(__xludf.DUMMYFUNCTION("""COMPUTED_VALUE"""),13)</f>
        <v>13</v>
      </c>
      <c r="D3775" s="12" t="str">
        <f ca="1">IFERROR(__xludf.DUMMYFUNCTION("""COMPUTED_VALUE"""),"荻曽 克輝")</f>
        <v>荻曽 克輝</v>
      </c>
    </row>
    <row r="3776" spans="2:4" ht="13">
      <c r="B3776" s="12">
        <f ca="1">IFERROR(__xludf.DUMMYFUNCTION("""COMPUTED_VALUE"""),123612)</f>
        <v>123612</v>
      </c>
      <c r="C3776" s="14">
        <f ca="1">IFERROR(__xludf.DUMMYFUNCTION("""COMPUTED_VALUE"""),0)</f>
        <v>0</v>
      </c>
      <c r="D3776" s="12" t="str">
        <f ca="1">IFERROR(__xludf.DUMMYFUNCTION("""COMPUTED_VALUE"""),"老田 純輝")</f>
        <v>老田 純輝</v>
      </c>
    </row>
    <row r="3777" spans="2:4" ht="13">
      <c r="B3777" s="12">
        <f ca="1">IFERROR(__xludf.DUMMYFUNCTION("""COMPUTED_VALUE"""),123614)</f>
        <v>123614</v>
      </c>
      <c r="C3777" s="14">
        <f ca="1">IFERROR(__xludf.DUMMYFUNCTION("""COMPUTED_VALUE"""),1)</f>
        <v>1</v>
      </c>
      <c r="D3777" s="12" t="str">
        <f ca="1">IFERROR(__xludf.DUMMYFUNCTION("""COMPUTED_VALUE"""),"菅野 ぎんが")</f>
        <v>菅野 ぎんが</v>
      </c>
    </row>
    <row r="3778" spans="2:4" ht="13">
      <c r="B3778" s="12">
        <f ca="1">IFERROR(__xludf.DUMMYFUNCTION("""COMPUTED_VALUE"""),123615)</f>
        <v>123615</v>
      </c>
      <c r="C3778" s="14">
        <f ca="1">IFERROR(__xludf.DUMMYFUNCTION("""COMPUTED_VALUE"""),82)</f>
        <v>82</v>
      </c>
      <c r="D3778" s="12" t="str">
        <f ca="1">IFERROR(__xludf.DUMMYFUNCTION("""COMPUTED_VALUE"""),"栗原 大武")</f>
        <v>栗原 大武</v>
      </c>
    </row>
    <row r="3779" spans="2:4" ht="13">
      <c r="B3779" s="12">
        <f ca="1">IFERROR(__xludf.DUMMYFUNCTION("""COMPUTED_VALUE"""),123618)</f>
        <v>123618</v>
      </c>
      <c r="C3779" s="14">
        <f ca="1">IFERROR(__xludf.DUMMYFUNCTION("""COMPUTED_VALUE"""),0)</f>
        <v>0</v>
      </c>
      <c r="D3779" s="12" t="str">
        <f ca="1">IFERROR(__xludf.DUMMYFUNCTION("""COMPUTED_VALUE"""),"稲場 勇介")</f>
        <v>稲場 勇介</v>
      </c>
    </row>
    <row r="3780" spans="2:4" ht="13">
      <c r="B3780" s="12">
        <f ca="1">IFERROR(__xludf.DUMMYFUNCTION("""COMPUTED_VALUE"""),123623)</f>
        <v>123623</v>
      </c>
      <c r="C3780" s="14">
        <f ca="1">IFERROR(__xludf.DUMMYFUNCTION("""COMPUTED_VALUE"""),81)</f>
        <v>81</v>
      </c>
      <c r="D3780" s="12" t="str">
        <f ca="1">IFERROR(__xludf.DUMMYFUNCTION("""COMPUTED_VALUE"""),"栗原 大武")</f>
        <v>栗原 大武</v>
      </c>
    </row>
    <row r="3781" spans="2:4" ht="13">
      <c r="B3781" s="12">
        <f ca="1">IFERROR(__xludf.DUMMYFUNCTION("""COMPUTED_VALUE"""),123636)</f>
        <v>123636</v>
      </c>
      <c r="C3781" s="14">
        <f ca="1">IFERROR(__xludf.DUMMYFUNCTION("""COMPUTED_VALUE"""),0)</f>
        <v>0</v>
      </c>
      <c r="D3781" s="12" t="str">
        <f ca="1">IFERROR(__xludf.DUMMYFUNCTION("""COMPUTED_VALUE"""),"桐山 勝気")</f>
        <v>桐山 勝気</v>
      </c>
    </row>
    <row r="3782" spans="2:4" ht="13">
      <c r="B3782" s="12">
        <f ca="1">IFERROR(__xludf.DUMMYFUNCTION("""COMPUTED_VALUE"""),123645)</f>
        <v>123645</v>
      </c>
      <c r="C3782" s="14">
        <f ca="1">IFERROR(__xludf.DUMMYFUNCTION("""COMPUTED_VALUE"""),0)</f>
        <v>0</v>
      </c>
      <c r="D3782" s="12" t="str">
        <f ca="1">IFERROR(__xludf.DUMMYFUNCTION("""COMPUTED_VALUE"""),"辻村 将大")</f>
        <v>辻村 将大</v>
      </c>
    </row>
    <row r="3783" spans="2:4" ht="13">
      <c r="B3783" s="12">
        <f ca="1">IFERROR(__xludf.DUMMYFUNCTION("""COMPUTED_VALUE"""),123647)</f>
        <v>123647</v>
      </c>
      <c r="C3783" s="14">
        <f ca="1">IFERROR(__xludf.DUMMYFUNCTION("""COMPUTED_VALUE"""),7)</f>
        <v>7</v>
      </c>
      <c r="D3783" s="12" t="str">
        <f ca="1">IFERROR(__xludf.DUMMYFUNCTION("""COMPUTED_VALUE"""),"松尾 尚樹")</f>
        <v>松尾 尚樹</v>
      </c>
    </row>
    <row r="3784" spans="2:4" ht="13">
      <c r="B3784" s="12">
        <f ca="1">IFERROR(__xludf.DUMMYFUNCTION("""COMPUTED_VALUE"""),123648)</f>
        <v>123648</v>
      </c>
      <c r="C3784" s="14">
        <f ca="1">IFERROR(__xludf.DUMMYFUNCTION("""COMPUTED_VALUE"""),6)</f>
        <v>6</v>
      </c>
      <c r="D3784" s="12" t="str">
        <f ca="1">IFERROR(__xludf.DUMMYFUNCTION("""COMPUTED_VALUE"""),"松尾 尚樹")</f>
        <v>松尾 尚樹</v>
      </c>
    </row>
    <row r="3785" spans="2:4" ht="13">
      <c r="B3785" s="12">
        <f ca="1">IFERROR(__xludf.DUMMYFUNCTION("""COMPUTED_VALUE"""),123650)</f>
        <v>123650</v>
      </c>
      <c r="C3785" s="14">
        <f ca="1">IFERROR(__xludf.DUMMYFUNCTION("""COMPUTED_VALUE"""),0)</f>
        <v>0</v>
      </c>
      <c r="D3785" s="12" t="str">
        <f ca="1">IFERROR(__xludf.DUMMYFUNCTION("""COMPUTED_VALUE"""),"菅野 ぎんが")</f>
        <v>菅野 ぎんが</v>
      </c>
    </row>
    <row r="3786" spans="2:4" ht="13">
      <c r="B3786" s="12">
        <f ca="1">IFERROR(__xludf.DUMMYFUNCTION("""COMPUTED_VALUE"""),123651)</f>
        <v>123651</v>
      </c>
      <c r="C3786" s="14">
        <f ca="1">IFERROR(__xludf.DUMMYFUNCTION("""COMPUTED_VALUE"""),9)</f>
        <v>9</v>
      </c>
      <c r="D3786" s="12" t="str">
        <f ca="1">IFERROR(__xludf.DUMMYFUNCTION("""COMPUTED_VALUE"""),"松尾 尚樹")</f>
        <v>松尾 尚樹</v>
      </c>
    </row>
    <row r="3787" spans="2:4" ht="13">
      <c r="B3787" s="12">
        <f ca="1">IFERROR(__xludf.DUMMYFUNCTION("""COMPUTED_VALUE"""),123653)</f>
        <v>123653</v>
      </c>
      <c r="C3787" s="14">
        <f ca="1">IFERROR(__xludf.DUMMYFUNCTION("""COMPUTED_VALUE"""),7)</f>
        <v>7</v>
      </c>
      <c r="D3787" s="12" t="str">
        <f ca="1">IFERROR(__xludf.DUMMYFUNCTION("""COMPUTED_VALUE"""),"松尾 尚樹")</f>
        <v>松尾 尚樹</v>
      </c>
    </row>
    <row r="3788" spans="2:4" ht="13">
      <c r="B3788" s="12">
        <f ca="1">IFERROR(__xludf.DUMMYFUNCTION("""COMPUTED_VALUE"""),123654)</f>
        <v>123654</v>
      </c>
      <c r="C3788" s="14">
        <f ca="1">IFERROR(__xludf.DUMMYFUNCTION("""COMPUTED_VALUE"""),13)</f>
        <v>13</v>
      </c>
      <c r="D3788" s="12" t="str">
        <f ca="1">IFERROR(__xludf.DUMMYFUNCTION("""COMPUTED_VALUE"""),"松尾 尚樹")</f>
        <v>松尾 尚樹</v>
      </c>
    </row>
    <row r="3789" spans="2:4" ht="13">
      <c r="B3789" s="12">
        <f ca="1">IFERROR(__xludf.DUMMYFUNCTION("""COMPUTED_VALUE"""),123656)</f>
        <v>123656</v>
      </c>
      <c r="C3789" s="14">
        <f ca="1">IFERROR(__xludf.DUMMYFUNCTION("""COMPUTED_VALUE"""),4)</f>
        <v>4</v>
      </c>
      <c r="D3789" s="12" t="str">
        <f ca="1">IFERROR(__xludf.DUMMYFUNCTION("""COMPUTED_VALUE"""),"松尾 尚樹")</f>
        <v>松尾 尚樹</v>
      </c>
    </row>
    <row r="3790" spans="2:4" ht="13">
      <c r="B3790" s="12">
        <f ca="1">IFERROR(__xludf.DUMMYFUNCTION("""COMPUTED_VALUE"""),123657)</f>
        <v>123657</v>
      </c>
      <c r="C3790" s="14">
        <f ca="1">IFERROR(__xludf.DUMMYFUNCTION("""COMPUTED_VALUE"""),4)</f>
        <v>4</v>
      </c>
      <c r="D3790" s="12" t="str">
        <f ca="1">IFERROR(__xludf.DUMMYFUNCTION("""COMPUTED_VALUE"""),"松尾 尚樹")</f>
        <v>松尾 尚樹</v>
      </c>
    </row>
    <row r="3791" spans="2:4" ht="13">
      <c r="B3791" s="12">
        <f ca="1">IFERROR(__xludf.DUMMYFUNCTION("""COMPUTED_VALUE"""),123658)</f>
        <v>123658</v>
      </c>
      <c r="C3791" s="14">
        <f ca="1">IFERROR(__xludf.DUMMYFUNCTION("""COMPUTED_VALUE"""),6)</f>
        <v>6</v>
      </c>
      <c r="D3791" s="12" t="str">
        <f ca="1">IFERROR(__xludf.DUMMYFUNCTION("""COMPUTED_VALUE"""),"松尾 尚樹")</f>
        <v>松尾 尚樹</v>
      </c>
    </row>
    <row r="3792" spans="2:4" ht="13">
      <c r="B3792" s="12">
        <f ca="1">IFERROR(__xludf.DUMMYFUNCTION("""COMPUTED_VALUE"""),123660)</f>
        <v>123660</v>
      </c>
      <c r="C3792" s="14">
        <f ca="1">IFERROR(__xludf.DUMMYFUNCTION("""COMPUTED_VALUE"""),1)</f>
        <v>1</v>
      </c>
      <c r="D3792" s="12" t="str">
        <f ca="1">IFERROR(__xludf.DUMMYFUNCTION("""COMPUTED_VALUE"""),"松尾 尚樹")</f>
        <v>松尾 尚樹</v>
      </c>
    </row>
    <row r="3793" spans="2:4" ht="13">
      <c r="B3793" s="12">
        <f ca="1">IFERROR(__xludf.DUMMYFUNCTION("""COMPUTED_VALUE"""),123662)</f>
        <v>123662</v>
      </c>
      <c r="C3793" s="14">
        <f ca="1">IFERROR(__xludf.DUMMYFUNCTION("""COMPUTED_VALUE"""),6)</f>
        <v>6</v>
      </c>
      <c r="D3793" s="12" t="str">
        <f ca="1">IFERROR(__xludf.DUMMYFUNCTION("""COMPUTED_VALUE"""),"松尾 尚樹")</f>
        <v>松尾 尚樹</v>
      </c>
    </row>
    <row r="3794" spans="2:4" ht="13">
      <c r="B3794" s="12">
        <f ca="1">IFERROR(__xludf.DUMMYFUNCTION("""COMPUTED_VALUE"""),123666)</f>
        <v>123666</v>
      </c>
      <c r="C3794" s="14">
        <f ca="1">IFERROR(__xludf.DUMMYFUNCTION("""COMPUTED_VALUE"""),0)</f>
        <v>0</v>
      </c>
      <c r="D3794" s="12" t="str">
        <f ca="1">IFERROR(__xludf.DUMMYFUNCTION("""COMPUTED_VALUE"""),"長谷川 陸朗")</f>
        <v>長谷川 陸朗</v>
      </c>
    </row>
    <row r="3795" spans="2:4" ht="13">
      <c r="B3795" s="12">
        <f ca="1">IFERROR(__xludf.DUMMYFUNCTION("""COMPUTED_VALUE"""),123668)</f>
        <v>123668</v>
      </c>
      <c r="C3795" s="14">
        <f ca="1">IFERROR(__xludf.DUMMYFUNCTION("""COMPUTED_VALUE"""),2)</f>
        <v>2</v>
      </c>
      <c r="D3795" s="12" t="str">
        <f ca="1">IFERROR(__xludf.DUMMYFUNCTION("""COMPUTED_VALUE"""),"菅野 ぎんが")</f>
        <v>菅野 ぎんが</v>
      </c>
    </row>
    <row r="3796" spans="2:4" ht="13">
      <c r="B3796" s="12">
        <f ca="1">IFERROR(__xludf.DUMMYFUNCTION("""COMPUTED_VALUE"""),123669)</f>
        <v>123669</v>
      </c>
      <c r="C3796" s="14">
        <f ca="1">IFERROR(__xludf.DUMMYFUNCTION("""COMPUTED_VALUE"""),0)</f>
        <v>0</v>
      </c>
      <c r="D3796" s="12" t="str">
        <f ca="1">IFERROR(__xludf.DUMMYFUNCTION("""COMPUTED_VALUE"""),"桐山 勝気")</f>
        <v>桐山 勝気</v>
      </c>
    </row>
    <row r="3797" spans="2:4" ht="13">
      <c r="B3797" s="12">
        <f ca="1">IFERROR(__xludf.DUMMYFUNCTION("""COMPUTED_VALUE"""),123670)</f>
        <v>123670</v>
      </c>
      <c r="C3797" s="14">
        <f ca="1">IFERROR(__xludf.DUMMYFUNCTION("""COMPUTED_VALUE"""),5)</f>
        <v>5</v>
      </c>
      <c r="D3797" s="12" t="str">
        <f ca="1">IFERROR(__xludf.DUMMYFUNCTION("""COMPUTED_VALUE"""),"芳賀 亮輔")</f>
        <v>芳賀 亮輔</v>
      </c>
    </row>
    <row r="3798" spans="2:4" ht="13">
      <c r="B3798" s="12">
        <f ca="1">IFERROR(__xludf.DUMMYFUNCTION("""COMPUTED_VALUE"""),123672)</f>
        <v>123672</v>
      </c>
      <c r="C3798" s="14">
        <f ca="1">IFERROR(__xludf.DUMMYFUNCTION("""COMPUTED_VALUE"""),0)</f>
        <v>0</v>
      </c>
      <c r="D3798" s="12" t="str">
        <f ca="1">IFERROR(__xludf.DUMMYFUNCTION("""COMPUTED_VALUE"""),"芳賀 亮輔")</f>
        <v>芳賀 亮輔</v>
      </c>
    </row>
    <row r="3799" spans="2:4" ht="13">
      <c r="B3799" s="12">
        <f ca="1">IFERROR(__xludf.DUMMYFUNCTION("""COMPUTED_VALUE"""),123687)</f>
        <v>123687</v>
      </c>
      <c r="C3799" s="14">
        <f ca="1">IFERROR(__xludf.DUMMYFUNCTION("""COMPUTED_VALUE"""),0)</f>
        <v>0</v>
      </c>
      <c r="D3799" s="12" t="str">
        <f ca="1">IFERROR(__xludf.DUMMYFUNCTION("""COMPUTED_VALUE"""),"小関 麻起")</f>
        <v>小関 麻起</v>
      </c>
    </row>
    <row r="3800" spans="2:4" ht="13">
      <c r="B3800" s="12">
        <f ca="1">IFERROR(__xludf.DUMMYFUNCTION("""COMPUTED_VALUE"""),123689)</f>
        <v>123689</v>
      </c>
      <c r="C3800" s="14">
        <f ca="1">IFERROR(__xludf.DUMMYFUNCTION("""COMPUTED_VALUE"""),1)</f>
        <v>1</v>
      </c>
      <c r="D3800" s="12" t="str">
        <f ca="1">IFERROR(__xludf.DUMMYFUNCTION("""COMPUTED_VALUE"""),"老田 純輝")</f>
        <v>老田 純輝</v>
      </c>
    </row>
    <row r="3801" spans="2:4" ht="13">
      <c r="B3801" s="12">
        <f ca="1">IFERROR(__xludf.DUMMYFUNCTION("""COMPUTED_VALUE"""),123732)</f>
        <v>123732</v>
      </c>
      <c r="C3801" s="14">
        <f ca="1">IFERROR(__xludf.DUMMYFUNCTION("""COMPUTED_VALUE"""),0)</f>
        <v>0</v>
      </c>
      <c r="D3801" s="12" t="str">
        <f ca="1">IFERROR(__xludf.DUMMYFUNCTION("""COMPUTED_VALUE"""),"奥野 貴大")</f>
        <v>奥野 貴大</v>
      </c>
    </row>
    <row r="3802" spans="2:4" ht="13">
      <c r="B3802" s="12">
        <f ca="1">IFERROR(__xludf.DUMMYFUNCTION("""COMPUTED_VALUE"""),123735)</f>
        <v>123735</v>
      </c>
      <c r="C3802" s="14">
        <f ca="1">IFERROR(__xludf.DUMMYFUNCTION("""COMPUTED_VALUE"""),0)</f>
        <v>0</v>
      </c>
      <c r="D3802" s="12" t="str">
        <f ca="1">IFERROR(__xludf.DUMMYFUNCTION("""COMPUTED_VALUE"""),"小川 純")</f>
        <v>小川 純</v>
      </c>
    </row>
    <row r="3803" spans="2:4" ht="13">
      <c r="B3803" s="12">
        <f ca="1">IFERROR(__xludf.DUMMYFUNCTION("""COMPUTED_VALUE"""),123736)</f>
        <v>123736</v>
      </c>
      <c r="C3803" s="14">
        <f ca="1">IFERROR(__xludf.DUMMYFUNCTION("""COMPUTED_VALUE"""),10)</f>
        <v>10</v>
      </c>
      <c r="D3803" s="12" t="str">
        <f ca="1">IFERROR(__xludf.DUMMYFUNCTION("""COMPUTED_VALUE"""),"成嶋 夏未")</f>
        <v>成嶋 夏未</v>
      </c>
    </row>
    <row r="3804" spans="2:4" ht="13">
      <c r="B3804" s="12">
        <f ca="1">IFERROR(__xludf.DUMMYFUNCTION("""COMPUTED_VALUE"""),123755)</f>
        <v>123755</v>
      </c>
      <c r="C3804" s="14">
        <f ca="1">IFERROR(__xludf.DUMMYFUNCTION("""COMPUTED_VALUE"""),0)</f>
        <v>0</v>
      </c>
      <c r="D3804" s="12" t="str">
        <f ca="1">IFERROR(__xludf.DUMMYFUNCTION("""COMPUTED_VALUE"""),"荻曽 克輝")</f>
        <v>荻曽 克輝</v>
      </c>
    </row>
    <row r="3805" spans="2:4" ht="13">
      <c r="B3805" s="12">
        <f ca="1">IFERROR(__xludf.DUMMYFUNCTION("""COMPUTED_VALUE"""),123760)</f>
        <v>123760</v>
      </c>
      <c r="C3805" s="14">
        <f ca="1">IFERROR(__xludf.DUMMYFUNCTION("""COMPUTED_VALUE"""),0)</f>
        <v>0</v>
      </c>
      <c r="D3805" s="12" t="str">
        <f ca="1">IFERROR(__xludf.DUMMYFUNCTION("""COMPUTED_VALUE"""),"菅野 ぎんが")</f>
        <v>菅野 ぎんが</v>
      </c>
    </row>
    <row r="3806" spans="2:4" ht="13">
      <c r="B3806" s="12">
        <f ca="1">IFERROR(__xludf.DUMMYFUNCTION("""COMPUTED_VALUE"""),123793)</f>
        <v>123793</v>
      </c>
      <c r="C3806" s="14">
        <f ca="1">IFERROR(__xludf.DUMMYFUNCTION("""COMPUTED_VALUE"""),0)</f>
        <v>0</v>
      </c>
      <c r="D3806" s="12" t="str">
        <f ca="1">IFERROR(__xludf.DUMMYFUNCTION("""COMPUTED_VALUE"""),"成嶋 夏未")</f>
        <v>成嶋 夏未</v>
      </c>
    </row>
    <row r="3807" spans="2:4" ht="13">
      <c r="B3807" s="12">
        <f ca="1">IFERROR(__xludf.DUMMYFUNCTION("""COMPUTED_VALUE"""),123798)</f>
        <v>123798</v>
      </c>
      <c r="C3807" s="14">
        <f ca="1">IFERROR(__xludf.DUMMYFUNCTION("""COMPUTED_VALUE"""),2)</f>
        <v>2</v>
      </c>
      <c r="D3807" s="12" t="str">
        <f ca="1">IFERROR(__xludf.DUMMYFUNCTION("""COMPUTED_VALUE"""),"成嶋 夏未")</f>
        <v>成嶋 夏未</v>
      </c>
    </row>
    <row r="3808" spans="2:4" ht="13">
      <c r="B3808" s="12">
        <f ca="1">IFERROR(__xludf.DUMMYFUNCTION("""COMPUTED_VALUE"""),123800)</f>
        <v>123800</v>
      </c>
      <c r="C3808" s="14">
        <f ca="1">IFERROR(__xludf.DUMMYFUNCTION("""COMPUTED_VALUE"""),0)</f>
        <v>0</v>
      </c>
      <c r="D3808" s="12" t="str">
        <f ca="1">IFERROR(__xludf.DUMMYFUNCTION("""COMPUTED_VALUE"""),"荻曽 克輝")</f>
        <v>荻曽 克輝</v>
      </c>
    </row>
    <row r="3809" spans="2:4" ht="13">
      <c r="B3809" s="12">
        <f ca="1">IFERROR(__xludf.DUMMYFUNCTION("""COMPUTED_VALUE"""),123803)</f>
        <v>123803</v>
      </c>
      <c r="C3809" s="14">
        <f ca="1">IFERROR(__xludf.DUMMYFUNCTION("""COMPUTED_VALUE"""),0)</f>
        <v>0</v>
      </c>
      <c r="D3809" s="12" t="str">
        <f ca="1">IFERROR(__xludf.DUMMYFUNCTION("""COMPUTED_VALUE"""),"栗原 大武")</f>
        <v>栗原 大武</v>
      </c>
    </row>
    <row r="3810" spans="2:4" ht="13">
      <c r="B3810" s="12">
        <f ca="1">IFERROR(__xludf.DUMMYFUNCTION("""COMPUTED_VALUE"""),123804)</f>
        <v>123804</v>
      </c>
      <c r="C3810" s="14">
        <f ca="1">IFERROR(__xludf.DUMMYFUNCTION("""COMPUTED_VALUE"""),0)</f>
        <v>0</v>
      </c>
      <c r="D3810" s="12" t="str">
        <f ca="1">IFERROR(__xludf.DUMMYFUNCTION("""COMPUTED_VALUE"""),"成嶋 夏未")</f>
        <v>成嶋 夏未</v>
      </c>
    </row>
    <row r="3811" spans="2:4" ht="13">
      <c r="B3811" s="12">
        <f ca="1">IFERROR(__xludf.DUMMYFUNCTION("""COMPUTED_VALUE"""),123812)</f>
        <v>123812</v>
      </c>
      <c r="C3811" s="14">
        <f ca="1">IFERROR(__xludf.DUMMYFUNCTION("""COMPUTED_VALUE"""),0)</f>
        <v>0</v>
      </c>
      <c r="D3811" s="12" t="str">
        <f ca="1">IFERROR(__xludf.DUMMYFUNCTION("""COMPUTED_VALUE"""),"稲場 勇介")</f>
        <v>稲場 勇介</v>
      </c>
    </row>
    <row r="3812" spans="2:4" ht="13">
      <c r="B3812" s="12">
        <f ca="1">IFERROR(__xludf.DUMMYFUNCTION("""COMPUTED_VALUE"""),123816)</f>
        <v>123816</v>
      </c>
      <c r="C3812" s="14">
        <f ca="1">IFERROR(__xludf.DUMMYFUNCTION("""COMPUTED_VALUE"""),18)</f>
        <v>18</v>
      </c>
      <c r="D3812" s="12" t="str">
        <f ca="1">IFERROR(__xludf.DUMMYFUNCTION("""COMPUTED_VALUE"""),"長谷川 陸朗")</f>
        <v>長谷川 陸朗</v>
      </c>
    </row>
    <row r="3813" spans="2:4" ht="13">
      <c r="B3813" s="12">
        <f ca="1">IFERROR(__xludf.DUMMYFUNCTION("""COMPUTED_VALUE"""),123818)</f>
        <v>123818</v>
      </c>
      <c r="C3813" s="14">
        <f ca="1">IFERROR(__xludf.DUMMYFUNCTION("""COMPUTED_VALUE"""),2)</f>
        <v>2</v>
      </c>
      <c r="D3813" s="12" t="str">
        <f ca="1">IFERROR(__xludf.DUMMYFUNCTION("""COMPUTED_VALUE"""),"稲場 勇介")</f>
        <v>稲場 勇介</v>
      </c>
    </row>
    <row r="3814" spans="2:4" ht="13">
      <c r="B3814" s="12">
        <f ca="1">IFERROR(__xludf.DUMMYFUNCTION("""COMPUTED_VALUE"""),123830)</f>
        <v>123830</v>
      </c>
      <c r="C3814" s="14">
        <f ca="1">IFERROR(__xludf.DUMMYFUNCTION("""COMPUTED_VALUE"""),0)</f>
        <v>0</v>
      </c>
      <c r="D3814" s="12" t="str">
        <f ca="1">IFERROR(__xludf.DUMMYFUNCTION("""COMPUTED_VALUE"""),"小関 麻起")</f>
        <v>小関 麻起</v>
      </c>
    </row>
    <row r="3815" spans="2:4" ht="13">
      <c r="B3815" s="12">
        <f ca="1">IFERROR(__xludf.DUMMYFUNCTION("""COMPUTED_VALUE"""),123831)</f>
        <v>123831</v>
      </c>
      <c r="C3815" s="14">
        <f ca="1">IFERROR(__xludf.DUMMYFUNCTION("""COMPUTED_VALUE"""),0)</f>
        <v>0</v>
      </c>
      <c r="D3815" s="12" t="str">
        <f ca="1">IFERROR(__xludf.DUMMYFUNCTION("""COMPUTED_VALUE"""),"成嶋 夏未")</f>
        <v>成嶋 夏未</v>
      </c>
    </row>
    <row r="3816" spans="2:4" ht="13">
      <c r="B3816" s="12">
        <f ca="1">IFERROR(__xludf.DUMMYFUNCTION("""COMPUTED_VALUE"""),123836)</f>
        <v>123836</v>
      </c>
      <c r="C3816" s="14">
        <f ca="1">IFERROR(__xludf.DUMMYFUNCTION("""COMPUTED_VALUE"""),0)</f>
        <v>0</v>
      </c>
      <c r="D3816" s="12" t="str">
        <f ca="1">IFERROR(__xludf.DUMMYFUNCTION("""COMPUTED_VALUE"""),"堀越 駿")</f>
        <v>堀越 駿</v>
      </c>
    </row>
    <row r="3817" spans="2:4" ht="13">
      <c r="B3817" s="12">
        <f ca="1">IFERROR(__xludf.DUMMYFUNCTION("""COMPUTED_VALUE"""),123841)</f>
        <v>123841</v>
      </c>
      <c r="C3817" s="14">
        <f ca="1">IFERROR(__xludf.DUMMYFUNCTION("""COMPUTED_VALUE"""),0)</f>
        <v>0</v>
      </c>
      <c r="D3817" s="12" t="str">
        <f ca="1">IFERROR(__xludf.DUMMYFUNCTION("""COMPUTED_VALUE"""),"川島 幹也")</f>
        <v>川島 幹也</v>
      </c>
    </row>
    <row r="3818" spans="2:4" ht="13">
      <c r="B3818" s="12">
        <f ca="1">IFERROR(__xludf.DUMMYFUNCTION("""COMPUTED_VALUE"""),123842)</f>
        <v>123842</v>
      </c>
      <c r="C3818" s="14">
        <f ca="1">IFERROR(__xludf.DUMMYFUNCTION("""COMPUTED_VALUE"""),1)</f>
        <v>1</v>
      </c>
      <c r="D3818" s="12" t="str">
        <f ca="1">IFERROR(__xludf.DUMMYFUNCTION("""COMPUTED_VALUE"""),"川島 幹也")</f>
        <v>川島 幹也</v>
      </c>
    </row>
    <row r="3819" spans="2:4" ht="13">
      <c r="B3819" s="12">
        <f ca="1">IFERROR(__xludf.DUMMYFUNCTION("""COMPUTED_VALUE"""),123844)</f>
        <v>123844</v>
      </c>
      <c r="C3819" s="14">
        <f ca="1">IFERROR(__xludf.DUMMYFUNCTION("""COMPUTED_VALUE"""),0)</f>
        <v>0</v>
      </c>
      <c r="D3819" s="12" t="str">
        <f ca="1">IFERROR(__xludf.DUMMYFUNCTION("""COMPUTED_VALUE"""),"長谷川 陸朗")</f>
        <v>長谷川 陸朗</v>
      </c>
    </row>
    <row r="3820" spans="2:4" ht="13">
      <c r="B3820" s="12">
        <f ca="1">IFERROR(__xludf.DUMMYFUNCTION("""COMPUTED_VALUE"""),123851)</f>
        <v>123851</v>
      </c>
      <c r="C3820" s="14">
        <f ca="1">IFERROR(__xludf.DUMMYFUNCTION("""COMPUTED_VALUE"""),31)</f>
        <v>31</v>
      </c>
      <c r="D3820" s="12" t="str">
        <f ca="1">IFERROR(__xludf.DUMMYFUNCTION("""COMPUTED_VALUE"""),"菅野 ぎんが")</f>
        <v>菅野 ぎんが</v>
      </c>
    </row>
    <row r="3821" spans="2:4" ht="13">
      <c r="B3821" s="12">
        <f ca="1">IFERROR(__xludf.DUMMYFUNCTION("""COMPUTED_VALUE"""),123854)</f>
        <v>123854</v>
      </c>
      <c r="C3821" s="14">
        <f ca="1">IFERROR(__xludf.DUMMYFUNCTION("""COMPUTED_VALUE"""),0)</f>
        <v>0</v>
      </c>
      <c r="D3821" s="12" t="str">
        <f ca="1">IFERROR(__xludf.DUMMYFUNCTION("""COMPUTED_VALUE"""),"成嶋 夏未")</f>
        <v>成嶋 夏未</v>
      </c>
    </row>
    <row r="3822" spans="2:4" ht="13">
      <c r="B3822" s="12">
        <f ca="1">IFERROR(__xludf.DUMMYFUNCTION("""COMPUTED_VALUE"""),123870)</f>
        <v>123870</v>
      </c>
      <c r="C3822" s="14">
        <f ca="1">IFERROR(__xludf.DUMMYFUNCTION("""COMPUTED_VALUE"""),0)</f>
        <v>0</v>
      </c>
      <c r="D3822" s="12" t="str">
        <f ca="1">IFERROR(__xludf.DUMMYFUNCTION("""COMPUTED_VALUE"""),"村上 浩一朗")</f>
        <v>村上 浩一朗</v>
      </c>
    </row>
    <row r="3823" spans="2:4" ht="13">
      <c r="B3823" s="12">
        <f ca="1">IFERROR(__xludf.DUMMYFUNCTION("""COMPUTED_VALUE"""),123872)</f>
        <v>123872</v>
      </c>
      <c r="C3823" s="14">
        <f ca="1">IFERROR(__xludf.DUMMYFUNCTION("""COMPUTED_VALUE"""),0)</f>
        <v>0</v>
      </c>
      <c r="D3823" s="12" t="str">
        <f ca="1">IFERROR(__xludf.DUMMYFUNCTION("""COMPUTED_VALUE"""),"村上 浩一朗")</f>
        <v>村上 浩一朗</v>
      </c>
    </row>
    <row r="3824" spans="2:4" ht="13">
      <c r="B3824" s="12">
        <f ca="1">IFERROR(__xludf.DUMMYFUNCTION("""COMPUTED_VALUE"""),123877)</f>
        <v>123877</v>
      </c>
      <c r="C3824" s="14">
        <f ca="1">IFERROR(__xludf.DUMMYFUNCTION("""COMPUTED_VALUE"""),0)</f>
        <v>0</v>
      </c>
      <c r="D3824" s="12" t="str">
        <f ca="1">IFERROR(__xludf.DUMMYFUNCTION("""COMPUTED_VALUE"""),"稲場 勇介")</f>
        <v>稲場 勇介</v>
      </c>
    </row>
    <row r="3825" spans="2:4" ht="13">
      <c r="B3825" s="12">
        <f ca="1">IFERROR(__xludf.DUMMYFUNCTION("""COMPUTED_VALUE"""),123891)</f>
        <v>123891</v>
      </c>
      <c r="C3825" s="14">
        <f ca="1">IFERROR(__xludf.DUMMYFUNCTION("""COMPUTED_VALUE"""),0)</f>
        <v>0</v>
      </c>
      <c r="D3825" s="12" t="str">
        <f ca="1">IFERROR(__xludf.DUMMYFUNCTION("""COMPUTED_VALUE"""),"成嶋 夏未")</f>
        <v>成嶋 夏未</v>
      </c>
    </row>
    <row r="3826" spans="2:4" ht="13">
      <c r="B3826" s="12">
        <f ca="1">IFERROR(__xludf.DUMMYFUNCTION("""COMPUTED_VALUE"""),123893)</f>
        <v>123893</v>
      </c>
      <c r="C3826" s="14">
        <f ca="1">IFERROR(__xludf.DUMMYFUNCTION("""COMPUTED_VALUE"""),0)</f>
        <v>0</v>
      </c>
      <c r="D3826" s="12" t="str">
        <f ca="1">IFERROR(__xludf.DUMMYFUNCTION("""COMPUTED_VALUE"""),"菅野 ぎんが")</f>
        <v>菅野 ぎんが</v>
      </c>
    </row>
    <row r="3827" spans="2:4" ht="13">
      <c r="B3827" s="12">
        <f ca="1">IFERROR(__xludf.DUMMYFUNCTION("""COMPUTED_VALUE"""),123906)</f>
        <v>123906</v>
      </c>
      <c r="C3827" s="14">
        <f ca="1">IFERROR(__xludf.DUMMYFUNCTION("""COMPUTED_VALUE"""),3)</f>
        <v>3</v>
      </c>
      <c r="D3827" s="12" t="str">
        <f ca="1">IFERROR(__xludf.DUMMYFUNCTION("""COMPUTED_VALUE"""),"長谷川 陸朗")</f>
        <v>長谷川 陸朗</v>
      </c>
    </row>
    <row r="3828" spans="2:4" ht="13">
      <c r="B3828" s="12">
        <f ca="1">IFERROR(__xludf.DUMMYFUNCTION("""COMPUTED_VALUE"""),123908)</f>
        <v>123908</v>
      </c>
      <c r="C3828" s="14">
        <f ca="1">IFERROR(__xludf.DUMMYFUNCTION("""COMPUTED_VALUE"""),0)</f>
        <v>0</v>
      </c>
      <c r="D3828" s="12" t="str">
        <f ca="1">IFERROR(__xludf.DUMMYFUNCTION("""COMPUTED_VALUE"""),"稲場 勇介")</f>
        <v>稲場 勇介</v>
      </c>
    </row>
    <row r="3829" spans="2:4" ht="13">
      <c r="B3829" s="12">
        <f ca="1">IFERROR(__xludf.DUMMYFUNCTION("""COMPUTED_VALUE"""),123913)</f>
        <v>123913</v>
      </c>
      <c r="C3829" s="14">
        <f ca="1">IFERROR(__xludf.DUMMYFUNCTION("""COMPUTED_VALUE"""),0)</f>
        <v>0</v>
      </c>
      <c r="D3829" s="12" t="str">
        <f ca="1">IFERROR(__xludf.DUMMYFUNCTION("""COMPUTED_VALUE"""),"菅野 ぎんが")</f>
        <v>菅野 ぎんが</v>
      </c>
    </row>
    <row r="3830" spans="2:4" ht="13">
      <c r="B3830" s="12">
        <f ca="1">IFERROR(__xludf.DUMMYFUNCTION("""COMPUTED_VALUE"""),123919)</f>
        <v>123919</v>
      </c>
      <c r="C3830" s="14">
        <f ca="1">IFERROR(__xludf.DUMMYFUNCTION("""COMPUTED_VALUE"""),4)</f>
        <v>4</v>
      </c>
      <c r="D3830" s="12" t="str">
        <f ca="1">IFERROR(__xludf.DUMMYFUNCTION("""COMPUTED_VALUE"""),"老田 純輝")</f>
        <v>老田 純輝</v>
      </c>
    </row>
    <row r="3831" spans="2:4" ht="13">
      <c r="B3831" s="12">
        <f ca="1">IFERROR(__xludf.DUMMYFUNCTION("""COMPUTED_VALUE"""),123920)</f>
        <v>123920</v>
      </c>
      <c r="C3831" s="14">
        <f ca="1">IFERROR(__xludf.DUMMYFUNCTION("""COMPUTED_VALUE"""),0)</f>
        <v>0</v>
      </c>
      <c r="D3831" s="12" t="str">
        <f ca="1">IFERROR(__xludf.DUMMYFUNCTION("""COMPUTED_VALUE"""),"辻村 将大")</f>
        <v>辻村 将大</v>
      </c>
    </row>
    <row r="3832" spans="2:4" ht="13">
      <c r="B3832" s="12">
        <f ca="1">IFERROR(__xludf.DUMMYFUNCTION("""COMPUTED_VALUE"""),123921)</f>
        <v>123921</v>
      </c>
      <c r="C3832" s="14">
        <f ca="1">IFERROR(__xludf.DUMMYFUNCTION("""COMPUTED_VALUE"""),6)</f>
        <v>6</v>
      </c>
      <c r="D3832" s="12" t="str">
        <f ca="1">IFERROR(__xludf.DUMMYFUNCTION("""COMPUTED_VALUE"""),"村上 浩一朗")</f>
        <v>村上 浩一朗</v>
      </c>
    </row>
    <row r="3833" spans="2:4" ht="13">
      <c r="B3833" s="12">
        <f ca="1">IFERROR(__xludf.DUMMYFUNCTION("""COMPUTED_VALUE"""),123923)</f>
        <v>123923</v>
      </c>
      <c r="C3833" s="14">
        <f ca="1">IFERROR(__xludf.DUMMYFUNCTION("""COMPUTED_VALUE"""),5)</f>
        <v>5</v>
      </c>
      <c r="D3833" s="12" t="str">
        <f ca="1">IFERROR(__xludf.DUMMYFUNCTION("""COMPUTED_VALUE"""),"桑原 明子")</f>
        <v>桑原 明子</v>
      </c>
    </row>
    <row r="3834" spans="2:4" ht="13">
      <c r="B3834" s="12">
        <f ca="1">IFERROR(__xludf.DUMMYFUNCTION("""COMPUTED_VALUE"""),123924)</f>
        <v>123924</v>
      </c>
      <c r="C3834" s="14">
        <f ca="1">IFERROR(__xludf.DUMMYFUNCTION("""COMPUTED_VALUE"""),3)</f>
        <v>3</v>
      </c>
      <c r="D3834" s="12" t="str">
        <f ca="1">IFERROR(__xludf.DUMMYFUNCTION("""COMPUTED_VALUE"""),"桑原 明子")</f>
        <v>桑原 明子</v>
      </c>
    </row>
    <row r="3835" spans="2:4" ht="13">
      <c r="B3835" s="12">
        <f ca="1">IFERROR(__xludf.DUMMYFUNCTION("""COMPUTED_VALUE"""),123925)</f>
        <v>123925</v>
      </c>
      <c r="C3835" s="14">
        <f ca="1">IFERROR(__xludf.DUMMYFUNCTION("""COMPUTED_VALUE"""),1)</f>
        <v>1</v>
      </c>
      <c r="D3835" s="12" t="str">
        <f ca="1">IFERROR(__xludf.DUMMYFUNCTION("""COMPUTED_VALUE"""),"内丸 裕子")</f>
        <v>内丸 裕子</v>
      </c>
    </row>
    <row r="3836" spans="2:4" ht="13">
      <c r="B3836" s="12">
        <f ca="1">IFERROR(__xludf.DUMMYFUNCTION("""COMPUTED_VALUE"""),123928)</f>
        <v>123928</v>
      </c>
      <c r="C3836" s="14">
        <f ca="1">IFERROR(__xludf.DUMMYFUNCTION("""COMPUTED_VALUE"""),0)</f>
        <v>0</v>
      </c>
      <c r="D3836" s="12" t="str">
        <f ca="1">IFERROR(__xludf.DUMMYFUNCTION("""COMPUTED_VALUE"""),"長谷川 陸朗")</f>
        <v>長谷川 陸朗</v>
      </c>
    </row>
    <row r="3837" spans="2:4" ht="13">
      <c r="B3837" s="12">
        <f ca="1">IFERROR(__xludf.DUMMYFUNCTION("""COMPUTED_VALUE"""),123938)</f>
        <v>123938</v>
      </c>
      <c r="C3837" s="14">
        <f ca="1">IFERROR(__xludf.DUMMYFUNCTION("""COMPUTED_VALUE"""),0)</f>
        <v>0</v>
      </c>
      <c r="D3837" s="12" t="str">
        <f ca="1">IFERROR(__xludf.DUMMYFUNCTION("""COMPUTED_VALUE"""),"松尾 尚樹")</f>
        <v>松尾 尚樹</v>
      </c>
    </row>
    <row r="3838" spans="2:4" ht="13">
      <c r="B3838" s="12">
        <f ca="1">IFERROR(__xludf.DUMMYFUNCTION("""COMPUTED_VALUE"""),123942)</f>
        <v>123942</v>
      </c>
      <c r="C3838" s="14">
        <f ca="1">IFERROR(__xludf.DUMMYFUNCTION("""COMPUTED_VALUE"""),0)</f>
        <v>0</v>
      </c>
      <c r="D3838" s="12" t="str">
        <f ca="1">IFERROR(__xludf.DUMMYFUNCTION("""COMPUTED_VALUE"""),"成嶋 夏未")</f>
        <v>成嶋 夏未</v>
      </c>
    </row>
    <row r="3839" spans="2:4" ht="13">
      <c r="B3839" s="12">
        <f ca="1">IFERROR(__xludf.DUMMYFUNCTION("""COMPUTED_VALUE"""),123943)</f>
        <v>123943</v>
      </c>
      <c r="C3839" s="14">
        <f ca="1">IFERROR(__xludf.DUMMYFUNCTION("""COMPUTED_VALUE"""),2)</f>
        <v>2</v>
      </c>
      <c r="D3839" s="12" t="str">
        <f ca="1">IFERROR(__xludf.DUMMYFUNCTION("""COMPUTED_VALUE"""),"菅野 ぎんが")</f>
        <v>菅野 ぎんが</v>
      </c>
    </row>
    <row r="3840" spans="2:4" ht="13">
      <c r="B3840" s="12">
        <f ca="1">IFERROR(__xludf.DUMMYFUNCTION("""COMPUTED_VALUE"""),123945)</f>
        <v>123945</v>
      </c>
      <c r="C3840" s="14">
        <f ca="1">IFERROR(__xludf.DUMMYFUNCTION("""COMPUTED_VALUE"""),5)</f>
        <v>5</v>
      </c>
      <c r="D3840" s="12" t="str">
        <f ca="1">IFERROR(__xludf.DUMMYFUNCTION("""COMPUTED_VALUE"""),"栗原 大武")</f>
        <v>栗原 大武</v>
      </c>
    </row>
    <row r="3841" spans="2:4" ht="13">
      <c r="B3841" s="12">
        <f ca="1">IFERROR(__xludf.DUMMYFUNCTION("""COMPUTED_VALUE"""),123947)</f>
        <v>123947</v>
      </c>
      <c r="C3841" s="14">
        <f ca="1">IFERROR(__xludf.DUMMYFUNCTION("""COMPUTED_VALUE"""),0)</f>
        <v>0</v>
      </c>
      <c r="D3841" s="12" t="str">
        <f ca="1">IFERROR(__xludf.DUMMYFUNCTION("""COMPUTED_VALUE"""),"荻曽 克輝")</f>
        <v>荻曽 克輝</v>
      </c>
    </row>
    <row r="3842" spans="2:4" ht="13">
      <c r="B3842" s="12">
        <f ca="1">IFERROR(__xludf.DUMMYFUNCTION("""COMPUTED_VALUE"""),123951)</f>
        <v>123951</v>
      </c>
      <c r="C3842" s="14">
        <f ca="1">IFERROR(__xludf.DUMMYFUNCTION("""COMPUTED_VALUE"""),0)</f>
        <v>0</v>
      </c>
      <c r="D3842" s="12" t="str">
        <f ca="1">IFERROR(__xludf.DUMMYFUNCTION("""COMPUTED_VALUE"""),"小関 麻起")</f>
        <v>小関 麻起</v>
      </c>
    </row>
    <row r="3843" spans="2:4" ht="13">
      <c r="B3843" s="12">
        <f ca="1">IFERROR(__xludf.DUMMYFUNCTION("""COMPUTED_VALUE"""),123954)</f>
        <v>123954</v>
      </c>
      <c r="C3843" s="14">
        <f ca="1">IFERROR(__xludf.DUMMYFUNCTION("""COMPUTED_VALUE"""),0)</f>
        <v>0</v>
      </c>
      <c r="D3843" s="12" t="str">
        <f ca="1">IFERROR(__xludf.DUMMYFUNCTION("""COMPUTED_VALUE"""),"菅野 ぎんが")</f>
        <v>菅野 ぎんが</v>
      </c>
    </row>
    <row r="3844" spans="2:4" ht="13">
      <c r="B3844" s="12">
        <f ca="1">IFERROR(__xludf.DUMMYFUNCTION("""COMPUTED_VALUE"""),123955)</f>
        <v>123955</v>
      </c>
      <c r="C3844" s="14">
        <f ca="1">IFERROR(__xludf.DUMMYFUNCTION("""COMPUTED_VALUE"""),0)</f>
        <v>0</v>
      </c>
      <c r="D3844" s="12" t="str">
        <f ca="1">IFERROR(__xludf.DUMMYFUNCTION("""COMPUTED_VALUE"""),"菅野 ぎんが")</f>
        <v>菅野 ぎんが</v>
      </c>
    </row>
    <row r="3845" spans="2:4" ht="13">
      <c r="B3845" s="12">
        <f ca="1">IFERROR(__xludf.DUMMYFUNCTION("""COMPUTED_VALUE"""),123956)</f>
        <v>123956</v>
      </c>
      <c r="C3845" s="14">
        <f ca="1">IFERROR(__xludf.DUMMYFUNCTION("""COMPUTED_VALUE"""),0)</f>
        <v>0</v>
      </c>
      <c r="D3845" s="12" t="str">
        <f ca="1">IFERROR(__xludf.DUMMYFUNCTION("""COMPUTED_VALUE"""),"菅野 ぎんが")</f>
        <v>菅野 ぎんが</v>
      </c>
    </row>
    <row r="3846" spans="2:4" ht="13">
      <c r="B3846" s="12">
        <f ca="1">IFERROR(__xludf.DUMMYFUNCTION("""COMPUTED_VALUE"""),123960)</f>
        <v>123960</v>
      </c>
      <c r="C3846" s="14">
        <f ca="1">IFERROR(__xludf.DUMMYFUNCTION("""COMPUTED_VALUE"""),0)</f>
        <v>0</v>
      </c>
      <c r="D3846" s="12" t="str">
        <f ca="1">IFERROR(__xludf.DUMMYFUNCTION("""COMPUTED_VALUE"""),"菅野 ぎんが")</f>
        <v>菅野 ぎんが</v>
      </c>
    </row>
    <row r="3847" spans="2:4" ht="13">
      <c r="B3847" s="12">
        <f ca="1">IFERROR(__xludf.DUMMYFUNCTION("""COMPUTED_VALUE"""),123961)</f>
        <v>123961</v>
      </c>
      <c r="C3847" s="14">
        <f ca="1">IFERROR(__xludf.DUMMYFUNCTION("""COMPUTED_VALUE"""),43)</f>
        <v>43</v>
      </c>
      <c r="D3847" s="12" t="str">
        <f ca="1">IFERROR(__xludf.DUMMYFUNCTION("""COMPUTED_VALUE"""),"小川 純")</f>
        <v>小川 純</v>
      </c>
    </row>
    <row r="3848" spans="2:4" ht="13">
      <c r="B3848" s="12">
        <f ca="1">IFERROR(__xludf.DUMMYFUNCTION("""COMPUTED_VALUE"""),123970)</f>
        <v>123970</v>
      </c>
      <c r="C3848" s="14">
        <f ca="1">IFERROR(__xludf.DUMMYFUNCTION("""COMPUTED_VALUE"""),0)</f>
        <v>0</v>
      </c>
      <c r="D3848" s="12" t="str">
        <f ca="1">IFERROR(__xludf.DUMMYFUNCTION("""COMPUTED_VALUE"""),"稲場 勇介")</f>
        <v>稲場 勇介</v>
      </c>
    </row>
    <row r="3849" spans="2:4" ht="13">
      <c r="B3849" s="12">
        <f ca="1">IFERROR(__xludf.DUMMYFUNCTION("""COMPUTED_VALUE"""),123972)</f>
        <v>123972</v>
      </c>
      <c r="C3849" s="14">
        <f ca="1">IFERROR(__xludf.DUMMYFUNCTION("""COMPUTED_VALUE"""),0)</f>
        <v>0</v>
      </c>
      <c r="D3849" s="12" t="str">
        <f ca="1">IFERROR(__xludf.DUMMYFUNCTION("""COMPUTED_VALUE"""),"栗原 大武")</f>
        <v>栗原 大武</v>
      </c>
    </row>
    <row r="3850" spans="2:4" ht="13">
      <c r="B3850" s="12">
        <f ca="1">IFERROR(__xludf.DUMMYFUNCTION("""COMPUTED_VALUE"""),123974)</f>
        <v>123974</v>
      </c>
      <c r="C3850" s="14">
        <f ca="1">IFERROR(__xludf.DUMMYFUNCTION("""COMPUTED_VALUE"""),1)</f>
        <v>1</v>
      </c>
      <c r="D3850" s="12" t="str">
        <f ca="1">IFERROR(__xludf.DUMMYFUNCTION("""COMPUTED_VALUE"""),"成嶋 夏未")</f>
        <v>成嶋 夏未</v>
      </c>
    </row>
    <row r="3851" spans="2:4" ht="13">
      <c r="B3851" s="12">
        <f ca="1">IFERROR(__xludf.DUMMYFUNCTION("""COMPUTED_VALUE"""),123976)</f>
        <v>123976</v>
      </c>
      <c r="C3851" s="14">
        <f ca="1">IFERROR(__xludf.DUMMYFUNCTION("""COMPUTED_VALUE"""),0)</f>
        <v>0</v>
      </c>
      <c r="D3851" s="12" t="str">
        <f ca="1">IFERROR(__xludf.DUMMYFUNCTION("""COMPUTED_VALUE"""),"菅野 ぎんが")</f>
        <v>菅野 ぎんが</v>
      </c>
    </row>
    <row r="3852" spans="2:4" ht="13">
      <c r="B3852" s="12">
        <f ca="1">IFERROR(__xludf.DUMMYFUNCTION("""COMPUTED_VALUE"""),123977)</f>
        <v>123977</v>
      </c>
      <c r="C3852" s="14">
        <f ca="1">IFERROR(__xludf.DUMMYFUNCTION("""COMPUTED_VALUE"""),0)</f>
        <v>0</v>
      </c>
      <c r="D3852" s="12" t="str">
        <f ca="1">IFERROR(__xludf.DUMMYFUNCTION("""COMPUTED_VALUE"""),"菅野 ぎんが")</f>
        <v>菅野 ぎんが</v>
      </c>
    </row>
    <row r="3853" spans="2:4" ht="13">
      <c r="B3853" s="12">
        <f ca="1">IFERROR(__xludf.DUMMYFUNCTION("""COMPUTED_VALUE"""),123986)</f>
        <v>123986</v>
      </c>
      <c r="C3853" s="14">
        <f ca="1">IFERROR(__xludf.DUMMYFUNCTION("""COMPUTED_VALUE"""),0)</f>
        <v>0</v>
      </c>
      <c r="D3853" s="12" t="str">
        <f ca="1">IFERROR(__xludf.DUMMYFUNCTION("""COMPUTED_VALUE"""),"堀越 駿")</f>
        <v>堀越 駿</v>
      </c>
    </row>
    <row r="3854" spans="2:4" ht="13">
      <c r="B3854" s="12">
        <f ca="1">IFERROR(__xludf.DUMMYFUNCTION("""COMPUTED_VALUE"""),123987)</f>
        <v>123987</v>
      </c>
      <c r="C3854" s="14">
        <f ca="1">IFERROR(__xludf.DUMMYFUNCTION("""COMPUTED_VALUE"""),3)</f>
        <v>3</v>
      </c>
      <c r="D3854" s="12" t="str">
        <f ca="1">IFERROR(__xludf.DUMMYFUNCTION("""COMPUTED_VALUE"""),"菅野 ぎんが")</f>
        <v>菅野 ぎんが</v>
      </c>
    </row>
    <row r="3855" spans="2:4" ht="13">
      <c r="B3855" s="12">
        <f ca="1">IFERROR(__xludf.DUMMYFUNCTION("""COMPUTED_VALUE"""),123988)</f>
        <v>123988</v>
      </c>
      <c r="C3855" s="14">
        <f ca="1">IFERROR(__xludf.DUMMYFUNCTION("""COMPUTED_VALUE"""),0)</f>
        <v>0</v>
      </c>
      <c r="D3855" s="12" t="str">
        <f ca="1">IFERROR(__xludf.DUMMYFUNCTION("""COMPUTED_VALUE"""),"小関 麻起")</f>
        <v>小関 麻起</v>
      </c>
    </row>
    <row r="3856" spans="2:4" ht="13">
      <c r="B3856" s="12">
        <f ca="1">IFERROR(__xludf.DUMMYFUNCTION("""COMPUTED_VALUE"""),123995)</f>
        <v>123995</v>
      </c>
      <c r="C3856" s="14">
        <f ca="1">IFERROR(__xludf.DUMMYFUNCTION("""COMPUTED_VALUE"""),25)</f>
        <v>25</v>
      </c>
      <c r="D3856" s="12" t="str">
        <f ca="1">IFERROR(__xludf.DUMMYFUNCTION("""COMPUTED_VALUE"""),"松尾 尚樹")</f>
        <v>松尾 尚樹</v>
      </c>
    </row>
    <row r="3857" spans="2:4" ht="13">
      <c r="B3857" s="12">
        <f ca="1">IFERROR(__xludf.DUMMYFUNCTION("""COMPUTED_VALUE"""),123996)</f>
        <v>123996</v>
      </c>
      <c r="C3857" s="14">
        <f ca="1">IFERROR(__xludf.DUMMYFUNCTION("""COMPUTED_VALUE"""),1)</f>
        <v>1</v>
      </c>
      <c r="D3857" s="12" t="str">
        <f ca="1">IFERROR(__xludf.DUMMYFUNCTION("""COMPUTED_VALUE"""),"成嶋 夏未")</f>
        <v>成嶋 夏未</v>
      </c>
    </row>
    <row r="3858" spans="2:4" ht="13">
      <c r="B3858" s="12">
        <f ca="1">IFERROR(__xludf.DUMMYFUNCTION("""COMPUTED_VALUE"""),124003)</f>
        <v>124003</v>
      </c>
      <c r="C3858" s="14">
        <f ca="1">IFERROR(__xludf.DUMMYFUNCTION("""COMPUTED_VALUE"""),10)</f>
        <v>10</v>
      </c>
      <c r="D3858" s="12" t="str">
        <f ca="1">IFERROR(__xludf.DUMMYFUNCTION("""COMPUTED_VALUE"""),"堀越 駿")</f>
        <v>堀越 駿</v>
      </c>
    </row>
    <row r="3859" spans="2:4" ht="13">
      <c r="B3859" s="12">
        <f ca="1">IFERROR(__xludf.DUMMYFUNCTION("""COMPUTED_VALUE"""),124017)</f>
        <v>124017</v>
      </c>
      <c r="C3859" s="14">
        <f ca="1">IFERROR(__xludf.DUMMYFUNCTION("""COMPUTED_VALUE"""),87)</f>
        <v>87</v>
      </c>
      <c r="D3859" s="12" t="str">
        <f ca="1">IFERROR(__xludf.DUMMYFUNCTION("""COMPUTED_VALUE"""),"稲場 勇介")</f>
        <v>稲場 勇介</v>
      </c>
    </row>
    <row r="3860" spans="2:4" ht="13">
      <c r="B3860" s="12">
        <f ca="1">IFERROR(__xludf.DUMMYFUNCTION("""COMPUTED_VALUE"""),124020)</f>
        <v>124020</v>
      </c>
      <c r="C3860" s="14">
        <f ca="1">IFERROR(__xludf.DUMMYFUNCTION("""COMPUTED_VALUE"""),0)</f>
        <v>0</v>
      </c>
      <c r="D3860" s="12" t="str">
        <f ca="1">IFERROR(__xludf.DUMMYFUNCTION("""COMPUTED_VALUE"""),"菅野 ぎんが")</f>
        <v>菅野 ぎんが</v>
      </c>
    </row>
    <row r="3861" spans="2:4" ht="13">
      <c r="B3861" s="12">
        <f ca="1">IFERROR(__xludf.DUMMYFUNCTION("""COMPUTED_VALUE"""),124026)</f>
        <v>124026</v>
      </c>
      <c r="C3861" s="14">
        <f ca="1">IFERROR(__xludf.DUMMYFUNCTION("""COMPUTED_VALUE"""),0)</f>
        <v>0</v>
      </c>
      <c r="D3861" s="12" t="str">
        <f ca="1">IFERROR(__xludf.DUMMYFUNCTION("""COMPUTED_VALUE"""),"成嶋 夏未")</f>
        <v>成嶋 夏未</v>
      </c>
    </row>
    <row r="3862" spans="2:4" ht="13">
      <c r="B3862" s="12">
        <f ca="1">IFERROR(__xludf.DUMMYFUNCTION("""COMPUTED_VALUE"""),124033)</f>
        <v>124033</v>
      </c>
      <c r="C3862" s="14">
        <f ca="1">IFERROR(__xludf.DUMMYFUNCTION("""COMPUTED_VALUE"""),0)</f>
        <v>0</v>
      </c>
      <c r="D3862" s="12" t="str">
        <f ca="1">IFERROR(__xludf.DUMMYFUNCTION("""COMPUTED_VALUE"""),"内丸 裕子")</f>
        <v>内丸 裕子</v>
      </c>
    </row>
    <row r="3863" spans="2:4" ht="13">
      <c r="B3863" s="12">
        <f ca="1">IFERROR(__xludf.DUMMYFUNCTION("""COMPUTED_VALUE"""),124035)</f>
        <v>124035</v>
      </c>
      <c r="C3863" s="14">
        <f ca="1">IFERROR(__xludf.DUMMYFUNCTION("""COMPUTED_VALUE"""),7)</f>
        <v>7</v>
      </c>
      <c r="D3863" s="12" t="str">
        <f ca="1">IFERROR(__xludf.DUMMYFUNCTION("""COMPUTED_VALUE"""),"内丸 裕子")</f>
        <v>内丸 裕子</v>
      </c>
    </row>
    <row r="3864" spans="2:4" ht="13">
      <c r="B3864" s="12">
        <f ca="1">IFERROR(__xludf.DUMMYFUNCTION("""COMPUTED_VALUE"""),124038)</f>
        <v>124038</v>
      </c>
      <c r="C3864" s="14">
        <f ca="1">IFERROR(__xludf.DUMMYFUNCTION("""COMPUTED_VALUE"""),0)</f>
        <v>0</v>
      </c>
      <c r="D3864" s="12" t="str">
        <f ca="1">IFERROR(__xludf.DUMMYFUNCTION("""COMPUTED_VALUE"""),"桑原 明子")</f>
        <v>桑原 明子</v>
      </c>
    </row>
    <row r="3865" spans="2:4" ht="13">
      <c r="B3865" s="12">
        <f ca="1">IFERROR(__xludf.DUMMYFUNCTION("""COMPUTED_VALUE"""),124046)</f>
        <v>124046</v>
      </c>
      <c r="C3865" s="14">
        <f ca="1">IFERROR(__xludf.DUMMYFUNCTION("""COMPUTED_VALUE"""),0)</f>
        <v>0</v>
      </c>
      <c r="D3865" s="12" t="str">
        <f ca="1">IFERROR(__xludf.DUMMYFUNCTION("""COMPUTED_VALUE"""),"稲場 勇介")</f>
        <v>稲場 勇介</v>
      </c>
    </row>
    <row r="3866" spans="2:4" ht="13">
      <c r="B3866" s="12">
        <f ca="1">IFERROR(__xludf.DUMMYFUNCTION("""COMPUTED_VALUE"""),124051)</f>
        <v>124051</v>
      </c>
      <c r="C3866" s="14">
        <f ca="1">IFERROR(__xludf.DUMMYFUNCTION("""COMPUTED_VALUE"""),56)</f>
        <v>56</v>
      </c>
      <c r="D3866" s="12" t="str">
        <f ca="1">IFERROR(__xludf.DUMMYFUNCTION("""COMPUTED_VALUE"""),"松尾 尚樹")</f>
        <v>松尾 尚樹</v>
      </c>
    </row>
    <row r="3867" spans="2:4" ht="13">
      <c r="B3867" s="12">
        <f ca="1">IFERROR(__xludf.DUMMYFUNCTION("""COMPUTED_VALUE"""),124053)</f>
        <v>124053</v>
      </c>
      <c r="C3867" s="14">
        <f ca="1">IFERROR(__xludf.DUMMYFUNCTION("""COMPUTED_VALUE"""),11)</f>
        <v>11</v>
      </c>
      <c r="D3867" s="12" t="str">
        <f ca="1">IFERROR(__xludf.DUMMYFUNCTION("""COMPUTED_VALUE"""),"菅野 ぎんが")</f>
        <v>菅野 ぎんが</v>
      </c>
    </row>
    <row r="3868" spans="2:4" ht="13">
      <c r="B3868" s="12">
        <f ca="1">IFERROR(__xludf.DUMMYFUNCTION("""COMPUTED_VALUE"""),124057)</f>
        <v>124057</v>
      </c>
      <c r="C3868" s="14">
        <f ca="1">IFERROR(__xludf.DUMMYFUNCTION("""COMPUTED_VALUE"""),0)</f>
        <v>0</v>
      </c>
      <c r="D3868" s="12" t="str">
        <f ca="1">IFERROR(__xludf.DUMMYFUNCTION("""COMPUTED_VALUE"""),"成嶋 夏未")</f>
        <v>成嶋 夏未</v>
      </c>
    </row>
    <row r="3869" spans="2:4" ht="13">
      <c r="B3869" s="12">
        <f ca="1">IFERROR(__xludf.DUMMYFUNCTION("""COMPUTED_VALUE"""),124079)</f>
        <v>124079</v>
      </c>
      <c r="C3869" s="14">
        <f ca="1">IFERROR(__xludf.DUMMYFUNCTION("""COMPUTED_VALUE"""),0)</f>
        <v>0</v>
      </c>
      <c r="D3869" s="12" t="str">
        <f ca="1">IFERROR(__xludf.DUMMYFUNCTION("""COMPUTED_VALUE"""),"成嶋 夏未")</f>
        <v>成嶋 夏未</v>
      </c>
    </row>
    <row r="3870" spans="2:4" ht="13">
      <c r="B3870" s="12">
        <f ca="1">IFERROR(__xludf.DUMMYFUNCTION("""COMPUTED_VALUE"""),124082)</f>
        <v>124082</v>
      </c>
      <c r="C3870" s="14">
        <f ca="1">IFERROR(__xludf.DUMMYFUNCTION("""COMPUTED_VALUE"""),12)</f>
        <v>12</v>
      </c>
      <c r="D3870" s="12" t="str">
        <f ca="1">IFERROR(__xludf.DUMMYFUNCTION("""COMPUTED_VALUE"""),"栗原 大武")</f>
        <v>栗原 大武</v>
      </c>
    </row>
    <row r="3871" spans="2:4" ht="13">
      <c r="B3871" s="12">
        <f ca="1">IFERROR(__xludf.DUMMYFUNCTION("""COMPUTED_VALUE"""),124087)</f>
        <v>124087</v>
      </c>
      <c r="C3871" s="14">
        <f ca="1">IFERROR(__xludf.DUMMYFUNCTION("""COMPUTED_VALUE"""),0)</f>
        <v>0</v>
      </c>
      <c r="D3871" s="12" t="str">
        <f ca="1">IFERROR(__xludf.DUMMYFUNCTION("""COMPUTED_VALUE"""),"小関 麻起")</f>
        <v>小関 麻起</v>
      </c>
    </row>
    <row r="3872" spans="2:4" ht="13">
      <c r="B3872" s="12">
        <f ca="1">IFERROR(__xludf.DUMMYFUNCTION("""COMPUTED_VALUE"""),124100)</f>
        <v>124100</v>
      </c>
      <c r="C3872" s="14">
        <f ca="1">IFERROR(__xludf.DUMMYFUNCTION("""COMPUTED_VALUE"""),0)</f>
        <v>0</v>
      </c>
      <c r="D3872" s="12" t="str">
        <f ca="1">IFERROR(__xludf.DUMMYFUNCTION("""COMPUTED_VALUE"""),"村上 浩一朗")</f>
        <v>村上 浩一朗</v>
      </c>
    </row>
    <row r="3873" spans="2:4" ht="13">
      <c r="B3873" s="12">
        <f ca="1">IFERROR(__xludf.DUMMYFUNCTION("""COMPUTED_VALUE"""),124126)</f>
        <v>124126</v>
      </c>
      <c r="C3873" s="14">
        <f ca="1">IFERROR(__xludf.DUMMYFUNCTION("""COMPUTED_VALUE"""),0)</f>
        <v>0</v>
      </c>
      <c r="D3873" s="12" t="str">
        <f ca="1">IFERROR(__xludf.DUMMYFUNCTION("""COMPUTED_VALUE"""),"菅野 ぎんが")</f>
        <v>菅野 ぎんが</v>
      </c>
    </row>
    <row r="3874" spans="2:4" ht="13">
      <c r="B3874" s="12">
        <f ca="1">IFERROR(__xludf.DUMMYFUNCTION("""COMPUTED_VALUE"""),124173)</f>
        <v>124173</v>
      </c>
      <c r="C3874" s="14">
        <f ca="1">IFERROR(__xludf.DUMMYFUNCTION("""COMPUTED_VALUE"""),2)</f>
        <v>2</v>
      </c>
      <c r="D3874" s="12" t="str">
        <f ca="1">IFERROR(__xludf.DUMMYFUNCTION("""COMPUTED_VALUE"""),"老田 純輝")</f>
        <v>老田 純輝</v>
      </c>
    </row>
    <row r="3875" spans="2:4" ht="13">
      <c r="B3875" s="12">
        <f ca="1">IFERROR(__xludf.DUMMYFUNCTION("""COMPUTED_VALUE"""),124174)</f>
        <v>124174</v>
      </c>
      <c r="C3875" s="14">
        <f ca="1">IFERROR(__xludf.DUMMYFUNCTION("""COMPUTED_VALUE"""),1)</f>
        <v>1</v>
      </c>
      <c r="D3875" s="12" t="str">
        <f ca="1">IFERROR(__xludf.DUMMYFUNCTION("""COMPUTED_VALUE"""),"成嶋 夏未")</f>
        <v>成嶋 夏未</v>
      </c>
    </row>
    <row r="3876" spans="2:4" ht="13">
      <c r="B3876" s="12">
        <f ca="1">IFERROR(__xludf.DUMMYFUNCTION("""COMPUTED_VALUE"""),124183)</f>
        <v>124183</v>
      </c>
      <c r="C3876" s="14">
        <f ca="1">IFERROR(__xludf.DUMMYFUNCTION("""COMPUTED_VALUE"""),9)</f>
        <v>9</v>
      </c>
      <c r="D3876" s="12" t="str">
        <f ca="1">IFERROR(__xludf.DUMMYFUNCTION("""COMPUTED_VALUE"""),"菅野 ぎんが")</f>
        <v>菅野 ぎんが</v>
      </c>
    </row>
    <row r="3877" spans="2:4" ht="13">
      <c r="B3877" s="12">
        <f ca="1">IFERROR(__xludf.DUMMYFUNCTION("""COMPUTED_VALUE"""),124187)</f>
        <v>124187</v>
      </c>
      <c r="C3877" s="14">
        <f ca="1">IFERROR(__xludf.DUMMYFUNCTION("""COMPUTED_VALUE"""),1)</f>
        <v>1</v>
      </c>
      <c r="D3877" s="12" t="str">
        <f ca="1">IFERROR(__xludf.DUMMYFUNCTION("""COMPUTED_VALUE"""),"栗原 大武")</f>
        <v>栗原 大武</v>
      </c>
    </row>
    <row r="3878" spans="2:4" ht="13">
      <c r="B3878" s="12">
        <f ca="1">IFERROR(__xludf.DUMMYFUNCTION("""COMPUTED_VALUE"""),124205)</f>
        <v>124205</v>
      </c>
      <c r="C3878" s="14">
        <f ca="1">IFERROR(__xludf.DUMMYFUNCTION("""COMPUTED_VALUE"""),8)</f>
        <v>8</v>
      </c>
      <c r="D3878" s="12" t="str">
        <f ca="1">IFERROR(__xludf.DUMMYFUNCTION("""COMPUTED_VALUE"""),"稲場 勇介")</f>
        <v>稲場 勇介</v>
      </c>
    </row>
    <row r="3879" spans="2:4" ht="13">
      <c r="B3879" s="12">
        <f ca="1">IFERROR(__xludf.DUMMYFUNCTION("""COMPUTED_VALUE"""),124206)</f>
        <v>124206</v>
      </c>
      <c r="C3879" s="14">
        <f ca="1">IFERROR(__xludf.DUMMYFUNCTION("""COMPUTED_VALUE"""),0)</f>
        <v>0</v>
      </c>
      <c r="D3879" s="12" t="str">
        <f ca="1">IFERROR(__xludf.DUMMYFUNCTION("""COMPUTED_VALUE"""),"稲場 勇介")</f>
        <v>稲場 勇介</v>
      </c>
    </row>
    <row r="3880" spans="2:4" ht="13">
      <c r="B3880" s="12">
        <f ca="1">IFERROR(__xludf.DUMMYFUNCTION("""COMPUTED_VALUE"""),124208)</f>
        <v>124208</v>
      </c>
      <c r="C3880" s="14">
        <f ca="1">IFERROR(__xludf.DUMMYFUNCTION("""COMPUTED_VALUE"""),0)</f>
        <v>0</v>
      </c>
      <c r="D3880" s="12" t="str">
        <f ca="1">IFERROR(__xludf.DUMMYFUNCTION("""COMPUTED_VALUE"""),"成嶋 夏未")</f>
        <v>成嶋 夏未</v>
      </c>
    </row>
    <row r="3881" spans="2:4" ht="13">
      <c r="B3881" s="12">
        <f ca="1">IFERROR(__xludf.DUMMYFUNCTION("""COMPUTED_VALUE"""),124211)</f>
        <v>124211</v>
      </c>
      <c r="C3881" s="14">
        <f ca="1">IFERROR(__xludf.DUMMYFUNCTION("""COMPUTED_VALUE"""),0)</f>
        <v>0</v>
      </c>
      <c r="D3881" s="12" t="str">
        <f ca="1">IFERROR(__xludf.DUMMYFUNCTION("""COMPUTED_VALUE"""),"菅野 ぎんが")</f>
        <v>菅野 ぎんが</v>
      </c>
    </row>
    <row r="3882" spans="2:4" ht="13">
      <c r="B3882" s="12">
        <f ca="1">IFERROR(__xludf.DUMMYFUNCTION("""COMPUTED_VALUE"""),124213)</f>
        <v>124213</v>
      </c>
      <c r="C3882" s="14">
        <f ca="1">IFERROR(__xludf.DUMMYFUNCTION("""COMPUTED_VALUE"""),6)</f>
        <v>6</v>
      </c>
      <c r="D3882" s="12" t="str">
        <f ca="1">IFERROR(__xludf.DUMMYFUNCTION("""COMPUTED_VALUE"""),"柿崎 晃司")</f>
        <v>柿崎 晃司</v>
      </c>
    </row>
    <row r="3883" spans="2:4" ht="13">
      <c r="B3883" s="12">
        <f ca="1">IFERROR(__xludf.DUMMYFUNCTION("""COMPUTED_VALUE"""),124227)</f>
        <v>124227</v>
      </c>
      <c r="C3883" s="14">
        <f ca="1">IFERROR(__xludf.DUMMYFUNCTION("""COMPUTED_VALUE"""),0)</f>
        <v>0</v>
      </c>
      <c r="D3883" s="12" t="str">
        <f ca="1">IFERROR(__xludf.DUMMYFUNCTION("""COMPUTED_VALUE"""),"松尾 尚樹")</f>
        <v>松尾 尚樹</v>
      </c>
    </row>
    <row r="3884" spans="2:4" ht="13">
      <c r="B3884" s="12">
        <f ca="1">IFERROR(__xludf.DUMMYFUNCTION("""COMPUTED_VALUE"""),124228)</f>
        <v>124228</v>
      </c>
      <c r="C3884" s="14">
        <f ca="1">IFERROR(__xludf.DUMMYFUNCTION("""COMPUTED_VALUE"""),0)</f>
        <v>0</v>
      </c>
      <c r="D3884" s="12" t="str">
        <f ca="1">IFERROR(__xludf.DUMMYFUNCTION("""COMPUTED_VALUE"""),"菅野 ぎんが")</f>
        <v>菅野 ぎんが</v>
      </c>
    </row>
    <row r="3885" spans="2:4" ht="13">
      <c r="B3885" s="12">
        <f ca="1">IFERROR(__xludf.DUMMYFUNCTION("""COMPUTED_VALUE"""),124229)</f>
        <v>124229</v>
      </c>
      <c r="C3885" s="14">
        <f ca="1">IFERROR(__xludf.DUMMYFUNCTION("""COMPUTED_VALUE"""),0)</f>
        <v>0</v>
      </c>
      <c r="D3885" s="12" t="str">
        <f ca="1">IFERROR(__xludf.DUMMYFUNCTION("""COMPUTED_VALUE"""),"成嶋 夏未")</f>
        <v>成嶋 夏未</v>
      </c>
    </row>
    <row r="3886" spans="2:4" ht="13">
      <c r="B3886" s="12">
        <f ca="1">IFERROR(__xludf.DUMMYFUNCTION("""COMPUTED_VALUE"""),124231)</f>
        <v>124231</v>
      </c>
      <c r="C3886" s="14">
        <f ca="1">IFERROR(__xludf.DUMMYFUNCTION("""COMPUTED_VALUE"""),7)</f>
        <v>7</v>
      </c>
      <c r="D3886" s="12" t="str">
        <f ca="1">IFERROR(__xludf.DUMMYFUNCTION("""COMPUTED_VALUE"""),"稲場 勇介")</f>
        <v>稲場 勇介</v>
      </c>
    </row>
    <row r="3887" spans="2:4" ht="13">
      <c r="B3887" s="12">
        <f ca="1">IFERROR(__xludf.DUMMYFUNCTION("""COMPUTED_VALUE"""),124233)</f>
        <v>124233</v>
      </c>
      <c r="C3887" s="14">
        <f ca="1">IFERROR(__xludf.DUMMYFUNCTION("""COMPUTED_VALUE"""),0)</f>
        <v>0</v>
      </c>
      <c r="D3887" s="12" t="str">
        <f ca="1">IFERROR(__xludf.DUMMYFUNCTION("""COMPUTED_VALUE"""),"稲場 勇介")</f>
        <v>稲場 勇介</v>
      </c>
    </row>
    <row r="3888" spans="2:4" ht="13">
      <c r="B3888" s="12">
        <f ca="1">IFERROR(__xludf.DUMMYFUNCTION("""COMPUTED_VALUE"""),124236)</f>
        <v>124236</v>
      </c>
      <c r="C3888" s="14">
        <f ca="1">IFERROR(__xludf.DUMMYFUNCTION("""COMPUTED_VALUE"""),0)</f>
        <v>0</v>
      </c>
      <c r="D3888" s="12" t="str">
        <f ca="1">IFERROR(__xludf.DUMMYFUNCTION("""COMPUTED_VALUE"""),"菅野 ぎんが")</f>
        <v>菅野 ぎんが</v>
      </c>
    </row>
    <row r="3889" spans="2:4" ht="13">
      <c r="B3889" s="12">
        <f ca="1">IFERROR(__xludf.DUMMYFUNCTION("""COMPUTED_VALUE"""),124243)</f>
        <v>124243</v>
      </c>
      <c r="C3889" s="14">
        <f ca="1">IFERROR(__xludf.DUMMYFUNCTION("""COMPUTED_VALUE"""),0)</f>
        <v>0</v>
      </c>
      <c r="D3889" s="12" t="str">
        <f ca="1">IFERROR(__xludf.DUMMYFUNCTION("""COMPUTED_VALUE"""),"稲場 勇介")</f>
        <v>稲場 勇介</v>
      </c>
    </row>
    <row r="3890" spans="2:4" ht="13">
      <c r="B3890" s="12">
        <f ca="1">IFERROR(__xludf.DUMMYFUNCTION("""COMPUTED_VALUE"""),124245)</f>
        <v>124245</v>
      </c>
      <c r="C3890" s="14">
        <f ca="1">IFERROR(__xludf.DUMMYFUNCTION("""COMPUTED_VALUE"""),1)</f>
        <v>1</v>
      </c>
      <c r="D3890" s="12" t="str">
        <f ca="1">IFERROR(__xludf.DUMMYFUNCTION("""COMPUTED_VALUE"""),"菅野 ぎんが")</f>
        <v>菅野 ぎんが</v>
      </c>
    </row>
    <row r="3891" spans="2:4" ht="13">
      <c r="B3891" s="12">
        <f ca="1">IFERROR(__xludf.DUMMYFUNCTION("""COMPUTED_VALUE"""),124249)</f>
        <v>124249</v>
      </c>
      <c r="C3891" s="14">
        <f ca="1">IFERROR(__xludf.DUMMYFUNCTION("""COMPUTED_VALUE"""),1)</f>
        <v>1</v>
      </c>
      <c r="D3891" s="12" t="str">
        <f ca="1">IFERROR(__xludf.DUMMYFUNCTION("""COMPUTED_VALUE"""),"成嶋 夏未")</f>
        <v>成嶋 夏未</v>
      </c>
    </row>
    <row r="3892" spans="2:4" ht="13">
      <c r="B3892" s="12">
        <f ca="1">IFERROR(__xludf.DUMMYFUNCTION("""COMPUTED_VALUE"""),124250)</f>
        <v>124250</v>
      </c>
      <c r="C3892" s="14">
        <f ca="1">IFERROR(__xludf.DUMMYFUNCTION("""COMPUTED_VALUE"""),0)</f>
        <v>0</v>
      </c>
      <c r="D3892" s="12" t="str">
        <f ca="1">IFERROR(__xludf.DUMMYFUNCTION("""COMPUTED_VALUE"""),"小関 麻起")</f>
        <v>小関 麻起</v>
      </c>
    </row>
    <row r="3893" spans="2:4" ht="13">
      <c r="B3893" s="12">
        <f ca="1">IFERROR(__xludf.DUMMYFUNCTION("""COMPUTED_VALUE"""),124255)</f>
        <v>124255</v>
      </c>
      <c r="C3893" s="14">
        <f ca="1">IFERROR(__xludf.DUMMYFUNCTION("""COMPUTED_VALUE"""),0)</f>
        <v>0</v>
      </c>
      <c r="D3893" s="12" t="str">
        <f ca="1">IFERROR(__xludf.DUMMYFUNCTION("""COMPUTED_VALUE"""),"菅野 ぎんが")</f>
        <v>菅野 ぎんが</v>
      </c>
    </row>
    <row r="3894" spans="2:4" ht="13">
      <c r="B3894" s="12">
        <f ca="1">IFERROR(__xludf.DUMMYFUNCTION("""COMPUTED_VALUE"""),124259)</f>
        <v>124259</v>
      </c>
      <c r="C3894" s="14">
        <f ca="1">IFERROR(__xludf.DUMMYFUNCTION("""COMPUTED_VALUE"""),43)</f>
        <v>43</v>
      </c>
      <c r="D3894" s="12" t="str">
        <f ca="1">IFERROR(__xludf.DUMMYFUNCTION("""COMPUTED_VALUE"""),"荻曽 克輝")</f>
        <v>荻曽 克輝</v>
      </c>
    </row>
    <row r="3895" spans="2:4" ht="13">
      <c r="B3895" s="12">
        <f ca="1">IFERROR(__xludf.DUMMYFUNCTION("""COMPUTED_VALUE"""),124265)</f>
        <v>124265</v>
      </c>
      <c r="C3895" s="14">
        <f ca="1">IFERROR(__xludf.DUMMYFUNCTION("""COMPUTED_VALUE"""),0)</f>
        <v>0</v>
      </c>
      <c r="D3895" s="12" t="str">
        <f ca="1">IFERROR(__xludf.DUMMYFUNCTION("""COMPUTED_VALUE"""),"松尾 尚樹")</f>
        <v>松尾 尚樹</v>
      </c>
    </row>
    <row r="3896" spans="2:4" ht="13">
      <c r="B3896" s="12">
        <f ca="1">IFERROR(__xludf.DUMMYFUNCTION("""COMPUTED_VALUE"""),124275)</f>
        <v>124275</v>
      </c>
      <c r="C3896" s="14">
        <f ca="1">IFERROR(__xludf.DUMMYFUNCTION("""COMPUTED_VALUE"""),16)</f>
        <v>16</v>
      </c>
      <c r="D3896" s="12" t="str">
        <f ca="1">IFERROR(__xludf.DUMMYFUNCTION("""COMPUTED_VALUE"""),"小関 麻起")</f>
        <v>小関 麻起</v>
      </c>
    </row>
    <row r="3897" spans="2:4" ht="13">
      <c r="B3897" s="12">
        <f ca="1">IFERROR(__xludf.DUMMYFUNCTION("""COMPUTED_VALUE"""),124281)</f>
        <v>124281</v>
      </c>
      <c r="C3897" s="14">
        <f ca="1">IFERROR(__xludf.DUMMYFUNCTION("""COMPUTED_VALUE"""),10)</f>
        <v>10</v>
      </c>
      <c r="D3897" s="12" t="str">
        <f ca="1">IFERROR(__xludf.DUMMYFUNCTION("""COMPUTED_VALUE"""),"村上 浩一朗")</f>
        <v>村上 浩一朗</v>
      </c>
    </row>
    <row r="3898" spans="2:4" ht="13">
      <c r="B3898" s="12">
        <f ca="1">IFERROR(__xludf.DUMMYFUNCTION("""COMPUTED_VALUE"""),124282)</f>
        <v>124282</v>
      </c>
      <c r="C3898" s="14">
        <f ca="1">IFERROR(__xludf.DUMMYFUNCTION("""COMPUTED_VALUE"""),0)</f>
        <v>0</v>
      </c>
      <c r="D3898" s="12" t="str">
        <f ca="1">IFERROR(__xludf.DUMMYFUNCTION("""COMPUTED_VALUE"""),"長谷川 陸朗")</f>
        <v>長谷川 陸朗</v>
      </c>
    </row>
    <row r="3899" spans="2:4" ht="13">
      <c r="B3899" s="12">
        <f ca="1">IFERROR(__xludf.DUMMYFUNCTION("""COMPUTED_VALUE"""),124283)</f>
        <v>124283</v>
      </c>
      <c r="C3899" s="14">
        <f ca="1">IFERROR(__xludf.DUMMYFUNCTION("""COMPUTED_VALUE"""),0)</f>
        <v>0</v>
      </c>
      <c r="D3899" s="12" t="str">
        <f ca="1">IFERROR(__xludf.DUMMYFUNCTION("""COMPUTED_VALUE"""),"小関 麻起")</f>
        <v>小関 麻起</v>
      </c>
    </row>
    <row r="3900" spans="2:4" ht="13">
      <c r="B3900" s="12">
        <f ca="1">IFERROR(__xludf.DUMMYFUNCTION("""COMPUTED_VALUE"""),124288)</f>
        <v>124288</v>
      </c>
      <c r="C3900" s="14">
        <f ca="1">IFERROR(__xludf.DUMMYFUNCTION("""COMPUTED_VALUE"""),0)</f>
        <v>0</v>
      </c>
      <c r="D3900" s="12" t="str">
        <f ca="1">IFERROR(__xludf.DUMMYFUNCTION("""COMPUTED_VALUE"""),"菅野 ぎんが")</f>
        <v>菅野 ぎんが</v>
      </c>
    </row>
    <row r="3901" spans="2:4" ht="13">
      <c r="B3901" s="12">
        <f ca="1">IFERROR(__xludf.DUMMYFUNCTION("""COMPUTED_VALUE"""),124292)</f>
        <v>124292</v>
      </c>
      <c r="C3901" s="14">
        <f ca="1">IFERROR(__xludf.DUMMYFUNCTION("""COMPUTED_VALUE"""),0)</f>
        <v>0</v>
      </c>
      <c r="D3901" s="12" t="str">
        <f ca="1">IFERROR(__xludf.DUMMYFUNCTION("""COMPUTED_VALUE"""),"桐山 勝気")</f>
        <v>桐山 勝気</v>
      </c>
    </row>
    <row r="3902" spans="2:4" ht="13">
      <c r="B3902" s="12">
        <f ca="1">IFERROR(__xludf.DUMMYFUNCTION("""COMPUTED_VALUE"""),124295)</f>
        <v>124295</v>
      </c>
      <c r="C3902" s="14">
        <f ca="1">IFERROR(__xludf.DUMMYFUNCTION("""COMPUTED_VALUE"""),0)</f>
        <v>0</v>
      </c>
      <c r="D3902" s="12" t="str">
        <f ca="1">IFERROR(__xludf.DUMMYFUNCTION("""COMPUTED_VALUE"""),"松尾 尚樹")</f>
        <v>松尾 尚樹</v>
      </c>
    </row>
    <row r="3903" spans="2:4" ht="13">
      <c r="B3903" s="12">
        <f ca="1">IFERROR(__xludf.DUMMYFUNCTION("""COMPUTED_VALUE"""),124298)</f>
        <v>124298</v>
      </c>
      <c r="C3903" s="14">
        <f ca="1">IFERROR(__xludf.DUMMYFUNCTION("""COMPUTED_VALUE"""),2)</f>
        <v>2</v>
      </c>
      <c r="D3903" s="12" t="str">
        <f ca="1">IFERROR(__xludf.DUMMYFUNCTION("""COMPUTED_VALUE"""),"菅野 ぎんが")</f>
        <v>菅野 ぎんが</v>
      </c>
    </row>
    <row r="3904" spans="2:4" ht="13">
      <c r="B3904" s="12">
        <f ca="1">IFERROR(__xludf.DUMMYFUNCTION("""COMPUTED_VALUE"""),124300)</f>
        <v>124300</v>
      </c>
      <c r="C3904" s="14">
        <f ca="1">IFERROR(__xludf.DUMMYFUNCTION("""COMPUTED_VALUE"""),0)</f>
        <v>0</v>
      </c>
      <c r="D3904" s="12" t="str">
        <f ca="1">IFERROR(__xludf.DUMMYFUNCTION("""COMPUTED_VALUE"""),"荻曽 克輝")</f>
        <v>荻曽 克輝</v>
      </c>
    </row>
    <row r="3905" spans="2:4" ht="13">
      <c r="B3905" s="12">
        <f ca="1">IFERROR(__xludf.DUMMYFUNCTION("""COMPUTED_VALUE"""),124306)</f>
        <v>124306</v>
      </c>
      <c r="C3905" s="14">
        <f ca="1">IFERROR(__xludf.DUMMYFUNCTION("""COMPUTED_VALUE"""),0)</f>
        <v>0</v>
      </c>
      <c r="D3905" s="12" t="str">
        <f ca="1">IFERROR(__xludf.DUMMYFUNCTION("""COMPUTED_VALUE"""),"大木 優香")</f>
        <v>大木 優香</v>
      </c>
    </row>
    <row r="3906" spans="2:4" ht="13">
      <c r="B3906" s="12">
        <f ca="1">IFERROR(__xludf.DUMMYFUNCTION("""COMPUTED_VALUE"""),124309)</f>
        <v>124309</v>
      </c>
      <c r="C3906" s="14">
        <f ca="1">IFERROR(__xludf.DUMMYFUNCTION("""COMPUTED_VALUE"""),25)</f>
        <v>25</v>
      </c>
      <c r="D3906" s="12" t="str">
        <f ca="1">IFERROR(__xludf.DUMMYFUNCTION("""COMPUTED_VALUE"""),"老田 純輝")</f>
        <v>老田 純輝</v>
      </c>
    </row>
    <row r="3907" spans="2:4" ht="13">
      <c r="B3907" s="12">
        <f ca="1">IFERROR(__xludf.DUMMYFUNCTION("""COMPUTED_VALUE"""),124315)</f>
        <v>124315</v>
      </c>
      <c r="C3907" s="14">
        <f ca="1">IFERROR(__xludf.DUMMYFUNCTION("""COMPUTED_VALUE"""),0)</f>
        <v>0</v>
      </c>
      <c r="D3907" s="12" t="str">
        <f ca="1">IFERROR(__xludf.DUMMYFUNCTION("""COMPUTED_VALUE"""),"栗原 大武")</f>
        <v>栗原 大武</v>
      </c>
    </row>
    <row r="3908" spans="2:4" ht="13">
      <c r="B3908" s="12">
        <f ca="1">IFERROR(__xludf.DUMMYFUNCTION("""COMPUTED_VALUE"""),124316)</f>
        <v>124316</v>
      </c>
      <c r="C3908" s="14">
        <f ca="1">IFERROR(__xludf.DUMMYFUNCTION("""COMPUTED_VALUE"""),0)</f>
        <v>0</v>
      </c>
      <c r="D3908" s="12" t="str">
        <f ca="1">IFERROR(__xludf.DUMMYFUNCTION("""COMPUTED_VALUE"""),"小川 純")</f>
        <v>小川 純</v>
      </c>
    </row>
    <row r="3909" spans="2:4" ht="13">
      <c r="B3909" s="12">
        <f ca="1">IFERROR(__xludf.DUMMYFUNCTION("""COMPUTED_VALUE"""),124322)</f>
        <v>124322</v>
      </c>
      <c r="C3909" s="14">
        <f ca="1">IFERROR(__xludf.DUMMYFUNCTION("""COMPUTED_VALUE"""),102)</f>
        <v>102</v>
      </c>
      <c r="D3909" s="12" t="str">
        <f ca="1">IFERROR(__xludf.DUMMYFUNCTION("""COMPUTED_VALUE"""),"辻村 将大")</f>
        <v>辻村 将大</v>
      </c>
    </row>
    <row r="3910" spans="2:4" ht="13">
      <c r="B3910" s="12">
        <f ca="1">IFERROR(__xludf.DUMMYFUNCTION("""COMPUTED_VALUE"""),124352)</f>
        <v>124352</v>
      </c>
      <c r="C3910" s="14">
        <f ca="1">IFERROR(__xludf.DUMMYFUNCTION("""COMPUTED_VALUE"""),21)</f>
        <v>21</v>
      </c>
      <c r="D3910" s="12" t="str">
        <f ca="1">IFERROR(__xludf.DUMMYFUNCTION("""COMPUTED_VALUE"""),"成嶋 夏未")</f>
        <v>成嶋 夏未</v>
      </c>
    </row>
    <row r="3911" spans="2:4" ht="13">
      <c r="B3911" s="12">
        <f ca="1">IFERROR(__xludf.DUMMYFUNCTION("""COMPUTED_VALUE"""),124357)</f>
        <v>124357</v>
      </c>
      <c r="C3911" s="14">
        <f ca="1">IFERROR(__xludf.DUMMYFUNCTION("""COMPUTED_VALUE"""),19)</f>
        <v>19</v>
      </c>
      <c r="D3911" s="12" t="str">
        <f ca="1">IFERROR(__xludf.DUMMYFUNCTION("""COMPUTED_VALUE"""),"小川 純")</f>
        <v>小川 純</v>
      </c>
    </row>
    <row r="3912" spans="2:4" ht="13">
      <c r="B3912" s="12">
        <f ca="1">IFERROR(__xludf.DUMMYFUNCTION("""COMPUTED_VALUE"""),124362)</f>
        <v>124362</v>
      </c>
      <c r="C3912" s="14">
        <f ca="1">IFERROR(__xludf.DUMMYFUNCTION("""COMPUTED_VALUE"""),0)</f>
        <v>0</v>
      </c>
      <c r="D3912" s="12" t="str">
        <f ca="1">IFERROR(__xludf.DUMMYFUNCTION("""COMPUTED_VALUE"""),"森 光智")</f>
        <v>森 光智</v>
      </c>
    </row>
    <row r="3913" spans="2:4" ht="13">
      <c r="B3913" s="12">
        <f ca="1">IFERROR(__xludf.DUMMYFUNCTION("""COMPUTED_VALUE"""),124365)</f>
        <v>124365</v>
      </c>
      <c r="C3913" s="14">
        <f ca="1">IFERROR(__xludf.DUMMYFUNCTION("""COMPUTED_VALUE"""),0)</f>
        <v>0</v>
      </c>
      <c r="D3913" s="12" t="str">
        <f ca="1">IFERROR(__xludf.DUMMYFUNCTION("""COMPUTED_VALUE"""),"成嶋 夏未")</f>
        <v>成嶋 夏未</v>
      </c>
    </row>
    <row r="3914" spans="2:4" ht="13">
      <c r="B3914" s="12">
        <f ca="1">IFERROR(__xludf.DUMMYFUNCTION("""COMPUTED_VALUE"""),124369)</f>
        <v>124369</v>
      </c>
      <c r="C3914" s="14">
        <f ca="1">IFERROR(__xludf.DUMMYFUNCTION("""COMPUTED_VALUE"""),0)</f>
        <v>0</v>
      </c>
      <c r="D3914" s="12" t="str">
        <f ca="1">IFERROR(__xludf.DUMMYFUNCTION("""COMPUTED_VALUE"""),"荻曽 克輝")</f>
        <v>荻曽 克輝</v>
      </c>
    </row>
    <row r="3915" spans="2:4" ht="13">
      <c r="B3915" s="12">
        <f ca="1">IFERROR(__xludf.DUMMYFUNCTION("""COMPUTED_VALUE"""),124372)</f>
        <v>124372</v>
      </c>
      <c r="C3915" s="14">
        <f ca="1">IFERROR(__xludf.DUMMYFUNCTION("""COMPUTED_VALUE"""),0)</f>
        <v>0</v>
      </c>
      <c r="D3915" s="12" t="str">
        <f ca="1">IFERROR(__xludf.DUMMYFUNCTION("""COMPUTED_VALUE"""),"辻村 将大")</f>
        <v>辻村 将大</v>
      </c>
    </row>
    <row r="3916" spans="2:4" ht="13">
      <c r="B3916" s="12">
        <f ca="1">IFERROR(__xludf.DUMMYFUNCTION("""COMPUTED_VALUE"""),124374)</f>
        <v>124374</v>
      </c>
      <c r="C3916" s="14">
        <f ca="1">IFERROR(__xludf.DUMMYFUNCTION("""COMPUTED_VALUE"""),0)</f>
        <v>0</v>
      </c>
      <c r="D3916" s="12" t="str">
        <f ca="1">IFERROR(__xludf.DUMMYFUNCTION("""COMPUTED_VALUE"""),"成嶋 夏未")</f>
        <v>成嶋 夏未</v>
      </c>
    </row>
    <row r="3917" spans="2:4" ht="13">
      <c r="B3917" s="12">
        <f ca="1">IFERROR(__xludf.DUMMYFUNCTION("""COMPUTED_VALUE"""),124379)</f>
        <v>124379</v>
      </c>
      <c r="C3917" s="14">
        <f ca="1">IFERROR(__xludf.DUMMYFUNCTION("""COMPUTED_VALUE"""),72)</f>
        <v>72</v>
      </c>
      <c r="D3917" s="12" t="str">
        <f ca="1">IFERROR(__xludf.DUMMYFUNCTION("""COMPUTED_VALUE"""),"柿崎 晃司")</f>
        <v>柿崎 晃司</v>
      </c>
    </row>
    <row r="3918" spans="2:4" ht="13">
      <c r="B3918" s="12">
        <f ca="1">IFERROR(__xludf.DUMMYFUNCTION("""COMPUTED_VALUE"""),124380)</f>
        <v>124380</v>
      </c>
      <c r="C3918" s="14">
        <f ca="1">IFERROR(__xludf.DUMMYFUNCTION("""COMPUTED_VALUE"""),0)</f>
        <v>0</v>
      </c>
      <c r="D3918" s="12" t="str">
        <f ca="1">IFERROR(__xludf.DUMMYFUNCTION("""COMPUTED_VALUE"""),"村上 浩一朗")</f>
        <v>村上 浩一朗</v>
      </c>
    </row>
    <row r="3919" spans="2:4" ht="13">
      <c r="B3919" s="12">
        <f ca="1">IFERROR(__xludf.DUMMYFUNCTION("""COMPUTED_VALUE"""),124383)</f>
        <v>124383</v>
      </c>
      <c r="C3919" s="14">
        <f ca="1">IFERROR(__xludf.DUMMYFUNCTION("""COMPUTED_VALUE"""),11)</f>
        <v>11</v>
      </c>
      <c r="D3919" s="12" t="str">
        <f ca="1">IFERROR(__xludf.DUMMYFUNCTION("""COMPUTED_VALUE"""),"村上 浩一朗")</f>
        <v>村上 浩一朗</v>
      </c>
    </row>
    <row r="3920" spans="2:4" ht="13">
      <c r="B3920" s="12">
        <f ca="1">IFERROR(__xludf.DUMMYFUNCTION("""COMPUTED_VALUE"""),124384)</f>
        <v>124384</v>
      </c>
      <c r="C3920" s="14">
        <f ca="1">IFERROR(__xludf.DUMMYFUNCTION("""COMPUTED_VALUE"""),12)</f>
        <v>12</v>
      </c>
      <c r="D3920" s="12" t="str">
        <f ca="1">IFERROR(__xludf.DUMMYFUNCTION("""COMPUTED_VALUE"""),"村上 浩一朗")</f>
        <v>村上 浩一朗</v>
      </c>
    </row>
    <row r="3921" spans="2:4" ht="13">
      <c r="B3921" s="12">
        <f ca="1">IFERROR(__xludf.DUMMYFUNCTION("""COMPUTED_VALUE"""),124389)</f>
        <v>124389</v>
      </c>
      <c r="C3921" s="14">
        <f ca="1">IFERROR(__xludf.DUMMYFUNCTION("""COMPUTED_VALUE"""),0)</f>
        <v>0</v>
      </c>
      <c r="D3921" s="12" t="str">
        <f ca="1">IFERROR(__xludf.DUMMYFUNCTION("""COMPUTED_VALUE"""),"芳賀 亮輔")</f>
        <v>芳賀 亮輔</v>
      </c>
    </row>
    <row r="3922" spans="2:4" ht="13">
      <c r="B3922" s="12">
        <f ca="1">IFERROR(__xludf.DUMMYFUNCTION("""COMPUTED_VALUE"""),124391)</f>
        <v>124391</v>
      </c>
      <c r="C3922" s="14">
        <f ca="1">IFERROR(__xludf.DUMMYFUNCTION("""COMPUTED_VALUE"""),0)</f>
        <v>0</v>
      </c>
      <c r="D3922" s="12" t="str">
        <f ca="1">IFERROR(__xludf.DUMMYFUNCTION("""COMPUTED_VALUE"""),"松尾 尚樹")</f>
        <v>松尾 尚樹</v>
      </c>
    </row>
    <row r="3923" spans="2:4" ht="13">
      <c r="B3923" s="12">
        <f ca="1">IFERROR(__xludf.DUMMYFUNCTION("""COMPUTED_VALUE"""),124394)</f>
        <v>124394</v>
      </c>
      <c r="C3923" s="14">
        <f ca="1">IFERROR(__xludf.DUMMYFUNCTION("""COMPUTED_VALUE"""),20)</f>
        <v>20</v>
      </c>
      <c r="D3923" s="12" t="str">
        <f ca="1">IFERROR(__xludf.DUMMYFUNCTION("""COMPUTED_VALUE"""),"稲場 勇介")</f>
        <v>稲場 勇介</v>
      </c>
    </row>
    <row r="3924" spans="2:4" ht="13">
      <c r="B3924" s="12">
        <f ca="1">IFERROR(__xludf.DUMMYFUNCTION("""COMPUTED_VALUE"""),124398)</f>
        <v>124398</v>
      </c>
      <c r="C3924" s="14">
        <f ca="1">IFERROR(__xludf.DUMMYFUNCTION("""COMPUTED_VALUE"""),0)</f>
        <v>0</v>
      </c>
      <c r="D3924" s="12" t="str">
        <f ca="1">IFERROR(__xludf.DUMMYFUNCTION("""COMPUTED_VALUE"""),"成嶋 夏未")</f>
        <v>成嶋 夏未</v>
      </c>
    </row>
    <row r="3925" spans="2:4" ht="13">
      <c r="B3925" s="12">
        <f ca="1">IFERROR(__xludf.DUMMYFUNCTION("""COMPUTED_VALUE"""),124400)</f>
        <v>124400</v>
      </c>
      <c r="C3925" s="14">
        <f ca="1">IFERROR(__xludf.DUMMYFUNCTION("""COMPUTED_VALUE"""),9)</f>
        <v>9</v>
      </c>
      <c r="D3925" s="12" t="str">
        <f ca="1">IFERROR(__xludf.DUMMYFUNCTION("""COMPUTED_VALUE"""),"奥野 貴大")</f>
        <v>奥野 貴大</v>
      </c>
    </row>
    <row r="3926" spans="2:4" ht="13">
      <c r="B3926" s="12">
        <f ca="1">IFERROR(__xludf.DUMMYFUNCTION("""COMPUTED_VALUE"""),124401)</f>
        <v>124401</v>
      </c>
      <c r="C3926" s="14">
        <f ca="1">IFERROR(__xludf.DUMMYFUNCTION("""COMPUTED_VALUE"""),70)</f>
        <v>70</v>
      </c>
      <c r="D3926" s="12" t="str">
        <f ca="1">IFERROR(__xludf.DUMMYFUNCTION("""COMPUTED_VALUE"""),"小川 純")</f>
        <v>小川 純</v>
      </c>
    </row>
    <row r="3927" spans="2:4" ht="13">
      <c r="B3927" s="12">
        <f ca="1">IFERROR(__xludf.DUMMYFUNCTION("""COMPUTED_VALUE"""),124405)</f>
        <v>124405</v>
      </c>
      <c r="C3927" s="14">
        <f ca="1">IFERROR(__xludf.DUMMYFUNCTION("""COMPUTED_VALUE"""),52)</f>
        <v>52</v>
      </c>
      <c r="D3927" s="12" t="str">
        <f ca="1">IFERROR(__xludf.DUMMYFUNCTION("""COMPUTED_VALUE"""),"菅野 ぎんが")</f>
        <v>菅野 ぎんが</v>
      </c>
    </row>
    <row r="3928" spans="2:4" ht="13">
      <c r="B3928" s="12">
        <f ca="1">IFERROR(__xludf.DUMMYFUNCTION("""COMPUTED_VALUE"""),124408)</f>
        <v>124408</v>
      </c>
      <c r="C3928" s="14">
        <f ca="1">IFERROR(__xludf.DUMMYFUNCTION("""COMPUTED_VALUE"""),0)</f>
        <v>0</v>
      </c>
      <c r="D3928" s="12" t="str">
        <f ca="1">IFERROR(__xludf.DUMMYFUNCTION("""COMPUTED_VALUE"""),"成嶋 夏未")</f>
        <v>成嶋 夏未</v>
      </c>
    </row>
    <row r="3929" spans="2:4" ht="13">
      <c r="B3929" s="12">
        <f ca="1">IFERROR(__xludf.DUMMYFUNCTION("""COMPUTED_VALUE"""),124411)</f>
        <v>124411</v>
      </c>
      <c r="C3929" s="14">
        <f ca="1">IFERROR(__xludf.DUMMYFUNCTION("""COMPUTED_VALUE"""),5)</f>
        <v>5</v>
      </c>
      <c r="D3929" s="12" t="str">
        <f ca="1">IFERROR(__xludf.DUMMYFUNCTION("""COMPUTED_VALUE"""),"村上 浩一朗")</f>
        <v>村上 浩一朗</v>
      </c>
    </row>
    <row r="3930" spans="2:4" ht="13">
      <c r="B3930" s="12">
        <f ca="1">IFERROR(__xludf.DUMMYFUNCTION("""COMPUTED_VALUE"""),124415)</f>
        <v>124415</v>
      </c>
      <c r="C3930" s="14">
        <f ca="1">IFERROR(__xludf.DUMMYFUNCTION("""COMPUTED_VALUE"""),0)</f>
        <v>0</v>
      </c>
      <c r="D3930" s="12" t="str">
        <f ca="1">IFERROR(__xludf.DUMMYFUNCTION("""COMPUTED_VALUE"""),"堀越 駿")</f>
        <v>堀越 駿</v>
      </c>
    </row>
    <row r="3931" spans="2:4" ht="13">
      <c r="B3931" s="12">
        <f ca="1">IFERROR(__xludf.DUMMYFUNCTION("""COMPUTED_VALUE"""),124426)</f>
        <v>124426</v>
      </c>
      <c r="C3931" s="14">
        <f ca="1">IFERROR(__xludf.DUMMYFUNCTION("""COMPUTED_VALUE"""),0)</f>
        <v>0</v>
      </c>
      <c r="D3931" s="12" t="str">
        <f ca="1">IFERROR(__xludf.DUMMYFUNCTION("""COMPUTED_VALUE"""),"成嶋 夏未")</f>
        <v>成嶋 夏未</v>
      </c>
    </row>
    <row r="3932" spans="2:4" ht="13">
      <c r="B3932" s="12">
        <f ca="1">IFERROR(__xludf.DUMMYFUNCTION("""COMPUTED_VALUE"""),124427)</f>
        <v>124427</v>
      </c>
      <c r="C3932" s="14">
        <f ca="1">IFERROR(__xludf.DUMMYFUNCTION("""COMPUTED_VALUE"""),0)</f>
        <v>0</v>
      </c>
      <c r="D3932" s="12" t="str">
        <f ca="1">IFERROR(__xludf.DUMMYFUNCTION("""COMPUTED_VALUE"""),"荻曽 克輝")</f>
        <v>荻曽 克輝</v>
      </c>
    </row>
    <row r="3933" spans="2:4" ht="13">
      <c r="B3933" s="12">
        <f ca="1">IFERROR(__xludf.DUMMYFUNCTION("""COMPUTED_VALUE"""),124429)</f>
        <v>124429</v>
      </c>
      <c r="C3933" s="14">
        <f ca="1">IFERROR(__xludf.DUMMYFUNCTION("""COMPUTED_VALUE"""),0)</f>
        <v>0</v>
      </c>
      <c r="D3933" s="12" t="str">
        <f ca="1">IFERROR(__xludf.DUMMYFUNCTION("""COMPUTED_VALUE"""),"老田 純輝")</f>
        <v>老田 純輝</v>
      </c>
    </row>
    <row r="3934" spans="2:4" ht="13">
      <c r="B3934" s="12">
        <f ca="1">IFERROR(__xludf.DUMMYFUNCTION("""COMPUTED_VALUE"""),124435)</f>
        <v>124435</v>
      </c>
      <c r="C3934" s="14">
        <f ca="1">IFERROR(__xludf.DUMMYFUNCTION("""COMPUTED_VALUE"""),59)</f>
        <v>59</v>
      </c>
      <c r="D3934" s="12" t="str">
        <f ca="1">IFERROR(__xludf.DUMMYFUNCTION("""COMPUTED_VALUE"""),"菅野 ぎんが")</f>
        <v>菅野 ぎんが</v>
      </c>
    </row>
    <row r="3935" spans="2:4" ht="13">
      <c r="B3935" s="12">
        <f ca="1">IFERROR(__xludf.DUMMYFUNCTION("""COMPUTED_VALUE"""),124439)</f>
        <v>124439</v>
      </c>
      <c r="C3935" s="14">
        <f ca="1">IFERROR(__xludf.DUMMYFUNCTION("""COMPUTED_VALUE"""),0)</f>
        <v>0</v>
      </c>
      <c r="D3935" s="12" t="str">
        <f ca="1">IFERROR(__xludf.DUMMYFUNCTION("""COMPUTED_VALUE"""),"小川 純")</f>
        <v>小川 純</v>
      </c>
    </row>
    <row r="3936" spans="2:4" ht="13">
      <c r="B3936" s="12">
        <f ca="1">IFERROR(__xludf.DUMMYFUNCTION("""COMPUTED_VALUE"""),124446)</f>
        <v>124446</v>
      </c>
      <c r="C3936" s="14">
        <f ca="1">IFERROR(__xludf.DUMMYFUNCTION("""COMPUTED_VALUE"""),2)</f>
        <v>2</v>
      </c>
      <c r="D3936" s="12" t="str">
        <f ca="1">IFERROR(__xludf.DUMMYFUNCTION("""COMPUTED_VALUE"""),"菅野 ぎんが")</f>
        <v>菅野 ぎんが</v>
      </c>
    </row>
    <row r="3937" spans="2:4" ht="13">
      <c r="B3937" s="12">
        <f ca="1">IFERROR(__xludf.DUMMYFUNCTION("""COMPUTED_VALUE"""),124451)</f>
        <v>124451</v>
      </c>
      <c r="C3937" s="14">
        <f ca="1">IFERROR(__xludf.DUMMYFUNCTION("""COMPUTED_VALUE"""),90)</f>
        <v>90</v>
      </c>
      <c r="D3937" s="12" t="str">
        <f ca="1">IFERROR(__xludf.DUMMYFUNCTION("""COMPUTED_VALUE"""),"栗原 大武")</f>
        <v>栗原 大武</v>
      </c>
    </row>
    <row r="3938" spans="2:4" ht="13">
      <c r="B3938" s="12">
        <f ca="1">IFERROR(__xludf.DUMMYFUNCTION("""COMPUTED_VALUE"""),124452)</f>
        <v>124452</v>
      </c>
      <c r="C3938" s="14">
        <f ca="1">IFERROR(__xludf.DUMMYFUNCTION("""COMPUTED_VALUE"""),0)</f>
        <v>0</v>
      </c>
      <c r="D3938" s="12" t="str">
        <f ca="1">IFERROR(__xludf.DUMMYFUNCTION("""COMPUTED_VALUE"""),"稲場 勇介")</f>
        <v>稲場 勇介</v>
      </c>
    </row>
    <row r="3939" spans="2:4" ht="13">
      <c r="B3939" s="12">
        <f ca="1">IFERROR(__xludf.DUMMYFUNCTION("""COMPUTED_VALUE"""),124467)</f>
        <v>124467</v>
      </c>
      <c r="C3939" s="14">
        <f ca="1">IFERROR(__xludf.DUMMYFUNCTION("""COMPUTED_VALUE"""),20)</f>
        <v>20</v>
      </c>
      <c r="D3939" s="12" t="str">
        <f ca="1">IFERROR(__xludf.DUMMYFUNCTION("""COMPUTED_VALUE"""),"桑原 明子")</f>
        <v>桑原 明子</v>
      </c>
    </row>
    <row r="3940" spans="2:4" ht="13">
      <c r="B3940" s="12">
        <f ca="1">IFERROR(__xludf.DUMMYFUNCTION("""COMPUTED_VALUE"""),124476)</f>
        <v>124476</v>
      </c>
      <c r="C3940" s="14">
        <f ca="1">IFERROR(__xludf.DUMMYFUNCTION("""COMPUTED_VALUE"""),33)</f>
        <v>33</v>
      </c>
      <c r="D3940" s="12" t="str">
        <f ca="1">IFERROR(__xludf.DUMMYFUNCTION("""COMPUTED_VALUE"""),"辻村 将大")</f>
        <v>辻村 将大</v>
      </c>
    </row>
    <row r="3941" spans="2:4" ht="13">
      <c r="B3941" s="12">
        <f ca="1">IFERROR(__xludf.DUMMYFUNCTION("""COMPUTED_VALUE"""),124477)</f>
        <v>124477</v>
      </c>
      <c r="C3941" s="14">
        <f ca="1">IFERROR(__xludf.DUMMYFUNCTION("""COMPUTED_VALUE"""),24)</f>
        <v>24</v>
      </c>
      <c r="D3941" s="12" t="str">
        <f ca="1">IFERROR(__xludf.DUMMYFUNCTION("""COMPUTED_VALUE"""),"辻村 将大")</f>
        <v>辻村 将大</v>
      </c>
    </row>
    <row r="3942" spans="2:4" ht="13">
      <c r="B3942" s="12">
        <f ca="1">IFERROR(__xludf.DUMMYFUNCTION("""COMPUTED_VALUE"""),124478)</f>
        <v>124478</v>
      </c>
      <c r="C3942" s="14">
        <f ca="1">IFERROR(__xludf.DUMMYFUNCTION("""COMPUTED_VALUE"""),12)</f>
        <v>12</v>
      </c>
      <c r="D3942" s="12" t="str">
        <f ca="1">IFERROR(__xludf.DUMMYFUNCTION("""COMPUTED_VALUE"""),"辻村 将大")</f>
        <v>辻村 将大</v>
      </c>
    </row>
    <row r="3943" spans="2:4" ht="13">
      <c r="B3943" s="12">
        <f ca="1">IFERROR(__xludf.DUMMYFUNCTION("""COMPUTED_VALUE"""),124483)</f>
        <v>124483</v>
      </c>
      <c r="C3943" s="14">
        <f ca="1">IFERROR(__xludf.DUMMYFUNCTION("""COMPUTED_VALUE"""),22)</f>
        <v>22</v>
      </c>
      <c r="D3943" s="12" t="str">
        <f ca="1">IFERROR(__xludf.DUMMYFUNCTION("""COMPUTED_VALUE"""),"長谷川 陸朗")</f>
        <v>長谷川 陸朗</v>
      </c>
    </row>
    <row r="3944" spans="2:4" ht="13">
      <c r="B3944" s="12">
        <f ca="1">IFERROR(__xludf.DUMMYFUNCTION("""COMPUTED_VALUE"""),124485)</f>
        <v>124485</v>
      </c>
      <c r="C3944" s="14">
        <f ca="1">IFERROR(__xludf.DUMMYFUNCTION("""COMPUTED_VALUE"""),0)</f>
        <v>0</v>
      </c>
      <c r="D3944" s="12" t="str">
        <f ca="1">IFERROR(__xludf.DUMMYFUNCTION("""COMPUTED_VALUE"""),"成嶋 夏未")</f>
        <v>成嶋 夏未</v>
      </c>
    </row>
    <row r="3945" spans="2:4" ht="13">
      <c r="B3945" s="12">
        <f ca="1">IFERROR(__xludf.DUMMYFUNCTION("""COMPUTED_VALUE"""),124490)</f>
        <v>124490</v>
      </c>
      <c r="C3945" s="14">
        <f ca="1">IFERROR(__xludf.DUMMYFUNCTION("""COMPUTED_VALUE"""),0)</f>
        <v>0</v>
      </c>
      <c r="D3945" s="12" t="str">
        <f ca="1">IFERROR(__xludf.DUMMYFUNCTION("""COMPUTED_VALUE"""),"成嶋 夏未")</f>
        <v>成嶋 夏未</v>
      </c>
    </row>
    <row r="3946" spans="2:4" ht="13">
      <c r="B3946" s="12">
        <f ca="1">IFERROR(__xludf.DUMMYFUNCTION("""COMPUTED_VALUE"""),124491)</f>
        <v>124491</v>
      </c>
      <c r="C3946" s="14">
        <f ca="1">IFERROR(__xludf.DUMMYFUNCTION("""COMPUTED_VALUE"""),0)</f>
        <v>0</v>
      </c>
      <c r="D3946" s="12" t="str">
        <f ca="1">IFERROR(__xludf.DUMMYFUNCTION("""COMPUTED_VALUE"""),"小関 麻起")</f>
        <v>小関 麻起</v>
      </c>
    </row>
    <row r="3947" spans="2:4" ht="13">
      <c r="B3947" s="12">
        <f ca="1">IFERROR(__xludf.DUMMYFUNCTION("""COMPUTED_VALUE"""),124499)</f>
        <v>124499</v>
      </c>
      <c r="C3947" s="14">
        <f ca="1">IFERROR(__xludf.DUMMYFUNCTION("""COMPUTED_VALUE"""),2)</f>
        <v>2</v>
      </c>
      <c r="D3947" s="12" t="str">
        <f ca="1">IFERROR(__xludf.DUMMYFUNCTION("""COMPUTED_VALUE"""),"老田 純輝")</f>
        <v>老田 純輝</v>
      </c>
    </row>
    <row r="3948" spans="2:4" ht="13">
      <c r="B3948" s="12">
        <f ca="1">IFERROR(__xludf.DUMMYFUNCTION("""COMPUTED_VALUE"""),124503)</f>
        <v>124503</v>
      </c>
      <c r="C3948" s="14">
        <f ca="1">IFERROR(__xludf.DUMMYFUNCTION("""COMPUTED_VALUE"""),0)</f>
        <v>0</v>
      </c>
      <c r="D3948" s="12" t="str">
        <f ca="1">IFERROR(__xludf.DUMMYFUNCTION("""COMPUTED_VALUE"""),"内丸 裕子")</f>
        <v>内丸 裕子</v>
      </c>
    </row>
    <row r="3949" spans="2:4" ht="13">
      <c r="B3949" s="12">
        <f ca="1">IFERROR(__xludf.DUMMYFUNCTION("""COMPUTED_VALUE"""),124510)</f>
        <v>124510</v>
      </c>
      <c r="C3949" s="14">
        <f ca="1">IFERROR(__xludf.DUMMYFUNCTION("""COMPUTED_VALUE"""),6)</f>
        <v>6</v>
      </c>
      <c r="D3949" s="12" t="str">
        <f ca="1">IFERROR(__xludf.DUMMYFUNCTION("""COMPUTED_VALUE"""),"菅野 ぎんが")</f>
        <v>菅野 ぎんが</v>
      </c>
    </row>
    <row r="3950" spans="2:4" ht="13">
      <c r="B3950" s="12">
        <f ca="1">IFERROR(__xludf.DUMMYFUNCTION("""COMPUTED_VALUE"""),124512)</f>
        <v>124512</v>
      </c>
      <c r="C3950" s="14">
        <f ca="1">IFERROR(__xludf.DUMMYFUNCTION("""COMPUTED_VALUE"""),0)</f>
        <v>0</v>
      </c>
      <c r="D3950" s="12" t="str">
        <f ca="1">IFERROR(__xludf.DUMMYFUNCTION("""COMPUTED_VALUE"""),"老田 純輝")</f>
        <v>老田 純輝</v>
      </c>
    </row>
    <row r="3951" spans="2:4" ht="13">
      <c r="B3951" s="12">
        <f ca="1">IFERROR(__xludf.DUMMYFUNCTION("""COMPUTED_VALUE"""),124517)</f>
        <v>124517</v>
      </c>
      <c r="C3951" s="14">
        <f ca="1">IFERROR(__xludf.DUMMYFUNCTION("""COMPUTED_VALUE"""),1)</f>
        <v>1</v>
      </c>
      <c r="D3951" s="12" t="str">
        <f ca="1">IFERROR(__xludf.DUMMYFUNCTION("""COMPUTED_VALUE"""),"稲場 勇介")</f>
        <v>稲場 勇介</v>
      </c>
    </row>
    <row r="3952" spans="2:4" ht="13">
      <c r="B3952" s="12">
        <f ca="1">IFERROR(__xludf.DUMMYFUNCTION("""COMPUTED_VALUE"""),124523)</f>
        <v>124523</v>
      </c>
      <c r="C3952" s="14">
        <f ca="1">IFERROR(__xludf.DUMMYFUNCTION("""COMPUTED_VALUE"""),0)</f>
        <v>0</v>
      </c>
      <c r="D3952" s="12" t="str">
        <f ca="1">IFERROR(__xludf.DUMMYFUNCTION("""COMPUTED_VALUE"""),"稲場 勇介")</f>
        <v>稲場 勇介</v>
      </c>
    </row>
    <row r="3953" spans="2:4" ht="13">
      <c r="B3953" s="12">
        <f ca="1">IFERROR(__xludf.DUMMYFUNCTION("""COMPUTED_VALUE"""),124525)</f>
        <v>124525</v>
      </c>
      <c r="C3953" s="14">
        <f ca="1">IFERROR(__xludf.DUMMYFUNCTION("""COMPUTED_VALUE"""),6)</f>
        <v>6</v>
      </c>
      <c r="D3953" s="12" t="str">
        <f ca="1">IFERROR(__xludf.DUMMYFUNCTION("""COMPUTED_VALUE"""),"小関 麻起")</f>
        <v>小関 麻起</v>
      </c>
    </row>
    <row r="3954" spans="2:4" ht="13">
      <c r="B3954" s="12">
        <f ca="1">IFERROR(__xludf.DUMMYFUNCTION("""COMPUTED_VALUE"""),124530)</f>
        <v>124530</v>
      </c>
      <c r="C3954" s="14">
        <f ca="1">IFERROR(__xludf.DUMMYFUNCTION("""COMPUTED_VALUE"""),0)</f>
        <v>0</v>
      </c>
      <c r="D3954" s="12" t="str">
        <f ca="1">IFERROR(__xludf.DUMMYFUNCTION("""COMPUTED_VALUE"""),"稲場 勇介")</f>
        <v>稲場 勇介</v>
      </c>
    </row>
    <row r="3955" spans="2:4" ht="13">
      <c r="B3955" s="12">
        <f ca="1">IFERROR(__xludf.DUMMYFUNCTION("""COMPUTED_VALUE"""),124531)</f>
        <v>124531</v>
      </c>
      <c r="C3955" s="14">
        <f ca="1">IFERROR(__xludf.DUMMYFUNCTION("""COMPUTED_VALUE"""),45)</f>
        <v>45</v>
      </c>
      <c r="D3955" s="12" t="str">
        <f ca="1">IFERROR(__xludf.DUMMYFUNCTION("""COMPUTED_VALUE"""),"辻村 将大")</f>
        <v>辻村 将大</v>
      </c>
    </row>
    <row r="3956" spans="2:4" ht="13">
      <c r="B3956" s="12">
        <f ca="1">IFERROR(__xludf.DUMMYFUNCTION("""COMPUTED_VALUE"""),124533)</f>
        <v>124533</v>
      </c>
      <c r="C3956" s="14">
        <f ca="1">IFERROR(__xludf.DUMMYFUNCTION("""COMPUTED_VALUE"""),0)</f>
        <v>0</v>
      </c>
      <c r="D3956" s="12" t="str">
        <f ca="1">IFERROR(__xludf.DUMMYFUNCTION("""COMPUTED_VALUE"""),"菅野 ぎんが")</f>
        <v>菅野 ぎんが</v>
      </c>
    </row>
    <row r="3957" spans="2:4" ht="13">
      <c r="B3957" s="12">
        <f ca="1">IFERROR(__xludf.DUMMYFUNCTION("""COMPUTED_VALUE"""),124536)</f>
        <v>124536</v>
      </c>
      <c r="C3957" s="14">
        <f ca="1">IFERROR(__xludf.DUMMYFUNCTION("""COMPUTED_VALUE"""),80)</f>
        <v>80</v>
      </c>
      <c r="D3957" s="12" t="str">
        <f ca="1">IFERROR(__xludf.DUMMYFUNCTION("""COMPUTED_VALUE"""),"成嶋 夏未")</f>
        <v>成嶋 夏未</v>
      </c>
    </row>
    <row r="3958" spans="2:4" ht="13">
      <c r="B3958" s="12">
        <f ca="1">IFERROR(__xludf.DUMMYFUNCTION("""COMPUTED_VALUE"""),124546)</f>
        <v>124546</v>
      </c>
      <c r="C3958" s="14">
        <f ca="1">IFERROR(__xludf.DUMMYFUNCTION("""COMPUTED_VALUE"""),0)</f>
        <v>0</v>
      </c>
      <c r="D3958" s="12" t="str">
        <f ca="1">IFERROR(__xludf.DUMMYFUNCTION("""COMPUTED_VALUE"""),"成嶋 夏未")</f>
        <v>成嶋 夏未</v>
      </c>
    </row>
    <row r="3959" spans="2:4" ht="13">
      <c r="B3959" s="12">
        <f ca="1">IFERROR(__xludf.DUMMYFUNCTION("""COMPUTED_VALUE"""),124553)</f>
        <v>124553</v>
      </c>
      <c r="C3959" s="14">
        <f ca="1">IFERROR(__xludf.DUMMYFUNCTION("""COMPUTED_VALUE"""),0)</f>
        <v>0</v>
      </c>
      <c r="D3959" s="12" t="str">
        <f ca="1">IFERROR(__xludf.DUMMYFUNCTION("""COMPUTED_VALUE"""),"荻曽 克輝")</f>
        <v>荻曽 克輝</v>
      </c>
    </row>
    <row r="3960" spans="2:4" ht="13">
      <c r="B3960" s="12">
        <f ca="1">IFERROR(__xludf.DUMMYFUNCTION("""COMPUTED_VALUE"""),124554)</f>
        <v>124554</v>
      </c>
      <c r="C3960" s="14">
        <f ca="1">IFERROR(__xludf.DUMMYFUNCTION("""COMPUTED_VALUE"""),0)</f>
        <v>0</v>
      </c>
      <c r="D3960" s="12" t="str">
        <f ca="1">IFERROR(__xludf.DUMMYFUNCTION("""COMPUTED_VALUE"""),"小川 純")</f>
        <v>小川 純</v>
      </c>
    </row>
    <row r="3961" spans="2:4" ht="13">
      <c r="B3961" s="12">
        <f ca="1">IFERROR(__xludf.DUMMYFUNCTION("""COMPUTED_VALUE"""),124558)</f>
        <v>124558</v>
      </c>
      <c r="C3961" s="14">
        <f ca="1">IFERROR(__xludf.DUMMYFUNCTION("""COMPUTED_VALUE"""),35)</f>
        <v>35</v>
      </c>
      <c r="D3961" s="12" t="str">
        <f ca="1">IFERROR(__xludf.DUMMYFUNCTION("""COMPUTED_VALUE"""),"桐山 勝気")</f>
        <v>桐山 勝気</v>
      </c>
    </row>
    <row r="3962" spans="2:4" ht="13">
      <c r="B3962" s="12">
        <f ca="1">IFERROR(__xludf.DUMMYFUNCTION("""COMPUTED_VALUE"""),124559)</f>
        <v>124559</v>
      </c>
      <c r="C3962" s="14">
        <f ca="1">IFERROR(__xludf.DUMMYFUNCTION("""COMPUTED_VALUE"""),2)</f>
        <v>2</v>
      </c>
      <c r="D3962" s="12" t="str">
        <f ca="1">IFERROR(__xludf.DUMMYFUNCTION("""COMPUTED_VALUE"""),"小川 純")</f>
        <v>小川 純</v>
      </c>
    </row>
    <row r="3963" spans="2:4" ht="13">
      <c r="B3963" s="12">
        <f ca="1">IFERROR(__xludf.DUMMYFUNCTION("""COMPUTED_VALUE"""),124561)</f>
        <v>124561</v>
      </c>
      <c r="C3963" s="14">
        <f ca="1">IFERROR(__xludf.DUMMYFUNCTION("""COMPUTED_VALUE"""),0)</f>
        <v>0</v>
      </c>
      <c r="D3963" s="12" t="str">
        <f ca="1">IFERROR(__xludf.DUMMYFUNCTION("""COMPUTED_VALUE"""),"稲場 勇介")</f>
        <v>稲場 勇介</v>
      </c>
    </row>
    <row r="3964" spans="2:4" ht="13">
      <c r="B3964" s="12">
        <f ca="1">IFERROR(__xludf.DUMMYFUNCTION("""COMPUTED_VALUE"""),124564)</f>
        <v>124564</v>
      </c>
      <c r="C3964" s="14">
        <f ca="1">IFERROR(__xludf.DUMMYFUNCTION("""COMPUTED_VALUE"""),0)</f>
        <v>0</v>
      </c>
      <c r="D3964" s="12" t="str">
        <f ca="1">IFERROR(__xludf.DUMMYFUNCTION("""COMPUTED_VALUE"""),"老田 純輝")</f>
        <v>老田 純輝</v>
      </c>
    </row>
    <row r="3965" spans="2:4" ht="13">
      <c r="B3965" s="12">
        <f ca="1">IFERROR(__xludf.DUMMYFUNCTION("""COMPUTED_VALUE"""),124574)</f>
        <v>124574</v>
      </c>
      <c r="C3965" s="14">
        <f ca="1">IFERROR(__xludf.DUMMYFUNCTION("""COMPUTED_VALUE"""),27)</f>
        <v>27</v>
      </c>
      <c r="D3965" s="12" t="str">
        <f ca="1">IFERROR(__xludf.DUMMYFUNCTION("""COMPUTED_VALUE"""),"内丸 裕子")</f>
        <v>内丸 裕子</v>
      </c>
    </row>
    <row r="3966" spans="2:4" ht="13">
      <c r="B3966" s="12">
        <f ca="1">IFERROR(__xludf.DUMMYFUNCTION("""COMPUTED_VALUE"""),124575)</f>
        <v>124575</v>
      </c>
      <c r="C3966" s="14">
        <f ca="1">IFERROR(__xludf.DUMMYFUNCTION("""COMPUTED_VALUE"""),26)</f>
        <v>26</v>
      </c>
      <c r="D3966" s="12" t="str">
        <f ca="1">IFERROR(__xludf.DUMMYFUNCTION("""COMPUTED_VALUE"""),"成嶋 夏未")</f>
        <v>成嶋 夏未</v>
      </c>
    </row>
    <row r="3967" spans="2:4" ht="13">
      <c r="B3967" s="12">
        <f ca="1">IFERROR(__xludf.DUMMYFUNCTION("""COMPUTED_VALUE"""),124576)</f>
        <v>124576</v>
      </c>
      <c r="C3967" s="14">
        <f ca="1">IFERROR(__xludf.DUMMYFUNCTION("""COMPUTED_VALUE"""),1)</f>
        <v>1</v>
      </c>
      <c r="D3967" s="12" t="str">
        <f ca="1">IFERROR(__xludf.DUMMYFUNCTION("""COMPUTED_VALUE"""),"川島 幹也")</f>
        <v>川島 幹也</v>
      </c>
    </row>
    <row r="3968" spans="2:4" ht="13">
      <c r="B3968" s="12">
        <f ca="1">IFERROR(__xludf.DUMMYFUNCTION("""COMPUTED_VALUE"""),124577)</f>
        <v>124577</v>
      </c>
      <c r="C3968" s="14">
        <f ca="1">IFERROR(__xludf.DUMMYFUNCTION("""COMPUTED_VALUE"""),2)</f>
        <v>2</v>
      </c>
      <c r="D3968" s="12" t="str">
        <f ca="1">IFERROR(__xludf.DUMMYFUNCTION("""COMPUTED_VALUE"""),"川島 幹也")</f>
        <v>川島 幹也</v>
      </c>
    </row>
    <row r="3969" spans="2:4" ht="13">
      <c r="B3969" s="12">
        <f ca="1">IFERROR(__xludf.DUMMYFUNCTION("""COMPUTED_VALUE"""),124578)</f>
        <v>124578</v>
      </c>
      <c r="C3969" s="14">
        <f ca="1">IFERROR(__xludf.DUMMYFUNCTION("""COMPUTED_VALUE"""),0)</f>
        <v>0</v>
      </c>
      <c r="D3969" s="12" t="str">
        <f ca="1">IFERROR(__xludf.DUMMYFUNCTION("""COMPUTED_VALUE"""),"川島 幹也")</f>
        <v>川島 幹也</v>
      </c>
    </row>
    <row r="3970" spans="2:4" ht="13">
      <c r="B3970" s="12">
        <f ca="1">IFERROR(__xludf.DUMMYFUNCTION("""COMPUTED_VALUE"""),124579)</f>
        <v>124579</v>
      </c>
      <c r="C3970" s="14">
        <f ca="1">IFERROR(__xludf.DUMMYFUNCTION("""COMPUTED_VALUE"""),0)</f>
        <v>0</v>
      </c>
      <c r="D3970" s="12" t="str">
        <f ca="1">IFERROR(__xludf.DUMMYFUNCTION("""COMPUTED_VALUE"""),"川島 幹也")</f>
        <v>川島 幹也</v>
      </c>
    </row>
    <row r="3971" spans="2:4" ht="13">
      <c r="B3971" s="12">
        <f ca="1">IFERROR(__xludf.DUMMYFUNCTION("""COMPUTED_VALUE"""),124580)</f>
        <v>124580</v>
      </c>
      <c r="C3971" s="14">
        <f ca="1">IFERROR(__xludf.DUMMYFUNCTION("""COMPUTED_VALUE"""),0)</f>
        <v>0</v>
      </c>
      <c r="D3971" s="12" t="str">
        <f ca="1">IFERROR(__xludf.DUMMYFUNCTION("""COMPUTED_VALUE"""),"川島 幹也")</f>
        <v>川島 幹也</v>
      </c>
    </row>
    <row r="3972" spans="2:4" ht="13">
      <c r="B3972" s="12">
        <f ca="1">IFERROR(__xludf.DUMMYFUNCTION("""COMPUTED_VALUE"""),124581)</f>
        <v>124581</v>
      </c>
      <c r="C3972" s="14">
        <f ca="1">IFERROR(__xludf.DUMMYFUNCTION("""COMPUTED_VALUE"""),0)</f>
        <v>0</v>
      </c>
      <c r="D3972" s="12" t="str">
        <f ca="1">IFERROR(__xludf.DUMMYFUNCTION("""COMPUTED_VALUE"""),"川島 幹也")</f>
        <v>川島 幹也</v>
      </c>
    </row>
    <row r="3973" spans="2:4" ht="13">
      <c r="B3973" s="12">
        <f ca="1">IFERROR(__xludf.DUMMYFUNCTION("""COMPUTED_VALUE"""),124582)</f>
        <v>124582</v>
      </c>
      <c r="C3973" s="14">
        <f ca="1">IFERROR(__xludf.DUMMYFUNCTION("""COMPUTED_VALUE"""),0)</f>
        <v>0</v>
      </c>
      <c r="D3973" s="12" t="str">
        <f ca="1">IFERROR(__xludf.DUMMYFUNCTION("""COMPUTED_VALUE"""),"川島 幹也")</f>
        <v>川島 幹也</v>
      </c>
    </row>
    <row r="3974" spans="2:4" ht="13">
      <c r="B3974" s="12">
        <f ca="1">IFERROR(__xludf.DUMMYFUNCTION("""COMPUTED_VALUE"""),124583)</f>
        <v>124583</v>
      </c>
      <c r="C3974" s="14">
        <f ca="1">IFERROR(__xludf.DUMMYFUNCTION("""COMPUTED_VALUE"""),0)</f>
        <v>0</v>
      </c>
      <c r="D3974" s="12" t="str">
        <f ca="1">IFERROR(__xludf.DUMMYFUNCTION("""COMPUTED_VALUE"""),"川島 幹也")</f>
        <v>川島 幹也</v>
      </c>
    </row>
    <row r="3975" spans="2:4" ht="13">
      <c r="B3975" s="12">
        <f ca="1">IFERROR(__xludf.DUMMYFUNCTION("""COMPUTED_VALUE"""),124584)</f>
        <v>124584</v>
      </c>
      <c r="C3975" s="14">
        <f ca="1">IFERROR(__xludf.DUMMYFUNCTION("""COMPUTED_VALUE"""),1)</f>
        <v>1</v>
      </c>
      <c r="D3975" s="12" t="str">
        <f ca="1">IFERROR(__xludf.DUMMYFUNCTION("""COMPUTED_VALUE"""),"川島 幹也")</f>
        <v>川島 幹也</v>
      </c>
    </row>
    <row r="3976" spans="2:4" ht="13">
      <c r="B3976" s="12">
        <f ca="1">IFERROR(__xludf.DUMMYFUNCTION("""COMPUTED_VALUE"""),124585)</f>
        <v>124585</v>
      </c>
      <c r="C3976" s="14">
        <f ca="1">IFERROR(__xludf.DUMMYFUNCTION("""COMPUTED_VALUE"""),0)</f>
        <v>0</v>
      </c>
      <c r="D3976" s="12" t="str">
        <f ca="1">IFERROR(__xludf.DUMMYFUNCTION("""COMPUTED_VALUE"""),"川島 幹也")</f>
        <v>川島 幹也</v>
      </c>
    </row>
    <row r="3977" spans="2:4" ht="13">
      <c r="B3977" s="12">
        <f ca="1">IFERROR(__xludf.DUMMYFUNCTION("""COMPUTED_VALUE"""),124586)</f>
        <v>124586</v>
      </c>
      <c r="C3977" s="14">
        <f ca="1">IFERROR(__xludf.DUMMYFUNCTION("""COMPUTED_VALUE"""),0)</f>
        <v>0</v>
      </c>
      <c r="D3977" s="12" t="str">
        <f ca="1">IFERROR(__xludf.DUMMYFUNCTION("""COMPUTED_VALUE"""),"川島 幹也")</f>
        <v>川島 幹也</v>
      </c>
    </row>
    <row r="3978" spans="2:4" ht="13">
      <c r="B3978" s="12">
        <f ca="1">IFERROR(__xludf.DUMMYFUNCTION("""COMPUTED_VALUE"""),124587)</f>
        <v>124587</v>
      </c>
      <c r="C3978" s="14">
        <f ca="1">IFERROR(__xludf.DUMMYFUNCTION("""COMPUTED_VALUE"""),0)</f>
        <v>0</v>
      </c>
      <c r="D3978" s="12" t="str">
        <f ca="1">IFERROR(__xludf.DUMMYFUNCTION("""COMPUTED_VALUE"""),"川島 幹也")</f>
        <v>川島 幹也</v>
      </c>
    </row>
    <row r="3979" spans="2:4" ht="13">
      <c r="B3979" s="12">
        <f ca="1">IFERROR(__xludf.DUMMYFUNCTION("""COMPUTED_VALUE"""),124588)</f>
        <v>124588</v>
      </c>
      <c r="C3979" s="14">
        <f ca="1">IFERROR(__xludf.DUMMYFUNCTION("""COMPUTED_VALUE"""),0)</f>
        <v>0</v>
      </c>
      <c r="D3979" s="12" t="str">
        <f ca="1">IFERROR(__xludf.DUMMYFUNCTION("""COMPUTED_VALUE"""),"川島 幹也")</f>
        <v>川島 幹也</v>
      </c>
    </row>
    <row r="3980" spans="2:4" ht="13">
      <c r="B3980" s="12">
        <f ca="1">IFERROR(__xludf.DUMMYFUNCTION("""COMPUTED_VALUE"""),124589)</f>
        <v>124589</v>
      </c>
      <c r="C3980" s="14">
        <f ca="1">IFERROR(__xludf.DUMMYFUNCTION("""COMPUTED_VALUE"""),0)</f>
        <v>0</v>
      </c>
      <c r="D3980" s="12" t="str">
        <f ca="1">IFERROR(__xludf.DUMMYFUNCTION("""COMPUTED_VALUE"""),"川島 幹也")</f>
        <v>川島 幹也</v>
      </c>
    </row>
    <row r="3981" spans="2:4" ht="13">
      <c r="B3981" s="12">
        <f ca="1">IFERROR(__xludf.DUMMYFUNCTION("""COMPUTED_VALUE"""),124590)</f>
        <v>124590</v>
      </c>
      <c r="C3981" s="14">
        <f ca="1">IFERROR(__xludf.DUMMYFUNCTION("""COMPUTED_VALUE"""),0)</f>
        <v>0</v>
      </c>
      <c r="D3981" s="12" t="str">
        <f ca="1">IFERROR(__xludf.DUMMYFUNCTION("""COMPUTED_VALUE"""),"川島 幹也")</f>
        <v>川島 幹也</v>
      </c>
    </row>
    <row r="3982" spans="2:4" ht="13">
      <c r="B3982" s="12">
        <f ca="1">IFERROR(__xludf.DUMMYFUNCTION("""COMPUTED_VALUE"""),124591)</f>
        <v>124591</v>
      </c>
      <c r="C3982" s="14">
        <f ca="1">IFERROR(__xludf.DUMMYFUNCTION("""COMPUTED_VALUE"""),0)</f>
        <v>0</v>
      </c>
      <c r="D3982" s="12" t="str">
        <f ca="1">IFERROR(__xludf.DUMMYFUNCTION("""COMPUTED_VALUE"""),"川島 幹也")</f>
        <v>川島 幹也</v>
      </c>
    </row>
    <row r="3983" spans="2:4" ht="13">
      <c r="B3983" s="12">
        <f ca="1">IFERROR(__xludf.DUMMYFUNCTION("""COMPUTED_VALUE"""),124600)</f>
        <v>124600</v>
      </c>
      <c r="C3983" s="14">
        <f ca="1">IFERROR(__xludf.DUMMYFUNCTION("""COMPUTED_VALUE"""),1)</f>
        <v>1</v>
      </c>
      <c r="D3983" s="12" t="str">
        <f ca="1">IFERROR(__xludf.DUMMYFUNCTION("""COMPUTED_VALUE"""),"桑原 明子")</f>
        <v>桑原 明子</v>
      </c>
    </row>
    <row r="3984" spans="2:4" ht="13">
      <c r="B3984" s="12">
        <f ca="1">IFERROR(__xludf.DUMMYFUNCTION("""COMPUTED_VALUE"""),124608)</f>
        <v>124608</v>
      </c>
      <c r="C3984" s="14">
        <f ca="1">IFERROR(__xludf.DUMMYFUNCTION("""COMPUTED_VALUE"""),6)</f>
        <v>6</v>
      </c>
      <c r="D3984" s="12" t="str">
        <f ca="1">IFERROR(__xludf.DUMMYFUNCTION("""COMPUTED_VALUE"""),"田嶋 将太")</f>
        <v>田嶋 将太</v>
      </c>
    </row>
    <row r="3985" spans="2:4" ht="13">
      <c r="B3985" s="12">
        <f ca="1">IFERROR(__xludf.DUMMYFUNCTION("""COMPUTED_VALUE"""),124609)</f>
        <v>124609</v>
      </c>
      <c r="C3985" s="14">
        <f ca="1">IFERROR(__xludf.DUMMYFUNCTION("""COMPUTED_VALUE"""),8)</f>
        <v>8</v>
      </c>
      <c r="D3985" s="12" t="str">
        <f ca="1">IFERROR(__xludf.DUMMYFUNCTION("""COMPUTED_VALUE"""),"田嶋 将太")</f>
        <v>田嶋 将太</v>
      </c>
    </row>
    <row r="3986" spans="2:4" ht="13">
      <c r="B3986" s="12">
        <f ca="1">IFERROR(__xludf.DUMMYFUNCTION("""COMPUTED_VALUE"""),124611)</f>
        <v>124611</v>
      </c>
      <c r="C3986" s="14">
        <f ca="1">IFERROR(__xludf.DUMMYFUNCTION("""COMPUTED_VALUE"""),5)</f>
        <v>5</v>
      </c>
      <c r="D3986" s="12" t="str">
        <f ca="1">IFERROR(__xludf.DUMMYFUNCTION("""COMPUTED_VALUE"""),"老田 純輝")</f>
        <v>老田 純輝</v>
      </c>
    </row>
    <row r="3987" spans="2:4" ht="13">
      <c r="B3987" s="12">
        <f ca="1">IFERROR(__xludf.DUMMYFUNCTION("""COMPUTED_VALUE"""),124613)</f>
        <v>124613</v>
      </c>
      <c r="C3987" s="14">
        <f ca="1">IFERROR(__xludf.DUMMYFUNCTION("""COMPUTED_VALUE"""),0)</f>
        <v>0</v>
      </c>
      <c r="D3987" s="12" t="str">
        <f ca="1">IFERROR(__xludf.DUMMYFUNCTION("""COMPUTED_VALUE"""),"小関 麻起")</f>
        <v>小関 麻起</v>
      </c>
    </row>
    <row r="3988" spans="2:4" ht="13">
      <c r="B3988" s="12">
        <f ca="1">IFERROR(__xludf.DUMMYFUNCTION("""COMPUTED_VALUE"""),124615)</f>
        <v>124615</v>
      </c>
      <c r="C3988" s="14">
        <f ca="1">IFERROR(__xludf.DUMMYFUNCTION("""COMPUTED_VALUE"""),0)</f>
        <v>0</v>
      </c>
      <c r="D3988" s="12" t="str">
        <f ca="1">IFERROR(__xludf.DUMMYFUNCTION("""COMPUTED_VALUE"""),"老田 純輝")</f>
        <v>老田 純輝</v>
      </c>
    </row>
    <row r="3989" spans="2:4" ht="13">
      <c r="B3989" s="12">
        <f ca="1">IFERROR(__xludf.DUMMYFUNCTION("""COMPUTED_VALUE"""),124617)</f>
        <v>124617</v>
      </c>
      <c r="C3989" s="14">
        <f ca="1">IFERROR(__xludf.DUMMYFUNCTION("""COMPUTED_VALUE"""),11)</f>
        <v>11</v>
      </c>
      <c r="D3989" s="12" t="str">
        <f ca="1">IFERROR(__xludf.DUMMYFUNCTION("""COMPUTED_VALUE"""),"田嶋 将太")</f>
        <v>田嶋 将太</v>
      </c>
    </row>
    <row r="3990" spans="2:4" ht="13">
      <c r="B3990" s="12">
        <f ca="1">IFERROR(__xludf.DUMMYFUNCTION("""COMPUTED_VALUE"""),124618)</f>
        <v>124618</v>
      </c>
      <c r="C3990" s="14">
        <f ca="1">IFERROR(__xludf.DUMMYFUNCTION("""COMPUTED_VALUE"""),4)</f>
        <v>4</v>
      </c>
      <c r="D3990" s="12" t="str">
        <f ca="1">IFERROR(__xludf.DUMMYFUNCTION("""COMPUTED_VALUE"""),"田嶋 将太")</f>
        <v>田嶋 将太</v>
      </c>
    </row>
    <row r="3991" spans="2:4" ht="13">
      <c r="B3991" s="12">
        <f ca="1">IFERROR(__xludf.DUMMYFUNCTION("""COMPUTED_VALUE"""),124636)</f>
        <v>124636</v>
      </c>
      <c r="C3991" s="14">
        <f ca="1">IFERROR(__xludf.DUMMYFUNCTION("""COMPUTED_VALUE"""),148)</f>
        <v>148</v>
      </c>
      <c r="D3991" s="12" t="str">
        <f ca="1">IFERROR(__xludf.DUMMYFUNCTION("""COMPUTED_VALUE"""),"栗原 大武")</f>
        <v>栗原 大武</v>
      </c>
    </row>
    <row r="3992" spans="2:4" ht="13">
      <c r="B3992" s="12">
        <f ca="1">IFERROR(__xludf.DUMMYFUNCTION("""COMPUTED_VALUE"""),124638)</f>
        <v>124638</v>
      </c>
      <c r="C3992" s="14">
        <f ca="1">IFERROR(__xludf.DUMMYFUNCTION("""COMPUTED_VALUE"""),0)</f>
        <v>0</v>
      </c>
      <c r="D3992" s="12" t="str">
        <f ca="1">IFERROR(__xludf.DUMMYFUNCTION("""COMPUTED_VALUE"""),"成嶋 夏未")</f>
        <v>成嶋 夏未</v>
      </c>
    </row>
    <row r="3993" spans="2:4" ht="13">
      <c r="B3993" s="12">
        <f ca="1">IFERROR(__xludf.DUMMYFUNCTION("""COMPUTED_VALUE"""),124640)</f>
        <v>124640</v>
      </c>
      <c r="C3993" s="14">
        <f ca="1">IFERROR(__xludf.DUMMYFUNCTION("""COMPUTED_VALUE"""),0)</f>
        <v>0</v>
      </c>
      <c r="D3993" s="12" t="str">
        <f ca="1">IFERROR(__xludf.DUMMYFUNCTION("""COMPUTED_VALUE"""),"小川 純")</f>
        <v>小川 純</v>
      </c>
    </row>
    <row r="3994" spans="2:4" ht="13">
      <c r="B3994" s="12">
        <f ca="1">IFERROR(__xludf.DUMMYFUNCTION("""COMPUTED_VALUE"""),124644)</f>
        <v>124644</v>
      </c>
      <c r="C3994" s="14">
        <f ca="1">IFERROR(__xludf.DUMMYFUNCTION("""COMPUTED_VALUE"""),49)</f>
        <v>49</v>
      </c>
      <c r="D3994" s="12" t="str">
        <f ca="1">IFERROR(__xludf.DUMMYFUNCTION("""COMPUTED_VALUE"""),"菅野 ぎんが")</f>
        <v>菅野 ぎんが</v>
      </c>
    </row>
    <row r="3995" spans="2:4" ht="13">
      <c r="B3995" s="12">
        <f ca="1">IFERROR(__xludf.DUMMYFUNCTION("""COMPUTED_VALUE"""),124646)</f>
        <v>124646</v>
      </c>
      <c r="C3995" s="14">
        <f ca="1">IFERROR(__xludf.DUMMYFUNCTION("""COMPUTED_VALUE"""),0)</f>
        <v>0</v>
      </c>
      <c r="D3995" s="12" t="str">
        <f ca="1">IFERROR(__xludf.DUMMYFUNCTION("""COMPUTED_VALUE"""),"松尾 尚樹")</f>
        <v>松尾 尚樹</v>
      </c>
    </row>
    <row r="3996" spans="2:4" ht="13">
      <c r="B3996" s="12">
        <f ca="1">IFERROR(__xludf.DUMMYFUNCTION("""COMPUTED_VALUE"""),124647)</f>
        <v>124647</v>
      </c>
      <c r="C3996" s="14">
        <f ca="1">IFERROR(__xludf.DUMMYFUNCTION("""COMPUTED_VALUE"""),0)</f>
        <v>0</v>
      </c>
      <c r="D3996" s="12" t="str">
        <f ca="1">IFERROR(__xludf.DUMMYFUNCTION("""COMPUTED_VALUE"""),"成嶋 夏未")</f>
        <v>成嶋 夏未</v>
      </c>
    </row>
    <row r="3997" spans="2:4" ht="13">
      <c r="B3997" s="12">
        <f ca="1">IFERROR(__xludf.DUMMYFUNCTION("""COMPUTED_VALUE"""),124648)</f>
        <v>124648</v>
      </c>
      <c r="C3997" s="14">
        <f ca="1">IFERROR(__xludf.DUMMYFUNCTION("""COMPUTED_VALUE"""),0)</f>
        <v>0</v>
      </c>
      <c r="D3997" s="12" t="str">
        <f ca="1">IFERROR(__xludf.DUMMYFUNCTION("""COMPUTED_VALUE"""),"桐山 勝気")</f>
        <v>桐山 勝気</v>
      </c>
    </row>
    <row r="3998" spans="2:4" ht="13">
      <c r="B3998" s="12">
        <f ca="1">IFERROR(__xludf.DUMMYFUNCTION("""COMPUTED_VALUE"""),124654)</f>
        <v>124654</v>
      </c>
      <c r="C3998" s="14">
        <f ca="1">IFERROR(__xludf.DUMMYFUNCTION("""COMPUTED_VALUE"""),6)</f>
        <v>6</v>
      </c>
      <c r="D3998" s="12" t="str">
        <f ca="1">IFERROR(__xludf.DUMMYFUNCTION("""COMPUTED_VALUE"""),"老田 純輝")</f>
        <v>老田 純輝</v>
      </c>
    </row>
    <row r="3999" spans="2:4" ht="13">
      <c r="B3999" s="12">
        <f ca="1">IFERROR(__xludf.DUMMYFUNCTION("""COMPUTED_VALUE"""),124663)</f>
        <v>124663</v>
      </c>
      <c r="C3999" s="14">
        <f ca="1">IFERROR(__xludf.DUMMYFUNCTION("""COMPUTED_VALUE"""),6)</f>
        <v>6</v>
      </c>
      <c r="D3999" s="12" t="str">
        <f ca="1">IFERROR(__xludf.DUMMYFUNCTION("""COMPUTED_VALUE"""),"稲場 勇介")</f>
        <v>稲場 勇介</v>
      </c>
    </row>
    <row r="4000" spans="2:4" ht="13">
      <c r="B4000" s="12">
        <f ca="1">IFERROR(__xludf.DUMMYFUNCTION("""COMPUTED_VALUE"""),124670)</f>
        <v>124670</v>
      </c>
      <c r="C4000" s="14">
        <f ca="1">IFERROR(__xludf.DUMMYFUNCTION("""COMPUTED_VALUE"""),98)</f>
        <v>98</v>
      </c>
      <c r="D4000" s="12" t="str">
        <f ca="1">IFERROR(__xludf.DUMMYFUNCTION("""COMPUTED_VALUE"""),"川島 幹也")</f>
        <v>川島 幹也</v>
      </c>
    </row>
    <row r="4001" spans="2:4" ht="13">
      <c r="B4001" s="12">
        <f ca="1">IFERROR(__xludf.DUMMYFUNCTION("""COMPUTED_VALUE"""),124671)</f>
        <v>124671</v>
      </c>
      <c r="C4001" s="14">
        <f ca="1">IFERROR(__xludf.DUMMYFUNCTION("""COMPUTED_VALUE"""),113)</f>
        <v>113</v>
      </c>
      <c r="D4001" s="12" t="str">
        <f ca="1">IFERROR(__xludf.DUMMYFUNCTION("""COMPUTED_VALUE"""),"川島 幹也")</f>
        <v>川島 幹也</v>
      </c>
    </row>
    <row r="4002" spans="2:4" ht="13">
      <c r="B4002" s="12">
        <f ca="1">IFERROR(__xludf.DUMMYFUNCTION("""COMPUTED_VALUE"""),124672)</f>
        <v>124672</v>
      </c>
      <c r="C4002" s="14">
        <f ca="1">IFERROR(__xludf.DUMMYFUNCTION("""COMPUTED_VALUE"""),1)</f>
        <v>1</v>
      </c>
      <c r="D4002" s="12" t="str">
        <f ca="1">IFERROR(__xludf.DUMMYFUNCTION("""COMPUTED_VALUE"""),"川島 幹也")</f>
        <v>川島 幹也</v>
      </c>
    </row>
    <row r="4003" spans="2:4" ht="13">
      <c r="B4003" s="12">
        <f ca="1">IFERROR(__xludf.DUMMYFUNCTION("""COMPUTED_VALUE"""),124673)</f>
        <v>124673</v>
      </c>
      <c r="C4003" s="14">
        <f ca="1">IFERROR(__xludf.DUMMYFUNCTION("""COMPUTED_VALUE"""),56)</f>
        <v>56</v>
      </c>
      <c r="D4003" s="12" t="str">
        <f ca="1">IFERROR(__xludf.DUMMYFUNCTION("""COMPUTED_VALUE"""),"川島 幹也")</f>
        <v>川島 幹也</v>
      </c>
    </row>
    <row r="4004" spans="2:4" ht="13">
      <c r="B4004" s="12">
        <f ca="1">IFERROR(__xludf.DUMMYFUNCTION("""COMPUTED_VALUE"""),124674)</f>
        <v>124674</v>
      </c>
      <c r="C4004" s="14">
        <f ca="1">IFERROR(__xludf.DUMMYFUNCTION("""COMPUTED_VALUE"""),70)</f>
        <v>70</v>
      </c>
      <c r="D4004" s="12" t="str">
        <f ca="1">IFERROR(__xludf.DUMMYFUNCTION("""COMPUTED_VALUE"""),"川島 幹也")</f>
        <v>川島 幹也</v>
      </c>
    </row>
    <row r="4005" spans="2:4" ht="13">
      <c r="B4005" s="12">
        <f ca="1">IFERROR(__xludf.DUMMYFUNCTION("""COMPUTED_VALUE"""),124675)</f>
        <v>124675</v>
      </c>
      <c r="C4005" s="14">
        <f ca="1">IFERROR(__xludf.DUMMYFUNCTION("""COMPUTED_VALUE"""),35)</f>
        <v>35</v>
      </c>
      <c r="D4005" s="12" t="str">
        <f ca="1">IFERROR(__xludf.DUMMYFUNCTION("""COMPUTED_VALUE"""),"川島 幹也")</f>
        <v>川島 幹也</v>
      </c>
    </row>
    <row r="4006" spans="2:4" ht="13">
      <c r="B4006" s="12">
        <f ca="1">IFERROR(__xludf.DUMMYFUNCTION("""COMPUTED_VALUE"""),124676)</f>
        <v>124676</v>
      </c>
      <c r="C4006" s="14">
        <f ca="1">IFERROR(__xludf.DUMMYFUNCTION("""COMPUTED_VALUE"""),36)</f>
        <v>36</v>
      </c>
      <c r="D4006" s="12" t="str">
        <f ca="1">IFERROR(__xludf.DUMMYFUNCTION("""COMPUTED_VALUE"""),"川島 幹也")</f>
        <v>川島 幹也</v>
      </c>
    </row>
    <row r="4007" spans="2:4" ht="13">
      <c r="B4007" s="12">
        <f ca="1">IFERROR(__xludf.DUMMYFUNCTION("""COMPUTED_VALUE"""),124682)</f>
        <v>124682</v>
      </c>
      <c r="C4007" s="14">
        <f ca="1">IFERROR(__xludf.DUMMYFUNCTION("""COMPUTED_VALUE"""),0)</f>
        <v>0</v>
      </c>
      <c r="D4007" s="12" t="str">
        <f ca="1">IFERROR(__xludf.DUMMYFUNCTION("""COMPUTED_VALUE"""),"松尾 尚樹")</f>
        <v>松尾 尚樹</v>
      </c>
    </row>
    <row r="4008" spans="2:4" ht="13">
      <c r="B4008" s="12">
        <f ca="1">IFERROR(__xludf.DUMMYFUNCTION("""COMPUTED_VALUE"""),124685)</f>
        <v>124685</v>
      </c>
      <c r="C4008" s="14">
        <f ca="1">IFERROR(__xludf.DUMMYFUNCTION("""COMPUTED_VALUE"""),0)</f>
        <v>0</v>
      </c>
      <c r="D4008" s="12" t="str">
        <f ca="1">IFERROR(__xludf.DUMMYFUNCTION("""COMPUTED_VALUE"""),"小川 純")</f>
        <v>小川 純</v>
      </c>
    </row>
    <row r="4009" spans="2:4" ht="13">
      <c r="B4009" s="12">
        <f ca="1">IFERROR(__xludf.DUMMYFUNCTION("""COMPUTED_VALUE"""),124690)</f>
        <v>124690</v>
      </c>
      <c r="C4009" s="14">
        <f ca="1">IFERROR(__xludf.DUMMYFUNCTION("""COMPUTED_VALUE"""),1)</f>
        <v>1</v>
      </c>
      <c r="D4009" s="12" t="str">
        <f ca="1">IFERROR(__xludf.DUMMYFUNCTION("""COMPUTED_VALUE"""),"村上 浩一朗")</f>
        <v>村上 浩一朗</v>
      </c>
    </row>
    <row r="4010" spans="2:4" ht="13">
      <c r="B4010" s="12">
        <f ca="1">IFERROR(__xludf.DUMMYFUNCTION("""COMPUTED_VALUE"""),124693)</f>
        <v>124693</v>
      </c>
      <c r="C4010" s="14">
        <f ca="1">IFERROR(__xludf.DUMMYFUNCTION("""COMPUTED_VALUE"""),0)</f>
        <v>0</v>
      </c>
      <c r="D4010" s="12" t="str">
        <f ca="1">IFERROR(__xludf.DUMMYFUNCTION("""COMPUTED_VALUE"""),"大木 優香")</f>
        <v>大木 優香</v>
      </c>
    </row>
    <row r="4011" spans="2:4" ht="13">
      <c r="B4011" s="12">
        <f ca="1">IFERROR(__xludf.DUMMYFUNCTION("""COMPUTED_VALUE"""),124704)</f>
        <v>124704</v>
      </c>
      <c r="C4011" s="14">
        <f ca="1">IFERROR(__xludf.DUMMYFUNCTION("""COMPUTED_VALUE"""),12)</f>
        <v>12</v>
      </c>
      <c r="D4011" s="12" t="str">
        <f ca="1">IFERROR(__xludf.DUMMYFUNCTION("""COMPUTED_VALUE"""),"栗原 大武")</f>
        <v>栗原 大武</v>
      </c>
    </row>
    <row r="4012" spans="2:4" ht="13">
      <c r="B4012" s="12">
        <f ca="1">IFERROR(__xludf.DUMMYFUNCTION("""COMPUTED_VALUE"""),124741)</f>
        <v>124741</v>
      </c>
      <c r="C4012" s="14">
        <f ca="1">IFERROR(__xludf.DUMMYFUNCTION("""COMPUTED_VALUE"""),16)</f>
        <v>16</v>
      </c>
      <c r="D4012" s="12" t="str">
        <f ca="1">IFERROR(__xludf.DUMMYFUNCTION("""COMPUTED_VALUE"""),"小関 麻起")</f>
        <v>小関 麻起</v>
      </c>
    </row>
    <row r="4013" spans="2:4" ht="13">
      <c r="B4013" s="12">
        <f ca="1">IFERROR(__xludf.DUMMYFUNCTION("""COMPUTED_VALUE"""),124743)</f>
        <v>124743</v>
      </c>
      <c r="C4013" s="14">
        <f ca="1">IFERROR(__xludf.DUMMYFUNCTION("""COMPUTED_VALUE"""),44)</f>
        <v>44</v>
      </c>
      <c r="D4013" s="12" t="str">
        <f ca="1">IFERROR(__xludf.DUMMYFUNCTION("""COMPUTED_VALUE"""),"桑原 明子")</f>
        <v>桑原 明子</v>
      </c>
    </row>
    <row r="4014" spans="2:4" ht="13">
      <c r="B4014" s="12">
        <f ca="1">IFERROR(__xludf.DUMMYFUNCTION("""COMPUTED_VALUE"""),124748)</f>
        <v>124748</v>
      </c>
      <c r="C4014" s="14">
        <f ca="1">IFERROR(__xludf.DUMMYFUNCTION("""COMPUTED_VALUE"""),0)</f>
        <v>0</v>
      </c>
      <c r="D4014" s="12" t="str">
        <f ca="1">IFERROR(__xludf.DUMMYFUNCTION("""COMPUTED_VALUE"""),"小関 麻起")</f>
        <v>小関 麻起</v>
      </c>
    </row>
    <row r="4015" spans="2:4" ht="13">
      <c r="B4015" s="12">
        <f ca="1">IFERROR(__xludf.DUMMYFUNCTION("""COMPUTED_VALUE"""),124758)</f>
        <v>124758</v>
      </c>
      <c r="C4015" s="14">
        <f ca="1">IFERROR(__xludf.DUMMYFUNCTION("""COMPUTED_VALUE"""),0)</f>
        <v>0</v>
      </c>
      <c r="D4015" s="12" t="str">
        <f ca="1">IFERROR(__xludf.DUMMYFUNCTION("""COMPUTED_VALUE"""),"成嶋 夏未")</f>
        <v>成嶋 夏未</v>
      </c>
    </row>
    <row r="4016" spans="2:4" ht="13">
      <c r="B4016" s="12">
        <f ca="1">IFERROR(__xludf.DUMMYFUNCTION("""COMPUTED_VALUE"""),124761)</f>
        <v>124761</v>
      </c>
      <c r="C4016" s="14">
        <f ca="1">IFERROR(__xludf.DUMMYFUNCTION("""COMPUTED_VALUE"""),0)</f>
        <v>0</v>
      </c>
      <c r="D4016" s="12" t="str">
        <f ca="1">IFERROR(__xludf.DUMMYFUNCTION("""COMPUTED_VALUE"""),"松尾 尚樹")</f>
        <v>松尾 尚樹</v>
      </c>
    </row>
    <row r="4017" spans="2:4" ht="13">
      <c r="B4017" s="12">
        <f ca="1">IFERROR(__xludf.DUMMYFUNCTION("""COMPUTED_VALUE"""),124762)</f>
        <v>124762</v>
      </c>
      <c r="C4017" s="14">
        <f ca="1">IFERROR(__xludf.DUMMYFUNCTION("""COMPUTED_VALUE"""),80)</f>
        <v>80</v>
      </c>
      <c r="D4017" s="12" t="str">
        <f ca="1">IFERROR(__xludf.DUMMYFUNCTION("""COMPUTED_VALUE"""),"栗原 大武")</f>
        <v>栗原 大武</v>
      </c>
    </row>
    <row r="4018" spans="2:4" ht="13">
      <c r="B4018" s="12">
        <f ca="1">IFERROR(__xludf.DUMMYFUNCTION("""COMPUTED_VALUE"""),124765)</f>
        <v>124765</v>
      </c>
      <c r="C4018" s="14">
        <f ca="1">IFERROR(__xludf.DUMMYFUNCTION("""COMPUTED_VALUE"""),0)</f>
        <v>0</v>
      </c>
      <c r="D4018" s="12" t="str">
        <f ca="1">IFERROR(__xludf.DUMMYFUNCTION("""COMPUTED_VALUE"""),"桑原 明子")</f>
        <v>桑原 明子</v>
      </c>
    </row>
    <row r="4019" spans="2:4" ht="13">
      <c r="B4019" s="12">
        <f ca="1">IFERROR(__xludf.DUMMYFUNCTION("""COMPUTED_VALUE"""),124770)</f>
        <v>124770</v>
      </c>
      <c r="C4019" s="14">
        <f ca="1">IFERROR(__xludf.DUMMYFUNCTION("""COMPUTED_VALUE"""),2)</f>
        <v>2</v>
      </c>
      <c r="D4019" s="12" t="str">
        <f ca="1">IFERROR(__xludf.DUMMYFUNCTION("""COMPUTED_VALUE"""),"菅野 ぎんが")</f>
        <v>菅野 ぎんが</v>
      </c>
    </row>
    <row r="4020" spans="2:4" ht="13">
      <c r="B4020" s="12">
        <f ca="1">IFERROR(__xludf.DUMMYFUNCTION("""COMPUTED_VALUE"""),124772)</f>
        <v>124772</v>
      </c>
      <c r="C4020" s="14">
        <f ca="1">IFERROR(__xludf.DUMMYFUNCTION("""COMPUTED_VALUE"""),0)</f>
        <v>0</v>
      </c>
      <c r="D4020" s="12" t="str">
        <f ca="1">IFERROR(__xludf.DUMMYFUNCTION("""COMPUTED_VALUE"""),"松尾 尚樹")</f>
        <v>松尾 尚樹</v>
      </c>
    </row>
    <row r="4021" spans="2:4" ht="13">
      <c r="B4021" s="12">
        <f ca="1">IFERROR(__xludf.DUMMYFUNCTION("""COMPUTED_VALUE"""),124774)</f>
        <v>124774</v>
      </c>
      <c r="C4021" s="14">
        <f ca="1">IFERROR(__xludf.DUMMYFUNCTION("""COMPUTED_VALUE"""),59)</f>
        <v>59</v>
      </c>
      <c r="D4021" s="12" t="str">
        <f ca="1">IFERROR(__xludf.DUMMYFUNCTION("""COMPUTED_VALUE"""),"内丸 裕子")</f>
        <v>内丸 裕子</v>
      </c>
    </row>
    <row r="4022" spans="2:4" ht="13">
      <c r="B4022" s="12">
        <f ca="1">IFERROR(__xludf.DUMMYFUNCTION("""COMPUTED_VALUE"""),124778)</f>
        <v>124778</v>
      </c>
      <c r="C4022" s="14">
        <f ca="1">IFERROR(__xludf.DUMMYFUNCTION("""COMPUTED_VALUE"""),0)</f>
        <v>0</v>
      </c>
      <c r="D4022" s="12" t="str">
        <f ca="1">IFERROR(__xludf.DUMMYFUNCTION("""COMPUTED_VALUE"""),"松尾 尚樹")</f>
        <v>松尾 尚樹</v>
      </c>
    </row>
    <row r="4023" spans="2:4" ht="13">
      <c r="B4023" s="12">
        <f ca="1">IFERROR(__xludf.DUMMYFUNCTION("""COMPUTED_VALUE"""),124783)</f>
        <v>124783</v>
      </c>
      <c r="C4023" s="14">
        <f ca="1">IFERROR(__xludf.DUMMYFUNCTION("""COMPUTED_VALUE"""),3)</f>
        <v>3</v>
      </c>
      <c r="D4023" s="12" t="str">
        <f ca="1">IFERROR(__xludf.DUMMYFUNCTION("""COMPUTED_VALUE"""),"稲場 勇介")</f>
        <v>稲場 勇介</v>
      </c>
    </row>
    <row r="4024" spans="2:4" ht="13">
      <c r="B4024" s="12">
        <f ca="1">IFERROR(__xludf.DUMMYFUNCTION("""COMPUTED_VALUE"""),124785)</f>
        <v>124785</v>
      </c>
      <c r="C4024" s="14">
        <f ca="1">IFERROR(__xludf.DUMMYFUNCTION("""COMPUTED_VALUE"""),0)</f>
        <v>0</v>
      </c>
      <c r="D4024" s="12" t="str">
        <f ca="1">IFERROR(__xludf.DUMMYFUNCTION("""COMPUTED_VALUE"""),"荻曽 克輝")</f>
        <v>荻曽 克輝</v>
      </c>
    </row>
    <row r="4025" spans="2:4" ht="13">
      <c r="B4025" s="12">
        <f ca="1">IFERROR(__xludf.DUMMYFUNCTION("""COMPUTED_VALUE"""),124794)</f>
        <v>124794</v>
      </c>
      <c r="C4025" s="14">
        <f ca="1">IFERROR(__xludf.DUMMYFUNCTION("""COMPUTED_VALUE"""),0)</f>
        <v>0</v>
      </c>
      <c r="D4025" s="12" t="str">
        <f ca="1">IFERROR(__xludf.DUMMYFUNCTION("""COMPUTED_VALUE"""),"栗原 大武")</f>
        <v>栗原 大武</v>
      </c>
    </row>
    <row r="4026" spans="2:4" ht="13">
      <c r="B4026" s="12">
        <f ca="1">IFERROR(__xludf.DUMMYFUNCTION("""COMPUTED_VALUE"""),124796)</f>
        <v>124796</v>
      </c>
      <c r="C4026" s="14">
        <f ca="1">IFERROR(__xludf.DUMMYFUNCTION("""COMPUTED_VALUE"""),1)</f>
        <v>1</v>
      </c>
      <c r="D4026" s="12" t="str">
        <f ca="1">IFERROR(__xludf.DUMMYFUNCTION("""COMPUTED_VALUE"""),"栗原 大武")</f>
        <v>栗原 大武</v>
      </c>
    </row>
    <row r="4027" spans="2:4" ht="13">
      <c r="B4027" s="12">
        <f ca="1">IFERROR(__xludf.DUMMYFUNCTION("""COMPUTED_VALUE"""),124797)</f>
        <v>124797</v>
      </c>
      <c r="C4027" s="14">
        <f ca="1">IFERROR(__xludf.DUMMYFUNCTION("""COMPUTED_VALUE"""),8)</f>
        <v>8</v>
      </c>
      <c r="D4027" s="12" t="str">
        <f ca="1">IFERROR(__xludf.DUMMYFUNCTION("""COMPUTED_VALUE"""),"老田 純輝")</f>
        <v>老田 純輝</v>
      </c>
    </row>
    <row r="4028" spans="2:4" ht="13">
      <c r="B4028" s="12">
        <f ca="1">IFERROR(__xludf.DUMMYFUNCTION("""COMPUTED_VALUE"""),124800)</f>
        <v>124800</v>
      </c>
      <c r="C4028" s="14">
        <f ca="1">IFERROR(__xludf.DUMMYFUNCTION("""COMPUTED_VALUE"""),0)</f>
        <v>0</v>
      </c>
      <c r="D4028" s="12" t="str">
        <f ca="1">IFERROR(__xludf.DUMMYFUNCTION("""COMPUTED_VALUE"""),"荻曽 克輝")</f>
        <v>荻曽 克輝</v>
      </c>
    </row>
    <row r="4029" spans="2:4" ht="13">
      <c r="B4029" s="12">
        <f ca="1">IFERROR(__xludf.DUMMYFUNCTION("""COMPUTED_VALUE"""),124802)</f>
        <v>124802</v>
      </c>
      <c r="C4029" s="14">
        <f ca="1">IFERROR(__xludf.DUMMYFUNCTION("""COMPUTED_VALUE"""),0)</f>
        <v>0</v>
      </c>
      <c r="D4029" s="12" t="str">
        <f ca="1">IFERROR(__xludf.DUMMYFUNCTION("""COMPUTED_VALUE"""),"栗原 大武")</f>
        <v>栗原 大武</v>
      </c>
    </row>
    <row r="4030" spans="2:4" ht="13">
      <c r="B4030" s="12">
        <f ca="1">IFERROR(__xludf.DUMMYFUNCTION("""COMPUTED_VALUE"""),124817)</f>
        <v>124817</v>
      </c>
      <c r="C4030" s="14">
        <f ca="1">IFERROR(__xludf.DUMMYFUNCTION("""COMPUTED_VALUE"""),116)</f>
        <v>116</v>
      </c>
      <c r="D4030" s="12" t="str">
        <f ca="1">IFERROR(__xludf.DUMMYFUNCTION("""COMPUTED_VALUE"""),"桐山 勝気")</f>
        <v>桐山 勝気</v>
      </c>
    </row>
    <row r="4031" spans="2:4" ht="13">
      <c r="B4031" s="12">
        <f ca="1">IFERROR(__xludf.DUMMYFUNCTION("""COMPUTED_VALUE"""),124818)</f>
        <v>124818</v>
      </c>
      <c r="C4031" s="14">
        <f ca="1">IFERROR(__xludf.DUMMYFUNCTION("""COMPUTED_VALUE"""),19)</f>
        <v>19</v>
      </c>
      <c r="D4031" s="12" t="str">
        <f ca="1">IFERROR(__xludf.DUMMYFUNCTION("""COMPUTED_VALUE"""),"小川 純")</f>
        <v>小川 純</v>
      </c>
    </row>
    <row r="4032" spans="2:4" ht="13">
      <c r="B4032" s="12">
        <f ca="1">IFERROR(__xludf.DUMMYFUNCTION("""COMPUTED_VALUE"""),124820)</f>
        <v>124820</v>
      </c>
      <c r="C4032" s="14">
        <f ca="1">IFERROR(__xludf.DUMMYFUNCTION("""COMPUTED_VALUE"""),66)</f>
        <v>66</v>
      </c>
      <c r="D4032" s="12" t="str">
        <f ca="1">IFERROR(__xludf.DUMMYFUNCTION("""COMPUTED_VALUE"""),"稲場 勇介")</f>
        <v>稲場 勇介</v>
      </c>
    </row>
    <row r="4033" spans="2:4" ht="13">
      <c r="B4033" s="12">
        <f ca="1">IFERROR(__xludf.DUMMYFUNCTION("""COMPUTED_VALUE"""),124821)</f>
        <v>124821</v>
      </c>
      <c r="C4033" s="14">
        <f ca="1">IFERROR(__xludf.DUMMYFUNCTION("""COMPUTED_VALUE"""),0)</f>
        <v>0</v>
      </c>
      <c r="D4033" s="12" t="str">
        <f ca="1">IFERROR(__xludf.DUMMYFUNCTION("""COMPUTED_VALUE"""),"川島 幹也")</f>
        <v>川島 幹也</v>
      </c>
    </row>
    <row r="4034" spans="2:4" ht="13">
      <c r="B4034" s="12">
        <f ca="1">IFERROR(__xludf.DUMMYFUNCTION("""COMPUTED_VALUE"""),124824)</f>
        <v>124824</v>
      </c>
      <c r="C4034" s="14">
        <f ca="1">IFERROR(__xludf.DUMMYFUNCTION("""COMPUTED_VALUE"""),4)</f>
        <v>4</v>
      </c>
      <c r="D4034" s="12" t="str">
        <f ca="1">IFERROR(__xludf.DUMMYFUNCTION("""COMPUTED_VALUE"""),"荻曽 克輝")</f>
        <v>荻曽 克輝</v>
      </c>
    </row>
    <row r="4035" spans="2:4" ht="13">
      <c r="B4035" s="12">
        <f ca="1">IFERROR(__xludf.DUMMYFUNCTION("""COMPUTED_VALUE"""),124832)</f>
        <v>124832</v>
      </c>
      <c r="C4035" s="14">
        <f ca="1">IFERROR(__xludf.DUMMYFUNCTION("""COMPUTED_VALUE"""),0)</f>
        <v>0</v>
      </c>
      <c r="D4035" s="12" t="str">
        <f ca="1">IFERROR(__xludf.DUMMYFUNCTION("""COMPUTED_VALUE"""),"稲場 勇介")</f>
        <v>稲場 勇介</v>
      </c>
    </row>
    <row r="4036" spans="2:4" ht="13">
      <c r="B4036" s="12">
        <f ca="1">IFERROR(__xludf.DUMMYFUNCTION("""COMPUTED_VALUE"""),124838)</f>
        <v>124838</v>
      </c>
      <c r="C4036" s="14">
        <f ca="1">IFERROR(__xludf.DUMMYFUNCTION("""COMPUTED_VALUE"""),0)</f>
        <v>0</v>
      </c>
      <c r="D4036" s="12" t="str">
        <f ca="1">IFERROR(__xludf.DUMMYFUNCTION("""COMPUTED_VALUE"""),"成嶋 夏未")</f>
        <v>成嶋 夏未</v>
      </c>
    </row>
    <row r="4037" spans="2:4" ht="13">
      <c r="B4037" s="12">
        <f ca="1">IFERROR(__xludf.DUMMYFUNCTION("""COMPUTED_VALUE"""),124842)</f>
        <v>124842</v>
      </c>
      <c r="C4037" s="14">
        <f ca="1">IFERROR(__xludf.DUMMYFUNCTION("""COMPUTED_VALUE"""),4)</f>
        <v>4</v>
      </c>
      <c r="D4037" s="12" t="str">
        <f ca="1">IFERROR(__xludf.DUMMYFUNCTION("""COMPUTED_VALUE"""),"稲場 勇介")</f>
        <v>稲場 勇介</v>
      </c>
    </row>
    <row r="4038" spans="2:4" ht="13">
      <c r="B4038" s="12">
        <f ca="1">IFERROR(__xludf.DUMMYFUNCTION("""COMPUTED_VALUE"""),124855)</f>
        <v>124855</v>
      </c>
      <c r="C4038" s="14">
        <f ca="1">IFERROR(__xludf.DUMMYFUNCTION("""COMPUTED_VALUE"""),9)</f>
        <v>9</v>
      </c>
      <c r="D4038" s="12" t="str">
        <f ca="1">IFERROR(__xludf.DUMMYFUNCTION("""COMPUTED_VALUE"""),"芳賀 亮輔")</f>
        <v>芳賀 亮輔</v>
      </c>
    </row>
    <row r="4039" spans="2:4" ht="13">
      <c r="B4039" s="12">
        <f ca="1">IFERROR(__xludf.DUMMYFUNCTION("""COMPUTED_VALUE"""),124859)</f>
        <v>124859</v>
      </c>
      <c r="C4039" s="14">
        <f ca="1">IFERROR(__xludf.DUMMYFUNCTION("""COMPUTED_VALUE"""),0)</f>
        <v>0</v>
      </c>
      <c r="D4039" s="12" t="str">
        <f ca="1">IFERROR(__xludf.DUMMYFUNCTION("""COMPUTED_VALUE"""),"稲場 勇介")</f>
        <v>稲場 勇介</v>
      </c>
    </row>
    <row r="4040" spans="2:4" ht="13">
      <c r="B4040" s="12">
        <f ca="1">IFERROR(__xludf.DUMMYFUNCTION("""COMPUTED_VALUE"""),124862)</f>
        <v>124862</v>
      </c>
      <c r="C4040" s="14">
        <f ca="1">IFERROR(__xludf.DUMMYFUNCTION("""COMPUTED_VALUE"""),25)</f>
        <v>25</v>
      </c>
      <c r="D4040" s="12" t="str">
        <f ca="1">IFERROR(__xludf.DUMMYFUNCTION("""COMPUTED_VALUE"""),"稲場 勇介")</f>
        <v>稲場 勇介</v>
      </c>
    </row>
    <row r="4041" spans="2:4" ht="13">
      <c r="B4041" s="12">
        <f ca="1">IFERROR(__xludf.DUMMYFUNCTION("""COMPUTED_VALUE"""),124865)</f>
        <v>124865</v>
      </c>
      <c r="C4041" s="14">
        <f ca="1">IFERROR(__xludf.DUMMYFUNCTION("""COMPUTED_VALUE"""),17)</f>
        <v>17</v>
      </c>
      <c r="D4041" s="12" t="str">
        <f ca="1">IFERROR(__xludf.DUMMYFUNCTION("""COMPUTED_VALUE"""),"成嶋 夏未")</f>
        <v>成嶋 夏未</v>
      </c>
    </row>
    <row r="4042" spans="2:4" ht="13">
      <c r="B4042" s="12">
        <f ca="1">IFERROR(__xludf.DUMMYFUNCTION("""COMPUTED_VALUE"""),124867)</f>
        <v>124867</v>
      </c>
      <c r="C4042" s="14">
        <f ca="1">IFERROR(__xludf.DUMMYFUNCTION("""COMPUTED_VALUE"""),16)</f>
        <v>16</v>
      </c>
      <c r="D4042" s="12" t="str">
        <f ca="1">IFERROR(__xludf.DUMMYFUNCTION("""COMPUTED_VALUE"""),"村上 浩一朗")</f>
        <v>村上 浩一朗</v>
      </c>
    </row>
    <row r="4043" spans="2:4" ht="13">
      <c r="B4043" s="12">
        <f ca="1">IFERROR(__xludf.DUMMYFUNCTION("""COMPUTED_VALUE"""),124868)</f>
        <v>124868</v>
      </c>
      <c r="C4043" s="14">
        <f ca="1">IFERROR(__xludf.DUMMYFUNCTION("""COMPUTED_VALUE"""),5)</f>
        <v>5</v>
      </c>
      <c r="D4043" s="12" t="str">
        <f ca="1">IFERROR(__xludf.DUMMYFUNCTION("""COMPUTED_VALUE"""),"長谷川 陸朗")</f>
        <v>長谷川 陸朗</v>
      </c>
    </row>
    <row r="4044" spans="2:4" ht="13">
      <c r="B4044" s="12">
        <f ca="1">IFERROR(__xludf.DUMMYFUNCTION("""COMPUTED_VALUE"""),124872)</f>
        <v>124872</v>
      </c>
      <c r="C4044" s="14">
        <f ca="1">IFERROR(__xludf.DUMMYFUNCTION("""COMPUTED_VALUE"""),0)</f>
        <v>0</v>
      </c>
      <c r="D4044" s="12" t="str">
        <f ca="1">IFERROR(__xludf.DUMMYFUNCTION("""COMPUTED_VALUE"""),"荻曽 克輝")</f>
        <v>荻曽 克輝</v>
      </c>
    </row>
    <row r="4045" spans="2:4" ht="13">
      <c r="B4045" s="12">
        <f ca="1">IFERROR(__xludf.DUMMYFUNCTION("""COMPUTED_VALUE"""),124877)</f>
        <v>124877</v>
      </c>
      <c r="C4045" s="14">
        <f ca="1">IFERROR(__xludf.DUMMYFUNCTION("""COMPUTED_VALUE"""),65)</f>
        <v>65</v>
      </c>
      <c r="D4045" s="12" t="str">
        <f ca="1">IFERROR(__xludf.DUMMYFUNCTION("""COMPUTED_VALUE"""),"菅野 ぎんが")</f>
        <v>菅野 ぎんが</v>
      </c>
    </row>
    <row r="4046" spans="2:4" ht="13">
      <c r="B4046" s="12">
        <f ca="1">IFERROR(__xludf.DUMMYFUNCTION("""COMPUTED_VALUE"""),124879)</f>
        <v>124879</v>
      </c>
      <c r="C4046" s="14">
        <f ca="1">IFERROR(__xludf.DUMMYFUNCTION("""COMPUTED_VALUE"""),17)</f>
        <v>17</v>
      </c>
      <c r="D4046" s="12" t="str">
        <f ca="1">IFERROR(__xludf.DUMMYFUNCTION("""COMPUTED_VALUE"""),"小関 麻起")</f>
        <v>小関 麻起</v>
      </c>
    </row>
    <row r="4047" spans="2:4" ht="13">
      <c r="B4047" s="12">
        <f ca="1">IFERROR(__xludf.DUMMYFUNCTION("""COMPUTED_VALUE"""),124884)</f>
        <v>124884</v>
      </c>
      <c r="C4047" s="14">
        <f ca="1">IFERROR(__xludf.DUMMYFUNCTION("""COMPUTED_VALUE"""),4)</f>
        <v>4</v>
      </c>
      <c r="D4047" s="12" t="str">
        <f ca="1">IFERROR(__xludf.DUMMYFUNCTION("""COMPUTED_VALUE"""),"松尾 尚樹")</f>
        <v>松尾 尚樹</v>
      </c>
    </row>
    <row r="4048" spans="2:4" ht="13">
      <c r="B4048" s="12">
        <f ca="1">IFERROR(__xludf.DUMMYFUNCTION("""COMPUTED_VALUE"""),124885)</f>
        <v>124885</v>
      </c>
      <c r="C4048" s="14">
        <f ca="1">IFERROR(__xludf.DUMMYFUNCTION("""COMPUTED_VALUE"""),12)</f>
        <v>12</v>
      </c>
      <c r="D4048" s="12" t="str">
        <f ca="1">IFERROR(__xludf.DUMMYFUNCTION("""COMPUTED_VALUE"""),"稲場 勇介")</f>
        <v>稲場 勇介</v>
      </c>
    </row>
    <row r="4049" spans="2:4" ht="13">
      <c r="B4049" s="12">
        <f ca="1">IFERROR(__xludf.DUMMYFUNCTION("""COMPUTED_VALUE"""),124886)</f>
        <v>124886</v>
      </c>
      <c r="C4049" s="14">
        <f ca="1">IFERROR(__xludf.DUMMYFUNCTION("""COMPUTED_VALUE"""),0)</f>
        <v>0</v>
      </c>
      <c r="D4049" s="12" t="str">
        <f ca="1">IFERROR(__xludf.DUMMYFUNCTION("""COMPUTED_VALUE"""),"松尾 尚樹")</f>
        <v>松尾 尚樹</v>
      </c>
    </row>
    <row r="4050" spans="2:4" ht="13">
      <c r="B4050" s="12">
        <f ca="1">IFERROR(__xludf.DUMMYFUNCTION("""COMPUTED_VALUE"""),124887)</f>
        <v>124887</v>
      </c>
      <c r="C4050" s="14">
        <f ca="1">IFERROR(__xludf.DUMMYFUNCTION("""COMPUTED_VALUE"""),0)</f>
        <v>0</v>
      </c>
      <c r="D4050" s="12" t="str">
        <f ca="1">IFERROR(__xludf.DUMMYFUNCTION("""COMPUTED_VALUE"""),"長谷川 陸朗")</f>
        <v>長谷川 陸朗</v>
      </c>
    </row>
    <row r="4051" spans="2:4" ht="13">
      <c r="B4051" s="12">
        <f ca="1">IFERROR(__xludf.DUMMYFUNCTION("""COMPUTED_VALUE"""),124888)</f>
        <v>124888</v>
      </c>
      <c r="C4051" s="14">
        <f ca="1">IFERROR(__xludf.DUMMYFUNCTION("""COMPUTED_VALUE"""),0)</f>
        <v>0</v>
      </c>
      <c r="D4051" s="12" t="str">
        <f ca="1">IFERROR(__xludf.DUMMYFUNCTION("""COMPUTED_VALUE"""),"桑原 明子")</f>
        <v>桑原 明子</v>
      </c>
    </row>
    <row r="4052" spans="2:4" ht="13">
      <c r="B4052" s="12">
        <f ca="1">IFERROR(__xludf.DUMMYFUNCTION("""COMPUTED_VALUE"""),124905)</f>
        <v>124905</v>
      </c>
      <c r="C4052" s="14">
        <f ca="1">IFERROR(__xludf.DUMMYFUNCTION("""COMPUTED_VALUE"""),0)</f>
        <v>0</v>
      </c>
      <c r="D4052" s="12" t="str">
        <f ca="1">IFERROR(__xludf.DUMMYFUNCTION("""COMPUTED_VALUE"""),"小関 麻起")</f>
        <v>小関 麻起</v>
      </c>
    </row>
    <row r="4053" spans="2:4" ht="13">
      <c r="B4053" s="12">
        <f ca="1">IFERROR(__xludf.DUMMYFUNCTION("""COMPUTED_VALUE"""),124907)</f>
        <v>124907</v>
      </c>
      <c r="C4053" s="14">
        <f ca="1">IFERROR(__xludf.DUMMYFUNCTION("""COMPUTED_VALUE"""),2)</f>
        <v>2</v>
      </c>
      <c r="D4053" s="12" t="str">
        <f ca="1">IFERROR(__xludf.DUMMYFUNCTION("""COMPUTED_VALUE"""),"栗原 大武")</f>
        <v>栗原 大武</v>
      </c>
    </row>
    <row r="4054" spans="2:4" ht="13">
      <c r="B4054" s="12">
        <f ca="1">IFERROR(__xludf.DUMMYFUNCTION("""COMPUTED_VALUE"""),124909)</f>
        <v>124909</v>
      </c>
      <c r="C4054" s="14">
        <f ca="1">IFERROR(__xludf.DUMMYFUNCTION("""COMPUTED_VALUE"""),0)</f>
        <v>0</v>
      </c>
      <c r="D4054" s="12" t="str">
        <f ca="1">IFERROR(__xludf.DUMMYFUNCTION("""COMPUTED_VALUE"""),"菅野 ぎんが")</f>
        <v>菅野 ぎんが</v>
      </c>
    </row>
    <row r="4055" spans="2:4" ht="13">
      <c r="B4055" s="12">
        <f ca="1">IFERROR(__xludf.DUMMYFUNCTION("""COMPUTED_VALUE"""),124910)</f>
        <v>124910</v>
      </c>
      <c r="C4055" s="14">
        <f ca="1">IFERROR(__xludf.DUMMYFUNCTION("""COMPUTED_VALUE"""),4)</f>
        <v>4</v>
      </c>
      <c r="D4055" s="12" t="str">
        <f ca="1">IFERROR(__xludf.DUMMYFUNCTION("""COMPUTED_VALUE"""),"成嶋 夏未")</f>
        <v>成嶋 夏未</v>
      </c>
    </row>
    <row r="4056" spans="2:4" ht="13">
      <c r="B4056" s="12">
        <f ca="1">IFERROR(__xludf.DUMMYFUNCTION("""COMPUTED_VALUE"""),124912)</f>
        <v>124912</v>
      </c>
      <c r="C4056" s="14">
        <f ca="1">IFERROR(__xludf.DUMMYFUNCTION("""COMPUTED_VALUE"""),2)</f>
        <v>2</v>
      </c>
      <c r="D4056" s="12" t="str">
        <f ca="1">IFERROR(__xludf.DUMMYFUNCTION("""COMPUTED_VALUE"""),"成嶋 夏未")</f>
        <v>成嶋 夏未</v>
      </c>
    </row>
    <row r="4057" spans="2:4" ht="13">
      <c r="B4057" s="12">
        <f ca="1">IFERROR(__xludf.DUMMYFUNCTION("""COMPUTED_VALUE"""),124915)</f>
        <v>124915</v>
      </c>
      <c r="C4057" s="14">
        <f ca="1">IFERROR(__xludf.DUMMYFUNCTION("""COMPUTED_VALUE"""),0)</f>
        <v>0</v>
      </c>
      <c r="D4057" s="12" t="str">
        <f ca="1">IFERROR(__xludf.DUMMYFUNCTION("""COMPUTED_VALUE"""),"成嶋 夏未")</f>
        <v>成嶋 夏未</v>
      </c>
    </row>
    <row r="4058" spans="2:4" ht="13">
      <c r="B4058" s="12">
        <f ca="1">IFERROR(__xludf.DUMMYFUNCTION("""COMPUTED_VALUE"""),124917)</f>
        <v>124917</v>
      </c>
      <c r="C4058" s="14">
        <f ca="1">IFERROR(__xludf.DUMMYFUNCTION("""COMPUTED_VALUE"""),3)</f>
        <v>3</v>
      </c>
      <c r="D4058" s="12" t="str">
        <f ca="1">IFERROR(__xludf.DUMMYFUNCTION("""COMPUTED_VALUE"""),"奥野 貴大")</f>
        <v>奥野 貴大</v>
      </c>
    </row>
    <row r="4059" spans="2:4" ht="13">
      <c r="B4059" s="12">
        <f ca="1">IFERROR(__xludf.DUMMYFUNCTION("""COMPUTED_VALUE"""),124924)</f>
        <v>124924</v>
      </c>
      <c r="C4059" s="14">
        <f ca="1">IFERROR(__xludf.DUMMYFUNCTION("""COMPUTED_VALUE"""),10)</f>
        <v>10</v>
      </c>
      <c r="D4059" s="12" t="str">
        <f ca="1">IFERROR(__xludf.DUMMYFUNCTION("""COMPUTED_VALUE"""),"老田 純輝")</f>
        <v>老田 純輝</v>
      </c>
    </row>
    <row r="4060" spans="2:4" ht="13">
      <c r="B4060" s="12">
        <f ca="1">IFERROR(__xludf.DUMMYFUNCTION("""COMPUTED_VALUE"""),124926)</f>
        <v>124926</v>
      </c>
      <c r="C4060" s="14">
        <f ca="1">IFERROR(__xludf.DUMMYFUNCTION("""COMPUTED_VALUE"""),0)</f>
        <v>0</v>
      </c>
      <c r="D4060" s="12" t="str">
        <f ca="1">IFERROR(__xludf.DUMMYFUNCTION("""COMPUTED_VALUE"""),"菅野 ぎんが")</f>
        <v>菅野 ぎんが</v>
      </c>
    </row>
    <row r="4061" spans="2:4" ht="13">
      <c r="B4061" s="12">
        <f ca="1">IFERROR(__xludf.DUMMYFUNCTION("""COMPUTED_VALUE"""),124927)</f>
        <v>124927</v>
      </c>
      <c r="C4061" s="14">
        <f ca="1">IFERROR(__xludf.DUMMYFUNCTION("""COMPUTED_VALUE"""),8)</f>
        <v>8</v>
      </c>
      <c r="D4061" s="12" t="str">
        <f ca="1">IFERROR(__xludf.DUMMYFUNCTION("""COMPUTED_VALUE"""),"芳賀 亮輔")</f>
        <v>芳賀 亮輔</v>
      </c>
    </row>
    <row r="4062" spans="2:4" ht="13">
      <c r="B4062" s="12">
        <f ca="1">IFERROR(__xludf.DUMMYFUNCTION("""COMPUTED_VALUE"""),124929)</f>
        <v>124929</v>
      </c>
      <c r="C4062" s="14">
        <f ca="1">IFERROR(__xludf.DUMMYFUNCTION("""COMPUTED_VALUE"""),1)</f>
        <v>1</v>
      </c>
      <c r="D4062" s="12" t="str">
        <f ca="1">IFERROR(__xludf.DUMMYFUNCTION("""COMPUTED_VALUE"""),"菅野 ぎんが")</f>
        <v>菅野 ぎんが</v>
      </c>
    </row>
    <row r="4063" spans="2:4" ht="13">
      <c r="B4063" s="12">
        <f ca="1">IFERROR(__xludf.DUMMYFUNCTION("""COMPUTED_VALUE"""),124931)</f>
        <v>124931</v>
      </c>
      <c r="C4063" s="14">
        <f ca="1">IFERROR(__xludf.DUMMYFUNCTION("""COMPUTED_VALUE"""),3)</f>
        <v>3</v>
      </c>
      <c r="D4063" s="12" t="str">
        <f ca="1">IFERROR(__xludf.DUMMYFUNCTION("""COMPUTED_VALUE"""),"成嶋 夏未")</f>
        <v>成嶋 夏未</v>
      </c>
    </row>
    <row r="4064" spans="2:4" ht="13">
      <c r="B4064" s="12">
        <f ca="1">IFERROR(__xludf.DUMMYFUNCTION("""COMPUTED_VALUE"""),124932)</f>
        <v>124932</v>
      </c>
      <c r="C4064" s="14">
        <f ca="1">IFERROR(__xludf.DUMMYFUNCTION("""COMPUTED_VALUE"""),23)</f>
        <v>23</v>
      </c>
      <c r="D4064" s="12" t="str">
        <f ca="1">IFERROR(__xludf.DUMMYFUNCTION("""COMPUTED_VALUE"""),"荻曽 克輝")</f>
        <v>荻曽 克輝</v>
      </c>
    </row>
    <row r="4065" spans="2:4" ht="13">
      <c r="B4065" s="12">
        <f ca="1">IFERROR(__xludf.DUMMYFUNCTION("""COMPUTED_VALUE"""),124975)</f>
        <v>124975</v>
      </c>
      <c r="C4065" s="14">
        <f ca="1">IFERROR(__xludf.DUMMYFUNCTION("""COMPUTED_VALUE"""),15)</f>
        <v>15</v>
      </c>
      <c r="D4065" s="12" t="str">
        <f ca="1">IFERROR(__xludf.DUMMYFUNCTION("""COMPUTED_VALUE"""),"菅野 ぎんが")</f>
        <v>菅野 ぎんが</v>
      </c>
    </row>
    <row r="4066" spans="2:4" ht="13">
      <c r="B4066" s="12">
        <f ca="1">IFERROR(__xludf.DUMMYFUNCTION("""COMPUTED_VALUE"""),124978)</f>
        <v>124978</v>
      </c>
      <c r="C4066" s="14">
        <f ca="1">IFERROR(__xludf.DUMMYFUNCTION("""COMPUTED_VALUE"""),11)</f>
        <v>11</v>
      </c>
      <c r="D4066" s="12" t="str">
        <f ca="1">IFERROR(__xludf.DUMMYFUNCTION("""COMPUTED_VALUE"""),"老田 純輝")</f>
        <v>老田 純輝</v>
      </c>
    </row>
    <row r="4067" spans="2:4" ht="13">
      <c r="B4067" s="12">
        <f ca="1">IFERROR(__xludf.DUMMYFUNCTION("""COMPUTED_VALUE"""),124980)</f>
        <v>124980</v>
      </c>
      <c r="C4067" s="14">
        <f ca="1">IFERROR(__xludf.DUMMYFUNCTION("""COMPUTED_VALUE"""),0)</f>
        <v>0</v>
      </c>
      <c r="D4067" s="12" t="str">
        <f ca="1">IFERROR(__xludf.DUMMYFUNCTION("""COMPUTED_VALUE"""),"成嶋 夏未")</f>
        <v>成嶋 夏未</v>
      </c>
    </row>
    <row r="4068" spans="2:4" ht="13">
      <c r="B4068" s="12">
        <f ca="1">IFERROR(__xludf.DUMMYFUNCTION("""COMPUTED_VALUE"""),124981)</f>
        <v>124981</v>
      </c>
      <c r="C4068" s="14">
        <f ca="1">IFERROR(__xludf.DUMMYFUNCTION("""COMPUTED_VALUE"""),5)</f>
        <v>5</v>
      </c>
      <c r="D4068" s="12" t="str">
        <f ca="1">IFERROR(__xludf.DUMMYFUNCTION("""COMPUTED_VALUE"""),"栗原 大武")</f>
        <v>栗原 大武</v>
      </c>
    </row>
    <row r="4069" spans="2:4" ht="13">
      <c r="B4069" s="12">
        <f ca="1">IFERROR(__xludf.DUMMYFUNCTION("""COMPUTED_VALUE"""),124982)</f>
        <v>124982</v>
      </c>
      <c r="C4069" s="14">
        <f ca="1">IFERROR(__xludf.DUMMYFUNCTION("""COMPUTED_VALUE"""),51)</f>
        <v>51</v>
      </c>
      <c r="D4069" s="12" t="str">
        <f ca="1">IFERROR(__xludf.DUMMYFUNCTION("""COMPUTED_VALUE"""),"松尾 尚樹")</f>
        <v>松尾 尚樹</v>
      </c>
    </row>
    <row r="4070" spans="2:4" ht="13">
      <c r="B4070" s="12">
        <f ca="1">IFERROR(__xludf.DUMMYFUNCTION("""COMPUTED_VALUE"""),124984)</f>
        <v>124984</v>
      </c>
      <c r="C4070" s="14">
        <f ca="1">IFERROR(__xludf.DUMMYFUNCTION("""COMPUTED_VALUE"""),26)</f>
        <v>26</v>
      </c>
      <c r="D4070" s="12" t="str">
        <f ca="1">IFERROR(__xludf.DUMMYFUNCTION("""COMPUTED_VALUE"""),"小川 純")</f>
        <v>小川 純</v>
      </c>
    </row>
    <row r="4071" spans="2:4" ht="13">
      <c r="B4071" s="12">
        <f ca="1">IFERROR(__xludf.DUMMYFUNCTION("""COMPUTED_VALUE"""),124985)</f>
        <v>124985</v>
      </c>
      <c r="C4071" s="14">
        <f ca="1">IFERROR(__xludf.DUMMYFUNCTION("""COMPUTED_VALUE"""),85)</f>
        <v>85</v>
      </c>
      <c r="D4071" s="12" t="str">
        <f ca="1">IFERROR(__xludf.DUMMYFUNCTION("""COMPUTED_VALUE"""),"小川 純")</f>
        <v>小川 純</v>
      </c>
    </row>
    <row r="4072" spans="2:4" ht="13">
      <c r="B4072" s="12">
        <f ca="1">IFERROR(__xludf.DUMMYFUNCTION("""COMPUTED_VALUE"""),124986)</f>
        <v>124986</v>
      </c>
      <c r="C4072" s="14">
        <f ca="1">IFERROR(__xludf.DUMMYFUNCTION("""COMPUTED_VALUE"""),3)</f>
        <v>3</v>
      </c>
      <c r="D4072" s="12" t="str">
        <f ca="1">IFERROR(__xludf.DUMMYFUNCTION("""COMPUTED_VALUE"""),"奥野 貴大")</f>
        <v>奥野 貴大</v>
      </c>
    </row>
    <row r="4073" spans="2:4" ht="13">
      <c r="B4073" s="12">
        <f ca="1">IFERROR(__xludf.DUMMYFUNCTION("""COMPUTED_VALUE"""),124996)</f>
        <v>124996</v>
      </c>
      <c r="C4073" s="14">
        <f ca="1">IFERROR(__xludf.DUMMYFUNCTION("""COMPUTED_VALUE"""),14)</f>
        <v>14</v>
      </c>
      <c r="D4073" s="12" t="str">
        <f ca="1">IFERROR(__xludf.DUMMYFUNCTION("""COMPUTED_VALUE"""),"川島 幹也")</f>
        <v>川島 幹也</v>
      </c>
    </row>
    <row r="4074" spans="2:4" ht="13">
      <c r="B4074" s="12">
        <f ca="1">IFERROR(__xludf.DUMMYFUNCTION("""COMPUTED_VALUE"""),125000)</f>
        <v>125000</v>
      </c>
      <c r="C4074" s="14">
        <f ca="1">IFERROR(__xludf.DUMMYFUNCTION("""COMPUTED_VALUE"""),29)</f>
        <v>29</v>
      </c>
      <c r="D4074" s="12" t="str">
        <f ca="1">IFERROR(__xludf.DUMMYFUNCTION("""COMPUTED_VALUE"""),"小川 純")</f>
        <v>小川 純</v>
      </c>
    </row>
    <row r="4075" spans="2:4" ht="13">
      <c r="B4075" s="12">
        <f ca="1">IFERROR(__xludf.DUMMYFUNCTION("""COMPUTED_VALUE"""),125001)</f>
        <v>125001</v>
      </c>
      <c r="C4075" s="14">
        <f ca="1">IFERROR(__xludf.DUMMYFUNCTION("""COMPUTED_VALUE"""),0)</f>
        <v>0</v>
      </c>
      <c r="D4075" s="12" t="str">
        <f ca="1">IFERROR(__xludf.DUMMYFUNCTION("""COMPUTED_VALUE"""),"小川 純")</f>
        <v>小川 純</v>
      </c>
    </row>
    <row r="4076" spans="2:4" ht="13">
      <c r="B4076" s="12">
        <f ca="1">IFERROR(__xludf.DUMMYFUNCTION("""COMPUTED_VALUE"""),125002)</f>
        <v>125002</v>
      </c>
      <c r="C4076" s="14">
        <f ca="1">IFERROR(__xludf.DUMMYFUNCTION("""COMPUTED_VALUE"""),1)</f>
        <v>1</v>
      </c>
      <c r="D4076" s="12" t="str">
        <f ca="1">IFERROR(__xludf.DUMMYFUNCTION("""COMPUTED_VALUE"""),"小川 純")</f>
        <v>小川 純</v>
      </c>
    </row>
    <row r="4077" spans="2:4" ht="13">
      <c r="B4077" s="12">
        <f ca="1">IFERROR(__xludf.DUMMYFUNCTION("""COMPUTED_VALUE"""),125003)</f>
        <v>125003</v>
      </c>
      <c r="C4077" s="14">
        <f ca="1">IFERROR(__xludf.DUMMYFUNCTION("""COMPUTED_VALUE"""),6)</f>
        <v>6</v>
      </c>
      <c r="D4077" s="12" t="str">
        <f ca="1">IFERROR(__xludf.DUMMYFUNCTION("""COMPUTED_VALUE"""),"小川 純")</f>
        <v>小川 純</v>
      </c>
    </row>
    <row r="4078" spans="2:4" ht="13">
      <c r="B4078" s="12">
        <f ca="1">IFERROR(__xludf.DUMMYFUNCTION("""COMPUTED_VALUE"""),125004)</f>
        <v>125004</v>
      </c>
      <c r="C4078" s="14">
        <f ca="1">IFERROR(__xludf.DUMMYFUNCTION("""COMPUTED_VALUE"""),2)</f>
        <v>2</v>
      </c>
      <c r="D4078" s="12" t="str">
        <f ca="1">IFERROR(__xludf.DUMMYFUNCTION("""COMPUTED_VALUE"""),"小川 純")</f>
        <v>小川 純</v>
      </c>
    </row>
    <row r="4079" spans="2:4" ht="13">
      <c r="B4079" s="12">
        <f ca="1">IFERROR(__xludf.DUMMYFUNCTION("""COMPUTED_VALUE"""),125005)</f>
        <v>125005</v>
      </c>
      <c r="C4079" s="14">
        <f ca="1">IFERROR(__xludf.DUMMYFUNCTION("""COMPUTED_VALUE"""),7)</f>
        <v>7</v>
      </c>
      <c r="D4079" s="12" t="str">
        <f ca="1">IFERROR(__xludf.DUMMYFUNCTION("""COMPUTED_VALUE"""),"小川 純")</f>
        <v>小川 純</v>
      </c>
    </row>
    <row r="4080" spans="2:4" ht="13">
      <c r="B4080" s="12">
        <f ca="1">IFERROR(__xludf.DUMMYFUNCTION("""COMPUTED_VALUE"""),125006)</f>
        <v>125006</v>
      </c>
      <c r="C4080" s="14">
        <f ca="1">IFERROR(__xludf.DUMMYFUNCTION("""COMPUTED_VALUE"""),0)</f>
        <v>0</v>
      </c>
      <c r="D4080" s="12" t="str">
        <f ca="1">IFERROR(__xludf.DUMMYFUNCTION("""COMPUTED_VALUE"""),"小川 純")</f>
        <v>小川 純</v>
      </c>
    </row>
    <row r="4081" spans="2:4" ht="13">
      <c r="B4081" s="12">
        <f ca="1">IFERROR(__xludf.DUMMYFUNCTION("""COMPUTED_VALUE"""),125008)</f>
        <v>125008</v>
      </c>
      <c r="C4081" s="14">
        <f ca="1">IFERROR(__xludf.DUMMYFUNCTION("""COMPUTED_VALUE"""),7)</f>
        <v>7</v>
      </c>
      <c r="D4081" s="12" t="str">
        <f ca="1">IFERROR(__xludf.DUMMYFUNCTION("""COMPUTED_VALUE"""),"小川 純")</f>
        <v>小川 純</v>
      </c>
    </row>
    <row r="4082" spans="2:4" ht="13">
      <c r="B4082" s="12">
        <f ca="1">IFERROR(__xludf.DUMMYFUNCTION("""COMPUTED_VALUE"""),125009)</f>
        <v>125009</v>
      </c>
      <c r="C4082" s="14">
        <f ca="1">IFERROR(__xludf.DUMMYFUNCTION("""COMPUTED_VALUE"""),17)</f>
        <v>17</v>
      </c>
      <c r="D4082" s="12" t="str">
        <f ca="1">IFERROR(__xludf.DUMMYFUNCTION("""COMPUTED_VALUE"""),"小川 純")</f>
        <v>小川 純</v>
      </c>
    </row>
    <row r="4083" spans="2:4" ht="13">
      <c r="B4083" s="12">
        <f ca="1">IFERROR(__xludf.DUMMYFUNCTION("""COMPUTED_VALUE"""),125013)</f>
        <v>125013</v>
      </c>
      <c r="C4083" s="14">
        <f ca="1">IFERROR(__xludf.DUMMYFUNCTION("""COMPUTED_VALUE"""),0)</f>
        <v>0</v>
      </c>
      <c r="D4083" s="12" t="str">
        <f ca="1">IFERROR(__xludf.DUMMYFUNCTION("""COMPUTED_VALUE"""),"小関 麻起")</f>
        <v>小関 麻起</v>
      </c>
    </row>
    <row r="4084" spans="2:4" ht="13">
      <c r="B4084" s="12">
        <f ca="1">IFERROR(__xludf.DUMMYFUNCTION("""COMPUTED_VALUE"""),125015)</f>
        <v>125015</v>
      </c>
      <c r="C4084" s="14">
        <f ca="1">IFERROR(__xludf.DUMMYFUNCTION("""COMPUTED_VALUE"""),0)</f>
        <v>0</v>
      </c>
      <c r="D4084" s="12" t="str">
        <f ca="1">IFERROR(__xludf.DUMMYFUNCTION("""COMPUTED_VALUE"""),"成嶋 夏未")</f>
        <v>成嶋 夏未</v>
      </c>
    </row>
    <row r="4085" spans="2:4" ht="13">
      <c r="B4085" s="12">
        <f ca="1">IFERROR(__xludf.DUMMYFUNCTION("""COMPUTED_VALUE"""),125022)</f>
        <v>125022</v>
      </c>
      <c r="C4085" s="14">
        <f ca="1">IFERROR(__xludf.DUMMYFUNCTION("""COMPUTED_VALUE"""),0)</f>
        <v>0</v>
      </c>
      <c r="D4085" s="12" t="str">
        <f ca="1">IFERROR(__xludf.DUMMYFUNCTION("""COMPUTED_VALUE"""),"老田 純輝")</f>
        <v>老田 純輝</v>
      </c>
    </row>
    <row r="4086" spans="2:4" ht="13">
      <c r="B4086" s="12">
        <f ca="1">IFERROR(__xludf.DUMMYFUNCTION("""COMPUTED_VALUE"""),125031)</f>
        <v>125031</v>
      </c>
      <c r="C4086" s="14">
        <f ca="1">IFERROR(__xludf.DUMMYFUNCTION("""COMPUTED_VALUE"""),54)</f>
        <v>54</v>
      </c>
      <c r="D4086" s="12" t="str">
        <f ca="1">IFERROR(__xludf.DUMMYFUNCTION("""COMPUTED_VALUE"""),"芳賀 亮輔")</f>
        <v>芳賀 亮輔</v>
      </c>
    </row>
    <row r="4087" spans="2:4" ht="13">
      <c r="B4087" s="12">
        <f ca="1">IFERROR(__xludf.DUMMYFUNCTION("""COMPUTED_VALUE"""),125032)</f>
        <v>125032</v>
      </c>
      <c r="C4087" s="14">
        <f ca="1">IFERROR(__xludf.DUMMYFUNCTION("""COMPUTED_VALUE"""),2)</f>
        <v>2</v>
      </c>
      <c r="D4087" s="12" t="str">
        <f ca="1">IFERROR(__xludf.DUMMYFUNCTION("""COMPUTED_VALUE"""),"荻曽 克輝")</f>
        <v>荻曽 克輝</v>
      </c>
    </row>
    <row r="4088" spans="2:4" ht="13">
      <c r="B4088" s="12">
        <f ca="1">IFERROR(__xludf.DUMMYFUNCTION("""COMPUTED_VALUE"""),125033)</f>
        <v>125033</v>
      </c>
      <c r="C4088" s="14">
        <f ca="1">IFERROR(__xludf.DUMMYFUNCTION("""COMPUTED_VALUE"""),0)</f>
        <v>0</v>
      </c>
      <c r="D4088" s="12" t="str">
        <f ca="1">IFERROR(__xludf.DUMMYFUNCTION("""COMPUTED_VALUE"""),"小関 麻起")</f>
        <v>小関 麻起</v>
      </c>
    </row>
    <row r="4089" spans="2:4" ht="13">
      <c r="B4089" s="12">
        <f ca="1">IFERROR(__xludf.DUMMYFUNCTION("""COMPUTED_VALUE"""),125038)</f>
        <v>125038</v>
      </c>
      <c r="C4089" s="14">
        <f ca="1">IFERROR(__xludf.DUMMYFUNCTION("""COMPUTED_VALUE"""),0)</f>
        <v>0</v>
      </c>
      <c r="D4089" s="12" t="str">
        <f ca="1">IFERROR(__xludf.DUMMYFUNCTION("""COMPUTED_VALUE"""),"成嶋 夏未")</f>
        <v>成嶋 夏未</v>
      </c>
    </row>
    <row r="4090" spans="2:4" ht="13">
      <c r="B4090" s="12">
        <f ca="1">IFERROR(__xludf.DUMMYFUNCTION("""COMPUTED_VALUE"""),125039)</f>
        <v>125039</v>
      </c>
      <c r="C4090" s="14">
        <f ca="1">IFERROR(__xludf.DUMMYFUNCTION("""COMPUTED_VALUE"""),336)</f>
        <v>336</v>
      </c>
      <c r="D4090" s="12" t="str">
        <f ca="1">IFERROR(__xludf.DUMMYFUNCTION("""COMPUTED_VALUE"""),"内丸 裕子")</f>
        <v>内丸 裕子</v>
      </c>
    </row>
    <row r="4091" spans="2:4" ht="13">
      <c r="B4091" s="12">
        <f ca="1">IFERROR(__xludf.DUMMYFUNCTION("""COMPUTED_VALUE"""),125041)</f>
        <v>125041</v>
      </c>
      <c r="C4091" s="14">
        <f ca="1">IFERROR(__xludf.DUMMYFUNCTION("""COMPUTED_VALUE"""),10)</f>
        <v>10</v>
      </c>
      <c r="D4091" s="12" t="str">
        <f ca="1">IFERROR(__xludf.DUMMYFUNCTION("""COMPUTED_VALUE"""),"小川 純")</f>
        <v>小川 純</v>
      </c>
    </row>
    <row r="4092" spans="2:4" ht="13">
      <c r="B4092" s="12">
        <f ca="1">IFERROR(__xludf.DUMMYFUNCTION("""COMPUTED_VALUE"""),125045)</f>
        <v>125045</v>
      </c>
      <c r="C4092" s="14">
        <f ca="1">IFERROR(__xludf.DUMMYFUNCTION("""COMPUTED_VALUE"""),2)</f>
        <v>2</v>
      </c>
      <c r="D4092" s="12" t="str">
        <f ca="1">IFERROR(__xludf.DUMMYFUNCTION("""COMPUTED_VALUE"""),"長谷川 陸朗")</f>
        <v>長谷川 陸朗</v>
      </c>
    </row>
    <row r="4093" spans="2:4" ht="13">
      <c r="B4093" s="12">
        <f ca="1">IFERROR(__xludf.DUMMYFUNCTION("""COMPUTED_VALUE"""),125047)</f>
        <v>125047</v>
      </c>
      <c r="C4093" s="14">
        <f ca="1">IFERROR(__xludf.DUMMYFUNCTION("""COMPUTED_VALUE"""),19)</f>
        <v>19</v>
      </c>
      <c r="D4093" s="12" t="str">
        <f ca="1">IFERROR(__xludf.DUMMYFUNCTION("""COMPUTED_VALUE"""),"荻曽 克輝")</f>
        <v>荻曽 克輝</v>
      </c>
    </row>
    <row r="4094" spans="2:4" ht="13">
      <c r="B4094" s="12">
        <f ca="1">IFERROR(__xludf.DUMMYFUNCTION("""COMPUTED_VALUE"""),125051)</f>
        <v>125051</v>
      </c>
      <c r="C4094" s="14">
        <f ca="1">IFERROR(__xludf.DUMMYFUNCTION("""COMPUTED_VALUE"""),131)</f>
        <v>131</v>
      </c>
      <c r="D4094" s="12" t="str">
        <f ca="1">IFERROR(__xludf.DUMMYFUNCTION("""COMPUTED_VALUE"""),"内丸 裕子")</f>
        <v>内丸 裕子</v>
      </c>
    </row>
    <row r="4095" spans="2:4" ht="13">
      <c r="B4095" s="12">
        <f ca="1">IFERROR(__xludf.DUMMYFUNCTION("""COMPUTED_VALUE"""),125052)</f>
        <v>125052</v>
      </c>
      <c r="C4095" s="14">
        <f ca="1">IFERROR(__xludf.DUMMYFUNCTION("""COMPUTED_VALUE"""),2)</f>
        <v>2</v>
      </c>
      <c r="D4095" s="12" t="str">
        <f ca="1">IFERROR(__xludf.DUMMYFUNCTION("""COMPUTED_VALUE"""),"栗原 大武")</f>
        <v>栗原 大武</v>
      </c>
    </row>
    <row r="4096" spans="2:4" ht="13">
      <c r="B4096" s="12">
        <f ca="1">IFERROR(__xludf.DUMMYFUNCTION("""COMPUTED_VALUE"""),125055)</f>
        <v>125055</v>
      </c>
      <c r="C4096" s="14">
        <f ca="1">IFERROR(__xludf.DUMMYFUNCTION("""COMPUTED_VALUE"""),0)</f>
        <v>0</v>
      </c>
      <c r="D4096" s="12" t="str">
        <f ca="1">IFERROR(__xludf.DUMMYFUNCTION("""COMPUTED_VALUE"""),"松尾 尚樹")</f>
        <v>松尾 尚樹</v>
      </c>
    </row>
    <row r="4097" spans="2:4" ht="13">
      <c r="B4097" s="12">
        <f ca="1">IFERROR(__xludf.DUMMYFUNCTION("""COMPUTED_VALUE"""),125059)</f>
        <v>125059</v>
      </c>
      <c r="C4097" s="14">
        <f ca="1">IFERROR(__xludf.DUMMYFUNCTION("""COMPUTED_VALUE"""),0)</f>
        <v>0</v>
      </c>
      <c r="D4097" s="12" t="str">
        <f ca="1">IFERROR(__xludf.DUMMYFUNCTION("""COMPUTED_VALUE"""),"村上 浩一朗")</f>
        <v>村上 浩一朗</v>
      </c>
    </row>
    <row r="4098" spans="2:4" ht="13">
      <c r="B4098" s="12">
        <f ca="1">IFERROR(__xludf.DUMMYFUNCTION("""COMPUTED_VALUE"""),125060)</f>
        <v>125060</v>
      </c>
      <c r="C4098" s="14">
        <f ca="1">IFERROR(__xludf.DUMMYFUNCTION("""COMPUTED_VALUE"""),0)</f>
        <v>0</v>
      </c>
      <c r="D4098" s="12" t="str">
        <f ca="1">IFERROR(__xludf.DUMMYFUNCTION("""COMPUTED_VALUE"""),"成嶋 夏未")</f>
        <v>成嶋 夏未</v>
      </c>
    </row>
    <row r="4099" spans="2:4" ht="13">
      <c r="B4099" s="12">
        <f ca="1">IFERROR(__xludf.DUMMYFUNCTION("""COMPUTED_VALUE"""),125116)</f>
        <v>125116</v>
      </c>
      <c r="C4099" s="14">
        <f ca="1">IFERROR(__xludf.DUMMYFUNCTION("""COMPUTED_VALUE"""),0)</f>
        <v>0</v>
      </c>
      <c r="D4099" s="12" t="str">
        <f ca="1">IFERROR(__xludf.DUMMYFUNCTION("""COMPUTED_VALUE"""),"成嶋 夏未")</f>
        <v>成嶋 夏未</v>
      </c>
    </row>
    <row r="4100" spans="2:4" ht="13">
      <c r="B4100" s="12">
        <f ca="1">IFERROR(__xludf.DUMMYFUNCTION("""COMPUTED_VALUE"""),125127)</f>
        <v>125127</v>
      </c>
      <c r="C4100" s="14">
        <f ca="1">IFERROR(__xludf.DUMMYFUNCTION("""COMPUTED_VALUE"""),27)</f>
        <v>27</v>
      </c>
      <c r="D4100" s="12" t="str">
        <f ca="1">IFERROR(__xludf.DUMMYFUNCTION("""COMPUTED_VALUE"""),"芳賀 亮輔")</f>
        <v>芳賀 亮輔</v>
      </c>
    </row>
    <row r="4101" spans="2:4" ht="13">
      <c r="B4101" s="12">
        <f ca="1">IFERROR(__xludf.DUMMYFUNCTION("""COMPUTED_VALUE"""),125128)</f>
        <v>125128</v>
      </c>
      <c r="C4101" s="14">
        <f ca="1">IFERROR(__xludf.DUMMYFUNCTION("""COMPUTED_VALUE"""),0)</f>
        <v>0</v>
      </c>
      <c r="D4101" s="12" t="str">
        <f ca="1">IFERROR(__xludf.DUMMYFUNCTION("""COMPUTED_VALUE"""),"菅野 ぎんが")</f>
        <v>菅野 ぎんが</v>
      </c>
    </row>
    <row r="4102" spans="2:4" ht="13">
      <c r="B4102" s="12">
        <f ca="1">IFERROR(__xludf.DUMMYFUNCTION("""COMPUTED_VALUE"""),125129)</f>
        <v>125129</v>
      </c>
      <c r="C4102" s="14">
        <f ca="1">IFERROR(__xludf.DUMMYFUNCTION("""COMPUTED_VALUE"""),0)</f>
        <v>0</v>
      </c>
      <c r="D4102" s="12" t="str">
        <f ca="1">IFERROR(__xludf.DUMMYFUNCTION("""COMPUTED_VALUE"""),"桐山 勝気")</f>
        <v>桐山 勝気</v>
      </c>
    </row>
    <row r="4103" spans="2:4" ht="13">
      <c r="B4103" s="12">
        <f ca="1">IFERROR(__xludf.DUMMYFUNCTION("""COMPUTED_VALUE"""),125138)</f>
        <v>125138</v>
      </c>
      <c r="C4103" s="14">
        <f ca="1">IFERROR(__xludf.DUMMYFUNCTION("""COMPUTED_VALUE"""),4)</f>
        <v>4</v>
      </c>
      <c r="D4103" s="12" t="str">
        <f ca="1">IFERROR(__xludf.DUMMYFUNCTION("""COMPUTED_VALUE"""),"稲場 勇介")</f>
        <v>稲場 勇介</v>
      </c>
    </row>
    <row r="4104" spans="2:4" ht="13">
      <c r="B4104" s="12">
        <f ca="1">IFERROR(__xludf.DUMMYFUNCTION("""COMPUTED_VALUE"""),125141)</f>
        <v>125141</v>
      </c>
      <c r="C4104" s="14">
        <f ca="1">IFERROR(__xludf.DUMMYFUNCTION("""COMPUTED_VALUE"""),12)</f>
        <v>12</v>
      </c>
      <c r="D4104" s="12" t="str">
        <f ca="1">IFERROR(__xludf.DUMMYFUNCTION("""COMPUTED_VALUE"""),"成嶋 夏未")</f>
        <v>成嶋 夏未</v>
      </c>
    </row>
    <row r="4105" spans="2:4" ht="13">
      <c r="B4105" s="12">
        <f ca="1">IFERROR(__xludf.DUMMYFUNCTION("""COMPUTED_VALUE"""),125142)</f>
        <v>125142</v>
      </c>
      <c r="C4105" s="14">
        <f ca="1">IFERROR(__xludf.DUMMYFUNCTION("""COMPUTED_VALUE"""),0)</f>
        <v>0</v>
      </c>
      <c r="D4105" s="12" t="str">
        <f ca="1">IFERROR(__xludf.DUMMYFUNCTION("""COMPUTED_VALUE"""),"桐山 勝気")</f>
        <v>桐山 勝気</v>
      </c>
    </row>
    <row r="4106" spans="2:4" ht="13">
      <c r="B4106" s="12">
        <f ca="1">IFERROR(__xludf.DUMMYFUNCTION("""COMPUTED_VALUE"""),125148)</f>
        <v>125148</v>
      </c>
      <c r="C4106" s="14">
        <f ca="1">IFERROR(__xludf.DUMMYFUNCTION("""COMPUTED_VALUE"""),0)</f>
        <v>0</v>
      </c>
      <c r="D4106" s="12" t="str">
        <f ca="1">IFERROR(__xludf.DUMMYFUNCTION("""COMPUTED_VALUE"""),"芳賀 亮輔")</f>
        <v>芳賀 亮輔</v>
      </c>
    </row>
    <row r="4107" spans="2:4" ht="13">
      <c r="B4107" s="12">
        <f ca="1">IFERROR(__xludf.DUMMYFUNCTION("""COMPUTED_VALUE"""),125153)</f>
        <v>125153</v>
      </c>
      <c r="C4107" s="14">
        <f ca="1">IFERROR(__xludf.DUMMYFUNCTION("""COMPUTED_VALUE"""),2)</f>
        <v>2</v>
      </c>
      <c r="D4107" s="12" t="str">
        <f ca="1">IFERROR(__xludf.DUMMYFUNCTION("""COMPUTED_VALUE"""),"小関 麻起")</f>
        <v>小関 麻起</v>
      </c>
    </row>
    <row r="4108" spans="2:4" ht="13">
      <c r="B4108" s="12">
        <f ca="1">IFERROR(__xludf.DUMMYFUNCTION("""COMPUTED_VALUE"""),125154)</f>
        <v>125154</v>
      </c>
      <c r="C4108" s="14">
        <f ca="1">IFERROR(__xludf.DUMMYFUNCTION("""COMPUTED_VALUE"""),0)</f>
        <v>0</v>
      </c>
      <c r="D4108" s="12" t="str">
        <f ca="1">IFERROR(__xludf.DUMMYFUNCTION("""COMPUTED_VALUE"""),"栗原 大武")</f>
        <v>栗原 大武</v>
      </c>
    </row>
    <row r="4109" spans="2:4" ht="13">
      <c r="B4109" s="12">
        <f ca="1">IFERROR(__xludf.DUMMYFUNCTION("""COMPUTED_VALUE"""),125156)</f>
        <v>125156</v>
      </c>
      <c r="C4109" s="14">
        <f ca="1">IFERROR(__xludf.DUMMYFUNCTION("""COMPUTED_VALUE"""),1)</f>
        <v>1</v>
      </c>
      <c r="D4109" s="12" t="str">
        <f ca="1">IFERROR(__xludf.DUMMYFUNCTION("""COMPUTED_VALUE"""),"成嶋 夏未")</f>
        <v>成嶋 夏未</v>
      </c>
    </row>
    <row r="4110" spans="2:4" ht="13">
      <c r="B4110" s="12">
        <f ca="1">IFERROR(__xludf.DUMMYFUNCTION("""COMPUTED_VALUE"""),125157)</f>
        <v>125157</v>
      </c>
      <c r="C4110" s="14">
        <f ca="1">IFERROR(__xludf.DUMMYFUNCTION("""COMPUTED_VALUE"""),1)</f>
        <v>1</v>
      </c>
      <c r="D4110" s="12" t="str">
        <f ca="1">IFERROR(__xludf.DUMMYFUNCTION("""COMPUTED_VALUE"""),"成嶋 夏未")</f>
        <v>成嶋 夏未</v>
      </c>
    </row>
    <row r="4111" spans="2:4" ht="13">
      <c r="B4111" s="12">
        <f ca="1">IFERROR(__xludf.DUMMYFUNCTION("""COMPUTED_VALUE"""),125158)</f>
        <v>125158</v>
      </c>
      <c r="C4111" s="14">
        <f ca="1">IFERROR(__xludf.DUMMYFUNCTION("""COMPUTED_VALUE"""),0)</f>
        <v>0</v>
      </c>
      <c r="D4111" s="12" t="str">
        <f ca="1">IFERROR(__xludf.DUMMYFUNCTION("""COMPUTED_VALUE"""),"菅野 ぎんが")</f>
        <v>菅野 ぎんが</v>
      </c>
    </row>
    <row r="4112" spans="2:4" ht="13">
      <c r="B4112" s="12">
        <f ca="1">IFERROR(__xludf.DUMMYFUNCTION("""COMPUTED_VALUE"""),125162)</f>
        <v>125162</v>
      </c>
      <c r="C4112" s="14">
        <f ca="1">IFERROR(__xludf.DUMMYFUNCTION("""COMPUTED_VALUE"""),0)</f>
        <v>0</v>
      </c>
      <c r="D4112" s="12" t="str">
        <f ca="1">IFERROR(__xludf.DUMMYFUNCTION("""COMPUTED_VALUE"""),"稲場 勇介")</f>
        <v>稲場 勇介</v>
      </c>
    </row>
    <row r="4113" spans="2:4" ht="13">
      <c r="B4113" s="12">
        <f ca="1">IFERROR(__xludf.DUMMYFUNCTION("""COMPUTED_VALUE"""),125163)</f>
        <v>125163</v>
      </c>
      <c r="C4113" s="14">
        <f ca="1">IFERROR(__xludf.DUMMYFUNCTION("""COMPUTED_VALUE"""),26)</f>
        <v>26</v>
      </c>
      <c r="D4113" s="12" t="str">
        <f ca="1">IFERROR(__xludf.DUMMYFUNCTION("""COMPUTED_VALUE"""),"松尾 尚樹")</f>
        <v>松尾 尚樹</v>
      </c>
    </row>
    <row r="4114" spans="2:4" ht="13">
      <c r="B4114" s="12">
        <f ca="1">IFERROR(__xludf.DUMMYFUNCTION("""COMPUTED_VALUE"""),125164)</f>
        <v>125164</v>
      </c>
      <c r="C4114" s="14">
        <f ca="1">IFERROR(__xludf.DUMMYFUNCTION("""COMPUTED_VALUE"""),0)</f>
        <v>0</v>
      </c>
      <c r="D4114" s="12" t="str">
        <f ca="1">IFERROR(__xludf.DUMMYFUNCTION("""COMPUTED_VALUE"""),"松尾 尚樹")</f>
        <v>松尾 尚樹</v>
      </c>
    </row>
    <row r="4115" spans="2:4" ht="13">
      <c r="B4115" s="12">
        <f ca="1">IFERROR(__xludf.DUMMYFUNCTION("""COMPUTED_VALUE"""),125169)</f>
        <v>125169</v>
      </c>
      <c r="C4115" s="14">
        <f ca="1">IFERROR(__xludf.DUMMYFUNCTION("""COMPUTED_VALUE"""),0)</f>
        <v>0</v>
      </c>
      <c r="D4115" s="12" t="str">
        <f ca="1">IFERROR(__xludf.DUMMYFUNCTION("""COMPUTED_VALUE"""),"松尾 尚樹")</f>
        <v>松尾 尚樹</v>
      </c>
    </row>
    <row r="4116" spans="2:4" ht="13">
      <c r="B4116" s="12">
        <f ca="1">IFERROR(__xludf.DUMMYFUNCTION("""COMPUTED_VALUE"""),125173)</f>
        <v>125173</v>
      </c>
      <c r="C4116" s="14">
        <f ca="1">IFERROR(__xludf.DUMMYFUNCTION("""COMPUTED_VALUE"""),23)</f>
        <v>23</v>
      </c>
      <c r="D4116" s="12" t="str">
        <f ca="1">IFERROR(__xludf.DUMMYFUNCTION("""COMPUTED_VALUE"""),"稲場 勇介")</f>
        <v>稲場 勇介</v>
      </c>
    </row>
    <row r="4117" spans="2:4" ht="13">
      <c r="B4117" s="12">
        <f ca="1">IFERROR(__xludf.DUMMYFUNCTION("""COMPUTED_VALUE"""),125175)</f>
        <v>125175</v>
      </c>
      <c r="C4117" s="14">
        <f ca="1">IFERROR(__xludf.DUMMYFUNCTION("""COMPUTED_VALUE"""),5)</f>
        <v>5</v>
      </c>
      <c r="D4117" s="12" t="str">
        <f ca="1">IFERROR(__xludf.DUMMYFUNCTION("""COMPUTED_VALUE"""),"老田 純輝")</f>
        <v>老田 純輝</v>
      </c>
    </row>
    <row r="4118" spans="2:4" ht="13">
      <c r="B4118" s="12">
        <f ca="1">IFERROR(__xludf.DUMMYFUNCTION("""COMPUTED_VALUE"""),125179)</f>
        <v>125179</v>
      </c>
      <c r="C4118" s="14">
        <f ca="1">IFERROR(__xludf.DUMMYFUNCTION("""COMPUTED_VALUE"""),77)</f>
        <v>77</v>
      </c>
      <c r="D4118" s="12" t="str">
        <f ca="1">IFERROR(__xludf.DUMMYFUNCTION("""COMPUTED_VALUE"""),"荻曽 克輝")</f>
        <v>荻曽 克輝</v>
      </c>
    </row>
    <row r="4119" spans="2:4" ht="13">
      <c r="B4119" s="12">
        <f ca="1">IFERROR(__xludf.DUMMYFUNCTION("""COMPUTED_VALUE"""),125180)</f>
        <v>125180</v>
      </c>
      <c r="C4119" s="14">
        <f ca="1">IFERROR(__xludf.DUMMYFUNCTION("""COMPUTED_VALUE"""),3)</f>
        <v>3</v>
      </c>
      <c r="D4119" s="12" t="str">
        <f ca="1">IFERROR(__xludf.DUMMYFUNCTION("""COMPUTED_VALUE"""),"荻曽 克輝")</f>
        <v>荻曽 克輝</v>
      </c>
    </row>
    <row r="4120" spans="2:4" ht="13">
      <c r="B4120" s="12">
        <f ca="1">IFERROR(__xludf.DUMMYFUNCTION("""COMPUTED_VALUE"""),125182)</f>
        <v>125182</v>
      </c>
      <c r="C4120" s="14">
        <f ca="1">IFERROR(__xludf.DUMMYFUNCTION("""COMPUTED_VALUE"""),31)</f>
        <v>31</v>
      </c>
      <c r="D4120" s="12" t="str">
        <f ca="1">IFERROR(__xludf.DUMMYFUNCTION("""COMPUTED_VALUE"""),"荻曽 克輝")</f>
        <v>荻曽 克輝</v>
      </c>
    </row>
    <row r="4121" spans="2:4" ht="13">
      <c r="B4121" s="12">
        <f ca="1">IFERROR(__xludf.DUMMYFUNCTION("""COMPUTED_VALUE"""),125183)</f>
        <v>125183</v>
      </c>
      <c r="C4121" s="14">
        <f ca="1">IFERROR(__xludf.DUMMYFUNCTION("""COMPUTED_VALUE"""),0)</f>
        <v>0</v>
      </c>
      <c r="D4121" s="12" t="str">
        <f ca="1">IFERROR(__xludf.DUMMYFUNCTION("""COMPUTED_VALUE"""),"辻村 将大")</f>
        <v>辻村 将大</v>
      </c>
    </row>
    <row r="4122" spans="2:4" ht="13">
      <c r="B4122" s="12">
        <f ca="1">IFERROR(__xludf.DUMMYFUNCTION("""COMPUTED_VALUE"""),125186)</f>
        <v>125186</v>
      </c>
      <c r="C4122" s="14">
        <f ca="1">IFERROR(__xludf.DUMMYFUNCTION("""COMPUTED_VALUE"""),5)</f>
        <v>5</v>
      </c>
      <c r="D4122" s="12" t="str">
        <f ca="1">IFERROR(__xludf.DUMMYFUNCTION("""COMPUTED_VALUE"""),"小関 麻起")</f>
        <v>小関 麻起</v>
      </c>
    </row>
    <row r="4123" spans="2:4" ht="13">
      <c r="B4123" s="12">
        <f ca="1">IFERROR(__xludf.DUMMYFUNCTION("""COMPUTED_VALUE"""),125215)</f>
        <v>125215</v>
      </c>
      <c r="C4123" s="14">
        <f ca="1">IFERROR(__xludf.DUMMYFUNCTION("""COMPUTED_VALUE"""),11)</f>
        <v>11</v>
      </c>
      <c r="D4123" s="12" t="str">
        <f ca="1">IFERROR(__xludf.DUMMYFUNCTION("""COMPUTED_VALUE"""),"桐山 勝気")</f>
        <v>桐山 勝気</v>
      </c>
    </row>
    <row r="4124" spans="2:4" ht="13">
      <c r="B4124" s="12">
        <f ca="1">IFERROR(__xludf.DUMMYFUNCTION("""COMPUTED_VALUE"""),125216)</f>
        <v>125216</v>
      </c>
      <c r="C4124" s="14">
        <f ca="1">IFERROR(__xludf.DUMMYFUNCTION("""COMPUTED_VALUE"""),19)</f>
        <v>19</v>
      </c>
      <c r="D4124" s="12" t="str">
        <f ca="1">IFERROR(__xludf.DUMMYFUNCTION("""COMPUTED_VALUE"""),"桐山 勝気")</f>
        <v>桐山 勝気</v>
      </c>
    </row>
    <row r="4125" spans="2:4" ht="13">
      <c r="B4125" s="12">
        <f ca="1">IFERROR(__xludf.DUMMYFUNCTION("""COMPUTED_VALUE"""),125217)</f>
        <v>125217</v>
      </c>
      <c r="C4125" s="14">
        <f ca="1">IFERROR(__xludf.DUMMYFUNCTION("""COMPUTED_VALUE"""),0)</f>
        <v>0</v>
      </c>
      <c r="D4125" s="12" t="str">
        <f ca="1">IFERROR(__xludf.DUMMYFUNCTION("""COMPUTED_VALUE"""),"村上 浩一朗")</f>
        <v>村上 浩一朗</v>
      </c>
    </row>
    <row r="4126" spans="2:4" ht="13">
      <c r="B4126" s="12">
        <f ca="1">IFERROR(__xludf.DUMMYFUNCTION("""COMPUTED_VALUE"""),125221)</f>
        <v>125221</v>
      </c>
      <c r="C4126" s="14">
        <f ca="1">IFERROR(__xludf.DUMMYFUNCTION("""COMPUTED_VALUE"""),0)</f>
        <v>0</v>
      </c>
      <c r="D4126" s="12" t="str">
        <f ca="1">IFERROR(__xludf.DUMMYFUNCTION("""COMPUTED_VALUE"""),"芳賀 亮輔")</f>
        <v>芳賀 亮輔</v>
      </c>
    </row>
    <row r="4127" spans="2:4" ht="13">
      <c r="B4127" s="12">
        <f ca="1">IFERROR(__xludf.DUMMYFUNCTION("""COMPUTED_VALUE"""),125226)</f>
        <v>125226</v>
      </c>
      <c r="C4127" s="14">
        <f ca="1">IFERROR(__xludf.DUMMYFUNCTION("""COMPUTED_VALUE"""),0)</f>
        <v>0</v>
      </c>
      <c r="D4127" s="12" t="str">
        <f ca="1">IFERROR(__xludf.DUMMYFUNCTION("""COMPUTED_VALUE"""),"稲場 勇介")</f>
        <v>稲場 勇介</v>
      </c>
    </row>
    <row r="4128" spans="2:4" ht="13">
      <c r="B4128" s="12">
        <f ca="1">IFERROR(__xludf.DUMMYFUNCTION("""COMPUTED_VALUE"""),125227)</f>
        <v>125227</v>
      </c>
      <c r="C4128" s="14">
        <f ca="1">IFERROR(__xludf.DUMMYFUNCTION("""COMPUTED_VALUE"""),51)</f>
        <v>51</v>
      </c>
      <c r="D4128" s="12" t="str">
        <f ca="1">IFERROR(__xludf.DUMMYFUNCTION("""COMPUTED_VALUE"""),"稲場 勇介")</f>
        <v>稲場 勇介</v>
      </c>
    </row>
    <row r="4129" spans="2:4" ht="13">
      <c r="B4129" s="12">
        <f ca="1">IFERROR(__xludf.DUMMYFUNCTION("""COMPUTED_VALUE"""),125232)</f>
        <v>125232</v>
      </c>
      <c r="C4129" s="14">
        <f ca="1">IFERROR(__xludf.DUMMYFUNCTION("""COMPUTED_VALUE"""),0)</f>
        <v>0</v>
      </c>
      <c r="D4129" s="12" t="str">
        <f ca="1">IFERROR(__xludf.DUMMYFUNCTION("""COMPUTED_VALUE"""),"荻曽 克輝")</f>
        <v>荻曽 克輝</v>
      </c>
    </row>
    <row r="4130" spans="2:4" ht="13">
      <c r="B4130" s="12">
        <f ca="1">IFERROR(__xludf.DUMMYFUNCTION("""COMPUTED_VALUE"""),125235)</f>
        <v>125235</v>
      </c>
      <c r="C4130" s="14">
        <f ca="1">IFERROR(__xludf.DUMMYFUNCTION("""COMPUTED_VALUE"""),3)</f>
        <v>3</v>
      </c>
      <c r="D4130" s="12" t="str">
        <f ca="1">IFERROR(__xludf.DUMMYFUNCTION("""COMPUTED_VALUE"""),"稲場 勇介")</f>
        <v>稲場 勇介</v>
      </c>
    </row>
    <row r="4131" spans="2:4" ht="13">
      <c r="B4131" s="12">
        <f ca="1">IFERROR(__xludf.DUMMYFUNCTION("""COMPUTED_VALUE"""),125237)</f>
        <v>125237</v>
      </c>
      <c r="C4131" s="14">
        <f ca="1">IFERROR(__xludf.DUMMYFUNCTION("""COMPUTED_VALUE"""),0)</f>
        <v>0</v>
      </c>
      <c r="D4131" s="12" t="str">
        <f ca="1">IFERROR(__xludf.DUMMYFUNCTION("""COMPUTED_VALUE"""),"菅野 ぎんが")</f>
        <v>菅野 ぎんが</v>
      </c>
    </row>
    <row r="4132" spans="2:4" ht="13">
      <c r="B4132" s="12">
        <f ca="1">IFERROR(__xludf.DUMMYFUNCTION("""COMPUTED_VALUE"""),125239)</f>
        <v>125239</v>
      </c>
      <c r="C4132" s="14">
        <f ca="1">IFERROR(__xludf.DUMMYFUNCTION("""COMPUTED_VALUE"""),28)</f>
        <v>28</v>
      </c>
      <c r="D4132" s="12" t="str">
        <f ca="1">IFERROR(__xludf.DUMMYFUNCTION("""COMPUTED_VALUE"""),"堀越 駿")</f>
        <v>堀越 駿</v>
      </c>
    </row>
    <row r="4133" spans="2:4" ht="13">
      <c r="B4133" s="12">
        <f ca="1">IFERROR(__xludf.DUMMYFUNCTION("""COMPUTED_VALUE"""),125248)</f>
        <v>125248</v>
      </c>
      <c r="C4133" s="14">
        <f ca="1">IFERROR(__xludf.DUMMYFUNCTION("""COMPUTED_VALUE"""),6)</f>
        <v>6</v>
      </c>
      <c r="D4133" s="12" t="str">
        <f ca="1">IFERROR(__xludf.DUMMYFUNCTION("""COMPUTED_VALUE"""),"老田 純輝")</f>
        <v>老田 純輝</v>
      </c>
    </row>
    <row r="4134" spans="2:4" ht="13">
      <c r="B4134" s="12">
        <f ca="1">IFERROR(__xludf.DUMMYFUNCTION("""COMPUTED_VALUE"""),125249)</f>
        <v>125249</v>
      </c>
      <c r="C4134" s="14">
        <f ca="1">IFERROR(__xludf.DUMMYFUNCTION("""COMPUTED_VALUE"""),8)</f>
        <v>8</v>
      </c>
      <c r="D4134" s="12" t="str">
        <f ca="1">IFERROR(__xludf.DUMMYFUNCTION("""COMPUTED_VALUE"""),"老田 純輝")</f>
        <v>老田 純輝</v>
      </c>
    </row>
    <row r="4135" spans="2:4" ht="13">
      <c r="B4135" s="12">
        <f ca="1">IFERROR(__xludf.DUMMYFUNCTION("""COMPUTED_VALUE"""),125254)</f>
        <v>125254</v>
      </c>
      <c r="C4135" s="14">
        <f ca="1">IFERROR(__xludf.DUMMYFUNCTION("""COMPUTED_VALUE"""),3)</f>
        <v>3</v>
      </c>
      <c r="D4135" s="12" t="str">
        <f ca="1">IFERROR(__xludf.DUMMYFUNCTION("""COMPUTED_VALUE"""),"栗原 大武")</f>
        <v>栗原 大武</v>
      </c>
    </row>
    <row r="4136" spans="2:4" ht="13">
      <c r="B4136" s="12">
        <f ca="1">IFERROR(__xludf.DUMMYFUNCTION("""COMPUTED_VALUE"""),125265)</f>
        <v>125265</v>
      </c>
      <c r="C4136" s="14">
        <f ca="1">IFERROR(__xludf.DUMMYFUNCTION("""COMPUTED_VALUE"""),0)</f>
        <v>0</v>
      </c>
      <c r="D4136" s="12" t="str">
        <f ca="1">IFERROR(__xludf.DUMMYFUNCTION("""COMPUTED_VALUE"""),"成嶋 夏未")</f>
        <v>成嶋 夏未</v>
      </c>
    </row>
    <row r="4137" spans="2:4" ht="13">
      <c r="B4137" s="12">
        <f ca="1">IFERROR(__xludf.DUMMYFUNCTION("""COMPUTED_VALUE"""),125266)</f>
        <v>125266</v>
      </c>
      <c r="C4137" s="14">
        <f ca="1">IFERROR(__xludf.DUMMYFUNCTION("""COMPUTED_VALUE"""),1)</f>
        <v>1</v>
      </c>
      <c r="D4137" s="12" t="str">
        <f ca="1">IFERROR(__xludf.DUMMYFUNCTION("""COMPUTED_VALUE"""),"長谷川 陸朗")</f>
        <v>長谷川 陸朗</v>
      </c>
    </row>
    <row r="4138" spans="2:4" ht="13">
      <c r="B4138" s="12">
        <f ca="1">IFERROR(__xludf.DUMMYFUNCTION("""COMPUTED_VALUE"""),125269)</f>
        <v>125269</v>
      </c>
      <c r="C4138" s="14">
        <f ca="1">IFERROR(__xludf.DUMMYFUNCTION("""COMPUTED_VALUE"""),12)</f>
        <v>12</v>
      </c>
      <c r="D4138" s="12" t="str">
        <f ca="1">IFERROR(__xludf.DUMMYFUNCTION("""COMPUTED_VALUE"""),"内丸 裕子")</f>
        <v>内丸 裕子</v>
      </c>
    </row>
    <row r="4139" spans="2:4" ht="13">
      <c r="B4139" s="12">
        <f ca="1">IFERROR(__xludf.DUMMYFUNCTION("""COMPUTED_VALUE"""),125272)</f>
        <v>125272</v>
      </c>
      <c r="C4139" s="14">
        <f ca="1">IFERROR(__xludf.DUMMYFUNCTION("""COMPUTED_VALUE"""),24)</f>
        <v>24</v>
      </c>
      <c r="D4139" s="12" t="str">
        <f ca="1">IFERROR(__xludf.DUMMYFUNCTION("""COMPUTED_VALUE"""),"松尾 尚樹")</f>
        <v>松尾 尚樹</v>
      </c>
    </row>
    <row r="4140" spans="2:4" ht="13">
      <c r="B4140" s="12">
        <f ca="1">IFERROR(__xludf.DUMMYFUNCTION("""COMPUTED_VALUE"""),125275)</f>
        <v>125275</v>
      </c>
      <c r="C4140" s="14">
        <f ca="1">IFERROR(__xludf.DUMMYFUNCTION("""COMPUTED_VALUE"""),0)</f>
        <v>0</v>
      </c>
      <c r="D4140" s="12" t="str">
        <f ca="1">IFERROR(__xludf.DUMMYFUNCTION("""COMPUTED_VALUE"""),"内丸 裕子")</f>
        <v>内丸 裕子</v>
      </c>
    </row>
    <row r="4141" spans="2:4" ht="13">
      <c r="B4141" s="12">
        <f ca="1">IFERROR(__xludf.DUMMYFUNCTION("""COMPUTED_VALUE"""),125277)</f>
        <v>125277</v>
      </c>
      <c r="C4141" s="14">
        <f ca="1">IFERROR(__xludf.DUMMYFUNCTION("""COMPUTED_VALUE"""),27)</f>
        <v>27</v>
      </c>
      <c r="D4141" s="12" t="str">
        <f ca="1">IFERROR(__xludf.DUMMYFUNCTION("""COMPUTED_VALUE"""),"栗原 大武")</f>
        <v>栗原 大武</v>
      </c>
    </row>
    <row r="4142" spans="2:4" ht="13">
      <c r="B4142" s="12">
        <f ca="1">IFERROR(__xludf.DUMMYFUNCTION("""COMPUTED_VALUE"""),125291)</f>
        <v>125291</v>
      </c>
      <c r="C4142" s="14">
        <f ca="1">IFERROR(__xludf.DUMMYFUNCTION("""COMPUTED_VALUE"""),0)</f>
        <v>0</v>
      </c>
      <c r="D4142" s="12" t="str">
        <f ca="1">IFERROR(__xludf.DUMMYFUNCTION("""COMPUTED_VALUE"""),"小関 麻起")</f>
        <v>小関 麻起</v>
      </c>
    </row>
    <row r="4143" spans="2:4" ht="13">
      <c r="B4143" s="12">
        <f ca="1">IFERROR(__xludf.DUMMYFUNCTION("""COMPUTED_VALUE"""),125292)</f>
        <v>125292</v>
      </c>
      <c r="C4143" s="14">
        <f ca="1">IFERROR(__xludf.DUMMYFUNCTION("""COMPUTED_VALUE"""),11)</f>
        <v>11</v>
      </c>
      <c r="D4143" s="12" t="str">
        <f ca="1">IFERROR(__xludf.DUMMYFUNCTION("""COMPUTED_VALUE"""),"小川 純")</f>
        <v>小川 純</v>
      </c>
    </row>
    <row r="4144" spans="2:4" ht="13">
      <c r="B4144" s="12">
        <f ca="1">IFERROR(__xludf.DUMMYFUNCTION("""COMPUTED_VALUE"""),125294)</f>
        <v>125294</v>
      </c>
      <c r="C4144" s="14">
        <f ca="1">IFERROR(__xludf.DUMMYFUNCTION("""COMPUTED_VALUE"""),0)</f>
        <v>0</v>
      </c>
      <c r="D4144" s="12" t="str">
        <f ca="1">IFERROR(__xludf.DUMMYFUNCTION("""COMPUTED_VALUE"""),"芳賀 亮輔")</f>
        <v>芳賀 亮輔</v>
      </c>
    </row>
    <row r="4145" spans="2:4" ht="13">
      <c r="B4145" s="12">
        <f ca="1">IFERROR(__xludf.DUMMYFUNCTION("""COMPUTED_VALUE"""),125298)</f>
        <v>125298</v>
      </c>
      <c r="C4145" s="14">
        <f ca="1">IFERROR(__xludf.DUMMYFUNCTION("""COMPUTED_VALUE"""),0)</f>
        <v>0</v>
      </c>
      <c r="D4145" s="12" t="str">
        <f ca="1">IFERROR(__xludf.DUMMYFUNCTION("""COMPUTED_VALUE"""),"荻曽 克輝")</f>
        <v>荻曽 克輝</v>
      </c>
    </row>
    <row r="4146" spans="2:4" ht="13">
      <c r="B4146" s="12">
        <f ca="1">IFERROR(__xludf.DUMMYFUNCTION("""COMPUTED_VALUE"""),125300)</f>
        <v>125300</v>
      </c>
      <c r="C4146" s="14">
        <f ca="1">IFERROR(__xludf.DUMMYFUNCTION("""COMPUTED_VALUE"""),0)</f>
        <v>0</v>
      </c>
      <c r="D4146" s="12" t="str">
        <f ca="1">IFERROR(__xludf.DUMMYFUNCTION("""COMPUTED_VALUE"""),"小関 麻起")</f>
        <v>小関 麻起</v>
      </c>
    </row>
    <row r="4147" spans="2:4" ht="13">
      <c r="B4147" s="12">
        <f ca="1">IFERROR(__xludf.DUMMYFUNCTION("""COMPUTED_VALUE"""),125308)</f>
        <v>125308</v>
      </c>
      <c r="C4147" s="14">
        <f ca="1">IFERROR(__xludf.DUMMYFUNCTION("""COMPUTED_VALUE"""),13)</f>
        <v>13</v>
      </c>
      <c r="D4147" s="12" t="str">
        <f ca="1">IFERROR(__xludf.DUMMYFUNCTION("""COMPUTED_VALUE"""),"稲場 勇介")</f>
        <v>稲場 勇介</v>
      </c>
    </row>
    <row r="4148" spans="2:4" ht="13">
      <c r="B4148" s="12">
        <f ca="1">IFERROR(__xludf.DUMMYFUNCTION("""COMPUTED_VALUE"""),125310)</f>
        <v>125310</v>
      </c>
      <c r="C4148" s="14">
        <f ca="1">IFERROR(__xludf.DUMMYFUNCTION("""COMPUTED_VALUE"""),70)</f>
        <v>70</v>
      </c>
      <c r="D4148" s="12" t="str">
        <f ca="1">IFERROR(__xludf.DUMMYFUNCTION("""COMPUTED_VALUE"""),"菅野 ぎんが")</f>
        <v>菅野 ぎんが</v>
      </c>
    </row>
    <row r="4149" spans="2:4" ht="13">
      <c r="B4149" s="12">
        <f ca="1">IFERROR(__xludf.DUMMYFUNCTION("""COMPUTED_VALUE"""),125311)</f>
        <v>125311</v>
      </c>
      <c r="C4149" s="14">
        <f ca="1">IFERROR(__xludf.DUMMYFUNCTION("""COMPUTED_VALUE"""),1)</f>
        <v>1</v>
      </c>
      <c r="D4149" s="12" t="str">
        <f ca="1">IFERROR(__xludf.DUMMYFUNCTION("""COMPUTED_VALUE"""),"稲場 勇介")</f>
        <v>稲場 勇介</v>
      </c>
    </row>
    <row r="4150" spans="2:4" ht="13">
      <c r="B4150" s="12">
        <f ca="1">IFERROR(__xludf.DUMMYFUNCTION("""COMPUTED_VALUE"""),125312)</f>
        <v>125312</v>
      </c>
      <c r="C4150" s="14">
        <f ca="1">IFERROR(__xludf.DUMMYFUNCTION("""COMPUTED_VALUE"""),2)</f>
        <v>2</v>
      </c>
      <c r="D4150" s="12" t="str">
        <f ca="1">IFERROR(__xludf.DUMMYFUNCTION("""COMPUTED_VALUE"""),"小関 麻起")</f>
        <v>小関 麻起</v>
      </c>
    </row>
    <row r="4151" spans="2:4" ht="13">
      <c r="B4151" s="12">
        <f ca="1">IFERROR(__xludf.DUMMYFUNCTION("""COMPUTED_VALUE"""),125316)</f>
        <v>125316</v>
      </c>
      <c r="C4151" s="14">
        <f ca="1">IFERROR(__xludf.DUMMYFUNCTION("""COMPUTED_VALUE"""),0)</f>
        <v>0</v>
      </c>
      <c r="D4151" s="12" t="str">
        <f ca="1">IFERROR(__xludf.DUMMYFUNCTION("""COMPUTED_VALUE"""),"稲場 勇介")</f>
        <v>稲場 勇介</v>
      </c>
    </row>
    <row r="4152" spans="2:4" ht="13">
      <c r="B4152" s="12">
        <f ca="1">IFERROR(__xludf.DUMMYFUNCTION("""COMPUTED_VALUE"""),125317)</f>
        <v>125317</v>
      </c>
      <c r="C4152" s="14">
        <f ca="1">IFERROR(__xludf.DUMMYFUNCTION("""COMPUTED_VALUE"""),20)</f>
        <v>20</v>
      </c>
      <c r="D4152" s="12" t="str">
        <f ca="1">IFERROR(__xludf.DUMMYFUNCTION("""COMPUTED_VALUE"""),"松尾 尚樹")</f>
        <v>松尾 尚樹</v>
      </c>
    </row>
    <row r="4153" spans="2:4" ht="13">
      <c r="B4153" s="12">
        <f ca="1">IFERROR(__xludf.DUMMYFUNCTION("""COMPUTED_VALUE"""),125319)</f>
        <v>125319</v>
      </c>
      <c r="C4153" s="14">
        <f ca="1">IFERROR(__xludf.DUMMYFUNCTION("""COMPUTED_VALUE"""),103)</f>
        <v>103</v>
      </c>
      <c r="D4153" s="12" t="str">
        <f ca="1">IFERROR(__xludf.DUMMYFUNCTION("""COMPUTED_VALUE"""),"内丸 裕子")</f>
        <v>内丸 裕子</v>
      </c>
    </row>
    <row r="4154" spans="2:4" ht="13">
      <c r="B4154" s="12">
        <f ca="1">IFERROR(__xludf.DUMMYFUNCTION("""COMPUTED_VALUE"""),125330)</f>
        <v>125330</v>
      </c>
      <c r="C4154" s="14">
        <f ca="1">IFERROR(__xludf.DUMMYFUNCTION("""COMPUTED_VALUE"""),0)</f>
        <v>0</v>
      </c>
      <c r="D4154" s="12" t="str">
        <f ca="1">IFERROR(__xludf.DUMMYFUNCTION("""COMPUTED_VALUE"""),"小川 純")</f>
        <v>小川 純</v>
      </c>
    </row>
    <row r="4155" spans="2:4" ht="13">
      <c r="B4155" s="12">
        <f ca="1">IFERROR(__xludf.DUMMYFUNCTION("""COMPUTED_VALUE"""),125334)</f>
        <v>125334</v>
      </c>
      <c r="C4155" s="14">
        <f ca="1">IFERROR(__xludf.DUMMYFUNCTION("""COMPUTED_VALUE"""),0)</f>
        <v>0</v>
      </c>
      <c r="D4155" s="12" t="str">
        <f ca="1">IFERROR(__xludf.DUMMYFUNCTION("""COMPUTED_VALUE"""),"芳賀 亮輔")</f>
        <v>芳賀 亮輔</v>
      </c>
    </row>
    <row r="4156" spans="2:4" ht="13">
      <c r="B4156" s="12">
        <f ca="1">IFERROR(__xludf.DUMMYFUNCTION("""COMPUTED_VALUE"""),125335)</f>
        <v>125335</v>
      </c>
      <c r="C4156" s="14">
        <f ca="1">IFERROR(__xludf.DUMMYFUNCTION("""COMPUTED_VALUE"""),0)</f>
        <v>0</v>
      </c>
      <c r="D4156" s="12" t="str">
        <f ca="1">IFERROR(__xludf.DUMMYFUNCTION("""COMPUTED_VALUE"""),"芳賀 亮輔")</f>
        <v>芳賀 亮輔</v>
      </c>
    </row>
    <row r="4157" spans="2:4" ht="13">
      <c r="B4157" s="12">
        <f ca="1">IFERROR(__xludf.DUMMYFUNCTION("""COMPUTED_VALUE"""),125336)</f>
        <v>125336</v>
      </c>
      <c r="C4157" s="14">
        <f ca="1">IFERROR(__xludf.DUMMYFUNCTION("""COMPUTED_VALUE"""),32)</f>
        <v>32</v>
      </c>
      <c r="D4157" s="12" t="str">
        <f ca="1">IFERROR(__xludf.DUMMYFUNCTION("""COMPUTED_VALUE"""),"内丸 裕子")</f>
        <v>内丸 裕子</v>
      </c>
    </row>
    <row r="4158" spans="2:4" ht="13">
      <c r="B4158" s="12">
        <f ca="1">IFERROR(__xludf.DUMMYFUNCTION("""COMPUTED_VALUE"""),125340)</f>
        <v>125340</v>
      </c>
      <c r="C4158" s="14">
        <f ca="1">IFERROR(__xludf.DUMMYFUNCTION("""COMPUTED_VALUE"""),0)</f>
        <v>0</v>
      </c>
      <c r="D4158" s="12" t="str">
        <f ca="1">IFERROR(__xludf.DUMMYFUNCTION("""COMPUTED_VALUE"""),"田嶋 将太")</f>
        <v>田嶋 将太</v>
      </c>
    </row>
    <row r="4159" spans="2:4" ht="13">
      <c r="B4159" s="12">
        <f ca="1">IFERROR(__xludf.DUMMYFUNCTION("""COMPUTED_VALUE"""),125344)</f>
        <v>125344</v>
      </c>
      <c r="C4159" s="14">
        <f ca="1">IFERROR(__xludf.DUMMYFUNCTION("""COMPUTED_VALUE"""),6)</f>
        <v>6</v>
      </c>
      <c r="D4159" s="12" t="str">
        <f ca="1">IFERROR(__xludf.DUMMYFUNCTION("""COMPUTED_VALUE"""),"菅野 ぎんが")</f>
        <v>菅野 ぎんが</v>
      </c>
    </row>
    <row r="4160" spans="2:4" ht="13">
      <c r="B4160" s="12">
        <f ca="1">IFERROR(__xludf.DUMMYFUNCTION("""COMPUTED_VALUE"""),125345)</f>
        <v>125345</v>
      </c>
      <c r="C4160" s="14">
        <f ca="1">IFERROR(__xludf.DUMMYFUNCTION("""COMPUTED_VALUE"""),4)</f>
        <v>4</v>
      </c>
      <c r="D4160" s="12" t="str">
        <f ca="1">IFERROR(__xludf.DUMMYFUNCTION("""COMPUTED_VALUE"""),"菅野 ぎんが")</f>
        <v>菅野 ぎんが</v>
      </c>
    </row>
    <row r="4161" spans="2:4" ht="13">
      <c r="B4161" s="12">
        <f ca="1">IFERROR(__xludf.DUMMYFUNCTION("""COMPUTED_VALUE"""),125346)</f>
        <v>125346</v>
      </c>
      <c r="C4161" s="14">
        <f ca="1">IFERROR(__xludf.DUMMYFUNCTION("""COMPUTED_VALUE"""),2)</f>
        <v>2</v>
      </c>
      <c r="D4161" s="12" t="str">
        <f ca="1">IFERROR(__xludf.DUMMYFUNCTION("""COMPUTED_VALUE"""),"菅野 ぎんが")</f>
        <v>菅野 ぎんが</v>
      </c>
    </row>
    <row r="4162" spans="2:4" ht="13">
      <c r="B4162" s="12">
        <f ca="1">IFERROR(__xludf.DUMMYFUNCTION("""COMPUTED_VALUE"""),125347)</f>
        <v>125347</v>
      </c>
      <c r="C4162" s="14">
        <f ca="1">IFERROR(__xludf.DUMMYFUNCTION("""COMPUTED_VALUE"""),2)</f>
        <v>2</v>
      </c>
      <c r="D4162" s="12" t="str">
        <f ca="1">IFERROR(__xludf.DUMMYFUNCTION("""COMPUTED_VALUE"""),"田嶋 将太")</f>
        <v>田嶋 将太</v>
      </c>
    </row>
    <row r="4163" spans="2:4" ht="13">
      <c r="B4163" s="12">
        <f ca="1">IFERROR(__xludf.DUMMYFUNCTION("""COMPUTED_VALUE"""),125350)</f>
        <v>125350</v>
      </c>
      <c r="C4163" s="14">
        <f ca="1">IFERROR(__xludf.DUMMYFUNCTION("""COMPUTED_VALUE"""),1)</f>
        <v>1</v>
      </c>
      <c r="D4163" s="12" t="str">
        <f ca="1">IFERROR(__xludf.DUMMYFUNCTION("""COMPUTED_VALUE"""),"小関 麻起")</f>
        <v>小関 麻起</v>
      </c>
    </row>
    <row r="4164" spans="2:4" ht="13">
      <c r="B4164" s="12">
        <f ca="1">IFERROR(__xludf.DUMMYFUNCTION("""COMPUTED_VALUE"""),125353)</f>
        <v>125353</v>
      </c>
      <c r="C4164" s="14">
        <f ca="1">IFERROR(__xludf.DUMMYFUNCTION("""COMPUTED_VALUE"""),0)</f>
        <v>0</v>
      </c>
      <c r="D4164" s="12" t="str">
        <f ca="1">IFERROR(__xludf.DUMMYFUNCTION("""COMPUTED_VALUE"""),"田嶋 将太")</f>
        <v>田嶋 将太</v>
      </c>
    </row>
    <row r="4165" spans="2:4" ht="13">
      <c r="B4165" s="12">
        <f ca="1">IFERROR(__xludf.DUMMYFUNCTION("""COMPUTED_VALUE"""),125354)</f>
        <v>125354</v>
      </c>
      <c r="C4165" s="14">
        <f ca="1">IFERROR(__xludf.DUMMYFUNCTION("""COMPUTED_VALUE"""),4)</f>
        <v>4</v>
      </c>
      <c r="D4165" s="12" t="str">
        <f ca="1">IFERROR(__xludf.DUMMYFUNCTION("""COMPUTED_VALUE"""),"老田 純輝")</f>
        <v>老田 純輝</v>
      </c>
    </row>
    <row r="4166" spans="2:4" ht="13">
      <c r="B4166" s="12">
        <f ca="1">IFERROR(__xludf.DUMMYFUNCTION("""COMPUTED_VALUE"""),125358)</f>
        <v>125358</v>
      </c>
      <c r="C4166" s="14">
        <f ca="1">IFERROR(__xludf.DUMMYFUNCTION("""COMPUTED_VALUE"""),0)</f>
        <v>0</v>
      </c>
      <c r="D4166" s="12" t="str">
        <f ca="1">IFERROR(__xludf.DUMMYFUNCTION("""COMPUTED_VALUE"""),"成嶋 夏未")</f>
        <v>成嶋 夏未</v>
      </c>
    </row>
    <row r="4167" spans="2:4" ht="13">
      <c r="B4167" s="12">
        <f ca="1">IFERROR(__xludf.DUMMYFUNCTION("""COMPUTED_VALUE"""),125359)</f>
        <v>125359</v>
      </c>
      <c r="C4167" s="14">
        <f ca="1">IFERROR(__xludf.DUMMYFUNCTION("""COMPUTED_VALUE"""),0)</f>
        <v>0</v>
      </c>
      <c r="D4167" s="12" t="str">
        <f ca="1">IFERROR(__xludf.DUMMYFUNCTION("""COMPUTED_VALUE"""),"川島 幹也")</f>
        <v>川島 幹也</v>
      </c>
    </row>
    <row r="4168" spans="2:4" ht="13">
      <c r="B4168" s="12">
        <f ca="1">IFERROR(__xludf.DUMMYFUNCTION("""COMPUTED_VALUE"""),125360)</f>
        <v>125360</v>
      </c>
      <c r="C4168" s="14">
        <f ca="1">IFERROR(__xludf.DUMMYFUNCTION("""COMPUTED_VALUE"""),9)</f>
        <v>9</v>
      </c>
      <c r="D4168" s="12" t="str">
        <f ca="1">IFERROR(__xludf.DUMMYFUNCTION("""COMPUTED_VALUE"""),"辻村 将大")</f>
        <v>辻村 将大</v>
      </c>
    </row>
    <row r="4169" spans="2:4" ht="13">
      <c r="B4169" s="12">
        <f ca="1">IFERROR(__xludf.DUMMYFUNCTION("""COMPUTED_VALUE"""),125367)</f>
        <v>125367</v>
      </c>
      <c r="C4169" s="14">
        <f ca="1">IFERROR(__xludf.DUMMYFUNCTION("""COMPUTED_VALUE"""),0)</f>
        <v>0</v>
      </c>
      <c r="D4169" s="12" t="str">
        <f ca="1">IFERROR(__xludf.DUMMYFUNCTION("""COMPUTED_VALUE"""),"小川 純")</f>
        <v>小川 純</v>
      </c>
    </row>
    <row r="4170" spans="2:4" ht="13">
      <c r="B4170" s="12">
        <f ca="1">IFERROR(__xludf.DUMMYFUNCTION("""COMPUTED_VALUE"""),125368)</f>
        <v>125368</v>
      </c>
      <c r="C4170" s="14">
        <f ca="1">IFERROR(__xludf.DUMMYFUNCTION("""COMPUTED_VALUE"""),18)</f>
        <v>18</v>
      </c>
      <c r="D4170" s="12" t="str">
        <f ca="1">IFERROR(__xludf.DUMMYFUNCTION("""COMPUTED_VALUE"""),"柿崎 晃司")</f>
        <v>柿崎 晃司</v>
      </c>
    </row>
    <row r="4171" spans="2:4" ht="13">
      <c r="B4171" s="12">
        <f ca="1">IFERROR(__xludf.DUMMYFUNCTION("""COMPUTED_VALUE"""),125372)</f>
        <v>125372</v>
      </c>
      <c r="C4171" s="14">
        <f ca="1">IFERROR(__xludf.DUMMYFUNCTION("""COMPUTED_VALUE"""),2)</f>
        <v>2</v>
      </c>
      <c r="D4171" s="12" t="str">
        <f ca="1">IFERROR(__xludf.DUMMYFUNCTION("""COMPUTED_VALUE"""),"小川 純")</f>
        <v>小川 純</v>
      </c>
    </row>
    <row r="4172" spans="2:4" ht="13">
      <c r="B4172" s="12">
        <f ca="1">IFERROR(__xludf.DUMMYFUNCTION("""COMPUTED_VALUE"""),125376)</f>
        <v>125376</v>
      </c>
      <c r="C4172" s="14">
        <f ca="1">IFERROR(__xludf.DUMMYFUNCTION("""COMPUTED_VALUE"""),0)</f>
        <v>0</v>
      </c>
      <c r="D4172" s="12" t="str">
        <f ca="1">IFERROR(__xludf.DUMMYFUNCTION("""COMPUTED_VALUE"""),"稲場 勇介")</f>
        <v>稲場 勇介</v>
      </c>
    </row>
    <row r="4173" spans="2:4" ht="13">
      <c r="B4173" s="12">
        <f ca="1">IFERROR(__xludf.DUMMYFUNCTION("""COMPUTED_VALUE"""),125377)</f>
        <v>125377</v>
      </c>
      <c r="C4173" s="14">
        <f ca="1">IFERROR(__xludf.DUMMYFUNCTION("""COMPUTED_VALUE"""),0)</f>
        <v>0</v>
      </c>
      <c r="D4173" s="12" t="str">
        <f ca="1">IFERROR(__xludf.DUMMYFUNCTION("""COMPUTED_VALUE"""),"老田 純輝")</f>
        <v>老田 純輝</v>
      </c>
    </row>
    <row r="4174" spans="2:4" ht="13">
      <c r="B4174" s="12">
        <f ca="1">IFERROR(__xludf.DUMMYFUNCTION("""COMPUTED_VALUE"""),125381)</f>
        <v>125381</v>
      </c>
      <c r="C4174" s="14">
        <f ca="1">IFERROR(__xludf.DUMMYFUNCTION("""COMPUTED_VALUE"""),0)</f>
        <v>0</v>
      </c>
      <c r="D4174" s="12" t="str">
        <f ca="1">IFERROR(__xludf.DUMMYFUNCTION("""COMPUTED_VALUE"""),"稲場 勇介")</f>
        <v>稲場 勇介</v>
      </c>
    </row>
    <row r="4175" spans="2:4" ht="13">
      <c r="B4175" s="12">
        <f ca="1">IFERROR(__xludf.DUMMYFUNCTION("""COMPUTED_VALUE"""),125389)</f>
        <v>125389</v>
      </c>
      <c r="C4175" s="14">
        <f ca="1">IFERROR(__xludf.DUMMYFUNCTION("""COMPUTED_VALUE"""),0)</f>
        <v>0</v>
      </c>
      <c r="D4175" s="12" t="str">
        <f ca="1">IFERROR(__xludf.DUMMYFUNCTION("""COMPUTED_VALUE"""),"内丸 裕子")</f>
        <v>内丸 裕子</v>
      </c>
    </row>
    <row r="4176" spans="2:4" ht="13">
      <c r="B4176" s="12">
        <f ca="1">IFERROR(__xludf.DUMMYFUNCTION("""COMPUTED_VALUE"""),125393)</f>
        <v>125393</v>
      </c>
      <c r="C4176" s="14">
        <f ca="1">IFERROR(__xludf.DUMMYFUNCTION("""COMPUTED_VALUE"""),0)</f>
        <v>0</v>
      </c>
      <c r="D4176" s="12" t="str">
        <f ca="1">IFERROR(__xludf.DUMMYFUNCTION("""COMPUTED_VALUE"""),"芳賀 亮輔")</f>
        <v>芳賀 亮輔</v>
      </c>
    </row>
    <row r="4177" spans="2:4" ht="13">
      <c r="B4177" s="12">
        <f ca="1">IFERROR(__xludf.DUMMYFUNCTION("""COMPUTED_VALUE"""),125394)</f>
        <v>125394</v>
      </c>
      <c r="C4177" s="14">
        <f ca="1">IFERROR(__xludf.DUMMYFUNCTION("""COMPUTED_VALUE"""),9)</f>
        <v>9</v>
      </c>
      <c r="D4177" s="12" t="str">
        <f ca="1">IFERROR(__xludf.DUMMYFUNCTION("""COMPUTED_VALUE"""),"松尾 尚樹")</f>
        <v>松尾 尚樹</v>
      </c>
    </row>
    <row r="4178" spans="2:4" ht="13">
      <c r="B4178" s="12">
        <f ca="1">IFERROR(__xludf.DUMMYFUNCTION("""COMPUTED_VALUE"""),125396)</f>
        <v>125396</v>
      </c>
      <c r="C4178" s="14">
        <f ca="1">IFERROR(__xludf.DUMMYFUNCTION("""COMPUTED_VALUE"""),5)</f>
        <v>5</v>
      </c>
      <c r="D4178" s="12" t="str">
        <f ca="1">IFERROR(__xludf.DUMMYFUNCTION("""COMPUTED_VALUE"""),"桑原 明子")</f>
        <v>桑原 明子</v>
      </c>
    </row>
    <row r="4179" spans="2:4" ht="13">
      <c r="B4179" s="12">
        <f ca="1">IFERROR(__xludf.DUMMYFUNCTION("""COMPUTED_VALUE"""),125404)</f>
        <v>125404</v>
      </c>
      <c r="C4179" s="14">
        <f ca="1">IFERROR(__xludf.DUMMYFUNCTION("""COMPUTED_VALUE"""),0)</f>
        <v>0</v>
      </c>
      <c r="D4179" s="12" t="str">
        <f ca="1">IFERROR(__xludf.DUMMYFUNCTION("""COMPUTED_VALUE"""),"堀越 駿")</f>
        <v>堀越 駿</v>
      </c>
    </row>
    <row r="4180" spans="2:4" ht="13">
      <c r="B4180" s="12">
        <f ca="1">IFERROR(__xludf.DUMMYFUNCTION("""COMPUTED_VALUE"""),125411)</f>
        <v>125411</v>
      </c>
      <c r="C4180" s="14">
        <f ca="1">IFERROR(__xludf.DUMMYFUNCTION("""COMPUTED_VALUE"""),45)</f>
        <v>45</v>
      </c>
      <c r="D4180" s="12" t="str">
        <f ca="1">IFERROR(__xludf.DUMMYFUNCTION("""COMPUTED_VALUE"""),"奥野 貴大")</f>
        <v>奥野 貴大</v>
      </c>
    </row>
    <row r="4181" spans="2:4" ht="13">
      <c r="B4181" s="12">
        <f ca="1">IFERROR(__xludf.DUMMYFUNCTION("""COMPUTED_VALUE"""),125413)</f>
        <v>125413</v>
      </c>
      <c r="C4181" s="14">
        <f ca="1">IFERROR(__xludf.DUMMYFUNCTION("""COMPUTED_VALUE"""),0)</f>
        <v>0</v>
      </c>
      <c r="D4181" s="12" t="str">
        <f ca="1">IFERROR(__xludf.DUMMYFUNCTION("""COMPUTED_VALUE"""),"長谷川 陸朗")</f>
        <v>長谷川 陸朗</v>
      </c>
    </row>
    <row r="4182" spans="2:4" ht="13">
      <c r="B4182" s="12">
        <f ca="1">IFERROR(__xludf.DUMMYFUNCTION("""COMPUTED_VALUE"""),125416)</f>
        <v>125416</v>
      </c>
      <c r="C4182" s="14">
        <f ca="1">IFERROR(__xludf.DUMMYFUNCTION("""COMPUTED_VALUE"""),36)</f>
        <v>36</v>
      </c>
      <c r="D4182" s="12" t="str">
        <f ca="1">IFERROR(__xludf.DUMMYFUNCTION("""COMPUTED_VALUE"""),"栗原 大武")</f>
        <v>栗原 大武</v>
      </c>
    </row>
    <row r="4183" spans="2:4" ht="13">
      <c r="B4183" s="12">
        <f ca="1">IFERROR(__xludf.DUMMYFUNCTION("""COMPUTED_VALUE"""),125419)</f>
        <v>125419</v>
      </c>
      <c r="C4183" s="14">
        <f ca="1">IFERROR(__xludf.DUMMYFUNCTION("""COMPUTED_VALUE"""),0)</f>
        <v>0</v>
      </c>
      <c r="D4183" s="12" t="str">
        <f ca="1">IFERROR(__xludf.DUMMYFUNCTION("""COMPUTED_VALUE"""),"森 光智")</f>
        <v>森 光智</v>
      </c>
    </row>
    <row r="4184" spans="2:4" ht="13">
      <c r="B4184" s="12">
        <f ca="1">IFERROR(__xludf.DUMMYFUNCTION("""COMPUTED_VALUE"""),125428)</f>
        <v>125428</v>
      </c>
      <c r="C4184" s="14">
        <f ca="1">IFERROR(__xludf.DUMMYFUNCTION("""COMPUTED_VALUE"""),23)</f>
        <v>23</v>
      </c>
      <c r="D4184" s="12" t="str">
        <f ca="1">IFERROR(__xludf.DUMMYFUNCTION("""COMPUTED_VALUE"""),"老田 純輝")</f>
        <v>老田 純輝</v>
      </c>
    </row>
    <row r="4185" spans="2:4" ht="13">
      <c r="B4185" s="12">
        <f ca="1">IFERROR(__xludf.DUMMYFUNCTION("""COMPUTED_VALUE"""),125429)</f>
        <v>125429</v>
      </c>
      <c r="C4185" s="14">
        <f ca="1">IFERROR(__xludf.DUMMYFUNCTION("""COMPUTED_VALUE"""),7)</f>
        <v>7</v>
      </c>
      <c r="D4185" s="12" t="str">
        <f ca="1">IFERROR(__xludf.DUMMYFUNCTION("""COMPUTED_VALUE"""),"老田 純輝")</f>
        <v>老田 純輝</v>
      </c>
    </row>
    <row r="4186" spans="2:4" ht="13">
      <c r="B4186" s="12">
        <f ca="1">IFERROR(__xludf.DUMMYFUNCTION("""COMPUTED_VALUE"""),125430)</f>
        <v>125430</v>
      </c>
      <c r="C4186" s="14">
        <f ca="1">IFERROR(__xludf.DUMMYFUNCTION("""COMPUTED_VALUE"""),0)</f>
        <v>0</v>
      </c>
      <c r="D4186" s="12" t="str">
        <f ca="1">IFERROR(__xludf.DUMMYFUNCTION("""COMPUTED_VALUE"""),"菅野 ぎんが")</f>
        <v>菅野 ぎんが</v>
      </c>
    </row>
    <row r="4187" spans="2:4" ht="13">
      <c r="B4187" s="12">
        <f ca="1">IFERROR(__xludf.DUMMYFUNCTION("""COMPUTED_VALUE"""),125433)</f>
        <v>125433</v>
      </c>
      <c r="C4187" s="14">
        <f ca="1">IFERROR(__xludf.DUMMYFUNCTION("""COMPUTED_VALUE"""),57)</f>
        <v>57</v>
      </c>
      <c r="D4187" s="12" t="str">
        <f ca="1">IFERROR(__xludf.DUMMYFUNCTION("""COMPUTED_VALUE"""),"菅野 ぎんが")</f>
        <v>菅野 ぎんが</v>
      </c>
    </row>
    <row r="4188" spans="2:4" ht="13">
      <c r="B4188" s="12">
        <f ca="1">IFERROR(__xludf.DUMMYFUNCTION("""COMPUTED_VALUE"""),125434)</f>
        <v>125434</v>
      </c>
      <c r="C4188" s="14">
        <f ca="1">IFERROR(__xludf.DUMMYFUNCTION("""COMPUTED_VALUE"""),2)</f>
        <v>2</v>
      </c>
      <c r="D4188" s="12" t="str">
        <f ca="1">IFERROR(__xludf.DUMMYFUNCTION("""COMPUTED_VALUE"""),"小関 麻起")</f>
        <v>小関 麻起</v>
      </c>
    </row>
    <row r="4189" spans="2:4" ht="13">
      <c r="B4189" s="12">
        <f ca="1">IFERROR(__xludf.DUMMYFUNCTION("""COMPUTED_VALUE"""),125435)</f>
        <v>125435</v>
      </c>
      <c r="C4189" s="14">
        <f ca="1">IFERROR(__xludf.DUMMYFUNCTION("""COMPUTED_VALUE"""),38)</f>
        <v>38</v>
      </c>
      <c r="D4189" s="12" t="str">
        <f ca="1">IFERROR(__xludf.DUMMYFUNCTION("""COMPUTED_VALUE"""),"小川 純")</f>
        <v>小川 純</v>
      </c>
    </row>
    <row r="4190" spans="2:4" ht="13">
      <c r="B4190" s="12">
        <f ca="1">IFERROR(__xludf.DUMMYFUNCTION("""COMPUTED_VALUE"""),125436)</f>
        <v>125436</v>
      </c>
      <c r="C4190" s="14">
        <f ca="1">IFERROR(__xludf.DUMMYFUNCTION("""COMPUTED_VALUE"""),0)</f>
        <v>0</v>
      </c>
      <c r="D4190" s="12" t="str">
        <f ca="1">IFERROR(__xludf.DUMMYFUNCTION("""COMPUTED_VALUE"""),"辻村 将大")</f>
        <v>辻村 将大</v>
      </c>
    </row>
    <row r="4191" spans="2:4" ht="13">
      <c r="B4191" s="12">
        <f ca="1">IFERROR(__xludf.DUMMYFUNCTION("""COMPUTED_VALUE"""),125442)</f>
        <v>125442</v>
      </c>
      <c r="C4191" s="14">
        <f ca="1">IFERROR(__xludf.DUMMYFUNCTION("""COMPUTED_VALUE"""),0)</f>
        <v>0</v>
      </c>
      <c r="D4191" s="12" t="str">
        <f ca="1">IFERROR(__xludf.DUMMYFUNCTION("""COMPUTED_VALUE"""),"成嶋 夏未")</f>
        <v>成嶋 夏未</v>
      </c>
    </row>
    <row r="4192" spans="2:4" ht="13">
      <c r="B4192" s="12">
        <f ca="1">IFERROR(__xludf.DUMMYFUNCTION("""COMPUTED_VALUE"""),125447)</f>
        <v>125447</v>
      </c>
      <c r="C4192" s="14">
        <f ca="1">IFERROR(__xludf.DUMMYFUNCTION("""COMPUTED_VALUE"""),0)</f>
        <v>0</v>
      </c>
      <c r="D4192" s="12" t="str">
        <f ca="1">IFERROR(__xludf.DUMMYFUNCTION("""COMPUTED_VALUE"""),"成嶋 夏未")</f>
        <v>成嶋 夏未</v>
      </c>
    </row>
    <row r="4193" spans="2:4" ht="13">
      <c r="B4193" s="12">
        <f ca="1">IFERROR(__xludf.DUMMYFUNCTION("""COMPUTED_VALUE"""),125449)</f>
        <v>125449</v>
      </c>
      <c r="C4193" s="14">
        <f ca="1">IFERROR(__xludf.DUMMYFUNCTION("""COMPUTED_VALUE"""),0)</f>
        <v>0</v>
      </c>
      <c r="D4193" s="12" t="str">
        <f ca="1">IFERROR(__xludf.DUMMYFUNCTION("""COMPUTED_VALUE"""),"菅野 ぎんが")</f>
        <v>菅野 ぎんが</v>
      </c>
    </row>
    <row r="4194" spans="2:4" ht="13">
      <c r="B4194" s="12">
        <f ca="1">IFERROR(__xludf.DUMMYFUNCTION("""COMPUTED_VALUE"""),125452)</f>
        <v>125452</v>
      </c>
      <c r="C4194" s="14">
        <f ca="1">IFERROR(__xludf.DUMMYFUNCTION("""COMPUTED_VALUE"""),2)</f>
        <v>2</v>
      </c>
      <c r="D4194" s="12" t="str">
        <f ca="1">IFERROR(__xludf.DUMMYFUNCTION("""COMPUTED_VALUE"""),"老田 純輝")</f>
        <v>老田 純輝</v>
      </c>
    </row>
    <row r="4195" spans="2:4" ht="13">
      <c r="B4195" s="12">
        <f ca="1">IFERROR(__xludf.DUMMYFUNCTION("""COMPUTED_VALUE"""),125454)</f>
        <v>125454</v>
      </c>
      <c r="C4195" s="14">
        <f ca="1">IFERROR(__xludf.DUMMYFUNCTION("""COMPUTED_VALUE"""),0)</f>
        <v>0</v>
      </c>
      <c r="D4195" s="12" t="str">
        <f ca="1">IFERROR(__xludf.DUMMYFUNCTION("""COMPUTED_VALUE"""),"荻曽 克輝")</f>
        <v>荻曽 克輝</v>
      </c>
    </row>
    <row r="4196" spans="2:4" ht="13">
      <c r="B4196" s="12">
        <f ca="1">IFERROR(__xludf.DUMMYFUNCTION("""COMPUTED_VALUE"""),125457)</f>
        <v>125457</v>
      </c>
      <c r="C4196" s="14">
        <f ca="1">IFERROR(__xludf.DUMMYFUNCTION("""COMPUTED_VALUE"""),0)</f>
        <v>0</v>
      </c>
      <c r="D4196" s="12" t="str">
        <f ca="1">IFERROR(__xludf.DUMMYFUNCTION("""COMPUTED_VALUE"""),"老田 純輝")</f>
        <v>老田 純輝</v>
      </c>
    </row>
    <row r="4197" spans="2:4" ht="13">
      <c r="B4197" s="12">
        <f ca="1">IFERROR(__xludf.DUMMYFUNCTION("""COMPUTED_VALUE"""),125458)</f>
        <v>125458</v>
      </c>
      <c r="C4197" s="14">
        <f ca="1">IFERROR(__xludf.DUMMYFUNCTION("""COMPUTED_VALUE"""),25)</f>
        <v>25</v>
      </c>
      <c r="D4197" s="12" t="str">
        <f ca="1">IFERROR(__xludf.DUMMYFUNCTION("""COMPUTED_VALUE"""),"老田 純輝")</f>
        <v>老田 純輝</v>
      </c>
    </row>
    <row r="4198" spans="2:4" ht="13">
      <c r="B4198" s="12">
        <f ca="1">IFERROR(__xludf.DUMMYFUNCTION("""COMPUTED_VALUE"""),125462)</f>
        <v>125462</v>
      </c>
      <c r="C4198" s="14">
        <f ca="1">IFERROR(__xludf.DUMMYFUNCTION("""COMPUTED_VALUE"""),0)</f>
        <v>0</v>
      </c>
      <c r="D4198" s="12" t="str">
        <f ca="1">IFERROR(__xludf.DUMMYFUNCTION("""COMPUTED_VALUE"""),"稲場 勇介")</f>
        <v>稲場 勇介</v>
      </c>
    </row>
    <row r="4199" spans="2:4" ht="13">
      <c r="B4199" s="12">
        <f ca="1">IFERROR(__xludf.DUMMYFUNCTION("""COMPUTED_VALUE"""),125467)</f>
        <v>125467</v>
      </c>
      <c r="C4199" s="14">
        <f ca="1">IFERROR(__xludf.DUMMYFUNCTION("""COMPUTED_VALUE"""),61)</f>
        <v>61</v>
      </c>
      <c r="D4199" s="12" t="str">
        <f ca="1">IFERROR(__xludf.DUMMYFUNCTION("""COMPUTED_VALUE"""),"辻村 将大")</f>
        <v>辻村 将大</v>
      </c>
    </row>
    <row r="4200" spans="2:4" ht="13">
      <c r="B4200" s="12">
        <f ca="1">IFERROR(__xludf.DUMMYFUNCTION("""COMPUTED_VALUE"""),125472)</f>
        <v>125472</v>
      </c>
      <c r="C4200" s="14">
        <f ca="1">IFERROR(__xludf.DUMMYFUNCTION("""COMPUTED_VALUE"""),38)</f>
        <v>38</v>
      </c>
      <c r="D4200" s="12" t="str">
        <f ca="1">IFERROR(__xludf.DUMMYFUNCTION("""COMPUTED_VALUE"""),"柿崎 晃司")</f>
        <v>柿崎 晃司</v>
      </c>
    </row>
    <row r="4201" spans="2:4" ht="13">
      <c r="B4201" s="12">
        <f ca="1">IFERROR(__xludf.DUMMYFUNCTION("""COMPUTED_VALUE"""),125476)</f>
        <v>125476</v>
      </c>
      <c r="C4201" s="14">
        <f ca="1">IFERROR(__xludf.DUMMYFUNCTION("""COMPUTED_VALUE"""),0)</f>
        <v>0</v>
      </c>
      <c r="D4201" s="12" t="str">
        <f ca="1">IFERROR(__xludf.DUMMYFUNCTION("""COMPUTED_VALUE"""),"菅野 ぎんが")</f>
        <v>菅野 ぎんが</v>
      </c>
    </row>
    <row r="4202" spans="2:4" ht="13">
      <c r="B4202" s="12">
        <f ca="1">IFERROR(__xludf.DUMMYFUNCTION("""COMPUTED_VALUE"""),125477)</f>
        <v>125477</v>
      </c>
      <c r="C4202" s="14">
        <f ca="1">IFERROR(__xludf.DUMMYFUNCTION("""COMPUTED_VALUE"""),27)</f>
        <v>27</v>
      </c>
      <c r="D4202" s="12" t="str">
        <f ca="1">IFERROR(__xludf.DUMMYFUNCTION("""COMPUTED_VALUE"""),"菅野 ぎんが")</f>
        <v>菅野 ぎんが</v>
      </c>
    </row>
    <row r="4203" spans="2:4" ht="13">
      <c r="B4203" s="12">
        <f ca="1">IFERROR(__xludf.DUMMYFUNCTION("""COMPUTED_VALUE"""),125480)</f>
        <v>125480</v>
      </c>
      <c r="C4203" s="14">
        <f ca="1">IFERROR(__xludf.DUMMYFUNCTION("""COMPUTED_VALUE"""),21)</f>
        <v>21</v>
      </c>
      <c r="D4203" s="12" t="str">
        <f ca="1">IFERROR(__xludf.DUMMYFUNCTION("""COMPUTED_VALUE"""),"菅野 ぎんが")</f>
        <v>菅野 ぎんが</v>
      </c>
    </row>
    <row r="4204" spans="2:4" ht="13">
      <c r="B4204" s="12">
        <f ca="1">IFERROR(__xludf.DUMMYFUNCTION("""COMPUTED_VALUE"""),125481)</f>
        <v>125481</v>
      </c>
      <c r="C4204" s="14">
        <f ca="1">IFERROR(__xludf.DUMMYFUNCTION("""COMPUTED_VALUE"""),0)</f>
        <v>0</v>
      </c>
      <c r="D4204" s="12" t="str">
        <f ca="1">IFERROR(__xludf.DUMMYFUNCTION("""COMPUTED_VALUE"""),"松尾 尚樹")</f>
        <v>松尾 尚樹</v>
      </c>
    </row>
    <row r="4205" spans="2:4" ht="13">
      <c r="B4205" s="12">
        <f ca="1">IFERROR(__xludf.DUMMYFUNCTION("""COMPUTED_VALUE"""),125482)</f>
        <v>125482</v>
      </c>
      <c r="C4205" s="14">
        <f ca="1">IFERROR(__xludf.DUMMYFUNCTION("""COMPUTED_VALUE"""),0)</f>
        <v>0</v>
      </c>
      <c r="D4205" s="12" t="str">
        <f ca="1">IFERROR(__xludf.DUMMYFUNCTION("""COMPUTED_VALUE"""),"稲場 勇介")</f>
        <v>稲場 勇介</v>
      </c>
    </row>
    <row r="4206" spans="2:4" ht="13">
      <c r="B4206" s="12">
        <f ca="1">IFERROR(__xludf.DUMMYFUNCTION("""COMPUTED_VALUE"""),125484)</f>
        <v>125484</v>
      </c>
      <c r="C4206" s="14">
        <f ca="1">IFERROR(__xludf.DUMMYFUNCTION("""COMPUTED_VALUE"""),6)</f>
        <v>6</v>
      </c>
      <c r="D4206" s="12" t="str">
        <f ca="1">IFERROR(__xludf.DUMMYFUNCTION("""COMPUTED_VALUE"""),"菅野 ぎんが")</f>
        <v>菅野 ぎんが</v>
      </c>
    </row>
    <row r="4207" spans="2:4" ht="13">
      <c r="B4207" s="12">
        <f ca="1">IFERROR(__xludf.DUMMYFUNCTION("""COMPUTED_VALUE"""),125488)</f>
        <v>125488</v>
      </c>
      <c r="C4207" s="14">
        <f ca="1">IFERROR(__xludf.DUMMYFUNCTION("""COMPUTED_VALUE"""),0)</f>
        <v>0</v>
      </c>
      <c r="D4207" s="12" t="str">
        <f ca="1">IFERROR(__xludf.DUMMYFUNCTION("""COMPUTED_VALUE"""),"成嶋 夏未")</f>
        <v>成嶋 夏未</v>
      </c>
    </row>
    <row r="4208" spans="2:4" ht="13">
      <c r="B4208" s="12">
        <f ca="1">IFERROR(__xludf.DUMMYFUNCTION("""COMPUTED_VALUE"""),125489)</f>
        <v>125489</v>
      </c>
      <c r="C4208" s="14">
        <f ca="1">IFERROR(__xludf.DUMMYFUNCTION("""COMPUTED_VALUE"""),1)</f>
        <v>1</v>
      </c>
      <c r="D4208" s="12" t="str">
        <f ca="1">IFERROR(__xludf.DUMMYFUNCTION("""COMPUTED_VALUE"""),"芳賀 亮輔")</f>
        <v>芳賀 亮輔</v>
      </c>
    </row>
    <row r="4209" spans="2:4" ht="13">
      <c r="B4209" s="12">
        <f ca="1">IFERROR(__xludf.DUMMYFUNCTION("""COMPUTED_VALUE"""),125491)</f>
        <v>125491</v>
      </c>
      <c r="C4209" s="14">
        <f ca="1">IFERROR(__xludf.DUMMYFUNCTION("""COMPUTED_VALUE"""),7)</f>
        <v>7</v>
      </c>
      <c r="D4209" s="12" t="str">
        <f ca="1">IFERROR(__xludf.DUMMYFUNCTION("""COMPUTED_VALUE"""),"堀越 駿")</f>
        <v>堀越 駿</v>
      </c>
    </row>
    <row r="4210" spans="2:4" ht="13">
      <c r="B4210" s="12">
        <f ca="1">IFERROR(__xludf.DUMMYFUNCTION("""COMPUTED_VALUE"""),125495)</f>
        <v>125495</v>
      </c>
      <c r="C4210" s="14">
        <f ca="1">IFERROR(__xludf.DUMMYFUNCTION("""COMPUTED_VALUE"""),7)</f>
        <v>7</v>
      </c>
      <c r="D4210" s="12" t="str">
        <f ca="1">IFERROR(__xludf.DUMMYFUNCTION("""COMPUTED_VALUE"""),"桐山 勝気")</f>
        <v>桐山 勝気</v>
      </c>
    </row>
    <row r="4211" spans="2:4" ht="13">
      <c r="B4211" s="12">
        <f ca="1">IFERROR(__xludf.DUMMYFUNCTION("""COMPUTED_VALUE"""),125500)</f>
        <v>125500</v>
      </c>
      <c r="C4211" s="14">
        <f ca="1">IFERROR(__xludf.DUMMYFUNCTION("""COMPUTED_VALUE"""),30)</f>
        <v>30</v>
      </c>
      <c r="D4211" s="12" t="str">
        <f ca="1">IFERROR(__xludf.DUMMYFUNCTION("""COMPUTED_VALUE"""),"桐山 勝気")</f>
        <v>桐山 勝気</v>
      </c>
    </row>
    <row r="4212" spans="2:4" ht="13">
      <c r="B4212" s="12">
        <f ca="1">IFERROR(__xludf.DUMMYFUNCTION("""COMPUTED_VALUE"""),125501)</f>
        <v>125501</v>
      </c>
      <c r="C4212" s="14">
        <f ca="1">IFERROR(__xludf.DUMMYFUNCTION("""COMPUTED_VALUE"""),24)</f>
        <v>24</v>
      </c>
      <c r="D4212" s="12" t="str">
        <f ca="1">IFERROR(__xludf.DUMMYFUNCTION("""COMPUTED_VALUE"""),"松尾 尚樹")</f>
        <v>松尾 尚樹</v>
      </c>
    </row>
    <row r="4213" spans="2:4" ht="13">
      <c r="B4213" s="12">
        <f ca="1">IFERROR(__xludf.DUMMYFUNCTION("""COMPUTED_VALUE"""),125502)</f>
        <v>125502</v>
      </c>
      <c r="C4213" s="14">
        <f ca="1">IFERROR(__xludf.DUMMYFUNCTION("""COMPUTED_VALUE"""),6)</f>
        <v>6</v>
      </c>
      <c r="D4213" s="12" t="str">
        <f ca="1">IFERROR(__xludf.DUMMYFUNCTION("""COMPUTED_VALUE"""),"小関 麻起")</f>
        <v>小関 麻起</v>
      </c>
    </row>
    <row r="4214" spans="2:4" ht="13">
      <c r="B4214" s="12">
        <f ca="1">IFERROR(__xludf.DUMMYFUNCTION("""COMPUTED_VALUE"""),125505)</f>
        <v>125505</v>
      </c>
      <c r="C4214" s="14">
        <f ca="1">IFERROR(__xludf.DUMMYFUNCTION("""COMPUTED_VALUE"""),27)</f>
        <v>27</v>
      </c>
      <c r="D4214" s="12" t="str">
        <f ca="1">IFERROR(__xludf.DUMMYFUNCTION("""COMPUTED_VALUE"""),"荻曽 克輝")</f>
        <v>荻曽 克輝</v>
      </c>
    </row>
    <row r="4215" spans="2:4" ht="13">
      <c r="B4215" s="12">
        <f ca="1">IFERROR(__xludf.DUMMYFUNCTION("""COMPUTED_VALUE"""),125508)</f>
        <v>125508</v>
      </c>
      <c r="C4215" s="14">
        <f ca="1">IFERROR(__xludf.DUMMYFUNCTION("""COMPUTED_VALUE"""),1)</f>
        <v>1</v>
      </c>
      <c r="D4215" s="12" t="str">
        <f ca="1">IFERROR(__xludf.DUMMYFUNCTION("""COMPUTED_VALUE"""),"内丸 裕子")</f>
        <v>内丸 裕子</v>
      </c>
    </row>
    <row r="4216" spans="2:4" ht="13">
      <c r="B4216" s="12">
        <f ca="1">IFERROR(__xludf.DUMMYFUNCTION("""COMPUTED_VALUE"""),125509)</f>
        <v>125509</v>
      </c>
      <c r="C4216" s="14">
        <f ca="1">IFERROR(__xludf.DUMMYFUNCTION("""COMPUTED_VALUE"""),2)</f>
        <v>2</v>
      </c>
      <c r="D4216" s="12" t="str">
        <f ca="1">IFERROR(__xludf.DUMMYFUNCTION("""COMPUTED_VALUE"""),"大木 優香")</f>
        <v>大木 優香</v>
      </c>
    </row>
    <row r="4217" spans="2:4" ht="13">
      <c r="B4217" s="12">
        <f ca="1">IFERROR(__xludf.DUMMYFUNCTION("""COMPUTED_VALUE"""),125512)</f>
        <v>125512</v>
      </c>
      <c r="C4217" s="14">
        <f ca="1">IFERROR(__xludf.DUMMYFUNCTION("""COMPUTED_VALUE"""),300)</f>
        <v>300</v>
      </c>
      <c r="D4217" s="12" t="str">
        <f ca="1">IFERROR(__xludf.DUMMYFUNCTION("""COMPUTED_VALUE"""),"栗原 大武")</f>
        <v>栗原 大武</v>
      </c>
    </row>
    <row r="4218" spans="2:4" ht="13">
      <c r="B4218" s="12">
        <f ca="1">IFERROR(__xludf.DUMMYFUNCTION("""COMPUTED_VALUE"""),125516)</f>
        <v>125516</v>
      </c>
      <c r="C4218" s="14">
        <f ca="1">IFERROR(__xludf.DUMMYFUNCTION("""COMPUTED_VALUE"""),2)</f>
        <v>2</v>
      </c>
      <c r="D4218" s="12" t="str">
        <f ca="1">IFERROR(__xludf.DUMMYFUNCTION("""COMPUTED_VALUE"""),"小川 純")</f>
        <v>小川 純</v>
      </c>
    </row>
    <row r="4219" spans="2:4" ht="13">
      <c r="B4219" s="12">
        <f ca="1">IFERROR(__xludf.DUMMYFUNCTION("""COMPUTED_VALUE"""),125517)</f>
        <v>125517</v>
      </c>
      <c r="C4219" s="14">
        <f ca="1">IFERROR(__xludf.DUMMYFUNCTION("""COMPUTED_VALUE"""),0)</f>
        <v>0</v>
      </c>
      <c r="D4219" s="12" t="str">
        <f ca="1">IFERROR(__xludf.DUMMYFUNCTION("""COMPUTED_VALUE"""),"内丸 裕子")</f>
        <v>内丸 裕子</v>
      </c>
    </row>
    <row r="4220" spans="2:4" ht="13">
      <c r="B4220" s="12">
        <f ca="1">IFERROR(__xludf.DUMMYFUNCTION("""COMPUTED_VALUE"""),125518)</f>
        <v>125518</v>
      </c>
      <c r="C4220" s="14">
        <f ca="1">IFERROR(__xludf.DUMMYFUNCTION("""COMPUTED_VALUE"""),3)</f>
        <v>3</v>
      </c>
      <c r="D4220" s="12" t="str">
        <f ca="1">IFERROR(__xludf.DUMMYFUNCTION("""COMPUTED_VALUE"""),"長谷川 陸朗")</f>
        <v>長谷川 陸朗</v>
      </c>
    </row>
    <row r="4221" spans="2:4" ht="13">
      <c r="B4221" s="12">
        <f ca="1">IFERROR(__xludf.DUMMYFUNCTION("""COMPUTED_VALUE"""),125521)</f>
        <v>125521</v>
      </c>
      <c r="C4221" s="14">
        <f ca="1">IFERROR(__xludf.DUMMYFUNCTION("""COMPUTED_VALUE"""),14)</f>
        <v>14</v>
      </c>
      <c r="D4221" s="12" t="str">
        <f ca="1">IFERROR(__xludf.DUMMYFUNCTION("""COMPUTED_VALUE"""),"奥野 貴大")</f>
        <v>奥野 貴大</v>
      </c>
    </row>
    <row r="4222" spans="2:4" ht="13">
      <c r="B4222" s="12">
        <f ca="1">IFERROR(__xludf.DUMMYFUNCTION("""COMPUTED_VALUE"""),125526)</f>
        <v>125526</v>
      </c>
      <c r="C4222" s="14">
        <f ca="1">IFERROR(__xludf.DUMMYFUNCTION("""COMPUTED_VALUE"""),2)</f>
        <v>2</v>
      </c>
      <c r="D4222" s="12" t="str">
        <f ca="1">IFERROR(__xludf.DUMMYFUNCTION("""COMPUTED_VALUE"""),"柿崎 晃司")</f>
        <v>柿崎 晃司</v>
      </c>
    </row>
    <row r="4223" spans="2:4" ht="13">
      <c r="B4223" s="12">
        <f ca="1">IFERROR(__xludf.DUMMYFUNCTION("""COMPUTED_VALUE"""),125527)</f>
        <v>125527</v>
      </c>
      <c r="C4223" s="14">
        <f ca="1">IFERROR(__xludf.DUMMYFUNCTION("""COMPUTED_VALUE"""),5)</f>
        <v>5</v>
      </c>
      <c r="D4223" s="12" t="str">
        <f ca="1">IFERROR(__xludf.DUMMYFUNCTION("""COMPUTED_VALUE"""),"柿崎 晃司")</f>
        <v>柿崎 晃司</v>
      </c>
    </row>
    <row r="4224" spans="2:4" ht="13">
      <c r="B4224" s="12">
        <f ca="1">IFERROR(__xludf.DUMMYFUNCTION("""COMPUTED_VALUE"""),125534)</f>
        <v>125534</v>
      </c>
      <c r="C4224" s="14">
        <f ca="1">IFERROR(__xludf.DUMMYFUNCTION("""COMPUTED_VALUE"""),2)</f>
        <v>2</v>
      </c>
      <c r="D4224" s="12" t="str">
        <f ca="1">IFERROR(__xludf.DUMMYFUNCTION("""COMPUTED_VALUE"""),"菅野 ぎんが")</f>
        <v>菅野 ぎんが</v>
      </c>
    </row>
    <row r="4225" spans="2:4" ht="13">
      <c r="B4225" s="12">
        <f ca="1">IFERROR(__xludf.DUMMYFUNCTION("""COMPUTED_VALUE"""),125574)</f>
        <v>125574</v>
      </c>
      <c r="C4225" s="14">
        <f ca="1">IFERROR(__xludf.DUMMYFUNCTION("""COMPUTED_VALUE"""),10)</f>
        <v>10</v>
      </c>
      <c r="D4225" s="12" t="str">
        <f ca="1">IFERROR(__xludf.DUMMYFUNCTION("""COMPUTED_VALUE"""),"荻曽 克輝")</f>
        <v>荻曽 克輝</v>
      </c>
    </row>
    <row r="4226" spans="2:4" ht="13">
      <c r="B4226" s="12">
        <f ca="1">IFERROR(__xludf.DUMMYFUNCTION("""COMPUTED_VALUE"""),125588)</f>
        <v>125588</v>
      </c>
      <c r="C4226" s="14">
        <f ca="1">IFERROR(__xludf.DUMMYFUNCTION("""COMPUTED_VALUE"""),52)</f>
        <v>52</v>
      </c>
      <c r="D4226" s="12" t="str">
        <f ca="1">IFERROR(__xludf.DUMMYFUNCTION("""COMPUTED_VALUE"""),"荻曽 克輝")</f>
        <v>荻曽 克輝</v>
      </c>
    </row>
    <row r="4227" spans="2:4" ht="13">
      <c r="B4227" s="12">
        <f ca="1">IFERROR(__xludf.DUMMYFUNCTION("""COMPUTED_VALUE"""),125590)</f>
        <v>125590</v>
      </c>
      <c r="C4227" s="14">
        <f ca="1">IFERROR(__xludf.DUMMYFUNCTION("""COMPUTED_VALUE"""),25)</f>
        <v>25</v>
      </c>
      <c r="D4227" s="12" t="str">
        <f ca="1">IFERROR(__xludf.DUMMYFUNCTION("""COMPUTED_VALUE"""),"栗原 大武")</f>
        <v>栗原 大武</v>
      </c>
    </row>
    <row r="4228" spans="2:4" ht="13">
      <c r="B4228" s="12">
        <f ca="1">IFERROR(__xludf.DUMMYFUNCTION("""COMPUTED_VALUE"""),125595)</f>
        <v>125595</v>
      </c>
      <c r="C4228" s="14">
        <f ca="1">IFERROR(__xludf.DUMMYFUNCTION("""COMPUTED_VALUE"""),0)</f>
        <v>0</v>
      </c>
      <c r="D4228" s="12" t="str">
        <f ca="1">IFERROR(__xludf.DUMMYFUNCTION("""COMPUTED_VALUE"""),"稲場 勇介")</f>
        <v>稲場 勇介</v>
      </c>
    </row>
    <row r="4229" spans="2:4" ht="13">
      <c r="B4229" s="12">
        <f ca="1">IFERROR(__xludf.DUMMYFUNCTION("""COMPUTED_VALUE"""),125597)</f>
        <v>125597</v>
      </c>
      <c r="C4229" s="14">
        <f ca="1">IFERROR(__xludf.DUMMYFUNCTION("""COMPUTED_VALUE"""),16)</f>
        <v>16</v>
      </c>
      <c r="D4229" s="12" t="str">
        <f ca="1">IFERROR(__xludf.DUMMYFUNCTION("""COMPUTED_VALUE"""),"成嶋 夏未")</f>
        <v>成嶋 夏未</v>
      </c>
    </row>
    <row r="4230" spans="2:4" ht="13">
      <c r="B4230" s="12">
        <f ca="1">IFERROR(__xludf.DUMMYFUNCTION("""COMPUTED_VALUE"""),125600)</f>
        <v>125600</v>
      </c>
      <c r="C4230" s="14">
        <f ca="1">IFERROR(__xludf.DUMMYFUNCTION("""COMPUTED_VALUE"""),0)</f>
        <v>0</v>
      </c>
      <c r="D4230" s="12" t="str">
        <f ca="1">IFERROR(__xludf.DUMMYFUNCTION("""COMPUTED_VALUE"""),"桑原 明子")</f>
        <v>桑原 明子</v>
      </c>
    </row>
    <row r="4231" spans="2:4" ht="13">
      <c r="B4231" s="12">
        <f ca="1">IFERROR(__xludf.DUMMYFUNCTION("""COMPUTED_VALUE"""),125605)</f>
        <v>125605</v>
      </c>
      <c r="C4231" s="14">
        <f ca="1">IFERROR(__xludf.DUMMYFUNCTION("""COMPUTED_VALUE"""),0)</f>
        <v>0</v>
      </c>
      <c r="D4231" s="12" t="str">
        <f ca="1">IFERROR(__xludf.DUMMYFUNCTION("""COMPUTED_VALUE"""),"菅野 ぎんが")</f>
        <v>菅野 ぎんが</v>
      </c>
    </row>
    <row r="4232" spans="2:4" ht="13">
      <c r="B4232" s="12">
        <f ca="1">IFERROR(__xludf.DUMMYFUNCTION("""COMPUTED_VALUE"""),125608)</f>
        <v>125608</v>
      </c>
      <c r="C4232" s="14">
        <f ca="1">IFERROR(__xludf.DUMMYFUNCTION("""COMPUTED_VALUE"""),0)</f>
        <v>0</v>
      </c>
      <c r="D4232" s="12" t="str">
        <f ca="1">IFERROR(__xludf.DUMMYFUNCTION("""COMPUTED_VALUE"""),"稲場 勇介")</f>
        <v>稲場 勇介</v>
      </c>
    </row>
    <row r="4233" spans="2:4" ht="13">
      <c r="B4233" s="12">
        <f ca="1">IFERROR(__xludf.DUMMYFUNCTION("""COMPUTED_VALUE"""),125613)</f>
        <v>125613</v>
      </c>
      <c r="C4233" s="14">
        <f ca="1">IFERROR(__xludf.DUMMYFUNCTION("""COMPUTED_VALUE"""),0)</f>
        <v>0</v>
      </c>
      <c r="D4233" s="12" t="str">
        <f ca="1">IFERROR(__xludf.DUMMYFUNCTION("""COMPUTED_VALUE"""),"菅野 ぎんが")</f>
        <v>菅野 ぎんが</v>
      </c>
    </row>
    <row r="4234" spans="2:4" ht="13">
      <c r="B4234" s="12">
        <f ca="1">IFERROR(__xludf.DUMMYFUNCTION("""COMPUTED_VALUE"""),125615)</f>
        <v>125615</v>
      </c>
      <c r="C4234" s="14">
        <f ca="1">IFERROR(__xludf.DUMMYFUNCTION("""COMPUTED_VALUE"""),0)</f>
        <v>0</v>
      </c>
      <c r="D4234" s="12" t="str">
        <f ca="1">IFERROR(__xludf.DUMMYFUNCTION("""COMPUTED_VALUE"""),"菅野 ぎんが")</f>
        <v>菅野 ぎんが</v>
      </c>
    </row>
    <row r="4235" spans="2:4" ht="13">
      <c r="B4235" s="12">
        <f ca="1">IFERROR(__xludf.DUMMYFUNCTION("""COMPUTED_VALUE"""),125616)</f>
        <v>125616</v>
      </c>
      <c r="C4235" s="14">
        <f ca="1">IFERROR(__xludf.DUMMYFUNCTION("""COMPUTED_VALUE"""),15)</f>
        <v>15</v>
      </c>
      <c r="D4235" s="12" t="str">
        <f ca="1">IFERROR(__xludf.DUMMYFUNCTION("""COMPUTED_VALUE"""),"小関 麻起")</f>
        <v>小関 麻起</v>
      </c>
    </row>
    <row r="4236" spans="2:4" ht="13">
      <c r="B4236" s="12">
        <f ca="1">IFERROR(__xludf.DUMMYFUNCTION("""COMPUTED_VALUE"""),125618)</f>
        <v>125618</v>
      </c>
      <c r="C4236" s="14">
        <f ca="1">IFERROR(__xludf.DUMMYFUNCTION("""COMPUTED_VALUE"""),9)</f>
        <v>9</v>
      </c>
      <c r="D4236" s="12" t="str">
        <f ca="1">IFERROR(__xludf.DUMMYFUNCTION("""COMPUTED_VALUE"""),"内丸 裕子")</f>
        <v>内丸 裕子</v>
      </c>
    </row>
    <row r="4237" spans="2:4" ht="13">
      <c r="B4237" s="12">
        <f ca="1">IFERROR(__xludf.DUMMYFUNCTION("""COMPUTED_VALUE"""),125619)</f>
        <v>125619</v>
      </c>
      <c r="C4237" s="14">
        <f ca="1">IFERROR(__xludf.DUMMYFUNCTION("""COMPUTED_VALUE"""),0)</f>
        <v>0</v>
      </c>
      <c r="D4237" s="12" t="str">
        <f ca="1">IFERROR(__xludf.DUMMYFUNCTION("""COMPUTED_VALUE"""),"成嶋 夏未")</f>
        <v>成嶋 夏未</v>
      </c>
    </row>
    <row r="4238" spans="2:4" ht="13">
      <c r="B4238" s="12">
        <f ca="1">IFERROR(__xludf.DUMMYFUNCTION("""COMPUTED_VALUE"""),125627)</f>
        <v>125627</v>
      </c>
      <c r="C4238" s="14">
        <f ca="1">IFERROR(__xludf.DUMMYFUNCTION("""COMPUTED_VALUE"""),1)</f>
        <v>1</v>
      </c>
      <c r="D4238" s="12" t="str">
        <f ca="1">IFERROR(__xludf.DUMMYFUNCTION("""COMPUTED_VALUE"""),"菅野 ぎんが")</f>
        <v>菅野 ぎんが</v>
      </c>
    </row>
    <row r="4239" spans="2:4" ht="13">
      <c r="B4239" s="12">
        <f ca="1">IFERROR(__xludf.DUMMYFUNCTION("""COMPUTED_VALUE"""),125628)</f>
        <v>125628</v>
      </c>
      <c r="C4239" s="14">
        <f ca="1">IFERROR(__xludf.DUMMYFUNCTION("""COMPUTED_VALUE"""),4)</f>
        <v>4</v>
      </c>
      <c r="D4239" s="12" t="str">
        <f ca="1">IFERROR(__xludf.DUMMYFUNCTION("""COMPUTED_VALUE"""),"桑原 明子")</f>
        <v>桑原 明子</v>
      </c>
    </row>
    <row r="4240" spans="2:4" ht="13">
      <c r="B4240" s="12">
        <f ca="1">IFERROR(__xludf.DUMMYFUNCTION("""COMPUTED_VALUE"""),125629)</f>
        <v>125629</v>
      </c>
      <c r="C4240" s="14">
        <f ca="1">IFERROR(__xludf.DUMMYFUNCTION("""COMPUTED_VALUE"""),4)</f>
        <v>4</v>
      </c>
      <c r="D4240" s="12" t="str">
        <f ca="1">IFERROR(__xludf.DUMMYFUNCTION("""COMPUTED_VALUE"""),"桑原 明子")</f>
        <v>桑原 明子</v>
      </c>
    </row>
    <row r="4241" spans="2:4" ht="13">
      <c r="B4241" s="12">
        <f ca="1">IFERROR(__xludf.DUMMYFUNCTION("""COMPUTED_VALUE"""),125630)</f>
        <v>125630</v>
      </c>
      <c r="C4241" s="14">
        <f ca="1">IFERROR(__xludf.DUMMYFUNCTION("""COMPUTED_VALUE"""),4)</f>
        <v>4</v>
      </c>
      <c r="D4241" s="12" t="str">
        <f ca="1">IFERROR(__xludf.DUMMYFUNCTION("""COMPUTED_VALUE"""),"桑原 明子")</f>
        <v>桑原 明子</v>
      </c>
    </row>
    <row r="4242" spans="2:4" ht="13">
      <c r="B4242" s="12">
        <f ca="1">IFERROR(__xludf.DUMMYFUNCTION("""COMPUTED_VALUE"""),125631)</f>
        <v>125631</v>
      </c>
      <c r="C4242" s="14">
        <f ca="1">IFERROR(__xludf.DUMMYFUNCTION("""COMPUTED_VALUE"""),5)</f>
        <v>5</v>
      </c>
      <c r="D4242" s="12" t="str">
        <f ca="1">IFERROR(__xludf.DUMMYFUNCTION("""COMPUTED_VALUE"""),"桑原 明子")</f>
        <v>桑原 明子</v>
      </c>
    </row>
    <row r="4243" spans="2:4" ht="13">
      <c r="B4243" s="12">
        <f ca="1">IFERROR(__xludf.DUMMYFUNCTION("""COMPUTED_VALUE"""),125635)</f>
        <v>125635</v>
      </c>
      <c r="C4243" s="14">
        <f ca="1">IFERROR(__xludf.DUMMYFUNCTION("""COMPUTED_VALUE"""),33)</f>
        <v>33</v>
      </c>
      <c r="D4243" s="12" t="str">
        <f ca="1">IFERROR(__xludf.DUMMYFUNCTION("""COMPUTED_VALUE"""),"松尾 尚樹")</f>
        <v>松尾 尚樹</v>
      </c>
    </row>
    <row r="4244" spans="2:4" ht="13">
      <c r="B4244" s="12">
        <f ca="1">IFERROR(__xludf.DUMMYFUNCTION("""COMPUTED_VALUE"""),125638)</f>
        <v>125638</v>
      </c>
      <c r="C4244" s="14">
        <f ca="1">IFERROR(__xludf.DUMMYFUNCTION("""COMPUTED_VALUE"""),37)</f>
        <v>37</v>
      </c>
      <c r="D4244" s="12" t="str">
        <f ca="1">IFERROR(__xludf.DUMMYFUNCTION("""COMPUTED_VALUE"""),"成嶋 夏未")</f>
        <v>成嶋 夏未</v>
      </c>
    </row>
    <row r="4245" spans="2:4" ht="13">
      <c r="B4245" s="12">
        <f ca="1">IFERROR(__xludf.DUMMYFUNCTION("""COMPUTED_VALUE"""),125641)</f>
        <v>125641</v>
      </c>
      <c r="C4245" s="14">
        <f ca="1">IFERROR(__xludf.DUMMYFUNCTION("""COMPUTED_VALUE"""),0)</f>
        <v>0</v>
      </c>
      <c r="D4245" s="12" t="str">
        <f ca="1">IFERROR(__xludf.DUMMYFUNCTION("""COMPUTED_VALUE"""),"松尾 尚樹")</f>
        <v>松尾 尚樹</v>
      </c>
    </row>
    <row r="4246" spans="2:4" ht="13">
      <c r="B4246" s="12">
        <f ca="1">IFERROR(__xludf.DUMMYFUNCTION("""COMPUTED_VALUE"""),125642)</f>
        <v>125642</v>
      </c>
      <c r="C4246" s="14">
        <f ca="1">IFERROR(__xludf.DUMMYFUNCTION("""COMPUTED_VALUE"""),2)</f>
        <v>2</v>
      </c>
      <c r="D4246" s="12" t="str">
        <f ca="1">IFERROR(__xludf.DUMMYFUNCTION("""COMPUTED_VALUE"""),"村上 浩一朗")</f>
        <v>村上 浩一朗</v>
      </c>
    </row>
    <row r="4247" spans="2:4" ht="13">
      <c r="B4247" s="12">
        <f ca="1">IFERROR(__xludf.DUMMYFUNCTION("""COMPUTED_VALUE"""),125644)</f>
        <v>125644</v>
      </c>
      <c r="C4247" s="14">
        <f ca="1">IFERROR(__xludf.DUMMYFUNCTION("""COMPUTED_VALUE"""),0)</f>
        <v>0</v>
      </c>
      <c r="D4247" s="12" t="str">
        <f ca="1">IFERROR(__xludf.DUMMYFUNCTION("""COMPUTED_VALUE"""),"桐山 勝気")</f>
        <v>桐山 勝気</v>
      </c>
    </row>
    <row r="4248" spans="2:4" ht="13">
      <c r="B4248" s="12">
        <f ca="1">IFERROR(__xludf.DUMMYFUNCTION("""COMPUTED_VALUE"""),125647)</f>
        <v>125647</v>
      </c>
      <c r="C4248" s="14">
        <f ca="1">IFERROR(__xludf.DUMMYFUNCTION("""COMPUTED_VALUE"""),9)</f>
        <v>9</v>
      </c>
      <c r="D4248" s="12" t="str">
        <f ca="1">IFERROR(__xludf.DUMMYFUNCTION("""COMPUTED_VALUE"""),"川島 幹也")</f>
        <v>川島 幹也</v>
      </c>
    </row>
    <row r="4249" spans="2:4" ht="13">
      <c r="B4249" s="12">
        <f ca="1">IFERROR(__xludf.DUMMYFUNCTION("""COMPUTED_VALUE"""),125657)</f>
        <v>125657</v>
      </c>
      <c r="C4249" s="14">
        <f ca="1">IFERROR(__xludf.DUMMYFUNCTION("""COMPUTED_VALUE"""),0)</f>
        <v>0</v>
      </c>
      <c r="D4249" s="12" t="str">
        <f ca="1">IFERROR(__xludf.DUMMYFUNCTION("""COMPUTED_VALUE"""),"桐山 勝気")</f>
        <v>桐山 勝気</v>
      </c>
    </row>
    <row r="4250" spans="2:4" ht="13">
      <c r="B4250" s="12">
        <f ca="1">IFERROR(__xludf.DUMMYFUNCTION("""COMPUTED_VALUE"""),125662)</f>
        <v>125662</v>
      </c>
      <c r="C4250" s="14">
        <f ca="1">IFERROR(__xludf.DUMMYFUNCTION("""COMPUTED_VALUE"""),62)</f>
        <v>62</v>
      </c>
      <c r="D4250" s="12" t="str">
        <f ca="1">IFERROR(__xludf.DUMMYFUNCTION("""COMPUTED_VALUE"""),"芳賀 亮輔")</f>
        <v>芳賀 亮輔</v>
      </c>
    </row>
    <row r="4251" spans="2:4" ht="13">
      <c r="B4251" s="12">
        <f ca="1">IFERROR(__xludf.DUMMYFUNCTION("""COMPUTED_VALUE"""),125664)</f>
        <v>125664</v>
      </c>
      <c r="C4251" s="14">
        <f ca="1">IFERROR(__xludf.DUMMYFUNCTION("""COMPUTED_VALUE"""),15)</f>
        <v>15</v>
      </c>
      <c r="D4251" s="12" t="str">
        <f ca="1">IFERROR(__xludf.DUMMYFUNCTION("""COMPUTED_VALUE"""),"芳賀 亮輔")</f>
        <v>芳賀 亮輔</v>
      </c>
    </row>
    <row r="4252" spans="2:4" ht="13">
      <c r="B4252" s="12">
        <f ca="1">IFERROR(__xludf.DUMMYFUNCTION("""COMPUTED_VALUE"""),125667)</f>
        <v>125667</v>
      </c>
      <c r="C4252" s="14">
        <f ca="1">IFERROR(__xludf.DUMMYFUNCTION("""COMPUTED_VALUE"""),42)</f>
        <v>42</v>
      </c>
      <c r="D4252" s="12" t="str">
        <f ca="1">IFERROR(__xludf.DUMMYFUNCTION("""COMPUTED_VALUE"""),"芳賀 亮輔")</f>
        <v>芳賀 亮輔</v>
      </c>
    </row>
    <row r="4253" spans="2:4" ht="13">
      <c r="B4253" s="12">
        <f ca="1">IFERROR(__xludf.DUMMYFUNCTION("""COMPUTED_VALUE"""),125674)</f>
        <v>125674</v>
      </c>
      <c r="C4253" s="14">
        <f ca="1">IFERROR(__xludf.DUMMYFUNCTION("""COMPUTED_VALUE"""),77)</f>
        <v>77</v>
      </c>
      <c r="D4253" s="12" t="str">
        <f ca="1">IFERROR(__xludf.DUMMYFUNCTION("""COMPUTED_VALUE"""),"芳賀 亮輔")</f>
        <v>芳賀 亮輔</v>
      </c>
    </row>
    <row r="4254" spans="2:4" ht="13">
      <c r="B4254" s="12">
        <f ca="1">IFERROR(__xludf.DUMMYFUNCTION("""COMPUTED_VALUE"""),125677)</f>
        <v>125677</v>
      </c>
      <c r="C4254" s="14">
        <f ca="1">IFERROR(__xludf.DUMMYFUNCTION("""COMPUTED_VALUE"""),6)</f>
        <v>6</v>
      </c>
      <c r="D4254" s="12" t="str">
        <f ca="1">IFERROR(__xludf.DUMMYFUNCTION("""COMPUTED_VALUE"""),"奥野 貴大")</f>
        <v>奥野 貴大</v>
      </c>
    </row>
    <row r="4255" spans="2:4" ht="13">
      <c r="B4255" s="12">
        <f ca="1">IFERROR(__xludf.DUMMYFUNCTION("""COMPUTED_VALUE"""),125686)</f>
        <v>125686</v>
      </c>
      <c r="C4255" s="14">
        <f ca="1">IFERROR(__xludf.DUMMYFUNCTION("""COMPUTED_VALUE"""),12)</f>
        <v>12</v>
      </c>
      <c r="D4255" s="12" t="str">
        <f ca="1">IFERROR(__xludf.DUMMYFUNCTION("""COMPUTED_VALUE"""),"芳賀 亮輔")</f>
        <v>芳賀 亮輔</v>
      </c>
    </row>
    <row r="4256" spans="2:4" ht="13">
      <c r="B4256" s="12">
        <f ca="1">IFERROR(__xludf.DUMMYFUNCTION("""COMPUTED_VALUE"""),125690)</f>
        <v>125690</v>
      </c>
      <c r="C4256" s="14">
        <f ca="1">IFERROR(__xludf.DUMMYFUNCTION("""COMPUTED_VALUE"""),73)</f>
        <v>73</v>
      </c>
      <c r="D4256" s="12" t="str">
        <f ca="1">IFERROR(__xludf.DUMMYFUNCTION("""COMPUTED_VALUE"""),"芳賀 亮輔")</f>
        <v>芳賀 亮輔</v>
      </c>
    </row>
    <row r="4257" spans="2:4" ht="13">
      <c r="B4257" s="12">
        <f ca="1">IFERROR(__xludf.DUMMYFUNCTION("""COMPUTED_VALUE"""),125691)</f>
        <v>125691</v>
      </c>
      <c r="C4257" s="14">
        <f ca="1">IFERROR(__xludf.DUMMYFUNCTION("""COMPUTED_VALUE"""),3)</f>
        <v>3</v>
      </c>
      <c r="D4257" s="12" t="str">
        <f ca="1">IFERROR(__xludf.DUMMYFUNCTION("""COMPUTED_VALUE"""),"老田 純輝")</f>
        <v>老田 純輝</v>
      </c>
    </row>
    <row r="4258" spans="2:4" ht="13">
      <c r="B4258" s="12">
        <f ca="1">IFERROR(__xludf.DUMMYFUNCTION("""COMPUTED_VALUE"""),125694)</f>
        <v>125694</v>
      </c>
      <c r="C4258" s="14">
        <f ca="1">IFERROR(__xludf.DUMMYFUNCTION("""COMPUTED_VALUE"""),9)</f>
        <v>9</v>
      </c>
      <c r="D4258" s="12" t="str">
        <f ca="1">IFERROR(__xludf.DUMMYFUNCTION("""COMPUTED_VALUE"""),"老田 純輝")</f>
        <v>老田 純輝</v>
      </c>
    </row>
    <row r="4259" spans="2:4" ht="13">
      <c r="B4259" s="12">
        <f ca="1">IFERROR(__xludf.DUMMYFUNCTION("""COMPUTED_VALUE"""),125695)</f>
        <v>125695</v>
      </c>
      <c r="C4259" s="14">
        <f ca="1">IFERROR(__xludf.DUMMYFUNCTION("""COMPUTED_VALUE"""),34)</f>
        <v>34</v>
      </c>
      <c r="D4259" s="12" t="str">
        <f ca="1">IFERROR(__xludf.DUMMYFUNCTION("""COMPUTED_VALUE"""),"老田 純輝")</f>
        <v>老田 純輝</v>
      </c>
    </row>
    <row r="4260" spans="2:4" ht="13">
      <c r="B4260" s="12">
        <f ca="1">IFERROR(__xludf.DUMMYFUNCTION("""COMPUTED_VALUE"""),125696)</f>
        <v>125696</v>
      </c>
      <c r="C4260" s="14">
        <f ca="1">IFERROR(__xludf.DUMMYFUNCTION("""COMPUTED_VALUE"""),3)</f>
        <v>3</v>
      </c>
      <c r="D4260" s="12" t="str">
        <f ca="1">IFERROR(__xludf.DUMMYFUNCTION("""COMPUTED_VALUE"""),"老田 純輝")</f>
        <v>老田 純輝</v>
      </c>
    </row>
    <row r="4261" spans="2:4" ht="13">
      <c r="B4261" s="12">
        <f ca="1">IFERROR(__xludf.DUMMYFUNCTION("""COMPUTED_VALUE"""),125700)</f>
        <v>125700</v>
      </c>
      <c r="C4261" s="14">
        <f ca="1">IFERROR(__xludf.DUMMYFUNCTION("""COMPUTED_VALUE"""),11)</f>
        <v>11</v>
      </c>
      <c r="D4261" s="12" t="str">
        <f ca="1">IFERROR(__xludf.DUMMYFUNCTION("""COMPUTED_VALUE"""),"老田 純輝")</f>
        <v>老田 純輝</v>
      </c>
    </row>
    <row r="4262" spans="2:4" ht="13">
      <c r="B4262" s="12">
        <f ca="1">IFERROR(__xludf.DUMMYFUNCTION("""COMPUTED_VALUE"""),125701)</f>
        <v>125701</v>
      </c>
      <c r="C4262" s="14">
        <f ca="1">IFERROR(__xludf.DUMMYFUNCTION("""COMPUTED_VALUE"""),2)</f>
        <v>2</v>
      </c>
      <c r="D4262" s="12" t="str">
        <f ca="1">IFERROR(__xludf.DUMMYFUNCTION("""COMPUTED_VALUE"""),"老田 純輝")</f>
        <v>老田 純輝</v>
      </c>
    </row>
    <row r="4263" spans="2:4" ht="13">
      <c r="B4263" s="12">
        <f ca="1">IFERROR(__xludf.DUMMYFUNCTION("""COMPUTED_VALUE"""),125704)</f>
        <v>125704</v>
      </c>
      <c r="C4263" s="14">
        <f ca="1">IFERROR(__xludf.DUMMYFUNCTION("""COMPUTED_VALUE"""),5)</f>
        <v>5</v>
      </c>
      <c r="D4263" s="12" t="str">
        <f ca="1">IFERROR(__xludf.DUMMYFUNCTION("""COMPUTED_VALUE"""),"老田 純輝")</f>
        <v>老田 純輝</v>
      </c>
    </row>
    <row r="4264" spans="2:4" ht="13">
      <c r="B4264" s="12">
        <f ca="1">IFERROR(__xludf.DUMMYFUNCTION("""COMPUTED_VALUE"""),125712)</f>
        <v>125712</v>
      </c>
      <c r="C4264" s="14">
        <f ca="1">IFERROR(__xludf.DUMMYFUNCTION("""COMPUTED_VALUE"""),0)</f>
        <v>0</v>
      </c>
      <c r="D4264" s="12" t="str">
        <f ca="1">IFERROR(__xludf.DUMMYFUNCTION("""COMPUTED_VALUE"""),"稲場 勇介")</f>
        <v>稲場 勇介</v>
      </c>
    </row>
    <row r="4265" spans="2:4" ht="13">
      <c r="B4265" s="12">
        <f ca="1">IFERROR(__xludf.DUMMYFUNCTION("""COMPUTED_VALUE"""),125713)</f>
        <v>125713</v>
      </c>
      <c r="C4265" s="14">
        <f ca="1">IFERROR(__xludf.DUMMYFUNCTION("""COMPUTED_VALUE"""),4)</f>
        <v>4</v>
      </c>
      <c r="D4265" s="12" t="str">
        <f ca="1">IFERROR(__xludf.DUMMYFUNCTION("""COMPUTED_VALUE"""),"荻曽 克輝")</f>
        <v>荻曽 克輝</v>
      </c>
    </row>
    <row r="4266" spans="2:4" ht="13">
      <c r="B4266" s="12">
        <f ca="1">IFERROR(__xludf.DUMMYFUNCTION("""COMPUTED_VALUE"""),125714)</f>
        <v>125714</v>
      </c>
      <c r="C4266" s="14">
        <f ca="1">IFERROR(__xludf.DUMMYFUNCTION("""COMPUTED_VALUE"""),0)</f>
        <v>0</v>
      </c>
      <c r="D4266" s="12" t="str">
        <f ca="1">IFERROR(__xludf.DUMMYFUNCTION("""COMPUTED_VALUE"""),"菅野 ぎんが")</f>
        <v>菅野 ぎんが</v>
      </c>
    </row>
    <row r="4267" spans="2:4" ht="13">
      <c r="B4267" s="12">
        <f ca="1">IFERROR(__xludf.DUMMYFUNCTION("""COMPUTED_VALUE"""),125715)</f>
        <v>125715</v>
      </c>
      <c r="C4267" s="14">
        <f ca="1">IFERROR(__xludf.DUMMYFUNCTION("""COMPUTED_VALUE"""),28)</f>
        <v>28</v>
      </c>
      <c r="D4267" s="12" t="str">
        <f ca="1">IFERROR(__xludf.DUMMYFUNCTION("""COMPUTED_VALUE"""),"菅野 ぎんが")</f>
        <v>菅野 ぎんが</v>
      </c>
    </row>
    <row r="4268" spans="2:4" ht="13">
      <c r="B4268" s="12">
        <f ca="1">IFERROR(__xludf.DUMMYFUNCTION("""COMPUTED_VALUE"""),125716)</f>
        <v>125716</v>
      </c>
      <c r="C4268" s="14">
        <f ca="1">IFERROR(__xludf.DUMMYFUNCTION("""COMPUTED_VALUE"""),23)</f>
        <v>23</v>
      </c>
      <c r="D4268" s="12" t="str">
        <f ca="1">IFERROR(__xludf.DUMMYFUNCTION("""COMPUTED_VALUE"""),"成嶋 夏未")</f>
        <v>成嶋 夏未</v>
      </c>
    </row>
    <row r="4269" spans="2:4" ht="13">
      <c r="B4269" s="12">
        <f ca="1">IFERROR(__xludf.DUMMYFUNCTION("""COMPUTED_VALUE"""),125717)</f>
        <v>125717</v>
      </c>
      <c r="C4269" s="14">
        <f ca="1">IFERROR(__xludf.DUMMYFUNCTION("""COMPUTED_VALUE"""),2)</f>
        <v>2</v>
      </c>
      <c r="D4269" s="12" t="str">
        <f ca="1">IFERROR(__xludf.DUMMYFUNCTION("""COMPUTED_VALUE"""),"成嶋 夏未")</f>
        <v>成嶋 夏未</v>
      </c>
    </row>
    <row r="4270" spans="2:4" ht="13">
      <c r="B4270" s="12">
        <f ca="1">IFERROR(__xludf.DUMMYFUNCTION("""COMPUTED_VALUE"""),125718)</f>
        <v>125718</v>
      </c>
      <c r="C4270" s="14">
        <f ca="1">IFERROR(__xludf.DUMMYFUNCTION("""COMPUTED_VALUE"""),8)</f>
        <v>8</v>
      </c>
      <c r="D4270" s="12" t="str">
        <f ca="1">IFERROR(__xludf.DUMMYFUNCTION("""COMPUTED_VALUE"""),"成嶋 夏未")</f>
        <v>成嶋 夏未</v>
      </c>
    </row>
    <row r="4271" spans="2:4" ht="13">
      <c r="B4271" s="12">
        <f ca="1">IFERROR(__xludf.DUMMYFUNCTION("""COMPUTED_VALUE"""),125728)</f>
        <v>125728</v>
      </c>
      <c r="C4271" s="14">
        <f ca="1">IFERROR(__xludf.DUMMYFUNCTION("""COMPUTED_VALUE"""),9)</f>
        <v>9</v>
      </c>
      <c r="D4271" s="12" t="str">
        <f ca="1">IFERROR(__xludf.DUMMYFUNCTION("""COMPUTED_VALUE"""),"桑原 明子")</f>
        <v>桑原 明子</v>
      </c>
    </row>
    <row r="4272" spans="2:4" ht="13">
      <c r="B4272" s="12">
        <f ca="1">IFERROR(__xludf.DUMMYFUNCTION("""COMPUTED_VALUE"""),125730)</f>
        <v>125730</v>
      </c>
      <c r="C4272" s="14">
        <f ca="1">IFERROR(__xludf.DUMMYFUNCTION("""COMPUTED_VALUE"""),22)</f>
        <v>22</v>
      </c>
      <c r="D4272" s="12" t="str">
        <f ca="1">IFERROR(__xludf.DUMMYFUNCTION("""COMPUTED_VALUE"""),"桐山 勝気")</f>
        <v>桐山 勝気</v>
      </c>
    </row>
    <row r="4273" spans="2:4" ht="13">
      <c r="B4273" s="12">
        <f ca="1">IFERROR(__xludf.DUMMYFUNCTION("""COMPUTED_VALUE"""),125731)</f>
        <v>125731</v>
      </c>
      <c r="C4273" s="14">
        <f ca="1">IFERROR(__xludf.DUMMYFUNCTION("""COMPUTED_VALUE"""),94)</f>
        <v>94</v>
      </c>
      <c r="D4273" s="12" t="str">
        <f ca="1">IFERROR(__xludf.DUMMYFUNCTION("""COMPUTED_VALUE"""),"内丸 裕子")</f>
        <v>内丸 裕子</v>
      </c>
    </row>
    <row r="4274" spans="2:4" ht="13">
      <c r="B4274" s="12">
        <f ca="1">IFERROR(__xludf.DUMMYFUNCTION("""COMPUTED_VALUE"""),125732)</f>
        <v>125732</v>
      </c>
      <c r="C4274" s="14">
        <f ca="1">IFERROR(__xludf.DUMMYFUNCTION("""COMPUTED_VALUE"""),57)</f>
        <v>57</v>
      </c>
      <c r="D4274" s="12" t="str">
        <f ca="1">IFERROR(__xludf.DUMMYFUNCTION("""COMPUTED_VALUE"""),"内丸 裕子")</f>
        <v>内丸 裕子</v>
      </c>
    </row>
    <row r="4275" spans="2:4" ht="13">
      <c r="B4275" s="12">
        <f ca="1">IFERROR(__xludf.DUMMYFUNCTION("""COMPUTED_VALUE"""),125733)</f>
        <v>125733</v>
      </c>
      <c r="C4275" s="14">
        <f ca="1">IFERROR(__xludf.DUMMYFUNCTION("""COMPUTED_VALUE"""),92)</f>
        <v>92</v>
      </c>
      <c r="D4275" s="12" t="str">
        <f ca="1">IFERROR(__xludf.DUMMYFUNCTION("""COMPUTED_VALUE"""),"内丸 裕子")</f>
        <v>内丸 裕子</v>
      </c>
    </row>
    <row r="4276" spans="2:4" ht="13">
      <c r="B4276" s="12">
        <f ca="1">IFERROR(__xludf.DUMMYFUNCTION("""COMPUTED_VALUE"""),125734)</f>
        <v>125734</v>
      </c>
      <c r="C4276" s="14">
        <f ca="1">IFERROR(__xludf.DUMMYFUNCTION("""COMPUTED_VALUE"""),44)</f>
        <v>44</v>
      </c>
      <c r="D4276" s="12" t="str">
        <f ca="1">IFERROR(__xludf.DUMMYFUNCTION("""COMPUTED_VALUE"""),"内丸 裕子")</f>
        <v>内丸 裕子</v>
      </c>
    </row>
    <row r="4277" spans="2:4" ht="13">
      <c r="B4277" s="12">
        <f ca="1">IFERROR(__xludf.DUMMYFUNCTION("""COMPUTED_VALUE"""),125735)</f>
        <v>125735</v>
      </c>
      <c r="C4277" s="14">
        <f ca="1">IFERROR(__xludf.DUMMYFUNCTION("""COMPUTED_VALUE"""),32)</f>
        <v>32</v>
      </c>
      <c r="D4277" s="12" t="str">
        <f ca="1">IFERROR(__xludf.DUMMYFUNCTION("""COMPUTED_VALUE"""),"内丸 裕子")</f>
        <v>内丸 裕子</v>
      </c>
    </row>
    <row r="4278" spans="2:4" ht="13">
      <c r="B4278" s="12">
        <f ca="1">IFERROR(__xludf.DUMMYFUNCTION("""COMPUTED_VALUE"""),125737)</f>
        <v>125737</v>
      </c>
      <c r="C4278" s="14">
        <f ca="1">IFERROR(__xludf.DUMMYFUNCTION("""COMPUTED_VALUE"""),18)</f>
        <v>18</v>
      </c>
      <c r="D4278" s="12" t="str">
        <f ca="1">IFERROR(__xludf.DUMMYFUNCTION("""COMPUTED_VALUE"""),"内丸 裕子")</f>
        <v>内丸 裕子</v>
      </c>
    </row>
    <row r="4279" spans="2:4" ht="13">
      <c r="B4279" s="12">
        <f ca="1">IFERROR(__xludf.DUMMYFUNCTION("""COMPUTED_VALUE"""),125740)</f>
        <v>125740</v>
      </c>
      <c r="C4279" s="14">
        <f ca="1">IFERROR(__xludf.DUMMYFUNCTION("""COMPUTED_VALUE"""),1)</f>
        <v>1</v>
      </c>
      <c r="D4279" s="12" t="str">
        <f ca="1">IFERROR(__xludf.DUMMYFUNCTION("""COMPUTED_VALUE"""),"小川 純")</f>
        <v>小川 純</v>
      </c>
    </row>
    <row r="4280" spans="2:4" ht="13">
      <c r="B4280" s="12">
        <f ca="1">IFERROR(__xludf.DUMMYFUNCTION("""COMPUTED_VALUE"""),125741)</f>
        <v>125741</v>
      </c>
      <c r="C4280" s="14">
        <f ca="1">IFERROR(__xludf.DUMMYFUNCTION("""COMPUTED_VALUE"""),11)</f>
        <v>11</v>
      </c>
      <c r="D4280" s="12" t="str">
        <f ca="1">IFERROR(__xludf.DUMMYFUNCTION("""COMPUTED_VALUE"""),"芳賀 亮輔")</f>
        <v>芳賀 亮輔</v>
      </c>
    </row>
    <row r="4281" spans="2:4" ht="13">
      <c r="B4281" s="12">
        <f ca="1">IFERROR(__xludf.DUMMYFUNCTION("""COMPUTED_VALUE"""),125743)</f>
        <v>125743</v>
      </c>
      <c r="C4281" s="14">
        <f ca="1">IFERROR(__xludf.DUMMYFUNCTION("""COMPUTED_VALUE"""),0)</f>
        <v>0</v>
      </c>
      <c r="D4281" s="12" t="str">
        <f ca="1">IFERROR(__xludf.DUMMYFUNCTION("""COMPUTED_VALUE"""),"松尾 尚樹")</f>
        <v>松尾 尚樹</v>
      </c>
    </row>
    <row r="4282" spans="2:4" ht="13">
      <c r="B4282" s="12">
        <f ca="1">IFERROR(__xludf.DUMMYFUNCTION("""COMPUTED_VALUE"""),125744)</f>
        <v>125744</v>
      </c>
      <c r="C4282" s="14">
        <f ca="1">IFERROR(__xludf.DUMMYFUNCTION("""COMPUTED_VALUE"""),14)</f>
        <v>14</v>
      </c>
      <c r="D4282" s="12" t="str">
        <f ca="1">IFERROR(__xludf.DUMMYFUNCTION("""COMPUTED_VALUE"""),"老田 純輝")</f>
        <v>老田 純輝</v>
      </c>
    </row>
    <row r="4283" spans="2:4" ht="13">
      <c r="B4283" s="12">
        <f ca="1">IFERROR(__xludf.DUMMYFUNCTION("""COMPUTED_VALUE"""),125745)</f>
        <v>125745</v>
      </c>
      <c r="C4283" s="14">
        <f ca="1">IFERROR(__xludf.DUMMYFUNCTION("""COMPUTED_VALUE"""),27)</f>
        <v>27</v>
      </c>
      <c r="D4283" s="12" t="str">
        <f ca="1">IFERROR(__xludf.DUMMYFUNCTION("""COMPUTED_VALUE"""),"菅野 ぎんが")</f>
        <v>菅野 ぎんが</v>
      </c>
    </row>
    <row r="4284" spans="2:4" ht="13">
      <c r="B4284" s="12">
        <f ca="1">IFERROR(__xludf.DUMMYFUNCTION("""COMPUTED_VALUE"""),125748)</f>
        <v>125748</v>
      </c>
      <c r="C4284" s="14">
        <f ca="1">IFERROR(__xludf.DUMMYFUNCTION("""COMPUTED_VALUE"""),28)</f>
        <v>28</v>
      </c>
      <c r="D4284" s="12" t="str">
        <f ca="1">IFERROR(__xludf.DUMMYFUNCTION("""COMPUTED_VALUE"""),"芳賀 亮輔")</f>
        <v>芳賀 亮輔</v>
      </c>
    </row>
    <row r="4285" spans="2:4" ht="13">
      <c r="B4285" s="12">
        <f ca="1">IFERROR(__xludf.DUMMYFUNCTION("""COMPUTED_VALUE"""),125753)</f>
        <v>125753</v>
      </c>
      <c r="C4285" s="14">
        <f ca="1">IFERROR(__xludf.DUMMYFUNCTION("""COMPUTED_VALUE"""),0)</f>
        <v>0</v>
      </c>
      <c r="D4285" s="12" t="str">
        <f ca="1">IFERROR(__xludf.DUMMYFUNCTION("""COMPUTED_VALUE"""),"内丸 裕子")</f>
        <v>内丸 裕子</v>
      </c>
    </row>
    <row r="4286" spans="2:4" ht="13">
      <c r="B4286" s="12">
        <f ca="1">IFERROR(__xludf.DUMMYFUNCTION("""COMPUTED_VALUE"""),125756)</f>
        <v>125756</v>
      </c>
      <c r="C4286" s="14">
        <f ca="1">IFERROR(__xludf.DUMMYFUNCTION("""COMPUTED_VALUE"""),0)</f>
        <v>0</v>
      </c>
      <c r="D4286" s="12" t="str">
        <f ca="1">IFERROR(__xludf.DUMMYFUNCTION("""COMPUTED_VALUE"""),"松尾 尚樹")</f>
        <v>松尾 尚樹</v>
      </c>
    </row>
    <row r="4287" spans="2:4" ht="13">
      <c r="B4287" s="12">
        <f ca="1">IFERROR(__xludf.DUMMYFUNCTION("""COMPUTED_VALUE"""),125761)</f>
        <v>125761</v>
      </c>
      <c r="C4287" s="14">
        <f ca="1">IFERROR(__xludf.DUMMYFUNCTION("""COMPUTED_VALUE"""),15)</f>
        <v>15</v>
      </c>
      <c r="D4287" s="12" t="str">
        <f ca="1">IFERROR(__xludf.DUMMYFUNCTION("""COMPUTED_VALUE"""),"菅野 ぎんが")</f>
        <v>菅野 ぎんが</v>
      </c>
    </row>
    <row r="4288" spans="2:4" ht="13">
      <c r="B4288" s="12">
        <f ca="1">IFERROR(__xludf.DUMMYFUNCTION("""COMPUTED_VALUE"""),125762)</f>
        <v>125762</v>
      </c>
      <c r="C4288" s="14">
        <f ca="1">IFERROR(__xludf.DUMMYFUNCTION("""COMPUTED_VALUE"""),8)</f>
        <v>8</v>
      </c>
      <c r="D4288" s="12" t="str">
        <f ca="1">IFERROR(__xludf.DUMMYFUNCTION("""COMPUTED_VALUE"""),"菅野 ぎんが")</f>
        <v>菅野 ぎんが</v>
      </c>
    </row>
    <row r="4289" spans="2:4" ht="13">
      <c r="B4289" s="12">
        <f ca="1">IFERROR(__xludf.DUMMYFUNCTION("""COMPUTED_VALUE"""),125763)</f>
        <v>125763</v>
      </c>
      <c r="C4289" s="14">
        <f ca="1">IFERROR(__xludf.DUMMYFUNCTION("""COMPUTED_VALUE"""),5)</f>
        <v>5</v>
      </c>
      <c r="D4289" s="12" t="str">
        <f ca="1">IFERROR(__xludf.DUMMYFUNCTION("""COMPUTED_VALUE"""),"菅野 ぎんが")</f>
        <v>菅野 ぎんが</v>
      </c>
    </row>
    <row r="4290" spans="2:4" ht="13">
      <c r="B4290" s="12">
        <f ca="1">IFERROR(__xludf.DUMMYFUNCTION("""COMPUTED_VALUE"""),125764)</f>
        <v>125764</v>
      </c>
      <c r="C4290" s="14">
        <f ca="1">IFERROR(__xludf.DUMMYFUNCTION("""COMPUTED_VALUE"""),7)</f>
        <v>7</v>
      </c>
      <c r="D4290" s="12" t="str">
        <f ca="1">IFERROR(__xludf.DUMMYFUNCTION("""COMPUTED_VALUE"""),"菅野 ぎんが")</f>
        <v>菅野 ぎんが</v>
      </c>
    </row>
    <row r="4291" spans="2:4" ht="13">
      <c r="B4291" s="12">
        <f ca="1">IFERROR(__xludf.DUMMYFUNCTION("""COMPUTED_VALUE"""),125765)</f>
        <v>125765</v>
      </c>
      <c r="C4291" s="14">
        <f ca="1">IFERROR(__xludf.DUMMYFUNCTION("""COMPUTED_VALUE"""),8)</f>
        <v>8</v>
      </c>
      <c r="D4291" s="12" t="str">
        <f ca="1">IFERROR(__xludf.DUMMYFUNCTION("""COMPUTED_VALUE"""),"菅野 ぎんが")</f>
        <v>菅野 ぎんが</v>
      </c>
    </row>
    <row r="4292" spans="2:4" ht="13">
      <c r="B4292" s="12">
        <f ca="1">IFERROR(__xludf.DUMMYFUNCTION("""COMPUTED_VALUE"""),125766)</f>
        <v>125766</v>
      </c>
      <c r="C4292" s="14">
        <f ca="1">IFERROR(__xludf.DUMMYFUNCTION("""COMPUTED_VALUE"""),8)</f>
        <v>8</v>
      </c>
      <c r="D4292" s="12" t="str">
        <f ca="1">IFERROR(__xludf.DUMMYFUNCTION("""COMPUTED_VALUE"""),"菅野 ぎんが")</f>
        <v>菅野 ぎんが</v>
      </c>
    </row>
    <row r="4293" spans="2:4" ht="13">
      <c r="B4293" s="12">
        <f ca="1">IFERROR(__xludf.DUMMYFUNCTION("""COMPUTED_VALUE"""),125767)</f>
        <v>125767</v>
      </c>
      <c r="C4293" s="14">
        <f ca="1">IFERROR(__xludf.DUMMYFUNCTION("""COMPUTED_VALUE"""),7)</f>
        <v>7</v>
      </c>
      <c r="D4293" s="12" t="str">
        <f ca="1">IFERROR(__xludf.DUMMYFUNCTION("""COMPUTED_VALUE"""),"菅野 ぎんが")</f>
        <v>菅野 ぎんが</v>
      </c>
    </row>
    <row r="4294" spans="2:4" ht="13">
      <c r="B4294" s="12">
        <f ca="1">IFERROR(__xludf.DUMMYFUNCTION("""COMPUTED_VALUE"""),125768)</f>
        <v>125768</v>
      </c>
      <c r="C4294" s="14">
        <f ca="1">IFERROR(__xludf.DUMMYFUNCTION("""COMPUTED_VALUE"""),8)</f>
        <v>8</v>
      </c>
      <c r="D4294" s="12" t="str">
        <f ca="1">IFERROR(__xludf.DUMMYFUNCTION("""COMPUTED_VALUE"""),"菅野 ぎんが")</f>
        <v>菅野 ぎんが</v>
      </c>
    </row>
    <row r="4295" spans="2:4" ht="13">
      <c r="B4295" s="12">
        <f ca="1">IFERROR(__xludf.DUMMYFUNCTION("""COMPUTED_VALUE"""),125769)</f>
        <v>125769</v>
      </c>
      <c r="C4295" s="14">
        <f ca="1">IFERROR(__xludf.DUMMYFUNCTION("""COMPUTED_VALUE"""),5)</f>
        <v>5</v>
      </c>
      <c r="D4295" s="12" t="str">
        <f ca="1">IFERROR(__xludf.DUMMYFUNCTION("""COMPUTED_VALUE"""),"菅野 ぎんが")</f>
        <v>菅野 ぎんが</v>
      </c>
    </row>
    <row r="4296" spans="2:4" ht="13">
      <c r="B4296" s="12">
        <f ca="1">IFERROR(__xludf.DUMMYFUNCTION("""COMPUTED_VALUE"""),125771)</f>
        <v>125771</v>
      </c>
      <c r="C4296" s="14">
        <f ca="1">IFERROR(__xludf.DUMMYFUNCTION("""COMPUTED_VALUE"""),0)</f>
        <v>0</v>
      </c>
      <c r="D4296" s="12" t="str">
        <f ca="1">IFERROR(__xludf.DUMMYFUNCTION("""COMPUTED_VALUE"""),"菅野 ぎんが")</f>
        <v>菅野 ぎんが</v>
      </c>
    </row>
    <row r="4297" spans="2:4" ht="13">
      <c r="B4297" s="12">
        <f ca="1">IFERROR(__xludf.DUMMYFUNCTION("""COMPUTED_VALUE"""),125775)</f>
        <v>125775</v>
      </c>
      <c r="C4297" s="14">
        <f ca="1">IFERROR(__xludf.DUMMYFUNCTION("""COMPUTED_VALUE"""),0)</f>
        <v>0</v>
      </c>
      <c r="D4297" s="12" t="str">
        <f ca="1">IFERROR(__xludf.DUMMYFUNCTION("""COMPUTED_VALUE"""),"小川 純")</f>
        <v>小川 純</v>
      </c>
    </row>
    <row r="4298" spans="2:4" ht="13">
      <c r="B4298" s="12">
        <f ca="1">IFERROR(__xludf.DUMMYFUNCTION("""COMPUTED_VALUE"""),125777)</f>
        <v>125777</v>
      </c>
      <c r="C4298" s="14">
        <f ca="1">IFERROR(__xludf.DUMMYFUNCTION("""COMPUTED_VALUE"""),0)</f>
        <v>0</v>
      </c>
      <c r="D4298" s="12" t="str">
        <f ca="1">IFERROR(__xludf.DUMMYFUNCTION("""COMPUTED_VALUE"""),"森 光智")</f>
        <v>森 光智</v>
      </c>
    </row>
    <row r="4299" spans="2:4" ht="13">
      <c r="B4299" s="12">
        <f ca="1">IFERROR(__xludf.DUMMYFUNCTION("""COMPUTED_VALUE"""),125802)</f>
        <v>125802</v>
      </c>
      <c r="C4299" s="14">
        <f ca="1">IFERROR(__xludf.DUMMYFUNCTION("""COMPUTED_VALUE"""),121)</f>
        <v>121</v>
      </c>
      <c r="D4299" s="12" t="str">
        <f ca="1">IFERROR(__xludf.DUMMYFUNCTION("""COMPUTED_VALUE"""),"栗原 大武")</f>
        <v>栗原 大武</v>
      </c>
    </row>
    <row r="4300" spans="2:4" ht="13">
      <c r="B4300" s="12">
        <f ca="1">IFERROR(__xludf.DUMMYFUNCTION("""COMPUTED_VALUE"""),125803)</f>
        <v>125803</v>
      </c>
      <c r="C4300" s="14">
        <f ca="1">IFERROR(__xludf.DUMMYFUNCTION("""COMPUTED_VALUE"""),13)</f>
        <v>13</v>
      </c>
      <c r="D4300" s="12" t="str">
        <f ca="1">IFERROR(__xludf.DUMMYFUNCTION("""COMPUTED_VALUE"""),"小川 純")</f>
        <v>小川 純</v>
      </c>
    </row>
    <row r="4301" spans="2:4" ht="13">
      <c r="B4301" s="12">
        <f ca="1">IFERROR(__xludf.DUMMYFUNCTION("""COMPUTED_VALUE"""),125808)</f>
        <v>125808</v>
      </c>
      <c r="C4301" s="14">
        <f ca="1">IFERROR(__xludf.DUMMYFUNCTION("""COMPUTED_VALUE"""),0)</f>
        <v>0</v>
      </c>
      <c r="D4301" s="12" t="str">
        <f ca="1">IFERROR(__xludf.DUMMYFUNCTION("""COMPUTED_VALUE"""),"桑原 明子")</f>
        <v>桑原 明子</v>
      </c>
    </row>
    <row r="4302" spans="2:4" ht="13">
      <c r="B4302" s="12">
        <f ca="1">IFERROR(__xludf.DUMMYFUNCTION("""COMPUTED_VALUE"""),125809)</f>
        <v>125809</v>
      </c>
      <c r="C4302" s="14">
        <f ca="1">IFERROR(__xludf.DUMMYFUNCTION("""COMPUTED_VALUE"""),0)</f>
        <v>0</v>
      </c>
      <c r="D4302" s="12" t="str">
        <f ca="1">IFERROR(__xludf.DUMMYFUNCTION("""COMPUTED_VALUE"""),"荻曽 克輝")</f>
        <v>荻曽 克輝</v>
      </c>
    </row>
    <row r="4303" spans="2:4" ht="13">
      <c r="B4303" s="12">
        <f ca="1">IFERROR(__xludf.DUMMYFUNCTION("""COMPUTED_VALUE"""),125820)</f>
        <v>125820</v>
      </c>
      <c r="C4303" s="14">
        <f ca="1">IFERROR(__xludf.DUMMYFUNCTION("""COMPUTED_VALUE"""),55)</f>
        <v>55</v>
      </c>
      <c r="D4303" s="12" t="str">
        <f ca="1">IFERROR(__xludf.DUMMYFUNCTION("""COMPUTED_VALUE"""),"荻曽 克輝")</f>
        <v>荻曽 克輝</v>
      </c>
    </row>
    <row r="4304" spans="2:4" ht="13">
      <c r="B4304" s="12">
        <f ca="1">IFERROR(__xludf.DUMMYFUNCTION("""COMPUTED_VALUE"""),125822)</f>
        <v>125822</v>
      </c>
      <c r="C4304" s="14">
        <f ca="1">IFERROR(__xludf.DUMMYFUNCTION("""COMPUTED_VALUE"""),3)</f>
        <v>3</v>
      </c>
      <c r="D4304" s="12" t="str">
        <f ca="1">IFERROR(__xludf.DUMMYFUNCTION("""COMPUTED_VALUE"""),"菅野 ぎんが")</f>
        <v>菅野 ぎんが</v>
      </c>
    </row>
    <row r="4305" spans="2:4" ht="13">
      <c r="B4305" s="12">
        <f ca="1">IFERROR(__xludf.DUMMYFUNCTION("""COMPUTED_VALUE"""),125823)</f>
        <v>125823</v>
      </c>
      <c r="C4305" s="14">
        <f ca="1">IFERROR(__xludf.DUMMYFUNCTION("""COMPUTED_VALUE"""),0)</f>
        <v>0</v>
      </c>
      <c r="D4305" s="12" t="str">
        <f ca="1">IFERROR(__xludf.DUMMYFUNCTION("""COMPUTED_VALUE"""),"荻曽 克輝")</f>
        <v>荻曽 克輝</v>
      </c>
    </row>
    <row r="4306" spans="2:4" ht="13">
      <c r="B4306" s="12">
        <f ca="1">IFERROR(__xludf.DUMMYFUNCTION("""COMPUTED_VALUE"""),125829)</f>
        <v>125829</v>
      </c>
      <c r="C4306" s="14">
        <f ca="1">IFERROR(__xludf.DUMMYFUNCTION("""COMPUTED_VALUE"""),20)</f>
        <v>20</v>
      </c>
      <c r="D4306" s="12" t="str">
        <f ca="1">IFERROR(__xludf.DUMMYFUNCTION("""COMPUTED_VALUE"""),"老田 純輝")</f>
        <v>老田 純輝</v>
      </c>
    </row>
    <row r="4307" spans="2:4" ht="13">
      <c r="B4307" s="12">
        <f ca="1">IFERROR(__xludf.DUMMYFUNCTION("""COMPUTED_VALUE"""),125842)</f>
        <v>125842</v>
      </c>
      <c r="C4307" s="14">
        <f ca="1">IFERROR(__xludf.DUMMYFUNCTION("""COMPUTED_VALUE"""),5)</f>
        <v>5</v>
      </c>
      <c r="D4307" s="12" t="str">
        <f ca="1">IFERROR(__xludf.DUMMYFUNCTION("""COMPUTED_VALUE"""),"川島 幹也")</f>
        <v>川島 幹也</v>
      </c>
    </row>
    <row r="4308" spans="2:4" ht="13">
      <c r="B4308" s="12">
        <f ca="1">IFERROR(__xludf.DUMMYFUNCTION("""COMPUTED_VALUE"""),125849)</f>
        <v>125849</v>
      </c>
      <c r="C4308" s="14">
        <f ca="1">IFERROR(__xludf.DUMMYFUNCTION("""COMPUTED_VALUE"""),6)</f>
        <v>6</v>
      </c>
      <c r="D4308" s="12" t="str">
        <f ca="1">IFERROR(__xludf.DUMMYFUNCTION("""COMPUTED_VALUE"""),"内丸 裕子")</f>
        <v>内丸 裕子</v>
      </c>
    </row>
    <row r="4309" spans="2:4" ht="13">
      <c r="B4309" s="12">
        <f ca="1">IFERROR(__xludf.DUMMYFUNCTION("""COMPUTED_VALUE"""),125853)</f>
        <v>125853</v>
      </c>
      <c r="C4309" s="14">
        <f ca="1">IFERROR(__xludf.DUMMYFUNCTION("""COMPUTED_VALUE"""),26)</f>
        <v>26</v>
      </c>
      <c r="D4309" s="12" t="str">
        <f ca="1">IFERROR(__xludf.DUMMYFUNCTION("""COMPUTED_VALUE"""),"稲場 勇介")</f>
        <v>稲場 勇介</v>
      </c>
    </row>
    <row r="4310" spans="2:4" ht="13">
      <c r="B4310" s="12">
        <f ca="1">IFERROR(__xludf.DUMMYFUNCTION("""COMPUTED_VALUE"""),125854)</f>
        <v>125854</v>
      </c>
      <c r="C4310" s="14">
        <f ca="1">IFERROR(__xludf.DUMMYFUNCTION("""COMPUTED_VALUE"""),0)</f>
        <v>0</v>
      </c>
      <c r="D4310" s="12" t="str">
        <f ca="1">IFERROR(__xludf.DUMMYFUNCTION("""COMPUTED_VALUE"""),"成嶋 夏未")</f>
        <v>成嶋 夏未</v>
      </c>
    </row>
    <row r="4311" spans="2:4" ht="13">
      <c r="B4311" s="12">
        <f ca="1">IFERROR(__xludf.DUMMYFUNCTION("""COMPUTED_VALUE"""),125862)</f>
        <v>125862</v>
      </c>
      <c r="C4311" s="14">
        <f ca="1">IFERROR(__xludf.DUMMYFUNCTION("""COMPUTED_VALUE"""),5)</f>
        <v>5</v>
      </c>
      <c r="D4311" s="12" t="str">
        <f ca="1">IFERROR(__xludf.DUMMYFUNCTION("""COMPUTED_VALUE"""),"稲場 勇介")</f>
        <v>稲場 勇介</v>
      </c>
    </row>
    <row r="4312" spans="2:4" ht="13">
      <c r="B4312" s="12">
        <f ca="1">IFERROR(__xludf.DUMMYFUNCTION("""COMPUTED_VALUE"""),125865)</f>
        <v>125865</v>
      </c>
      <c r="C4312" s="14">
        <f ca="1">IFERROR(__xludf.DUMMYFUNCTION("""COMPUTED_VALUE"""),0)</f>
        <v>0</v>
      </c>
      <c r="D4312" s="12" t="str">
        <f ca="1">IFERROR(__xludf.DUMMYFUNCTION("""COMPUTED_VALUE"""),"小関 麻起")</f>
        <v>小関 麻起</v>
      </c>
    </row>
    <row r="4313" spans="2:4" ht="13">
      <c r="B4313" s="12">
        <f ca="1">IFERROR(__xludf.DUMMYFUNCTION("""COMPUTED_VALUE"""),125870)</f>
        <v>125870</v>
      </c>
      <c r="C4313" s="14">
        <f ca="1">IFERROR(__xludf.DUMMYFUNCTION("""COMPUTED_VALUE"""),0)</f>
        <v>0</v>
      </c>
      <c r="D4313" s="12" t="str">
        <f ca="1">IFERROR(__xludf.DUMMYFUNCTION("""COMPUTED_VALUE"""),"荻曽 克輝")</f>
        <v>荻曽 克輝</v>
      </c>
    </row>
    <row r="4314" spans="2:4" ht="13">
      <c r="B4314" s="12">
        <f ca="1">IFERROR(__xludf.DUMMYFUNCTION("""COMPUTED_VALUE"""),125872)</f>
        <v>125872</v>
      </c>
      <c r="C4314" s="14">
        <f ca="1">IFERROR(__xludf.DUMMYFUNCTION("""COMPUTED_VALUE"""),0)</f>
        <v>0</v>
      </c>
      <c r="D4314" s="12" t="str">
        <f ca="1">IFERROR(__xludf.DUMMYFUNCTION("""COMPUTED_VALUE"""),"菅野 ぎんが")</f>
        <v>菅野 ぎんが</v>
      </c>
    </row>
    <row r="4315" spans="2:4" ht="13">
      <c r="B4315" s="12">
        <f ca="1">IFERROR(__xludf.DUMMYFUNCTION("""COMPUTED_VALUE"""),125873)</f>
        <v>125873</v>
      </c>
      <c r="C4315" s="14">
        <f ca="1">IFERROR(__xludf.DUMMYFUNCTION("""COMPUTED_VALUE"""),1)</f>
        <v>1</v>
      </c>
      <c r="D4315" s="12" t="str">
        <f ca="1">IFERROR(__xludf.DUMMYFUNCTION("""COMPUTED_VALUE"""),"川島 幹也")</f>
        <v>川島 幹也</v>
      </c>
    </row>
    <row r="4316" spans="2:4" ht="13">
      <c r="B4316" s="12">
        <f ca="1">IFERROR(__xludf.DUMMYFUNCTION("""COMPUTED_VALUE"""),125876)</f>
        <v>125876</v>
      </c>
      <c r="C4316" s="14">
        <f ca="1">IFERROR(__xludf.DUMMYFUNCTION("""COMPUTED_VALUE"""),0)</f>
        <v>0</v>
      </c>
      <c r="D4316" s="12" t="str">
        <f ca="1">IFERROR(__xludf.DUMMYFUNCTION("""COMPUTED_VALUE"""),"成嶋 夏未")</f>
        <v>成嶋 夏未</v>
      </c>
    </row>
    <row r="4317" spans="2:4" ht="13">
      <c r="B4317" s="12">
        <f ca="1">IFERROR(__xludf.DUMMYFUNCTION("""COMPUTED_VALUE"""),125880)</f>
        <v>125880</v>
      </c>
      <c r="C4317" s="14">
        <f ca="1">IFERROR(__xludf.DUMMYFUNCTION("""COMPUTED_VALUE"""),10)</f>
        <v>10</v>
      </c>
      <c r="D4317" s="12" t="str">
        <f ca="1">IFERROR(__xludf.DUMMYFUNCTION("""COMPUTED_VALUE"""),"成嶋 夏未")</f>
        <v>成嶋 夏未</v>
      </c>
    </row>
    <row r="4318" spans="2:4" ht="13">
      <c r="B4318" s="12">
        <f ca="1">IFERROR(__xludf.DUMMYFUNCTION("""COMPUTED_VALUE"""),125881)</f>
        <v>125881</v>
      </c>
      <c r="C4318" s="14">
        <f ca="1">IFERROR(__xludf.DUMMYFUNCTION("""COMPUTED_VALUE"""),9)</f>
        <v>9</v>
      </c>
      <c r="D4318" s="12" t="str">
        <f ca="1">IFERROR(__xludf.DUMMYFUNCTION("""COMPUTED_VALUE"""),"稲場 勇介")</f>
        <v>稲場 勇介</v>
      </c>
    </row>
    <row r="4319" spans="2:4" ht="13">
      <c r="B4319" s="12">
        <f ca="1">IFERROR(__xludf.DUMMYFUNCTION("""COMPUTED_VALUE"""),125885)</f>
        <v>125885</v>
      </c>
      <c r="C4319" s="14">
        <f ca="1">IFERROR(__xludf.DUMMYFUNCTION("""COMPUTED_VALUE"""),0)</f>
        <v>0</v>
      </c>
      <c r="D4319" s="12" t="str">
        <f ca="1">IFERROR(__xludf.DUMMYFUNCTION("""COMPUTED_VALUE"""),"老田 純輝")</f>
        <v>老田 純輝</v>
      </c>
    </row>
    <row r="4320" spans="2:4" ht="13">
      <c r="B4320" s="12">
        <f ca="1">IFERROR(__xludf.DUMMYFUNCTION("""COMPUTED_VALUE"""),125888)</f>
        <v>125888</v>
      </c>
      <c r="C4320" s="14">
        <f ca="1">IFERROR(__xludf.DUMMYFUNCTION("""COMPUTED_VALUE"""),6)</f>
        <v>6</v>
      </c>
      <c r="D4320" s="12" t="str">
        <f ca="1">IFERROR(__xludf.DUMMYFUNCTION("""COMPUTED_VALUE"""),"田嶋 将太")</f>
        <v>田嶋 将太</v>
      </c>
    </row>
    <row r="4321" spans="2:4" ht="13">
      <c r="B4321" s="12">
        <f ca="1">IFERROR(__xludf.DUMMYFUNCTION("""COMPUTED_VALUE"""),125892)</f>
        <v>125892</v>
      </c>
      <c r="C4321" s="14">
        <f ca="1">IFERROR(__xludf.DUMMYFUNCTION("""COMPUTED_VALUE"""),0)</f>
        <v>0</v>
      </c>
      <c r="D4321" s="12" t="str">
        <f ca="1">IFERROR(__xludf.DUMMYFUNCTION("""COMPUTED_VALUE"""),"内丸 裕子")</f>
        <v>内丸 裕子</v>
      </c>
    </row>
    <row r="4322" spans="2:4" ht="13">
      <c r="B4322" s="12">
        <f ca="1">IFERROR(__xludf.DUMMYFUNCTION("""COMPUTED_VALUE"""),125897)</f>
        <v>125897</v>
      </c>
      <c r="C4322" s="14">
        <f ca="1">IFERROR(__xludf.DUMMYFUNCTION("""COMPUTED_VALUE"""),9)</f>
        <v>9</v>
      </c>
      <c r="D4322" s="12" t="str">
        <f ca="1">IFERROR(__xludf.DUMMYFUNCTION("""COMPUTED_VALUE"""),"栗原 大武")</f>
        <v>栗原 大武</v>
      </c>
    </row>
    <row r="4323" spans="2:4" ht="13">
      <c r="B4323" s="12">
        <f ca="1">IFERROR(__xludf.DUMMYFUNCTION("""COMPUTED_VALUE"""),125899)</f>
        <v>125899</v>
      </c>
      <c r="C4323" s="14">
        <f ca="1">IFERROR(__xludf.DUMMYFUNCTION("""COMPUTED_VALUE"""),0)</f>
        <v>0</v>
      </c>
      <c r="D4323" s="12" t="str">
        <f ca="1">IFERROR(__xludf.DUMMYFUNCTION("""COMPUTED_VALUE"""),"村上 浩一朗")</f>
        <v>村上 浩一朗</v>
      </c>
    </row>
    <row r="4324" spans="2:4" ht="13">
      <c r="B4324" s="12">
        <f ca="1">IFERROR(__xludf.DUMMYFUNCTION("""COMPUTED_VALUE"""),125902)</f>
        <v>125902</v>
      </c>
      <c r="C4324" s="14">
        <f ca="1">IFERROR(__xludf.DUMMYFUNCTION("""COMPUTED_VALUE"""),41)</f>
        <v>41</v>
      </c>
      <c r="D4324" s="12" t="str">
        <f ca="1">IFERROR(__xludf.DUMMYFUNCTION("""COMPUTED_VALUE"""),"小川 純")</f>
        <v>小川 純</v>
      </c>
    </row>
    <row r="4325" spans="2:4" ht="13">
      <c r="B4325" s="12">
        <f ca="1">IFERROR(__xludf.DUMMYFUNCTION("""COMPUTED_VALUE"""),125905)</f>
        <v>125905</v>
      </c>
      <c r="C4325" s="14">
        <f ca="1">IFERROR(__xludf.DUMMYFUNCTION("""COMPUTED_VALUE"""),0)</f>
        <v>0</v>
      </c>
      <c r="D4325" s="12" t="str">
        <f ca="1">IFERROR(__xludf.DUMMYFUNCTION("""COMPUTED_VALUE"""),"小川 純")</f>
        <v>小川 純</v>
      </c>
    </row>
    <row r="4326" spans="2:4" ht="13">
      <c r="B4326" s="12">
        <f ca="1">IFERROR(__xludf.DUMMYFUNCTION("""COMPUTED_VALUE"""),125912)</f>
        <v>125912</v>
      </c>
      <c r="C4326" s="14">
        <f ca="1">IFERROR(__xludf.DUMMYFUNCTION("""COMPUTED_VALUE"""),0)</f>
        <v>0</v>
      </c>
      <c r="D4326" s="12" t="str">
        <f ca="1">IFERROR(__xludf.DUMMYFUNCTION("""COMPUTED_VALUE"""),"小関 麻起")</f>
        <v>小関 麻起</v>
      </c>
    </row>
    <row r="4327" spans="2:4" ht="13">
      <c r="B4327" s="12">
        <f ca="1">IFERROR(__xludf.DUMMYFUNCTION("""COMPUTED_VALUE"""),125917)</f>
        <v>125917</v>
      </c>
      <c r="C4327" s="14">
        <f ca="1">IFERROR(__xludf.DUMMYFUNCTION("""COMPUTED_VALUE"""),1)</f>
        <v>1</v>
      </c>
      <c r="D4327" s="12" t="str">
        <f ca="1">IFERROR(__xludf.DUMMYFUNCTION("""COMPUTED_VALUE"""),"内丸 裕子")</f>
        <v>内丸 裕子</v>
      </c>
    </row>
    <row r="4328" spans="2:4" ht="13">
      <c r="B4328" s="12">
        <f ca="1">IFERROR(__xludf.DUMMYFUNCTION("""COMPUTED_VALUE"""),125921)</f>
        <v>125921</v>
      </c>
      <c r="C4328" s="14">
        <f ca="1">IFERROR(__xludf.DUMMYFUNCTION("""COMPUTED_VALUE"""),0)</f>
        <v>0</v>
      </c>
      <c r="D4328" s="12" t="str">
        <f ca="1">IFERROR(__xludf.DUMMYFUNCTION("""COMPUTED_VALUE"""),"辻村 将大")</f>
        <v>辻村 将大</v>
      </c>
    </row>
    <row r="4329" spans="2:4" ht="13">
      <c r="B4329" s="12">
        <f ca="1">IFERROR(__xludf.DUMMYFUNCTION("""COMPUTED_VALUE"""),125923)</f>
        <v>125923</v>
      </c>
      <c r="C4329" s="14">
        <f ca="1">IFERROR(__xludf.DUMMYFUNCTION("""COMPUTED_VALUE"""),0)</f>
        <v>0</v>
      </c>
      <c r="D4329" s="12" t="str">
        <f ca="1">IFERROR(__xludf.DUMMYFUNCTION("""COMPUTED_VALUE"""),"稲場 勇介")</f>
        <v>稲場 勇介</v>
      </c>
    </row>
    <row r="4330" spans="2:4" ht="13">
      <c r="B4330" s="12">
        <f ca="1">IFERROR(__xludf.DUMMYFUNCTION("""COMPUTED_VALUE"""),125926)</f>
        <v>125926</v>
      </c>
      <c r="C4330" s="14">
        <f ca="1">IFERROR(__xludf.DUMMYFUNCTION("""COMPUTED_VALUE"""),19)</f>
        <v>19</v>
      </c>
      <c r="D4330" s="12" t="str">
        <f ca="1">IFERROR(__xludf.DUMMYFUNCTION("""COMPUTED_VALUE"""),"成嶋 夏未")</f>
        <v>成嶋 夏未</v>
      </c>
    </row>
    <row r="4331" spans="2:4" ht="13">
      <c r="B4331" s="12">
        <f ca="1">IFERROR(__xludf.DUMMYFUNCTION("""COMPUTED_VALUE"""),125928)</f>
        <v>125928</v>
      </c>
      <c r="C4331" s="14">
        <f ca="1">IFERROR(__xludf.DUMMYFUNCTION("""COMPUTED_VALUE"""),0)</f>
        <v>0</v>
      </c>
      <c r="D4331" s="12" t="str">
        <f ca="1">IFERROR(__xludf.DUMMYFUNCTION("""COMPUTED_VALUE"""),"桑原 明子")</f>
        <v>桑原 明子</v>
      </c>
    </row>
    <row r="4332" spans="2:4" ht="13">
      <c r="B4332" s="12">
        <f ca="1">IFERROR(__xludf.DUMMYFUNCTION("""COMPUTED_VALUE"""),125930)</f>
        <v>125930</v>
      </c>
      <c r="C4332" s="14">
        <f ca="1">IFERROR(__xludf.DUMMYFUNCTION("""COMPUTED_VALUE"""),0)</f>
        <v>0</v>
      </c>
      <c r="D4332" s="12" t="str">
        <f ca="1">IFERROR(__xludf.DUMMYFUNCTION("""COMPUTED_VALUE"""),"成嶋 夏未")</f>
        <v>成嶋 夏未</v>
      </c>
    </row>
    <row r="4333" spans="2:4" ht="13">
      <c r="B4333" s="12">
        <f ca="1">IFERROR(__xludf.DUMMYFUNCTION("""COMPUTED_VALUE"""),125940)</f>
        <v>125940</v>
      </c>
      <c r="C4333" s="14">
        <f ca="1">IFERROR(__xludf.DUMMYFUNCTION("""COMPUTED_VALUE"""),0)</f>
        <v>0</v>
      </c>
      <c r="D4333" s="12" t="str">
        <f ca="1">IFERROR(__xludf.DUMMYFUNCTION("""COMPUTED_VALUE"""),"小川 純")</f>
        <v>小川 純</v>
      </c>
    </row>
    <row r="4334" spans="2:4" ht="13">
      <c r="B4334" s="12">
        <f ca="1">IFERROR(__xludf.DUMMYFUNCTION("""COMPUTED_VALUE"""),125941)</f>
        <v>125941</v>
      </c>
      <c r="C4334" s="14">
        <f ca="1">IFERROR(__xludf.DUMMYFUNCTION("""COMPUTED_VALUE"""),5)</f>
        <v>5</v>
      </c>
      <c r="D4334" s="12" t="str">
        <f ca="1">IFERROR(__xludf.DUMMYFUNCTION("""COMPUTED_VALUE"""),"老田 純輝")</f>
        <v>老田 純輝</v>
      </c>
    </row>
    <row r="4335" spans="2:4" ht="13">
      <c r="B4335" s="12">
        <f ca="1">IFERROR(__xludf.DUMMYFUNCTION("""COMPUTED_VALUE"""),125942)</f>
        <v>125942</v>
      </c>
      <c r="C4335" s="14">
        <f ca="1">IFERROR(__xludf.DUMMYFUNCTION("""COMPUTED_VALUE"""),0)</f>
        <v>0</v>
      </c>
      <c r="D4335" s="12" t="str">
        <f ca="1">IFERROR(__xludf.DUMMYFUNCTION("""COMPUTED_VALUE"""),"成嶋 夏未")</f>
        <v>成嶋 夏未</v>
      </c>
    </row>
    <row r="4336" spans="2:4" ht="13">
      <c r="B4336" s="12">
        <f ca="1">IFERROR(__xludf.DUMMYFUNCTION("""COMPUTED_VALUE"""),125946)</f>
        <v>125946</v>
      </c>
      <c r="C4336" s="14">
        <f ca="1">IFERROR(__xludf.DUMMYFUNCTION("""COMPUTED_VALUE"""),8)</f>
        <v>8</v>
      </c>
      <c r="D4336" s="12" t="str">
        <f ca="1">IFERROR(__xludf.DUMMYFUNCTION("""COMPUTED_VALUE"""),"桑原 明子")</f>
        <v>桑原 明子</v>
      </c>
    </row>
    <row r="4337" spans="2:4" ht="13">
      <c r="B4337" s="12">
        <f ca="1">IFERROR(__xludf.DUMMYFUNCTION("""COMPUTED_VALUE"""),125947)</f>
        <v>125947</v>
      </c>
      <c r="C4337" s="14">
        <f ca="1">IFERROR(__xludf.DUMMYFUNCTION("""COMPUTED_VALUE"""),0)</f>
        <v>0</v>
      </c>
      <c r="D4337" s="12" t="str">
        <f ca="1">IFERROR(__xludf.DUMMYFUNCTION("""COMPUTED_VALUE"""),"桑原 明子")</f>
        <v>桑原 明子</v>
      </c>
    </row>
    <row r="4338" spans="2:4" ht="13">
      <c r="B4338" s="12">
        <f ca="1">IFERROR(__xludf.DUMMYFUNCTION("""COMPUTED_VALUE"""),125948)</f>
        <v>125948</v>
      </c>
      <c r="C4338" s="14">
        <f ca="1">IFERROR(__xludf.DUMMYFUNCTION("""COMPUTED_VALUE"""),6)</f>
        <v>6</v>
      </c>
      <c r="D4338" s="12" t="str">
        <f ca="1">IFERROR(__xludf.DUMMYFUNCTION("""COMPUTED_VALUE"""),"桑原 明子")</f>
        <v>桑原 明子</v>
      </c>
    </row>
    <row r="4339" spans="2:4" ht="13">
      <c r="B4339" s="12">
        <f ca="1">IFERROR(__xludf.DUMMYFUNCTION("""COMPUTED_VALUE"""),125949)</f>
        <v>125949</v>
      </c>
      <c r="C4339" s="14">
        <f ca="1">IFERROR(__xludf.DUMMYFUNCTION("""COMPUTED_VALUE"""),6)</f>
        <v>6</v>
      </c>
      <c r="D4339" s="12" t="str">
        <f ca="1">IFERROR(__xludf.DUMMYFUNCTION("""COMPUTED_VALUE"""),"桑原 明子")</f>
        <v>桑原 明子</v>
      </c>
    </row>
    <row r="4340" spans="2:4" ht="13">
      <c r="B4340" s="12">
        <f ca="1">IFERROR(__xludf.DUMMYFUNCTION("""COMPUTED_VALUE"""),125950)</f>
        <v>125950</v>
      </c>
      <c r="C4340" s="14">
        <f ca="1">IFERROR(__xludf.DUMMYFUNCTION("""COMPUTED_VALUE"""),0)</f>
        <v>0</v>
      </c>
      <c r="D4340" s="12" t="str">
        <f ca="1">IFERROR(__xludf.DUMMYFUNCTION("""COMPUTED_VALUE"""),"桑原 明子")</f>
        <v>桑原 明子</v>
      </c>
    </row>
    <row r="4341" spans="2:4" ht="13">
      <c r="B4341" s="12">
        <f ca="1">IFERROR(__xludf.DUMMYFUNCTION("""COMPUTED_VALUE"""),125951)</f>
        <v>125951</v>
      </c>
      <c r="C4341" s="14">
        <f ca="1">IFERROR(__xludf.DUMMYFUNCTION("""COMPUTED_VALUE"""),0)</f>
        <v>0</v>
      </c>
      <c r="D4341" s="12" t="str">
        <f ca="1">IFERROR(__xludf.DUMMYFUNCTION("""COMPUTED_VALUE"""),"桑原 明子")</f>
        <v>桑原 明子</v>
      </c>
    </row>
    <row r="4342" spans="2:4" ht="13">
      <c r="B4342" s="12">
        <f ca="1">IFERROR(__xludf.DUMMYFUNCTION("""COMPUTED_VALUE"""),125955)</f>
        <v>125955</v>
      </c>
      <c r="C4342" s="14">
        <f ca="1">IFERROR(__xludf.DUMMYFUNCTION("""COMPUTED_VALUE"""),0)</f>
        <v>0</v>
      </c>
      <c r="D4342" s="12" t="str">
        <f ca="1">IFERROR(__xludf.DUMMYFUNCTION("""COMPUTED_VALUE"""),"小関 麻起")</f>
        <v>小関 麻起</v>
      </c>
    </row>
    <row r="4343" spans="2:4" ht="13">
      <c r="B4343" s="12">
        <f ca="1">IFERROR(__xludf.DUMMYFUNCTION("""COMPUTED_VALUE"""),125958)</f>
        <v>125958</v>
      </c>
      <c r="C4343" s="14">
        <f ca="1">IFERROR(__xludf.DUMMYFUNCTION("""COMPUTED_VALUE"""),1)</f>
        <v>1</v>
      </c>
      <c r="D4343" s="12" t="str">
        <f ca="1">IFERROR(__xludf.DUMMYFUNCTION("""COMPUTED_VALUE"""),"老田 純輝")</f>
        <v>老田 純輝</v>
      </c>
    </row>
    <row r="4344" spans="2:4" ht="13">
      <c r="B4344" s="12">
        <f ca="1">IFERROR(__xludf.DUMMYFUNCTION("""COMPUTED_VALUE"""),125959)</f>
        <v>125959</v>
      </c>
      <c r="C4344" s="14">
        <f ca="1">IFERROR(__xludf.DUMMYFUNCTION("""COMPUTED_VALUE"""),0)</f>
        <v>0</v>
      </c>
      <c r="D4344" s="12" t="str">
        <f ca="1">IFERROR(__xludf.DUMMYFUNCTION("""COMPUTED_VALUE"""),"長谷川 陸朗")</f>
        <v>長谷川 陸朗</v>
      </c>
    </row>
    <row r="4345" spans="2:4" ht="13">
      <c r="B4345" s="12">
        <f ca="1">IFERROR(__xludf.DUMMYFUNCTION("""COMPUTED_VALUE"""),125960)</f>
        <v>125960</v>
      </c>
      <c r="C4345" s="14">
        <f ca="1">IFERROR(__xludf.DUMMYFUNCTION("""COMPUTED_VALUE"""),0)</f>
        <v>0</v>
      </c>
      <c r="D4345" s="12" t="str">
        <f ca="1">IFERROR(__xludf.DUMMYFUNCTION("""COMPUTED_VALUE"""),"荻曽 克輝")</f>
        <v>荻曽 克輝</v>
      </c>
    </row>
    <row r="4346" spans="2:4" ht="13">
      <c r="B4346" s="12">
        <f ca="1">IFERROR(__xludf.DUMMYFUNCTION("""COMPUTED_VALUE"""),125962)</f>
        <v>125962</v>
      </c>
      <c r="C4346" s="14">
        <f ca="1">IFERROR(__xludf.DUMMYFUNCTION("""COMPUTED_VALUE"""),0)</f>
        <v>0</v>
      </c>
      <c r="D4346" s="12" t="str">
        <f ca="1">IFERROR(__xludf.DUMMYFUNCTION("""COMPUTED_VALUE"""),"桑原 明子")</f>
        <v>桑原 明子</v>
      </c>
    </row>
    <row r="4347" spans="2:4" ht="13">
      <c r="B4347" s="12">
        <f ca="1">IFERROR(__xludf.DUMMYFUNCTION("""COMPUTED_VALUE"""),125963)</f>
        <v>125963</v>
      </c>
      <c r="C4347" s="14">
        <f ca="1">IFERROR(__xludf.DUMMYFUNCTION("""COMPUTED_VALUE"""),2)</f>
        <v>2</v>
      </c>
      <c r="D4347" s="12" t="str">
        <f ca="1">IFERROR(__xludf.DUMMYFUNCTION("""COMPUTED_VALUE"""),"稲場 勇介")</f>
        <v>稲場 勇介</v>
      </c>
    </row>
    <row r="4348" spans="2:4" ht="13">
      <c r="B4348" s="12">
        <f ca="1">IFERROR(__xludf.DUMMYFUNCTION("""COMPUTED_VALUE"""),125965)</f>
        <v>125965</v>
      </c>
      <c r="C4348" s="14">
        <f ca="1">IFERROR(__xludf.DUMMYFUNCTION("""COMPUTED_VALUE"""),0)</f>
        <v>0</v>
      </c>
      <c r="D4348" s="12" t="str">
        <f ca="1">IFERROR(__xludf.DUMMYFUNCTION("""COMPUTED_VALUE"""),"桑原 明子")</f>
        <v>桑原 明子</v>
      </c>
    </row>
    <row r="4349" spans="2:4" ht="13">
      <c r="B4349" s="12">
        <f ca="1">IFERROR(__xludf.DUMMYFUNCTION("""COMPUTED_VALUE"""),125985)</f>
        <v>125985</v>
      </c>
      <c r="C4349" s="14">
        <f ca="1">IFERROR(__xludf.DUMMYFUNCTION("""COMPUTED_VALUE"""),0)</f>
        <v>0</v>
      </c>
      <c r="D4349" s="12" t="str">
        <f ca="1">IFERROR(__xludf.DUMMYFUNCTION("""COMPUTED_VALUE"""),"成嶋 夏未")</f>
        <v>成嶋 夏未</v>
      </c>
    </row>
    <row r="4350" spans="2:4" ht="13">
      <c r="B4350" s="12">
        <f ca="1">IFERROR(__xludf.DUMMYFUNCTION("""COMPUTED_VALUE"""),125987)</f>
        <v>125987</v>
      </c>
      <c r="C4350" s="14">
        <f ca="1">IFERROR(__xludf.DUMMYFUNCTION("""COMPUTED_VALUE"""),1)</f>
        <v>1</v>
      </c>
      <c r="D4350" s="12" t="str">
        <f ca="1">IFERROR(__xludf.DUMMYFUNCTION("""COMPUTED_VALUE"""),"長谷川 陸朗")</f>
        <v>長谷川 陸朗</v>
      </c>
    </row>
    <row r="4351" spans="2:4" ht="13">
      <c r="B4351" s="12">
        <f ca="1">IFERROR(__xludf.DUMMYFUNCTION("""COMPUTED_VALUE"""),125988)</f>
        <v>125988</v>
      </c>
      <c r="C4351" s="14">
        <f ca="1">IFERROR(__xludf.DUMMYFUNCTION("""COMPUTED_VALUE"""),2)</f>
        <v>2</v>
      </c>
      <c r="D4351" s="12" t="str">
        <f ca="1">IFERROR(__xludf.DUMMYFUNCTION("""COMPUTED_VALUE"""),"長谷川 陸朗")</f>
        <v>長谷川 陸朗</v>
      </c>
    </row>
    <row r="4352" spans="2:4" ht="13">
      <c r="B4352" s="12">
        <f ca="1">IFERROR(__xludf.DUMMYFUNCTION("""COMPUTED_VALUE"""),125990)</f>
        <v>125990</v>
      </c>
      <c r="C4352" s="14">
        <f ca="1">IFERROR(__xludf.DUMMYFUNCTION("""COMPUTED_VALUE"""),0)</f>
        <v>0</v>
      </c>
      <c r="D4352" s="12" t="str">
        <f ca="1">IFERROR(__xludf.DUMMYFUNCTION("""COMPUTED_VALUE"""),"老田 純輝")</f>
        <v>老田 純輝</v>
      </c>
    </row>
    <row r="4353" spans="2:4" ht="13">
      <c r="B4353" s="12">
        <f ca="1">IFERROR(__xludf.DUMMYFUNCTION("""COMPUTED_VALUE"""),125991)</f>
        <v>125991</v>
      </c>
      <c r="C4353" s="14">
        <f ca="1">IFERROR(__xludf.DUMMYFUNCTION("""COMPUTED_VALUE"""),2)</f>
        <v>2</v>
      </c>
      <c r="D4353" s="12" t="str">
        <f ca="1">IFERROR(__xludf.DUMMYFUNCTION("""COMPUTED_VALUE"""),"荻曽 克輝")</f>
        <v>荻曽 克輝</v>
      </c>
    </row>
    <row r="4354" spans="2:4" ht="13">
      <c r="B4354" s="12">
        <f ca="1">IFERROR(__xludf.DUMMYFUNCTION("""COMPUTED_VALUE"""),125993)</f>
        <v>125993</v>
      </c>
      <c r="C4354" s="14">
        <f ca="1">IFERROR(__xludf.DUMMYFUNCTION("""COMPUTED_VALUE"""),0)</f>
        <v>0</v>
      </c>
      <c r="D4354" s="12" t="str">
        <f ca="1">IFERROR(__xludf.DUMMYFUNCTION("""COMPUTED_VALUE"""),"老田 純輝")</f>
        <v>老田 純輝</v>
      </c>
    </row>
    <row r="4355" spans="2:4" ht="13">
      <c r="B4355" s="12">
        <f ca="1">IFERROR(__xludf.DUMMYFUNCTION("""COMPUTED_VALUE"""),126003)</f>
        <v>126003</v>
      </c>
      <c r="C4355" s="14">
        <f ca="1">IFERROR(__xludf.DUMMYFUNCTION("""COMPUTED_VALUE"""),0)</f>
        <v>0</v>
      </c>
      <c r="D4355" s="12" t="str">
        <f ca="1">IFERROR(__xludf.DUMMYFUNCTION("""COMPUTED_VALUE"""),"松尾 尚樹")</f>
        <v>松尾 尚樹</v>
      </c>
    </row>
    <row r="4356" spans="2:4" ht="13">
      <c r="B4356" s="12">
        <f ca="1">IFERROR(__xludf.DUMMYFUNCTION("""COMPUTED_VALUE"""),126015)</f>
        <v>126015</v>
      </c>
      <c r="C4356" s="14">
        <f ca="1">IFERROR(__xludf.DUMMYFUNCTION("""COMPUTED_VALUE"""),0)</f>
        <v>0</v>
      </c>
      <c r="D4356" s="12" t="str">
        <f ca="1">IFERROR(__xludf.DUMMYFUNCTION("""COMPUTED_VALUE"""),"松尾 尚樹")</f>
        <v>松尾 尚樹</v>
      </c>
    </row>
    <row r="4357" spans="2:4" ht="13">
      <c r="B4357" s="12">
        <f ca="1">IFERROR(__xludf.DUMMYFUNCTION("""COMPUTED_VALUE"""),126017)</f>
        <v>126017</v>
      </c>
      <c r="C4357" s="14">
        <f ca="1">IFERROR(__xludf.DUMMYFUNCTION("""COMPUTED_VALUE"""),1)</f>
        <v>1</v>
      </c>
      <c r="D4357" s="12" t="str">
        <f ca="1">IFERROR(__xludf.DUMMYFUNCTION("""COMPUTED_VALUE"""),"成嶋 夏未")</f>
        <v>成嶋 夏未</v>
      </c>
    </row>
    <row r="4358" spans="2:4" ht="13">
      <c r="B4358" s="12">
        <f ca="1">IFERROR(__xludf.DUMMYFUNCTION("""COMPUTED_VALUE"""),126019)</f>
        <v>126019</v>
      </c>
      <c r="C4358" s="14">
        <f ca="1">IFERROR(__xludf.DUMMYFUNCTION("""COMPUTED_VALUE"""),20)</f>
        <v>20</v>
      </c>
      <c r="D4358" s="12" t="str">
        <f ca="1">IFERROR(__xludf.DUMMYFUNCTION("""COMPUTED_VALUE"""),"田嶋 将太")</f>
        <v>田嶋 将太</v>
      </c>
    </row>
    <row r="4359" spans="2:4" ht="13">
      <c r="B4359" s="12">
        <f ca="1">IFERROR(__xludf.DUMMYFUNCTION("""COMPUTED_VALUE"""),126023)</f>
        <v>126023</v>
      </c>
      <c r="C4359" s="14">
        <f ca="1">IFERROR(__xludf.DUMMYFUNCTION("""COMPUTED_VALUE"""),0)</f>
        <v>0</v>
      </c>
      <c r="D4359" s="12" t="str">
        <f ca="1">IFERROR(__xludf.DUMMYFUNCTION("""COMPUTED_VALUE"""),"稲場 勇介")</f>
        <v>稲場 勇介</v>
      </c>
    </row>
    <row r="4360" spans="2:4" ht="13">
      <c r="B4360" s="12">
        <f ca="1">IFERROR(__xludf.DUMMYFUNCTION("""COMPUTED_VALUE"""),126028)</f>
        <v>126028</v>
      </c>
      <c r="C4360" s="14">
        <f ca="1">IFERROR(__xludf.DUMMYFUNCTION("""COMPUTED_VALUE"""),0)</f>
        <v>0</v>
      </c>
      <c r="D4360" s="12" t="str">
        <f ca="1">IFERROR(__xludf.DUMMYFUNCTION("""COMPUTED_VALUE"""),"小関 麻起")</f>
        <v>小関 麻起</v>
      </c>
    </row>
    <row r="4361" spans="2:4" ht="13">
      <c r="B4361" s="12">
        <f ca="1">IFERROR(__xludf.DUMMYFUNCTION("""COMPUTED_VALUE"""),126030)</f>
        <v>126030</v>
      </c>
      <c r="C4361" s="14">
        <f ca="1">IFERROR(__xludf.DUMMYFUNCTION("""COMPUTED_VALUE"""),0)</f>
        <v>0</v>
      </c>
      <c r="D4361" s="12" t="str">
        <f ca="1">IFERROR(__xludf.DUMMYFUNCTION("""COMPUTED_VALUE"""),"稲場 勇介")</f>
        <v>稲場 勇介</v>
      </c>
    </row>
    <row r="4362" spans="2:4" ht="13">
      <c r="B4362" s="12">
        <f ca="1">IFERROR(__xludf.DUMMYFUNCTION("""COMPUTED_VALUE"""),126034)</f>
        <v>126034</v>
      </c>
      <c r="C4362" s="14">
        <f ca="1">IFERROR(__xludf.DUMMYFUNCTION("""COMPUTED_VALUE"""),0)</f>
        <v>0</v>
      </c>
      <c r="D4362" s="12" t="str">
        <f ca="1">IFERROR(__xludf.DUMMYFUNCTION("""COMPUTED_VALUE"""),"内丸 裕子")</f>
        <v>内丸 裕子</v>
      </c>
    </row>
    <row r="4363" spans="2:4" ht="13">
      <c r="B4363" s="12">
        <f ca="1">IFERROR(__xludf.DUMMYFUNCTION("""COMPUTED_VALUE"""),126035)</f>
        <v>126035</v>
      </c>
      <c r="C4363" s="14">
        <f ca="1">IFERROR(__xludf.DUMMYFUNCTION("""COMPUTED_VALUE"""),1)</f>
        <v>1</v>
      </c>
      <c r="D4363" s="12" t="str">
        <f ca="1">IFERROR(__xludf.DUMMYFUNCTION("""COMPUTED_VALUE"""),"芳賀 亮輔")</f>
        <v>芳賀 亮輔</v>
      </c>
    </row>
    <row r="4364" spans="2:4" ht="13">
      <c r="B4364" s="12">
        <f ca="1">IFERROR(__xludf.DUMMYFUNCTION("""COMPUTED_VALUE"""),126036)</f>
        <v>126036</v>
      </c>
      <c r="C4364" s="14">
        <f ca="1">IFERROR(__xludf.DUMMYFUNCTION("""COMPUTED_VALUE"""),0)</f>
        <v>0</v>
      </c>
      <c r="D4364" s="12" t="str">
        <f ca="1">IFERROR(__xludf.DUMMYFUNCTION("""COMPUTED_VALUE"""),"小川 純")</f>
        <v>小川 純</v>
      </c>
    </row>
    <row r="4365" spans="2:4" ht="13">
      <c r="B4365" s="12">
        <f ca="1">IFERROR(__xludf.DUMMYFUNCTION("""COMPUTED_VALUE"""),126040)</f>
        <v>126040</v>
      </c>
      <c r="C4365" s="14">
        <f ca="1">IFERROR(__xludf.DUMMYFUNCTION("""COMPUTED_VALUE"""),12)</f>
        <v>12</v>
      </c>
      <c r="D4365" s="12" t="str">
        <f ca="1">IFERROR(__xludf.DUMMYFUNCTION("""COMPUTED_VALUE"""),"栗原 大武")</f>
        <v>栗原 大武</v>
      </c>
    </row>
    <row r="4366" spans="2:4" ht="13">
      <c r="B4366" s="12">
        <f ca="1">IFERROR(__xludf.DUMMYFUNCTION("""COMPUTED_VALUE"""),126046)</f>
        <v>126046</v>
      </c>
      <c r="C4366" s="14">
        <f ca="1">IFERROR(__xludf.DUMMYFUNCTION("""COMPUTED_VALUE"""),0)</f>
        <v>0</v>
      </c>
      <c r="D4366" s="12" t="str">
        <f ca="1">IFERROR(__xludf.DUMMYFUNCTION("""COMPUTED_VALUE"""),"稲場 勇介")</f>
        <v>稲場 勇介</v>
      </c>
    </row>
    <row r="4367" spans="2:4" ht="13">
      <c r="B4367" s="12">
        <f ca="1">IFERROR(__xludf.DUMMYFUNCTION("""COMPUTED_VALUE"""),126049)</f>
        <v>126049</v>
      </c>
      <c r="C4367" s="14">
        <f ca="1">IFERROR(__xludf.DUMMYFUNCTION("""COMPUTED_VALUE"""),0)</f>
        <v>0</v>
      </c>
      <c r="D4367" s="12" t="str">
        <f ca="1">IFERROR(__xludf.DUMMYFUNCTION("""COMPUTED_VALUE"""),"田嶋 将太")</f>
        <v>田嶋 将太</v>
      </c>
    </row>
    <row r="4368" spans="2:4" ht="13">
      <c r="B4368" s="12">
        <f ca="1">IFERROR(__xludf.DUMMYFUNCTION("""COMPUTED_VALUE"""),126052)</f>
        <v>126052</v>
      </c>
      <c r="C4368" s="14">
        <f ca="1">IFERROR(__xludf.DUMMYFUNCTION("""COMPUTED_VALUE"""),0)</f>
        <v>0</v>
      </c>
      <c r="D4368" s="12" t="str">
        <f ca="1">IFERROR(__xludf.DUMMYFUNCTION("""COMPUTED_VALUE"""),"菅野 ぎんが")</f>
        <v>菅野 ぎんが</v>
      </c>
    </row>
    <row r="4369" spans="2:4" ht="13">
      <c r="B4369" s="12">
        <f ca="1">IFERROR(__xludf.DUMMYFUNCTION("""COMPUTED_VALUE"""),126057)</f>
        <v>126057</v>
      </c>
      <c r="C4369" s="14">
        <f ca="1">IFERROR(__xludf.DUMMYFUNCTION("""COMPUTED_VALUE"""),2)</f>
        <v>2</v>
      </c>
      <c r="D4369" s="12" t="str">
        <f ca="1">IFERROR(__xludf.DUMMYFUNCTION("""COMPUTED_VALUE"""),"長谷川 陸朗")</f>
        <v>長谷川 陸朗</v>
      </c>
    </row>
    <row r="4370" spans="2:4" ht="13">
      <c r="B4370" s="12">
        <f ca="1">IFERROR(__xludf.DUMMYFUNCTION("""COMPUTED_VALUE"""),126062)</f>
        <v>126062</v>
      </c>
      <c r="C4370" s="14">
        <f ca="1">IFERROR(__xludf.DUMMYFUNCTION("""COMPUTED_VALUE"""),0)</f>
        <v>0</v>
      </c>
      <c r="D4370" s="12" t="str">
        <f ca="1">IFERROR(__xludf.DUMMYFUNCTION("""COMPUTED_VALUE"""),"小関 麻起")</f>
        <v>小関 麻起</v>
      </c>
    </row>
    <row r="4371" spans="2:4" ht="13">
      <c r="B4371" s="12">
        <f ca="1">IFERROR(__xludf.DUMMYFUNCTION("""COMPUTED_VALUE"""),126065)</f>
        <v>126065</v>
      </c>
      <c r="C4371" s="14">
        <f ca="1">IFERROR(__xludf.DUMMYFUNCTION("""COMPUTED_VALUE"""),16)</f>
        <v>16</v>
      </c>
      <c r="D4371" s="12" t="str">
        <f ca="1">IFERROR(__xludf.DUMMYFUNCTION("""COMPUTED_VALUE"""),"森 光智")</f>
        <v>森 光智</v>
      </c>
    </row>
    <row r="4372" spans="2:4" ht="13">
      <c r="B4372" s="12">
        <f ca="1">IFERROR(__xludf.DUMMYFUNCTION("""COMPUTED_VALUE"""),126075)</f>
        <v>126075</v>
      </c>
      <c r="C4372" s="14">
        <f ca="1">IFERROR(__xludf.DUMMYFUNCTION("""COMPUTED_VALUE"""),0)</f>
        <v>0</v>
      </c>
      <c r="D4372" s="12" t="str">
        <f ca="1">IFERROR(__xludf.DUMMYFUNCTION("""COMPUTED_VALUE"""),"松尾 尚樹")</f>
        <v>松尾 尚樹</v>
      </c>
    </row>
    <row r="4373" spans="2:4" ht="13">
      <c r="B4373" s="12">
        <f ca="1">IFERROR(__xludf.DUMMYFUNCTION("""COMPUTED_VALUE"""),126084)</f>
        <v>126084</v>
      </c>
      <c r="C4373" s="14">
        <f ca="1">IFERROR(__xludf.DUMMYFUNCTION("""COMPUTED_VALUE"""),0)</f>
        <v>0</v>
      </c>
      <c r="D4373" s="12" t="str">
        <f ca="1">IFERROR(__xludf.DUMMYFUNCTION("""COMPUTED_VALUE"""),"川島 幹也")</f>
        <v>川島 幹也</v>
      </c>
    </row>
    <row r="4374" spans="2:4" ht="13">
      <c r="B4374" s="12">
        <f ca="1">IFERROR(__xludf.DUMMYFUNCTION("""COMPUTED_VALUE"""),126085)</f>
        <v>126085</v>
      </c>
      <c r="C4374" s="14">
        <f ca="1">IFERROR(__xludf.DUMMYFUNCTION("""COMPUTED_VALUE"""),3)</f>
        <v>3</v>
      </c>
      <c r="D4374" s="12" t="str">
        <f ca="1">IFERROR(__xludf.DUMMYFUNCTION("""COMPUTED_VALUE"""),"堀越 駿")</f>
        <v>堀越 駿</v>
      </c>
    </row>
    <row r="4375" spans="2:4" ht="13">
      <c r="B4375" s="12">
        <f ca="1">IFERROR(__xludf.DUMMYFUNCTION("""COMPUTED_VALUE"""),126086)</f>
        <v>126086</v>
      </c>
      <c r="C4375" s="14">
        <f ca="1">IFERROR(__xludf.DUMMYFUNCTION("""COMPUTED_VALUE"""),0)</f>
        <v>0</v>
      </c>
      <c r="D4375" s="12" t="str">
        <f ca="1">IFERROR(__xludf.DUMMYFUNCTION("""COMPUTED_VALUE"""),"老田 純輝")</f>
        <v>老田 純輝</v>
      </c>
    </row>
    <row r="4376" spans="2:4" ht="13">
      <c r="B4376" s="12">
        <f ca="1">IFERROR(__xludf.DUMMYFUNCTION("""COMPUTED_VALUE"""),126097)</f>
        <v>126097</v>
      </c>
      <c r="C4376" s="14">
        <f ca="1">IFERROR(__xludf.DUMMYFUNCTION("""COMPUTED_VALUE"""),0)</f>
        <v>0</v>
      </c>
      <c r="D4376" s="12" t="str">
        <f ca="1">IFERROR(__xludf.DUMMYFUNCTION("""COMPUTED_VALUE"""),"長谷川 陸朗")</f>
        <v>長谷川 陸朗</v>
      </c>
    </row>
    <row r="4377" spans="2:4" ht="13">
      <c r="B4377" s="12">
        <f ca="1">IFERROR(__xludf.DUMMYFUNCTION("""COMPUTED_VALUE"""),126098)</f>
        <v>126098</v>
      </c>
      <c r="C4377" s="14">
        <f ca="1">IFERROR(__xludf.DUMMYFUNCTION("""COMPUTED_VALUE"""),0)</f>
        <v>0</v>
      </c>
      <c r="D4377" s="12" t="str">
        <f ca="1">IFERROR(__xludf.DUMMYFUNCTION("""COMPUTED_VALUE"""),"菅野 ぎんが")</f>
        <v>菅野 ぎんが</v>
      </c>
    </row>
    <row r="4378" spans="2:4" ht="13">
      <c r="B4378" s="12">
        <f ca="1">IFERROR(__xludf.DUMMYFUNCTION("""COMPUTED_VALUE"""),126107)</f>
        <v>126107</v>
      </c>
      <c r="C4378" s="14">
        <f ca="1">IFERROR(__xludf.DUMMYFUNCTION("""COMPUTED_VALUE"""),0)</f>
        <v>0</v>
      </c>
      <c r="D4378" s="12" t="str">
        <f ca="1">IFERROR(__xludf.DUMMYFUNCTION("""COMPUTED_VALUE"""),"小関 麻起")</f>
        <v>小関 麻起</v>
      </c>
    </row>
    <row r="4379" spans="2:4" ht="13">
      <c r="B4379" s="12">
        <f ca="1">IFERROR(__xludf.DUMMYFUNCTION("""COMPUTED_VALUE"""),126112)</f>
        <v>126112</v>
      </c>
      <c r="C4379" s="14">
        <f ca="1">IFERROR(__xludf.DUMMYFUNCTION("""COMPUTED_VALUE"""),2)</f>
        <v>2</v>
      </c>
      <c r="D4379" s="12" t="str">
        <f ca="1">IFERROR(__xludf.DUMMYFUNCTION("""COMPUTED_VALUE"""),"森 光智")</f>
        <v>森 光智</v>
      </c>
    </row>
    <row r="4380" spans="2:4" ht="13">
      <c r="B4380" s="12">
        <f ca="1">IFERROR(__xludf.DUMMYFUNCTION("""COMPUTED_VALUE"""),126120)</f>
        <v>126120</v>
      </c>
      <c r="C4380" s="14">
        <f ca="1">IFERROR(__xludf.DUMMYFUNCTION("""COMPUTED_VALUE"""),1)</f>
        <v>1</v>
      </c>
      <c r="D4380" s="12" t="str">
        <f ca="1">IFERROR(__xludf.DUMMYFUNCTION("""COMPUTED_VALUE"""),"稲場 勇介")</f>
        <v>稲場 勇介</v>
      </c>
    </row>
    <row r="4381" spans="2:4" ht="13">
      <c r="B4381" s="12">
        <f ca="1">IFERROR(__xludf.DUMMYFUNCTION("""COMPUTED_VALUE"""),126126)</f>
        <v>126126</v>
      </c>
      <c r="C4381" s="14">
        <f ca="1">IFERROR(__xludf.DUMMYFUNCTION("""COMPUTED_VALUE"""),2)</f>
        <v>2</v>
      </c>
      <c r="D4381" s="12" t="str">
        <f ca="1">IFERROR(__xludf.DUMMYFUNCTION("""COMPUTED_VALUE"""),"成嶋 夏未")</f>
        <v>成嶋 夏未</v>
      </c>
    </row>
    <row r="4382" spans="2:4" ht="13">
      <c r="B4382" s="12">
        <f ca="1">IFERROR(__xludf.DUMMYFUNCTION("""COMPUTED_VALUE"""),126127)</f>
        <v>126127</v>
      </c>
      <c r="C4382" s="14">
        <f ca="1">IFERROR(__xludf.DUMMYFUNCTION("""COMPUTED_VALUE"""),0)</f>
        <v>0</v>
      </c>
      <c r="D4382" s="12" t="str">
        <f ca="1">IFERROR(__xludf.DUMMYFUNCTION("""COMPUTED_VALUE"""),"成嶋 夏未")</f>
        <v>成嶋 夏未</v>
      </c>
    </row>
    <row r="4383" spans="2:4" ht="13">
      <c r="B4383" s="12">
        <f ca="1">IFERROR(__xludf.DUMMYFUNCTION("""COMPUTED_VALUE"""),126128)</f>
        <v>126128</v>
      </c>
      <c r="C4383" s="14">
        <f ca="1">IFERROR(__xludf.DUMMYFUNCTION("""COMPUTED_VALUE"""),2)</f>
        <v>2</v>
      </c>
      <c r="D4383" s="12" t="str">
        <f ca="1">IFERROR(__xludf.DUMMYFUNCTION("""COMPUTED_VALUE"""),"小川 純")</f>
        <v>小川 純</v>
      </c>
    </row>
    <row r="4384" spans="2:4" ht="13">
      <c r="B4384" s="12">
        <f ca="1">IFERROR(__xludf.DUMMYFUNCTION("""COMPUTED_VALUE"""),126130)</f>
        <v>126130</v>
      </c>
      <c r="C4384" s="14">
        <f ca="1">IFERROR(__xludf.DUMMYFUNCTION("""COMPUTED_VALUE"""),0)</f>
        <v>0</v>
      </c>
      <c r="D4384" s="12" t="str">
        <f ca="1">IFERROR(__xludf.DUMMYFUNCTION("""COMPUTED_VALUE"""),"菅野 ぎんが")</f>
        <v>菅野 ぎんが</v>
      </c>
    </row>
    <row r="4385" spans="2:4" ht="13">
      <c r="B4385" s="12">
        <f ca="1">IFERROR(__xludf.DUMMYFUNCTION("""COMPUTED_VALUE"""),126131)</f>
        <v>126131</v>
      </c>
      <c r="C4385" s="14">
        <f ca="1">IFERROR(__xludf.DUMMYFUNCTION("""COMPUTED_VALUE"""),0)</f>
        <v>0</v>
      </c>
      <c r="D4385" s="12" t="str">
        <f ca="1">IFERROR(__xludf.DUMMYFUNCTION("""COMPUTED_VALUE"""),"小関 麻起")</f>
        <v>小関 麻起</v>
      </c>
    </row>
    <row r="4386" spans="2:4" ht="13">
      <c r="B4386" s="12">
        <f ca="1">IFERROR(__xludf.DUMMYFUNCTION("""COMPUTED_VALUE"""),126133)</f>
        <v>126133</v>
      </c>
      <c r="C4386" s="14">
        <f ca="1">IFERROR(__xludf.DUMMYFUNCTION("""COMPUTED_VALUE"""),0)</f>
        <v>0</v>
      </c>
      <c r="D4386" s="12" t="str">
        <f ca="1">IFERROR(__xludf.DUMMYFUNCTION("""COMPUTED_VALUE"""),"小川 純")</f>
        <v>小川 純</v>
      </c>
    </row>
    <row r="4387" spans="2:4" ht="13">
      <c r="B4387" s="12">
        <f ca="1">IFERROR(__xludf.DUMMYFUNCTION("""COMPUTED_VALUE"""),126137)</f>
        <v>126137</v>
      </c>
      <c r="C4387" s="14">
        <f ca="1">IFERROR(__xludf.DUMMYFUNCTION("""COMPUTED_VALUE"""),0)</f>
        <v>0</v>
      </c>
      <c r="D4387" s="12" t="str">
        <f ca="1">IFERROR(__xludf.DUMMYFUNCTION("""COMPUTED_VALUE"""),"長谷川 陸朗")</f>
        <v>長谷川 陸朗</v>
      </c>
    </row>
    <row r="4388" spans="2:4" ht="13">
      <c r="B4388" s="12">
        <f ca="1">IFERROR(__xludf.DUMMYFUNCTION("""COMPUTED_VALUE"""),126140)</f>
        <v>126140</v>
      </c>
      <c r="C4388" s="14">
        <f ca="1">IFERROR(__xludf.DUMMYFUNCTION("""COMPUTED_VALUE"""),0)</f>
        <v>0</v>
      </c>
      <c r="D4388" s="12" t="str">
        <f ca="1">IFERROR(__xludf.DUMMYFUNCTION("""COMPUTED_VALUE"""),"稲場 勇介")</f>
        <v>稲場 勇介</v>
      </c>
    </row>
    <row r="4389" spans="2:4" ht="13">
      <c r="B4389" s="12">
        <f ca="1">IFERROR(__xludf.DUMMYFUNCTION("""COMPUTED_VALUE"""),126141)</f>
        <v>126141</v>
      </c>
      <c r="C4389" s="14">
        <f ca="1">IFERROR(__xludf.DUMMYFUNCTION("""COMPUTED_VALUE"""),0)</f>
        <v>0</v>
      </c>
      <c r="D4389" s="12" t="str">
        <f ca="1">IFERROR(__xludf.DUMMYFUNCTION("""COMPUTED_VALUE"""),"稲場 勇介")</f>
        <v>稲場 勇介</v>
      </c>
    </row>
    <row r="4390" spans="2:4" ht="13">
      <c r="B4390" s="12">
        <f ca="1">IFERROR(__xludf.DUMMYFUNCTION("""COMPUTED_VALUE"""),126148)</f>
        <v>126148</v>
      </c>
      <c r="C4390" s="14">
        <f ca="1">IFERROR(__xludf.DUMMYFUNCTION("""COMPUTED_VALUE"""),6)</f>
        <v>6</v>
      </c>
      <c r="D4390" s="12" t="str">
        <f ca="1">IFERROR(__xludf.DUMMYFUNCTION("""COMPUTED_VALUE"""),"成嶋 夏未")</f>
        <v>成嶋 夏未</v>
      </c>
    </row>
    <row r="4391" spans="2:4" ht="13">
      <c r="B4391" s="12">
        <f ca="1">IFERROR(__xludf.DUMMYFUNCTION("""COMPUTED_VALUE"""),126150)</f>
        <v>126150</v>
      </c>
      <c r="C4391" s="14">
        <f ca="1">IFERROR(__xludf.DUMMYFUNCTION("""COMPUTED_VALUE"""),37)</f>
        <v>37</v>
      </c>
      <c r="D4391" s="12" t="str">
        <f ca="1">IFERROR(__xludf.DUMMYFUNCTION("""COMPUTED_VALUE"""),"村上 浩一朗")</f>
        <v>村上 浩一朗</v>
      </c>
    </row>
    <row r="4392" spans="2:4" ht="13">
      <c r="B4392" s="12">
        <f ca="1">IFERROR(__xludf.DUMMYFUNCTION("""COMPUTED_VALUE"""),126151)</f>
        <v>126151</v>
      </c>
      <c r="C4392" s="14">
        <f ca="1">IFERROR(__xludf.DUMMYFUNCTION("""COMPUTED_VALUE"""),0)</f>
        <v>0</v>
      </c>
      <c r="D4392" s="12" t="str">
        <f ca="1">IFERROR(__xludf.DUMMYFUNCTION("""COMPUTED_VALUE"""),"長谷川 陸朗")</f>
        <v>長谷川 陸朗</v>
      </c>
    </row>
    <row r="4393" spans="2:4" ht="13">
      <c r="B4393" s="12">
        <f ca="1">IFERROR(__xludf.DUMMYFUNCTION("""COMPUTED_VALUE"""),126155)</f>
        <v>126155</v>
      </c>
      <c r="C4393" s="14">
        <f ca="1">IFERROR(__xludf.DUMMYFUNCTION("""COMPUTED_VALUE"""),13)</f>
        <v>13</v>
      </c>
      <c r="D4393" s="12" t="str">
        <f ca="1">IFERROR(__xludf.DUMMYFUNCTION("""COMPUTED_VALUE"""),"小関 麻起")</f>
        <v>小関 麻起</v>
      </c>
    </row>
    <row r="4394" spans="2:4" ht="13">
      <c r="B4394" s="12">
        <f ca="1">IFERROR(__xludf.DUMMYFUNCTION("""COMPUTED_VALUE"""),126163)</f>
        <v>126163</v>
      </c>
      <c r="C4394" s="14">
        <f ca="1">IFERROR(__xludf.DUMMYFUNCTION("""COMPUTED_VALUE"""),0)</f>
        <v>0</v>
      </c>
      <c r="D4394" s="12" t="str">
        <f ca="1">IFERROR(__xludf.DUMMYFUNCTION("""COMPUTED_VALUE"""),"長谷川 陸朗")</f>
        <v>長谷川 陸朗</v>
      </c>
    </row>
    <row r="4395" spans="2:4" ht="13">
      <c r="B4395" s="12">
        <f ca="1">IFERROR(__xludf.DUMMYFUNCTION("""COMPUTED_VALUE"""),126166)</f>
        <v>126166</v>
      </c>
      <c r="C4395" s="14">
        <f ca="1">IFERROR(__xludf.DUMMYFUNCTION("""COMPUTED_VALUE"""),0)</f>
        <v>0</v>
      </c>
      <c r="D4395" s="12" t="str">
        <f ca="1">IFERROR(__xludf.DUMMYFUNCTION("""COMPUTED_VALUE"""),"小川 純")</f>
        <v>小川 純</v>
      </c>
    </row>
    <row r="4396" spans="2:4" ht="13">
      <c r="B4396" s="12">
        <f ca="1">IFERROR(__xludf.DUMMYFUNCTION("""COMPUTED_VALUE"""),126167)</f>
        <v>126167</v>
      </c>
      <c r="C4396" s="14">
        <f ca="1">IFERROR(__xludf.DUMMYFUNCTION("""COMPUTED_VALUE"""),0)</f>
        <v>0</v>
      </c>
      <c r="D4396" s="12" t="str">
        <f ca="1">IFERROR(__xludf.DUMMYFUNCTION("""COMPUTED_VALUE"""),"菅野 ぎんが")</f>
        <v>菅野 ぎんが</v>
      </c>
    </row>
    <row r="4397" spans="2:4" ht="13">
      <c r="B4397" s="12">
        <f ca="1">IFERROR(__xludf.DUMMYFUNCTION("""COMPUTED_VALUE"""),126168)</f>
        <v>126168</v>
      </c>
      <c r="C4397" s="14">
        <f ca="1">IFERROR(__xludf.DUMMYFUNCTION("""COMPUTED_VALUE"""),0)</f>
        <v>0</v>
      </c>
      <c r="D4397" s="12" t="str">
        <f ca="1">IFERROR(__xludf.DUMMYFUNCTION("""COMPUTED_VALUE"""),"成嶋 夏未")</f>
        <v>成嶋 夏未</v>
      </c>
    </row>
    <row r="4398" spans="2:4" ht="13">
      <c r="B4398" s="12">
        <f ca="1">IFERROR(__xludf.DUMMYFUNCTION("""COMPUTED_VALUE"""),126169)</f>
        <v>126169</v>
      </c>
      <c r="C4398" s="14">
        <f ca="1">IFERROR(__xludf.DUMMYFUNCTION("""COMPUTED_VALUE"""),0)</f>
        <v>0</v>
      </c>
      <c r="D4398" s="12" t="str">
        <f ca="1">IFERROR(__xludf.DUMMYFUNCTION("""COMPUTED_VALUE"""),"菅野 ぎんが")</f>
        <v>菅野 ぎんが</v>
      </c>
    </row>
    <row r="4399" spans="2:4" ht="13">
      <c r="B4399" s="12">
        <f ca="1">IFERROR(__xludf.DUMMYFUNCTION("""COMPUTED_VALUE"""),126175)</f>
        <v>126175</v>
      </c>
      <c r="C4399" s="14">
        <f ca="1">IFERROR(__xludf.DUMMYFUNCTION("""COMPUTED_VALUE"""),0)</f>
        <v>0</v>
      </c>
      <c r="D4399" s="12" t="str">
        <f ca="1">IFERROR(__xludf.DUMMYFUNCTION("""COMPUTED_VALUE"""),"辻村 将大")</f>
        <v>辻村 将大</v>
      </c>
    </row>
    <row r="4400" spans="2:4" ht="13">
      <c r="B4400" s="12">
        <f ca="1">IFERROR(__xludf.DUMMYFUNCTION("""COMPUTED_VALUE"""),126179)</f>
        <v>126179</v>
      </c>
      <c r="C4400" s="14">
        <f ca="1">IFERROR(__xludf.DUMMYFUNCTION("""COMPUTED_VALUE"""),0)</f>
        <v>0</v>
      </c>
      <c r="D4400" s="12" t="str">
        <f ca="1">IFERROR(__xludf.DUMMYFUNCTION("""COMPUTED_VALUE"""),"桐山 勝気")</f>
        <v>桐山 勝気</v>
      </c>
    </row>
    <row r="4401" spans="2:4" ht="13">
      <c r="B4401" s="12">
        <f ca="1">IFERROR(__xludf.DUMMYFUNCTION("""COMPUTED_VALUE"""),126180)</f>
        <v>126180</v>
      </c>
      <c r="C4401" s="14">
        <f ca="1">IFERROR(__xludf.DUMMYFUNCTION("""COMPUTED_VALUE"""),0)</f>
        <v>0</v>
      </c>
      <c r="D4401" s="12" t="str">
        <f ca="1">IFERROR(__xludf.DUMMYFUNCTION("""COMPUTED_VALUE"""),"成嶋 夏未")</f>
        <v>成嶋 夏未</v>
      </c>
    </row>
    <row r="4402" spans="2:4" ht="13">
      <c r="B4402" s="12">
        <f ca="1">IFERROR(__xludf.DUMMYFUNCTION("""COMPUTED_VALUE"""),126196)</f>
        <v>126196</v>
      </c>
      <c r="C4402" s="14">
        <f ca="1">IFERROR(__xludf.DUMMYFUNCTION("""COMPUTED_VALUE"""),0)</f>
        <v>0</v>
      </c>
      <c r="D4402" s="12" t="str">
        <f ca="1">IFERROR(__xludf.DUMMYFUNCTION("""COMPUTED_VALUE"""),"成嶋 夏未")</f>
        <v>成嶋 夏未</v>
      </c>
    </row>
    <row r="4403" spans="2:4" ht="13">
      <c r="B4403" s="12">
        <f ca="1">IFERROR(__xludf.DUMMYFUNCTION("""COMPUTED_VALUE"""),126197)</f>
        <v>126197</v>
      </c>
      <c r="C4403" s="14">
        <f ca="1">IFERROR(__xludf.DUMMYFUNCTION("""COMPUTED_VALUE"""),1)</f>
        <v>1</v>
      </c>
      <c r="D4403" s="12" t="str">
        <f ca="1">IFERROR(__xludf.DUMMYFUNCTION("""COMPUTED_VALUE"""),"稲場 勇介")</f>
        <v>稲場 勇介</v>
      </c>
    </row>
    <row r="4404" spans="2:4" ht="13">
      <c r="B4404" s="12">
        <f ca="1">IFERROR(__xludf.DUMMYFUNCTION("""COMPUTED_VALUE"""),126198)</f>
        <v>126198</v>
      </c>
      <c r="C4404" s="14">
        <f ca="1">IFERROR(__xludf.DUMMYFUNCTION("""COMPUTED_VALUE"""),0)</f>
        <v>0</v>
      </c>
      <c r="D4404" s="12" t="str">
        <f ca="1">IFERROR(__xludf.DUMMYFUNCTION("""COMPUTED_VALUE"""),"成嶋 夏未")</f>
        <v>成嶋 夏未</v>
      </c>
    </row>
    <row r="4405" spans="2:4" ht="13">
      <c r="B4405" s="12">
        <f ca="1">IFERROR(__xludf.DUMMYFUNCTION("""COMPUTED_VALUE"""),126201)</f>
        <v>126201</v>
      </c>
      <c r="C4405" s="14">
        <f ca="1">IFERROR(__xludf.DUMMYFUNCTION("""COMPUTED_VALUE"""),0)</f>
        <v>0</v>
      </c>
      <c r="D4405" s="12" t="str">
        <f ca="1">IFERROR(__xludf.DUMMYFUNCTION("""COMPUTED_VALUE"""),"長谷川 陸朗")</f>
        <v>長谷川 陸朗</v>
      </c>
    </row>
    <row r="4406" spans="2:4" ht="13">
      <c r="B4406" s="12">
        <f ca="1">IFERROR(__xludf.DUMMYFUNCTION("""COMPUTED_VALUE"""),126202)</f>
        <v>126202</v>
      </c>
      <c r="C4406" s="14">
        <f ca="1">IFERROR(__xludf.DUMMYFUNCTION("""COMPUTED_VALUE"""),44)</f>
        <v>44</v>
      </c>
      <c r="D4406" s="12" t="str">
        <f ca="1">IFERROR(__xludf.DUMMYFUNCTION("""COMPUTED_VALUE"""),"菅野 ぎんが")</f>
        <v>菅野 ぎんが</v>
      </c>
    </row>
    <row r="4407" spans="2:4" ht="13">
      <c r="B4407" s="12">
        <f ca="1">IFERROR(__xludf.DUMMYFUNCTION("""COMPUTED_VALUE"""),126206)</f>
        <v>126206</v>
      </c>
      <c r="C4407" s="14">
        <f ca="1">IFERROR(__xludf.DUMMYFUNCTION("""COMPUTED_VALUE"""),0)</f>
        <v>0</v>
      </c>
      <c r="D4407" s="12" t="str">
        <f ca="1">IFERROR(__xludf.DUMMYFUNCTION("""COMPUTED_VALUE"""),"菅野 ぎんが")</f>
        <v>菅野 ぎんが</v>
      </c>
    </row>
    <row r="4408" spans="2:4" ht="13">
      <c r="B4408" s="12">
        <f ca="1">IFERROR(__xludf.DUMMYFUNCTION("""COMPUTED_VALUE"""),126207)</f>
        <v>126207</v>
      </c>
      <c r="C4408" s="14">
        <f ca="1">IFERROR(__xludf.DUMMYFUNCTION("""COMPUTED_VALUE"""),0)</f>
        <v>0</v>
      </c>
      <c r="D4408" s="12" t="str">
        <f ca="1">IFERROR(__xludf.DUMMYFUNCTION("""COMPUTED_VALUE"""),"松尾 尚樹")</f>
        <v>松尾 尚樹</v>
      </c>
    </row>
    <row r="4409" spans="2:4" ht="13">
      <c r="B4409" s="12">
        <f ca="1">IFERROR(__xludf.DUMMYFUNCTION("""COMPUTED_VALUE"""),126213)</f>
        <v>126213</v>
      </c>
      <c r="C4409" s="14">
        <f ca="1">IFERROR(__xludf.DUMMYFUNCTION("""COMPUTED_VALUE"""),2)</f>
        <v>2</v>
      </c>
      <c r="D4409" s="12" t="str">
        <f ca="1">IFERROR(__xludf.DUMMYFUNCTION("""COMPUTED_VALUE"""),"桑原 明子")</f>
        <v>桑原 明子</v>
      </c>
    </row>
    <row r="4410" spans="2:4" ht="13">
      <c r="B4410" s="12">
        <f ca="1">IFERROR(__xludf.DUMMYFUNCTION("""COMPUTED_VALUE"""),126217)</f>
        <v>126217</v>
      </c>
      <c r="C4410" s="14">
        <f ca="1">IFERROR(__xludf.DUMMYFUNCTION("""COMPUTED_VALUE"""),0)</f>
        <v>0</v>
      </c>
      <c r="D4410" s="12" t="str">
        <f ca="1">IFERROR(__xludf.DUMMYFUNCTION("""COMPUTED_VALUE"""),"小関 麻起")</f>
        <v>小関 麻起</v>
      </c>
    </row>
    <row r="4411" spans="2:4" ht="13">
      <c r="B4411" s="12">
        <f ca="1">IFERROR(__xludf.DUMMYFUNCTION("""COMPUTED_VALUE"""),126218)</f>
        <v>126218</v>
      </c>
      <c r="C4411" s="14">
        <f ca="1">IFERROR(__xludf.DUMMYFUNCTION("""COMPUTED_VALUE"""),0)</f>
        <v>0</v>
      </c>
      <c r="D4411" s="12" t="str">
        <f ca="1">IFERROR(__xludf.DUMMYFUNCTION("""COMPUTED_VALUE"""),"松尾 尚樹")</f>
        <v>松尾 尚樹</v>
      </c>
    </row>
    <row r="4412" spans="2:4" ht="13">
      <c r="B4412" s="12">
        <f ca="1">IFERROR(__xludf.DUMMYFUNCTION("""COMPUTED_VALUE"""),126223)</f>
        <v>126223</v>
      </c>
      <c r="C4412" s="14">
        <f ca="1">IFERROR(__xludf.DUMMYFUNCTION("""COMPUTED_VALUE"""),0)</f>
        <v>0</v>
      </c>
      <c r="D4412" s="12" t="str">
        <f ca="1">IFERROR(__xludf.DUMMYFUNCTION("""COMPUTED_VALUE"""),"菅野 ぎんが")</f>
        <v>菅野 ぎんが</v>
      </c>
    </row>
    <row r="4413" spans="2:4" ht="13">
      <c r="B4413" s="12">
        <f ca="1">IFERROR(__xludf.DUMMYFUNCTION("""COMPUTED_VALUE"""),126224)</f>
        <v>126224</v>
      </c>
      <c r="C4413" s="14">
        <f ca="1">IFERROR(__xludf.DUMMYFUNCTION("""COMPUTED_VALUE"""),0)</f>
        <v>0</v>
      </c>
      <c r="D4413" s="12" t="str">
        <f ca="1">IFERROR(__xludf.DUMMYFUNCTION("""COMPUTED_VALUE"""),"成嶋 夏未")</f>
        <v>成嶋 夏未</v>
      </c>
    </row>
    <row r="4414" spans="2:4" ht="13">
      <c r="B4414" s="12">
        <f ca="1">IFERROR(__xludf.DUMMYFUNCTION("""COMPUTED_VALUE"""),126227)</f>
        <v>126227</v>
      </c>
      <c r="C4414" s="14">
        <f ca="1">IFERROR(__xludf.DUMMYFUNCTION("""COMPUTED_VALUE"""),0)</f>
        <v>0</v>
      </c>
      <c r="D4414" s="12" t="str">
        <f ca="1">IFERROR(__xludf.DUMMYFUNCTION("""COMPUTED_VALUE"""),"小川 純")</f>
        <v>小川 純</v>
      </c>
    </row>
    <row r="4415" spans="2:4" ht="13">
      <c r="B4415" s="12">
        <f ca="1">IFERROR(__xludf.DUMMYFUNCTION("""COMPUTED_VALUE"""),126233)</f>
        <v>126233</v>
      </c>
      <c r="C4415" s="14">
        <f ca="1">IFERROR(__xludf.DUMMYFUNCTION("""COMPUTED_VALUE"""),0)</f>
        <v>0</v>
      </c>
      <c r="D4415" s="12" t="str">
        <f ca="1">IFERROR(__xludf.DUMMYFUNCTION("""COMPUTED_VALUE"""),"成嶋 夏未")</f>
        <v>成嶋 夏未</v>
      </c>
    </row>
    <row r="4416" spans="2:4" ht="13">
      <c r="B4416" s="12">
        <f ca="1">IFERROR(__xludf.DUMMYFUNCTION("""COMPUTED_VALUE"""),126240)</f>
        <v>126240</v>
      </c>
      <c r="C4416" s="14">
        <f ca="1">IFERROR(__xludf.DUMMYFUNCTION("""COMPUTED_VALUE"""),0)</f>
        <v>0</v>
      </c>
      <c r="D4416" s="12" t="str">
        <f ca="1">IFERROR(__xludf.DUMMYFUNCTION("""COMPUTED_VALUE"""),"桐山 勝気")</f>
        <v>桐山 勝気</v>
      </c>
    </row>
    <row r="4417" spans="2:4" ht="13">
      <c r="B4417" s="12">
        <f ca="1">IFERROR(__xludf.DUMMYFUNCTION("""COMPUTED_VALUE"""),126241)</f>
        <v>126241</v>
      </c>
      <c r="C4417" s="14">
        <f ca="1">IFERROR(__xludf.DUMMYFUNCTION("""COMPUTED_VALUE"""),0)</f>
        <v>0</v>
      </c>
      <c r="D4417" s="12" t="str">
        <f ca="1">IFERROR(__xludf.DUMMYFUNCTION("""COMPUTED_VALUE"""),"桐山 勝気")</f>
        <v>桐山 勝気</v>
      </c>
    </row>
    <row r="4418" spans="2:4" ht="13">
      <c r="B4418" s="12">
        <f ca="1">IFERROR(__xludf.DUMMYFUNCTION("""COMPUTED_VALUE"""),126248)</f>
        <v>126248</v>
      </c>
      <c r="C4418" s="14">
        <f ca="1">IFERROR(__xludf.DUMMYFUNCTION("""COMPUTED_VALUE"""),0)</f>
        <v>0</v>
      </c>
      <c r="D4418" s="12" t="str">
        <f ca="1">IFERROR(__xludf.DUMMYFUNCTION("""COMPUTED_VALUE"""),"内丸 裕子")</f>
        <v>内丸 裕子</v>
      </c>
    </row>
    <row r="4419" spans="2:4" ht="13">
      <c r="B4419" s="12">
        <f ca="1">IFERROR(__xludf.DUMMYFUNCTION("""COMPUTED_VALUE"""),126252)</f>
        <v>126252</v>
      </c>
      <c r="C4419" s="14">
        <f ca="1">IFERROR(__xludf.DUMMYFUNCTION("""COMPUTED_VALUE"""),0)</f>
        <v>0</v>
      </c>
      <c r="D4419" s="12" t="str">
        <f ca="1">IFERROR(__xludf.DUMMYFUNCTION("""COMPUTED_VALUE"""),"田嶋 将太")</f>
        <v>田嶋 将太</v>
      </c>
    </row>
    <row r="4420" spans="2:4" ht="13">
      <c r="B4420" s="12">
        <f ca="1">IFERROR(__xludf.DUMMYFUNCTION("""COMPUTED_VALUE"""),126256)</f>
        <v>126256</v>
      </c>
      <c r="C4420" s="14">
        <f ca="1">IFERROR(__xludf.DUMMYFUNCTION("""COMPUTED_VALUE"""),0)</f>
        <v>0</v>
      </c>
      <c r="D4420" s="12" t="str">
        <f ca="1">IFERROR(__xludf.DUMMYFUNCTION("""COMPUTED_VALUE"""),"成嶋 夏未")</f>
        <v>成嶋 夏未</v>
      </c>
    </row>
    <row r="4421" spans="2:4" ht="13">
      <c r="B4421" s="12">
        <f ca="1">IFERROR(__xludf.DUMMYFUNCTION("""COMPUTED_VALUE"""),126258)</f>
        <v>126258</v>
      </c>
      <c r="C4421" s="14">
        <f ca="1">IFERROR(__xludf.DUMMYFUNCTION("""COMPUTED_VALUE"""),4)</f>
        <v>4</v>
      </c>
      <c r="D4421" s="12" t="str">
        <f ca="1">IFERROR(__xludf.DUMMYFUNCTION("""COMPUTED_VALUE"""),"菅野 ぎんが")</f>
        <v>菅野 ぎんが</v>
      </c>
    </row>
    <row r="4422" spans="2:4" ht="13">
      <c r="B4422" s="12">
        <f ca="1">IFERROR(__xludf.DUMMYFUNCTION("""COMPUTED_VALUE"""),126265)</f>
        <v>126265</v>
      </c>
      <c r="C4422" s="14">
        <f ca="1">IFERROR(__xludf.DUMMYFUNCTION("""COMPUTED_VALUE"""),0)</f>
        <v>0</v>
      </c>
      <c r="D4422" s="12" t="str">
        <f ca="1">IFERROR(__xludf.DUMMYFUNCTION("""COMPUTED_VALUE"""),"小関 麻起")</f>
        <v>小関 麻起</v>
      </c>
    </row>
    <row r="4423" spans="2:4" ht="13">
      <c r="B4423" s="12">
        <f ca="1">IFERROR(__xludf.DUMMYFUNCTION("""COMPUTED_VALUE"""),126267)</f>
        <v>126267</v>
      </c>
      <c r="C4423" s="14">
        <f ca="1">IFERROR(__xludf.DUMMYFUNCTION("""COMPUTED_VALUE"""),3)</f>
        <v>3</v>
      </c>
      <c r="D4423" s="12" t="str">
        <f ca="1">IFERROR(__xludf.DUMMYFUNCTION("""COMPUTED_VALUE"""),"小川 純")</f>
        <v>小川 純</v>
      </c>
    </row>
    <row r="4424" spans="2:4" ht="13">
      <c r="B4424" s="12">
        <f ca="1">IFERROR(__xludf.DUMMYFUNCTION("""COMPUTED_VALUE"""),126268)</f>
        <v>126268</v>
      </c>
      <c r="C4424" s="14">
        <f ca="1">IFERROR(__xludf.DUMMYFUNCTION("""COMPUTED_VALUE"""),0)</f>
        <v>0</v>
      </c>
      <c r="D4424" s="12" t="str">
        <f ca="1">IFERROR(__xludf.DUMMYFUNCTION("""COMPUTED_VALUE"""),"長谷川 陸朗")</f>
        <v>長谷川 陸朗</v>
      </c>
    </row>
    <row r="4425" spans="2:4" ht="13">
      <c r="B4425" s="12">
        <f ca="1">IFERROR(__xludf.DUMMYFUNCTION("""COMPUTED_VALUE"""),126270)</f>
        <v>126270</v>
      </c>
      <c r="C4425" s="14">
        <f ca="1">IFERROR(__xludf.DUMMYFUNCTION("""COMPUTED_VALUE"""),74)</f>
        <v>74</v>
      </c>
      <c r="D4425" s="12" t="str">
        <f ca="1">IFERROR(__xludf.DUMMYFUNCTION("""COMPUTED_VALUE"""),"柿崎 晃司")</f>
        <v>柿崎 晃司</v>
      </c>
    </row>
    <row r="4426" spans="2:4" ht="13">
      <c r="B4426" s="12">
        <f ca="1">IFERROR(__xludf.DUMMYFUNCTION("""COMPUTED_VALUE"""),126274)</f>
        <v>126274</v>
      </c>
      <c r="C4426" s="14">
        <f ca="1">IFERROR(__xludf.DUMMYFUNCTION("""COMPUTED_VALUE"""),0)</f>
        <v>0</v>
      </c>
      <c r="D4426" s="12" t="str">
        <f ca="1">IFERROR(__xludf.DUMMYFUNCTION("""COMPUTED_VALUE"""),"成嶋 夏未")</f>
        <v>成嶋 夏未</v>
      </c>
    </row>
    <row r="4427" spans="2:4" ht="13">
      <c r="B4427" s="12">
        <f ca="1">IFERROR(__xludf.DUMMYFUNCTION("""COMPUTED_VALUE"""),126276)</f>
        <v>126276</v>
      </c>
      <c r="C4427" s="14">
        <f ca="1">IFERROR(__xludf.DUMMYFUNCTION("""COMPUTED_VALUE"""),0)</f>
        <v>0</v>
      </c>
      <c r="D4427" s="12" t="str">
        <f ca="1">IFERROR(__xludf.DUMMYFUNCTION("""COMPUTED_VALUE"""),"長谷川 陸朗")</f>
        <v>長谷川 陸朗</v>
      </c>
    </row>
    <row r="4428" spans="2:4" ht="13">
      <c r="B4428" s="12">
        <f ca="1">IFERROR(__xludf.DUMMYFUNCTION("""COMPUTED_VALUE"""),126277)</f>
        <v>126277</v>
      </c>
      <c r="C4428" s="14">
        <f ca="1">IFERROR(__xludf.DUMMYFUNCTION("""COMPUTED_VALUE"""),0)</f>
        <v>0</v>
      </c>
      <c r="D4428" s="12" t="str">
        <f ca="1">IFERROR(__xludf.DUMMYFUNCTION("""COMPUTED_VALUE"""),"小関 麻起")</f>
        <v>小関 麻起</v>
      </c>
    </row>
    <row r="4429" spans="2:4" ht="13">
      <c r="B4429" s="12">
        <f ca="1">IFERROR(__xludf.DUMMYFUNCTION("""COMPUTED_VALUE"""),126281)</f>
        <v>126281</v>
      </c>
      <c r="C4429" s="14">
        <f ca="1">IFERROR(__xludf.DUMMYFUNCTION("""COMPUTED_VALUE"""),0)</f>
        <v>0</v>
      </c>
      <c r="D4429" s="12" t="str">
        <f ca="1">IFERROR(__xludf.DUMMYFUNCTION("""COMPUTED_VALUE"""),"小関 麻起")</f>
        <v>小関 麻起</v>
      </c>
    </row>
    <row r="4430" spans="2:4" ht="13">
      <c r="B4430" s="12">
        <f ca="1">IFERROR(__xludf.DUMMYFUNCTION("""COMPUTED_VALUE"""),126282)</f>
        <v>126282</v>
      </c>
      <c r="C4430" s="14">
        <f ca="1">IFERROR(__xludf.DUMMYFUNCTION("""COMPUTED_VALUE"""),2)</f>
        <v>2</v>
      </c>
      <c r="D4430" s="12" t="str">
        <f ca="1">IFERROR(__xludf.DUMMYFUNCTION("""COMPUTED_VALUE"""),"桑原 明子")</f>
        <v>桑原 明子</v>
      </c>
    </row>
    <row r="4431" spans="2:4" ht="13">
      <c r="B4431" s="12">
        <f ca="1">IFERROR(__xludf.DUMMYFUNCTION("""COMPUTED_VALUE"""),126284)</f>
        <v>126284</v>
      </c>
      <c r="C4431" s="14">
        <f ca="1">IFERROR(__xludf.DUMMYFUNCTION("""COMPUTED_VALUE"""),0)</f>
        <v>0</v>
      </c>
      <c r="D4431" s="12" t="str">
        <f ca="1">IFERROR(__xludf.DUMMYFUNCTION("""COMPUTED_VALUE"""),"内丸 裕子")</f>
        <v>内丸 裕子</v>
      </c>
    </row>
    <row r="4432" spans="2:4" ht="13">
      <c r="B4432" s="12">
        <f ca="1">IFERROR(__xludf.DUMMYFUNCTION("""COMPUTED_VALUE"""),126286)</f>
        <v>126286</v>
      </c>
      <c r="C4432" s="14">
        <f ca="1">IFERROR(__xludf.DUMMYFUNCTION("""COMPUTED_VALUE"""),0)</f>
        <v>0</v>
      </c>
      <c r="D4432" s="12" t="str">
        <f ca="1">IFERROR(__xludf.DUMMYFUNCTION("""COMPUTED_VALUE"""),"成嶋 夏未")</f>
        <v>成嶋 夏未</v>
      </c>
    </row>
    <row r="4433" spans="2:4" ht="13">
      <c r="B4433" s="12">
        <f ca="1">IFERROR(__xludf.DUMMYFUNCTION("""COMPUTED_VALUE"""),126290)</f>
        <v>126290</v>
      </c>
      <c r="C4433" s="14">
        <f ca="1">IFERROR(__xludf.DUMMYFUNCTION("""COMPUTED_VALUE"""),0)</f>
        <v>0</v>
      </c>
      <c r="D4433" s="12" t="str">
        <f ca="1">IFERROR(__xludf.DUMMYFUNCTION("""COMPUTED_VALUE"""),"荻曽 克輝")</f>
        <v>荻曽 克輝</v>
      </c>
    </row>
    <row r="4434" spans="2:4" ht="13">
      <c r="B4434" s="12">
        <f ca="1">IFERROR(__xludf.DUMMYFUNCTION("""COMPUTED_VALUE"""),126294)</f>
        <v>126294</v>
      </c>
      <c r="C4434" s="14">
        <f ca="1">IFERROR(__xludf.DUMMYFUNCTION("""COMPUTED_VALUE"""),0)</f>
        <v>0</v>
      </c>
      <c r="D4434" s="12" t="str">
        <f ca="1">IFERROR(__xludf.DUMMYFUNCTION("""COMPUTED_VALUE"""),"成嶋 夏未")</f>
        <v>成嶋 夏未</v>
      </c>
    </row>
    <row r="4435" spans="2:4" ht="13">
      <c r="B4435" s="12">
        <f ca="1">IFERROR(__xludf.DUMMYFUNCTION("""COMPUTED_VALUE"""),126295)</f>
        <v>126295</v>
      </c>
      <c r="C4435" s="14">
        <f ca="1">IFERROR(__xludf.DUMMYFUNCTION("""COMPUTED_VALUE"""),0)</f>
        <v>0</v>
      </c>
      <c r="D4435" s="12" t="str">
        <f ca="1">IFERROR(__xludf.DUMMYFUNCTION("""COMPUTED_VALUE"""),"長谷川 陸朗")</f>
        <v>長谷川 陸朗</v>
      </c>
    </row>
    <row r="4436" spans="2:4" ht="13">
      <c r="B4436" s="12">
        <f ca="1">IFERROR(__xludf.DUMMYFUNCTION("""COMPUTED_VALUE"""),126302)</f>
        <v>126302</v>
      </c>
      <c r="C4436" s="14">
        <f ca="1">IFERROR(__xludf.DUMMYFUNCTION("""COMPUTED_VALUE"""),0)</f>
        <v>0</v>
      </c>
      <c r="D4436" s="12" t="str">
        <f ca="1">IFERROR(__xludf.DUMMYFUNCTION("""COMPUTED_VALUE"""),"長谷川 陸朗")</f>
        <v>長谷川 陸朗</v>
      </c>
    </row>
    <row r="4437" spans="2:4" ht="13">
      <c r="B4437" s="12">
        <f ca="1">IFERROR(__xludf.DUMMYFUNCTION("""COMPUTED_VALUE"""),126308)</f>
        <v>126308</v>
      </c>
      <c r="C4437" s="14">
        <f ca="1">IFERROR(__xludf.DUMMYFUNCTION("""COMPUTED_VALUE"""),2)</f>
        <v>2</v>
      </c>
      <c r="D4437" s="12" t="str">
        <f ca="1">IFERROR(__xludf.DUMMYFUNCTION("""COMPUTED_VALUE"""),"菅野 ぎんが")</f>
        <v>菅野 ぎんが</v>
      </c>
    </row>
    <row r="4438" spans="2:4" ht="13">
      <c r="B4438" s="12">
        <f ca="1">IFERROR(__xludf.DUMMYFUNCTION("""COMPUTED_VALUE"""),126309)</f>
        <v>126309</v>
      </c>
      <c r="C4438" s="14">
        <f ca="1">IFERROR(__xludf.DUMMYFUNCTION("""COMPUTED_VALUE"""),0)</f>
        <v>0</v>
      </c>
      <c r="D4438" s="12" t="str">
        <f ca="1">IFERROR(__xludf.DUMMYFUNCTION("""COMPUTED_VALUE"""),"辻村 将大")</f>
        <v>辻村 将大</v>
      </c>
    </row>
    <row r="4439" spans="2:4" ht="13">
      <c r="B4439" s="12">
        <f ca="1">IFERROR(__xludf.DUMMYFUNCTION("""COMPUTED_VALUE"""),126314)</f>
        <v>126314</v>
      </c>
      <c r="C4439" s="14">
        <f ca="1">IFERROR(__xludf.DUMMYFUNCTION("""COMPUTED_VALUE"""),0)</f>
        <v>0</v>
      </c>
      <c r="D4439" s="12" t="str">
        <f ca="1">IFERROR(__xludf.DUMMYFUNCTION("""COMPUTED_VALUE"""),"成嶋 夏未")</f>
        <v>成嶋 夏未</v>
      </c>
    </row>
    <row r="4440" spans="2:4" ht="13">
      <c r="B4440" s="12">
        <f ca="1">IFERROR(__xludf.DUMMYFUNCTION("""COMPUTED_VALUE"""),126321)</f>
        <v>126321</v>
      </c>
      <c r="C4440" s="14">
        <f ca="1">IFERROR(__xludf.DUMMYFUNCTION("""COMPUTED_VALUE"""),0)</f>
        <v>0</v>
      </c>
      <c r="D4440" s="12" t="str">
        <f ca="1">IFERROR(__xludf.DUMMYFUNCTION("""COMPUTED_VALUE"""),"小関 麻起")</f>
        <v>小関 麻起</v>
      </c>
    </row>
    <row r="4441" spans="2:4" ht="13">
      <c r="B4441" s="12">
        <f ca="1">IFERROR(__xludf.DUMMYFUNCTION("""COMPUTED_VALUE"""),126322)</f>
        <v>126322</v>
      </c>
      <c r="C4441" s="14">
        <f ca="1">IFERROR(__xludf.DUMMYFUNCTION("""COMPUTED_VALUE"""),0)</f>
        <v>0</v>
      </c>
      <c r="D4441" s="12" t="str">
        <f ca="1">IFERROR(__xludf.DUMMYFUNCTION("""COMPUTED_VALUE"""),"菅野 ぎんが")</f>
        <v>菅野 ぎんが</v>
      </c>
    </row>
    <row r="4442" spans="2:4" ht="13">
      <c r="B4442" s="12">
        <f ca="1">IFERROR(__xludf.DUMMYFUNCTION("""COMPUTED_VALUE"""),126325)</f>
        <v>126325</v>
      </c>
      <c r="C4442" s="14">
        <f ca="1">IFERROR(__xludf.DUMMYFUNCTION("""COMPUTED_VALUE"""),0)</f>
        <v>0</v>
      </c>
      <c r="D4442" s="12" t="str">
        <f ca="1">IFERROR(__xludf.DUMMYFUNCTION("""COMPUTED_VALUE"""),"成嶋 夏未")</f>
        <v>成嶋 夏未</v>
      </c>
    </row>
    <row r="4443" spans="2:4" ht="13">
      <c r="B4443" s="12">
        <f ca="1">IFERROR(__xludf.DUMMYFUNCTION("""COMPUTED_VALUE"""),126327)</f>
        <v>126327</v>
      </c>
      <c r="C4443" s="14">
        <f ca="1">IFERROR(__xludf.DUMMYFUNCTION("""COMPUTED_VALUE"""),0)</f>
        <v>0</v>
      </c>
      <c r="D4443" s="12" t="str">
        <f ca="1">IFERROR(__xludf.DUMMYFUNCTION("""COMPUTED_VALUE"""),"内丸 裕子")</f>
        <v>内丸 裕子</v>
      </c>
    </row>
    <row r="4444" spans="2:4" ht="13">
      <c r="B4444" s="12">
        <f ca="1">IFERROR(__xludf.DUMMYFUNCTION("""COMPUTED_VALUE"""),126328)</f>
        <v>126328</v>
      </c>
      <c r="C4444" s="14">
        <f ca="1">IFERROR(__xludf.DUMMYFUNCTION("""COMPUTED_VALUE"""),0)</f>
        <v>0</v>
      </c>
      <c r="D4444" s="12" t="str">
        <f ca="1">IFERROR(__xludf.DUMMYFUNCTION("""COMPUTED_VALUE"""),"長谷川 陸朗")</f>
        <v>長谷川 陸朗</v>
      </c>
    </row>
    <row r="4445" spans="2:4" ht="13">
      <c r="B4445" s="12">
        <f ca="1">IFERROR(__xludf.DUMMYFUNCTION("""COMPUTED_VALUE"""),126331)</f>
        <v>126331</v>
      </c>
      <c r="C4445" s="14">
        <f ca="1">IFERROR(__xludf.DUMMYFUNCTION("""COMPUTED_VALUE"""),0)</f>
        <v>0</v>
      </c>
      <c r="D4445" s="12" t="str">
        <f ca="1">IFERROR(__xludf.DUMMYFUNCTION("""COMPUTED_VALUE"""),"菅野 ぎんが")</f>
        <v>菅野 ぎんが</v>
      </c>
    </row>
    <row r="4446" spans="2:4" ht="13">
      <c r="B4446" s="12">
        <f ca="1">IFERROR(__xludf.DUMMYFUNCTION("""COMPUTED_VALUE"""),126354)</f>
        <v>126354</v>
      </c>
      <c r="C4446" s="14">
        <f ca="1">IFERROR(__xludf.DUMMYFUNCTION("""COMPUTED_VALUE"""),87)</f>
        <v>87</v>
      </c>
      <c r="D4446" s="12" t="str">
        <f ca="1">IFERROR(__xludf.DUMMYFUNCTION("""COMPUTED_VALUE"""),"栗原 大武")</f>
        <v>栗原 大武</v>
      </c>
    </row>
    <row r="4447" spans="2:4" ht="13">
      <c r="B4447" s="12">
        <f ca="1">IFERROR(__xludf.DUMMYFUNCTION("""COMPUTED_VALUE"""),126360)</f>
        <v>126360</v>
      </c>
      <c r="C4447" s="14">
        <f ca="1">IFERROR(__xludf.DUMMYFUNCTION("""COMPUTED_VALUE"""),0)</f>
        <v>0</v>
      </c>
      <c r="D4447" s="12" t="str">
        <f ca="1">IFERROR(__xludf.DUMMYFUNCTION("""COMPUTED_VALUE"""),"松尾 尚樹")</f>
        <v>松尾 尚樹</v>
      </c>
    </row>
    <row r="4448" spans="2:4" ht="13">
      <c r="B4448" s="12">
        <f ca="1">IFERROR(__xludf.DUMMYFUNCTION("""COMPUTED_VALUE"""),126362)</f>
        <v>126362</v>
      </c>
      <c r="C4448" s="14">
        <f ca="1">IFERROR(__xludf.DUMMYFUNCTION("""COMPUTED_VALUE"""),0)</f>
        <v>0</v>
      </c>
      <c r="D4448" s="12" t="str">
        <f ca="1">IFERROR(__xludf.DUMMYFUNCTION("""COMPUTED_VALUE"""),"村上 浩一朗")</f>
        <v>村上 浩一朗</v>
      </c>
    </row>
    <row r="4449" spans="2:4" ht="13">
      <c r="B4449" s="12">
        <f ca="1">IFERROR(__xludf.DUMMYFUNCTION("""COMPUTED_VALUE"""),126366)</f>
        <v>126366</v>
      </c>
      <c r="C4449" s="14">
        <f ca="1">IFERROR(__xludf.DUMMYFUNCTION("""COMPUTED_VALUE"""),1)</f>
        <v>1</v>
      </c>
      <c r="D4449" s="12" t="str">
        <f ca="1">IFERROR(__xludf.DUMMYFUNCTION("""COMPUTED_VALUE"""),"老田 純輝")</f>
        <v>老田 純輝</v>
      </c>
    </row>
    <row r="4450" spans="2:4" ht="13">
      <c r="B4450" s="12">
        <f ca="1">IFERROR(__xludf.DUMMYFUNCTION("""COMPUTED_VALUE"""),126370)</f>
        <v>126370</v>
      </c>
      <c r="C4450" s="14">
        <f ca="1">IFERROR(__xludf.DUMMYFUNCTION("""COMPUTED_VALUE"""),0)</f>
        <v>0</v>
      </c>
      <c r="D4450" s="12" t="str">
        <f ca="1">IFERROR(__xludf.DUMMYFUNCTION("""COMPUTED_VALUE"""),"柿崎 晃司")</f>
        <v>柿崎 晃司</v>
      </c>
    </row>
    <row r="4451" spans="2:4" ht="13">
      <c r="B4451" s="12">
        <f ca="1">IFERROR(__xludf.DUMMYFUNCTION("""COMPUTED_VALUE"""),126376)</f>
        <v>126376</v>
      </c>
      <c r="C4451" s="14">
        <f ca="1">IFERROR(__xludf.DUMMYFUNCTION("""COMPUTED_VALUE"""),33)</f>
        <v>33</v>
      </c>
      <c r="D4451" s="12" t="str">
        <f ca="1">IFERROR(__xludf.DUMMYFUNCTION("""COMPUTED_VALUE"""),"村上 浩一朗")</f>
        <v>村上 浩一朗</v>
      </c>
    </row>
    <row r="4452" spans="2:4" ht="13">
      <c r="B4452" s="12">
        <f ca="1">IFERROR(__xludf.DUMMYFUNCTION("""COMPUTED_VALUE"""),126380)</f>
        <v>126380</v>
      </c>
      <c r="C4452" s="14">
        <f ca="1">IFERROR(__xludf.DUMMYFUNCTION("""COMPUTED_VALUE"""),1)</f>
        <v>1</v>
      </c>
      <c r="D4452" s="12" t="str">
        <f ca="1">IFERROR(__xludf.DUMMYFUNCTION("""COMPUTED_VALUE"""),"奥野 貴大")</f>
        <v>奥野 貴大</v>
      </c>
    </row>
    <row r="4453" spans="2:4" ht="13">
      <c r="B4453" s="12">
        <f ca="1">IFERROR(__xludf.DUMMYFUNCTION("""COMPUTED_VALUE"""),126386)</f>
        <v>126386</v>
      </c>
      <c r="C4453" s="14">
        <f ca="1">IFERROR(__xludf.DUMMYFUNCTION("""COMPUTED_VALUE"""),0)</f>
        <v>0</v>
      </c>
      <c r="D4453" s="12" t="str">
        <f ca="1">IFERROR(__xludf.DUMMYFUNCTION("""COMPUTED_VALUE"""),"栗原 大武")</f>
        <v>栗原 大武</v>
      </c>
    </row>
    <row r="4454" spans="2:4" ht="13">
      <c r="B4454" s="12">
        <f ca="1">IFERROR(__xludf.DUMMYFUNCTION("""COMPUTED_VALUE"""),126387)</f>
        <v>126387</v>
      </c>
      <c r="C4454" s="14">
        <f ca="1">IFERROR(__xludf.DUMMYFUNCTION("""COMPUTED_VALUE"""),0)</f>
        <v>0</v>
      </c>
      <c r="D4454" s="12" t="str">
        <f ca="1">IFERROR(__xludf.DUMMYFUNCTION("""COMPUTED_VALUE"""),"小関 麻起")</f>
        <v>小関 麻起</v>
      </c>
    </row>
    <row r="4455" spans="2:4" ht="13">
      <c r="B4455" s="12">
        <f ca="1">IFERROR(__xludf.DUMMYFUNCTION("""COMPUTED_VALUE"""),126393)</f>
        <v>126393</v>
      </c>
      <c r="C4455" s="14">
        <f ca="1">IFERROR(__xludf.DUMMYFUNCTION("""COMPUTED_VALUE"""),0)</f>
        <v>0</v>
      </c>
      <c r="D4455" s="12" t="str">
        <f ca="1">IFERROR(__xludf.DUMMYFUNCTION("""COMPUTED_VALUE"""),"稲場 勇介")</f>
        <v>稲場 勇介</v>
      </c>
    </row>
    <row r="4456" spans="2:4" ht="13">
      <c r="B4456" s="12">
        <f ca="1">IFERROR(__xludf.DUMMYFUNCTION("""COMPUTED_VALUE"""),126399)</f>
        <v>126399</v>
      </c>
      <c r="C4456" s="14">
        <f ca="1">IFERROR(__xludf.DUMMYFUNCTION("""COMPUTED_VALUE"""),0)</f>
        <v>0</v>
      </c>
      <c r="D4456" s="12" t="str">
        <f ca="1">IFERROR(__xludf.DUMMYFUNCTION("""COMPUTED_VALUE"""),"菅野 ぎんが")</f>
        <v>菅野 ぎんが</v>
      </c>
    </row>
    <row r="4457" spans="2:4" ht="13">
      <c r="B4457" s="12">
        <f ca="1">IFERROR(__xludf.DUMMYFUNCTION("""COMPUTED_VALUE"""),126400)</f>
        <v>126400</v>
      </c>
      <c r="C4457" s="14">
        <f ca="1">IFERROR(__xludf.DUMMYFUNCTION("""COMPUTED_VALUE"""),0)</f>
        <v>0</v>
      </c>
      <c r="D4457" s="12" t="str">
        <f ca="1">IFERROR(__xludf.DUMMYFUNCTION("""COMPUTED_VALUE"""),"成嶋 夏未")</f>
        <v>成嶋 夏未</v>
      </c>
    </row>
    <row r="4458" spans="2:4" ht="13">
      <c r="B4458" s="12">
        <f ca="1">IFERROR(__xludf.DUMMYFUNCTION("""COMPUTED_VALUE"""),126402)</f>
        <v>126402</v>
      </c>
      <c r="C4458" s="14">
        <f ca="1">IFERROR(__xludf.DUMMYFUNCTION("""COMPUTED_VALUE"""),0)</f>
        <v>0</v>
      </c>
      <c r="D4458" s="12" t="str">
        <f ca="1">IFERROR(__xludf.DUMMYFUNCTION("""COMPUTED_VALUE"""),"松尾 尚樹")</f>
        <v>松尾 尚樹</v>
      </c>
    </row>
    <row r="4459" spans="2:4" ht="13">
      <c r="B4459" s="12">
        <f ca="1">IFERROR(__xludf.DUMMYFUNCTION("""COMPUTED_VALUE"""),126408)</f>
        <v>126408</v>
      </c>
      <c r="C4459" s="14">
        <f ca="1">IFERROR(__xludf.DUMMYFUNCTION("""COMPUTED_VALUE"""),0)</f>
        <v>0</v>
      </c>
      <c r="D4459" s="12" t="str">
        <f ca="1">IFERROR(__xludf.DUMMYFUNCTION("""COMPUTED_VALUE"""),"稲場 勇介")</f>
        <v>稲場 勇介</v>
      </c>
    </row>
    <row r="4460" spans="2:4" ht="13">
      <c r="B4460" s="12">
        <f ca="1">IFERROR(__xludf.DUMMYFUNCTION("""COMPUTED_VALUE"""),126415)</f>
        <v>126415</v>
      </c>
      <c r="C4460" s="14">
        <f ca="1">IFERROR(__xludf.DUMMYFUNCTION("""COMPUTED_VALUE"""),0)</f>
        <v>0</v>
      </c>
      <c r="D4460" s="12" t="str">
        <f ca="1">IFERROR(__xludf.DUMMYFUNCTION("""COMPUTED_VALUE"""),"菅野 ぎんが")</f>
        <v>菅野 ぎんが</v>
      </c>
    </row>
    <row r="4461" spans="2:4" ht="13">
      <c r="B4461" s="12">
        <f ca="1">IFERROR(__xludf.DUMMYFUNCTION("""COMPUTED_VALUE"""),126419)</f>
        <v>126419</v>
      </c>
      <c r="C4461" s="14">
        <f ca="1">IFERROR(__xludf.DUMMYFUNCTION("""COMPUTED_VALUE"""),0)</f>
        <v>0</v>
      </c>
      <c r="D4461" s="12" t="str">
        <f ca="1">IFERROR(__xludf.DUMMYFUNCTION("""COMPUTED_VALUE"""),"稲場 勇介")</f>
        <v>稲場 勇介</v>
      </c>
    </row>
    <row r="4462" spans="2:4" ht="13">
      <c r="B4462" s="12">
        <f ca="1">IFERROR(__xludf.DUMMYFUNCTION("""COMPUTED_VALUE"""),126429)</f>
        <v>126429</v>
      </c>
      <c r="C4462" s="14">
        <f ca="1">IFERROR(__xludf.DUMMYFUNCTION("""COMPUTED_VALUE"""),0)</f>
        <v>0</v>
      </c>
      <c r="D4462" s="12" t="str">
        <f ca="1">IFERROR(__xludf.DUMMYFUNCTION("""COMPUTED_VALUE"""),"川島 幹也")</f>
        <v>川島 幹也</v>
      </c>
    </row>
    <row r="4463" spans="2:4" ht="13">
      <c r="B4463" s="12">
        <f ca="1">IFERROR(__xludf.DUMMYFUNCTION("""COMPUTED_VALUE"""),126430)</f>
        <v>126430</v>
      </c>
      <c r="C4463" s="14">
        <f ca="1">IFERROR(__xludf.DUMMYFUNCTION("""COMPUTED_VALUE"""),0)</f>
        <v>0</v>
      </c>
      <c r="D4463" s="12" t="str">
        <f ca="1">IFERROR(__xludf.DUMMYFUNCTION("""COMPUTED_VALUE"""),"成嶋 夏未")</f>
        <v>成嶋 夏未</v>
      </c>
    </row>
    <row r="4464" spans="2:4" ht="13">
      <c r="B4464" s="12">
        <f ca="1">IFERROR(__xludf.DUMMYFUNCTION("""COMPUTED_VALUE"""),126432)</f>
        <v>126432</v>
      </c>
      <c r="C4464" s="14">
        <f ca="1">IFERROR(__xludf.DUMMYFUNCTION("""COMPUTED_VALUE"""),2)</f>
        <v>2</v>
      </c>
      <c r="D4464" s="12" t="str">
        <f ca="1">IFERROR(__xludf.DUMMYFUNCTION("""COMPUTED_VALUE"""),"堀越 駿")</f>
        <v>堀越 駿</v>
      </c>
    </row>
    <row r="4465" spans="2:4" ht="13">
      <c r="B4465" s="12">
        <f ca="1">IFERROR(__xludf.DUMMYFUNCTION("""COMPUTED_VALUE"""),126436)</f>
        <v>126436</v>
      </c>
      <c r="C4465" s="14">
        <f ca="1">IFERROR(__xludf.DUMMYFUNCTION("""COMPUTED_VALUE"""),0)</f>
        <v>0</v>
      </c>
      <c r="D4465" s="12" t="str">
        <f ca="1">IFERROR(__xludf.DUMMYFUNCTION("""COMPUTED_VALUE"""),"桐山 勝気")</f>
        <v>桐山 勝気</v>
      </c>
    </row>
    <row r="4466" spans="2:4" ht="13">
      <c r="B4466" s="12">
        <f ca="1">IFERROR(__xludf.DUMMYFUNCTION("""COMPUTED_VALUE"""),126439)</f>
        <v>126439</v>
      </c>
      <c r="C4466" s="14">
        <f ca="1">IFERROR(__xludf.DUMMYFUNCTION("""COMPUTED_VALUE"""),0)</f>
        <v>0</v>
      </c>
      <c r="D4466" s="12" t="str">
        <f ca="1">IFERROR(__xludf.DUMMYFUNCTION("""COMPUTED_VALUE"""),"稲場 勇介")</f>
        <v>稲場 勇介</v>
      </c>
    </row>
    <row r="4467" spans="2:4" ht="13">
      <c r="B4467" s="12">
        <f ca="1">IFERROR(__xludf.DUMMYFUNCTION("""COMPUTED_VALUE"""),126440)</f>
        <v>126440</v>
      </c>
      <c r="C4467" s="14">
        <f ca="1">IFERROR(__xludf.DUMMYFUNCTION("""COMPUTED_VALUE"""),0)</f>
        <v>0</v>
      </c>
      <c r="D4467" s="12" t="str">
        <f ca="1">IFERROR(__xludf.DUMMYFUNCTION("""COMPUTED_VALUE"""),"川島 幹也")</f>
        <v>川島 幹也</v>
      </c>
    </row>
    <row r="4468" spans="2:4" ht="13">
      <c r="B4468" s="12">
        <f ca="1">IFERROR(__xludf.DUMMYFUNCTION("""COMPUTED_VALUE"""),126448)</f>
        <v>126448</v>
      </c>
      <c r="C4468" s="14">
        <f ca="1">IFERROR(__xludf.DUMMYFUNCTION("""COMPUTED_VALUE"""),3)</f>
        <v>3</v>
      </c>
      <c r="D4468" s="12" t="str">
        <f ca="1">IFERROR(__xludf.DUMMYFUNCTION("""COMPUTED_VALUE"""),"村上 浩一朗")</f>
        <v>村上 浩一朗</v>
      </c>
    </row>
    <row r="4469" spans="2:4" ht="13">
      <c r="B4469" s="12">
        <f ca="1">IFERROR(__xludf.DUMMYFUNCTION("""COMPUTED_VALUE"""),126451)</f>
        <v>126451</v>
      </c>
      <c r="C4469" s="14">
        <f ca="1">IFERROR(__xludf.DUMMYFUNCTION("""COMPUTED_VALUE"""),0)</f>
        <v>0</v>
      </c>
      <c r="D4469" s="12" t="str">
        <f ca="1">IFERROR(__xludf.DUMMYFUNCTION("""COMPUTED_VALUE"""),"芳賀 亮輔")</f>
        <v>芳賀 亮輔</v>
      </c>
    </row>
    <row r="4470" spans="2:4" ht="13">
      <c r="B4470" s="12">
        <f ca="1">IFERROR(__xludf.DUMMYFUNCTION("""COMPUTED_VALUE"""),126452)</f>
        <v>126452</v>
      </c>
      <c r="C4470" s="14">
        <f ca="1">IFERROR(__xludf.DUMMYFUNCTION("""COMPUTED_VALUE"""),0)</f>
        <v>0</v>
      </c>
      <c r="D4470" s="12" t="str">
        <f ca="1">IFERROR(__xludf.DUMMYFUNCTION("""COMPUTED_VALUE"""),"芳賀 亮輔")</f>
        <v>芳賀 亮輔</v>
      </c>
    </row>
    <row r="4471" spans="2:4" ht="13">
      <c r="B4471" s="12">
        <f ca="1">IFERROR(__xludf.DUMMYFUNCTION("""COMPUTED_VALUE"""),126453)</f>
        <v>126453</v>
      </c>
      <c r="C4471" s="14">
        <f ca="1">IFERROR(__xludf.DUMMYFUNCTION("""COMPUTED_VALUE"""),0)</f>
        <v>0</v>
      </c>
      <c r="D4471" s="12" t="str">
        <f ca="1">IFERROR(__xludf.DUMMYFUNCTION("""COMPUTED_VALUE"""),"栗原 大武")</f>
        <v>栗原 大武</v>
      </c>
    </row>
    <row r="4472" spans="2:4" ht="13">
      <c r="B4472" s="12">
        <f ca="1">IFERROR(__xludf.DUMMYFUNCTION("""COMPUTED_VALUE"""),126455)</f>
        <v>126455</v>
      </c>
      <c r="C4472" s="14">
        <f ca="1">IFERROR(__xludf.DUMMYFUNCTION("""COMPUTED_VALUE"""),0)</f>
        <v>0</v>
      </c>
      <c r="D4472" s="12" t="str">
        <f ca="1">IFERROR(__xludf.DUMMYFUNCTION("""COMPUTED_VALUE"""),"小関 麻起")</f>
        <v>小関 麻起</v>
      </c>
    </row>
    <row r="4473" spans="2:4" ht="13">
      <c r="B4473" s="12">
        <f ca="1">IFERROR(__xludf.DUMMYFUNCTION("""COMPUTED_VALUE"""),126459)</f>
        <v>126459</v>
      </c>
      <c r="C4473" s="14">
        <f ca="1">IFERROR(__xludf.DUMMYFUNCTION("""COMPUTED_VALUE"""),0)</f>
        <v>0</v>
      </c>
      <c r="D4473" s="12" t="str">
        <f ca="1">IFERROR(__xludf.DUMMYFUNCTION("""COMPUTED_VALUE"""),"成嶋 夏未")</f>
        <v>成嶋 夏未</v>
      </c>
    </row>
    <row r="4474" spans="2:4" ht="13">
      <c r="B4474" s="12">
        <f ca="1">IFERROR(__xludf.DUMMYFUNCTION("""COMPUTED_VALUE"""),126467)</f>
        <v>126467</v>
      </c>
      <c r="C4474" s="14">
        <f ca="1">IFERROR(__xludf.DUMMYFUNCTION("""COMPUTED_VALUE"""),0)</f>
        <v>0</v>
      </c>
      <c r="D4474" s="12" t="str">
        <f ca="1">IFERROR(__xludf.DUMMYFUNCTION("""COMPUTED_VALUE"""),"小川 純")</f>
        <v>小川 純</v>
      </c>
    </row>
    <row r="4475" spans="2:4" ht="13">
      <c r="B4475" s="12">
        <f ca="1">IFERROR(__xludf.DUMMYFUNCTION("""COMPUTED_VALUE"""),126477)</f>
        <v>126477</v>
      </c>
      <c r="C4475" s="14">
        <f ca="1">IFERROR(__xludf.DUMMYFUNCTION("""COMPUTED_VALUE"""),2)</f>
        <v>2</v>
      </c>
      <c r="D4475" s="12" t="str">
        <f ca="1">IFERROR(__xludf.DUMMYFUNCTION("""COMPUTED_VALUE"""),"荻曽 克輝")</f>
        <v>荻曽 克輝</v>
      </c>
    </row>
    <row r="4476" spans="2:4" ht="13">
      <c r="B4476" s="12">
        <f ca="1">IFERROR(__xludf.DUMMYFUNCTION("""COMPUTED_VALUE"""),126478)</f>
        <v>126478</v>
      </c>
      <c r="C4476" s="14">
        <f ca="1">IFERROR(__xludf.DUMMYFUNCTION("""COMPUTED_VALUE"""),0)</f>
        <v>0</v>
      </c>
      <c r="D4476" s="12" t="str">
        <f ca="1">IFERROR(__xludf.DUMMYFUNCTION("""COMPUTED_VALUE"""),"松尾 尚樹")</f>
        <v>松尾 尚樹</v>
      </c>
    </row>
    <row r="4477" spans="2:4" ht="13">
      <c r="B4477" s="12">
        <f ca="1">IFERROR(__xludf.DUMMYFUNCTION("""COMPUTED_VALUE"""),126479)</f>
        <v>126479</v>
      </c>
      <c r="C4477" s="14">
        <f ca="1">IFERROR(__xludf.DUMMYFUNCTION("""COMPUTED_VALUE"""),105)</f>
        <v>105</v>
      </c>
      <c r="D4477" s="12" t="str">
        <f ca="1">IFERROR(__xludf.DUMMYFUNCTION("""COMPUTED_VALUE"""),"芳賀 亮輔")</f>
        <v>芳賀 亮輔</v>
      </c>
    </row>
    <row r="4478" spans="2:4" ht="13">
      <c r="B4478" s="12">
        <f ca="1">IFERROR(__xludf.DUMMYFUNCTION("""COMPUTED_VALUE"""),126481)</f>
        <v>126481</v>
      </c>
      <c r="C4478" s="14">
        <f ca="1">IFERROR(__xludf.DUMMYFUNCTION("""COMPUTED_VALUE"""),5)</f>
        <v>5</v>
      </c>
      <c r="D4478" s="12" t="str">
        <f ca="1">IFERROR(__xludf.DUMMYFUNCTION("""COMPUTED_VALUE"""),"老田 純輝")</f>
        <v>老田 純輝</v>
      </c>
    </row>
    <row r="4479" spans="2:4" ht="13">
      <c r="B4479" s="12">
        <f ca="1">IFERROR(__xludf.DUMMYFUNCTION("""COMPUTED_VALUE"""),126483)</f>
        <v>126483</v>
      </c>
      <c r="C4479" s="14">
        <f ca="1">IFERROR(__xludf.DUMMYFUNCTION("""COMPUTED_VALUE"""),0)</f>
        <v>0</v>
      </c>
      <c r="D4479" s="12" t="str">
        <f ca="1">IFERROR(__xludf.DUMMYFUNCTION("""COMPUTED_VALUE"""),"松尾 尚樹")</f>
        <v>松尾 尚樹</v>
      </c>
    </row>
    <row r="4480" spans="2:4" ht="13">
      <c r="B4480" s="12">
        <f ca="1">IFERROR(__xludf.DUMMYFUNCTION("""COMPUTED_VALUE"""),126484)</f>
        <v>126484</v>
      </c>
      <c r="C4480" s="14">
        <f ca="1">IFERROR(__xludf.DUMMYFUNCTION("""COMPUTED_VALUE"""),21)</f>
        <v>21</v>
      </c>
      <c r="D4480" s="12" t="str">
        <f ca="1">IFERROR(__xludf.DUMMYFUNCTION("""COMPUTED_VALUE"""),"小関 麻起")</f>
        <v>小関 麻起</v>
      </c>
    </row>
    <row r="4481" spans="2:4" ht="13">
      <c r="B4481" s="12">
        <f ca="1">IFERROR(__xludf.DUMMYFUNCTION("""COMPUTED_VALUE"""),126488)</f>
        <v>126488</v>
      </c>
      <c r="C4481" s="14">
        <f ca="1">IFERROR(__xludf.DUMMYFUNCTION("""COMPUTED_VALUE"""),0)</f>
        <v>0</v>
      </c>
      <c r="D4481" s="12" t="str">
        <f ca="1">IFERROR(__xludf.DUMMYFUNCTION("""COMPUTED_VALUE"""),"菅野 ぎんが")</f>
        <v>菅野 ぎんが</v>
      </c>
    </row>
    <row r="4482" spans="2:4" ht="13">
      <c r="B4482" s="12">
        <f ca="1">IFERROR(__xludf.DUMMYFUNCTION("""COMPUTED_VALUE"""),126495)</f>
        <v>126495</v>
      </c>
      <c r="C4482" s="14">
        <f ca="1">IFERROR(__xludf.DUMMYFUNCTION("""COMPUTED_VALUE"""),2)</f>
        <v>2</v>
      </c>
      <c r="D4482" s="12" t="str">
        <f ca="1">IFERROR(__xludf.DUMMYFUNCTION("""COMPUTED_VALUE"""),"稲場 勇介")</f>
        <v>稲場 勇介</v>
      </c>
    </row>
    <row r="4483" spans="2:4" ht="13">
      <c r="B4483" s="12">
        <f ca="1">IFERROR(__xludf.DUMMYFUNCTION("""COMPUTED_VALUE"""),126503)</f>
        <v>126503</v>
      </c>
      <c r="C4483" s="14">
        <f ca="1">IFERROR(__xludf.DUMMYFUNCTION("""COMPUTED_VALUE"""),2)</f>
        <v>2</v>
      </c>
      <c r="D4483" s="12" t="str">
        <f ca="1">IFERROR(__xludf.DUMMYFUNCTION("""COMPUTED_VALUE"""),"菅野 ぎんが")</f>
        <v>菅野 ぎんが</v>
      </c>
    </row>
    <row r="4484" spans="2:4" ht="13">
      <c r="B4484" s="12">
        <f ca="1">IFERROR(__xludf.DUMMYFUNCTION("""COMPUTED_VALUE"""),126513)</f>
        <v>126513</v>
      </c>
      <c r="C4484" s="14">
        <f ca="1">IFERROR(__xludf.DUMMYFUNCTION("""COMPUTED_VALUE"""),0)</f>
        <v>0</v>
      </c>
      <c r="D4484" s="12" t="str">
        <f ca="1">IFERROR(__xludf.DUMMYFUNCTION("""COMPUTED_VALUE"""),"小川 純")</f>
        <v>小川 純</v>
      </c>
    </row>
    <row r="4485" spans="2:4" ht="13">
      <c r="B4485" s="12">
        <f ca="1">IFERROR(__xludf.DUMMYFUNCTION("""COMPUTED_VALUE"""),126514)</f>
        <v>126514</v>
      </c>
      <c r="C4485" s="14">
        <f ca="1">IFERROR(__xludf.DUMMYFUNCTION("""COMPUTED_VALUE"""),1)</f>
        <v>1</v>
      </c>
      <c r="D4485" s="12" t="str">
        <f ca="1">IFERROR(__xludf.DUMMYFUNCTION("""COMPUTED_VALUE"""),"内丸 裕子")</f>
        <v>内丸 裕子</v>
      </c>
    </row>
    <row r="4486" spans="2:4" ht="13">
      <c r="B4486" s="12">
        <f ca="1">IFERROR(__xludf.DUMMYFUNCTION("""COMPUTED_VALUE"""),126521)</f>
        <v>126521</v>
      </c>
      <c r="C4486" s="14">
        <f ca="1">IFERROR(__xludf.DUMMYFUNCTION("""COMPUTED_VALUE"""),0)</f>
        <v>0</v>
      </c>
      <c r="D4486" s="12" t="str">
        <f ca="1">IFERROR(__xludf.DUMMYFUNCTION("""COMPUTED_VALUE"""),"村上 浩一朗")</f>
        <v>村上 浩一朗</v>
      </c>
    </row>
    <row r="4487" spans="2:4" ht="13">
      <c r="B4487" s="12">
        <f ca="1">IFERROR(__xludf.DUMMYFUNCTION("""COMPUTED_VALUE"""),126522)</f>
        <v>126522</v>
      </c>
      <c r="C4487" s="14">
        <f ca="1">IFERROR(__xludf.DUMMYFUNCTION("""COMPUTED_VALUE"""),0)</f>
        <v>0</v>
      </c>
      <c r="D4487" s="12" t="str">
        <f ca="1">IFERROR(__xludf.DUMMYFUNCTION("""COMPUTED_VALUE"""),"桐山 勝気")</f>
        <v>桐山 勝気</v>
      </c>
    </row>
    <row r="4488" spans="2:4" ht="13">
      <c r="B4488" s="12">
        <f ca="1">IFERROR(__xludf.DUMMYFUNCTION("""COMPUTED_VALUE"""),126524)</f>
        <v>126524</v>
      </c>
      <c r="C4488" s="14">
        <f ca="1">IFERROR(__xludf.DUMMYFUNCTION("""COMPUTED_VALUE"""),0)</f>
        <v>0</v>
      </c>
      <c r="D4488" s="12" t="str">
        <f ca="1">IFERROR(__xludf.DUMMYFUNCTION("""COMPUTED_VALUE"""),"桑原 明子")</f>
        <v>桑原 明子</v>
      </c>
    </row>
    <row r="4489" spans="2:4" ht="13">
      <c r="B4489" s="12">
        <f ca="1">IFERROR(__xludf.DUMMYFUNCTION("""COMPUTED_VALUE"""),126525)</f>
        <v>126525</v>
      </c>
      <c r="C4489" s="14">
        <f ca="1">IFERROR(__xludf.DUMMYFUNCTION("""COMPUTED_VALUE"""),30)</f>
        <v>30</v>
      </c>
      <c r="D4489" s="12" t="str">
        <f ca="1">IFERROR(__xludf.DUMMYFUNCTION("""COMPUTED_VALUE"""),"小川 純")</f>
        <v>小川 純</v>
      </c>
    </row>
    <row r="4490" spans="2:4" ht="13">
      <c r="B4490" s="12">
        <f ca="1">IFERROR(__xludf.DUMMYFUNCTION("""COMPUTED_VALUE"""),126526)</f>
        <v>126526</v>
      </c>
      <c r="C4490" s="14">
        <f ca="1">IFERROR(__xludf.DUMMYFUNCTION("""COMPUTED_VALUE"""),20)</f>
        <v>20</v>
      </c>
      <c r="D4490" s="12" t="str">
        <f ca="1">IFERROR(__xludf.DUMMYFUNCTION("""COMPUTED_VALUE"""),"小関 麻起")</f>
        <v>小関 麻起</v>
      </c>
    </row>
    <row r="4491" spans="2:4" ht="13">
      <c r="B4491" s="12">
        <f ca="1">IFERROR(__xludf.DUMMYFUNCTION("""COMPUTED_VALUE"""),126531)</f>
        <v>126531</v>
      </c>
      <c r="C4491" s="14">
        <f ca="1">IFERROR(__xludf.DUMMYFUNCTION("""COMPUTED_VALUE"""),0)</f>
        <v>0</v>
      </c>
      <c r="D4491" s="12" t="str">
        <f ca="1">IFERROR(__xludf.DUMMYFUNCTION("""COMPUTED_VALUE"""),"稲場 勇介")</f>
        <v>稲場 勇介</v>
      </c>
    </row>
    <row r="4492" spans="2:4" ht="13">
      <c r="B4492" s="12">
        <f ca="1">IFERROR(__xludf.DUMMYFUNCTION("""COMPUTED_VALUE"""),126532)</f>
        <v>126532</v>
      </c>
      <c r="C4492" s="14">
        <f ca="1">IFERROR(__xludf.DUMMYFUNCTION("""COMPUTED_VALUE"""),0)</f>
        <v>0</v>
      </c>
      <c r="D4492" s="12" t="str">
        <f ca="1">IFERROR(__xludf.DUMMYFUNCTION("""COMPUTED_VALUE"""),"稲場 勇介")</f>
        <v>稲場 勇介</v>
      </c>
    </row>
    <row r="4493" spans="2:4" ht="13">
      <c r="B4493" s="12">
        <f ca="1">IFERROR(__xludf.DUMMYFUNCTION("""COMPUTED_VALUE"""),126534)</f>
        <v>126534</v>
      </c>
      <c r="C4493" s="14">
        <f ca="1">IFERROR(__xludf.DUMMYFUNCTION("""COMPUTED_VALUE"""),29)</f>
        <v>29</v>
      </c>
      <c r="D4493" s="12" t="str">
        <f ca="1">IFERROR(__xludf.DUMMYFUNCTION("""COMPUTED_VALUE"""),"老田 純輝")</f>
        <v>老田 純輝</v>
      </c>
    </row>
    <row r="4494" spans="2:4" ht="13">
      <c r="B4494" s="12">
        <f ca="1">IFERROR(__xludf.DUMMYFUNCTION("""COMPUTED_VALUE"""),126535)</f>
        <v>126535</v>
      </c>
      <c r="C4494" s="14">
        <f ca="1">IFERROR(__xludf.DUMMYFUNCTION("""COMPUTED_VALUE"""),0)</f>
        <v>0</v>
      </c>
      <c r="D4494" s="12" t="str">
        <f ca="1">IFERROR(__xludf.DUMMYFUNCTION("""COMPUTED_VALUE"""),"稲場 勇介")</f>
        <v>稲場 勇介</v>
      </c>
    </row>
    <row r="4495" spans="2:4" ht="13">
      <c r="B4495" s="12">
        <f ca="1">IFERROR(__xludf.DUMMYFUNCTION("""COMPUTED_VALUE"""),126539)</f>
        <v>126539</v>
      </c>
      <c r="C4495" s="14">
        <f ca="1">IFERROR(__xludf.DUMMYFUNCTION("""COMPUTED_VALUE"""),0)</f>
        <v>0</v>
      </c>
      <c r="D4495" s="12" t="str">
        <f ca="1">IFERROR(__xludf.DUMMYFUNCTION("""COMPUTED_VALUE"""),"小関 麻起")</f>
        <v>小関 麻起</v>
      </c>
    </row>
    <row r="4496" spans="2:4" ht="13">
      <c r="B4496" s="12">
        <f ca="1">IFERROR(__xludf.DUMMYFUNCTION("""COMPUTED_VALUE"""),126544)</f>
        <v>126544</v>
      </c>
      <c r="C4496" s="14">
        <f ca="1">IFERROR(__xludf.DUMMYFUNCTION("""COMPUTED_VALUE"""),0)</f>
        <v>0</v>
      </c>
      <c r="D4496" s="12" t="str">
        <f ca="1">IFERROR(__xludf.DUMMYFUNCTION("""COMPUTED_VALUE"""),"芳賀 亮輔")</f>
        <v>芳賀 亮輔</v>
      </c>
    </row>
    <row r="4497" spans="2:4" ht="13">
      <c r="B4497" s="12">
        <f ca="1">IFERROR(__xludf.DUMMYFUNCTION("""COMPUTED_VALUE"""),126546)</f>
        <v>126546</v>
      </c>
      <c r="C4497" s="14">
        <f ca="1">IFERROR(__xludf.DUMMYFUNCTION("""COMPUTED_VALUE"""),0)</f>
        <v>0</v>
      </c>
      <c r="D4497" s="12" t="str">
        <f ca="1">IFERROR(__xludf.DUMMYFUNCTION("""COMPUTED_VALUE"""),"小関 麻起")</f>
        <v>小関 麻起</v>
      </c>
    </row>
    <row r="4498" spans="2:4" ht="13">
      <c r="B4498" s="12">
        <f ca="1">IFERROR(__xludf.DUMMYFUNCTION("""COMPUTED_VALUE"""),126551)</f>
        <v>126551</v>
      </c>
      <c r="C4498" s="14">
        <f ca="1">IFERROR(__xludf.DUMMYFUNCTION("""COMPUTED_VALUE"""),51)</f>
        <v>51</v>
      </c>
      <c r="D4498" s="12" t="str">
        <f ca="1">IFERROR(__xludf.DUMMYFUNCTION("""COMPUTED_VALUE"""),"小関 麻起")</f>
        <v>小関 麻起</v>
      </c>
    </row>
    <row r="4499" spans="2:4" ht="13">
      <c r="B4499" s="12">
        <f ca="1">IFERROR(__xludf.DUMMYFUNCTION("""COMPUTED_VALUE"""),126554)</f>
        <v>126554</v>
      </c>
      <c r="C4499" s="14">
        <f ca="1">IFERROR(__xludf.DUMMYFUNCTION("""COMPUTED_VALUE"""),6)</f>
        <v>6</v>
      </c>
      <c r="D4499" s="12" t="str">
        <f ca="1">IFERROR(__xludf.DUMMYFUNCTION("""COMPUTED_VALUE"""),"荻曽 克輝")</f>
        <v>荻曽 克輝</v>
      </c>
    </row>
    <row r="4500" spans="2:4" ht="13">
      <c r="B4500" s="12">
        <f ca="1">IFERROR(__xludf.DUMMYFUNCTION("""COMPUTED_VALUE"""),126556)</f>
        <v>126556</v>
      </c>
      <c r="C4500" s="14">
        <f ca="1">IFERROR(__xludf.DUMMYFUNCTION("""COMPUTED_VALUE"""),52)</f>
        <v>52</v>
      </c>
      <c r="D4500" s="12" t="str">
        <f ca="1">IFERROR(__xludf.DUMMYFUNCTION("""COMPUTED_VALUE"""),"小関 麻起")</f>
        <v>小関 麻起</v>
      </c>
    </row>
    <row r="4501" spans="2:4" ht="13">
      <c r="B4501" s="12">
        <f ca="1">IFERROR(__xludf.DUMMYFUNCTION("""COMPUTED_VALUE"""),126558)</f>
        <v>126558</v>
      </c>
      <c r="C4501" s="14">
        <f ca="1">IFERROR(__xludf.DUMMYFUNCTION("""COMPUTED_VALUE"""),0)</f>
        <v>0</v>
      </c>
      <c r="D4501" s="12" t="str">
        <f ca="1">IFERROR(__xludf.DUMMYFUNCTION("""COMPUTED_VALUE"""),"長谷川 陸朗")</f>
        <v>長谷川 陸朗</v>
      </c>
    </row>
    <row r="4502" spans="2:4" ht="13">
      <c r="B4502" s="12">
        <f ca="1">IFERROR(__xludf.DUMMYFUNCTION("""COMPUTED_VALUE"""),126560)</f>
        <v>126560</v>
      </c>
      <c r="C4502" s="14">
        <f ca="1">IFERROR(__xludf.DUMMYFUNCTION("""COMPUTED_VALUE"""),21)</f>
        <v>21</v>
      </c>
      <c r="D4502" s="12" t="str">
        <f ca="1">IFERROR(__xludf.DUMMYFUNCTION("""COMPUTED_VALUE"""),"田嶋 将太")</f>
        <v>田嶋 将太</v>
      </c>
    </row>
    <row r="4503" spans="2:4" ht="13">
      <c r="B4503" s="12">
        <f ca="1">IFERROR(__xludf.DUMMYFUNCTION("""COMPUTED_VALUE"""),126566)</f>
        <v>126566</v>
      </c>
      <c r="C4503" s="14">
        <f ca="1">IFERROR(__xludf.DUMMYFUNCTION("""COMPUTED_VALUE"""),0)</f>
        <v>0</v>
      </c>
      <c r="D4503" s="12" t="str">
        <f ca="1">IFERROR(__xludf.DUMMYFUNCTION("""COMPUTED_VALUE"""),"田嶋 将太")</f>
        <v>田嶋 将太</v>
      </c>
    </row>
    <row r="4504" spans="2:4" ht="13">
      <c r="B4504" s="12">
        <f ca="1">IFERROR(__xludf.DUMMYFUNCTION("""COMPUTED_VALUE"""),126573)</f>
        <v>126573</v>
      </c>
      <c r="C4504" s="14">
        <f ca="1">IFERROR(__xludf.DUMMYFUNCTION("""COMPUTED_VALUE"""),0)</f>
        <v>0</v>
      </c>
      <c r="D4504" s="12" t="str">
        <f ca="1">IFERROR(__xludf.DUMMYFUNCTION("""COMPUTED_VALUE"""),"荻曽 克輝")</f>
        <v>荻曽 克輝</v>
      </c>
    </row>
    <row r="4505" spans="2:4" ht="13">
      <c r="B4505" s="12">
        <f ca="1">IFERROR(__xludf.DUMMYFUNCTION("""COMPUTED_VALUE"""),126574)</f>
        <v>126574</v>
      </c>
      <c r="C4505" s="14">
        <f ca="1">IFERROR(__xludf.DUMMYFUNCTION("""COMPUTED_VALUE"""),1)</f>
        <v>1</v>
      </c>
      <c r="D4505" s="12" t="str">
        <f ca="1">IFERROR(__xludf.DUMMYFUNCTION("""COMPUTED_VALUE"""),"老田 純輝")</f>
        <v>老田 純輝</v>
      </c>
    </row>
    <row r="4506" spans="2:4" ht="13">
      <c r="B4506" s="12">
        <f ca="1">IFERROR(__xludf.DUMMYFUNCTION("""COMPUTED_VALUE"""),126580)</f>
        <v>126580</v>
      </c>
      <c r="C4506" s="14">
        <f ca="1">IFERROR(__xludf.DUMMYFUNCTION("""COMPUTED_VALUE"""),0)</f>
        <v>0</v>
      </c>
      <c r="D4506" s="12" t="str">
        <f ca="1">IFERROR(__xludf.DUMMYFUNCTION("""COMPUTED_VALUE"""),"小川 純")</f>
        <v>小川 純</v>
      </c>
    </row>
    <row r="4507" spans="2:4" ht="13">
      <c r="B4507" s="12">
        <f ca="1">IFERROR(__xludf.DUMMYFUNCTION("""COMPUTED_VALUE"""),126583)</f>
        <v>126583</v>
      </c>
      <c r="C4507" s="14">
        <f ca="1">IFERROR(__xludf.DUMMYFUNCTION("""COMPUTED_VALUE"""),0)</f>
        <v>0</v>
      </c>
      <c r="D4507" s="12" t="str">
        <f ca="1">IFERROR(__xludf.DUMMYFUNCTION("""COMPUTED_VALUE"""),"成嶋 夏未")</f>
        <v>成嶋 夏未</v>
      </c>
    </row>
    <row r="4508" spans="2:4" ht="13">
      <c r="B4508" s="12">
        <f ca="1">IFERROR(__xludf.DUMMYFUNCTION("""COMPUTED_VALUE"""),126584)</f>
        <v>126584</v>
      </c>
      <c r="C4508" s="14">
        <f ca="1">IFERROR(__xludf.DUMMYFUNCTION("""COMPUTED_VALUE"""),0)</f>
        <v>0</v>
      </c>
      <c r="D4508" s="12" t="str">
        <f ca="1">IFERROR(__xludf.DUMMYFUNCTION("""COMPUTED_VALUE"""),"小関 麻起")</f>
        <v>小関 麻起</v>
      </c>
    </row>
    <row r="4509" spans="2:4" ht="13">
      <c r="B4509" s="12">
        <f ca="1">IFERROR(__xludf.DUMMYFUNCTION("""COMPUTED_VALUE"""),126587)</f>
        <v>126587</v>
      </c>
      <c r="C4509" s="14">
        <f ca="1">IFERROR(__xludf.DUMMYFUNCTION("""COMPUTED_VALUE"""),0)</f>
        <v>0</v>
      </c>
      <c r="D4509" s="12" t="str">
        <f ca="1">IFERROR(__xludf.DUMMYFUNCTION("""COMPUTED_VALUE"""),"菅野 ぎんが")</f>
        <v>菅野 ぎんが</v>
      </c>
    </row>
    <row r="4510" spans="2:4" ht="13">
      <c r="B4510" s="12">
        <f ca="1">IFERROR(__xludf.DUMMYFUNCTION("""COMPUTED_VALUE"""),126590)</f>
        <v>126590</v>
      </c>
      <c r="C4510" s="14">
        <f ca="1">IFERROR(__xludf.DUMMYFUNCTION("""COMPUTED_VALUE"""),14)</f>
        <v>14</v>
      </c>
      <c r="D4510" s="12" t="str">
        <f ca="1">IFERROR(__xludf.DUMMYFUNCTION("""COMPUTED_VALUE"""),"栗原 大武")</f>
        <v>栗原 大武</v>
      </c>
    </row>
    <row r="4511" spans="2:4" ht="13">
      <c r="B4511" s="12">
        <f ca="1">IFERROR(__xludf.DUMMYFUNCTION("""COMPUTED_VALUE"""),126592)</f>
        <v>126592</v>
      </c>
      <c r="C4511" s="14">
        <f ca="1">IFERROR(__xludf.DUMMYFUNCTION("""COMPUTED_VALUE"""),0)</f>
        <v>0</v>
      </c>
      <c r="D4511" s="12" t="str">
        <f ca="1">IFERROR(__xludf.DUMMYFUNCTION("""COMPUTED_VALUE"""),"栗原 大武")</f>
        <v>栗原 大武</v>
      </c>
    </row>
    <row r="4512" spans="2:4" ht="13">
      <c r="B4512" s="12">
        <f ca="1">IFERROR(__xludf.DUMMYFUNCTION("""COMPUTED_VALUE"""),126597)</f>
        <v>126597</v>
      </c>
      <c r="C4512" s="14">
        <f ca="1">IFERROR(__xludf.DUMMYFUNCTION("""COMPUTED_VALUE"""),0)</f>
        <v>0</v>
      </c>
      <c r="D4512" s="12" t="str">
        <f ca="1">IFERROR(__xludf.DUMMYFUNCTION("""COMPUTED_VALUE"""),"老田 純輝")</f>
        <v>老田 純輝</v>
      </c>
    </row>
    <row r="4513" spans="2:4" ht="13">
      <c r="B4513" s="12">
        <f ca="1">IFERROR(__xludf.DUMMYFUNCTION("""COMPUTED_VALUE"""),126604)</f>
        <v>126604</v>
      </c>
      <c r="C4513" s="14">
        <f ca="1">IFERROR(__xludf.DUMMYFUNCTION("""COMPUTED_VALUE"""),5)</f>
        <v>5</v>
      </c>
      <c r="D4513" s="12" t="str">
        <f ca="1">IFERROR(__xludf.DUMMYFUNCTION("""COMPUTED_VALUE"""),"村上 浩一朗")</f>
        <v>村上 浩一朗</v>
      </c>
    </row>
    <row r="4514" spans="2:4" ht="13">
      <c r="B4514" s="12">
        <f ca="1">IFERROR(__xludf.DUMMYFUNCTION("""COMPUTED_VALUE"""),126607)</f>
        <v>126607</v>
      </c>
      <c r="C4514" s="14">
        <f ca="1">IFERROR(__xludf.DUMMYFUNCTION("""COMPUTED_VALUE"""),0)</f>
        <v>0</v>
      </c>
      <c r="D4514" s="12" t="str">
        <f ca="1">IFERROR(__xludf.DUMMYFUNCTION("""COMPUTED_VALUE"""),"成嶋 夏未")</f>
        <v>成嶋 夏未</v>
      </c>
    </row>
    <row r="4515" spans="2:4" ht="13">
      <c r="B4515" s="12">
        <f ca="1">IFERROR(__xludf.DUMMYFUNCTION("""COMPUTED_VALUE"""),126611)</f>
        <v>126611</v>
      </c>
      <c r="C4515" s="14">
        <f ca="1">IFERROR(__xludf.DUMMYFUNCTION("""COMPUTED_VALUE"""),1)</f>
        <v>1</v>
      </c>
      <c r="D4515" s="12" t="str">
        <f ca="1">IFERROR(__xludf.DUMMYFUNCTION("""COMPUTED_VALUE"""),"栗原 大武")</f>
        <v>栗原 大武</v>
      </c>
    </row>
    <row r="4516" spans="2:4" ht="13">
      <c r="B4516" s="12">
        <f ca="1">IFERROR(__xludf.DUMMYFUNCTION("""COMPUTED_VALUE"""),126612)</f>
        <v>126612</v>
      </c>
      <c r="C4516" s="14">
        <f ca="1">IFERROR(__xludf.DUMMYFUNCTION("""COMPUTED_VALUE"""),0)</f>
        <v>0</v>
      </c>
      <c r="D4516" s="12" t="str">
        <f ca="1">IFERROR(__xludf.DUMMYFUNCTION("""COMPUTED_VALUE"""),"菅野 ぎんが")</f>
        <v>菅野 ぎんが</v>
      </c>
    </row>
    <row r="4517" spans="2:4" ht="13">
      <c r="B4517" s="12">
        <f ca="1">IFERROR(__xludf.DUMMYFUNCTION("""COMPUTED_VALUE"""),126615)</f>
        <v>126615</v>
      </c>
      <c r="C4517" s="14">
        <f ca="1">IFERROR(__xludf.DUMMYFUNCTION("""COMPUTED_VALUE"""),0)</f>
        <v>0</v>
      </c>
      <c r="D4517" s="12" t="str">
        <f ca="1">IFERROR(__xludf.DUMMYFUNCTION("""COMPUTED_VALUE"""),"小関 麻起")</f>
        <v>小関 麻起</v>
      </c>
    </row>
    <row r="4518" spans="2:4" ht="13">
      <c r="B4518" s="12">
        <f ca="1">IFERROR(__xludf.DUMMYFUNCTION("""COMPUTED_VALUE"""),126616)</f>
        <v>126616</v>
      </c>
      <c r="C4518" s="14">
        <f ca="1">IFERROR(__xludf.DUMMYFUNCTION("""COMPUTED_VALUE"""),0)</f>
        <v>0</v>
      </c>
      <c r="D4518" s="12" t="str">
        <f ca="1">IFERROR(__xludf.DUMMYFUNCTION("""COMPUTED_VALUE"""),"小関 麻起")</f>
        <v>小関 麻起</v>
      </c>
    </row>
    <row r="4519" spans="2:4" ht="13">
      <c r="B4519" s="12">
        <f ca="1">IFERROR(__xludf.DUMMYFUNCTION("""COMPUTED_VALUE"""),126618)</f>
        <v>126618</v>
      </c>
      <c r="C4519" s="14">
        <f ca="1">IFERROR(__xludf.DUMMYFUNCTION("""COMPUTED_VALUE"""),16)</f>
        <v>16</v>
      </c>
      <c r="D4519" s="12" t="str">
        <f ca="1">IFERROR(__xludf.DUMMYFUNCTION("""COMPUTED_VALUE"""),"稲場 勇介")</f>
        <v>稲場 勇介</v>
      </c>
    </row>
    <row r="4520" spans="2:4" ht="13">
      <c r="B4520" s="12">
        <f ca="1">IFERROR(__xludf.DUMMYFUNCTION("""COMPUTED_VALUE"""),126630)</f>
        <v>126630</v>
      </c>
      <c r="C4520" s="14">
        <f ca="1">IFERROR(__xludf.DUMMYFUNCTION("""COMPUTED_VALUE"""),0)</f>
        <v>0</v>
      </c>
      <c r="D4520" s="12" t="str">
        <f ca="1">IFERROR(__xludf.DUMMYFUNCTION("""COMPUTED_VALUE"""),"柿崎 晃司")</f>
        <v>柿崎 晃司</v>
      </c>
    </row>
    <row r="4521" spans="2:4" ht="13">
      <c r="B4521" s="12">
        <f ca="1">IFERROR(__xludf.DUMMYFUNCTION("""COMPUTED_VALUE"""),126631)</f>
        <v>126631</v>
      </c>
      <c r="C4521" s="14">
        <f ca="1">IFERROR(__xludf.DUMMYFUNCTION("""COMPUTED_VALUE"""),36)</f>
        <v>36</v>
      </c>
      <c r="D4521" s="12" t="str">
        <f ca="1">IFERROR(__xludf.DUMMYFUNCTION("""COMPUTED_VALUE"""),"稲場 勇介")</f>
        <v>稲場 勇介</v>
      </c>
    </row>
    <row r="4522" spans="2:4" ht="13">
      <c r="B4522" s="12">
        <f ca="1">IFERROR(__xludf.DUMMYFUNCTION("""COMPUTED_VALUE"""),126633)</f>
        <v>126633</v>
      </c>
      <c r="C4522" s="14">
        <f ca="1">IFERROR(__xludf.DUMMYFUNCTION("""COMPUTED_VALUE"""),4)</f>
        <v>4</v>
      </c>
      <c r="D4522" s="12" t="str">
        <f ca="1">IFERROR(__xludf.DUMMYFUNCTION("""COMPUTED_VALUE"""),"稲場 勇介")</f>
        <v>稲場 勇介</v>
      </c>
    </row>
    <row r="4523" spans="2:4" ht="13">
      <c r="B4523" s="12">
        <f ca="1">IFERROR(__xludf.DUMMYFUNCTION("""COMPUTED_VALUE"""),126634)</f>
        <v>126634</v>
      </c>
      <c r="C4523" s="14">
        <f ca="1">IFERROR(__xludf.DUMMYFUNCTION("""COMPUTED_VALUE"""),0)</f>
        <v>0</v>
      </c>
      <c r="D4523" s="12" t="str">
        <f ca="1">IFERROR(__xludf.DUMMYFUNCTION("""COMPUTED_VALUE"""),"荻曽 克輝")</f>
        <v>荻曽 克輝</v>
      </c>
    </row>
    <row r="4524" spans="2:4" ht="13">
      <c r="B4524" s="12">
        <f ca="1">IFERROR(__xludf.DUMMYFUNCTION("""COMPUTED_VALUE"""),126637)</f>
        <v>126637</v>
      </c>
      <c r="C4524" s="14">
        <f ca="1">IFERROR(__xludf.DUMMYFUNCTION("""COMPUTED_VALUE"""),0)</f>
        <v>0</v>
      </c>
      <c r="D4524" s="12" t="str">
        <f ca="1">IFERROR(__xludf.DUMMYFUNCTION("""COMPUTED_VALUE"""),"小川 純")</f>
        <v>小川 純</v>
      </c>
    </row>
    <row r="4525" spans="2:4" ht="13">
      <c r="B4525" s="12">
        <f ca="1">IFERROR(__xludf.DUMMYFUNCTION("""COMPUTED_VALUE"""),126644)</f>
        <v>126644</v>
      </c>
      <c r="C4525" s="14">
        <f ca="1">IFERROR(__xludf.DUMMYFUNCTION("""COMPUTED_VALUE"""),0)</f>
        <v>0</v>
      </c>
      <c r="D4525" s="12" t="str">
        <f ca="1">IFERROR(__xludf.DUMMYFUNCTION("""COMPUTED_VALUE"""),"小関 麻起")</f>
        <v>小関 麻起</v>
      </c>
    </row>
    <row r="4526" spans="2:4" ht="13">
      <c r="B4526" s="12">
        <f ca="1">IFERROR(__xludf.DUMMYFUNCTION("""COMPUTED_VALUE"""),126647)</f>
        <v>126647</v>
      </c>
      <c r="C4526" s="14">
        <f ca="1">IFERROR(__xludf.DUMMYFUNCTION("""COMPUTED_VALUE"""),1)</f>
        <v>1</v>
      </c>
      <c r="D4526" s="12" t="str">
        <f ca="1">IFERROR(__xludf.DUMMYFUNCTION("""COMPUTED_VALUE"""),"成嶋 夏未")</f>
        <v>成嶋 夏未</v>
      </c>
    </row>
    <row r="4527" spans="2:4" ht="13">
      <c r="B4527" s="12">
        <f ca="1">IFERROR(__xludf.DUMMYFUNCTION("""COMPUTED_VALUE"""),126648)</f>
        <v>126648</v>
      </c>
      <c r="C4527" s="14">
        <f ca="1">IFERROR(__xludf.DUMMYFUNCTION("""COMPUTED_VALUE"""),0)</f>
        <v>0</v>
      </c>
      <c r="D4527" s="12" t="str">
        <f ca="1">IFERROR(__xludf.DUMMYFUNCTION("""COMPUTED_VALUE"""),"長谷川 陸朗")</f>
        <v>長谷川 陸朗</v>
      </c>
    </row>
    <row r="4528" spans="2:4" ht="13">
      <c r="B4528" s="12">
        <f ca="1">IFERROR(__xludf.DUMMYFUNCTION("""COMPUTED_VALUE"""),126662)</f>
        <v>126662</v>
      </c>
      <c r="C4528" s="14">
        <f ca="1">IFERROR(__xludf.DUMMYFUNCTION("""COMPUTED_VALUE"""),0)</f>
        <v>0</v>
      </c>
      <c r="D4528" s="12" t="str">
        <f ca="1">IFERROR(__xludf.DUMMYFUNCTION("""COMPUTED_VALUE"""),"小川 純")</f>
        <v>小川 純</v>
      </c>
    </row>
    <row r="4529" spans="2:4" ht="13">
      <c r="B4529" s="12">
        <f ca="1">IFERROR(__xludf.DUMMYFUNCTION("""COMPUTED_VALUE"""),126667)</f>
        <v>126667</v>
      </c>
      <c r="C4529" s="14">
        <f ca="1">IFERROR(__xludf.DUMMYFUNCTION("""COMPUTED_VALUE"""),0)</f>
        <v>0</v>
      </c>
      <c r="D4529" s="12" t="str">
        <f ca="1">IFERROR(__xludf.DUMMYFUNCTION("""COMPUTED_VALUE"""),"小関 麻起")</f>
        <v>小関 麻起</v>
      </c>
    </row>
    <row r="4530" spans="2:4" ht="13">
      <c r="B4530" s="12">
        <f ca="1">IFERROR(__xludf.DUMMYFUNCTION("""COMPUTED_VALUE"""),126670)</f>
        <v>126670</v>
      </c>
      <c r="C4530" s="14">
        <f ca="1">IFERROR(__xludf.DUMMYFUNCTION("""COMPUTED_VALUE"""),0)</f>
        <v>0</v>
      </c>
      <c r="D4530" s="12" t="str">
        <f ca="1">IFERROR(__xludf.DUMMYFUNCTION("""COMPUTED_VALUE"""),"稲場 勇介")</f>
        <v>稲場 勇介</v>
      </c>
    </row>
    <row r="4531" spans="2:4" ht="13">
      <c r="B4531" s="12">
        <f ca="1">IFERROR(__xludf.DUMMYFUNCTION("""COMPUTED_VALUE"""),126673)</f>
        <v>126673</v>
      </c>
      <c r="C4531" s="14">
        <f ca="1">IFERROR(__xludf.DUMMYFUNCTION("""COMPUTED_VALUE"""),0)</f>
        <v>0</v>
      </c>
      <c r="D4531" s="12" t="str">
        <f ca="1">IFERROR(__xludf.DUMMYFUNCTION("""COMPUTED_VALUE"""),"菅野 ぎんが")</f>
        <v>菅野 ぎんが</v>
      </c>
    </row>
    <row r="4532" spans="2:4" ht="13">
      <c r="B4532" s="12">
        <f ca="1">IFERROR(__xludf.DUMMYFUNCTION("""COMPUTED_VALUE"""),126675)</f>
        <v>126675</v>
      </c>
      <c r="C4532" s="14">
        <f ca="1">IFERROR(__xludf.DUMMYFUNCTION("""COMPUTED_VALUE"""),3)</f>
        <v>3</v>
      </c>
      <c r="D4532" s="12" t="str">
        <f ca="1">IFERROR(__xludf.DUMMYFUNCTION("""COMPUTED_VALUE"""),"桐山 勝気")</f>
        <v>桐山 勝気</v>
      </c>
    </row>
    <row r="4533" spans="2:4" ht="13">
      <c r="B4533" s="12">
        <f ca="1">IFERROR(__xludf.DUMMYFUNCTION("""COMPUTED_VALUE"""),126676)</f>
        <v>126676</v>
      </c>
      <c r="C4533" s="14">
        <f ca="1">IFERROR(__xludf.DUMMYFUNCTION("""COMPUTED_VALUE"""),0)</f>
        <v>0</v>
      </c>
      <c r="D4533" s="12" t="str">
        <f ca="1">IFERROR(__xludf.DUMMYFUNCTION("""COMPUTED_VALUE"""),"芳賀 亮輔")</f>
        <v>芳賀 亮輔</v>
      </c>
    </row>
    <row r="4534" spans="2:4" ht="13">
      <c r="B4534" s="12">
        <f ca="1">IFERROR(__xludf.DUMMYFUNCTION("""COMPUTED_VALUE"""),126679)</f>
        <v>126679</v>
      </c>
      <c r="C4534" s="14">
        <f ca="1">IFERROR(__xludf.DUMMYFUNCTION("""COMPUTED_VALUE"""),0)</f>
        <v>0</v>
      </c>
      <c r="D4534" s="12" t="str">
        <f ca="1">IFERROR(__xludf.DUMMYFUNCTION("""COMPUTED_VALUE"""),"栗原 大武")</f>
        <v>栗原 大武</v>
      </c>
    </row>
    <row r="4535" spans="2:4" ht="13">
      <c r="B4535" s="12">
        <f ca="1">IFERROR(__xludf.DUMMYFUNCTION("""COMPUTED_VALUE"""),126687)</f>
        <v>126687</v>
      </c>
      <c r="C4535" s="14">
        <f ca="1">IFERROR(__xludf.DUMMYFUNCTION("""COMPUTED_VALUE"""),4)</f>
        <v>4</v>
      </c>
      <c r="D4535" s="12" t="str">
        <f ca="1">IFERROR(__xludf.DUMMYFUNCTION("""COMPUTED_VALUE"""),"桑原 明子")</f>
        <v>桑原 明子</v>
      </c>
    </row>
    <row r="4536" spans="2:4" ht="13">
      <c r="B4536" s="12">
        <f ca="1">IFERROR(__xludf.DUMMYFUNCTION("""COMPUTED_VALUE"""),126702)</f>
        <v>126702</v>
      </c>
      <c r="C4536" s="14">
        <f ca="1">IFERROR(__xludf.DUMMYFUNCTION("""COMPUTED_VALUE"""),2)</f>
        <v>2</v>
      </c>
      <c r="D4536" s="12" t="str">
        <f ca="1">IFERROR(__xludf.DUMMYFUNCTION("""COMPUTED_VALUE"""),"菅野 ぎんが")</f>
        <v>菅野 ぎんが</v>
      </c>
    </row>
    <row r="4537" spans="2:4" ht="13">
      <c r="B4537" s="12">
        <f ca="1">IFERROR(__xludf.DUMMYFUNCTION("""COMPUTED_VALUE"""),126709)</f>
        <v>126709</v>
      </c>
      <c r="C4537" s="14">
        <f ca="1">IFERROR(__xludf.DUMMYFUNCTION("""COMPUTED_VALUE"""),3)</f>
        <v>3</v>
      </c>
      <c r="D4537" s="12" t="str">
        <f ca="1">IFERROR(__xludf.DUMMYFUNCTION("""COMPUTED_VALUE"""),"稲場 勇介")</f>
        <v>稲場 勇介</v>
      </c>
    </row>
    <row r="4538" spans="2:4" ht="13">
      <c r="B4538" s="12">
        <f ca="1">IFERROR(__xludf.DUMMYFUNCTION("""COMPUTED_VALUE"""),126710)</f>
        <v>126710</v>
      </c>
      <c r="C4538" s="14">
        <f ca="1">IFERROR(__xludf.DUMMYFUNCTION("""COMPUTED_VALUE"""),5)</f>
        <v>5</v>
      </c>
      <c r="D4538" s="12" t="str">
        <f ca="1">IFERROR(__xludf.DUMMYFUNCTION("""COMPUTED_VALUE"""),"稲場 勇介")</f>
        <v>稲場 勇介</v>
      </c>
    </row>
    <row r="4539" spans="2:4" ht="13">
      <c r="B4539" s="12">
        <f ca="1">IFERROR(__xludf.DUMMYFUNCTION("""COMPUTED_VALUE"""),126713)</f>
        <v>126713</v>
      </c>
      <c r="C4539" s="14">
        <f ca="1">IFERROR(__xludf.DUMMYFUNCTION("""COMPUTED_VALUE"""),11)</f>
        <v>11</v>
      </c>
      <c r="D4539" s="12" t="str">
        <f ca="1">IFERROR(__xludf.DUMMYFUNCTION("""COMPUTED_VALUE"""),"菅野 ぎんが")</f>
        <v>菅野 ぎんが</v>
      </c>
    </row>
    <row r="4540" spans="2:4" ht="13">
      <c r="B4540" s="12">
        <f ca="1">IFERROR(__xludf.DUMMYFUNCTION("""COMPUTED_VALUE"""),126716)</f>
        <v>126716</v>
      </c>
      <c r="C4540" s="14">
        <f ca="1">IFERROR(__xludf.DUMMYFUNCTION("""COMPUTED_VALUE"""),0)</f>
        <v>0</v>
      </c>
      <c r="D4540" s="12" t="str">
        <f ca="1">IFERROR(__xludf.DUMMYFUNCTION("""COMPUTED_VALUE"""),"菅野 ぎんが")</f>
        <v>菅野 ぎんが</v>
      </c>
    </row>
    <row r="4541" spans="2:4" ht="13">
      <c r="B4541" s="12">
        <f ca="1">IFERROR(__xludf.DUMMYFUNCTION("""COMPUTED_VALUE"""),126717)</f>
        <v>126717</v>
      </c>
      <c r="C4541" s="14">
        <f ca="1">IFERROR(__xludf.DUMMYFUNCTION("""COMPUTED_VALUE"""),27)</f>
        <v>27</v>
      </c>
      <c r="D4541" s="12" t="str">
        <f ca="1">IFERROR(__xludf.DUMMYFUNCTION("""COMPUTED_VALUE"""),"成嶋 夏未")</f>
        <v>成嶋 夏未</v>
      </c>
    </row>
    <row r="4542" spans="2:4" ht="13">
      <c r="B4542" s="12">
        <f ca="1">IFERROR(__xludf.DUMMYFUNCTION("""COMPUTED_VALUE"""),126722)</f>
        <v>126722</v>
      </c>
      <c r="C4542" s="14">
        <f ca="1">IFERROR(__xludf.DUMMYFUNCTION("""COMPUTED_VALUE"""),0)</f>
        <v>0</v>
      </c>
      <c r="D4542" s="12" t="str">
        <f ca="1">IFERROR(__xludf.DUMMYFUNCTION("""COMPUTED_VALUE"""),"老田 純輝")</f>
        <v>老田 純輝</v>
      </c>
    </row>
    <row r="4543" spans="2:4" ht="13">
      <c r="B4543" s="12">
        <f ca="1">IFERROR(__xludf.DUMMYFUNCTION("""COMPUTED_VALUE"""),126724)</f>
        <v>126724</v>
      </c>
      <c r="C4543" s="14">
        <f ca="1">IFERROR(__xludf.DUMMYFUNCTION("""COMPUTED_VALUE"""),35)</f>
        <v>35</v>
      </c>
      <c r="D4543" s="12" t="str">
        <f ca="1">IFERROR(__xludf.DUMMYFUNCTION("""COMPUTED_VALUE"""),"小川 純")</f>
        <v>小川 純</v>
      </c>
    </row>
    <row r="4544" spans="2:4" ht="13">
      <c r="B4544" s="12">
        <f ca="1">IFERROR(__xludf.DUMMYFUNCTION("""COMPUTED_VALUE"""),126725)</f>
        <v>126725</v>
      </c>
      <c r="C4544" s="14">
        <f ca="1">IFERROR(__xludf.DUMMYFUNCTION("""COMPUTED_VALUE"""),1)</f>
        <v>1</v>
      </c>
      <c r="D4544" s="12" t="str">
        <f ca="1">IFERROR(__xludf.DUMMYFUNCTION("""COMPUTED_VALUE"""),"稲場 勇介")</f>
        <v>稲場 勇介</v>
      </c>
    </row>
    <row r="4545" spans="2:4" ht="13">
      <c r="B4545" s="12">
        <f ca="1">IFERROR(__xludf.DUMMYFUNCTION("""COMPUTED_VALUE"""),126726)</f>
        <v>126726</v>
      </c>
      <c r="C4545" s="14">
        <f ca="1">IFERROR(__xludf.DUMMYFUNCTION("""COMPUTED_VALUE"""),0)</f>
        <v>0</v>
      </c>
      <c r="D4545" s="12" t="str">
        <f ca="1">IFERROR(__xludf.DUMMYFUNCTION("""COMPUTED_VALUE"""),"栗原 大武")</f>
        <v>栗原 大武</v>
      </c>
    </row>
    <row r="4546" spans="2:4" ht="13">
      <c r="B4546" s="12">
        <f ca="1">IFERROR(__xludf.DUMMYFUNCTION("""COMPUTED_VALUE"""),126732)</f>
        <v>126732</v>
      </c>
      <c r="C4546" s="14">
        <f ca="1">IFERROR(__xludf.DUMMYFUNCTION("""COMPUTED_VALUE"""),0)</f>
        <v>0</v>
      </c>
      <c r="D4546" s="12" t="str">
        <f ca="1">IFERROR(__xludf.DUMMYFUNCTION("""COMPUTED_VALUE"""),"菅野 ぎんが")</f>
        <v>菅野 ぎんが</v>
      </c>
    </row>
    <row r="4547" spans="2:4" ht="13">
      <c r="B4547" s="12">
        <f ca="1">IFERROR(__xludf.DUMMYFUNCTION("""COMPUTED_VALUE"""),126740)</f>
        <v>126740</v>
      </c>
      <c r="C4547" s="14">
        <f ca="1">IFERROR(__xludf.DUMMYFUNCTION("""COMPUTED_VALUE"""),0)</f>
        <v>0</v>
      </c>
      <c r="D4547" s="12" t="str">
        <f ca="1">IFERROR(__xludf.DUMMYFUNCTION("""COMPUTED_VALUE"""),"老田 純輝")</f>
        <v>老田 純輝</v>
      </c>
    </row>
    <row r="4548" spans="2:4" ht="13">
      <c r="B4548" s="12">
        <f ca="1">IFERROR(__xludf.DUMMYFUNCTION("""COMPUTED_VALUE"""),126743)</f>
        <v>126743</v>
      </c>
      <c r="C4548" s="14">
        <f ca="1">IFERROR(__xludf.DUMMYFUNCTION("""COMPUTED_VALUE"""),6)</f>
        <v>6</v>
      </c>
      <c r="D4548" s="12" t="str">
        <f ca="1">IFERROR(__xludf.DUMMYFUNCTION("""COMPUTED_VALUE"""),"村上 浩一朗")</f>
        <v>村上 浩一朗</v>
      </c>
    </row>
    <row r="4549" spans="2:4" ht="13">
      <c r="B4549" s="12">
        <f ca="1">IFERROR(__xludf.DUMMYFUNCTION("""COMPUTED_VALUE"""),126744)</f>
        <v>126744</v>
      </c>
      <c r="C4549" s="14">
        <f ca="1">IFERROR(__xludf.DUMMYFUNCTION("""COMPUTED_VALUE"""),1)</f>
        <v>1</v>
      </c>
      <c r="D4549" s="12" t="str">
        <f ca="1">IFERROR(__xludf.DUMMYFUNCTION("""COMPUTED_VALUE"""),"辻村 将大")</f>
        <v>辻村 将大</v>
      </c>
    </row>
    <row r="4550" spans="2:4" ht="13">
      <c r="B4550" s="12">
        <f ca="1">IFERROR(__xludf.DUMMYFUNCTION("""COMPUTED_VALUE"""),126751)</f>
        <v>126751</v>
      </c>
      <c r="C4550" s="14">
        <f ca="1">IFERROR(__xludf.DUMMYFUNCTION("""COMPUTED_VALUE"""),0)</f>
        <v>0</v>
      </c>
      <c r="D4550" s="12" t="str">
        <f ca="1">IFERROR(__xludf.DUMMYFUNCTION("""COMPUTED_VALUE"""),"川島 幹也")</f>
        <v>川島 幹也</v>
      </c>
    </row>
    <row r="4551" spans="2:4" ht="13">
      <c r="B4551" s="12">
        <f ca="1">IFERROR(__xludf.DUMMYFUNCTION("""COMPUTED_VALUE"""),126752)</f>
        <v>126752</v>
      </c>
      <c r="C4551" s="14">
        <f ca="1">IFERROR(__xludf.DUMMYFUNCTION("""COMPUTED_VALUE"""),8)</f>
        <v>8</v>
      </c>
      <c r="D4551" s="12" t="str">
        <f ca="1">IFERROR(__xludf.DUMMYFUNCTION("""COMPUTED_VALUE"""),"森 光智")</f>
        <v>森 光智</v>
      </c>
    </row>
    <row r="4552" spans="2:4" ht="13">
      <c r="B4552" s="12">
        <f ca="1">IFERROR(__xludf.DUMMYFUNCTION("""COMPUTED_VALUE"""),126753)</f>
        <v>126753</v>
      </c>
      <c r="C4552" s="14">
        <f ca="1">IFERROR(__xludf.DUMMYFUNCTION("""COMPUTED_VALUE"""),3)</f>
        <v>3</v>
      </c>
      <c r="D4552" s="12" t="str">
        <f ca="1">IFERROR(__xludf.DUMMYFUNCTION("""COMPUTED_VALUE"""),"堀越 駿")</f>
        <v>堀越 駿</v>
      </c>
    </row>
    <row r="4553" spans="2:4" ht="13">
      <c r="B4553" s="12">
        <f ca="1">IFERROR(__xludf.DUMMYFUNCTION("""COMPUTED_VALUE"""),126758)</f>
        <v>126758</v>
      </c>
      <c r="C4553" s="14">
        <f ca="1">IFERROR(__xludf.DUMMYFUNCTION("""COMPUTED_VALUE"""),3)</f>
        <v>3</v>
      </c>
      <c r="D4553" s="12" t="str">
        <f ca="1">IFERROR(__xludf.DUMMYFUNCTION("""COMPUTED_VALUE"""),"松尾 尚樹")</f>
        <v>松尾 尚樹</v>
      </c>
    </row>
    <row r="4554" spans="2:4" ht="13">
      <c r="B4554" s="12">
        <f ca="1">IFERROR(__xludf.DUMMYFUNCTION("""COMPUTED_VALUE"""),126759)</f>
        <v>126759</v>
      </c>
      <c r="C4554" s="14">
        <f ca="1">IFERROR(__xludf.DUMMYFUNCTION("""COMPUTED_VALUE"""),0)</f>
        <v>0</v>
      </c>
      <c r="D4554" s="12" t="str">
        <f ca="1">IFERROR(__xludf.DUMMYFUNCTION("""COMPUTED_VALUE"""),"稲場 勇介")</f>
        <v>稲場 勇介</v>
      </c>
    </row>
    <row r="4555" spans="2:4" ht="13">
      <c r="B4555" s="12">
        <f ca="1">IFERROR(__xludf.DUMMYFUNCTION("""COMPUTED_VALUE"""),126760)</f>
        <v>126760</v>
      </c>
      <c r="C4555" s="14">
        <f ca="1">IFERROR(__xludf.DUMMYFUNCTION("""COMPUTED_VALUE"""),15)</f>
        <v>15</v>
      </c>
      <c r="D4555" s="12" t="str">
        <f ca="1">IFERROR(__xludf.DUMMYFUNCTION("""COMPUTED_VALUE"""),"荻曽 克輝")</f>
        <v>荻曽 克輝</v>
      </c>
    </row>
    <row r="4556" spans="2:4" ht="13">
      <c r="B4556" s="12">
        <f ca="1">IFERROR(__xludf.DUMMYFUNCTION("""COMPUTED_VALUE"""),126763)</f>
        <v>126763</v>
      </c>
      <c r="C4556" s="14">
        <f ca="1">IFERROR(__xludf.DUMMYFUNCTION("""COMPUTED_VALUE"""),2)</f>
        <v>2</v>
      </c>
      <c r="D4556" s="12" t="str">
        <f ca="1">IFERROR(__xludf.DUMMYFUNCTION("""COMPUTED_VALUE"""),"大木 優香")</f>
        <v>大木 優香</v>
      </c>
    </row>
    <row r="4557" spans="2:4" ht="13">
      <c r="B4557" s="12">
        <f ca="1">IFERROR(__xludf.DUMMYFUNCTION("""COMPUTED_VALUE"""),126775)</f>
        <v>126775</v>
      </c>
      <c r="C4557" s="14">
        <f ca="1">IFERROR(__xludf.DUMMYFUNCTION("""COMPUTED_VALUE"""),0)</f>
        <v>0</v>
      </c>
      <c r="D4557" s="12" t="str">
        <f ca="1">IFERROR(__xludf.DUMMYFUNCTION("""COMPUTED_VALUE"""),"小川 純")</f>
        <v>小川 純</v>
      </c>
    </row>
    <row r="4558" spans="2:4" ht="13">
      <c r="B4558" s="12">
        <f ca="1">IFERROR(__xludf.DUMMYFUNCTION("""COMPUTED_VALUE"""),126781)</f>
        <v>126781</v>
      </c>
      <c r="C4558" s="14">
        <f ca="1">IFERROR(__xludf.DUMMYFUNCTION("""COMPUTED_VALUE"""),0)</f>
        <v>0</v>
      </c>
      <c r="D4558" s="12" t="str">
        <f ca="1">IFERROR(__xludf.DUMMYFUNCTION("""COMPUTED_VALUE"""),"小関 麻起")</f>
        <v>小関 麻起</v>
      </c>
    </row>
    <row r="4559" spans="2:4" ht="13">
      <c r="B4559" s="12">
        <f ca="1">IFERROR(__xludf.DUMMYFUNCTION("""COMPUTED_VALUE"""),126782)</f>
        <v>126782</v>
      </c>
      <c r="C4559" s="14">
        <f ca="1">IFERROR(__xludf.DUMMYFUNCTION("""COMPUTED_VALUE"""),0)</f>
        <v>0</v>
      </c>
      <c r="D4559" s="12" t="str">
        <f ca="1">IFERROR(__xludf.DUMMYFUNCTION("""COMPUTED_VALUE"""),"小関 麻起")</f>
        <v>小関 麻起</v>
      </c>
    </row>
    <row r="4560" spans="2:4" ht="13">
      <c r="B4560" s="12">
        <f ca="1">IFERROR(__xludf.DUMMYFUNCTION("""COMPUTED_VALUE"""),126784)</f>
        <v>126784</v>
      </c>
      <c r="C4560" s="14">
        <f ca="1">IFERROR(__xludf.DUMMYFUNCTION("""COMPUTED_VALUE"""),0)</f>
        <v>0</v>
      </c>
      <c r="D4560" s="12" t="str">
        <f ca="1">IFERROR(__xludf.DUMMYFUNCTION("""COMPUTED_VALUE"""),"老田 純輝")</f>
        <v>老田 純輝</v>
      </c>
    </row>
    <row r="4561" spans="2:4" ht="13">
      <c r="B4561" s="12">
        <f ca="1">IFERROR(__xludf.DUMMYFUNCTION("""COMPUTED_VALUE"""),126789)</f>
        <v>126789</v>
      </c>
      <c r="C4561" s="14">
        <f ca="1">IFERROR(__xludf.DUMMYFUNCTION("""COMPUTED_VALUE"""),4)</f>
        <v>4</v>
      </c>
      <c r="D4561" s="12" t="str">
        <f ca="1">IFERROR(__xludf.DUMMYFUNCTION("""COMPUTED_VALUE"""),"稲場 勇介")</f>
        <v>稲場 勇介</v>
      </c>
    </row>
    <row r="4562" spans="2:4" ht="13">
      <c r="B4562" s="12">
        <f ca="1">IFERROR(__xludf.DUMMYFUNCTION("""COMPUTED_VALUE"""),126796)</f>
        <v>126796</v>
      </c>
      <c r="C4562" s="14">
        <f ca="1">IFERROR(__xludf.DUMMYFUNCTION("""COMPUTED_VALUE"""),0)</f>
        <v>0</v>
      </c>
      <c r="D4562" s="12" t="str">
        <f ca="1">IFERROR(__xludf.DUMMYFUNCTION("""COMPUTED_VALUE"""),"菅野 ぎんが")</f>
        <v>菅野 ぎんが</v>
      </c>
    </row>
    <row r="4563" spans="2:4" ht="13">
      <c r="B4563" s="12">
        <f ca="1">IFERROR(__xludf.DUMMYFUNCTION("""COMPUTED_VALUE"""),126797)</f>
        <v>126797</v>
      </c>
      <c r="C4563" s="14">
        <f ca="1">IFERROR(__xludf.DUMMYFUNCTION("""COMPUTED_VALUE"""),0)</f>
        <v>0</v>
      </c>
      <c r="D4563" s="12" t="str">
        <f ca="1">IFERROR(__xludf.DUMMYFUNCTION("""COMPUTED_VALUE"""),"栗原 大武")</f>
        <v>栗原 大武</v>
      </c>
    </row>
    <row r="4564" spans="2:4" ht="13">
      <c r="B4564" s="12">
        <f ca="1">IFERROR(__xludf.DUMMYFUNCTION("""COMPUTED_VALUE"""),126800)</f>
        <v>126800</v>
      </c>
      <c r="C4564" s="14">
        <f ca="1">IFERROR(__xludf.DUMMYFUNCTION("""COMPUTED_VALUE"""),0)</f>
        <v>0</v>
      </c>
      <c r="D4564" s="12" t="str">
        <f ca="1">IFERROR(__xludf.DUMMYFUNCTION("""COMPUTED_VALUE"""),"長谷川 陸朗")</f>
        <v>長谷川 陸朗</v>
      </c>
    </row>
    <row r="4565" spans="2:4" ht="13">
      <c r="B4565" s="12">
        <f ca="1">IFERROR(__xludf.DUMMYFUNCTION("""COMPUTED_VALUE"""),126802)</f>
        <v>126802</v>
      </c>
      <c r="C4565" s="14">
        <f ca="1">IFERROR(__xludf.DUMMYFUNCTION("""COMPUTED_VALUE"""),0)</f>
        <v>0</v>
      </c>
      <c r="D4565" s="12" t="str">
        <f ca="1">IFERROR(__xludf.DUMMYFUNCTION("""COMPUTED_VALUE"""),"菅野 ぎんが")</f>
        <v>菅野 ぎんが</v>
      </c>
    </row>
    <row r="4566" spans="2:4" ht="13">
      <c r="B4566" s="12">
        <f ca="1">IFERROR(__xludf.DUMMYFUNCTION("""COMPUTED_VALUE"""),126809)</f>
        <v>126809</v>
      </c>
      <c r="C4566" s="14">
        <f ca="1">IFERROR(__xludf.DUMMYFUNCTION("""COMPUTED_VALUE"""),17)</f>
        <v>17</v>
      </c>
      <c r="D4566" s="12" t="str">
        <f ca="1">IFERROR(__xludf.DUMMYFUNCTION("""COMPUTED_VALUE"""),"松尾 尚樹")</f>
        <v>松尾 尚樹</v>
      </c>
    </row>
    <row r="4567" spans="2:4" ht="13">
      <c r="B4567" s="12">
        <f ca="1">IFERROR(__xludf.DUMMYFUNCTION("""COMPUTED_VALUE"""),126810)</f>
        <v>126810</v>
      </c>
      <c r="C4567" s="14">
        <f ca="1">IFERROR(__xludf.DUMMYFUNCTION("""COMPUTED_VALUE"""),5)</f>
        <v>5</v>
      </c>
      <c r="D4567" s="12" t="str">
        <f ca="1">IFERROR(__xludf.DUMMYFUNCTION("""COMPUTED_VALUE"""),"稲場 勇介")</f>
        <v>稲場 勇介</v>
      </c>
    </row>
    <row r="4568" spans="2:4" ht="13">
      <c r="B4568" s="12">
        <f ca="1">IFERROR(__xludf.DUMMYFUNCTION("""COMPUTED_VALUE"""),126813)</f>
        <v>126813</v>
      </c>
      <c r="C4568" s="14">
        <f ca="1">IFERROR(__xludf.DUMMYFUNCTION("""COMPUTED_VALUE"""),0)</f>
        <v>0</v>
      </c>
      <c r="D4568" s="12" t="str">
        <f ca="1">IFERROR(__xludf.DUMMYFUNCTION("""COMPUTED_VALUE"""),"小川 純")</f>
        <v>小川 純</v>
      </c>
    </row>
    <row r="4569" spans="2:4" ht="13">
      <c r="B4569" s="12">
        <f ca="1">IFERROR(__xludf.DUMMYFUNCTION("""COMPUTED_VALUE"""),126819)</f>
        <v>126819</v>
      </c>
      <c r="C4569" s="14">
        <f ca="1">IFERROR(__xludf.DUMMYFUNCTION("""COMPUTED_VALUE"""),0)</f>
        <v>0</v>
      </c>
      <c r="D4569" s="12" t="str">
        <f ca="1">IFERROR(__xludf.DUMMYFUNCTION("""COMPUTED_VALUE"""),"成嶋 夏未")</f>
        <v>成嶋 夏未</v>
      </c>
    </row>
    <row r="4570" spans="2:4" ht="13">
      <c r="B4570" s="12">
        <f ca="1">IFERROR(__xludf.DUMMYFUNCTION("""COMPUTED_VALUE"""),126822)</f>
        <v>126822</v>
      </c>
      <c r="C4570" s="14">
        <f ca="1">IFERROR(__xludf.DUMMYFUNCTION("""COMPUTED_VALUE"""),0)</f>
        <v>0</v>
      </c>
      <c r="D4570" s="12" t="str">
        <f ca="1">IFERROR(__xludf.DUMMYFUNCTION("""COMPUTED_VALUE"""),"小川 純")</f>
        <v>小川 純</v>
      </c>
    </row>
    <row r="4571" spans="2:4" ht="13">
      <c r="B4571" s="12">
        <f ca="1">IFERROR(__xludf.DUMMYFUNCTION("""COMPUTED_VALUE"""),126823)</f>
        <v>126823</v>
      </c>
      <c r="C4571" s="14">
        <f ca="1">IFERROR(__xludf.DUMMYFUNCTION("""COMPUTED_VALUE"""),0)</f>
        <v>0</v>
      </c>
      <c r="D4571" s="12" t="str">
        <f ca="1">IFERROR(__xludf.DUMMYFUNCTION("""COMPUTED_VALUE"""),"小川 純")</f>
        <v>小川 純</v>
      </c>
    </row>
    <row r="4572" spans="2:4" ht="13">
      <c r="B4572" s="12">
        <f ca="1">IFERROR(__xludf.DUMMYFUNCTION("""COMPUTED_VALUE"""),126825)</f>
        <v>126825</v>
      </c>
      <c r="C4572" s="14">
        <f ca="1">IFERROR(__xludf.DUMMYFUNCTION("""COMPUTED_VALUE"""),0)</f>
        <v>0</v>
      </c>
      <c r="D4572" s="12" t="str">
        <f ca="1">IFERROR(__xludf.DUMMYFUNCTION("""COMPUTED_VALUE"""),"小関 麻起")</f>
        <v>小関 麻起</v>
      </c>
    </row>
    <row r="4573" spans="2:4" ht="13">
      <c r="B4573" s="12">
        <f ca="1">IFERROR(__xludf.DUMMYFUNCTION("""COMPUTED_VALUE"""),126832)</f>
        <v>126832</v>
      </c>
      <c r="C4573" s="14">
        <f ca="1">IFERROR(__xludf.DUMMYFUNCTION("""COMPUTED_VALUE"""),4)</f>
        <v>4</v>
      </c>
      <c r="D4573" s="12" t="str">
        <f ca="1">IFERROR(__xludf.DUMMYFUNCTION("""COMPUTED_VALUE"""),"菅野 ぎんが")</f>
        <v>菅野 ぎんが</v>
      </c>
    </row>
    <row r="4574" spans="2:4" ht="13">
      <c r="B4574" s="12">
        <f ca="1">IFERROR(__xludf.DUMMYFUNCTION("""COMPUTED_VALUE"""),126836)</f>
        <v>126836</v>
      </c>
      <c r="C4574" s="14">
        <f ca="1">IFERROR(__xludf.DUMMYFUNCTION("""COMPUTED_VALUE"""),0)</f>
        <v>0</v>
      </c>
      <c r="D4574" s="12" t="str">
        <f ca="1">IFERROR(__xludf.DUMMYFUNCTION("""COMPUTED_VALUE"""),"桐山 勝気")</f>
        <v>桐山 勝気</v>
      </c>
    </row>
    <row r="4575" spans="2:4" ht="13">
      <c r="B4575" s="12">
        <f ca="1">IFERROR(__xludf.DUMMYFUNCTION("""COMPUTED_VALUE"""),126839)</f>
        <v>126839</v>
      </c>
      <c r="C4575" s="14">
        <f ca="1">IFERROR(__xludf.DUMMYFUNCTION("""COMPUTED_VALUE"""),0)</f>
        <v>0</v>
      </c>
      <c r="D4575" s="12" t="str">
        <f ca="1">IFERROR(__xludf.DUMMYFUNCTION("""COMPUTED_VALUE"""),"辻村 将大")</f>
        <v>辻村 将大</v>
      </c>
    </row>
    <row r="4576" spans="2:4" ht="13">
      <c r="B4576" s="12">
        <f ca="1">IFERROR(__xludf.DUMMYFUNCTION("""COMPUTED_VALUE"""),126840)</f>
        <v>126840</v>
      </c>
      <c r="C4576" s="14">
        <f ca="1">IFERROR(__xludf.DUMMYFUNCTION("""COMPUTED_VALUE"""),0)</f>
        <v>0</v>
      </c>
      <c r="D4576" s="12" t="str">
        <f ca="1">IFERROR(__xludf.DUMMYFUNCTION("""COMPUTED_VALUE"""),"老田 純輝")</f>
        <v>老田 純輝</v>
      </c>
    </row>
    <row r="4577" spans="2:4" ht="13">
      <c r="B4577" s="12">
        <f ca="1">IFERROR(__xludf.DUMMYFUNCTION("""COMPUTED_VALUE"""),126844)</f>
        <v>126844</v>
      </c>
      <c r="C4577" s="14">
        <f ca="1">IFERROR(__xludf.DUMMYFUNCTION("""COMPUTED_VALUE"""),1)</f>
        <v>1</v>
      </c>
      <c r="D4577" s="12" t="str">
        <f ca="1">IFERROR(__xludf.DUMMYFUNCTION("""COMPUTED_VALUE"""),"菅野 ぎんが")</f>
        <v>菅野 ぎんが</v>
      </c>
    </row>
    <row r="4578" spans="2:4" ht="13">
      <c r="B4578" s="12">
        <f ca="1">IFERROR(__xludf.DUMMYFUNCTION("""COMPUTED_VALUE"""),126846)</f>
        <v>126846</v>
      </c>
      <c r="C4578" s="14">
        <f ca="1">IFERROR(__xludf.DUMMYFUNCTION("""COMPUTED_VALUE"""),0)</f>
        <v>0</v>
      </c>
      <c r="D4578" s="12" t="str">
        <f ca="1">IFERROR(__xludf.DUMMYFUNCTION("""COMPUTED_VALUE"""),"稲場 勇介")</f>
        <v>稲場 勇介</v>
      </c>
    </row>
    <row r="4579" spans="2:4" ht="13">
      <c r="B4579" s="12">
        <f ca="1">IFERROR(__xludf.DUMMYFUNCTION("""COMPUTED_VALUE"""),126850)</f>
        <v>126850</v>
      </c>
      <c r="C4579" s="14">
        <f ca="1">IFERROR(__xludf.DUMMYFUNCTION("""COMPUTED_VALUE"""),0)</f>
        <v>0</v>
      </c>
      <c r="D4579" s="12" t="str">
        <f ca="1">IFERROR(__xludf.DUMMYFUNCTION("""COMPUTED_VALUE"""),"菅野 ぎんが")</f>
        <v>菅野 ぎんが</v>
      </c>
    </row>
    <row r="4580" spans="2:4" ht="13">
      <c r="B4580" s="12">
        <f ca="1">IFERROR(__xludf.DUMMYFUNCTION("""COMPUTED_VALUE"""),126851)</f>
        <v>126851</v>
      </c>
      <c r="C4580" s="14">
        <f ca="1">IFERROR(__xludf.DUMMYFUNCTION("""COMPUTED_VALUE"""),0)</f>
        <v>0</v>
      </c>
      <c r="D4580" s="12" t="str">
        <f ca="1">IFERROR(__xludf.DUMMYFUNCTION("""COMPUTED_VALUE"""),"小川 純")</f>
        <v>小川 純</v>
      </c>
    </row>
    <row r="4581" spans="2:4" ht="13">
      <c r="B4581" s="12">
        <f ca="1">IFERROR(__xludf.DUMMYFUNCTION("""COMPUTED_VALUE"""),126852)</f>
        <v>126852</v>
      </c>
      <c r="C4581" s="14">
        <f ca="1">IFERROR(__xludf.DUMMYFUNCTION("""COMPUTED_VALUE"""),0)</f>
        <v>0</v>
      </c>
      <c r="D4581" s="12" t="str">
        <f ca="1">IFERROR(__xludf.DUMMYFUNCTION("""COMPUTED_VALUE"""),"小川 純")</f>
        <v>小川 純</v>
      </c>
    </row>
    <row r="4582" spans="2:4" ht="13">
      <c r="B4582" s="12">
        <f ca="1">IFERROR(__xludf.DUMMYFUNCTION("""COMPUTED_VALUE"""),126854)</f>
        <v>126854</v>
      </c>
      <c r="C4582" s="14">
        <f ca="1">IFERROR(__xludf.DUMMYFUNCTION("""COMPUTED_VALUE"""),0)</f>
        <v>0</v>
      </c>
      <c r="D4582" s="12" t="str">
        <f ca="1">IFERROR(__xludf.DUMMYFUNCTION("""COMPUTED_VALUE"""),"松尾 尚樹")</f>
        <v>松尾 尚樹</v>
      </c>
    </row>
    <row r="4583" spans="2:4" ht="13">
      <c r="B4583" s="12">
        <f ca="1">IFERROR(__xludf.DUMMYFUNCTION("""COMPUTED_VALUE"""),126857)</f>
        <v>126857</v>
      </c>
      <c r="C4583" s="14">
        <f ca="1">IFERROR(__xludf.DUMMYFUNCTION("""COMPUTED_VALUE"""),0)</f>
        <v>0</v>
      </c>
      <c r="D4583" s="12" t="str">
        <f ca="1">IFERROR(__xludf.DUMMYFUNCTION("""COMPUTED_VALUE"""),"大木 優香")</f>
        <v>大木 優香</v>
      </c>
    </row>
    <row r="4584" spans="2:4" ht="13">
      <c r="B4584" s="12">
        <f ca="1">IFERROR(__xludf.DUMMYFUNCTION("""COMPUTED_VALUE"""),126858)</f>
        <v>126858</v>
      </c>
      <c r="C4584" s="14">
        <f ca="1">IFERROR(__xludf.DUMMYFUNCTION("""COMPUTED_VALUE"""),0)</f>
        <v>0</v>
      </c>
      <c r="D4584" s="12" t="str">
        <f ca="1">IFERROR(__xludf.DUMMYFUNCTION("""COMPUTED_VALUE"""),"大木 優香")</f>
        <v>大木 優香</v>
      </c>
    </row>
    <row r="4585" spans="2:4" ht="13">
      <c r="B4585" s="12">
        <f ca="1">IFERROR(__xludf.DUMMYFUNCTION("""COMPUTED_VALUE"""),126859)</f>
        <v>126859</v>
      </c>
      <c r="C4585" s="14">
        <f ca="1">IFERROR(__xludf.DUMMYFUNCTION("""COMPUTED_VALUE"""),0)</f>
        <v>0</v>
      </c>
      <c r="D4585" s="12" t="str">
        <f ca="1">IFERROR(__xludf.DUMMYFUNCTION("""COMPUTED_VALUE"""),"大木 優香")</f>
        <v>大木 優香</v>
      </c>
    </row>
    <row r="4586" spans="2:4" ht="13">
      <c r="B4586" s="12">
        <f ca="1">IFERROR(__xludf.DUMMYFUNCTION("""COMPUTED_VALUE"""),126860)</f>
        <v>126860</v>
      </c>
      <c r="C4586" s="14">
        <f ca="1">IFERROR(__xludf.DUMMYFUNCTION("""COMPUTED_VALUE"""),0)</f>
        <v>0</v>
      </c>
      <c r="D4586" s="12" t="str">
        <f ca="1">IFERROR(__xludf.DUMMYFUNCTION("""COMPUTED_VALUE"""),"大木 優香")</f>
        <v>大木 優香</v>
      </c>
    </row>
    <row r="4587" spans="2:4" ht="13">
      <c r="B4587" s="12">
        <f ca="1">IFERROR(__xludf.DUMMYFUNCTION("""COMPUTED_VALUE"""),126861)</f>
        <v>126861</v>
      </c>
      <c r="C4587" s="14">
        <f ca="1">IFERROR(__xludf.DUMMYFUNCTION("""COMPUTED_VALUE"""),0)</f>
        <v>0</v>
      </c>
      <c r="D4587" s="12" t="str">
        <f ca="1">IFERROR(__xludf.DUMMYFUNCTION("""COMPUTED_VALUE"""),"大木 優香")</f>
        <v>大木 優香</v>
      </c>
    </row>
    <row r="4588" spans="2:4" ht="13">
      <c r="B4588" s="12">
        <f ca="1">IFERROR(__xludf.DUMMYFUNCTION("""COMPUTED_VALUE"""),126862)</f>
        <v>126862</v>
      </c>
      <c r="C4588" s="14">
        <f ca="1">IFERROR(__xludf.DUMMYFUNCTION("""COMPUTED_VALUE"""),0)</f>
        <v>0</v>
      </c>
      <c r="D4588" s="12" t="str">
        <f ca="1">IFERROR(__xludf.DUMMYFUNCTION("""COMPUTED_VALUE"""),"大木 優香")</f>
        <v>大木 優香</v>
      </c>
    </row>
    <row r="4589" spans="2:4" ht="13">
      <c r="B4589" s="12">
        <f ca="1">IFERROR(__xludf.DUMMYFUNCTION("""COMPUTED_VALUE"""),126863)</f>
        <v>126863</v>
      </c>
      <c r="C4589" s="14">
        <f ca="1">IFERROR(__xludf.DUMMYFUNCTION("""COMPUTED_VALUE"""),0)</f>
        <v>0</v>
      </c>
      <c r="D4589" s="12" t="str">
        <f ca="1">IFERROR(__xludf.DUMMYFUNCTION("""COMPUTED_VALUE"""),"大木 優香")</f>
        <v>大木 優香</v>
      </c>
    </row>
    <row r="4590" spans="2:4" ht="13">
      <c r="B4590" s="12">
        <f ca="1">IFERROR(__xludf.DUMMYFUNCTION("""COMPUTED_VALUE"""),126864)</f>
        <v>126864</v>
      </c>
      <c r="C4590" s="14">
        <f ca="1">IFERROR(__xludf.DUMMYFUNCTION("""COMPUTED_VALUE"""),0)</f>
        <v>0</v>
      </c>
      <c r="D4590" s="12" t="str">
        <f ca="1">IFERROR(__xludf.DUMMYFUNCTION("""COMPUTED_VALUE"""),"大木 優香")</f>
        <v>大木 優香</v>
      </c>
    </row>
    <row r="4591" spans="2:4" ht="13">
      <c r="B4591" s="12">
        <f ca="1">IFERROR(__xludf.DUMMYFUNCTION("""COMPUTED_VALUE"""),126865)</f>
        <v>126865</v>
      </c>
      <c r="C4591" s="14">
        <f ca="1">IFERROR(__xludf.DUMMYFUNCTION("""COMPUTED_VALUE"""),0)</f>
        <v>0</v>
      </c>
      <c r="D4591" s="12" t="str">
        <f ca="1">IFERROR(__xludf.DUMMYFUNCTION("""COMPUTED_VALUE"""),"大木 優香")</f>
        <v>大木 優香</v>
      </c>
    </row>
    <row r="4592" spans="2:4" ht="13">
      <c r="B4592" s="12">
        <f ca="1">IFERROR(__xludf.DUMMYFUNCTION("""COMPUTED_VALUE"""),126866)</f>
        <v>126866</v>
      </c>
      <c r="C4592" s="14">
        <f ca="1">IFERROR(__xludf.DUMMYFUNCTION("""COMPUTED_VALUE"""),0)</f>
        <v>0</v>
      </c>
      <c r="D4592" s="12" t="str">
        <f ca="1">IFERROR(__xludf.DUMMYFUNCTION("""COMPUTED_VALUE"""),"大木 優香")</f>
        <v>大木 優香</v>
      </c>
    </row>
    <row r="4593" spans="2:4" ht="13">
      <c r="B4593" s="12">
        <f ca="1">IFERROR(__xludf.DUMMYFUNCTION("""COMPUTED_VALUE"""),126868)</f>
        <v>126868</v>
      </c>
      <c r="C4593" s="14">
        <f ca="1">IFERROR(__xludf.DUMMYFUNCTION("""COMPUTED_VALUE"""),0)</f>
        <v>0</v>
      </c>
      <c r="D4593" s="12" t="str">
        <f ca="1">IFERROR(__xludf.DUMMYFUNCTION("""COMPUTED_VALUE"""),"大木 優香")</f>
        <v>大木 優香</v>
      </c>
    </row>
    <row r="4594" spans="2:4" ht="13">
      <c r="B4594" s="12">
        <f ca="1">IFERROR(__xludf.DUMMYFUNCTION("""COMPUTED_VALUE"""),126869)</f>
        <v>126869</v>
      </c>
      <c r="C4594" s="14">
        <f ca="1">IFERROR(__xludf.DUMMYFUNCTION("""COMPUTED_VALUE"""),0)</f>
        <v>0</v>
      </c>
      <c r="D4594" s="12" t="str">
        <f ca="1">IFERROR(__xludf.DUMMYFUNCTION("""COMPUTED_VALUE"""),"成嶋 夏未")</f>
        <v>成嶋 夏未</v>
      </c>
    </row>
    <row r="4595" spans="2:4" ht="13">
      <c r="B4595" s="12">
        <f ca="1">IFERROR(__xludf.DUMMYFUNCTION("""COMPUTED_VALUE"""),126871)</f>
        <v>126871</v>
      </c>
      <c r="C4595" s="14">
        <f ca="1">IFERROR(__xludf.DUMMYFUNCTION("""COMPUTED_VALUE"""),0)</f>
        <v>0</v>
      </c>
      <c r="D4595" s="12" t="str">
        <f ca="1">IFERROR(__xludf.DUMMYFUNCTION("""COMPUTED_VALUE"""),"荻曽 克輝")</f>
        <v>荻曽 克輝</v>
      </c>
    </row>
    <row r="4596" spans="2:4" ht="13">
      <c r="B4596" s="12">
        <f ca="1">IFERROR(__xludf.DUMMYFUNCTION("""COMPUTED_VALUE"""),126873)</f>
        <v>126873</v>
      </c>
      <c r="C4596" s="14">
        <f ca="1">IFERROR(__xludf.DUMMYFUNCTION("""COMPUTED_VALUE"""),13)</f>
        <v>13</v>
      </c>
      <c r="D4596" s="12" t="str">
        <f ca="1">IFERROR(__xludf.DUMMYFUNCTION("""COMPUTED_VALUE"""),"川島 幹也")</f>
        <v>川島 幹也</v>
      </c>
    </row>
    <row r="4597" spans="2:4" ht="13">
      <c r="B4597" s="12">
        <f ca="1">IFERROR(__xludf.DUMMYFUNCTION("""COMPUTED_VALUE"""),126874)</f>
        <v>126874</v>
      </c>
      <c r="C4597" s="14">
        <f ca="1">IFERROR(__xludf.DUMMYFUNCTION("""COMPUTED_VALUE"""),0)</f>
        <v>0</v>
      </c>
      <c r="D4597" s="12" t="str">
        <f ca="1">IFERROR(__xludf.DUMMYFUNCTION("""COMPUTED_VALUE"""),"成嶋 夏未")</f>
        <v>成嶋 夏未</v>
      </c>
    </row>
    <row r="4598" spans="2:4" ht="13">
      <c r="B4598" s="12">
        <f ca="1">IFERROR(__xludf.DUMMYFUNCTION("""COMPUTED_VALUE"""),126875)</f>
        <v>126875</v>
      </c>
      <c r="C4598" s="14">
        <f ca="1">IFERROR(__xludf.DUMMYFUNCTION("""COMPUTED_VALUE"""),0)</f>
        <v>0</v>
      </c>
      <c r="D4598" s="12" t="str">
        <f ca="1">IFERROR(__xludf.DUMMYFUNCTION("""COMPUTED_VALUE"""),"長谷川 陸朗")</f>
        <v>長谷川 陸朗</v>
      </c>
    </row>
    <row r="4599" spans="2:4" ht="13">
      <c r="B4599" s="12">
        <f ca="1">IFERROR(__xludf.DUMMYFUNCTION("""COMPUTED_VALUE"""),126882)</f>
        <v>126882</v>
      </c>
      <c r="C4599" s="14">
        <f ca="1">IFERROR(__xludf.DUMMYFUNCTION("""COMPUTED_VALUE"""),0)</f>
        <v>0</v>
      </c>
      <c r="D4599" s="12" t="str">
        <f ca="1">IFERROR(__xludf.DUMMYFUNCTION("""COMPUTED_VALUE"""),"辻村 将大")</f>
        <v>辻村 将大</v>
      </c>
    </row>
    <row r="4600" spans="2:4" ht="13">
      <c r="B4600" s="12">
        <f ca="1">IFERROR(__xludf.DUMMYFUNCTION("""COMPUTED_VALUE"""),126887)</f>
        <v>126887</v>
      </c>
      <c r="C4600" s="14">
        <f ca="1">IFERROR(__xludf.DUMMYFUNCTION("""COMPUTED_VALUE"""),0)</f>
        <v>0</v>
      </c>
      <c r="D4600" s="12" t="str">
        <f ca="1">IFERROR(__xludf.DUMMYFUNCTION("""COMPUTED_VALUE"""),"稲場 勇介")</f>
        <v>稲場 勇介</v>
      </c>
    </row>
    <row r="4601" spans="2:4" ht="13">
      <c r="B4601" s="12">
        <f ca="1">IFERROR(__xludf.DUMMYFUNCTION("""COMPUTED_VALUE"""),126894)</f>
        <v>126894</v>
      </c>
      <c r="C4601" s="14">
        <f ca="1">IFERROR(__xludf.DUMMYFUNCTION("""COMPUTED_VALUE"""),0)</f>
        <v>0</v>
      </c>
      <c r="D4601" s="12" t="str">
        <f ca="1">IFERROR(__xludf.DUMMYFUNCTION("""COMPUTED_VALUE"""),"松尾 尚樹")</f>
        <v>松尾 尚樹</v>
      </c>
    </row>
    <row r="4602" spans="2:4" ht="13">
      <c r="B4602" s="12">
        <f ca="1">IFERROR(__xludf.DUMMYFUNCTION("""COMPUTED_VALUE"""),126895)</f>
        <v>126895</v>
      </c>
      <c r="C4602" s="14">
        <f ca="1">IFERROR(__xludf.DUMMYFUNCTION("""COMPUTED_VALUE"""),103)</f>
        <v>103</v>
      </c>
      <c r="D4602" s="12" t="str">
        <f ca="1">IFERROR(__xludf.DUMMYFUNCTION("""COMPUTED_VALUE"""),"内丸 裕子")</f>
        <v>内丸 裕子</v>
      </c>
    </row>
    <row r="4603" spans="2:4" ht="13">
      <c r="B4603" s="12">
        <f ca="1">IFERROR(__xludf.DUMMYFUNCTION("""COMPUTED_VALUE"""),126898)</f>
        <v>126898</v>
      </c>
      <c r="C4603" s="14">
        <f ca="1">IFERROR(__xludf.DUMMYFUNCTION("""COMPUTED_VALUE"""),0)</f>
        <v>0</v>
      </c>
      <c r="D4603" s="12" t="str">
        <f ca="1">IFERROR(__xludf.DUMMYFUNCTION("""COMPUTED_VALUE"""),"大木 優香")</f>
        <v>大木 優香</v>
      </c>
    </row>
    <row r="4604" spans="2:4" ht="13">
      <c r="B4604" s="12">
        <f ca="1">IFERROR(__xludf.DUMMYFUNCTION("""COMPUTED_VALUE"""),126899)</f>
        <v>126899</v>
      </c>
      <c r="C4604" s="14">
        <f ca="1">IFERROR(__xludf.DUMMYFUNCTION("""COMPUTED_VALUE"""),0)</f>
        <v>0</v>
      </c>
      <c r="D4604" s="12" t="str">
        <f ca="1">IFERROR(__xludf.DUMMYFUNCTION("""COMPUTED_VALUE"""),"大木 優香")</f>
        <v>大木 優香</v>
      </c>
    </row>
    <row r="4605" spans="2:4" ht="13">
      <c r="B4605" s="12">
        <f ca="1">IFERROR(__xludf.DUMMYFUNCTION("""COMPUTED_VALUE"""),126900)</f>
        <v>126900</v>
      </c>
      <c r="C4605" s="14">
        <f ca="1">IFERROR(__xludf.DUMMYFUNCTION("""COMPUTED_VALUE"""),0)</f>
        <v>0</v>
      </c>
      <c r="D4605" s="12" t="str">
        <f ca="1">IFERROR(__xludf.DUMMYFUNCTION("""COMPUTED_VALUE"""),"大木 優香")</f>
        <v>大木 優香</v>
      </c>
    </row>
    <row r="4606" spans="2:4" ht="13">
      <c r="B4606" s="12">
        <f ca="1">IFERROR(__xludf.DUMMYFUNCTION("""COMPUTED_VALUE"""),126901)</f>
        <v>126901</v>
      </c>
      <c r="C4606" s="14">
        <f ca="1">IFERROR(__xludf.DUMMYFUNCTION("""COMPUTED_VALUE"""),0)</f>
        <v>0</v>
      </c>
      <c r="D4606" s="12" t="str">
        <f ca="1">IFERROR(__xludf.DUMMYFUNCTION("""COMPUTED_VALUE"""),"大木 優香")</f>
        <v>大木 優香</v>
      </c>
    </row>
    <row r="4607" spans="2:4" ht="13">
      <c r="B4607" s="12">
        <f ca="1">IFERROR(__xludf.DUMMYFUNCTION("""COMPUTED_VALUE"""),126902)</f>
        <v>126902</v>
      </c>
      <c r="C4607" s="14">
        <f ca="1">IFERROR(__xludf.DUMMYFUNCTION("""COMPUTED_VALUE"""),0)</f>
        <v>0</v>
      </c>
      <c r="D4607" s="12" t="str">
        <f ca="1">IFERROR(__xludf.DUMMYFUNCTION("""COMPUTED_VALUE"""),"大木 優香")</f>
        <v>大木 優香</v>
      </c>
    </row>
    <row r="4608" spans="2:4" ht="13">
      <c r="B4608" s="12">
        <f ca="1">IFERROR(__xludf.DUMMYFUNCTION("""COMPUTED_VALUE"""),126903)</f>
        <v>126903</v>
      </c>
      <c r="C4608" s="14">
        <f ca="1">IFERROR(__xludf.DUMMYFUNCTION("""COMPUTED_VALUE"""),0)</f>
        <v>0</v>
      </c>
      <c r="D4608" s="12" t="str">
        <f ca="1">IFERROR(__xludf.DUMMYFUNCTION("""COMPUTED_VALUE"""),"大木 優香")</f>
        <v>大木 優香</v>
      </c>
    </row>
    <row r="4609" spans="2:4" ht="13">
      <c r="B4609" s="12">
        <f ca="1">IFERROR(__xludf.DUMMYFUNCTION("""COMPUTED_VALUE"""),126904)</f>
        <v>126904</v>
      </c>
      <c r="C4609" s="14">
        <f ca="1">IFERROR(__xludf.DUMMYFUNCTION("""COMPUTED_VALUE"""),0)</f>
        <v>0</v>
      </c>
      <c r="D4609" s="12" t="str">
        <f ca="1">IFERROR(__xludf.DUMMYFUNCTION("""COMPUTED_VALUE"""),"大木 優香")</f>
        <v>大木 優香</v>
      </c>
    </row>
    <row r="4610" spans="2:4" ht="13">
      <c r="B4610" s="12">
        <f ca="1">IFERROR(__xludf.DUMMYFUNCTION("""COMPUTED_VALUE"""),126905)</f>
        <v>126905</v>
      </c>
      <c r="C4610" s="14">
        <f ca="1">IFERROR(__xludf.DUMMYFUNCTION("""COMPUTED_VALUE"""),0)</f>
        <v>0</v>
      </c>
      <c r="D4610" s="12" t="str">
        <f ca="1">IFERROR(__xludf.DUMMYFUNCTION("""COMPUTED_VALUE"""),"大木 優香")</f>
        <v>大木 優香</v>
      </c>
    </row>
    <row r="4611" spans="2:4" ht="13">
      <c r="B4611" s="12">
        <f ca="1">IFERROR(__xludf.DUMMYFUNCTION("""COMPUTED_VALUE"""),126906)</f>
        <v>126906</v>
      </c>
      <c r="C4611" s="14">
        <f ca="1">IFERROR(__xludf.DUMMYFUNCTION("""COMPUTED_VALUE"""),0)</f>
        <v>0</v>
      </c>
      <c r="D4611" s="12" t="str">
        <f ca="1">IFERROR(__xludf.DUMMYFUNCTION("""COMPUTED_VALUE"""),"大木 優香")</f>
        <v>大木 優香</v>
      </c>
    </row>
    <row r="4612" spans="2:4" ht="13">
      <c r="B4612" s="12">
        <f ca="1">IFERROR(__xludf.DUMMYFUNCTION("""COMPUTED_VALUE"""),126907)</f>
        <v>126907</v>
      </c>
      <c r="C4612" s="14">
        <f ca="1">IFERROR(__xludf.DUMMYFUNCTION("""COMPUTED_VALUE"""),0)</f>
        <v>0</v>
      </c>
      <c r="D4612" s="12" t="str">
        <f ca="1">IFERROR(__xludf.DUMMYFUNCTION("""COMPUTED_VALUE"""),"大木 優香")</f>
        <v>大木 優香</v>
      </c>
    </row>
    <row r="4613" spans="2:4" ht="13">
      <c r="B4613" s="12">
        <f ca="1">IFERROR(__xludf.DUMMYFUNCTION("""COMPUTED_VALUE"""),126908)</f>
        <v>126908</v>
      </c>
      <c r="C4613" s="14">
        <f ca="1">IFERROR(__xludf.DUMMYFUNCTION("""COMPUTED_VALUE"""),0)</f>
        <v>0</v>
      </c>
      <c r="D4613" s="12" t="str">
        <f ca="1">IFERROR(__xludf.DUMMYFUNCTION("""COMPUTED_VALUE"""),"大木 優香")</f>
        <v>大木 優香</v>
      </c>
    </row>
    <row r="4614" spans="2:4" ht="13">
      <c r="B4614" s="12">
        <f ca="1">IFERROR(__xludf.DUMMYFUNCTION("""COMPUTED_VALUE"""),126909)</f>
        <v>126909</v>
      </c>
      <c r="C4614" s="14">
        <f ca="1">IFERROR(__xludf.DUMMYFUNCTION("""COMPUTED_VALUE"""),0)</f>
        <v>0</v>
      </c>
      <c r="D4614" s="12" t="str">
        <f ca="1">IFERROR(__xludf.DUMMYFUNCTION("""COMPUTED_VALUE"""),"大木 優香")</f>
        <v>大木 優香</v>
      </c>
    </row>
    <row r="4615" spans="2:4" ht="13">
      <c r="B4615" s="12">
        <f ca="1">IFERROR(__xludf.DUMMYFUNCTION("""COMPUTED_VALUE"""),126910)</f>
        <v>126910</v>
      </c>
      <c r="C4615" s="14">
        <f ca="1">IFERROR(__xludf.DUMMYFUNCTION("""COMPUTED_VALUE"""),0)</f>
        <v>0</v>
      </c>
      <c r="D4615" s="12" t="str">
        <f ca="1">IFERROR(__xludf.DUMMYFUNCTION("""COMPUTED_VALUE"""),"大木 優香")</f>
        <v>大木 優香</v>
      </c>
    </row>
    <row r="4616" spans="2:4" ht="13">
      <c r="B4616" s="12">
        <f ca="1">IFERROR(__xludf.DUMMYFUNCTION("""COMPUTED_VALUE"""),126911)</f>
        <v>126911</v>
      </c>
      <c r="C4616" s="14">
        <f ca="1">IFERROR(__xludf.DUMMYFUNCTION("""COMPUTED_VALUE"""),0)</f>
        <v>0</v>
      </c>
      <c r="D4616" s="12" t="str">
        <f ca="1">IFERROR(__xludf.DUMMYFUNCTION("""COMPUTED_VALUE"""),"大木 優香")</f>
        <v>大木 優香</v>
      </c>
    </row>
    <row r="4617" spans="2:4" ht="13">
      <c r="B4617" s="12">
        <f ca="1">IFERROR(__xludf.DUMMYFUNCTION("""COMPUTED_VALUE"""),126912)</f>
        <v>126912</v>
      </c>
      <c r="C4617" s="14">
        <f ca="1">IFERROR(__xludf.DUMMYFUNCTION("""COMPUTED_VALUE"""),0)</f>
        <v>0</v>
      </c>
      <c r="D4617" s="12" t="str">
        <f ca="1">IFERROR(__xludf.DUMMYFUNCTION("""COMPUTED_VALUE"""),"大木 優香")</f>
        <v>大木 優香</v>
      </c>
    </row>
    <row r="4618" spans="2:4" ht="13">
      <c r="B4618" s="12">
        <f ca="1">IFERROR(__xludf.DUMMYFUNCTION("""COMPUTED_VALUE"""),126914)</f>
        <v>126914</v>
      </c>
      <c r="C4618" s="14">
        <f ca="1">IFERROR(__xludf.DUMMYFUNCTION("""COMPUTED_VALUE"""),0)</f>
        <v>0</v>
      </c>
      <c r="D4618" s="12" t="str">
        <f ca="1">IFERROR(__xludf.DUMMYFUNCTION("""COMPUTED_VALUE"""),"大木 優香")</f>
        <v>大木 優香</v>
      </c>
    </row>
    <row r="4619" spans="2:4" ht="13">
      <c r="B4619" s="12">
        <f ca="1">IFERROR(__xludf.DUMMYFUNCTION("""COMPUTED_VALUE"""),126915)</f>
        <v>126915</v>
      </c>
      <c r="C4619" s="14">
        <f ca="1">IFERROR(__xludf.DUMMYFUNCTION("""COMPUTED_VALUE"""),0)</f>
        <v>0</v>
      </c>
      <c r="D4619" s="12" t="str">
        <f ca="1">IFERROR(__xludf.DUMMYFUNCTION("""COMPUTED_VALUE"""),"大木 優香")</f>
        <v>大木 優香</v>
      </c>
    </row>
    <row r="4620" spans="2:4" ht="13">
      <c r="B4620" s="12">
        <f ca="1">IFERROR(__xludf.DUMMYFUNCTION("""COMPUTED_VALUE"""),126916)</f>
        <v>126916</v>
      </c>
      <c r="C4620" s="14">
        <f ca="1">IFERROR(__xludf.DUMMYFUNCTION("""COMPUTED_VALUE"""),0)</f>
        <v>0</v>
      </c>
      <c r="D4620" s="12" t="str">
        <f ca="1">IFERROR(__xludf.DUMMYFUNCTION("""COMPUTED_VALUE"""),"大木 優香")</f>
        <v>大木 優香</v>
      </c>
    </row>
    <row r="4621" spans="2:4" ht="13">
      <c r="B4621" s="12">
        <f ca="1">IFERROR(__xludf.DUMMYFUNCTION("""COMPUTED_VALUE"""),126917)</f>
        <v>126917</v>
      </c>
      <c r="C4621" s="14">
        <f ca="1">IFERROR(__xludf.DUMMYFUNCTION("""COMPUTED_VALUE"""),0)</f>
        <v>0</v>
      </c>
      <c r="D4621" s="12" t="str">
        <f ca="1">IFERROR(__xludf.DUMMYFUNCTION("""COMPUTED_VALUE"""),"村上 浩一朗")</f>
        <v>村上 浩一朗</v>
      </c>
    </row>
    <row r="4622" spans="2:4" ht="13">
      <c r="B4622" s="12">
        <f ca="1">IFERROR(__xludf.DUMMYFUNCTION("""COMPUTED_VALUE"""),126919)</f>
        <v>126919</v>
      </c>
      <c r="C4622" s="14">
        <f ca="1">IFERROR(__xludf.DUMMYFUNCTION("""COMPUTED_VALUE"""),2)</f>
        <v>2</v>
      </c>
      <c r="D4622" s="12" t="str">
        <f ca="1">IFERROR(__xludf.DUMMYFUNCTION("""COMPUTED_VALUE"""),"小関 麻起")</f>
        <v>小関 麻起</v>
      </c>
    </row>
    <row r="4623" spans="2:4" ht="13">
      <c r="B4623" s="12">
        <f ca="1">IFERROR(__xludf.DUMMYFUNCTION("""COMPUTED_VALUE"""),126923)</f>
        <v>126923</v>
      </c>
      <c r="C4623" s="14">
        <f ca="1">IFERROR(__xludf.DUMMYFUNCTION("""COMPUTED_VALUE"""),6)</f>
        <v>6</v>
      </c>
      <c r="D4623" s="12" t="str">
        <f ca="1">IFERROR(__xludf.DUMMYFUNCTION("""COMPUTED_VALUE"""),"稲場 勇介")</f>
        <v>稲場 勇介</v>
      </c>
    </row>
    <row r="4624" spans="2:4" ht="13">
      <c r="B4624" s="12">
        <f ca="1">IFERROR(__xludf.DUMMYFUNCTION("""COMPUTED_VALUE"""),126933)</f>
        <v>126933</v>
      </c>
      <c r="C4624" s="14">
        <f ca="1">IFERROR(__xludf.DUMMYFUNCTION("""COMPUTED_VALUE"""),4)</f>
        <v>4</v>
      </c>
      <c r="D4624" s="12" t="str">
        <f ca="1">IFERROR(__xludf.DUMMYFUNCTION("""COMPUTED_VALUE"""),"小川 純")</f>
        <v>小川 純</v>
      </c>
    </row>
    <row r="4625" spans="2:4" ht="13">
      <c r="B4625" s="12">
        <f ca="1">IFERROR(__xludf.DUMMYFUNCTION("""COMPUTED_VALUE"""),126935)</f>
        <v>126935</v>
      </c>
      <c r="C4625" s="14">
        <f ca="1">IFERROR(__xludf.DUMMYFUNCTION("""COMPUTED_VALUE"""),6)</f>
        <v>6</v>
      </c>
      <c r="D4625" s="12" t="str">
        <f ca="1">IFERROR(__xludf.DUMMYFUNCTION("""COMPUTED_VALUE"""),"菅野 ぎんが")</f>
        <v>菅野 ぎんが</v>
      </c>
    </row>
    <row r="4626" spans="2:4" ht="13">
      <c r="B4626" s="12">
        <f ca="1">IFERROR(__xludf.DUMMYFUNCTION("""COMPUTED_VALUE"""),126938)</f>
        <v>126938</v>
      </c>
      <c r="C4626" s="14">
        <f ca="1">IFERROR(__xludf.DUMMYFUNCTION("""COMPUTED_VALUE"""),0)</f>
        <v>0</v>
      </c>
      <c r="D4626" s="12" t="str">
        <f ca="1">IFERROR(__xludf.DUMMYFUNCTION("""COMPUTED_VALUE"""),"辻村 将大")</f>
        <v>辻村 将大</v>
      </c>
    </row>
    <row r="4627" spans="2:4" ht="13">
      <c r="B4627" s="12">
        <f ca="1">IFERROR(__xludf.DUMMYFUNCTION("""COMPUTED_VALUE"""),126940)</f>
        <v>126940</v>
      </c>
      <c r="C4627" s="14">
        <f ca="1">IFERROR(__xludf.DUMMYFUNCTION("""COMPUTED_VALUE"""),0)</f>
        <v>0</v>
      </c>
      <c r="D4627" s="12" t="str">
        <f ca="1">IFERROR(__xludf.DUMMYFUNCTION("""COMPUTED_VALUE"""),"小川 純")</f>
        <v>小川 純</v>
      </c>
    </row>
    <row r="4628" spans="2:4" ht="13">
      <c r="B4628" s="12">
        <f ca="1">IFERROR(__xludf.DUMMYFUNCTION("""COMPUTED_VALUE"""),126941)</f>
        <v>126941</v>
      </c>
      <c r="C4628" s="14">
        <f ca="1">IFERROR(__xludf.DUMMYFUNCTION("""COMPUTED_VALUE"""),0)</f>
        <v>0</v>
      </c>
      <c r="D4628" s="12" t="str">
        <f ca="1">IFERROR(__xludf.DUMMYFUNCTION("""COMPUTED_VALUE"""),"成嶋 夏未")</f>
        <v>成嶋 夏未</v>
      </c>
    </row>
    <row r="4629" spans="2:4" ht="13">
      <c r="B4629" s="12">
        <f ca="1">IFERROR(__xludf.DUMMYFUNCTION("""COMPUTED_VALUE"""),126946)</f>
        <v>126946</v>
      </c>
      <c r="C4629" s="14">
        <f ca="1">IFERROR(__xludf.DUMMYFUNCTION("""COMPUTED_VALUE"""),0)</f>
        <v>0</v>
      </c>
      <c r="D4629" s="12" t="str">
        <f ca="1">IFERROR(__xludf.DUMMYFUNCTION("""COMPUTED_VALUE"""),"芳賀 亮輔")</f>
        <v>芳賀 亮輔</v>
      </c>
    </row>
    <row r="4630" spans="2:4" ht="13">
      <c r="B4630" s="12">
        <f ca="1">IFERROR(__xludf.DUMMYFUNCTION("""COMPUTED_VALUE"""),126950)</f>
        <v>126950</v>
      </c>
      <c r="C4630" s="14">
        <f ca="1">IFERROR(__xludf.DUMMYFUNCTION("""COMPUTED_VALUE"""),89)</f>
        <v>89</v>
      </c>
      <c r="D4630" s="12" t="str">
        <f ca="1">IFERROR(__xludf.DUMMYFUNCTION("""COMPUTED_VALUE"""),"菅野 ぎんが")</f>
        <v>菅野 ぎんが</v>
      </c>
    </row>
    <row r="4631" spans="2:4" ht="13">
      <c r="B4631" s="12">
        <f ca="1">IFERROR(__xludf.DUMMYFUNCTION("""COMPUTED_VALUE"""),126951)</f>
        <v>126951</v>
      </c>
      <c r="C4631" s="14">
        <f ca="1">IFERROR(__xludf.DUMMYFUNCTION("""COMPUTED_VALUE"""),0)</f>
        <v>0</v>
      </c>
      <c r="D4631" s="12" t="str">
        <f ca="1">IFERROR(__xludf.DUMMYFUNCTION("""COMPUTED_VALUE"""),"小関 麻起")</f>
        <v>小関 麻起</v>
      </c>
    </row>
    <row r="4632" spans="2:4" ht="13">
      <c r="B4632" s="12">
        <f ca="1">IFERROR(__xludf.DUMMYFUNCTION("""COMPUTED_VALUE"""),126954)</f>
        <v>126954</v>
      </c>
      <c r="C4632" s="14">
        <f ca="1">IFERROR(__xludf.DUMMYFUNCTION("""COMPUTED_VALUE"""),0)</f>
        <v>0</v>
      </c>
      <c r="D4632" s="12" t="str">
        <f ca="1">IFERROR(__xludf.DUMMYFUNCTION("""COMPUTED_VALUE"""),"堀越 駿")</f>
        <v>堀越 駿</v>
      </c>
    </row>
    <row r="4633" spans="2:4" ht="13">
      <c r="B4633" s="12">
        <f ca="1">IFERROR(__xludf.DUMMYFUNCTION("""COMPUTED_VALUE"""),126955)</f>
        <v>126955</v>
      </c>
      <c r="C4633" s="14">
        <f ca="1">IFERROR(__xludf.DUMMYFUNCTION("""COMPUTED_VALUE"""),13)</f>
        <v>13</v>
      </c>
      <c r="D4633" s="12" t="str">
        <f ca="1">IFERROR(__xludf.DUMMYFUNCTION("""COMPUTED_VALUE"""),"荻曽 克輝")</f>
        <v>荻曽 克輝</v>
      </c>
    </row>
    <row r="4634" spans="2:4" ht="13">
      <c r="B4634" s="12">
        <f ca="1">IFERROR(__xludf.DUMMYFUNCTION("""COMPUTED_VALUE"""),126957)</f>
        <v>126957</v>
      </c>
      <c r="C4634" s="14">
        <f ca="1">IFERROR(__xludf.DUMMYFUNCTION("""COMPUTED_VALUE"""),0)</f>
        <v>0</v>
      </c>
      <c r="D4634" s="12" t="str">
        <f ca="1">IFERROR(__xludf.DUMMYFUNCTION("""COMPUTED_VALUE"""),"内丸 裕子")</f>
        <v>内丸 裕子</v>
      </c>
    </row>
    <row r="4635" spans="2:4" ht="13">
      <c r="B4635" s="12">
        <f ca="1">IFERROR(__xludf.DUMMYFUNCTION("""COMPUTED_VALUE"""),126958)</f>
        <v>126958</v>
      </c>
      <c r="C4635" s="14">
        <f ca="1">IFERROR(__xludf.DUMMYFUNCTION("""COMPUTED_VALUE"""),0)</f>
        <v>0</v>
      </c>
      <c r="D4635" s="12" t="str">
        <f ca="1">IFERROR(__xludf.DUMMYFUNCTION("""COMPUTED_VALUE"""),"内丸 裕子")</f>
        <v>内丸 裕子</v>
      </c>
    </row>
    <row r="4636" spans="2:4" ht="13">
      <c r="B4636" s="12">
        <f ca="1">IFERROR(__xludf.DUMMYFUNCTION("""COMPUTED_VALUE"""),126959)</f>
        <v>126959</v>
      </c>
      <c r="C4636" s="14">
        <f ca="1">IFERROR(__xludf.DUMMYFUNCTION("""COMPUTED_VALUE"""),0)</f>
        <v>0</v>
      </c>
      <c r="D4636" s="12" t="str">
        <f ca="1">IFERROR(__xludf.DUMMYFUNCTION("""COMPUTED_VALUE"""),"内丸 裕子")</f>
        <v>内丸 裕子</v>
      </c>
    </row>
    <row r="4637" spans="2:4" ht="13">
      <c r="B4637" s="12">
        <f ca="1">IFERROR(__xludf.DUMMYFUNCTION("""COMPUTED_VALUE"""),126960)</f>
        <v>126960</v>
      </c>
      <c r="C4637" s="14">
        <f ca="1">IFERROR(__xludf.DUMMYFUNCTION("""COMPUTED_VALUE"""),0)</f>
        <v>0</v>
      </c>
      <c r="D4637" s="12" t="str">
        <f ca="1">IFERROR(__xludf.DUMMYFUNCTION("""COMPUTED_VALUE"""),"内丸 裕子")</f>
        <v>内丸 裕子</v>
      </c>
    </row>
    <row r="4638" spans="2:4" ht="13">
      <c r="B4638" s="12">
        <f ca="1">IFERROR(__xludf.DUMMYFUNCTION("""COMPUTED_VALUE"""),126961)</f>
        <v>126961</v>
      </c>
      <c r="C4638" s="14">
        <f ca="1">IFERROR(__xludf.DUMMYFUNCTION("""COMPUTED_VALUE"""),0)</f>
        <v>0</v>
      </c>
      <c r="D4638" s="12" t="str">
        <f ca="1">IFERROR(__xludf.DUMMYFUNCTION("""COMPUTED_VALUE"""),"内丸 裕子")</f>
        <v>内丸 裕子</v>
      </c>
    </row>
    <row r="4639" spans="2:4" ht="13">
      <c r="B4639" s="12">
        <f ca="1">IFERROR(__xludf.DUMMYFUNCTION("""COMPUTED_VALUE"""),126962)</f>
        <v>126962</v>
      </c>
      <c r="C4639" s="14">
        <f ca="1">IFERROR(__xludf.DUMMYFUNCTION("""COMPUTED_VALUE"""),0)</f>
        <v>0</v>
      </c>
      <c r="D4639" s="12" t="str">
        <f ca="1">IFERROR(__xludf.DUMMYFUNCTION("""COMPUTED_VALUE"""),"内丸 裕子")</f>
        <v>内丸 裕子</v>
      </c>
    </row>
    <row r="4640" spans="2:4" ht="13">
      <c r="B4640" s="12">
        <f ca="1">IFERROR(__xludf.DUMMYFUNCTION("""COMPUTED_VALUE"""),126978)</f>
        <v>126978</v>
      </c>
      <c r="C4640" s="14">
        <f ca="1">IFERROR(__xludf.DUMMYFUNCTION("""COMPUTED_VALUE"""),3)</f>
        <v>3</v>
      </c>
      <c r="D4640" s="12" t="str">
        <f ca="1">IFERROR(__xludf.DUMMYFUNCTION("""COMPUTED_VALUE"""),"菅野 ぎんが")</f>
        <v>菅野 ぎんが</v>
      </c>
    </row>
    <row r="4641" spans="2:4" ht="13">
      <c r="B4641" s="12">
        <f ca="1">IFERROR(__xludf.DUMMYFUNCTION("""COMPUTED_VALUE"""),126980)</f>
        <v>126980</v>
      </c>
      <c r="C4641" s="14">
        <f ca="1">IFERROR(__xludf.DUMMYFUNCTION("""COMPUTED_VALUE"""),0)</f>
        <v>0</v>
      </c>
      <c r="D4641" s="12" t="str">
        <f ca="1">IFERROR(__xludf.DUMMYFUNCTION("""COMPUTED_VALUE"""),"成嶋 夏未")</f>
        <v>成嶋 夏未</v>
      </c>
    </row>
    <row r="4642" spans="2:4" ht="13">
      <c r="B4642" s="12">
        <f ca="1">IFERROR(__xludf.DUMMYFUNCTION("""COMPUTED_VALUE"""),126981)</f>
        <v>126981</v>
      </c>
      <c r="C4642" s="14">
        <f ca="1">IFERROR(__xludf.DUMMYFUNCTION("""COMPUTED_VALUE"""),0)</f>
        <v>0</v>
      </c>
      <c r="D4642" s="12" t="str">
        <f ca="1">IFERROR(__xludf.DUMMYFUNCTION("""COMPUTED_VALUE"""),"菅野 ぎんが")</f>
        <v>菅野 ぎんが</v>
      </c>
    </row>
    <row r="4643" spans="2:4" ht="13">
      <c r="B4643" s="12">
        <f ca="1">IFERROR(__xludf.DUMMYFUNCTION("""COMPUTED_VALUE"""),126982)</f>
        <v>126982</v>
      </c>
      <c r="C4643" s="14">
        <f ca="1">IFERROR(__xludf.DUMMYFUNCTION("""COMPUTED_VALUE"""),0)</f>
        <v>0</v>
      </c>
      <c r="D4643" s="12" t="str">
        <f ca="1">IFERROR(__xludf.DUMMYFUNCTION("""COMPUTED_VALUE"""),"小川 純")</f>
        <v>小川 純</v>
      </c>
    </row>
    <row r="4644" spans="2:4" ht="13">
      <c r="B4644" s="12">
        <f ca="1">IFERROR(__xludf.DUMMYFUNCTION("""COMPUTED_VALUE"""),126983)</f>
        <v>126983</v>
      </c>
      <c r="C4644" s="14">
        <f ca="1">IFERROR(__xludf.DUMMYFUNCTION("""COMPUTED_VALUE"""),0)</f>
        <v>0</v>
      </c>
      <c r="D4644" s="12" t="str">
        <f ca="1">IFERROR(__xludf.DUMMYFUNCTION("""COMPUTED_VALUE"""),"長谷川 陸朗")</f>
        <v>長谷川 陸朗</v>
      </c>
    </row>
    <row r="4645" spans="2:4" ht="13">
      <c r="B4645" s="12">
        <f ca="1">IFERROR(__xludf.DUMMYFUNCTION("""COMPUTED_VALUE"""),126986)</f>
        <v>126986</v>
      </c>
      <c r="C4645" s="14">
        <f ca="1">IFERROR(__xludf.DUMMYFUNCTION("""COMPUTED_VALUE"""),10)</f>
        <v>10</v>
      </c>
      <c r="D4645" s="12" t="str">
        <f ca="1">IFERROR(__xludf.DUMMYFUNCTION("""COMPUTED_VALUE"""),"桐山 勝気")</f>
        <v>桐山 勝気</v>
      </c>
    </row>
    <row r="4646" spans="2:4" ht="13">
      <c r="B4646" s="12">
        <f ca="1">IFERROR(__xludf.DUMMYFUNCTION("""COMPUTED_VALUE"""),126987)</f>
        <v>126987</v>
      </c>
      <c r="C4646" s="14">
        <f ca="1">IFERROR(__xludf.DUMMYFUNCTION("""COMPUTED_VALUE"""),0)</f>
        <v>0</v>
      </c>
      <c r="D4646" s="12" t="str">
        <f ca="1">IFERROR(__xludf.DUMMYFUNCTION("""COMPUTED_VALUE"""),"村上 浩一朗")</f>
        <v>村上 浩一朗</v>
      </c>
    </row>
    <row r="4647" spans="2:4" ht="13">
      <c r="B4647" s="12">
        <f ca="1">IFERROR(__xludf.DUMMYFUNCTION("""COMPUTED_VALUE"""),126989)</f>
        <v>126989</v>
      </c>
      <c r="C4647" s="14">
        <f ca="1">IFERROR(__xludf.DUMMYFUNCTION("""COMPUTED_VALUE"""),0)</f>
        <v>0</v>
      </c>
      <c r="D4647" s="12" t="str">
        <f ca="1">IFERROR(__xludf.DUMMYFUNCTION("""COMPUTED_VALUE"""),"桑原 明子")</f>
        <v>桑原 明子</v>
      </c>
    </row>
    <row r="4648" spans="2:4" ht="13">
      <c r="B4648" s="12">
        <f ca="1">IFERROR(__xludf.DUMMYFUNCTION("""COMPUTED_VALUE"""),126992)</f>
        <v>126992</v>
      </c>
      <c r="C4648" s="14">
        <f ca="1">IFERROR(__xludf.DUMMYFUNCTION("""COMPUTED_VALUE"""),0)</f>
        <v>0</v>
      </c>
      <c r="D4648" s="12" t="str">
        <f ca="1">IFERROR(__xludf.DUMMYFUNCTION("""COMPUTED_VALUE"""),"芳賀 亮輔")</f>
        <v>芳賀 亮輔</v>
      </c>
    </row>
    <row r="4649" spans="2:4" ht="13">
      <c r="B4649" s="12">
        <f ca="1">IFERROR(__xludf.DUMMYFUNCTION("""COMPUTED_VALUE"""),126999)</f>
        <v>126999</v>
      </c>
      <c r="C4649" s="14">
        <f ca="1">IFERROR(__xludf.DUMMYFUNCTION("""COMPUTED_VALUE"""),0)</f>
        <v>0</v>
      </c>
      <c r="D4649" s="12" t="str">
        <f ca="1">IFERROR(__xludf.DUMMYFUNCTION("""COMPUTED_VALUE"""),"小関 麻起")</f>
        <v>小関 麻起</v>
      </c>
    </row>
    <row r="4650" spans="2:4" ht="13">
      <c r="B4650" s="12">
        <f ca="1">IFERROR(__xludf.DUMMYFUNCTION("""COMPUTED_VALUE"""),127003)</f>
        <v>127003</v>
      </c>
      <c r="C4650" s="14">
        <f ca="1">IFERROR(__xludf.DUMMYFUNCTION("""COMPUTED_VALUE"""),0)</f>
        <v>0</v>
      </c>
      <c r="D4650" s="12" t="str">
        <f ca="1">IFERROR(__xludf.DUMMYFUNCTION("""COMPUTED_VALUE"""),"小関 麻起")</f>
        <v>小関 麻起</v>
      </c>
    </row>
    <row r="4651" spans="2:4" ht="13">
      <c r="B4651" s="12">
        <f ca="1">IFERROR(__xludf.DUMMYFUNCTION("""COMPUTED_VALUE"""),127006)</f>
        <v>127006</v>
      </c>
      <c r="C4651" s="14">
        <f ca="1">IFERROR(__xludf.DUMMYFUNCTION("""COMPUTED_VALUE"""),0)</f>
        <v>0</v>
      </c>
      <c r="D4651" s="12" t="str">
        <f ca="1">IFERROR(__xludf.DUMMYFUNCTION("""COMPUTED_VALUE"""),"菅野 ぎんが")</f>
        <v>菅野 ぎんが</v>
      </c>
    </row>
    <row r="4652" spans="2:4" ht="13">
      <c r="B4652" s="12">
        <f ca="1">IFERROR(__xludf.DUMMYFUNCTION("""COMPUTED_VALUE"""),127009)</f>
        <v>127009</v>
      </c>
      <c r="C4652" s="14">
        <f ca="1">IFERROR(__xludf.DUMMYFUNCTION("""COMPUTED_VALUE"""),0)</f>
        <v>0</v>
      </c>
      <c r="D4652" s="12" t="str">
        <f ca="1">IFERROR(__xludf.DUMMYFUNCTION("""COMPUTED_VALUE"""),"菅野 ぎんが")</f>
        <v>菅野 ぎんが</v>
      </c>
    </row>
    <row r="4653" spans="2:4" ht="13">
      <c r="B4653" s="12">
        <f ca="1">IFERROR(__xludf.DUMMYFUNCTION("""COMPUTED_VALUE"""),127010)</f>
        <v>127010</v>
      </c>
      <c r="C4653" s="14">
        <f ca="1">IFERROR(__xludf.DUMMYFUNCTION("""COMPUTED_VALUE"""),4)</f>
        <v>4</v>
      </c>
      <c r="D4653" s="12" t="str">
        <f ca="1">IFERROR(__xludf.DUMMYFUNCTION("""COMPUTED_VALUE"""),"荻曽 克輝")</f>
        <v>荻曽 克輝</v>
      </c>
    </row>
    <row r="4654" spans="2:4" ht="13">
      <c r="B4654" s="12">
        <f ca="1">IFERROR(__xludf.DUMMYFUNCTION("""COMPUTED_VALUE"""),127016)</f>
        <v>127016</v>
      </c>
      <c r="C4654" s="14">
        <f ca="1">IFERROR(__xludf.DUMMYFUNCTION("""COMPUTED_VALUE"""),0)</f>
        <v>0</v>
      </c>
      <c r="D4654" s="12" t="str">
        <f ca="1">IFERROR(__xludf.DUMMYFUNCTION("""COMPUTED_VALUE"""),"内丸 裕子")</f>
        <v>内丸 裕子</v>
      </c>
    </row>
    <row r="4655" spans="2:4" ht="13">
      <c r="B4655" s="12">
        <f ca="1">IFERROR(__xludf.DUMMYFUNCTION("""COMPUTED_VALUE"""),127018)</f>
        <v>127018</v>
      </c>
      <c r="C4655" s="14">
        <f ca="1">IFERROR(__xludf.DUMMYFUNCTION("""COMPUTED_VALUE"""),82)</f>
        <v>82</v>
      </c>
      <c r="D4655" s="12" t="str">
        <f ca="1">IFERROR(__xludf.DUMMYFUNCTION("""COMPUTED_VALUE"""),"小川 純")</f>
        <v>小川 純</v>
      </c>
    </row>
    <row r="4656" spans="2:4" ht="13">
      <c r="B4656" s="12">
        <f ca="1">IFERROR(__xludf.DUMMYFUNCTION("""COMPUTED_VALUE"""),127020)</f>
        <v>127020</v>
      </c>
      <c r="C4656" s="14">
        <f ca="1">IFERROR(__xludf.DUMMYFUNCTION("""COMPUTED_VALUE"""),3)</f>
        <v>3</v>
      </c>
      <c r="D4656" s="12" t="str">
        <f ca="1">IFERROR(__xludf.DUMMYFUNCTION("""COMPUTED_VALUE"""),"稲場 勇介")</f>
        <v>稲場 勇介</v>
      </c>
    </row>
    <row r="4657" spans="2:4" ht="13">
      <c r="B4657" s="12">
        <f ca="1">IFERROR(__xludf.DUMMYFUNCTION("""COMPUTED_VALUE"""),127027)</f>
        <v>127027</v>
      </c>
      <c r="C4657" s="14">
        <f ca="1">IFERROR(__xludf.DUMMYFUNCTION("""COMPUTED_VALUE"""),0)</f>
        <v>0</v>
      </c>
      <c r="D4657" s="12" t="str">
        <f ca="1">IFERROR(__xludf.DUMMYFUNCTION("""COMPUTED_VALUE"""),"老田 純輝")</f>
        <v>老田 純輝</v>
      </c>
    </row>
    <row r="4658" spans="2:4" ht="13">
      <c r="B4658" s="12">
        <f ca="1">IFERROR(__xludf.DUMMYFUNCTION("""COMPUTED_VALUE"""),127033)</f>
        <v>127033</v>
      </c>
      <c r="C4658" s="14">
        <f ca="1">IFERROR(__xludf.DUMMYFUNCTION("""COMPUTED_VALUE"""),36)</f>
        <v>36</v>
      </c>
      <c r="D4658" s="12" t="str">
        <f ca="1">IFERROR(__xludf.DUMMYFUNCTION("""COMPUTED_VALUE"""),"栗原 大武")</f>
        <v>栗原 大武</v>
      </c>
    </row>
    <row r="4659" spans="2:4" ht="13">
      <c r="B4659" s="12">
        <f ca="1">IFERROR(__xludf.DUMMYFUNCTION("""COMPUTED_VALUE"""),127035)</f>
        <v>127035</v>
      </c>
      <c r="C4659" s="14">
        <f ca="1">IFERROR(__xludf.DUMMYFUNCTION("""COMPUTED_VALUE"""),1)</f>
        <v>1</v>
      </c>
      <c r="D4659" s="12" t="str">
        <f ca="1">IFERROR(__xludf.DUMMYFUNCTION("""COMPUTED_VALUE"""),"稲場 勇介")</f>
        <v>稲場 勇介</v>
      </c>
    </row>
    <row r="4660" spans="2:4" ht="13">
      <c r="B4660" s="12">
        <f ca="1">IFERROR(__xludf.DUMMYFUNCTION("""COMPUTED_VALUE"""),127036)</f>
        <v>127036</v>
      </c>
      <c r="C4660" s="14">
        <f ca="1">IFERROR(__xludf.DUMMYFUNCTION("""COMPUTED_VALUE"""),0)</f>
        <v>0</v>
      </c>
      <c r="D4660" s="12" t="str">
        <f ca="1">IFERROR(__xludf.DUMMYFUNCTION("""COMPUTED_VALUE"""),"芳賀 亮輔")</f>
        <v>芳賀 亮輔</v>
      </c>
    </row>
    <row r="4661" spans="2:4" ht="13">
      <c r="B4661" s="12">
        <f ca="1">IFERROR(__xludf.DUMMYFUNCTION("""COMPUTED_VALUE"""),127037)</f>
        <v>127037</v>
      </c>
      <c r="C4661" s="14">
        <f ca="1">IFERROR(__xludf.DUMMYFUNCTION("""COMPUTED_VALUE"""),0)</f>
        <v>0</v>
      </c>
      <c r="D4661" s="12" t="str">
        <f ca="1">IFERROR(__xludf.DUMMYFUNCTION("""COMPUTED_VALUE"""),"桐山 勝気")</f>
        <v>桐山 勝気</v>
      </c>
    </row>
    <row r="4662" spans="2:4" ht="13">
      <c r="B4662" s="12">
        <f ca="1">IFERROR(__xludf.DUMMYFUNCTION("""COMPUTED_VALUE"""),127039)</f>
        <v>127039</v>
      </c>
      <c r="C4662" s="14">
        <f ca="1">IFERROR(__xludf.DUMMYFUNCTION("""COMPUTED_VALUE"""),0)</f>
        <v>0</v>
      </c>
      <c r="D4662" s="12" t="str">
        <f ca="1">IFERROR(__xludf.DUMMYFUNCTION("""COMPUTED_VALUE"""),"稲場 勇介")</f>
        <v>稲場 勇介</v>
      </c>
    </row>
    <row r="4663" spans="2:4" ht="13">
      <c r="B4663" s="12">
        <f ca="1">IFERROR(__xludf.DUMMYFUNCTION("""COMPUTED_VALUE"""),127042)</f>
        <v>127042</v>
      </c>
      <c r="C4663" s="14">
        <f ca="1">IFERROR(__xludf.DUMMYFUNCTION("""COMPUTED_VALUE"""),0)</f>
        <v>0</v>
      </c>
      <c r="D4663" s="12" t="str">
        <f ca="1">IFERROR(__xludf.DUMMYFUNCTION("""COMPUTED_VALUE"""),"成嶋 夏未")</f>
        <v>成嶋 夏未</v>
      </c>
    </row>
    <row r="4664" spans="2:4" ht="13">
      <c r="B4664" s="12">
        <f ca="1">IFERROR(__xludf.DUMMYFUNCTION("""COMPUTED_VALUE"""),127046)</f>
        <v>127046</v>
      </c>
      <c r="C4664" s="14">
        <f ca="1">IFERROR(__xludf.DUMMYFUNCTION("""COMPUTED_VALUE"""),0)</f>
        <v>0</v>
      </c>
      <c r="D4664" s="12" t="str">
        <f ca="1">IFERROR(__xludf.DUMMYFUNCTION("""COMPUTED_VALUE"""),"長谷川 陸朗")</f>
        <v>長谷川 陸朗</v>
      </c>
    </row>
    <row r="4665" spans="2:4" ht="13">
      <c r="B4665" s="12">
        <f ca="1">IFERROR(__xludf.DUMMYFUNCTION("""COMPUTED_VALUE"""),127050)</f>
        <v>127050</v>
      </c>
      <c r="C4665" s="14">
        <f ca="1">IFERROR(__xludf.DUMMYFUNCTION("""COMPUTED_VALUE"""),0)</f>
        <v>0</v>
      </c>
      <c r="D4665" s="12" t="str">
        <f ca="1">IFERROR(__xludf.DUMMYFUNCTION("""COMPUTED_VALUE"""),"荻曽 克輝")</f>
        <v>荻曽 克輝</v>
      </c>
    </row>
    <row r="4666" spans="2:4" ht="13">
      <c r="B4666" s="12">
        <f ca="1">IFERROR(__xludf.DUMMYFUNCTION("""COMPUTED_VALUE"""),127066)</f>
        <v>127066</v>
      </c>
      <c r="C4666" s="14">
        <f ca="1">IFERROR(__xludf.DUMMYFUNCTION("""COMPUTED_VALUE"""),0)</f>
        <v>0</v>
      </c>
      <c r="D4666" s="12" t="str">
        <f ca="1">IFERROR(__xludf.DUMMYFUNCTION("""COMPUTED_VALUE"""),"老田 純輝")</f>
        <v>老田 純輝</v>
      </c>
    </row>
    <row r="4667" spans="2:4" ht="13">
      <c r="B4667" s="12">
        <f ca="1">IFERROR(__xludf.DUMMYFUNCTION("""COMPUTED_VALUE"""),127070)</f>
        <v>127070</v>
      </c>
      <c r="C4667" s="14">
        <f ca="1">IFERROR(__xludf.DUMMYFUNCTION("""COMPUTED_VALUE"""),0)</f>
        <v>0</v>
      </c>
      <c r="D4667" s="12" t="str">
        <f ca="1">IFERROR(__xludf.DUMMYFUNCTION("""COMPUTED_VALUE"""),"栗原 大武")</f>
        <v>栗原 大武</v>
      </c>
    </row>
    <row r="4668" spans="2:4" ht="13">
      <c r="B4668" s="12">
        <f ca="1">IFERROR(__xludf.DUMMYFUNCTION("""COMPUTED_VALUE"""),127072)</f>
        <v>127072</v>
      </c>
      <c r="C4668" s="14">
        <f ca="1">IFERROR(__xludf.DUMMYFUNCTION("""COMPUTED_VALUE"""),0)</f>
        <v>0</v>
      </c>
      <c r="D4668" s="12" t="str">
        <f ca="1">IFERROR(__xludf.DUMMYFUNCTION("""COMPUTED_VALUE"""),"小川 純")</f>
        <v>小川 純</v>
      </c>
    </row>
    <row r="4669" spans="2:4" ht="13">
      <c r="B4669" s="12">
        <f ca="1">IFERROR(__xludf.DUMMYFUNCTION("""COMPUTED_VALUE"""),127077)</f>
        <v>127077</v>
      </c>
      <c r="C4669" s="14">
        <f ca="1">IFERROR(__xludf.DUMMYFUNCTION("""COMPUTED_VALUE"""),0)</f>
        <v>0</v>
      </c>
      <c r="D4669" s="12" t="str">
        <f ca="1">IFERROR(__xludf.DUMMYFUNCTION("""COMPUTED_VALUE"""),"小関 麻起")</f>
        <v>小関 麻起</v>
      </c>
    </row>
    <row r="4670" spans="2:4" ht="13">
      <c r="B4670" s="12">
        <f ca="1">IFERROR(__xludf.DUMMYFUNCTION("""COMPUTED_VALUE"""),127080)</f>
        <v>127080</v>
      </c>
      <c r="C4670" s="14">
        <f ca="1">IFERROR(__xludf.DUMMYFUNCTION("""COMPUTED_VALUE"""),0)</f>
        <v>0</v>
      </c>
      <c r="D4670" s="12" t="str">
        <f ca="1">IFERROR(__xludf.DUMMYFUNCTION("""COMPUTED_VALUE"""),"村上 浩一朗")</f>
        <v>村上 浩一朗</v>
      </c>
    </row>
    <row r="4671" spans="2:4" ht="13">
      <c r="B4671" s="12">
        <f ca="1">IFERROR(__xludf.DUMMYFUNCTION("""COMPUTED_VALUE"""),127083)</f>
        <v>127083</v>
      </c>
      <c r="C4671" s="14">
        <f ca="1">IFERROR(__xludf.DUMMYFUNCTION("""COMPUTED_VALUE"""),0)</f>
        <v>0</v>
      </c>
      <c r="D4671" s="12" t="str">
        <f ca="1">IFERROR(__xludf.DUMMYFUNCTION("""COMPUTED_VALUE"""),"成嶋 夏未")</f>
        <v>成嶋 夏未</v>
      </c>
    </row>
    <row r="4672" spans="2:4" ht="13">
      <c r="B4672" s="12">
        <f ca="1">IFERROR(__xludf.DUMMYFUNCTION("""COMPUTED_VALUE"""),127084)</f>
        <v>127084</v>
      </c>
      <c r="C4672" s="14">
        <f ca="1">IFERROR(__xludf.DUMMYFUNCTION("""COMPUTED_VALUE"""),0)</f>
        <v>0</v>
      </c>
      <c r="D4672" s="12" t="str">
        <f ca="1">IFERROR(__xludf.DUMMYFUNCTION("""COMPUTED_VALUE"""),"長谷川 陸朗")</f>
        <v>長谷川 陸朗</v>
      </c>
    </row>
    <row r="4673" spans="2:4" ht="13">
      <c r="B4673" s="12">
        <f ca="1">IFERROR(__xludf.DUMMYFUNCTION("""COMPUTED_VALUE"""),127085)</f>
        <v>127085</v>
      </c>
      <c r="C4673" s="14">
        <f ca="1">IFERROR(__xludf.DUMMYFUNCTION("""COMPUTED_VALUE"""),0)</f>
        <v>0</v>
      </c>
      <c r="D4673" s="12" t="str">
        <f ca="1">IFERROR(__xludf.DUMMYFUNCTION("""COMPUTED_VALUE"""),"小川 純")</f>
        <v>小川 純</v>
      </c>
    </row>
    <row r="4674" spans="2:4" ht="13">
      <c r="B4674" s="12">
        <f ca="1">IFERROR(__xludf.DUMMYFUNCTION("""COMPUTED_VALUE"""),127090)</f>
        <v>127090</v>
      </c>
      <c r="C4674" s="14">
        <f ca="1">IFERROR(__xludf.DUMMYFUNCTION("""COMPUTED_VALUE"""),2)</f>
        <v>2</v>
      </c>
      <c r="D4674" s="12" t="str">
        <f ca="1">IFERROR(__xludf.DUMMYFUNCTION("""COMPUTED_VALUE"""),"老田 純輝")</f>
        <v>老田 純輝</v>
      </c>
    </row>
    <row r="4675" spans="2:4" ht="13">
      <c r="B4675" s="12">
        <f ca="1">IFERROR(__xludf.DUMMYFUNCTION("""COMPUTED_VALUE"""),127093)</f>
        <v>127093</v>
      </c>
      <c r="C4675" s="14">
        <f ca="1">IFERROR(__xludf.DUMMYFUNCTION("""COMPUTED_VALUE"""),1)</f>
        <v>1</v>
      </c>
      <c r="D4675" s="12" t="str">
        <f ca="1">IFERROR(__xludf.DUMMYFUNCTION("""COMPUTED_VALUE"""),"荻曽 克輝")</f>
        <v>荻曽 克輝</v>
      </c>
    </row>
    <row r="4676" spans="2:4" ht="13">
      <c r="B4676" s="12">
        <f ca="1">IFERROR(__xludf.DUMMYFUNCTION("""COMPUTED_VALUE"""),127097)</f>
        <v>127097</v>
      </c>
      <c r="C4676" s="14">
        <f ca="1">IFERROR(__xludf.DUMMYFUNCTION("""COMPUTED_VALUE"""),29)</f>
        <v>29</v>
      </c>
      <c r="D4676" s="12" t="str">
        <f ca="1">IFERROR(__xludf.DUMMYFUNCTION("""COMPUTED_VALUE"""),"桐山 勝気")</f>
        <v>桐山 勝気</v>
      </c>
    </row>
    <row r="4677" spans="2:4" ht="13">
      <c r="B4677" s="12">
        <f ca="1">IFERROR(__xludf.DUMMYFUNCTION("""COMPUTED_VALUE"""),127099)</f>
        <v>127099</v>
      </c>
      <c r="C4677" s="14">
        <f ca="1">IFERROR(__xludf.DUMMYFUNCTION("""COMPUTED_VALUE"""),0)</f>
        <v>0</v>
      </c>
      <c r="D4677" s="12" t="str">
        <f ca="1">IFERROR(__xludf.DUMMYFUNCTION("""COMPUTED_VALUE"""),"荻曽 克輝")</f>
        <v>荻曽 克輝</v>
      </c>
    </row>
    <row r="4678" spans="2:4" ht="13">
      <c r="B4678" s="12">
        <f ca="1">IFERROR(__xludf.DUMMYFUNCTION("""COMPUTED_VALUE"""),127101)</f>
        <v>127101</v>
      </c>
      <c r="C4678" s="14">
        <f ca="1">IFERROR(__xludf.DUMMYFUNCTION("""COMPUTED_VALUE"""),0)</f>
        <v>0</v>
      </c>
      <c r="D4678" s="12" t="str">
        <f ca="1">IFERROR(__xludf.DUMMYFUNCTION("""COMPUTED_VALUE"""),"小関 麻起")</f>
        <v>小関 麻起</v>
      </c>
    </row>
    <row r="4679" spans="2:4" ht="13">
      <c r="B4679" s="12">
        <f ca="1">IFERROR(__xludf.DUMMYFUNCTION("""COMPUTED_VALUE"""),127108)</f>
        <v>127108</v>
      </c>
      <c r="C4679" s="14">
        <f ca="1">IFERROR(__xludf.DUMMYFUNCTION("""COMPUTED_VALUE"""),0)</f>
        <v>0</v>
      </c>
      <c r="D4679" s="12" t="str">
        <f ca="1">IFERROR(__xludf.DUMMYFUNCTION("""COMPUTED_VALUE"""),"松尾 尚樹")</f>
        <v>松尾 尚樹</v>
      </c>
    </row>
    <row r="4680" spans="2:4" ht="13">
      <c r="B4680" s="12">
        <f ca="1">IFERROR(__xludf.DUMMYFUNCTION("""COMPUTED_VALUE"""),127112)</f>
        <v>127112</v>
      </c>
      <c r="C4680" s="14">
        <f ca="1">IFERROR(__xludf.DUMMYFUNCTION("""COMPUTED_VALUE"""),1)</f>
        <v>1</v>
      </c>
      <c r="D4680" s="12" t="str">
        <f ca="1">IFERROR(__xludf.DUMMYFUNCTION("""COMPUTED_VALUE"""),"長谷川 陸朗")</f>
        <v>長谷川 陸朗</v>
      </c>
    </row>
    <row r="4681" spans="2:4" ht="13">
      <c r="B4681" s="12">
        <f ca="1">IFERROR(__xludf.DUMMYFUNCTION("""COMPUTED_VALUE"""),127118)</f>
        <v>127118</v>
      </c>
      <c r="C4681" s="14">
        <f ca="1">IFERROR(__xludf.DUMMYFUNCTION("""COMPUTED_VALUE"""),0)</f>
        <v>0</v>
      </c>
      <c r="D4681" s="12" t="str">
        <f ca="1">IFERROR(__xludf.DUMMYFUNCTION("""COMPUTED_VALUE"""),"小川 純")</f>
        <v>小川 純</v>
      </c>
    </row>
    <row r="4682" spans="2:4" ht="13">
      <c r="B4682" s="12">
        <f ca="1">IFERROR(__xludf.DUMMYFUNCTION("""COMPUTED_VALUE"""),127121)</f>
        <v>127121</v>
      </c>
      <c r="C4682" s="14">
        <f ca="1">IFERROR(__xludf.DUMMYFUNCTION("""COMPUTED_VALUE"""),0)</f>
        <v>0</v>
      </c>
      <c r="D4682" s="12" t="str">
        <f ca="1">IFERROR(__xludf.DUMMYFUNCTION("""COMPUTED_VALUE"""),"村上 浩一朗")</f>
        <v>村上 浩一朗</v>
      </c>
    </row>
    <row r="4683" spans="2:4" ht="13">
      <c r="B4683" s="12">
        <f ca="1">IFERROR(__xludf.DUMMYFUNCTION("""COMPUTED_VALUE"""),127128)</f>
        <v>127128</v>
      </c>
      <c r="C4683" s="14">
        <f ca="1">IFERROR(__xludf.DUMMYFUNCTION("""COMPUTED_VALUE"""),58)</f>
        <v>58</v>
      </c>
      <c r="D4683" s="12" t="str">
        <f ca="1">IFERROR(__xludf.DUMMYFUNCTION("""COMPUTED_VALUE"""),"内丸 裕子")</f>
        <v>内丸 裕子</v>
      </c>
    </row>
    <row r="4684" spans="2:4" ht="13">
      <c r="B4684" s="12">
        <f ca="1">IFERROR(__xludf.DUMMYFUNCTION("""COMPUTED_VALUE"""),127138)</f>
        <v>127138</v>
      </c>
      <c r="C4684" s="14">
        <f ca="1">IFERROR(__xludf.DUMMYFUNCTION("""COMPUTED_VALUE"""),0)</f>
        <v>0</v>
      </c>
      <c r="D4684" s="12" t="str">
        <f ca="1">IFERROR(__xludf.DUMMYFUNCTION("""COMPUTED_VALUE"""),"川島 幹也")</f>
        <v>川島 幹也</v>
      </c>
    </row>
    <row r="4685" spans="2:4" ht="13">
      <c r="B4685" s="12">
        <f ca="1">IFERROR(__xludf.DUMMYFUNCTION("""COMPUTED_VALUE"""),127140)</f>
        <v>127140</v>
      </c>
      <c r="C4685" s="14">
        <f ca="1">IFERROR(__xludf.DUMMYFUNCTION("""COMPUTED_VALUE"""),1)</f>
        <v>1</v>
      </c>
      <c r="D4685" s="12" t="str">
        <f ca="1">IFERROR(__xludf.DUMMYFUNCTION("""COMPUTED_VALUE"""),"森 光智")</f>
        <v>森 光智</v>
      </c>
    </row>
    <row r="4686" spans="2:4" ht="13">
      <c r="B4686" s="12">
        <f ca="1">IFERROR(__xludf.DUMMYFUNCTION("""COMPUTED_VALUE"""),127155)</f>
        <v>127155</v>
      </c>
      <c r="C4686" s="14">
        <f ca="1">IFERROR(__xludf.DUMMYFUNCTION("""COMPUTED_VALUE"""),0)</f>
        <v>0</v>
      </c>
      <c r="D4686" s="12" t="str">
        <f ca="1">IFERROR(__xludf.DUMMYFUNCTION("""COMPUTED_VALUE"""),"成嶋 夏未")</f>
        <v>成嶋 夏未</v>
      </c>
    </row>
    <row r="4687" spans="2:4" ht="13">
      <c r="B4687" s="12">
        <f ca="1">IFERROR(__xludf.DUMMYFUNCTION("""COMPUTED_VALUE"""),127157)</f>
        <v>127157</v>
      </c>
      <c r="C4687" s="14">
        <f ca="1">IFERROR(__xludf.DUMMYFUNCTION("""COMPUTED_VALUE"""),0)</f>
        <v>0</v>
      </c>
      <c r="D4687" s="12" t="str">
        <f ca="1">IFERROR(__xludf.DUMMYFUNCTION("""COMPUTED_VALUE"""),"成嶋 夏未")</f>
        <v>成嶋 夏未</v>
      </c>
    </row>
    <row r="4688" spans="2:4" ht="13">
      <c r="B4688" s="12">
        <f ca="1">IFERROR(__xludf.DUMMYFUNCTION("""COMPUTED_VALUE"""),127166)</f>
        <v>127166</v>
      </c>
      <c r="C4688" s="14">
        <f ca="1">IFERROR(__xludf.DUMMYFUNCTION("""COMPUTED_VALUE"""),12)</f>
        <v>12</v>
      </c>
      <c r="D4688" s="12" t="str">
        <f ca="1">IFERROR(__xludf.DUMMYFUNCTION("""COMPUTED_VALUE"""),"松尾 尚樹")</f>
        <v>松尾 尚樹</v>
      </c>
    </row>
    <row r="4689" spans="2:4" ht="13">
      <c r="B4689" s="12">
        <f ca="1">IFERROR(__xludf.DUMMYFUNCTION("""COMPUTED_VALUE"""),127168)</f>
        <v>127168</v>
      </c>
      <c r="C4689" s="14">
        <f ca="1">IFERROR(__xludf.DUMMYFUNCTION("""COMPUTED_VALUE"""),0)</f>
        <v>0</v>
      </c>
      <c r="D4689" s="12" t="str">
        <f ca="1">IFERROR(__xludf.DUMMYFUNCTION("""COMPUTED_VALUE"""),"長谷川 陸朗")</f>
        <v>長谷川 陸朗</v>
      </c>
    </row>
    <row r="4690" spans="2:4" ht="13">
      <c r="B4690" s="12">
        <f ca="1">IFERROR(__xludf.DUMMYFUNCTION("""COMPUTED_VALUE"""),127169)</f>
        <v>127169</v>
      </c>
      <c r="C4690" s="14">
        <f ca="1">IFERROR(__xludf.DUMMYFUNCTION("""COMPUTED_VALUE"""),0)</f>
        <v>0</v>
      </c>
      <c r="D4690" s="12" t="str">
        <f ca="1">IFERROR(__xludf.DUMMYFUNCTION("""COMPUTED_VALUE"""),"芳賀 亮輔")</f>
        <v>芳賀 亮輔</v>
      </c>
    </row>
    <row r="4691" spans="2:4" ht="13">
      <c r="B4691" s="12">
        <f ca="1">IFERROR(__xludf.DUMMYFUNCTION("""COMPUTED_VALUE"""),127170)</f>
        <v>127170</v>
      </c>
      <c r="C4691" s="14">
        <f ca="1">IFERROR(__xludf.DUMMYFUNCTION("""COMPUTED_VALUE"""),0)</f>
        <v>0</v>
      </c>
      <c r="D4691" s="12" t="str">
        <f ca="1">IFERROR(__xludf.DUMMYFUNCTION("""COMPUTED_VALUE"""),"森 光智")</f>
        <v>森 光智</v>
      </c>
    </row>
    <row r="4692" spans="2:4" ht="13">
      <c r="B4692" s="12">
        <f ca="1">IFERROR(__xludf.DUMMYFUNCTION("""COMPUTED_VALUE"""),127182)</f>
        <v>127182</v>
      </c>
      <c r="C4692" s="14">
        <f ca="1">IFERROR(__xludf.DUMMYFUNCTION("""COMPUTED_VALUE"""),0)</f>
        <v>0</v>
      </c>
      <c r="D4692" s="12" t="str">
        <f ca="1">IFERROR(__xludf.DUMMYFUNCTION("""COMPUTED_VALUE"""),"栗原 大武")</f>
        <v>栗原 大武</v>
      </c>
    </row>
    <row r="4693" spans="2:4" ht="13">
      <c r="B4693" s="12">
        <f ca="1">IFERROR(__xludf.DUMMYFUNCTION("""COMPUTED_VALUE"""),127184)</f>
        <v>127184</v>
      </c>
      <c r="C4693" s="14">
        <f ca="1">IFERROR(__xludf.DUMMYFUNCTION("""COMPUTED_VALUE"""),0)</f>
        <v>0</v>
      </c>
      <c r="D4693" s="12" t="str">
        <f ca="1">IFERROR(__xludf.DUMMYFUNCTION("""COMPUTED_VALUE"""),"成嶋 夏未")</f>
        <v>成嶋 夏未</v>
      </c>
    </row>
    <row r="4694" spans="2:4" ht="13">
      <c r="B4694" s="12">
        <f ca="1">IFERROR(__xludf.DUMMYFUNCTION("""COMPUTED_VALUE"""),127186)</f>
        <v>127186</v>
      </c>
      <c r="C4694" s="14">
        <f ca="1">IFERROR(__xludf.DUMMYFUNCTION("""COMPUTED_VALUE"""),0)</f>
        <v>0</v>
      </c>
      <c r="D4694" s="12" t="str">
        <f ca="1">IFERROR(__xludf.DUMMYFUNCTION("""COMPUTED_VALUE"""),"大木 優香")</f>
        <v>大木 優香</v>
      </c>
    </row>
    <row r="4695" spans="2:4" ht="13">
      <c r="B4695" s="12">
        <f ca="1">IFERROR(__xludf.DUMMYFUNCTION("""COMPUTED_VALUE"""),127187)</f>
        <v>127187</v>
      </c>
      <c r="C4695" s="14">
        <f ca="1">IFERROR(__xludf.DUMMYFUNCTION("""COMPUTED_VALUE"""),0)</f>
        <v>0</v>
      </c>
      <c r="D4695" s="12" t="str">
        <f ca="1">IFERROR(__xludf.DUMMYFUNCTION("""COMPUTED_VALUE"""),"大木 優香")</f>
        <v>大木 優香</v>
      </c>
    </row>
    <row r="4696" spans="2:4" ht="13">
      <c r="B4696" s="12">
        <f ca="1">IFERROR(__xludf.DUMMYFUNCTION("""COMPUTED_VALUE"""),127188)</f>
        <v>127188</v>
      </c>
      <c r="C4696" s="14">
        <f ca="1">IFERROR(__xludf.DUMMYFUNCTION("""COMPUTED_VALUE"""),0)</f>
        <v>0</v>
      </c>
      <c r="D4696" s="12" t="str">
        <f ca="1">IFERROR(__xludf.DUMMYFUNCTION("""COMPUTED_VALUE"""),"大木 優香")</f>
        <v>大木 優香</v>
      </c>
    </row>
    <row r="4697" spans="2:4" ht="13">
      <c r="B4697" s="12">
        <f ca="1">IFERROR(__xludf.DUMMYFUNCTION("""COMPUTED_VALUE"""),127189)</f>
        <v>127189</v>
      </c>
      <c r="C4697" s="14">
        <f ca="1">IFERROR(__xludf.DUMMYFUNCTION("""COMPUTED_VALUE"""),0)</f>
        <v>0</v>
      </c>
      <c r="D4697" s="12" t="str">
        <f ca="1">IFERROR(__xludf.DUMMYFUNCTION("""COMPUTED_VALUE"""),"大木 優香")</f>
        <v>大木 優香</v>
      </c>
    </row>
    <row r="4698" spans="2:4" ht="13">
      <c r="B4698" s="12">
        <f ca="1">IFERROR(__xludf.DUMMYFUNCTION("""COMPUTED_VALUE"""),127190)</f>
        <v>127190</v>
      </c>
      <c r="C4698" s="14">
        <f ca="1">IFERROR(__xludf.DUMMYFUNCTION("""COMPUTED_VALUE"""),0)</f>
        <v>0</v>
      </c>
      <c r="D4698" s="12" t="str">
        <f ca="1">IFERROR(__xludf.DUMMYFUNCTION("""COMPUTED_VALUE"""),"大木 優香")</f>
        <v>大木 優香</v>
      </c>
    </row>
    <row r="4699" spans="2:4" ht="13">
      <c r="B4699" s="12">
        <f ca="1">IFERROR(__xludf.DUMMYFUNCTION("""COMPUTED_VALUE"""),127194)</f>
        <v>127194</v>
      </c>
      <c r="C4699" s="14">
        <f ca="1">IFERROR(__xludf.DUMMYFUNCTION("""COMPUTED_VALUE"""),9)</f>
        <v>9</v>
      </c>
      <c r="D4699" s="12" t="str">
        <f ca="1">IFERROR(__xludf.DUMMYFUNCTION("""COMPUTED_VALUE"""),"芳賀 亮輔")</f>
        <v>芳賀 亮輔</v>
      </c>
    </row>
    <row r="4700" spans="2:4" ht="13">
      <c r="B4700" s="12">
        <f ca="1">IFERROR(__xludf.DUMMYFUNCTION("""COMPUTED_VALUE"""),127200)</f>
        <v>127200</v>
      </c>
      <c r="C4700" s="14">
        <f ca="1">IFERROR(__xludf.DUMMYFUNCTION("""COMPUTED_VALUE"""),0)</f>
        <v>0</v>
      </c>
      <c r="D4700" s="12" t="str">
        <f ca="1">IFERROR(__xludf.DUMMYFUNCTION("""COMPUTED_VALUE"""),"大木 優香")</f>
        <v>大木 優香</v>
      </c>
    </row>
    <row r="4701" spans="2:4" ht="13">
      <c r="B4701" s="12">
        <f ca="1">IFERROR(__xludf.DUMMYFUNCTION("""COMPUTED_VALUE"""),127203)</f>
        <v>127203</v>
      </c>
      <c r="C4701" s="14">
        <f ca="1">IFERROR(__xludf.DUMMYFUNCTION("""COMPUTED_VALUE"""),104)</f>
        <v>104</v>
      </c>
      <c r="D4701" s="12" t="str">
        <f ca="1">IFERROR(__xludf.DUMMYFUNCTION("""COMPUTED_VALUE"""),"荻曽 克輝")</f>
        <v>荻曽 克輝</v>
      </c>
    </row>
    <row r="4702" spans="2:4" ht="13">
      <c r="B4702" s="12">
        <f ca="1">IFERROR(__xludf.DUMMYFUNCTION("""COMPUTED_VALUE"""),127206)</f>
        <v>127206</v>
      </c>
      <c r="C4702" s="14">
        <f ca="1">IFERROR(__xludf.DUMMYFUNCTION("""COMPUTED_VALUE"""),0)</f>
        <v>0</v>
      </c>
      <c r="D4702" s="12" t="str">
        <f ca="1">IFERROR(__xludf.DUMMYFUNCTION("""COMPUTED_VALUE"""),"桐山 勝気")</f>
        <v>桐山 勝気</v>
      </c>
    </row>
    <row r="4703" spans="2:4" ht="13">
      <c r="B4703" s="12">
        <f ca="1">IFERROR(__xludf.DUMMYFUNCTION("""COMPUTED_VALUE"""),127219)</f>
        <v>127219</v>
      </c>
      <c r="C4703" s="14">
        <f ca="1">IFERROR(__xludf.DUMMYFUNCTION("""COMPUTED_VALUE"""),0)</f>
        <v>0</v>
      </c>
      <c r="D4703" s="12" t="str">
        <f ca="1">IFERROR(__xludf.DUMMYFUNCTION("""COMPUTED_VALUE"""),"小川 純")</f>
        <v>小川 純</v>
      </c>
    </row>
    <row r="4704" spans="2:4" ht="13">
      <c r="B4704" s="12">
        <f ca="1">IFERROR(__xludf.DUMMYFUNCTION("""COMPUTED_VALUE"""),127220)</f>
        <v>127220</v>
      </c>
      <c r="C4704" s="14">
        <f ca="1">IFERROR(__xludf.DUMMYFUNCTION("""COMPUTED_VALUE"""),0)</f>
        <v>0</v>
      </c>
      <c r="D4704" s="12" t="str">
        <f ca="1">IFERROR(__xludf.DUMMYFUNCTION("""COMPUTED_VALUE"""),"稲場 勇介")</f>
        <v>稲場 勇介</v>
      </c>
    </row>
    <row r="4705" spans="2:4" ht="13">
      <c r="B4705" s="12">
        <f ca="1">IFERROR(__xludf.DUMMYFUNCTION("""COMPUTED_VALUE"""),127229)</f>
        <v>127229</v>
      </c>
      <c r="C4705" s="14">
        <f ca="1">IFERROR(__xludf.DUMMYFUNCTION("""COMPUTED_VALUE"""),0)</f>
        <v>0</v>
      </c>
      <c r="D4705" s="12" t="str">
        <f ca="1">IFERROR(__xludf.DUMMYFUNCTION("""COMPUTED_VALUE"""),"稲場 勇介")</f>
        <v>稲場 勇介</v>
      </c>
    </row>
    <row r="4706" spans="2:4" ht="13">
      <c r="B4706" s="12">
        <f ca="1">IFERROR(__xludf.DUMMYFUNCTION("""COMPUTED_VALUE"""),127232)</f>
        <v>127232</v>
      </c>
      <c r="C4706" s="14">
        <f ca="1">IFERROR(__xludf.DUMMYFUNCTION("""COMPUTED_VALUE"""),0)</f>
        <v>0</v>
      </c>
      <c r="D4706" s="12" t="str">
        <f ca="1">IFERROR(__xludf.DUMMYFUNCTION("""COMPUTED_VALUE"""),"成嶋 夏未")</f>
        <v>成嶋 夏未</v>
      </c>
    </row>
    <row r="4707" spans="2:4" ht="13">
      <c r="B4707" s="12">
        <f ca="1">IFERROR(__xludf.DUMMYFUNCTION("""COMPUTED_VALUE"""),127233)</f>
        <v>127233</v>
      </c>
      <c r="C4707" s="14">
        <f ca="1">IFERROR(__xludf.DUMMYFUNCTION("""COMPUTED_VALUE"""),3)</f>
        <v>3</v>
      </c>
      <c r="D4707" s="12" t="str">
        <f ca="1">IFERROR(__xludf.DUMMYFUNCTION("""COMPUTED_VALUE"""),"栗原 大武")</f>
        <v>栗原 大武</v>
      </c>
    </row>
    <row r="4708" spans="2:4" ht="13">
      <c r="B4708" s="12">
        <f ca="1">IFERROR(__xludf.DUMMYFUNCTION("""COMPUTED_VALUE"""),127238)</f>
        <v>127238</v>
      </c>
      <c r="C4708" s="14">
        <f ca="1">IFERROR(__xludf.DUMMYFUNCTION("""COMPUTED_VALUE"""),0)</f>
        <v>0</v>
      </c>
      <c r="D4708" s="12" t="str">
        <f ca="1">IFERROR(__xludf.DUMMYFUNCTION("""COMPUTED_VALUE"""),"川島 幹也")</f>
        <v>川島 幹也</v>
      </c>
    </row>
    <row r="4709" spans="2:4" ht="13">
      <c r="B4709" s="12">
        <f ca="1">IFERROR(__xludf.DUMMYFUNCTION("""COMPUTED_VALUE"""),127240)</f>
        <v>127240</v>
      </c>
      <c r="C4709" s="14">
        <f ca="1">IFERROR(__xludf.DUMMYFUNCTION("""COMPUTED_VALUE"""),9)</f>
        <v>9</v>
      </c>
      <c r="D4709" s="12" t="str">
        <f ca="1">IFERROR(__xludf.DUMMYFUNCTION("""COMPUTED_VALUE"""),"栗原 大武")</f>
        <v>栗原 大武</v>
      </c>
    </row>
    <row r="4710" spans="2:4" ht="13">
      <c r="B4710" s="12">
        <f ca="1">IFERROR(__xludf.DUMMYFUNCTION("""COMPUTED_VALUE"""),127242)</f>
        <v>127242</v>
      </c>
      <c r="C4710" s="14">
        <f ca="1">IFERROR(__xludf.DUMMYFUNCTION("""COMPUTED_VALUE"""),0)</f>
        <v>0</v>
      </c>
      <c r="D4710" s="12" t="str">
        <f ca="1">IFERROR(__xludf.DUMMYFUNCTION("""COMPUTED_VALUE"""),"成嶋 夏未")</f>
        <v>成嶋 夏未</v>
      </c>
    </row>
    <row r="4711" spans="2:4" ht="13">
      <c r="B4711" s="12">
        <f ca="1">IFERROR(__xludf.DUMMYFUNCTION("""COMPUTED_VALUE"""),127245)</f>
        <v>127245</v>
      </c>
      <c r="C4711" s="14">
        <f ca="1">IFERROR(__xludf.DUMMYFUNCTION("""COMPUTED_VALUE"""),0)</f>
        <v>0</v>
      </c>
      <c r="D4711" s="12" t="str">
        <f ca="1">IFERROR(__xludf.DUMMYFUNCTION("""COMPUTED_VALUE"""),"松尾 尚樹")</f>
        <v>松尾 尚樹</v>
      </c>
    </row>
    <row r="4712" spans="2:4" ht="13">
      <c r="B4712" s="12">
        <f ca="1">IFERROR(__xludf.DUMMYFUNCTION("""COMPUTED_VALUE"""),127247)</f>
        <v>127247</v>
      </c>
      <c r="C4712" s="14">
        <f ca="1">IFERROR(__xludf.DUMMYFUNCTION("""COMPUTED_VALUE"""),0)</f>
        <v>0</v>
      </c>
      <c r="D4712" s="12" t="str">
        <f ca="1">IFERROR(__xludf.DUMMYFUNCTION("""COMPUTED_VALUE"""),"成嶋 夏未")</f>
        <v>成嶋 夏未</v>
      </c>
    </row>
    <row r="4713" spans="2:4" ht="13">
      <c r="B4713" s="12">
        <f ca="1">IFERROR(__xludf.DUMMYFUNCTION("""COMPUTED_VALUE"""),127250)</f>
        <v>127250</v>
      </c>
      <c r="C4713" s="14">
        <f ca="1">IFERROR(__xludf.DUMMYFUNCTION("""COMPUTED_VALUE"""),0)</f>
        <v>0</v>
      </c>
      <c r="D4713" s="12" t="str">
        <f ca="1">IFERROR(__xludf.DUMMYFUNCTION("""COMPUTED_VALUE"""),"小関 麻起")</f>
        <v>小関 麻起</v>
      </c>
    </row>
    <row r="4714" spans="2:4" ht="13">
      <c r="B4714" s="12">
        <f ca="1">IFERROR(__xludf.DUMMYFUNCTION("""COMPUTED_VALUE"""),127254)</f>
        <v>127254</v>
      </c>
      <c r="C4714" s="14">
        <f ca="1">IFERROR(__xludf.DUMMYFUNCTION("""COMPUTED_VALUE"""),1)</f>
        <v>1</v>
      </c>
      <c r="D4714" s="12" t="str">
        <f ca="1">IFERROR(__xludf.DUMMYFUNCTION("""COMPUTED_VALUE"""),"桐山 勝気")</f>
        <v>桐山 勝気</v>
      </c>
    </row>
    <row r="4715" spans="2:4" ht="13">
      <c r="B4715" s="12">
        <f ca="1">IFERROR(__xludf.DUMMYFUNCTION("""COMPUTED_VALUE"""),127256)</f>
        <v>127256</v>
      </c>
      <c r="C4715" s="14">
        <f ca="1">IFERROR(__xludf.DUMMYFUNCTION("""COMPUTED_VALUE"""),0)</f>
        <v>0</v>
      </c>
      <c r="D4715" s="12" t="str">
        <f ca="1">IFERROR(__xludf.DUMMYFUNCTION("""COMPUTED_VALUE"""),"荻曽 克輝")</f>
        <v>荻曽 克輝</v>
      </c>
    </row>
    <row r="4716" spans="2:4" ht="13">
      <c r="B4716" s="12">
        <f ca="1">IFERROR(__xludf.DUMMYFUNCTION("""COMPUTED_VALUE"""),127257)</f>
        <v>127257</v>
      </c>
      <c r="C4716" s="14">
        <f ca="1">IFERROR(__xludf.DUMMYFUNCTION("""COMPUTED_VALUE"""),0)</f>
        <v>0</v>
      </c>
      <c r="D4716" s="12" t="str">
        <f ca="1">IFERROR(__xludf.DUMMYFUNCTION("""COMPUTED_VALUE"""),"栗原 大武")</f>
        <v>栗原 大武</v>
      </c>
    </row>
    <row r="4717" spans="2:4" ht="13">
      <c r="B4717" s="12">
        <f ca="1">IFERROR(__xludf.DUMMYFUNCTION("""COMPUTED_VALUE"""),127260)</f>
        <v>127260</v>
      </c>
      <c r="C4717" s="14">
        <f ca="1">IFERROR(__xludf.DUMMYFUNCTION("""COMPUTED_VALUE"""),9)</f>
        <v>9</v>
      </c>
      <c r="D4717" s="12" t="str">
        <f ca="1">IFERROR(__xludf.DUMMYFUNCTION("""COMPUTED_VALUE"""),"松尾 尚樹")</f>
        <v>松尾 尚樹</v>
      </c>
    </row>
    <row r="4718" spans="2:4" ht="13">
      <c r="B4718" s="12">
        <f ca="1">IFERROR(__xludf.DUMMYFUNCTION("""COMPUTED_VALUE"""),127262)</f>
        <v>127262</v>
      </c>
      <c r="C4718" s="14">
        <f ca="1">IFERROR(__xludf.DUMMYFUNCTION("""COMPUTED_VALUE"""),2)</f>
        <v>2</v>
      </c>
      <c r="D4718" s="12" t="str">
        <f ca="1">IFERROR(__xludf.DUMMYFUNCTION("""COMPUTED_VALUE"""),"堀越 駿")</f>
        <v>堀越 駿</v>
      </c>
    </row>
    <row r="4719" spans="2:4" ht="13">
      <c r="B4719" s="12">
        <f ca="1">IFERROR(__xludf.DUMMYFUNCTION("""COMPUTED_VALUE"""),127265)</f>
        <v>127265</v>
      </c>
      <c r="C4719" s="14">
        <f ca="1">IFERROR(__xludf.DUMMYFUNCTION("""COMPUTED_VALUE"""),0)</f>
        <v>0</v>
      </c>
      <c r="D4719" s="12" t="str">
        <f ca="1">IFERROR(__xludf.DUMMYFUNCTION("""COMPUTED_VALUE"""),"小関 麻起")</f>
        <v>小関 麻起</v>
      </c>
    </row>
    <row r="4720" spans="2:4" ht="13">
      <c r="B4720" s="12">
        <f ca="1">IFERROR(__xludf.DUMMYFUNCTION("""COMPUTED_VALUE"""),127274)</f>
        <v>127274</v>
      </c>
      <c r="C4720" s="14">
        <f ca="1">IFERROR(__xludf.DUMMYFUNCTION("""COMPUTED_VALUE"""),0)</f>
        <v>0</v>
      </c>
      <c r="D4720" s="12" t="str">
        <f ca="1">IFERROR(__xludf.DUMMYFUNCTION("""COMPUTED_VALUE"""),"松尾 尚樹")</f>
        <v>松尾 尚樹</v>
      </c>
    </row>
    <row r="4721" spans="2:4" ht="13">
      <c r="B4721" s="12">
        <f ca="1">IFERROR(__xludf.DUMMYFUNCTION("""COMPUTED_VALUE"""),127279)</f>
        <v>127279</v>
      </c>
      <c r="C4721" s="14">
        <f ca="1">IFERROR(__xludf.DUMMYFUNCTION("""COMPUTED_VALUE"""),0)</f>
        <v>0</v>
      </c>
      <c r="D4721" s="12" t="str">
        <f ca="1">IFERROR(__xludf.DUMMYFUNCTION("""COMPUTED_VALUE"""),"稲場 勇介")</f>
        <v>稲場 勇介</v>
      </c>
    </row>
    <row r="4722" spans="2:4" ht="13">
      <c r="B4722" s="12">
        <f ca="1">IFERROR(__xludf.DUMMYFUNCTION("""COMPUTED_VALUE"""),127280)</f>
        <v>127280</v>
      </c>
      <c r="C4722" s="14">
        <f ca="1">IFERROR(__xludf.DUMMYFUNCTION("""COMPUTED_VALUE"""),0)</f>
        <v>0</v>
      </c>
      <c r="D4722" s="12" t="str">
        <f ca="1">IFERROR(__xludf.DUMMYFUNCTION("""COMPUTED_VALUE"""),"菅野 ぎんが")</f>
        <v>菅野 ぎんが</v>
      </c>
    </row>
    <row r="4723" spans="2:4" ht="13">
      <c r="B4723" s="12">
        <f ca="1">IFERROR(__xludf.DUMMYFUNCTION("""COMPUTED_VALUE"""),127282)</f>
        <v>127282</v>
      </c>
      <c r="C4723" s="14">
        <f ca="1">IFERROR(__xludf.DUMMYFUNCTION("""COMPUTED_VALUE"""),0)</f>
        <v>0</v>
      </c>
      <c r="D4723" s="12" t="str">
        <f ca="1">IFERROR(__xludf.DUMMYFUNCTION("""COMPUTED_VALUE"""),"長谷川 陸朗")</f>
        <v>長谷川 陸朗</v>
      </c>
    </row>
    <row r="4724" spans="2:4" ht="13">
      <c r="B4724" s="12">
        <f ca="1">IFERROR(__xludf.DUMMYFUNCTION("""COMPUTED_VALUE"""),127285)</f>
        <v>127285</v>
      </c>
      <c r="C4724" s="14">
        <f ca="1">IFERROR(__xludf.DUMMYFUNCTION("""COMPUTED_VALUE"""),20)</f>
        <v>20</v>
      </c>
      <c r="D4724" s="12" t="str">
        <f ca="1">IFERROR(__xludf.DUMMYFUNCTION("""COMPUTED_VALUE"""),"栗原 大武")</f>
        <v>栗原 大武</v>
      </c>
    </row>
    <row r="4725" spans="2:4" ht="13">
      <c r="B4725" s="12">
        <f ca="1">IFERROR(__xludf.DUMMYFUNCTION("""COMPUTED_VALUE"""),127298)</f>
        <v>127298</v>
      </c>
      <c r="C4725" s="14">
        <f ca="1">IFERROR(__xludf.DUMMYFUNCTION("""COMPUTED_VALUE"""),1)</f>
        <v>1</v>
      </c>
      <c r="D4725" s="12" t="str">
        <f ca="1">IFERROR(__xludf.DUMMYFUNCTION("""COMPUTED_VALUE"""),"松尾 尚樹")</f>
        <v>松尾 尚樹</v>
      </c>
    </row>
    <row r="4726" spans="2:4" ht="13">
      <c r="B4726" s="12">
        <f ca="1">IFERROR(__xludf.DUMMYFUNCTION("""COMPUTED_VALUE"""),127304)</f>
        <v>127304</v>
      </c>
      <c r="C4726" s="14">
        <f ca="1">IFERROR(__xludf.DUMMYFUNCTION("""COMPUTED_VALUE"""),0)</f>
        <v>0</v>
      </c>
      <c r="D4726" s="12" t="str">
        <f ca="1">IFERROR(__xludf.DUMMYFUNCTION("""COMPUTED_VALUE"""),"松尾 尚樹")</f>
        <v>松尾 尚樹</v>
      </c>
    </row>
    <row r="4727" spans="2:4" ht="13">
      <c r="B4727" s="12">
        <f ca="1">IFERROR(__xludf.DUMMYFUNCTION("""COMPUTED_VALUE"""),127309)</f>
        <v>127309</v>
      </c>
      <c r="C4727" s="14">
        <f ca="1">IFERROR(__xludf.DUMMYFUNCTION("""COMPUTED_VALUE"""),8)</f>
        <v>8</v>
      </c>
      <c r="D4727" s="12" t="str">
        <f ca="1">IFERROR(__xludf.DUMMYFUNCTION("""COMPUTED_VALUE"""),"松尾 尚樹")</f>
        <v>松尾 尚樹</v>
      </c>
    </row>
    <row r="4728" spans="2:4" ht="13">
      <c r="B4728" s="12">
        <f ca="1">IFERROR(__xludf.DUMMYFUNCTION("""COMPUTED_VALUE"""),127311)</f>
        <v>127311</v>
      </c>
      <c r="C4728" s="14">
        <f ca="1">IFERROR(__xludf.DUMMYFUNCTION("""COMPUTED_VALUE"""),0)</f>
        <v>0</v>
      </c>
      <c r="D4728" s="12" t="str">
        <f ca="1">IFERROR(__xludf.DUMMYFUNCTION("""COMPUTED_VALUE"""),"松尾 尚樹")</f>
        <v>松尾 尚樹</v>
      </c>
    </row>
    <row r="4729" spans="2:4" ht="13">
      <c r="B4729" s="12">
        <f ca="1">IFERROR(__xludf.DUMMYFUNCTION("""COMPUTED_VALUE"""),127312)</f>
        <v>127312</v>
      </c>
      <c r="C4729" s="14">
        <f ca="1">IFERROR(__xludf.DUMMYFUNCTION("""COMPUTED_VALUE"""),0)</f>
        <v>0</v>
      </c>
      <c r="D4729" s="12" t="str">
        <f ca="1">IFERROR(__xludf.DUMMYFUNCTION("""COMPUTED_VALUE"""),"森 光智")</f>
        <v>森 光智</v>
      </c>
    </row>
    <row r="4730" spans="2:4" ht="13">
      <c r="B4730" s="12">
        <f ca="1">IFERROR(__xludf.DUMMYFUNCTION("""COMPUTED_VALUE"""),127316)</f>
        <v>127316</v>
      </c>
      <c r="C4730" s="14">
        <f ca="1">IFERROR(__xludf.DUMMYFUNCTION("""COMPUTED_VALUE"""),39)</f>
        <v>39</v>
      </c>
      <c r="D4730" s="12" t="str">
        <f ca="1">IFERROR(__xludf.DUMMYFUNCTION("""COMPUTED_VALUE"""),"柿崎 晃司")</f>
        <v>柿崎 晃司</v>
      </c>
    </row>
    <row r="4731" spans="2:4" ht="13">
      <c r="B4731" s="12">
        <f ca="1">IFERROR(__xludf.DUMMYFUNCTION("""COMPUTED_VALUE"""),127330)</f>
        <v>127330</v>
      </c>
      <c r="C4731" s="14">
        <f ca="1">IFERROR(__xludf.DUMMYFUNCTION("""COMPUTED_VALUE"""),26)</f>
        <v>26</v>
      </c>
      <c r="D4731" s="12" t="str">
        <f ca="1">IFERROR(__xludf.DUMMYFUNCTION("""COMPUTED_VALUE"""),"菅野 ぎんが")</f>
        <v>菅野 ぎんが</v>
      </c>
    </row>
    <row r="4732" spans="2:4" ht="13">
      <c r="B4732" s="12">
        <f ca="1">IFERROR(__xludf.DUMMYFUNCTION("""COMPUTED_VALUE"""),127335)</f>
        <v>127335</v>
      </c>
      <c r="C4732" s="14">
        <f ca="1">IFERROR(__xludf.DUMMYFUNCTION("""COMPUTED_VALUE"""),0)</f>
        <v>0</v>
      </c>
      <c r="D4732" s="12" t="str">
        <f ca="1">IFERROR(__xludf.DUMMYFUNCTION("""COMPUTED_VALUE"""),"芳賀 亮輔")</f>
        <v>芳賀 亮輔</v>
      </c>
    </row>
    <row r="4733" spans="2:4" ht="13">
      <c r="B4733" s="12">
        <f ca="1">IFERROR(__xludf.DUMMYFUNCTION("""COMPUTED_VALUE"""),127336)</f>
        <v>127336</v>
      </c>
      <c r="C4733" s="14">
        <f ca="1">IFERROR(__xludf.DUMMYFUNCTION("""COMPUTED_VALUE"""),0)</f>
        <v>0</v>
      </c>
      <c r="D4733" s="12" t="str">
        <f ca="1">IFERROR(__xludf.DUMMYFUNCTION("""COMPUTED_VALUE"""),"成嶋 夏未")</f>
        <v>成嶋 夏未</v>
      </c>
    </row>
    <row r="4734" spans="2:4" ht="13">
      <c r="B4734" s="12">
        <f ca="1">IFERROR(__xludf.DUMMYFUNCTION("""COMPUTED_VALUE"""),127343)</f>
        <v>127343</v>
      </c>
      <c r="C4734" s="14">
        <f ca="1">IFERROR(__xludf.DUMMYFUNCTION("""COMPUTED_VALUE"""),0)</f>
        <v>0</v>
      </c>
      <c r="D4734" s="12" t="str">
        <f ca="1">IFERROR(__xludf.DUMMYFUNCTION("""COMPUTED_VALUE"""),"村上 浩一朗")</f>
        <v>村上 浩一朗</v>
      </c>
    </row>
    <row r="4735" spans="2:4" ht="13">
      <c r="B4735" s="12">
        <f ca="1">IFERROR(__xludf.DUMMYFUNCTION("""COMPUTED_VALUE"""),127345)</f>
        <v>127345</v>
      </c>
      <c r="C4735" s="14">
        <f ca="1">IFERROR(__xludf.DUMMYFUNCTION("""COMPUTED_VALUE"""),0)</f>
        <v>0</v>
      </c>
      <c r="D4735" s="12" t="str">
        <f ca="1">IFERROR(__xludf.DUMMYFUNCTION("""COMPUTED_VALUE"""),"松尾 尚樹")</f>
        <v>松尾 尚樹</v>
      </c>
    </row>
    <row r="4736" spans="2:4" ht="13">
      <c r="B4736" s="12">
        <f ca="1">IFERROR(__xludf.DUMMYFUNCTION("""COMPUTED_VALUE"""),127346)</f>
        <v>127346</v>
      </c>
      <c r="C4736" s="14">
        <f ca="1">IFERROR(__xludf.DUMMYFUNCTION("""COMPUTED_VALUE"""),0)</f>
        <v>0</v>
      </c>
      <c r="D4736" s="12" t="str">
        <f ca="1">IFERROR(__xludf.DUMMYFUNCTION("""COMPUTED_VALUE"""),"小関 麻起")</f>
        <v>小関 麻起</v>
      </c>
    </row>
    <row r="4737" spans="2:4" ht="13">
      <c r="B4737" s="12">
        <f ca="1">IFERROR(__xludf.DUMMYFUNCTION("""COMPUTED_VALUE"""),127352)</f>
        <v>127352</v>
      </c>
      <c r="C4737" s="14">
        <f ca="1">IFERROR(__xludf.DUMMYFUNCTION("""COMPUTED_VALUE"""),0)</f>
        <v>0</v>
      </c>
      <c r="D4737" s="12" t="str">
        <f ca="1">IFERROR(__xludf.DUMMYFUNCTION("""COMPUTED_VALUE"""),"松尾 尚樹")</f>
        <v>松尾 尚樹</v>
      </c>
    </row>
    <row r="4738" spans="2:4" ht="13">
      <c r="B4738" s="12">
        <f ca="1">IFERROR(__xludf.DUMMYFUNCTION("""COMPUTED_VALUE"""),127353)</f>
        <v>127353</v>
      </c>
      <c r="C4738" s="14">
        <f ca="1">IFERROR(__xludf.DUMMYFUNCTION("""COMPUTED_VALUE"""),0)</f>
        <v>0</v>
      </c>
      <c r="D4738" s="12" t="str">
        <f ca="1">IFERROR(__xludf.DUMMYFUNCTION("""COMPUTED_VALUE"""),"稲場 勇介")</f>
        <v>稲場 勇介</v>
      </c>
    </row>
    <row r="4739" spans="2:4" ht="13">
      <c r="B4739" s="12">
        <f ca="1">IFERROR(__xludf.DUMMYFUNCTION("""COMPUTED_VALUE"""),127354)</f>
        <v>127354</v>
      </c>
      <c r="C4739" s="14">
        <f ca="1">IFERROR(__xludf.DUMMYFUNCTION("""COMPUTED_VALUE"""),0)</f>
        <v>0</v>
      </c>
      <c r="D4739" s="12" t="str">
        <f ca="1">IFERROR(__xludf.DUMMYFUNCTION("""COMPUTED_VALUE"""),"小関 麻起")</f>
        <v>小関 麻起</v>
      </c>
    </row>
    <row r="4740" spans="2:4" ht="13">
      <c r="B4740" s="12">
        <f ca="1">IFERROR(__xludf.DUMMYFUNCTION("""COMPUTED_VALUE"""),127355)</f>
        <v>127355</v>
      </c>
      <c r="C4740" s="14">
        <f ca="1">IFERROR(__xludf.DUMMYFUNCTION("""COMPUTED_VALUE"""),0)</f>
        <v>0</v>
      </c>
      <c r="D4740" s="12" t="str">
        <f ca="1">IFERROR(__xludf.DUMMYFUNCTION("""COMPUTED_VALUE"""),"川島 幹也")</f>
        <v>川島 幹也</v>
      </c>
    </row>
    <row r="4741" spans="2:4" ht="13">
      <c r="B4741" s="12">
        <f ca="1">IFERROR(__xludf.DUMMYFUNCTION("""COMPUTED_VALUE"""),127358)</f>
        <v>127358</v>
      </c>
      <c r="C4741" s="14">
        <f ca="1">IFERROR(__xludf.DUMMYFUNCTION("""COMPUTED_VALUE"""),16)</f>
        <v>16</v>
      </c>
      <c r="D4741" s="12" t="str">
        <f ca="1">IFERROR(__xludf.DUMMYFUNCTION("""COMPUTED_VALUE"""),"村上 浩一朗")</f>
        <v>村上 浩一朗</v>
      </c>
    </row>
    <row r="4742" spans="2:4" ht="13">
      <c r="B4742" s="12">
        <f ca="1">IFERROR(__xludf.DUMMYFUNCTION("""COMPUTED_VALUE"""),127366)</f>
        <v>127366</v>
      </c>
      <c r="C4742" s="14">
        <f ca="1">IFERROR(__xludf.DUMMYFUNCTION("""COMPUTED_VALUE"""),0)</f>
        <v>0</v>
      </c>
      <c r="D4742" s="12" t="str">
        <f ca="1">IFERROR(__xludf.DUMMYFUNCTION("""COMPUTED_VALUE"""),"松尾 尚樹")</f>
        <v>松尾 尚樹</v>
      </c>
    </row>
    <row r="4743" spans="2:4" ht="13">
      <c r="B4743" s="12">
        <f ca="1">IFERROR(__xludf.DUMMYFUNCTION("""COMPUTED_VALUE"""),127373)</f>
        <v>127373</v>
      </c>
      <c r="C4743" s="14">
        <f ca="1">IFERROR(__xludf.DUMMYFUNCTION("""COMPUTED_VALUE"""),0)</f>
        <v>0</v>
      </c>
      <c r="D4743" s="12" t="str">
        <f ca="1">IFERROR(__xludf.DUMMYFUNCTION("""COMPUTED_VALUE"""),"松尾 尚樹")</f>
        <v>松尾 尚樹</v>
      </c>
    </row>
    <row r="4744" spans="2:4" ht="13">
      <c r="B4744" s="12">
        <f ca="1">IFERROR(__xludf.DUMMYFUNCTION("""COMPUTED_VALUE"""),127377)</f>
        <v>127377</v>
      </c>
      <c r="C4744" s="14">
        <f ca="1">IFERROR(__xludf.DUMMYFUNCTION("""COMPUTED_VALUE"""),0)</f>
        <v>0</v>
      </c>
      <c r="D4744" s="12" t="str">
        <f ca="1">IFERROR(__xludf.DUMMYFUNCTION("""COMPUTED_VALUE"""),"成嶋 夏未")</f>
        <v>成嶋 夏未</v>
      </c>
    </row>
    <row r="4745" spans="2:4" ht="13">
      <c r="B4745" s="12">
        <f ca="1">IFERROR(__xludf.DUMMYFUNCTION("""COMPUTED_VALUE"""),127378)</f>
        <v>127378</v>
      </c>
      <c r="C4745" s="14">
        <f ca="1">IFERROR(__xludf.DUMMYFUNCTION("""COMPUTED_VALUE"""),0)</f>
        <v>0</v>
      </c>
      <c r="D4745" s="12" t="str">
        <f ca="1">IFERROR(__xludf.DUMMYFUNCTION("""COMPUTED_VALUE"""),"菅野 ぎんが")</f>
        <v>菅野 ぎんが</v>
      </c>
    </row>
    <row r="4746" spans="2:4" ht="13">
      <c r="B4746" s="12">
        <f ca="1">IFERROR(__xludf.DUMMYFUNCTION("""COMPUTED_VALUE"""),127379)</f>
        <v>127379</v>
      </c>
      <c r="C4746" s="14">
        <f ca="1">IFERROR(__xludf.DUMMYFUNCTION("""COMPUTED_VALUE"""),0)</f>
        <v>0</v>
      </c>
      <c r="D4746" s="12" t="str">
        <f ca="1">IFERROR(__xludf.DUMMYFUNCTION("""COMPUTED_VALUE"""),"桐山 勝気")</f>
        <v>桐山 勝気</v>
      </c>
    </row>
    <row r="4747" spans="2:4" ht="13">
      <c r="B4747" s="12">
        <f ca="1">IFERROR(__xludf.DUMMYFUNCTION("""COMPUTED_VALUE"""),127385)</f>
        <v>127385</v>
      </c>
      <c r="C4747" s="14">
        <f ca="1">IFERROR(__xludf.DUMMYFUNCTION("""COMPUTED_VALUE"""),0)</f>
        <v>0</v>
      </c>
      <c r="D4747" s="12" t="str">
        <f ca="1">IFERROR(__xludf.DUMMYFUNCTION("""COMPUTED_VALUE"""),"老田 純輝")</f>
        <v>老田 純輝</v>
      </c>
    </row>
    <row r="4748" spans="2:4" ht="13">
      <c r="B4748" s="12">
        <f ca="1">IFERROR(__xludf.DUMMYFUNCTION("""COMPUTED_VALUE"""),127390)</f>
        <v>127390</v>
      </c>
      <c r="C4748" s="14">
        <f ca="1">IFERROR(__xludf.DUMMYFUNCTION("""COMPUTED_VALUE"""),5)</f>
        <v>5</v>
      </c>
      <c r="D4748" s="12" t="str">
        <f ca="1">IFERROR(__xludf.DUMMYFUNCTION("""COMPUTED_VALUE"""),"芳賀 亮輔")</f>
        <v>芳賀 亮輔</v>
      </c>
    </row>
    <row r="4749" spans="2:4" ht="13">
      <c r="B4749" s="12">
        <f ca="1">IFERROR(__xludf.DUMMYFUNCTION("""COMPUTED_VALUE"""),127391)</f>
        <v>127391</v>
      </c>
      <c r="C4749" s="14">
        <f ca="1">IFERROR(__xludf.DUMMYFUNCTION("""COMPUTED_VALUE"""),0)</f>
        <v>0</v>
      </c>
      <c r="D4749" s="12" t="str">
        <f ca="1">IFERROR(__xludf.DUMMYFUNCTION("""COMPUTED_VALUE"""),"田嶋 将太")</f>
        <v>田嶋 将太</v>
      </c>
    </row>
    <row r="4750" spans="2:4" ht="13">
      <c r="B4750" s="12">
        <f ca="1">IFERROR(__xludf.DUMMYFUNCTION("""COMPUTED_VALUE"""),127394)</f>
        <v>127394</v>
      </c>
      <c r="C4750" s="14">
        <f ca="1">IFERROR(__xludf.DUMMYFUNCTION("""COMPUTED_VALUE"""),7)</f>
        <v>7</v>
      </c>
      <c r="D4750" s="12" t="str">
        <f ca="1">IFERROR(__xludf.DUMMYFUNCTION("""COMPUTED_VALUE"""),"村上 浩一朗")</f>
        <v>村上 浩一朗</v>
      </c>
    </row>
    <row r="4751" spans="2:4" ht="13">
      <c r="B4751" s="12">
        <f ca="1">IFERROR(__xludf.DUMMYFUNCTION("""COMPUTED_VALUE"""),127395)</f>
        <v>127395</v>
      </c>
      <c r="C4751" s="14">
        <f ca="1">IFERROR(__xludf.DUMMYFUNCTION("""COMPUTED_VALUE"""),0)</f>
        <v>0</v>
      </c>
      <c r="D4751" s="12" t="str">
        <f ca="1">IFERROR(__xludf.DUMMYFUNCTION("""COMPUTED_VALUE"""),"桑原 明子")</f>
        <v>桑原 明子</v>
      </c>
    </row>
    <row r="4752" spans="2:4" ht="13">
      <c r="B4752" s="12">
        <f ca="1">IFERROR(__xludf.DUMMYFUNCTION("""COMPUTED_VALUE"""),127396)</f>
        <v>127396</v>
      </c>
      <c r="C4752" s="14">
        <f ca="1">IFERROR(__xludf.DUMMYFUNCTION("""COMPUTED_VALUE"""),0)</f>
        <v>0</v>
      </c>
      <c r="D4752" s="12" t="str">
        <f ca="1">IFERROR(__xludf.DUMMYFUNCTION("""COMPUTED_VALUE"""),"内丸 裕子")</f>
        <v>内丸 裕子</v>
      </c>
    </row>
    <row r="4753" spans="2:4" ht="13">
      <c r="B4753" s="12">
        <f ca="1">IFERROR(__xludf.DUMMYFUNCTION("""COMPUTED_VALUE"""),127399)</f>
        <v>127399</v>
      </c>
      <c r="C4753" s="14">
        <f ca="1">IFERROR(__xludf.DUMMYFUNCTION("""COMPUTED_VALUE"""),1)</f>
        <v>1</v>
      </c>
      <c r="D4753" s="12" t="str">
        <f ca="1">IFERROR(__xludf.DUMMYFUNCTION("""COMPUTED_VALUE"""),"小川 純")</f>
        <v>小川 純</v>
      </c>
    </row>
    <row r="4754" spans="2:4" ht="13">
      <c r="B4754" s="12">
        <f ca="1">IFERROR(__xludf.DUMMYFUNCTION("""COMPUTED_VALUE"""),127403)</f>
        <v>127403</v>
      </c>
      <c r="C4754" s="14">
        <f ca="1">IFERROR(__xludf.DUMMYFUNCTION("""COMPUTED_VALUE"""),0)</f>
        <v>0</v>
      </c>
      <c r="D4754" s="12" t="str">
        <f ca="1">IFERROR(__xludf.DUMMYFUNCTION("""COMPUTED_VALUE"""),"菅野 ぎんが")</f>
        <v>菅野 ぎんが</v>
      </c>
    </row>
    <row r="4755" spans="2:4" ht="13">
      <c r="B4755" s="12">
        <f ca="1">IFERROR(__xludf.DUMMYFUNCTION("""COMPUTED_VALUE"""),127404)</f>
        <v>127404</v>
      </c>
      <c r="C4755" s="14">
        <f ca="1">IFERROR(__xludf.DUMMYFUNCTION("""COMPUTED_VALUE"""),0)</f>
        <v>0</v>
      </c>
      <c r="D4755" s="12" t="str">
        <f ca="1">IFERROR(__xludf.DUMMYFUNCTION("""COMPUTED_VALUE"""),"栗原 大武")</f>
        <v>栗原 大武</v>
      </c>
    </row>
    <row r="4756" spans="2:4" ht="13">
      <c r="B4756" s="12">
        <f ca="1">IFERROR(__xludf.DUMMYFUNCTION("""COMPUTED_VALUE"""),127415)</f>
        <v>127415</v>
      </c>
      <c r="C4756" s="14">
        <f ca="1">IFERROR(__xludf.DUMMYFUNCTION("""COMPUTED_VALUE"""),0)</f>
        <v>0</v>
      </c>
      <c r="D4756" s="12" t="str">
        <f ca="1">IFERROR(__xludf.DUMMYFUNCTION("""COMPUTED_VALUE"""),"菅野 ぎんが")</f>
        <v>菅野 ぎんが</v>
      </c>
    </row>
    <row r="4757" spans="2:4" ht="13">
      <c r="B4757" s="12">
        <f ca="1">IFERROR(__xludf.DUMMYFUNCTION("""COMPUTED_VALUE"""),127417)</f>
        <v>127417</v>
      </c>
      <c r="C4757" s="14">
        <f ca="1">IFERROR(__xludf.DUMMYFUNCTION("""COMPUTED_VALUE"""),3)</f>
        <v>3</v>
      </c>
      <c r="D4757" s="12" t="str">
        <f ca="1">IFERROR(__xludf.DUMMYFUNCTION("""COMPUTED_VALUE"""),"成嶋 夏未")</f>
        <v>成嶋 夏未</v>
      </c>
    </row>
    <row r="4758" spans="2:4" ht="13">
      <c r="B4758" s="12">
        <f ca="1">IFERROR(__xludf.DUMMYFUNCTION("""COMPUTED_VALUE"""),127418)</f>
        <v>127418</v>
      </c>
      <c r="C4758" s="14">
        <f ca="1">IFERROR(__xludf.DUMMYFUNCTION("""COMPUTED_VALUE"""),13)</f>
        <v>13</v>
      </c>
      <c r="D4758" s="12" t="str">
        <f ca="1">IFERROR(__xludf.DUMMYFUNCTION("""COMPUTED_VALUE"""),"成嶋 夏未")</f>
        <v>成嶋 夏未</v>
      </c>
    </row>
    <row r="4759" spans="2:4" ht="13">
      <c r="B4759" s="12">
        <f ca="1">IFERROR(__xludf.DUMMYFUNCTION("""COMPUTED_VALUE"""),127423)</f>
        <v>127423</v>
      </c>
      <c r="C4759" s="14">
        <f ca="1">IFERROR(__xludf.DUMMYFUNCTION("""COMPUTED_VALUE"""),24)</f>
        <v>24</v>
      </c>
      <c r="D4759" s="12" t="str">
        <f ca="1">IFERROR(__xludf.DUMMYFUNCTION("""COMPUTED_VALUE"""),"辻村 将大")</f>
        <v>辻村 将大</v>
      </c>
    </row>
    <row r="4760" spans="2:4" ht="13">
      <c r="B4760" s="12">
        <f ca="1">IFERROR(__xludf.DUMMYFUNCTION("""COMPUTED_VALUE"""),127425)</f>
        <v>127425</v>
      </c>
      <c r="C4760" s="14">
        <f ca="1">IFERROR(__xludf.DUMMYFUNCTION("""COMPUTED_VALUE"""),0)</f>
        <v>0</v>
      </c>
      <c r="D4760" s="12" t="str">
        <f ca="1">IFERROR(__xludf.DUMMYFUNCTION("""COMPUTED_VALUE"""),"稲場 勇介")</f>
        <v>稲場 勇介</v>
      </c>
    </row>
    <row r="4761" spans="2:4" ht="13">
      <c r="B4761" s="12">
        <f ca="1">IFERROR(__xludf.DUMMYFUNCTION("""COMPUTED_VALUE"""),127427)</f>
        <v>127427</v>
      </c>
      <c r="C4761" s="14">
        <f ca="1">IFERROR(__xludf.DUMMYFUNCTION("""COMPUTED_VALUE"""),0)</f>
        <v>0</v>
      </c>
      <c r="D4761" s="12" t="str">
        <f ca="1">IFERROR(__xludf.DUMMYFUNCTION("""COMPUTED_VALUE"""),"小関 麻起")</f>
        <v>小関 麻起</v>
      </c>
    </row>
    <row r="4762" spans="2:4" ht="13">
      <c r="B4762" s="12">
        <f ca="1">IFERROR(__xludf.DUMMYFUNCTION("""COMPUTED_VALUE"""),127432)</f>
        <v>127432</v>
      </c>
      <c r="C4762" s="14">
        <f ca="1">IFERROR(__xludf.DUMMYFUNCTION("""COMPUTED_VALUE"""),0)</f>
        <v>0</v>
      </c>
      <c r="D4762" s="12" t="str">
        <f ca="1">IFERROR(__xludf.DUMMYFUNCTION("""COMPUTED_VALUE"""),"成嶋 夏未")</f>
        <v>成嶋 夏未</v>
      </c>
    </row>
    <row r="4763" spans="2:4" ht="13">
      <c r="B4763" s="12">
        <f ca="1">IFERROR(__xludf.DUMMYFUNCTION("""COMPUTED_VALUE"""),127434)</f>
        <v>127434</v>
      </c>
      <c r="C4763" s="14">
        <f ca="1">IFERROR(__xludf.DUMMYFUNCTION("""COMPUTED_VALUE"""),9)</f>
        <v>9</v>
      </c>
      <c r="D4763" s="12" t="str">
        <f ca="1">IFERROR(__xludf.DUMMYFUNCTION("""COMPUTED_VALUE"""),"松尾 尚樹")</f>
        <v>松尾 尚樹</v>
      </c>
    </row>
    <row r="4764" spans="2:4" ht="13">
      <c r="B4764" s="12">
        <f ca="1">IFERROR(__xludf.DUMMYFUNCTION("""COMPUTED_VALUE"""),127435)</f>
        <v>127435</v>
      </c>
      <c r="C4764" s="14">
        <f ca="1">IFERROR(__xludf.DUMMYFUNCTION("""COMPUTED_VALUE"""),12)</f>
        <v>12</v>
      </c>
      <c r="D4764" s="12" t="str">
        <f ca="1">IFERROR(__xludf.DUMMYFUNCTION("""COMPUTED_VALUE"""),"桑原 明子")</f>
        <v>桑原 明子</v>
      </c>
    </row>
    <row r="4765" spans="2:4" ht="13">
      <c r="B4765" s="12">
        <f ca="1">IFERROR(__xludf.DUMMYFUNCTION("""COMPUTED_VALUE"""),127437)</f>
        <v>127437</v>
      </c>
      <c r="C4765" s="14">
        <f ca="1">IFERROR(__xludf.DUMMYFUNCTION("""COMPUTED_VALUE"""),32)</f>
        <v>32</v>
      </c>
      <c r="D4765" s="12" t="str">
        <f ca="1">IFERROR(__xludf.DUMMYFUNCTION("""COMPUTED_VALUE"""),"柿崎 晃司")</f>
        <v>柿崎 晃司</v>
      </c>
    </row>
    <row r="4766" spans="2:4" ht="13">
      <c r="B4766" s="12">
        <f ca="1">IFERROR(__xludf.DUMMYFUNCTION("""COMPUTED_VALUE"""),127438)</f>
        <v>127438</v>
      </c>
      <c r="C4766" s="14">
        <f ca="1">IFERROR(__xludf.DUMMYFUNCTION("""COMPUTED_VALUE"""),0)</f>
        <v>0</v>
      </c>
      <c r="D4766" s="12" t="str">
        <f ca="1">IFERROR(__xludf.DUMMYFUNCTION("""COMPUTED_VALUE"""),"菅野 ぎんが")</f>
        <v>菅野 ぎんが</v>
      </c>
    </row>
    <row r="4767" spans="2:4" ht="13">
      <c r="B4767" s="12">
        <f ca="1">IFERROR(__xludf.DUMMYFUNCTION("""COMPUTED_VALUE"""),127441)</f>
        <v>127441</v>
      </c>
      <c r="C4767" s="14">
        <f ca="1">IFERROR(__xludf.DUMMYFUNCTION("""COMPUTED_VALUE"""),0)</f>
        <v>0</v>
      </c>
      <c r="D4767" s="12" t="str">
        <f ca="1">IFERROR(__xludf.DUMMYFUNCTION("""COMPUTED_VALUE"""),"小関 麻起")</f>
        <v>小関 麻起</v>
      </c>
    </row>
    <row r="4768" spans="2:4" ht="13">
      <c r="B4768" s="12">
        <f ca="1">IFERROR(__xludf.DUMMYFUNCTION("""COMPUTED_VALUE"""),127442)</f>
        <v>127442</v>
      </c>
      <c r="C4768" s="14">
        <f ca="1">IFERROR(__xludf.DUMMYFUNCTION("""COMPUTED_VALUE"""),1)</f>
        <v>1</v>
      </c>
      <c r="D4768" s="12" t="str">
        <f ca="1">IFERROR(__xludf.DUMMYFUNCTION("""COMPUTED_VALUE"""),"菅野 ぎんが")</f>
        <v>菅野 ぎんが</v>
      </c>
    </row>
    <row r="4769" spans="2:4" ht="13">
      <c r="B4769" s="12">
        <f ca="1">IFERROR(__xludf.DUMMYFUNCTION("""COMPUTED_VALUE"""),127445)</f>
        <v>127445</v>
      </c>
      <c r="C4769" s="14">
        <f ca="1">IFERROR(__xludf.DUMMYFUNCTION("""COMPUTED_VALUE"""),5)</f>
        <v>5</v>
      </c>
      <c r="D4769" s="12" t="str">
        <f ca="1">IFERROR(__xludf.DUMMYFUNCTION("""COMPUTED_VALUE"""),"小川 純")</f>
        <v>小川 純</v>
      </c>
    </row>
    <row r="4770" spans="2:4" ht="13">
      <c r="B4770" s="12">
        <f ca="1">IFERROR(__xludf.DUMMYFUNCTION("""COMPUTED_VALUE"""),127446)</f>
        <v>127446</v>
      </c>
      <c r="C4770" s="14">
        <f ca="1">IFERROR(__xludf.DUMMYFUNCTION("""COMPUTED_VALUE"""),0)</f>
        <v>0</v>
      </c>
      <c r="D4770" s="12" t="str">
        <f ca="1">IFERROR(__xludf.DUMMYFUNCTION("""COMPUTED_VALUE"""),"小川 純")</f>
        <v>小川 純</v>
      </c>
    </row>
    <row r="4771" spans="2:4" ht="13">
      <c r="B4771" s="12">
        <f ca="1">IFERROR(__xludf.DUMMYFUNCTION("""COMPUTED_VALUE"""),127448)</f>
        <v>127448</v>
      </c>
      <c r="C4771" s="14">
        <f ca="1">IFERROR(__xludf.DUMMYFUNCTION("""COMPUTED_VALUE"""),10)</f>
        <v>10</v>
      </c>
      <c r="D4771" s="12" t="str">
        <f ca="1">IFERROR(__xludf.DUMMYFUNCTION("""COMPUTED_VALUE"""),"小川 純")</f>
        <v>小川 純</v>
      </c>
    </row>
    <row r="4772" spans="2:4" ht="13">
      <c r="B4772" s="12">
        <f ca="1">IFERROR(__xludf.DUMMYFUNCTION("""COMPUTED_VALUE"""),127451)</f>
        <v>127451</v>
      </c>
      <c r="C4772" s="14">
        <f ca="1">IFERROR(__xludf.DUMMYFUNCTION("""COMPUTED_VALUE"""),4)</f>
        <v>4</v>
      </c>
      <c r="D4772" s="12" t="str">
        <f ca="1">IFERROR(__xludf.DUMMYFUNCTION("""COMPUTED_VALUE"""),"小川 純")</f>
        <v>小川 純</v>
      </c>
    </row>
    <row r="4773" spans="2:4" ht="13">
      <c r="B4773" s="12">
        <f ca="1">IFERROR(__xludf.DUMMYFUNCTION("""COMPUTED_VALUE"""),127452)</f>
        <v>127452</v>
      </c>
      <c r="C4773" s="14">
        <f ca="1">IFERROR(__xludf.DUMMYFUNCTION("""COMPUTED_VALUE"""),5)</f>
        <v>5</v>
      </c>
      <c r="D4773" s="12" t="str">
        <f ca="1">IFERROR(__xludf.DUMMYFUNCTION("""COMPUTED_VALUE"""),"小川 純")</f>
        <v>小川 純</v>
      </c>
    </row>
    <row r="4774" spans="2:4" ht="13">
      <c r="B4774" s="12">
        <f ca="1">IFERROR(__xludf.DUMMYFUNCTION("""COMPUTED_VALUE"""),127453)</f>
        <v>127453</v>
      </c>
      <c r="C4774" s="14">
        <f ca="1">IFERROR(__xludf.DUMMYFUNCTION("""COMPUTED_VALUE"""),3)</f>
        <v>3</v>
      </c>
      <c r="D4774" s="12" t="str">
        <f ca="1">IFERROR(__xludf.DUMMYFUNCTION("""COMPUTED_VALUE"""),"小川 純")</f>
        <v>小川 純</v>
      </c>
    </row>
    <row r="4775" spans="2:4" ht="13">
      <c r="B4775" s="12">
        <f ca="1">IFERROR(__xludf.DUMMYFUNCTION("""COMPUTED_VALUE"""),127455)</f>
        <v>127455</v>
      </c>
      <c r="C4775" s="14">
        <f ca="1">IFERROR(__xludf.DUMMYFUNCTION("""COMPUTED_VALUE"""),2)</f>
        <v>2</v>
      </c>
      <c r="D4775" s="12" t="str">
        <f ca="1">IFERROR(__xludf.DUMMYFUNCTION("""COMPUTED_VALUE"""),"小川 純")</f>
        <v>小川 純</v>
      </c>
    </row>
    <row r="4776" spans="2:4" ht="13">
      <c r="B4776" s="12">
        <f ca="1">IFERROR(__xludf.DUMMYFUNCTION("""COMPUTED_VALUE"""),127456)</f>
        <v>127456</v>
      </c>
      <c r="C4776" s="14">
        <f ca="1">IFERROR(__xludf.DUMMYFUNCTION("""COMPUTED_VALUE"""),0)</f>
        <v>0</v>
      </c>
      <c r="D4776" s="12" t="str">
        <f ca="1">IFERROR(__xludf.DUMMYFUNCTION("""COMPUTED_VALUE"""),"稲場 勇介")</f>
        <v>稲場 勇介</v>
      </c>
    </row>
    <row r="4777" spans="2:4" ht="13">
      <c r="B4777" s="12">
        <f ca="1">IFERROR(__xludf.DUMMYFUNCTION("""COMPUTED_VALUE"""),127458)</f>
        <v>127458</v>
      </c>
      <c r="C4777" s="14">
        <f ca="1">IFERROR(__xludf.DUMMYFUNCTION("""COMPUTED_VALUE"""),0)</f>
        <v>0</v>
      </c>
      <c r="D4777" s="12" t="str">
        <f ca="1">IFERROR(__xludf.DUMMYFUNCTION("""COMPUTED_VALUE"""),"成嶋 夏未")</f>
        <v>成嶋 夏未</v>
      </c>
    </row>
    <row r="4778" spans="2:4" ht="13">
      <c r="B4778" s="12">
        <f ca="1">IFERROR(__xludf.DUMMYFUNCTION("""COMPUTED_VALUE"""),127466)</f>
        <v>127466</v>
      </c>
      <c r="C4778" s="14">
        <f ca="1">IFERROR(__xludf.DUMMYFUNCTION("""COMPUTED_VALUE"""),0)</f>
        <v>0</v>
      </c>
      <c r="D4778" s="12" t="str">
        <f ca="1">IFERROR(__xludf.DUMMYFUNCTION("""COMPUTED_VALUE"""),"小川 純")</f>
        <v>小川 純</v>
      </c>
    </row>
    <row r="4779" spans="2:4" ht="13">
      <c r="B4779" s="12">
        <f ca="1">IFERROR(__xludf.DUMMYFUNCTION("""COMPUTED_VALUE"""),127467)</f>
        <v>127467</v>
      </c>
      <c r="C4779" s="14">
        <f ca="1">IFERROR(__xludf.DUMMYFUNCTION("""COMPUTED_VALUE"""),0)</f>
        <v>0</v>
      </c>
      <c r="D4779" s="12" t="str">
        <f ca="1">IFERROR(__xludf.DUMMYFUNCTION("""COMPUTED_VALUE"""),"成嶋 夏未")</f>
        <v>成嶋 夏未</v>
      </c>
    </row>
    <row r="4780" spans="2:4" ht="13">
      <c r="B4780" s="12">
        <f ca="1">IFERROR(__xludf.DUMMYFUNCTION("""COMPUTED_VALUE"""),127469)</f>
        <v>127469</v>
      </c>
      <c r="C4780" s="14">
        <f ca="1">IFERROR(__xludf.DUMMYFUNCTION("""COMPUTED_VALUE"""),0)</f>
        <v>0</v>
      </c>
      <c r="D4780" s="12" t="str">
        <f ca="1">IFERROR(__xludf.DUMMYFUNCTION("""COMPUTED_VALUE"""),"栗原 大武")</f>
        <v>栗原 大武</v>
      </c>
    </row>
    <row r="4781" spans="2:4" ht="13">
      <c r="B4781" s="12">
        <f ca="1">IFERROR(__xludf.DUMMYFUNCTION("""COMPUTED_VALUE"""),127471)</f>
        <v>127471</v>
      </c>
      <c r="C4781" s="14">
        <f ca="1">IFERROR(__xludf.DUMMYFUNCTION("""COMPUTED_VALUE"""),1)</f>
        <v>1</v>
      </c>
      <c r="D4781" s="12" t="str">
        <f ca="1">IFERROR(__xludf.DUMMYFUNCTION("""COMPUTED_VALUE"""),"老田 純輝")</f>
        <v>老田 純輝</v>
      </c>
    </row>
    <row r="4782" spans="2:4" ht="13">
      <c r="B4782" s="12">
        <f ca="1">IFERROR(__xludf.DUMMYFUNCTION("""COMPUTED_VALUE"""),127476)</f>
        <v>127476</v>
      </c>
      <c r="C4782" s="14">
        <f ca="1">IFERROR(__xludf.DUMMYFUNCTION("""COMPUTED_VALUE"""),3)</f>
        <v>3</v>
      </c>
      <c r="D4782" s="12" t="str">
        <f ca="1">IFERROR(__xludf.DUMMYFUNCTION("""COMPUTED_VALUE"""),"老田 純輝")</f>
        <v>老田 純輝</v>
      </c>
    </row>
    <row r="4783" spans="2:4" ht="13">
      <c r="B4783" s="12">
        <f ca="1">IFERROR(__xludf.DUMMYFUNCTION("""COMPUTED_VALUE"""),127485)</f>
        <v>127485</v>
      </c>
      <c r="C4783" s="14">
        <f ca="1">IFERROR(__xludf.DUMMYFUNCTION("""COMPUTED_VALUE"""),0)</f>
        <v>0</v>
      </c>
      <c r="D4783" s="12" t="str">
        <f ca="1">IFERROR(__xludf.DUMMYFUNCTION("""COMPUTED_VALUE"""),"菅野 ぎんが")</f>
        <v>菅野 ぎんが</v>
      </c>
    </row>
    <row r="4784" spans="2:4" ht="13">
      <c r="B4784" s="12">
        <f ca="1">IFERROR(__xludf.DUMMYFUNCTION("""COMPUTED_VALUE"""),127487)</f>
        <v>127487</v>
      </c>
      <c r="C4784" s="14">
        <f ca="1">IFERROR(__xludf.DUMMYFUNCTION("""COMPUTED_VALUE"""),0)</f>
        <v>0</v>
      </c>
      <c r="D4784" s="12" t="str">
        <f ca="1">IFERROR(__xludf.DUMMYFUNCTION("""COMPUTED_VALUE"""),"松尾 尚樹")</f>
        <v>松尾 尚樹</v>
      </c>
    </row>
    <row r="4785" spans="2:4" ht="13">
      <c r="B4785" s="12">
        <f ca="1">IFERROR(__xludf.DUMMYFUNCTION("""COMPUTED_VALUE"""),127488)</f>
        <v>127488</v>
      </c>
      <c r="C4785" s="14">
        <f ca="1">IFERROR(__xludf.DUMMYFUNCTION("""COMPUTED_VALUE"""),0)</f>
        <v>0</v>
      </c>
      <c r="D4785" s="12" t="str">
        <f ca="1">IFERROR(__xludf.DUMMYFUNCTION("""COMPUTED_VALUE"""),"菅野 ぎんが")</f>
        <v>菅野 ぎんが</v>
      </c>
    </row>
    <row r="4786" spans="2:4" ht="13">
      <c r="B4786" s="12">
        <f ca="1">IFERROR(__xludf.DUMMYFUNCTION("""COMPUTED_VALUE"""),127489)</f>
        <v>127489</v>
      </c>
      <c r="C4786" s="14">
        <f ca="1">IFERROR(__xludf.DUMMYFUNCTION("""COMPUTED_VALUE"""),0)</f>
        <v>0</v>
      </c>
      <c r="D4786" s="12" t="str">
        <f ca="1">IFERROR(__xludf.DUMMYFUNCTION("""COMPUTED_VALUE"""),"成嶋 夏未")</f>
        <v>成嶋 夏未</v>
      </c>
    </row>
    <row r="4787" spans="2:4" ht="13">
      <c r="B4787" s="12">
        <f ca="1">IFERROR(__xludf.DUMMYFUNCTION("""COMPUTED_VALUE"""),127490)</f>
        <v>127490</v>
      </c>
      <c r="C4787" s="14">
        <f ca="1">IFERROR(__xludf.DUMMYFUNCTION("""COMPUTED_VALUE"""),0)</f>
        <v>0</v>
      </c>
      <c r="D4787" s="12" t="str">
        <f ca="1">IFERROR(__xludf.DUMMYFUNCTION("""COMPUTED_VALUE"""),"荻曽 克輝")</f>
        <v>荻曽 克輝</v>
      </c>
    </row>
    <row r="4788" spans="2:4" ht="13">
      <c r="B4788" s="12">
        <f ca="1">IFERROR(__xludf.DUMMYFUNCTION("""COMPUTED_VALUE"""),127492)</f>
        <v>127492</v>
      </c>
      <c r="C4788" s="14">
        <f ca="1">IFERROR(__xludf.DUMMYFUNCTION("""COMPUTED_VALUE"""),0)</f>
        <v>0</v>
      </c>
      <c r="D4788" s="12" t="str">
        <f ca="1">IFERROR(__xludf.DUMMYFUNCTION("""COMPUTED_VALUE"""),"桐山 勝気")</f>
        <v>桐山 勝気</v>
      </c>
    </row>
    <row r="4789" spans="2:4" ht="13">
      <c r="B4789" s="12">
        <f ca="1">IFERROR(__xludf.DUMMYFUNCTION("""COMPUTED_VALUE"""),127495)</f>
        <v>127495</v>
      </c>
      <c r="C4789" s="14">
        <f ca="1">IFERROR(__xludf.DUMMYFUNCTION("""COMPUTED_VALUE"""),1)</f>
        <v>1</v>
      </c>
      <c r="D4789" s="12" t="str">
        <f ca="1">IFERROR(__xludf.DUMMYFUNCTION("""COMPUTED_VALUE"""),"稲場 勇介")</f>
        <v>稲場 勇介</v>
      </c>
    </row>
    <row r="4790" spans="2:4" ht="13">
      <c r="B4790" s="12">
        <f ca="1">IFERROR(__xludf.DUMMYFUNCTION("""COMPUTED_VALUE"""),127503)</f>
        <v>127503</v>
      </c>
      <c r="C4790" s="14">
        <f ca="1">IFERROR(__xludf.DUMMYFUNCTION("""COMPUTED_VALUE"""),2)</f>
        <v>2</v>
      </c>
      <c r="D4790" s="12" t="str">
        <f ca="1">IFERROR(__xludf.DUMMYFUNCTION("""COMPUTED_VALUE"""),"老田 純輝")</f>
        <v>老田 純輝</v>
      </c>
    </row>
    <row r="4791" spans="2:4" ht="13">
      <c r="B4791" s="12">
        <f ca="1">IFERROR(__xludf.DUMMYFUNCTION("""COMPUTED_VALUE"""),127508)</f>
        <v>127508</v>
      </c>
      <c r="C4791" s="14">
        <f ca="1">IFERROR(__xludf.DUMMYFUNCTION("""COMPUTED_VALUE"""),57)</f>
        <v>57</v>
      </c>
      <c r="D4791" s="12" t="str">
        <f ca="1">IFERROR(__xludf.DUMMYFUNCTION("""COMPUTED_VALUE"""),"柿崎 晃司")</f>
        <v>柿崎 晃司</v>
      </c>
    </row>
    <row r="4792" spans="2:4" ht="13">
      <c r="B4792" s="12">
        <f ca="1">IFERROR(__xludf.DUMMYFUNCTION("""COMPUTED_VALUE"""),127512)</f>
        <v>127512</v>
      </c>
      <c r="C4792" s="14">
        <f ca="1">IFERROR(__xludf.DUMMYFUNCTION("""COMPUTED_VALUE"""),0)</f>
        <v>0</v>
      </c>
      <c r="D4792" s="12" t="str">
        <f ca="1">IFERROR(__xludf.DUMMYFUNCTION("""COMPUTED_VALUE"""),"長谷川 陸朗")</f>
        <v>長谷川 陸朗</v>
      </c>
    </row>
    <row r="4793" spans="2:4" ht="13">
      <c r="B4793" s="12">
        <f ca="1">IFERROR(__xludf.DUMMYFUNCTION("""COMPUTED_VALUE"""),127514)</f>
        <v>127514</v>
      </c>
      <c r="C4793" s="14">
        <f ca="1">IFERROR(__xludf.DUMMYFUNCTION("""COMPUTED_VALUE"""),0)</f>
        <v>0</v>
      </c>
      <c r="D4793" s="12" t="str">
        <f ca="1">IFERROR(__xludf.DUMMYFUNCTION("""COMPUTED_VALUE"""),"荻曽 克輝")</f>
        <v>荻曽 克輝</v>
      </c>
    </row>
    <row r="4794" spans="2:4" ht="13">
      <c r="B4794" s="12">
        <f ca="1">IFERROR(__xludf.DUMMYFUNCTION("""COMPUTED_VALUE"""),127516)</f>
        <v>127516</v>
      </c>
      <c r="C4794" s="14">
        <f ca="1">IFERROR(__xludf.DUMMYFUNCTION("""COMPUTED_VALUE"""),0)</f>
        <v>0</v>
      </c>
      <c r="D4794" s="12" t="str">
        <f ca="1">IFERROR(__xludf.DUMMYFUNCTION("""COMPUTED_VALUE"""),"森 光智")</f>
        <v>森 光智</v>
      </c>
    </row>
    <row r="4795" spans="2:4" ht="13">
      <c r="B4795" s="12">
        <f ca="1">IFERROR(__xludf.DUMMYFUNCTION("""COMPUTED_VALUE"""),127522)</f>
        <v>127522</v>
      </c>
      <c r="C4795" s="14">
        <f ca="1">IFERROR(__xludf.DUMMYFUNCTION("""COMPUTED_VALUE"""),1)</f>
        <v>1</v>
      </c>
      <c r="D4795" s="12" t="str">
        <f ca="1">IFERROR(__xludf.DUMMYFUNCTION("""COMPUTED_VALUE"""),"長谷川 陸朗")</f>
        <v>長谷川 陸朗</v>
      </c>
    </row>
    <row r="4796" spans="2:4" ht="13">
      <c r="B4796" s="12">
        <f ca="1">IFERROR(__xludf.DUMMYFUNCTION("""COMPUTED_VALUE"""),127523)</f>
        <v>127523</v>
      </c>
      <c r="C4796" s="14">
        <f ca="1">IFERROR(__xludf.DUMMYFUNCTION("""COMPUTED_VALUE"""),0)</f>
        <v>0</v>
      </c>
      <c r="D4796" s="12" t="str">
        <f ca="1">IFERROR(__xludf.DUMMYFUNCTION("""COMPUTED_VALUE"""),"長谷川 陸朗")</f>
        <v>長谷川 陸朗</v>
      </c>
    </row>
    <row r="4797" spans="2:4" ht="13">
      <c r="B4797" s="12">
        <f ca="1">IFERROR(__xludf.DUMMYFUNCTION("""COMPUTED_VALUE"""),127530)</f>
        <v>127530</v>
      </c>
      <c r="C4797" s="14">
        <f ca="1">IFERROR(__xludf.DUMMYFUNCTION("""COMPUTED_VALUE"""),0)</f>
        <v>0</v>
      </c>
      <c r="D4797" s="12" t="str">
        <f ca="1">IFERROR(__xludf.DUMMYFUNCTION("""COMPUTED_VALUE"""),"成嶋 夏未")</f>
        <v>成嶋 夏未</v>
      </c>
    </row>
    <row r="4798" spans="2:4" ht="13">
      <c r="B4798" s="12">
        <f ca="1">IFERROR(__xludf.DUMMYFUNCTION("""COMPUTED_VALUE"""),127545)</f>
        <v>127545</v>
      </c>
      <c r="C4798" s="14">
        <f ca="1">IFERROR(__xludf.DUMMYFUNCTION("""COMPUTED_VALUE"""),0)</f>
        <v>0</v>
      </c>
      <c r="D4798" s="12" t="str">
        <f ca="1">IFERROR(__xludf.DUMMYFUNCTION("""COMPUTED_VALUE"""),"小関 麻起")</f>
        <v>小関 麻起</v>
      </c>
    </row>
    <row r="4799" spans="2:4" ht="13">
      <c r="B4799" s="12">
        <f ca="1">IFERROR(__xludf.DUMMYFUNCTION("""COMPUTED_VALUE"""),127552)</f>
        <v>127552</v>
      </c>
      <c r="C4799" s="14">
        <f ca="1">IFERROR(__xludf.DUMMYFUNCTION("""COMPUTED_VALUE"""),0)</f>
        <v>0</v>
      </c>
      <c r="D4799" s="12" t="str">
        <f ca="1">IFERROR(__xludf.DUMMYFUNCTION("""COMPUTED_VALUE"""),"長谷川 陸朗")</f>
        <v>長谷川 陸朗</v>
      </c>
    </row>
    <row r="4800" spans="2:4" ht="13">
      <c r="B4800" s="12">
        <f ca="1">IFERROR(__xludf.DUMMYFUNCTION("""COMPUTED_VALUE"""),127553)</f>
        <v>127553</v>
      </c>
      <c r="C4800" s="14">
        <f ca="1">IFERROR(__xludf.DUMMYFUNCTION("""COMPUTED_VALUE"""),0)</f>
        <v>0</v>
      </c>
      <c r="D4800" s="12" t="str">
        <f ca="1">IFERROR(__xludf.DUMMYFUNCTION("""COMPUTED_VALUE"""),"長谷川 陸朗")</f>
        <v>長谷川 陸朗</v>
      </c>
    </row>
    <row r="4801" spans="2:4" ht="13">
      <c r="B4801" s="12">
        <f ca="1">IFERROR(__xludf.DUMMYFUNCTION("""COMPUTED_VALUE"""),127561)</f>
        <v>127561</v>
      </c>
      <c r="C4801" s="14">
        <f ca="1">IFERROR(__xludf.DUMMYFUNCTION("""COMPUTED_VALUE"""),0)</f>
        <v>0</v>
      </c>
      <c r="D4801" s="12" t="str">
        <f ca="1">IFERROR(__xludf.DUMMYFUNCTION("""COMPUTED_VALUE"""),"老田 純輝")</f>
        <v>老田 純輝</v>
      </c>
    </row>
    <row r="4802" spans="2:4" ht="13">
      <c r="B4802" s="12">
        <f ca="1">IFERROR(__xludf.DUMMYFUNCTION("""COMPUTED_VALUE"""),127564)</f>
        <v>127564</v>
      </c>
      <c r="C4802" s="14">
        <f ca="1">IFERROR(__xludf.DUMMYFUNCTION("""COMPUTED_VALUE"""),6)</f>
        <v>6</v>
      </c>
      <c r="D4802" s="12" t="str">
        <f ca="1">IFERROR(__xludf.DUMMYFUNCTION("""COMPUTED_VALUE"""),"菅野 ぎんが")</f>
        <v>菅野 ぎんが</v>
      </c>
    </row>
    <row r="4803" spans="2:4" ht="13">
      <c r="B4803" s="12">
        <f ca="1">IFERROR(__xludf.DUMMYFUNCTION("""COMPUTED_VALUE"""),127566)</f>
        <v>127566</v>
      </c>
      <c r="C4803" s="14">
        <f ca="1">IFERROR(__xludf.DUMMYFUNCTION("""COMPUTED_VALUE"""),28)</f>
        <v>28</v>
      </c>
      <c r="D4803" s="12" t="str">
        <f ca="1">IFERROR(__xludf.DUMMYFUNCTION("""COMPUTED_VALUE"""),"栗原 大武")</f>
        <v>栗原 大武</v>
      </c>
    </row>
    <row r="4804" spans="2:4" ht="13">
      <c r="B4804" s="12">
        <f ca="1">IFERROR(__xludf.DUMMYFUNCTION("""COMPUTED_VALUE"""),127571)</f>
        <v>127571</v>
      </c>
      <c r="C4804" s="14">
        <f ca="1">IFERROR(__xludf.DUMMYFUNCTION("""COMPUTED_VALUE"""),17)</f>
        <v>17</v>
      </c>
      <c r="D4804" s="12" t="str">
        <f ca="1">IFERROR(__xludf.DUMMYFUNCTION("""COMPUTED_VALUE"""),"栗原 大武")</f>
        <v>栗原 大武</v>
      </c>
    </row>
    <row r="4805" spans="2:4" ht="13">
      <c r="B4805" s="12">
        <f ca="1">IFERROR(__xludf.DUMMYFUNCTION("""COMPUTED_VALUE"""),127573)</f>
        <v>127573</v>
      </c>
      <c r="C4805" s="14">
        <f ca="1">IFERROR(__xludf.DUMMYFUNCTION("""COMPUTED_VALUE"""),0)</f>
        <v>0</v>
      </c>
      <c r="D4805" s="12" t="str">
        <f ca="1">IFERROR(__xludf.DUMMYFUNCTION("""COMPUTED_VALUE"""),"松尾 尚樹")</f>
        <v>松尾 尚樹</v>
      </c>
    </row>
    <row r="4806" spans="2:4" ht="13">
      <c r="B4806" s="12">
        <f ca="1">IFERROR(__xludf.DUMMYFUNCTION("""COMPUTED_VALUE"""),127603)</f>
        <v>127603</v>
      </c>
      <c r="C4806" s="14">
        <f ca="1">IFERROR(__xludf.DUMMYFUNCTION("""COMPUTED_VALUE"""),0)</f>
        <v>0</v>
      </c>
      <c r="D4806" s="12" t="str">
        <f ca="1">IFERROR(__xludf.DUMMYFUNCTION("""COMPUTED_VALUE"""),"菅野 ぎんが")</f>
        <v>菅野 ぎんが</v>
      </c>
    </row>
    <row r="4807" spans="2:4" ht="13">
      <c r="B4807" s="12">
        <f ca="1">IFERROR(__xludf.DUMMYFUNCTION("""COMPUTED_VALUE"""),127612)</f>
        <v>127612</v>
      </c>
      <c r="C4807" s="14">
        <f ca="1">IFERROR(__xludf.DUMMYFUNCTION("""COMPUTED_VALUE"""),0)</f>
        <v>0</v>
      </c>
      <c r="D4807" s="12" t="str">
        <f ca="1">IFERROR(__xludf.DUMMYFUNCTION("""COMPUTED_VALUE"""),"松尾 尚樹")</f>
        <v>松尾 尚樹</v>
      </c>
    </row>
    <row r="4808" spans="2:4" ht="13">
      <c r="B4808" s="12">
        <f ca="1">IFERROR(__xludf.DUMMYFUNCTION("""COMPUTED_VALUE"""),127619)</f>
        <v>127619</v>
      </c>
      <c r="C4808" s="14">
        <f ca="1">IFERROR(__xludf.DUMMYFUNCTION("""COMPUTED_VALUE"""),0)</f>
        <v>0</v>
      </c>
      <c r="D4808" s="12" t="str">
        <f ca="1">IFERROR(__xludf.DUMMYFUNCTION("""COMPUTED_VALUE"""),"長谷川 陸朗")</f>
        <v>長谷川 陸朗</v>
      </c>
    </row>
    <row r="4809" spans="2:4" ht="13">
      <c r="B4809" s="12">
        <f ca="1">IFERROR(__xludf.DUMMYFUNCTION("""COMPUTED_VALUE"""),127624)</f>
        <v>127624</v>
      </c>
      <c r="C4809" s="14">
        <f ca="1">IFERROR(__xludf.DUMMYFUNCTION("""COMPUTED_VALUE"""),0)</f>
        <v>0</v>
      </c>
      <c r="D4809" s="12" t="str">
        <f ca="1">IFERROR(__xludf.DUMMYFUNCTION("""COMPUTED_VALUE"""),"老田 純輝")</f>
        <v>老田 純輝</v>
      </c>
    </row>
    <row r="4810" spans="2:4" ht="13">
      <c r="B4810" s="12">
        <f ca="1">IFERROR(__xludf.DUMMYFUNCTION("""COMPUTED_VALUE"""),127626)</f>
        <v>127626</v>
      </c>
      <c r="C4810" s="14">
        <f ca="1">IFERROR(__xludf.DUMMYFUNCTION("""COMPUTED_VALUE"""),0)</f>
        <v>0</v>
      </c>
      <c r="D4810" s="12" t="str">
        <f ca="1">IFERROR(__xludf.DUMMYFUNCTION("""COMPUTED_VALUE"""),"菅野 ぎんが")</f>
        <v>菅野 ぎんが</v>
      </c>
    </row>
    <row r="4811" spans="2:4" ht="13">
      <c r="B4811" s="12">
        <f ca="1">IFERROR(__xludf.DUMMYFUNCTION("""COMPUTED_VALUE"""),127629)</f>
        <v>127629</v>
      </c>
      <c r="C4811" s="14">
        <f ca="1">IFERROR(__xludf.DUMMYFUNCTION("""COMPUTED_VALUE"""),18)</f>
        <v>18</v>
      </c>
      <c r="D4811" s="12" t="str">
        <f ca="1">IFERROR(__xludf.DUMMYFUNCTION("""COMPUTED_VALUE"""),"村上 浩一朗")</f>
        <v>村上 浩一朗</v>
      </c>
    </row>
    <row r="4812" spans="2:4" ht="13">
      <c r="B4812" s="12">
        <f ca="1">IFERROR(__xludf.DUMMYFUNCTION("""COMPUTED_VALUE"""),127630)</f>
        <v>127630</v>
      </c>
      <c r="C4812" s="14">
        <f ca="1">IFERROR(__xludf.DUMMYFUNCTION("""COMPUTED_VALUE"""),0)</f>
        <v>0</v>
      </c>
      <c r="D4812" s="12" t="str">
        <f ca="1">IFERROR(__xludf.DUMMYFUNCTION("""COMPUTED_VALUE"""),"小関 麻起")</f>
        <v>小関 麻起</v>
      </c>
    </row>
    <row r="4813" spans="2:4" ht="13">
      <c r="B4813" s="12">
        <f ca="1">IFERROR(__xludf.DUMMYFUNCTION("""COMPUTED_VALUE"""),127633)</f>
        <v>127633</v>
      </c>
      <c r="C4813" s="14">
        <f ca="1">IFERROR(__xludf.DUMMYFUNCTION("""COMPUTED_VALUE"""),0)</f>
        <v>0</v>
      </c>
      <c r="D4813" s="12" t="str">
        <f ca="1">IFERROR(__xludf.DUMMYFUNCTION("""COMPUTED_VALUE"""),"栗原 大武")</f>
        <v>栗原 大武</v>
      </c>
    </row>
    <row r="4814" spans="2:4" ht="13">
      <c r="B4814" s="12">
        <f ca="1">IFERROR(__xludf.DUMMYFUNCTION("""COMPUTED_VALUE"""),127634)</f>
        <v>127634</v>
      </c>
      <c r="C4814" s="14">
        <f ca="1">IFERROR(__xludf.DUMMYFUNCTION("""COMPUTED_VALUE"""),0)</f>
        <v>0</v>
      </c>
      <c r="D4814" s="12" t="str">
        <f ca="1">IFERROR(__xludf.DUMMYFUNCTION("""COMPUTED_VALUE"""),"小川 純")</f>
        <v>小川 純</v>
      </c>
    </row>
    <row r="4815" spans="2:4" ht="13">
      <c r="B4815" s="12">
        <f ca="1">IFERROR(__xludf.DUMMYFUNCTION("""COMPUTED_VALUE"""),127641)</f>
        <v>127641</v>
      </c>
      <c r="C4815" s="14">
        <f ca="1">IFERROR(__xludf.DUMMYFUNCTION("""COMPUTED_VALUE"""),0)</f>
        <v>0</v>
      </c>
      <c r="D4815" s="12" t="str">
        <f ca="1">IFERROR(__xludf.DUMMYFUNCTION("""COMPUTED_VALUE"""),"菅野 ぎんが")</f>
        <v>菅野 ぎんが</v>
      </c>
    </row>
    <row r="4816" spans="2:4" ht="13">
      <c r="B4816" s="12">
        <f ca="1">IFERROR(__xludf.DUMMYFUNCTION("""COMPUTED_VALUE"""),127651)</f>
        <v>127651</v>
      </c>
      <c r="C4816" s="14">
        <f ca="1">IFERROR(__xludf.DUMMYFUNCTION("""COMPUTED_VALUE"""),0)</f>
        <v>0</v>
      </c>
      <c r="D4816" s="12" t="str">
        <f ca="1">IFERROR(__xludf.DUMMYFUNCTION("""COMPUTED_VALUE"""),"稲場 勇介")</f>
        <v>稲場 勇介</v>
      </c>
    </row>
    <row r="4817" spans="2:4" ht="13">
      <c r="B4817" s="12">
        <f ca="1">IFERROR(__xludf.DUMMYFUNCTION("""COMPUTED_VALUE"""),127653)</f>
        <v>127653</v>
      </c>
      <c r="C4817" s="14">
        <f ca="1">IFERROR(__xludf.DUMMYFUNCTION("""COMPUTED_VALUE"""),0)</f>
        <v>0</v>
      </c>
      <c r="D4817" s="12" t="str">
        <f ca="1">IFERROR(__xludf.DUMMYFUNCTION("""COMPUTED_VALUE"""),"稲場 勇介")</f>
        <v>稲場 勇介</v>
      </c>
    </row>
    <row r="4818" spans="2:4" ht="13">
      <c r="B4818" s="12">
        <f ca="1">IFERROR(__xludf.DUMMYFUNCTION("""COMPUTED_VALUE"""),127661)</f>
        <v>127661</v>
      </c>
      <c r="C4818" s="14">
        <f ca="1">IFERROR(__xludf.DUMMYFUNCTION("""COMPUTED_VALUE"""),0)</f>
        <v>0</v>
      </c>
      <c r="D4818" s="12" t="str">
        <f ca="1">IFERROR(__xludf.DUMMYFUNCTION("""COMPUTED_VALUE"""),"松尾 尚樹")</f>
        <v>松尾 尚樹</v>
      </c>
    </row>
    <row r="4819" spans="2:4" ht="13">
      <c r="B4819" s="12">
        <f ca="1">IFERROR(__xludf.DUMMYFUNCTION("""COMPUTED_VALUE"""),127667)</f>
        <v>127667</v>
      </c>
      <c r="C4819" s="14">
        <f ca="1">IFERROR(__xludf.DUMMYFUNCTION("""COMPUTED_VALUE"""),116)</f>
        <v>116</v>
      </c>
      <c r="D4819" s="12" t="str">
        <f ca="1">IFERROR(__xludf.DUMMYFUNCTION("""COMPUTED_VALUE"""),"荻曽 克輝")</f>
        <v>荻曽 克輝</v>
      </c>
    </row>
    <row r="4820" spans="2:4" ht="13">
      <c r="B4820" s="12">
        <f ca="1">IFERROR(__xludf.DUMMYFUNCTION("""COMPUTED_VALUE"""),127668)</f>
        <v>127668</v>
      </c>
      <c r="C4820" s="14">
        <f ca="1">IFERROR(__xludf.DUMMYFUNCTION("""COMPUTED_VALUE"""),3)</f>
        <v>3</v>
      </c>
      <c r="D4820" s="12" t="str">
        <f ca="1">IFERROR(__xludf.DUMMYFUNCTION("""COMPUTED_VALUE"""),"村上 浩一朗")</f>
        <v>村上 浩一朗</v>
      </c>
    </row>
    <row r="4821" spans="2:4" ht="13">
      <c r="B4821" s="12">
        <f ca="1">IFERROR(__xludf.DUMMYFUNCTION("""COMPUTED_VALUE"""),127669)</f>
        <v>127669</v>
      </c>
      <c r="C4821" s="14">
        <f ca="1">IFERROR(__xludf.DUMMYFUNCTION("""COMPUTED_VALUE"""),0)</f>
        <v>0</v>
      </c>
      <c r="D4821" s="12" t="str">
        <f ca="1">IFERROR(__xludf.DUMMYFUNCTION("""COMPUTED_VALUE"""),"長谷川 陸朗")</f>
        <v>長谷川 陸朗</v>
      </c>
    </row>
    <row r="4822" spans="2:4" ht="13">
      <c r="B4822" s="12">
        <f ca="1">IFERROR(__xludf.DUMMYFUNCTION("""COMPUTED_VALUE"""),127672)</f>
        <v>127672</v>
      </c>
      <c r="C4822" s="14">
        <f ca="1">IFERROR(__xludf.DUMMYFUNCTION("""COMPUTED_VALUE"""),57)</f>
        <v>57</v>
      </c>
      <c r="D4822" s="12" t="str">
        <f ca="1">IFERROR(__xludf.DUMMYFUNCTION("""COMPUTED_VALUE"""),"桐山 勝気")</f>
        <v>桐山 勝気</v>
      </c>
    </row>
    <row r="4823" spans="2:4" ht="13">
      <c r="B4823" s="12">
        <f ca="1">IFERROR(__xludf.DUMMYFUNCTION("""COMPUTED_VALUE"""),127673)</f>
        <v>127673</v>
      </c>
      <c r="C4823" s="14">
        <f ca="1">IFERROR(__xludf.DUMMYFUNCTION("""COMPUTED_VALUE"""),0)</f>
        <v>0</v>
      </c>
      <c r="D4823" s="12" t="str">
        <f ca="1">IFERROR(__xludf.DUMMYFUNCTION("""COMPUTED_VALUE"""),"稲場 勇介")</f>
        <v>稲場 勇介</v>
      </c>
    </row>
    <row r="4824" spans="2:4" ht="13">
      <c r="B4824" s="12">
        <f ca="1">IFERROR(__xludf.DUMMYFUNCTION("""COMPUTED_VALUE"""),127676)</f>
        <v>127676</v>
      </c>
      <c r="C4824" s="14">
        <f ca="1">IFERROR(__xludf.DUMMYFUNCTION("""COMPUTED_VALUE"""),0)</f>
        <v>0</v>
      </c>
      <c r="D4824" s="12" t="str">
        <f ca="1">IFERROR(__xludf.DUMMYFUNCTION("""COMPUTED_VALUE"""),"成嶋 夏未")</f>
        <v>成嶋 夏未</v>
      </c>
    </row>
    <row r="4825" spans="2:4" ht="13">
      <c r="B4825" s="12">
        <f ca="1">IFERROR(__xludf.DUMMYFUNCTION("""COMPUTED_VALUE"""),127679)</f>
        <v>127679</v>
      </c>
      <c r="C4825" s="14">
        <f ca="1">IFERROR(__xludf.DUMMYFUNCTION("""COMPUTED_VALUE"""),1)</f>
        <v>1</v>
      </c>
      <c r="D4825" s="12" t="str">
        <f ca="1">IFERROR(__xludf.DUMMYFUNCTION("""COMPUTED_VALUE"""),"老田 純輝")</f>
        <v>老田 純輝</v>
      </c>
    </row>
    <row r="4826" spans="2:4" ht="13">
      <c r="B4826" s="12">
        <f ca="1">IFERROR(__xludf.DUMMYFUNCTION("""COMPUTED_VALUE"""),127682)</f>
        <v>127682</v>
      </c>
      <c r="C4826" s="14">
        <f ca="1">IFERROR(__xludf.DUMMYFUNCTION("""COMPUTED_VALUE"""),0)</f>
        <v>0</v>
      </c>
      <c r="D4826" s="12" t="str">
        <f ca="1">IFERROR(__xludf.DUMMYFUNCTION("""COMPUTED_VALUE"""),"桑原 明子")</f>
        <v>桑原 明子</v>
      </c>
    </row>
    <row r="4827" spans="2:4" ht="13">
      <c r="B4827" s="12">
        <f ca="1">IFERROR(__xludf.DUMMYFUNCTION("""COMPUTED_VALUE"""),127687)</f>
        <v>127687</v>
      </c>
      <c r="C4827" s="14">
        <f ca="1">IFERROR(__xludf.DUMMYFUNCTION("""COMPUTED_VALUE"""),33)</f>
        <v>33</v>
      </c>
      <c r="D4827" s="12" t="str">
        <f ca="1">IFERROR(__xludf.DUMMYFUNCTION("""COMPUTED_VALUE"""),"村上 浩一朗")</f>
        <v>村上 浩一朗</v>
      </c>
    </row>
    <row r="4828" spans="2:4" ht="13">
      <c r="B4828" s="12">
        <f ca="1">IFERROR(__xludf.DUMMYFUNCTION("""COMPUTED_VALUE"""),127688)</f>
        <v>127688</v>
      </c>
      <c r="C4828" s="14">
        <f ca="1">IFERROR(__xludf.DUMMYFUNCTION("""COMPUTED_VALUE"""),0)</f>
        <v>0</v>
      </c>
      <c r="D4828" s="12" t="str">
        <f ca="1">IFERROR(__xludf.DUMMYFUNCTION("""COMPUTED_VALUE"""),"小川 純")</f>
        <v>小川 純</v>
      </c>
    </row>
    <row r="4829" spans="2:4" ht="13">
      <c r="B4829" s="12">
        <f ca="1">IFERROR(__xludf.DUMMYFUNCTION("""COMPUTED_VALUE"""),127692)</f>
        <v>127692</v>
      </c>
      <c r="C4829" s="14">
        <f ca="1">IFERROR(__xludf.DUMMYFUNCTION("""COMPUTED_VALUE"""),0)</f>
        <v>0</v>
      </c>
      <c r="D4829" s="12" t="str">
        <f ca="1">IFERROR(__xludf.DUMMYFUNCTION("""COMPUTED_VALUE"""),"小川 純")</f>
        <v>小川 純</v>
      </c>
    </row>
    <row r="4830" spans="2:4" ht="13">
      <c r="B4830" s="12">
        <f ca="1">IFERROR(__xludf.DUMMYFUNCTION("""COMPUTED_VALUE"""),127694)</f>
        <v>127694</v>
      </c>
      <c r="C4830" s="14">
        <f ca="1">IFERROR(__xludf.DUMMYFUNCTION("""COMPUTED_VALUE"""),0)</f>
        <v>0</v>
      </c>
      <c r="D4830" s="12" t="str">
        <f ca="1">IFERROR(__xludf.DUMMYFUNCTION("""COMPUTED_VALUE"""),"成嶋 夏未")</f>
        <v>成嶋 夏未</v>
      </c>
    </row>
    <row r="4831" spans="2:4" ht="13">
      <c r="B4831" s="12">
        <f ca="1">IFERROR(__xludf.DUMMYFUNCTION("""COMPUTED_VALUE"""),127697)</f>
        <v>127697</v>
      </c>
      <c r="C4831" s="14">
        <f ca="1">IFERROR(__xludf.DUMMYFUNCTION("""COMPUTED_VALUE"""),3)</f>
        <v>3</v>
      </c>
      <c r="D4831" s="12" t="str">
        <f ca="1">IFERROR(__xludf.DUMMYFUNCTION("""COMPUTED_VALUE"""),"小関 麻起")</f>
        <v>小関 麻起</v>
      </c>
    </row>
    <row r="4832" spans="2:4" ht="13">
      <c r="B4832" s="12">
        <f ca="1">IFERROR(__xludf.DUMMYFUNCTION("""COMPUTED_VALUE"""),127700)</f>
        <v>127700</v>
      </c>
      <c r="C4832" s="14">
        <f ca="1">IFERROR(__xludf.DUMMYFUNCTION("""COMPUTED_VALUE"""),0)</f>
        <v>0</v>
      </c>
      <c r="D4832" s="12" t="str">
        <f ca="1">IFERROR(__xludf.DUMMYFUNCTION("""COMPUTED_VALUE"""),"松尾 尚樹")</f>
        <v>松尾 尚樹</v>
      </c>
    </row>
    <row r="4833" spans="2:4" ht="13">
      <c r="B4833" s="12">
        <f ca="1">IFERROR(__xludf.DUMMYFUNCTION("""COMPUTED_VALUE"""),127710)</f>
        <v>127710</v>
      </c>
      <c r="C4833" s="14">
        <f ca="1">IFERROR(__xludf.DUMMYFUNCTION("""COMPUTED_VALUE"""),7)</f>
        <v>7</v>
      </c>
      <c r="D4833" s="12" t="str">
        <f ca="1">IFERROR(__xludf.DUMMYFUNCTION("""COMPUTED_VALUE"""),"菅野 ぎんが")</f>
        <v>菅野 ぎんが</v>
      </c>
    </row>
    <row r="4834" spans="2:4" ht="13">
      <c r="B4834" s="12">
        <f ca="1">IFERROR(__xludf.DUMMYFUNCTION("""COMPUTED_VALUE"""),127718)</f>
        <v>127718</v>
      </c>
      <c r="C4834" s="14">
        <f ca="1">IFERROR(__xludf.DUMMYFUNCTION("""COMPUTED_VALUE"""),1)</f>
        <v>1</v>
      </c>
      <c r="D4834" s="12" t="str">
        <f ca="1">IFERROR(__xludf.DUMMYFUNCTION("""COMPUTED_VALUE"""),"小関 麻起")</f>
        <v>小関 麻起</v>
      </c>
    </row>
    <row r="4835" spans="2:4" ht="13">
      <c r="B4835" s="12">
        <f ca="1">IFERROR(__xludf.DUMMYFUNCTION("""COMPUTED_VALUE"""),127719)</f>
        <v>127719</v>
      </c>
      <c r="C4835" s="14">
        <f ca="1">IFERROR(__xludf.DUMMYFUNCTION("""COMPUTED_VALUE"""),0)</f>
        <v>0</v>
      </c>
      <c r="D4835" s="12" t="str">
        <f ca="1">IFERROR(__xludf.DUMMYFUNCTION("""COMPUTED_VALUE"""),"大木 優香")</f>
        <v>大木 優香</v>
      </c>
    </row>
    <row r="4836" spans="2:4" ht="13">
      <c r="B4836" s="12">
        <f ca="1">IFERROR(__xludf.DUMMYFUNCTION("""COMPUTED_VALUE"""),127720)</f>
        <v>127720</v>
      </c>
      <c r="C4836" s="14">
        <f ca="1">IFERROR(__xludf.DUMMYFUNCTION("""COMPUTED_VALUE"""),0)</f>
        <v>0</v>
      </c>
      <c r="D4836" s="12" t="str">
        <f ca="1">IFERROR(__xludf.DUMMYFUNCTION("""COMPUTED_VALUE"""),"大木 優香")</f>
        <v>大木 優香</v>
      </c>
    </row>
    <row r="4837" spans="2:4" ht="13">
      <c r="B4837" s="12">
        <f ca="1">IFERROR(__xludf.DUMMYFUNCTION("""COMPUTED_VALUE"""),127721)</f>
        <v>127721</v>
      </c>
      <c r="C4837" s="14">
        <f ca="1">IFERROR(__xludf.DUMMYFUNCTION("""COMPUTED_VALUE"""),0)</f>
        <v>0</v>
      </c>
      <c r="D4837" s="12" t="str">
        <f ca="1">IFERROR(__xludf.DUMMYFUNCTION("""COMPUTED_VALUE"""),"大木 優香")</f>
        <v>大木 優香</v>
      </c>
    </row>
    <row r="4838" spans="2:4" ht="13">
      <c r="B4838" s="12">
        <f ca="1">IFERROR(__xludf.DUMMYFUNCTION("""COMPUTED_VALUE"""),127722)</f>
        <v>127722</v>
      </c>
      <c r="C4838" s="14">
        <f ca="1">IFERROR(__xludf.DUMMYFUNCTION("""COMPUTED_VALUE"""),0)</f>
        <v>0</v>
      </c>
      <c r="D4838" s="12" t="str">
        <f ca="1">IFERROR(__xludf.DUMMYFUNCTION("""COMPUTED_VALUE"""),"大木 優香")</f>
        <v>大木 優香</v>
      </c>
    </row>
    <row r="4839" spans="2:4" ht="13">
      <c r="B4839" s="12">
        <f ca="1">IFERROR(__xludf.DUMMYFUNCTION("""COMPUTED_VALUE"""),127723)</f>
        <v>127723</v>
      </c>
      <c r="C4839" s="14">
        <f ca="1">IFERROR(__xludf.DUMMYFUNCTION("""COMPUTED_VALUE"""),0)</f>
        <v>0</v>
      </c>
      <c r="D4839" s="12" t="str">
        <f ca="1">IFERROR(__xludf.DUMMYFUNCTION("""COMPUTED_VALUE"""),"大木 優香")</f>
        <v>大木 優香</v>
      </c>
    </row>
    <row r="4840" spans="2:4" ht="13">
      <c r="B4840" s="12">
        <f ca="1">IFERROR(__xludf.DUMMYFUNCTION("""COMPUTED_VALUE"""),127724)</f>
        <v>127724</v>
      </c>
      <c r="C4840" s="14">
        <f ca="1">IFERROR(__xludf.DUMMYFUNCTION("""COMPUTED_VALUE"""),0)</f>
        <v>0</v>
      </c>
      <c r="D4840" s="12" t="str">
        <f ca="1">IFERROR(__xludf.DUMMYFUNCTION("""COMPUTED_VALUE"""),"大木 優香")</f>
        <v>大木 優香</v>
      </c>
    </row>
    <row r="4841" spans="2:4" ht="13">
      <c r="B4841" s="12">
        <f ca="1">IFERROR(__xludf.DUMMYFUNCTION("""COMPUTED_VALUE"""),127727)</f>
        <v>127727</v>
      </c>
      <c r="C4841" s="14">
        <f ca="1">IFERROR(__xludf.DUMMYFUNCTION("""COMPUTED_VALUE"""),0)</f>
        <v>0</v>
      </c>
      <c r="D4841" s="12" t="str">
        <f ca="1">IFERROR(__xludf.DUMMYFUNCTION("""COMPUTED_VALUE"""),"大木 優香")</f>
        <v>大木 優香</v>
      </c>
    </row>
    <row r="4842" spans="2:4" ht="13">
      <c r="B4842" s="12">
        <f ca="1">IFERROR(__xludf.DUMMYFUNCTION("""COMPUTED_VALUE"""),127728)</f>
        <v>127728</v>
      </c>
      <c r="C4842" s="14">
        <f ca="1">IFERROR(__xludf.DUMMYFUNCTION("""COMPUTED_VALUE"""),0)</f>
        <v>0</v>
      </c>
      <c r="D4842" s="12" t="str">
        <f ca="1">IFERROR(__xludf.DUMMYFUNCTION("""COMPUTED_VALUE"""),"大木 優香")</f>
        <v>大木 優香</v>
      </c>
    </row>
    <row r="4843" spans="2:4" ht="13">
      <c r="B4843" s="12">
        <f ca="1">IFERROR(__xludf.DUMMYFUNCTION("""COMPUTED_VALUE"""),127729)</f>
        <v>127729</v>
      </c>
      <c r="C4843" s="14">
        <f ca="1">IFERROR(__xludf.DUMMYFUNCTION("""COMPUTED_VALUE"""),0)</f>
        <v>0</v>
      </c>
      <c r="D4843" s="12" t="str">
        <f ca="1">IFERROR(__xludf.DUMMYFUNCTION("""COMPUTED_VALUE"""),"大木 優香")</f>
        <v>大木 優香</v>
      </c>
    </row>
    <row r="4844" spans="2:4" ht="13">
      <c r="B4844" s="12">
        <f ca="1">IFERROR(__xludf.DUMMYFUNCTION("""COMPUTED_VALUE"""),127730)</f>
        <v>127730</v>
      </c>
      <c r="C4844" s="14">
        <f ca="1">IFERROR(__xludf.DUMMYFUNCTION("""COMPUTED_VALUE"""),0)</f>
        <v>0</v>
      </c>
      <c r="D4844" s="12" t="str">
        <f ca="1">IFERROR(__xludf.DUMMYFUNCTION("""COMPUTED_VALUE"""),"大木 優香")</f>
        <v>大木 優香</v>
      </c>
    </row>
    <row r="4845" spans="2:4" ht="13">
      <c r="B4845" s="12">
        <f ca="1">IFERROR(__xludf.DUMMYFUNCTION("""COMPUTED_VALUE"""),127732)</f>
        <v>127732</v>
      </c>
      <c r="C4845" s="14">
        <f ca="1">IFERROR(__xludf.DUMMYFUNCTION("""COMPUTED_VALUE"""),0)</f>
        <v>0</v>
      </c>
      <c r="D4845" s="12" t="str">
        <f ca="1">IFERROR(__xludf.DUMMYFUNCTION("""COMPUTED_VALUE"""),"大木 優香")</f>
        <v>大木 優香</v>
      </c>
    </row>
    <row r="4846" spans="2:4" ht="13">
      <c r="B4846" s="12">
        <f ca="1">IFERROR(__xludf.DUMMYFUNCTION("""COMPUTED_VALUE"""),127733)</f>
        <v>127733</v>
      </c>
      <c r="C4846" s="14">
        <f ca="1">IFERROR(__xludf.DUMMYFUNCTION("""COMPUTED_VALUE"""),0)</f>
        <v>0</v>
      </c>
      <c r="D4846" s="12" t="str">
        <f ca="1">IFERROR(__xludf.DUMMYFUNCTION("""COMPUTED_VALUE"""),"大木 優香")</f>
        <v>大木 優香</v>
      </c>
    </row>
    <row r="4847" spans="2:4" ht="13">
      <c r="B4847" s="12">
        <f ca="1">IFERROR(__xludf.DUMMYFUNCTION("""COMPUTED_VALUE"""),127734)</f>
        <v>127734</v>
      </c>
      <c r="C4847" s="14">
        <f ca="1">IFERROR(__xludf.DUMMYFUNCTION("""COMPUTED_VALUE"""),7)</f>
        <v>7</v>
      </c>
      <c r="D4847" s="12" t="str">
        <f ca="1">IFERROR(__xludf.DUMMYFUNCTION("""COMPUTED_VALUE"""),"稲場 勇介")</f>
        <v>稲場 勇介</v>
      </c>
    </row>
    <row r="4848" spans="2:4" ht="13">
      <c r="B4848" s="12">
        <f ca="1">IFERROR(__xludf.DUMMYFUNCTION("""COMPUTED_VALUE"""),127741)</f>
        <v>127741</v>
      </c>
      <c r="C4848" s="14">
        <f ca="1">IFERROR(__xludf.DUMMYFUNCTION("""COMPUTED_VALUE"""),0)</f>
        <v>0</v>
      </c>
      <c r="D4848" s="12" t="str">
        <f ca="1">IFERROR(__xludf.DUMMYFUNCTION("""COMPUTED_VALUE"""),"荻曽 克輝")</f>
        <v>荻曽 克輝</v>
      </c>
    </row>
    <row r="4849" spans="2:4" ht="13">
      <c r="B4849" s="12">
        <f ca="1">IFERROR(__xludf.DUMMYFUNCTION("""COMPUTED_VALUE"""),127745)</f>
        <v>127745</v>
      </c>
      <c r="C4849" s="14">
        <f ca="1">IFERROR(__xludf.DUMMYFUNCTION("""COMPUTED_VALUE"""),31)</f>
        <v>31</v>
      </c>
      <c r="D4849" s="12" t="str">
        <f ca="1">IFERROR(__xludf.DUMMYFUNCTION("""COMPUTED_VALUE"""),"森 光智")</f>
        <v>森 光智</v>
      </c>
    </row>
    <row r="4850" spans="2:4" ht="13">
      <c r="B4850" s="12">
        <f ca="1">IFERROR(__xludf.DUMMYFUNCTION("""COMPUTED_VALUE"""),127746)</f>
        <v>127746</v>
      </c>
      <c r="C4850" s="14">
        <f ca="1">IFERROR(__xludf.DUMMYFUNCTION("""COMPUTED_VALUE"""),0)</f>
        <v>0</v>
      </c>
      <c r="D4850" s="12" t="str">
        <f ca="1">IFERROR(__xludf.DUMMYFUNCTION("""COMPUTED_VALUE"""),"栗原 大武")</f>
        <v>栗原 大武</v>
      </c>
    </row>
    <row r="4851" spans="2:4" ht="13">
      <c r="B4851" s="12">
        <f ca="1">IFERROR(__xludf.DUMMYFUNCTION("""COMPUTED_VALUE"""),127750)</f>
        <v>127750</v>
      </c>
      <c r="C4851" s="14">
        <f ca="1">IFERROR(__xludf.DUMMYFUNCTION("""COMPUTED_VALUE"""),0)</f>
        <v>0</v>
      </c>
      <c r="D4851" s="12" t="str">
        <f ca="1">IFERROR(__xludf.DUMMYFUNCTION("""COMPUTED_VALUE"""),"桑原 明子")</f>
        <v>桑原 明子</v>
      </c>
    </row>
    <row r="4852" spans="2:4" ht="13">
      <c r="B4852" s="12">
        <f ca="1">IFERROR(__xludf.DUMMYFUNCTION("""COMPUTED_VALUE"""),127754)</f>
        <v>127754</v>
      </c>
      <c r="C4852" s="14">
        <f ca="1">IFERROR(__xludf.DUMMYFUNCTION("""COMPUTED_VALUE"""),0)</f>
        <v>0</v>
      </c>
      <c r="D4852" s="12" t="str">
        <f ca="1">IFERROR(__xludf.DUMMYFUNCTION("""COMPUTED_VALUE"""),"大木 優香")</f>
        <v>大木 優香</v>
      </c>
    </row>
    <row r="4853" spans="2:4" ht="13">
      <c r="B4853" s="12">
        <f ca="1">IFERROR(__xludf.DUMMYFUNCTION("""COMPUTED_VALUE"""),127756)</f>
        <v>127756</v>
      </c>
      <c r="C4853" s="14">
        <f ca="1">IFERROR(__xludf.DUMMYFUNCTION("""COMPUTED_VALUE"""),46)</f>
        <v>46</v>
      </c>
      <c r="D4853" s="12" t="str">
        <f ca="1">IFERROR(__xludf.DUMMYFUNCTION("""COMPUTED_VALUE"""),"桑原 明子")</f>
        <v>桑原 明子</v>
      </c>
    </row>
    <row r="4854" spans="2:4" ht="13">
      <c r="B4854" s="12">
        <f ca="1">IFERROR(__xludf.DUMMYFUNCTION("""COMPUTED_VALUE"""),127760)</f>
        <v>127760</v>
      </c>
      <c r="C4854" s="14">
        <f ca="1">IFERROR(__xludf.DUMMYFUNCTION("""COMPUTED_VALUE"""),5)</f>
        <v>5</v>
      </c>
      <c r="D4854" s="12" t="str">
        <f ca="1">IFERROR(__xludf.DUMMYFUNCTION("""COMPUTED_VALUE"""),"小関 麻起")</f>
        <v>小関 麻起</v>
      </c>
    </row>
    <row r="4855" spans="2:4" ht="13">
      <c r="B4855" s="12">
        <f ca="1">IFERROR(__xludf.DUMMYFUNCTION("""COMPUTED_VALUE"""),127761)</f>
        <v>127761</v>
      </c>
      <c r="C4855" s="14">
        <f ca="1">IFERROR(__xludf.DUMMYFUNCTION("""COMPUTED_VALUE"""),3)</f>
        <v>3</v>
      </c>
      <c r="D4855" s="12" t="str">
        <f ca="1">IFERROR(__xludf.DUMMYFUNCTION("""COMPUTED_VALUE"""),"小関 麻起")</f>
        <v>小関 麻起</v>
      </c>
    </row>
    <row r="4856" spans="2:4" ht="13">
      <c r="B4856" s="12">
        <f ca="1">IFERROR(__xludf.DUMMYFUNCTION("""COMPUTED_VALUE"""),127765)</f>
        <v>127765</v>
      </c>
      <c r="C4856" s="14">
        <f ca="1">IFERROR(__xludf.DUMMYFUNCTION("""COMPUTED_VALUE"""),6)</f>
        <v>6</v>
      </c>
      <c r="D4856" s="12" t="str">
        <f ca="1">IFERROR(__xludf.DUMMYFUNCTION("""COMPUTED_VALUE"""),"成嶋 夏未")</f>
        <v>成嶋 夏未</v>
      </c>
    </row>
    <row r="4857" spans="2:4" ht="13">
      <c r="B4857" s="12">
        <f ca="1">IFERROR(__xludf.DUMMYFUNCTION("""COMPUTED_VALUE"""),127767)</f>
        <v>127767</v>
      </c>
      <c r="C4857" s="14">
        <f ca="1">IFERROR(__xludf.DUMMYFUNCTION("""COMPUTED_VALUE"""),0)</f>
        <v>0</v>
      </c>
      <c r="D4857" s="12" t="str">
        <f ca="1">IFERROR(__xludf.DUMMYFUNCTION("""COMPUTED_VALUE"""),"辻村 将大")</f>
        <v>辻村 将大</v>
      </c>
    </row>
    <row r="4858" spans="2:4" ht="13">
      <c r="B4858" s="12">
        <f ca="1">IFERROR(__xludf.DUMMYFUNCTION("""COMPUTED_VALUE"""),127769)</f>
        <v>127769</v>
      </c>
      <c r="C4858" s="14">
        <f ca="1">IFERROR(__xludf.DUMMYFUNCTION("""COMPUTED_VALUE"""),0)</f>
        <v>0</v>
      </c>
      <c r="D4858" s="12" t="str">
        <f ca="1">IFERROR(__xludf.DUMMYFUNCTION("""COMPUTED_VALUE"""),"村上 浩一朗")</f>
        <v>村上 浩一朗</v>
      </c>
    </row>
    <row r="4859" spans="2:4" ht="13">
      <c r="B4859" s="12">
        <f ca="1">IFERROR(__xludf.DUMMYFUNCTION("""COMPUTED_VALUE"""),127777)</f>
        <v>127777</v>
      </c>
      <c r="C4859" s="14">
        <f ca="1">IFERROR(__xludf.DUMMYFUNCTION("""COMPUTED_VALUE"""),0)</f>
        <v>0</v>
      </c>
      <c r="D4859" s="12" t="str">
        <f ca="1">IFERROR(__xludf.DUMMYFUNCTION("""COMPUTED_VALUE"""),"桐山 勝気")</f>
        <v>桐山 勝気</v>
      </c>
    </row>
    <row r="4860" spans="2:4" ht="13">
      <c r="B4860" s="12">
        <f ca="1">IFERROR(__xludf.DUMMYFUNCTION("""COMPUTED_VALUE"""),127778)</f>
        <v>127778</v>
      </c>
      <c r="C4860" s="14">
        <f ca="1">IFERROR(__xludf.DUMMYFUNCTION("""COMPUTED_VALUE"""),0)</f>
        <v>0</v>
      </c>
      <c r="D4860" s="12" t="str">
        <f ca="1">IFERROR(__xludf.DUMMYFUNCTION("""COMPUTED_VALUE"""),"稲場 勇介")</f>
        <v>稲場 勇介</v>
      </c>
    </row>
    <row r="4861" spans="2:4" ht="13">
      <c r="B4861" s="12">
        <f ca="1">IFERROR(__xludf.DUMMYFUNCTION("""COMPUTED_VALUE"""),127779)</f>
        <v>127779</v>
      </c>
      <c r="C4861" s="14">
        <f ca="1">IFERROR(__xludf.DUMMYFUNCTION("""COMPUTED_VALUE"""),0)</f>
        <v>0</v>
      </c>
      <c r="D4861" s="12" t="str">
        <f ca="1">IFERROR(__xludf.DUMMYFUNCTION("""COMPUTED_VALUE"""),"長谷川 陸朗")</f>
        <v>長谷川 陸朗</v>
      </c>
    </row>
    <row r="4862" spans="2:4" ht="13">
      <c r="B4862" s="12">
        <f ca="1">IFERROR(__xludf.DUMMYFUNCTION("""COMPUTED_VALUE"""),127781)</f>
        <v>127781</v>
      </c>
      <c r="C4862" s="14">
        <f ca="1">IFERROR(__xludf.DUMMYFUNCTION("""COMPUTED_VALUE"""),28)</f>
        <v>28</v>
      </c>
      <c r="D4862" s="12" t="str">
        <f ca="1">IFERROR(__xludf.DUMMYFUNCTION("""COMPUTED_VALUE"""),"堀越 駿")</f>
        <v>堀越 駿</v>
      </c>
    </row>
    <row r="4863" spans="2:4" ht="13">
      <c r="B4863" s="12">
        <f ca="1">IFERROR(__xludf.DUMMYFUNCTION("""COMPUTED_VALUE"""),127786)</f>
        <v>127786</v>
      </c>
      <c r="C4863" s="14">
        <f ca="1">IFERROR(__xludf.DUMMYFUNCTION("""COMPUTED_VALUE"""),13)</f>
        <v>13</v>
      </c>
      <c r="D4863" s="12" t="str">
        <f ca="1">IFERROR(__xludf.DUMMYFUNCTION("""COMPUTED_VALUE"""),"稲場 勇介")</f>
        <v>稲場 勇介</v>
      </c>
    </row>
    <row r="4864" spans="2:4" ht="13">
      <c r="B4864" s="12">
        <f ca="1">IFERROR(__xludf.DUMMYFUNCTION("""COMPUTED_VALUE"""),127796)</f>
        <v>127796</v>
      </c>
      <c r="C4864" s="14">
        <f ca="1">IFERROR(__xludf.DUMMYFUNCTION("""COMPUTED_VALUE"""),0)</f>
        <v>0</v>
      </c>
      <c r="D4864" s="12" t="str">
        <f ca="1">IFERROR(__xludf.DUMMYFUNCTION("""COMPUTED_VALUE"""),"桐山 勝気")</f>
        <v>桐山 勝気</v>
      </c>
    </row>
    <row r="4865" spans="2:4" ht="13">
      <c r="B4865" s="12">
        <f ca="1">IFERROR(__xludf.DUMMYFUNCTION("""COMPUTED_VALUE"""),127797)</f>
        <v>127797</v>
      </c>
      <c r="C4865" s="14">
        <f ca="1">IFERROR(__xludf.DUMMYFUNCTION("""COMPUTED_VALUE"""),0)</f>
        <v>0</v>
      </c>
      <c r="D4865" s="12" t="str">
        <f ca="1">IFERROR(__xludf.DUMMYFUNCTION("""COMPUTED_VALUE"""),"成嶋 夏未")</f>
        <v>成嶋 夏未</v>
      </c>
    </row>
    <row r="4866" spans="2:4" ht="13">
      <c r="B4866" s="12">
        <f ca="1">IFERROR(__xludf.DUMMYFUNCTION("""COMPUTED_VALUE"""),127799)</f>
        <v>127799</v>
      </c>
      <c r="C4866" s="14">
        <f ca="1">IFERROR(__xludf.DUMMYFUNCTION("""COMPUTED_VALUE"""),0)</f>
        <v>0</v>
      </c>
      <c r="D4866" s="12" t="str">
        <f ca="1">IFERROR(__xludf.DUMMYFUNCTION("""COMPUTED_VALUE"""),"松尾 尚樹")</f>
        <v>松尾 尚樹</v>
      </c>
    </row>
    <row r="4867" spans="2:4" ht="13">
      <c r="B4867" s="12">
        <f ca="1">IFERROR(__xludf.DUMMYFUNCTION("""COMPUTED_VALUE"""),127806)</f>
        <v>127806</v>
      </c>
      <c r="C4867" s="14">
        <f ca="1">IFERROR(__xludf.DUMMYFUNCTION("""COMPUTED_VALUE"""),8)</f>
        <v>8</v>
      </c>
      <c r="D4867" s="12" t="str">
        <f ca="1">IFERROR(__xludf.DUMMYFUNCTION("""COMPUTED_VALUE"""),"松尾 尚樹")</f>
        <v>松尾 尚樹</v>
      </c>
    </row>
    <row r="4868" spans="2:4" ht="13">
      <c r="B4868" s="12">
        <f ca="1">IFERROR(__xludf.DUMMYFUNCTION("""COMPUTED_VALUE"""),127823)</f>
        <v>127823</v>
      </c>
      <c r="C4868" s="14">
        <f ca="1">IFERROR(__xludf.DUMMYFUNCTION("""COMPUTED_VALUE"""),0)</f>
        <v>0</v>
      </c>
      <c r="D4868" s="12" t="str">
        <f ca="1">IFERROR(__xludf.DUMMYFUNCTION("""COMPUTED_VALUE"""),"大木 優香")</f>
        <v>大木 優香</v>
      </c>
    </row>
    <row r="4869" spans="2:4" ht="13">
      <c r="B4869" s="12">
        <f ca="1">IFERROR(__xludf.DUMMYFUNCTION("""COMPUTED_VALUE"""),127824)</f>
        <v>127824</v>
      </c>
      <c r="C4869" s="14">
        <f ca="1">IFERROR(__xludf.DUMMYFUNCTION("""COMPUTED_VALUE"""),0)</f>
        <v>0</v>
      </c>
      <c r="D4869" s="12" t="str">
        <f ca="1">IFERROR(__xludf.DUMMYFUNCTION("""COMPUTED_VALUE"""),"大木 優香")</f>
        <v>大木 優香</v>
      </c>
    </row>
    <row r="4870" spans="2:4" ht="13">
      <c r="B4870" s="12">
        <f ca="1">IFERROR(__xludf.DUMMYFUNCTION("""COMPUTED_VALUE"""),127825)</f>
        <v>127825</v>
      </c>
      <c r="C4870" s="14">
        <f ca="1">IFERROR(__xludf.DUMMYFUNCTION("""COMPUTED_VALUE"""),0)</f>
        <v>0</v>
      </c>
      <c r="D4870" s="12" t="str">
        <f ca="1">IFERROR(__xludf.DUMMYFUNCTION("""COMPUTED_VALUE"""),"大木 優香")</f>
        <v>大木 優香</v>
      </c>
    </row>
    <row r="4871" spans="2:4" ht="13">
      <c r="B4871" s="12">
        <f ca="1">IFERROR(__xludf.DUMMYFUNCTION("""COMPUTED_VALUE"""),127826)</f>
        <v>127826</v>
      </c>
      <c r="C4871" s="14">
        <f ca="1">IFERROR(__xludf.DUMMYFUNCTION("""COMPUTED_VALUE"""),0)</f>
        <v>0</v>
      </c>
      <c r="D4871" s="12" t="str">
        <f ca="1">IFERROR(__xludf.DUMMYFUNCTION("""COMPUTED_VALUE"""),"大木 優香")</f>
        <v>大木 優香</v>
      </c>
    </row>
    <row r="4872" spans="2:4" ht="13">
      <c r="B4872" s="12">
        <f ca="1">IFERROR(__xludf.DUMMYFUNCTION("""COMPUTED_VALUE"""),127832)</f>
        <v>127832</v>
      </c>
      <c r="C4872" s="14">
        <f ca="1">IFERROR(__xludf.DUMMYFUNCTION("""COMPUTED_VALUE"""),0)</f>
        <v>0</v>
      </c>
      <c r="D4872" s="12" t="str">
        <f ca="1">IFERROR(__xludf.DUMMYFUNCTION("""COMPUTED_VALUE"""),"長谷川 陸朗")</f>
        <v>長谷川 陸朗</v>
      </c>
    </row>
    <row r="4873" spans="2:4" ht="13">
      <c r="B4873" s="12">
        <f ca="1">IFERROR(__xludf.DUMMYFUNCTION("""COMPUTED_VALUE"""),127836)</f>
        <v>127836</v>
      </c>
      <c r="C4873" s="14">
        <f ca="1">IFERROR(__xludf.DUMMYFUNCTION("""COMPUTED_VALUE"""),0)</f>
        <v>0</v>
      </c>
      <c r="D4873" s="12" t="str">
        <f ca="1">IFERROR(__xludf.DUMMYFUNCTION("""COMPUTED_VALUE"""),"長谷川 陸朗")</f>
        <v>長谷川 陸朗</v>
      </c>
    </row>
    <row r="4874" spans="2:4" ht="13">
      <c r="B4874" s="12">
        <f ca="1">IFERROR(__xludf.DUMMYFUNCTION("""COMPUTED_VALUE"""),127851)</f>
        <v>127851</v>
      </c>
      <c r="C4874" s="14">
        <f ca="1">IFERROR(__xludf.DUMMYFUNCTION("""COMPUTED_VALUE"""),0)</f>
        <v>0</v>
      </c>
      <c r="D4874" s="12" t="str">
        <f ca="1">IFERROR(__xludf.DUMMYFUNCTION("""COMPUTED_VALUE"""),"菅野 ぎんが")</f>
        <v>菅野 ぎんが</v>
      </c>
    </row>
    <row r="4875" spans="2:4" ht="13">
      <c r="B4875" s="12">
        <f ca="1">IFERROR(__xludf.DUMMYFUNCTION("""COMPUTED_VALUE"""),127852)</f>
        <v>127852</v>
      </c>
      <c r="C4875" s="14">
        <f ca="1">IFERROR(__xludf.DUMMYFUNCTION("""COMPUTED_VALUE"""),1)</f>
        <v>1</v>
      </c>
      <c r="D4875" s="12" t="str">
        <f ca="1">IFERROR(__xludf.DUMMYFUNCTION("""COMPUTED_VALUE"""),"小関 麻起")</f>
        <v>小関 麻起</v>
      </c>
    </row>
    <row r="4876" spans="2:4" ht="13">
      <c r="B4876" s="12">
        <f ca="1">IFERROR(__xludf.DUMMYFUNCTION("""COMPUTED_VALUE"""),127864)</f>
        <v>127864</v>
      </c>
      <c r="C4876" s="14">
        <f ca="1">IFERROR(__xludf.DUMMYFUNCTION("""COMPUTED_VALUE"""),0)</f>
        <v>0</v>
      </c>
      <c r="D4876" s="12" t="str">
        <f ca="1">IFERROR(__xludf.DUMMYFUNCTION("""COMPUTED_VALUE"""),"桐山 勝気")</f>
        <v>桐山 勝気</v>
      </c>
    </row>
    <row r="4877" spans="2:4" ht="13">
      <c r="B4877" s="12">
        <f ca="1">IFERROR(__xludf.DUMMYFUNCTION("""COMPUTED_VALUE"""),127868)</f>
        <v>127868</v>
      </c>
      <c r="C4877" s="14">
        <f ca="1">IFERROR(__xludf.DUMMYFUNCTION("""COMPUTED_VALUE"""),0)</f>
        <v>0</v>
      </c>
      <c r="D4877" s="12" t="str">
        <f ca="1">IFERROR(__xludf.DUMMYFUNCTION("""COMPUTED_VALUE"""),"稲場 勇介")</f>
        <v>稲場 勇介</v>
      </c>
    </row>
    <row r="4878" spans="2:4" ht="13">
      <c r="B4878" s="12">
        <f ca="1">IFERROR(__xludf.DUMMYFUNCTION("""COMPUTED_VALUE"""),127869)</f>
        <v>127869</v>
      </c>
      <c r="C4878" s="14">
        <f ca="1">IFERROR(__xludf.DUMMYFUNCTION("""COMPUTED_VALUE"""),0)</f>
        <v>0</v>
      </c>
      <c r="D4878" s="12" t="str">
        <f ca="1">IFERROR(__xludf.DUMMYFUNCTION("""COMPUTED_VALUE"""),"長谷川 陸朗")</f>
        <v>長谷川 陸朗</v>
      </c>
    </row>
    <row r="4879" spans="2:4" ht="13">
      <c r="B4879" s="12">
        <f ca="1">IFERROR(__xludf.DUMMYFUNCTION("""COMPUTED_VALUE"""),127874)</f>
        <v>127874</v>
      </c>
      <c r="C4879" s="14">
        <f ca="1">IFERROR(__xludf.DUMMYFUNCTION("""COMPUTED_VALUE"""),6)</f>
        <v>6</v>
      </c>
      <c r="D4879" s="12" t="str">
        <f ca="1">IFERROR(__xludf.DUMMYFUNCTION("""COMPUTED_VALUE"""),"栗原 大武")</f>
        <v>栗原 大武</v>
      </c>
    </row>
    <row r="4880" spans="2:4" ht="13">
      <c r="B4880" s="12">
        <f ca="1">IFERROR(__xludf.DUMMYFUNCTION("""COMPUTED_VALUE"""),127876)</f>
        <v>127876</v>
      </c>
      <c r="C4880" s="14">
        <f ca="1">IFERROR(__xludf.DUMMYFUNCTION("""COMPUTED_VALUE"""),5)</f>
        <v>5</v>
      </c>
      <c r="D4880" s="12" t="str">
        <f ca="1">IFERROR(__xludf.DUMMYFUNCTION("""COMPUTED_VALUE"""),"栗原 大武")</f>
        <v>栗原 大武</v>
      </c>
    </row>
    <row r="4881" spans="2:4" ht="13">
      <c r="B4881" s="12">
        <f ca="1">IFERROR(__xludf.DUMMYFUNCTION("""COMPUTED_VALUE"""),127884)</f>
        <v>127884</v>
      </c>
      <c r="C4881" s="14">
        <f ca="1">IFERROR(__xludf.DUMMYFUNCTION("""COMPUTED_VALUE"""),0)</f>
        <v>0</v>
      </c>
      <c r="D4881" s="12" t="str">
        <f ca="1">IFERROR(__xludf.DUMMYFUNCTION("""COMPUTED_VALUE"""),"桐山 勝気")</f>
        <v>桐山 勝気</v>
      </c>
    </row>
    <row r="4882" spans="2:4" ht="13">
      <c r="B4882" s="12">
        <f ca="1">IFERROR(__xludf.DUMMYFUNCTION("""COMPUTED_VALUE"""),127885)</f>
        <v>127885</v>
      </c>
      <c r="C4882" s="14">
        <f ca="1">IFERROR(__xludf.DUMMYFUNCTION("""COMPUTED_VALUE"""),0)</f>
        <v>0</v>
      </c>
      <c r="D4882" s="12" t="str">
        <f ca="1">IFERROR(__xludf.DUMMYFUNCTION("""COMPUTED_VALUE"""),"小川 純")</f>
        <v>小川 純</v>
      </c>
    </row>
    <row r="4883" spans="2:4" ht="13">
      <c r="B4883" s="12">
        <f ca="1">IFERROR(__xludf.DUMMYFUNCTION("""COMPUTED_VALUE"""),127889)</f>
        <v>127889</v>
      </c>
      <c r="C4883" s="14">
        <f ca="1">IFERROR(__xludf.DUMMYFUNCTION("""COMPUTED_VALUE"""),0)</f>
        <v>0</v>
      </c>
      <c r="D4883" s="12" t="str">
        <f ca="1">IFERROR(__xludf.DUMMYFUNCTION("""COMPUTED_VALUE"""),"松尾 尚樹")</f>
        <v>松尾 尚樹</v>
      </c>
    </row>
    <row r="4884" spans="2:4" ht="13">
      <c r="B4884" s="12">
        <f ca="1">IFERROR(__xludf.DUMMYFUNCTION("""COMPUTED_VALUE"""),127894)</f>
        <v>127894</v>
      </c>
      <c r="C4884" s="14">
        <f ca="1">IFERROR(__xludf.DUMMYFUNCTION("""COMPUTED_VALUE"""),2)</f>
        <v>2</v>
      </c>
      <c r="D4884" s="12" t="str">
        <f ca="1">IFERROR(__xludf.DUMMYFUNCTION("""COMPUTED_VALUE"""),"松尾 尚樹")</f>
        <v>松尾 尚樹</v>
      </c>
    </row>
    <row r="4885" spans="2:4" ht="13">
      <c r="B4885" s="12">
        <f ca="1">IFERROR(__xludf.DUMMYFUNCTION("""COMPUTED_VALUE"""),127895)</f>
        <v>127895</v>
      </c>
      <c r="C4885" s="14">
        <f ca="1">IFERROR(__xludf.DUMMYFUNCTION("""COMPUTED_VALUE"""),5)</f>
        <v>5</v>
      </c>
      <c r="D4885" s="12" t="str">
        <f ca="1">IFERROR(__xludf.DUMMYFUNCTION("""COMPUTED_VALUE"""),"菅野 ぎんが")</f>
        <v>菅野 ぎんが</v>
      </c>
    </row>
    <row r="4886" spans="2:4" ht="13">
      <c r="B4886" s="12">
        <f ca="1">IFERROR(__xludf.DUMMYFUNCTION("""COMPUTED_VALUE"""),127898)</f>
        <v>127898</v>
      </c>
      <c r="C4886" s="14">
        <f ca="1">IFERROR(__xludf.DUMMYFUNCTION("""COMPUTED_VALUE"""),0)</f>
        <v>0</v>
      </c>
      <c r="D4886" s="12" t="str">
        <f ca="1">IFERROR(__xludf.DUMMYFUNCTION("""COMPUTED_VALUE"""),"長谷川 陸朗")</f>
        <v>長谷川 陸朗</v>
      </c>
    </row>
    <row r="4887" spans="2:4" ht="13">
      <c r="B4887" s="12">
        <f ca="1">IFERROR(__xludf.DUMMYFUNCTION("""COMPUTED_VALUE"""),127900)</f>
        <v>127900</v>
      </c>
      <c r="C4887" s="14">
        <f ca="1">IFERROR(__xludf.DUMMYFUNCTION("""COMPUTED_VALUE"""),0)</f>
        <v>0</v>
      </c>
      <c r="D4887" s="12" t="str">
        <f ca="1">IFERROR(__xludf.DUMMYFUNCTION("""COMPUTED_VALUE"""),"成嶋 夏未")</f>
        <v>成嶋 夏未</v>
      </c>
    </row>
    <row r="4888" spans="2:4" ht="13">
      <c r="B4888" s="12">
        <f ca="1">IFERROR(__xludf.DUMMYFUNCTION("""COMPUTED_VALUE"""),127901)</f>
        <v>127901</v>
      </c>
      <c r="C4888" s="14">
        <f ca="1">IFERROR(__xludf.DUMMYFUNCTION("""COMPUTED_VALUE"""),0)</f>
        <v>0</v>
      </c>
      <c r="D4888" s="12" t="str">
        <f ca="1">IFERROR(__xludf.DUMMYFUNCTION("""COMPUTED_VALUE"""),"稲場 勇介")</f>
        <v>稲場 勇介</v>
      </c>
    </row>
    <row r="4889" spans="2:4" ht="13">
      <c r="B4889" s="12">
        <f ca="1">IFERROR(__xludf.DUMMYFUNCTION("""COMPUTED_VALUE"""),127907)</f>
        <v>127907</v>
      </c>
      <c r="C4889" s="14">
        <f ca="1">IFERROR(__xludf.DUMMYFUNCTION("""COMPUTED_VALUE"""),0)</f>
        <v>0</v>
      </c>
      <c r="D4889" s="12" t="str">
        <f ca="1">IFERROR(__xludf.DUMMYFUNCTION("""COMPUTED_VALUE"""),"松尾 尚樹")</f>
        <v>松尾 尚樹</v>
      </c>
    </row>
    <row r="4890" spans="2:4" ht="13">
      <c r="B4890" s="12">
        <f ca="1">IFERROR(__xludf.DUMMYFUNCTION("""COMPUTED_VALUE"""),127910)</f>
        <v>127910</v>
      </c>
      <c r="C4890" s="14">
        <f ca="1">IFERROR(__xludf.DUMMYFUNCTION("""COMPUTED_VALUE"""),0)</f>
        <v>0</v>
      </c>
      <c r="D4890" s="12" t="str">
        <f ca="1">IFERROR(__xludf.DUMMYFUNCTION("""COMPUTED_VALUE"""),"菅野 ぎんが")</f>
        <v>菅野 ぎんが</v>
      </c>
    </row>
    <row r="4891" spans="2:4" ht="13">
      <c r="B4891" s="12">
        <f ca="1">IFERROR(__xludf.DUMMYFUNCTION("""COMPUTED_VALUE"""),127912)</f>
        <v>127912</v>
      </c>
      <c r="C4891" s="14">
        <f ca="1">IFERROR(__xludf.DUMMYFUNCTION("""COMPUTED_VALUE"""),0)</f>
        <v>0</v>
      </c>
      <c r="D4891" s="12" t="str">
        <f ca="1">IFERROR(__xludf.DUMMYFUNCTION("""COMPUTED_VALUE"""),"小関 麻起")</f>
        <v>小関 麻起</v>
      </c>
    </row>
    <row r="4892" spans="2:4" ht="13">
      <c r="B4892" s="12">
        <f ca="1">IFERROR(__xludf.DUMMYFUNCTION("""COMPUTED_VALUE"""),127914)</f>
        <v>127914</v>
      </c>
      <c r="C4892" s="14">
        <f ca="1">IFERROR(__xludf.DUMMYFUNCTION("""COMPUTED_VALUE"""),0)</f>
        <v>0</v>
      </c>
      <c r="D4892" s="12" t="str">
        <f ca="1">IFERROR(__xludf.DUMMYFUNCTION("""COMPUTED_VALUE"""),"内丸 裕子")</f>
        <v>内丸 裕子</v>
      </c>
    </row>
    <row r="4893" spans="2:4" ht="13">
      <c r="B4893" s="12">
        <f ca="1">IFERROR(__xludf.DUMMYFUNCTION("""COMPUTED_VALUE"""),127918)</f>
        <v>127918</v>
      </c>
      <c r="C4893" s="14">
        <f ca="1">IFERROR(__xludf.DUMMYFUNCTION("""COMPUTED_VALUE"""),0)</f>
        <v>0</v>
      </c>
      <c r="D4893" s="12" t="str">
        <f ca="1">IFERROR(__xludf.DUMMYFUNCTION("""COMPUTED_VALUE"""),"小関 麻起")</f>
        <v>小関 麻起</v>
      </c>
    </row>
    <row r="4894" spans="2:4" ht="13">
      <c r="B4894" s="12">
        <f ca="1">IFERROR(__xludf.DUMMYFUNCTION("""COMPUTED_VALUE"""),127921)</f>
        <v>127921</v>
      </c>
      <c r="C4894" s="14">
        <f ca="1">IFERROR(__xludf.DUMMYFUNCTION("""COMPUTED_VALUE"""),0)</f>
        <v>0</v>
      </c>
      <c r="D4894" s="12" t="str">
        <f ca="1">IFERROR(__xludf.DUMMYFUNCTION("""COMPUTED_VALUE"""),"小川 純")</f>
        <v>小川 純</v>
      </c>
    </row>
    <row r="4895" spans="2:4" ht="13">
      <c r="B4895" s="12">
        <f ca="1">IFERROR(__xludf.DUMMYFUNCTION("""COMPUTED_VALUE"""),127925)</f>
        <v>127925</v>
      </c>
      <c r="C4895" s="14">
        <f ca="1">IFERROR(__xludf.DUMMYFUNCTION("""COMPUTED_VALUE"""),3)</f>
        <v>3</v>
      </c>
      <c r="D4895" s="12" t="str">
        <f ca="1">IFERROR(__xludf.DUMMYFUNCTION("""COMPUTED_VALUE"""),"小関 麻起")</f>
        <v>小関 麻起</v>
      </c>
    </row>
    <row r="4896" spans="2:4" ht="13">
      <c r="B4896" s="12">
        <f ca="1">IFERROR(__xludf.DUMMYFUNCTION("""COMPUTED_VALUE"""),127926)</f>
        <v>127926</v>
      </c>
      <c r="C4896" s="14">
        <f ca="1">IFERROR(__xludf.DUMMYFUNCTION("""COMPUTED_VALUE"""),13)</f>
        <v>13</v>
      </c>
      <c r="D4896" s="12" t="str">
        <f ca="1">IFERROR(__xludf.DUMMYFUNCTION("""COMPUTED_VALUE"""),"荻曽 克輝")</f>
        <v>荻曽 克輝</v>
      </c>
    </row>
    <row r="4897" spans="2:4" ht="13">
      <c r="B4897" s="12">
        <f ca="1">IFERROR(__xludf.DUMMYFUNCTION("""COMPUTED_VALUE"""),127929)</f>
        <v>127929</v>
      </c>
      <c r="C4897" s="14">
        <f ca="1">IFERROR(__xludf.DUMMYFUNCTION("""COMPUTED_VALUE"""),0)</f>
        <v>0</v>
      </c>
      <c r="D4897" s="12" t="str">
        <f ca="1">IFERROR(__xludf.DUMMYFUNCTION("""COMPUTED_VALUE"""),"川島 幹也")</f>
        <v>川島 幹也</v>
      </c>
    </row>
    <row r="4898" spans="2:4" ht="13">
      <c r="B4898" s="12">
        <f ca="1">IFERROR(__xludf.DUMMYFUNCTION("""COMPUTED_VALUE"""),127943)</f>
        <v>127943</v>
      </c>
      <c r="C4898" s="14">
        <f ca="1">IFERROR(__xludf.DUMMYFUNCTION("""COMPUTED_VALUE"""),0)</f>
        <v>0</v>
      </c>
      <c r="D4898" s="12" t="str">
        <f ca="1">IFERROR(__xludf.DUMMYFUNCTION("""COMPUTED_VALUE"""),"芳賀 亮輔")</f>
        <v>芳賀 亮輔</v>
      </c>
    </row>
    <row r="4899" spans="2:4" ht="13">
      <c r="B4899" s="12">
        <f ca="1">IFERROR(__xludf.DUMMYFUNCTION("""COMPUTED_VALUE"""),127945)</f>
        <v>127945</v>
      </c>
      <c r="C4899" s="14">
        <f ca="1">IFERROR(__xludf.DUMMYFUNCTION("""COMPUTED_VALUE"""),0)</f>
        <v>0</v>
      </c>
      <c r="D4899" s="12" t="str">
        <f ca="1">IFERROR(__xludf.DUMMYFUNCTION("""COMPUTED_VALUE"""),"老田 純輝")</f>
        <v>老田 純輝</v>
      </c>
    </row>
    <row r="4900" spans="2:4" ht="13">
      <c r="B4900" s="12">
        <f ca="1">IFERROR(__xludf.DUMMYFUNCTION("""COMPUTED_VALUE"""),127966)</f>
        <v>127966</v>
      </c>
      <c r="C4900" s="14">
        <f ca="1">IFERROR(__xludf.DUMMYFUNCTION("""COMPUTED_VALUE"""),0)</f>
        <v>0</v>
      </c>
      <c r="D4900" s="12" t="str">
        <f ca="1">IFERROR(__xludf.DUMMYFUNCTION("""COMPUTED_VALUE"""),"成嶋 夏未")</f>
        <v>成嶋 夏未</v>
      </c>
    </row>
    <row r="4901" spans="2:4" ht="13">
      <c r="B4901" s="12">
        <f ca="1">IFERROR(__xludf.DUMMYFUNCTION("""COMPUTED_VALUE"""),127967)</f>
        <v>127967</v>
      </c>
      <c r="C4901" s="14">
        <f ca="1">IFERROR(__xludf.DUMMYFUNCTION("""COMPUTED_VALUE"""),0)</f>
        <v>0</v>
      </c>
      <c r="D4901" s="12" t="str">
        <f ca="1">IFERROR(__xludf.DUMMYFUNCTION("""COMPUTED_VALUE"""),"辻村 将大")</f>
        <v>辻村 将大</v>
      </c>
    </row>
    <row r="4902" spans="2:4" ht="13">
      <c r="B4902" s="12">
        <f ca="1">IFERROR(__xludf.DUMMYFUNCTION("""COMPUTED_VALUE"""),127975)</f>
        <v>127975</v>
      </c>
      <c r="C4902" s="14">
        <f ca="1">IFERROR(__xludf.DUMMYFUNCTION("""COMPUTED_VALUE"""),3)</f>
        <v>3</v>
      </c>
      <c r="D4902" s="12" t="str">
        <f ca="1">IFERROR(__xludf.DUMMYFUNCTION("""COMPUTED_VALUE"""),"老田 純輝")</f>
        <v>老田 純輝</v>
      </c>
    </row>
    <row r="4903" spans="2:4" ht="13">
      <c r="B4903" s="12">
        <f ca="1">IFERROR(__xludf.DUMMYFUNCTION("""COMPUTED_VALUE"""),127976)</f>
        <v>127976</v>
      </c>
      <c r="C4903" s="14">
        <f ca="1">IFERROR(__xludf.DUMMYFUNCTION("""COMPUTED_VALUE"""),2)</f>
        <v>2</v>
      </c>
      <c r="D4903" s="12" t="str">
        <f ca="1">IFERROR(__xludf.DUMMYFUNCTION("""COMPUTED_VALUE"""),"長谷川 陸朗")</f>
        <v>長谷川 陸朗</v>
      </c>
    </row>
    <row r="4904" spans="2:4" ht="13">
      <c r="B4904" s="12">
        <f ca="1">IFERROR(__xludf.DUMMYFUNCTION("""COMPUTED_VALUE"""),127984)</f>
        <v>127984</v>
      </c>
      <c r="C4904" s="14">
        <f ca="1">IFERROR(__xludf.DUMMYFUNCTION("""COMPUTED_VALUE"""),0)</f>
        <v>0</v>
      </c>
      <c r="D4904" s="12" t="str">
        <f ca="1">IFERROR(__xludf.DUMMYFUNCTION("""COMPUTED_VALUE"""),"菅野 ぎんが")</f>
        <v>菅野 ぎんが</v>
      </c>
    </row>
    <row r="4905" spans="2:4" ht="13">
      <c r="B4905" s="12">
        <f ca="1">IFERROR(__xludf.DUMMYFUNCTION("""COMPUTED_VALUE"""),127985)</f>
        <v>127985</v>
      </c>
      <c r="C4905" s="14">
        <f ca="1">IFERROR(__xludf.DUMMYFUNCTION("""COMPUTED_VALUE"""),0)</f>
        <v>0</v>
      </c>
      <c r="D4905" s="12" t="str">
        <f ca="1">IFERROR(__xludf.DUMMYFUNCTION("""COMPUTED_VALUE"""),"菅野 ぎんが")</f>
        <v>菅野 ぎんが</v>
      </c>
    </row>
    <row r="4906" spans="2:4" ht="13">
      <c r="B4906" s="12">
        <f ca="1">IFERROR(__xludf.DUMMYFUNCTION("""COMPUTED_VALUE"""),127992)</f>
        <v>127992</v>
      </c>
      <c r="C4906" s="14">
        <f ca="1">IFERROR(__xludf.DUMMYFUNCTION("""COMPUTED_VALUE"""),0)</f>
        <v>0</v>
      </c>
      <c r="D4906" s="12" t="str">
        <f ca="1">IFERROR(__xludf.DUMMYFUNCTION("""COMPUTED_VALUE"""),"成嶋 夏未")</f>
        <v>成嶋 夏未</v>
      </c>
    </row>
    <row r="4907" spans="2:4" ht="13">
      <c r="B4907" s="12">
        <f ca="1">IFERROR(__xludf.DUMMYFUNCTION("""COMPUTED_VALUE"""),127996)</f>
        <v>127996</v>
      </c>
      <c r="C4907" s="14">
        <f ca="1">IFERROR(__xludf.DUMMYFUNCTION("""COMPUTED_VALUE"""),0)</f>
        <v>0</v>
      </c>
      <c r="D4907" s="12" t="str">
        <f ca="1">IFERROR(__xludf.DUMMYFUNCTION("""COMPUTED_VALUE"""),"松尾 尚樹")</f>
        <v>松尾 尚樹</v>
      </c>
    </row>
    <row r="4908" spans="2:4" ht="13">
      <c r="B4908" s="12">
        <f ca="1">IFERROR(__xludf.DUMMYFUNCTION("""COMPUTED_VALUE"""),128006)</f>
        <v>128006</v>
      </c>
      <c r="C4908" s="14">
        <f ca="1">IFERROR(__xludf.DUMMYFUNCTION("""COMPUTED_VALUE"""),5)</f>
        <v>5</v>
      </c>
      <c r="D4908" s="12" t="str">
        <f ca="1">IFERROR(__xludf.DUMMYFUNCTION("""COMPUTED_VALUE"""),"稲場 勇介")</f>
        <v>稲場 勇介</v>
      </c>
    </row>
    <row r="4909" spans="2:4" ht="13">
      <c r="B4909" s="12">
        <f ca="1">IFERROR(__xludf.DUMMYFUNCTION("""COMPUTED_VALUE"""),128007)</f>
        <v>128007</v>
      </c>
      <c r="C4909" s="14">
        <f ca="1">IFERROR(__xludf.DUMMYFUNCTION("""COMPUTED_VALUE"""),20)</f>
        <v>20</v>
      </c>
      <c r="D4909" s="12" t="str">
        <f ca="1">IFERROR(__xludf.DUMMYFUNCTION("""COMPUTED_VALUE"""),"桐山 勝気")</f>
        <v>桐山 勝気</v>
      </c>
    </row>
    <row r="4910" spans="2:4" ht="13">
      <c r="B4910" s="12">
        <f ca="1">IFERROR(__xludf.DUMMYFUNCTION("""COMPUTED_VALUE"""),128014)</f>
        <v>128014</v>
      </c>
      <c r="C4910" s="14">
        <f ca="1">IFERROR(__xludf.DUMMYFUNCTION("""COMPUTED_VALUE"""),0)</f>
        <v>0</v>
      </c>
      <c r="D4910" s="12" t="str">
        <f ca="1">IFERROR(__xludf.DUMMYFUNCTION("""COMPUTED_VALUE"""),"桐山 勝気")</f>
        <v>桐山 勝気</v>
      </c>
    </row>
    <row r="4911" spans="2:4" ht="13">
      <c r="B4911" s="12">
        <f ca="1">IFERROR(__xludf.DUMMYFUNCTION("""COMPUTED_VALUE"""),128017)</f>
        <v>128017</v>
      </c>
      <c r="C4911" s="14">
        <f ca="1">IFERROR(__xludf.DUMMYFUNCTION("""COMPUTED_VALUE"""),0)</f>
        <v>0</v>
      </c>
      <c r="D4911" s="12" t="str">
        <f ca="1">IFERROR(__xludf.DUMMYFUNCTION("""COMPUTED_VALUE"""),"芳賀 亮輔")</f>
        <v>芳賀 亮輔</v>
      </c>
    </row>
    <row r="4912" spans="2:4" ht="13">
      <c r="B4912" s="12">
        <f ca="1">IFERROR(__xludf.DUMMYFUNCTION("""COMPUTED_VALUE"""),128021)</f>
        <v>128021</v>
      </c>
      <c r="C4912" s="14">
        <f ca="1">IFERROR(__xludf.DUMMYFUNCTION("""COMPUTED_VALUE"""),0)</f>
        <v>0</v>
      </c>
      <c r="D4912" s="12" t="str">
        <f ca="1">IFERROR(__xludf.DUMMYFUNCTION("""COMPUTED_VALUE"""),"老田 純輝")</f>
        <v>老田 純輝</v>
      </c>
    </row>
    <row r="4913" spans="2:4" ht="13">
      <c r="B4913" s="12">
        <f ca="1">IFERROR(__xludf.DUMMYFUNCTION("""COMPUTED_VALUE"""),128022)</f>
        <v>128022</v>
      </c>
      <c r="C4913" s="14">
        <f ca="1">IFERROR(__xludf.DUMMYFUNCTION("""COMPUTED_VALUE"""),0)</f>
        <v>0</v>
      </c>
      <c r="D4913" s="12" t="str">
        <f ca="1">IFERROR(__xludf.DUMMYFUNCTION("""COMPUTED_VALUE"""),"辻村 将大")</f>
        <v>辻村 将大</v>
      </c>
    </row>
    <row r="4914" spans="2:4" ht="13">
      <c r="B4914" s="12">
        <f ca="1">IFERROR(__xludf.DUMMYFUNCTION("""COMPUTED_VALUE"""),128023)</f>
        <v>128023</v>
      </c>
      <c r="C4914" s="14">
        <f ca="1">IFERROR(__xludf.DUMMYFUNCTION("""COMPUTED_VALUE"""),1)</f>
        <v>1</v>
      </c>
      <c r="D4914" s="12" t="str">
        <f ca="1">IFERROR(__xludf.DUMMYFUNCTION("""COMPUTED_VALUE"""),"老田 純輝")</f>
        <v>老田 純輝</v>
      </c>
    </row>
    <row r="4915" spans="2:4" ht="13">
      <c r="B4915" s="12">
        <f ca="1">IFERROR(__xludf.DUMMYFUNCTION("""COMPUTED_VALUE"""),128031)</f>
        <v>128031</v>
      </c>
      <c r="C4915" s="14">
        <f ca="1">IFERROR(__xludf.DUMMYFUNCTION("""COMPUTED_VALUE"""),0)</f>
        <v>0</v>
      </c>
      <c r="D4915" s="12" t="str">
        <f ca="1">IFERROR(__xludf.DUMMYFUNCTION("""COMPUTED_VALUE"""),"老田 純輝")</f>
        <v>老田 純輝</v>
      </c>
    </row>
    <row r="4916" spans="2:4" ht="13">
      <c r="B4916" s="12">
        <f ca="1">IFERROR(__xludf.DUMMYFUNCTION("""COMPUTED_VALUE"""),128036)</f>
        <v>128036</v>
      </c>
      <c r="C4916" s="14">
        <f ca="1">IFERROR(__xludf.DUMMYFUNCTION("""COMPUTED_VALUE"""),1)</f>
        <v>1</v>
      </c>
      <c r="D4916" s="12" t="str">
        <f ca="1">IFERROR(__xludf.DUMMYFUNCTION("""COMPUTED_VALUE"""),"荻曽 克輝")</f>
        <v>荻曽 克輝</v>
      </c>
    </row>
    <row r="4917" spans="2:4" ht="13">
      <c r="B4917" s="12">
        <f ca="1">IFERROR(__xludf.DUMMYFUNCTION("""COMPUTED_VALUE"""),128037)</f>
        <v>128037</v>
      </c>
      <c r="C4917" s="14">
        <f ca="1">IFERROR(__xludf.DUMMYFUNCTION("""COMPUTED_VALUE"""),0)</f>
        <v>0</v>
      </c>
      <c r="D4917" s="12" t="str">
        <f ca="1">IFERROR(__xludf.DUMMYFUNCTION("""COMPUTED_VALUE"""),"辻村 将大")</f>
        <v>辻村 将大</v>
      </c>
    </row>
    <row r="4918" spans="2:4" ht="13">
      <c r="B4918" s="12">
        <f ca="1">IFERROR(__xludf.DUMMYFUNCTION("""COMPUTED_VALUE"""),128038)</f>
        <v>128038</v>
      </c>
      <c r="C4918" s="14">
        <f ca="1">IFERROR(__xludf.DUMMYFUNCTION("""COMPUTED_VALUE"""),0)</f>
        <v>0</v>
      </c>
      <c r="D4918" s="12" t="str">
        <f ca="1">IFERROR(__xludf.DUMMYFUNCTION("""COMPUTED_VALUE"""),"辻村 将大")</f>
        <v>辻村 将大</v>
      </c>
    </row>
    <row r="4919" spans="2:4" ht="13">
      <c r="B4919" s="12">
        <f ca="1">IFERROR(__xludf.DUMMYFUNCTION("""COMPUTED_VALUE"""),128047)</f>
        <v>128047</v>
      </c>
      <c r="C4919" s="14">
        <f ca="1">IFERROR(__xludf.DUMMYFUNCTION("""COMPUTED_VALUE"""),1)</f>
        <v>1</v>
      </c>
      <c r="D4919" s="12" t="str">
        <f ca="1">IFERROR(__xludf.DUMMYFUNCTION("""COMPUTED_VALUE"""),"松尾 尚樹")</f>
        <v>松尾 尚樹</v>
      </c>
    </row>
    <row r="4920" spans="2:4" ht="13">
      <c r="B4920" s="12">
        <f ca="1">IFERROR(__xludf.DUMMYFUNCTION("""COMPUTED_VALUE"""),128048)</f>
        <v>128048</v>
      </c>
      <c r="C4920" s="14">
        <f ca="1">IFERROR(__xludf.DUMMYFUNCTION("""COMPUTED_VALUE"""),0)</f>
        <v>0</v>
      </c>
      <c r="D4920" s="12" t="str">
        <f ca="1">IFERROR(__xludf.DUMMYFUNCTION("""COMPUTED_VALUE"""),"桐山 勝気")</f>
        <v>桐山 勝気</v>
      </c>
    </row>
    <row r="4921" spans="2:4" ht="13">
      <c r="B4921" s="12">
        <f ca="1">IFERROR(__xludf.DUMMYFUNCTION("""COMPUTED_VALUE"""),128051)</f>
        <v>128051</v>
      </c>
      <c r="C4921" s="14">
        <f ca="1">IFERROR(__xludf.DUMMYFUNCTION("""COMPUTED_VALUE"""),0)</f>
        <v>0</v>
      </c>
      <c r="D4921" s="12" t="str">
        <f ca="1">IFERROR(__xludf.DUMMYFUNCTION("""COMPUTED_VALUE"""),"成嶋 夏未")</f>
        <v>成嶋 夏未</v>
      </c>
    </row>
    <row r="4922" spans="2:4" ht="13">
      <c r="B4922" s="12">
        <f ca="1">IFERROR(__xludf.DUMMYFUNCTION("""COMPUTED_VALUE"""),128052)</f>
        <v>128052</v>
      </c>
      <c r="C4922" s="14">
        <f ca="1">IFERROR(__xludf.DUMMYFUNCTION("""COMPUTED_VALUE"""),0)</f>
        <v>0</v>
      </c>
      <c r="D4922" s="12" t="str">
        <f ca="1">IFERROR(__xludf.DUMMYFUNCTION("""COMPUTED_VALUE"""),"小関 麻起")</f>
        <v>小関 麻起</v>
      </c>
    </row>
    <row r="4923" spans="2:4" ht="13">
      <c r="B4923" s="12">
        <f ca="1">IFERROR(__xludf.DUMMYFUNCTION("""COMPUTED_VALUE"""),128054)</f>
        <v>128054</v>
      </c>
      <c r="C4923" s="14">
        <f ca="1">IFERROR(__xludf.DUMMYFUNCTION("""COMPUTED_VALUE"""),0)</f>
        <v>0</v>
      </c>
      <c r="D4923" s="12" t="str">
        <f ca="1">IFERROR(__xludf.DUMMYFUNCTION("""COMPUTED_VALUE"""),"成嶋 夏未")</f>
        <v>成嶋 夏未</v>
      </c>
    </row>
    <row r="4924" spans="2:4" ht="13">
      <c r="B4924" s="12">
        <f ca="1">IFERROR(__xludf.DUMMYFUNCTION("""COMPUTED_VALUE"""),128062)</f>
        <v>128062</v>
      </c>
      <c r="C4924" s="14">
        <f ca="1">IFERROR(__xludf.DUMMYFUNCTION("""COMPUTED_VALUE"""),0)</f>
        <v>0</v>
      </c>
      <c r="D4924" s="12" t="str">
        <f ca="1">IFERROR(__xludf.DUMMYFUNCTION("""COMPUTED_VALUE"""),"桐山 勝気")</f>
        <v>桐山 勝気</v>
      </c>
    </row>
    <row r="4925" spans="2:4" ht="13">
      <c r="B4925" s="12">
        <f ca="1">IFERROR(__xludf.DUMMYFUNCTION("""COMPUTED_VALUE"""),128069)</f>
        <v>128069</v>
      </c>
      <c r="C4925" s="14">
        <f ca="1">IFERROR(__xludf.DUMMYFUNCTION("""COMPUTED_VALUE"""),0)</f>
        <v>0</v>
      </c>
      <c r="D4925" s="12" t="str">
        <f ca="1">IFERROR(__xludf.DUMMYFUNCTION("""COMPUTED_VALUE"""),"荻曽 克輝")</f>
        <v>荻曽 克輝</v>
      </c>
    </row>
    <row r="4926" spans="2:4" ht="13">
      <c r="B4926" s="12">
        <f ca="1">IFERROR(__xludf.DUMMYFUNCTION("""COMPUTED_VALUE"""),128071)</f>
        <v>128071</v>
      </c>
      <c r="C4926" s="14">
        <f ca="1">IFERROR(__xludf.DUMMYFUNCTION("""COMPUTED_VALUE"""),38)</f>
        <v>38</v>
      </c>
      <c r="D4926" s="12" t="str">
        <f ca="1">IFERROR(__xludf.DUMMYFUNCTION("""COMPUTED_VALUE"""),"栗原 大武")</f>
        <v>栗原 大武</v>
      </c>
    </row>
    <row r="4927" spans="2:4" ht="13">
      <c r="B4927" s="12">
        <f ca="1">IFERROR(__xludf.DUMMYFUNCTION("""COMPUTED_VALUE"""),128077)</f>
        <v>128077</v>
      </c>
      <c r="C4927" s="14">
        <f ca="1">IFERROR(__xludf.DUMMYFUNCTION("""COMPUTED_VALUE"""),2)</f>
        <v>2</v>
      </c>
      <c r="D4927" s="12" t="str">
        <f ca="1">IFERROR(__xludf.DUMMYFUNCTION("""COMPUTED_VALUE"""),"長谷川 陸朗")</f>
        <v>長谷川 陸朗</v>
      </c>
    </row>
    <row r="4928" spans="2:4" ht="13">
      <c r="B4928" s="12">
        <f ca="1">IFERROR(__xludf.DUMMYFUNCTION("""COMPUTED_VALUE"""),128079)</f>
        <v>128079</v>
      </c>
      <c r="C4928" s="14">
        <f ca="1">IFERROR(__xludf.DUMMYFUNCTION("""COMPUTED_VALUE"""),0)</f>
        <v>0</v>
      </c>
      <c r="D4928" s="12" t="str">
        <f ca="1">IFERROR(__xludf.DUMMYFUNCTION("""COMPUTED_VALUE"""),"稲場 勇介")</f>
        <v>稲場 勇介</v>
      </c>
    </row>
    <row r="4929" spans="2:4" ht="13">
      <c r="B4929" s="12">
        <f ca="1">IFERROR(__xludf.DUMMYFUNCTION("""COMPUTED_VALUE"""),128083)</f>
        <v>128083</v>
      </c>
      <c r="C4929" s="14">
        <f ca="1">IFERROR(__xludf.DUMMYFUNCTION("""COMPUTED_VALUE"""),0)</f>
        <v>0</v>
      </c>
      <c r="D4929" s="12" t="str">
        <f ca="1">IFERROR(__xludf.DUMMYFUNCTION("""COMPUTED_VALUE"""),"小川 純")</f>
        <v>小川 純</v>
      </c>
    </row>
    <row r="4930" spans="2:4" ht="13">
      <c r="B4930" s="12">
        <f ca="1">IFERROR(__xludf.DUMMYFUNCTION("""COMPUTED_VALUE"""),128086)</f>
        <v>128086</v>
      </c>
      <c r="C4930" s="14">
        <f ca="1">IFERROR(__xludf.DUMMYFUNCTION("""COMPUTED_VALUE"""),0)</f>
        <v>0</v>
      </c>
      <c r="D4930" s="12" t="str">
        <f ca="1">IFERROR(__xludf.DUMMYFUNCTION("""COMPUTED_VALUE"""),"稲場 勇介")</f>
        <v>稲場 勇介</v>
      </c>
    </row>
    <row r="4931" spans="2:4" ht="13">
      <c r="B4931" s="12">
        <f ca="1">IFERROR(__xludf.DUMMYFUNCTION("""COMPUTED_VALUE"""),128089)</f>
        <v>128089</v>
      </c>
      <c r="C4931" s="14">
        <f ca="1">IFERROR(__xludf.DUMMYFUNCTION("""COMPUTED_VALUE"""),0)</f>
        <v>0</v>
      </c>
      <c r="D4931" s="12" t="str">
        <f ca="1">IFERROR(__xludf.DUMMYFUNCTION("""COMPUTED_VALUE"""),"稲場 勇介")</f>
        <v>稲場 勇介</v>
      </c>
    </row>
    <row r="4932" spans="2:4" ht="13">
      <c r="B4932" s="12">
        <f ca="1">IFERROR(__xludf.DUMMYFUNCTION("""COMPUTED_VALUE"""),128097)</f>
        <v>128097</v>
      </c>
      <c r="C4932" s="14">
        <f ca="1">IFERROR(__xludf.DUMMYFUNCTION("""COMPUTED_VALUE"""),4)</f>
        <v>4</v>
      </c>
      <c r="D4932" s="12" t="str">
        <f ca="1">IFERROR(__xludf.DUMMYFUNCTION("""COMPUTED_VALUE"""),"老田 純輝")</f>
        <v>老田 純輝</v>
      </c>
    </row>
    <row r="4933" spans="2:4" ht="13">
      <c r="B4933" s="12">
        <f ca="1">IFERROR(__xludf.DUMMYFUNCTION("""COMPUTED_VALUE"""),128098)</f>
        <v>128098</v>
      </c>
      <c r="C4933" s="14">
        <f ca="1">IFERROR(__xludf.DUMMYFUNCTION("""COMPUTED_VALUE"""),0)</f>
        <v>0</v>
      </c>
      <c r="D4933" s="12" t="str">
        <f ca="1">IFERROR(__xludf.DUMMYFUNCTION("""COMPUTED_VALUE"""),"辻村 将大")</f>
        <v>辻村 将大</v>
      </c>
    </row>
    <row r="4934" spans="2:4" ht="13">
      <c r="B4934" s="12">
        <f ca="1">IFERROR(__xludf.DUMMYFUNCTION("""COMPUTED_VALUE"""),128104)</f>
        <v>128104</v>
      </c>
      <c r="C4934" s="14">
        <f ca="1">IFERROR(__xludf.DUMMYFUNCTION("""COMPUTED_VALUE"""),0)</f>
        <v>0</v>
      </c>
      <c r="D4934" s="12" t="str">
        <f ca="1">IFERROR(__xludf.DUMMYFUNCTION("""COMPUTED_VALUE"""),"堀越 駿")</f>
        <v>堀越 駿</v>
      </c>
    </row>
    <row r="4935" spans="2:4" ht="13">
      <c r="B4935" s="12">
        <f ca="1">IFERROR(__xludf.DUMMYFUNCTION("""COMPUTED_VALUE"""),128115)</f>
        <v>128115</v>
      </c>
      <c r="C4935" s="14">
        <f ca="1">IFERROR(__xludf.DUMMYFUNCTION("""COMPUTED_VALUE"""),2)</f>
        <v>2</v>
      </c>
      <c r="D4935" s="12" t="str">
        <f ca="1">IFERROR(__xludf.DUMMYFUNCTION("""COMPUTED_VALUE"""),"大木 優香")</f>
        <v>大木 優香</v>
      </c>
    </row>
    <row r="4936" spans="2:4" ht="13">
      <c r="B4936" s="12">
        <f ca="1">IFERROR(__xludf.DUMMYFUNCTION("""COMPUTED_VALUE"""),128127)</f>
        <v>128127</v>
      </c>
      <c r="C4936" s="14">
        <f ca="1">IFERROR(__xludf.DUMMYFUNCTION("""COMPUTED_VALUE"""),0)</f>
        <v>0</v>
      </c>
      <c r="D4936" s="12" t="str">
        <f ca="1">IFERROR(__xludf.DUMMYFUNCTION("""COMPUTED_VALUE"""),"長谷川 陸朗")</f>
        <v>長谷川 陸朗</v>
      </c>
    </row>
    <row r="4937" spans="2:4" ht="13">
      <c r="B4937" s="12">
        <f ca="1">IFERROR(__xludf.DUMMYFUNCTION("""COMPUTED_VALUE"""),128128)</f>
        <v>128128</v>
      </c>
      <c r="C4937" s="14">
        <f ca="1">IFERROR(__xludf.DUMMYFUNCTION("""COMPUTED_VALUE"""),0)</f>
        <v>0</v>
      </c>
      <c r="D4937" s="12" t="str">
        <f ca="1">IFERROR(__xludf.DUMMYFUNCTION("""COMPUTED_VALUE"""),"栗原 大武")</f>
        <v>栗原 大武</v>
      </c>
    </row>
    <row r="4938" spans="2:4" ht="13">
      <c r="B4938" s="12">
        <f ca="1">IFERROR(__xludf.DUMMYFUNCTION("""COMPUTED_VALUE"""),128132)</f>
        <v>128132</v>
      </c>
      <c r="C4938" s="14">
        <f ca="1">IFERROR(__xludf.DUMMYFUNCTION("""COMPUTED_VALUE"""),70)</f>
        <v>70</v>
      </c>
      <c r="D4938" s="12" t="str">
        <f ca="1">IFERROR(__xludf.DUMMYFUNCTION("""COMPUTED_VALUE"""),"小川 純")</f>
        <v>小川 純</v>
      </c>
    </row>
    <row r="4939" spans="2:4" ht="13">
      <c r="B4939" s="12">
        <f ca="1">IFERROR(__xludf.DUMMYFUNCTION("""COMPUTED_VALUE"""),128136)</f>
        <v>128136</v>
      </c>
      <c r="C4939" s="14">
        <f ca="1">IFERROR(__xludf.DUMMYFUNCTION("""COMPUTED_VALUE"""),3)</f>
        <v>3</v>
      </c>
      <c r="D4939" s="12" t="str">
        <f ca="1">IFERROR(__xludf.DUMMYFUNCTION("""COMPUTED_VALUE"""),"内丸 裕子")</f>
        <v>内丸 裕子</v>
      </c>
    </row>
    <row r="4940" spans="2:4" ht="13">
      <c r="B4940" s="12">
        <f ca="1">IFERROR(__xludf.DUMMYFUNCTION("""COMPUTED_VALUE"""),128146)</f>
        <v>128146</v>
      </c>
      <c r="C4940" s="14">
        <f ca="1">IFERROR(__xludf.DUMMYFUNCTION("""COMPUTED_VALUE"""),3)</f>
        <v>3</v>
      </c>
      <c r="D4940" s="12" t="str">
        <f ca="1">IFERROR(__xludf.DUMMYFUNCTION("""COMPUTED_VALUE"""),"菅野 ぎんが")</f>
        <v>菅野 ぎんが</v>
      </c>
    </row>
    <row r="4941" spans="2:4" ht="13">
      <c r="B4941" s="12">
        <f ca="1">IFERROR(__xludf.DUMMYFUNCTION("""COMPUTED_VALUE"""),128149)</f>
        <v>128149</v>
      </c>
      <c r="C4941" s="14">
        <f ca="1">IFERROR(__xludf.DUMMYFUNCTION("""COMPUTED_VALUE"""),5)</f>
        <v>5</v>
      </c>
      <c r="D4941" s="12" t="str">
        <f ca="1">IFERROR(__xludf.DUMMYFUNCTION("""COMPUTED_VALUE"""),"内丸 裕子")</f>
        <v>内丸 裕子</v>
      </c>
    </row>
    <row r="4942" spans="2:4" ht="13">
      <c r="B4942" s="12">
        <f ca="1">IFERROR(__xludf.DUMMYFUNCTION("""COMPUTED_VALUE"""),128153)</f>
        <v>128153</v>
      </c>
      <c r="C4942" s="14">
        <f ca="1">IFERROR(__xludf.DUMMYFUNCTION("""COMPUTED_VALUE"""),4)</f>
        <v>4</v>
      </c>
      <c r="D4942" s="12" t="str">
        <f ca="1">IFERROR(__xludf.DUMMYFUNCTION("""COMPUTED_VALUE"""),"村上 浩一朗")</f>
        <v>村上 浩一朗</v>
      </c>
    </row>
    <row r="4943" spans="2:4" ht="13">
      <c r="B4943" s="12">
        <f ca="1">IFERROR(__xludf.DUMMYFUNCTION("""COMPUTED_VALUE"""),128159)</f>
        <v>128159</v>
      </c>
      <c r="C4943" s="14">
        <f ca="1">IFERROR(__xludf.DUMMYFUNCTION("""COMPUTED_VALUE"""),9)</f>
        <v>9</v>
      </c>
      <c r="D4943" s="12" t="str">
        <f ca="1">IFERROR(__xludf.DUMMYFUNCTION("""COMPUTED_VALUE"""),"成嶋 夏未")</f>
        <v>成嶋 夏未</v>
      </c>
    </row>
    <row r="4944" spans="2:4" ht="13">
      <c r="B4944" s="12">
        <f ca="1">IFERROR(__xludf.DUMMYFUNCTION("""COMPUTED_VALUE"""),128160)</f>
        <v>128160</v>
      </c>
      <c r="C4944" s="14">
        <f ca="1">IFERROR(__xludf.DUMMYFUNCTION("""COMPUTED_VALUE"""),0)</f>
        <v>0</v>
      </c>
      <c r="D4944" s="12" t="str">
        <f ca="1">IFERROR(__xludf.DUMMYFUNCTION("""COMPUTED_VALUE"""),"稲場 勇介")</f>
        <v>稲場 勇介</v>
      </c>
    </row>
    <row r="4945" spans="2:4" ht="13">
      <c r="B4945" s="12">
        <f ca="1">IFERROR(__xludf.DUMMYFUNCTION("""COMPUTED_VALUE"""),128162)</f>
        <v>128162</v>
      </c>
      <c r="C4945" s="14">
        <f ca="1">IFERROR(__xludf.DUMMYFUNCTION("""COMPUTED_VALUE"""),0)</f>
        <v>0</v>
      </c>
      <c r="D4945" s="12" t="str">
        <f ca="1">IFERROR(__xludf.DUMMYFUNCTION("""COMPUTED_VALUE"""),"小川 純")</f>
        <v>小川 純</v>
      </c>
    </row>
    <row r="4946" spans="2:4" ht="13">
      <c r="B4946" s="12">
        <f ca="1">IFERROR(__xludf.DUMMYFUNCTION("""COMPUTED_VALUE"""),128163)</f>
        <v>128163</v>
      </c>
      <c r="C4946" s="14">
        <f ca="1">IFERROR(__xludf.DUMMYFUNCTION("""COMPUTED_VALUE"""),2)</f>
        <v>2</v>
      </c>
      <c r="D4946" s="12" t="str">
        <f ca="1">IFERROR(__xludf.DUMMYFUNCTION("""COMPUTED_VALUE"""),"稲場 勇介")</f>
        <v>稲場 勇介</v>
      </c>
    </row>
    <row r="4947" spans="2:4" ht="13">
      <c r="B4947" s="12">
        <f ca="1">IFERROR(__xludf.DUMMYFUNCTION("""COMPUTED_VALUE"""),128165)</f>
        <v>128165</v>
      </c>
      <c r="C4947" s="14">
        <f ca="1">IFERROR(__xludf.DUMMYFUNCTION("""COMPUTED_VALUE"""),0)</f>
        <v>0</v>
      </c>
      <c r="D4947" s="12" t="str">
        <f ca="1">IFERROR(__xludf.DUMMYFUNCTION("""COMPUTED_VALUE"""),"荻曽 克輝")</f>
        <v>荻曽 克輝</v>
      </c>
    </row>
    <row r="4948" spans="2:4" ht="13">
      <c r="B4948" s="12">
        <f ca="1">IFERROR(__xludf.DUMMYFUNCTION("""COMPUTED_VALUE"""),128167)</f>
        <v>128167</v>
      </c>
      <c r="C4948" s="14">
        <f ca="1">IFERROR(__xludf.DUMMYFUNCTION("""COMPUTED_VALUE"""),2)</f>
        <v>2</v>
      </c>
      <c r="D4948" s="12" t="str">
        <f ca="1">IFERROR(__xludf.DUMMYFUNCTION("""COMPUTED_VALUE"""),"老田 純輝")</f>
        <v>老田 純輝</v>
      </c>
    </row>
    <row r="4949" spans="2:4" ht="13">
      <c r="B4949" s="12">
        <f ca="1">IFERROR(__xludf.DUMMYFUNCTION("""COMPUTED_VALUE"""),128174)</f>
        <v>128174</v>
      </c>
      <c r="C4949" s="14">
        <f ca="1">IFERROR(__xludf.DUMMYFUNCTION("""COMPUTED_VALUE"""),0)</f>
        <v>0</v>
      </c>
      <c r="D4949" s="12" t="str">
        <f ca="1">IFERROR(__xludf.DUMMYFUNCTION("""COMPUTED_VALUE"""),"菅野 ぎんが")</f>
        <v>菅野 ぎんが</v>
      </c>
    </row>
    <row r="4950" spans="2:4" ht="13">
      <c r="B4950" s="12">
        <f ca="1">IFERROR(__xludf.DUMMYFUNCTION("""COMPUTED_VALUE"""),128183)</f>
        <v>128183</v>
      </c>
      <c r="C4950" s="14">
        <f ca="1">IFERROR(__xludf.DUMMYFUNCTION("""COMPUTED_VALUE"""),0)</f>
        <v>0</v>
      </c>
      <c r="D4950" s="12" t="str">
        <f ca="1">IFERROR(__xludf.DUMMYFUNCTION("""COMPUTED_VALUE"""),"小川 純")</f>
        <v>小川 純</v>
      </c>
    </row>
    <row r="4951" spans="2:4" ht="13">
      <c r="B4951" s="12">
        <f ca="1">IFERROR(__xludf.DUMMYFUNCTION("""COMPUTED_VALUE"""),128184)</f>
        <v>128184</v>
      </c>
      <c r="C4951" s="14">
        <f ca="1">IFERROR(__xludf.DUMMYFUNCTION("""COMPUTED_VALUE"""),0)</f>
        <v>0</v>
      </c>
      <c r="D4951" s="12" t="str">
        <f ca="1">IFERROR(__xludf.DUMMYFUNCTION("""COMPUTED_VALUE"""),"小川 純")</f>
        <v>小川 純</v>
      </c>
    </row>
    <row r="4952" spans="2:4" ht="13">
      <c r="B4952" s="12">
        <f ca="1">IFERROR(__xludf.DUMMYFUNCTION("""COMPUTED_VALUE"""),128191)</f>
        <v>128191</v>
      </c>
      <c r="C4952" s="14">
        <f ca="1">IFERROR(__xludf.DUMMYFUNCTION("""COMPUTED_VALUE"""),0)</f>
        <v>0</v>
      </c>
      <c r="D4952" s="12" t="str">
        <f ca="1">IFERROR(__xludf.DUMMYFUNCTION("""COMPUTED_VALUE"""),"辻村 将大")</f>
        <v>辻村 将大</v>
      </c>
    </row>
    <row r="4953" spans="2:4" ht="13">
      <c r="B4953" s="12">
        <f ca="1">IFERROR(__xludf.DUMMYFUNCTION("""COMPUTED_VALUE"""),128199)</f>
        <v>128199</v>
      </c>
      <c r="C4953" s="14">
        <f ca="1">IFERROR(__xludf.DUMMYFUNCTION("""COMPUTED_VALUE"""),0)</f>
        <v>0</v>
      </c>
      <c r="D4953" s="12" t="str">
        <f ca="1">IFERROR(__xludf.DUMMYFUNCTION("""COMPUTED_VALUE"""),"小関 麻起")</f>
        <v>小関 麻起</v>
      </c>
    </row>
    <row r="4954" spans="2:4" ht="13">
      <c r="B4954" s="12">
        <f ca="1">IFERROR(__xludf.DUMMYFUNCTION("""COMPUTED_VALUE"""),128202)</f>
        <v>128202</v>
      </c>
      <c r="C4954" s="14">
        <f ca="1">IFERROR(__xludf.DUMMYFUNCTION("""COMPUTED_VALUE"""),0)</f>
        <v>0</v>
      </c>
      <c r="D4954" s="12" t="str">
        <f ca="1">IFERROR(__xludf.DUMMYFUNCTION("""COMPUTED_VALUE"""),"荻曽 克輝")</f>
        <v>荻曽 克輝</v>
      </c>
    </row>
    <row r="4955" spans="2:4" ht="13">
      <c r="B4955" s="12">
        <f ca="1">IFERROR(__xludf.DUMMYFUNCTION("""COMPUTED_VALUE"""),128207)</f>
        <v>128207</v>
      </c>
      <c r="C4955" s="14">
        <f ca="1">IFERROR(__xludf.DUMMYFUNCTION("""COMPUTED_VALUE"""),0)</f>
        <v>0</v>
      </c>
      <c r="D4955" s="12" t="str">
        <f ca="1">IFERROR(__xludf.DUMMYFUNCTION("""COMPUTED_VALUE"""),"桐山 勝気")</f>
        <v>桐山 勝気</v>
      </c>
    </row>
    <row r="4956" spans="2:4" ht="13">
      <c r="B4956" s="12">
        <f ca="1">IFERROR(__xludf.DUMMYFUNCTION("""COMPUTED_VALUE"""),128212)</f>
        <v>128212</v>
      </c>
      <c r="C4956" s="14">
        <f ca="1">IFERROR(__xludf.DUMMYFUNCTION("""COMPUTED_VALUE"""),0)</f>
        <v>0</v>
      </c>
      <c r="D4956" s="12" t="str">
        <f ca="1">IFERROR(__xludf.DUMMYFUNCTION("""COMPUTED_VALUE"""),"桑原 明子")</f>
        <v>桑原 明子</v>
      </c>
    </row>
    <row r="4957" spans="2:4" ht="13">
      <c r="B4957" s="12">
        <f ca="1">IFERROR(__xludf.DUMMYFUNCTION("""COMPUTED_VALUE"""),128216)</f>
        <v>128216</v>
      </c>
      <c r="C4957" s="14">
        <f ca="1">IFERROR(__xludf.DUMMYFUNCTION("""COMPUTED_VALUE"""),0)</f>
        <v>0</v>
      </c>
      <c r="D4957" s="12" t="str">
        <f ca="1">IFERROR(__xludf.DUMMYFUNCTION("""COMPUTED_VALUE"""),"稲場 勇介")</f>
        <v>稲場 勇介</v>
      </c>
    </row>
    <row r="4958" spans="2:4" ht="13">
      <c r="B4958" s="12">
        <f ca="1">IFERROR(__xludf.DUMMYFUNCTION("""COMPUTED_VALUE"""),128217)</f>
        <v>128217</v>
      </c>
      <c r="C4958" s="14">
        <f ca="1">IFERROR(__xludf.DUMMYFUNCTION("""COMPUTED_VALUE"""),22)</f>
        <v>22</v>
      </c>
      <c r="D4958" s="12" t="str">
        <f ca="1">IFERROR(__xludf.DUMMYFUNCTION("""COMPUTED_VALUE"""),"小関 麻起")</f>
        <v>小関 麻起</v>
      </c>
    </row>
    <row r="4959" spans="2:4" ht="13">
      <c r="B4959" s="12">
        <f ca="1">IFERROR(__xludf.DUMMYFUNCTION("""COMPUTED_VALUE"""),128219)</f>
        <v>128219</v>
      </c>
      <c r="C4959" s="14">
        <f ca="1">IFERROR(__xludf.DUMMYFUNCTION("""COMPUTED_VALUE"""),0)</f>
        <v>0</v>
      </c>
      <c r="D4959" s="12" t="str">
        <f ca="1">IFERROR(__xludf.DUMMYFUNCTION("""COMPUTED_VALUE"""),"小関 麻起")</f>
        <v>小関 麻起</v>
      </c>
    </row>
    <row r="4960" spans="2:4" ht="13">
      <c r="B4960" s="12">
        <f ca="1">IFERROR(__xludf.DUMMYFUNCTION("""COMPUTED_VALUE"""),128230)</f>
        <v>128230</v>
      </c>
      <c r="C4960" s="14">
        <f ca="1">IFERROR(__xludf.DUMMYFUNCTION("""COMPUTED_VALUE"""),74)</f>
        <v>74</v>
      </c>
      <c r="D4960" s="12" t="str">
        <f ca="1">IFERROR(__xludf.DUMMYFUNCTION("""COMPUTED_VALUE"""),"辻村 将大")</f>
        <v>辻村 将大</v>
      </c>
    </row>
    <row r="4961" spans="2:4" ht="13">
      <c r="B4961" s="12">
        <f ca="1">IFERROR(__xludf.DUMMYFUNCTION("""COMPUTED_VALUE"""),128231)</f>
        <v>128231</v>
      </c>
      <c r="C4961" s="14">
        <f ca="1">IFERROR(__xludf.DUMMYFUNCTION("""COMPUTED_VALUE"""),2)</f>
        <v>2</v>
      </c>
      <c r="D4961" s="12" t="str">
        <f ca="1">IFERROR(__xludf.DUMMYFUNCTION("""COMPUTED_VALUE"""),"桑原 明子")</f>
        <v>桑原 明子</v>
      </c>
    </row>
    <row r="4962" spans="2:4" ht="13">
      <c r="B4962" s="12">
        <f ca="1">IFERROR(__xludf.DUMMYFUNCTION("""COMPUTED_VALUE"""),128233)</f>
        <v>128233</v>
      </c>
      <c r="C4962" s="14">
        <f ca="1">IFERROR(__xludf.DUMMYFUNCTION("""COMPUTED_VALUE"""),5)</f>
        <v>5</v>
      </c>
      <c r="D4962" s="12" t="str">
        <f ca="1">IFERROR(__xludf.DUMMYFUNCTION("""COMPUTED_VALUE"""),"小川 純")</f>
        <v>小川 純</v>
      </c>
    </row>
    <row r="4963" spans="2:4" ht="13">
      <c r="B4963" s="12">
        <f ca="1">IFERROR(__xludf.DUMMYFUNCTION("""COMPUTED_VALUE"""),128237)</f>
        <v>128237</v>
      </c>
      <c r="C4963" s="14">
        <f ca="1">IFERROR(__xludf.DUMMYFUNCTION("""COMPUTED_VALUE"""),0)</f>
        <v>0</v>
      </c>
      <c r="D4963" s="12" t="str">
        <f ca="1">IFERROR(__xludf.DUMMYFUNCTION("""COMPUTED_VALUE"""),"芳賀 亮輔")</f>
        <v>芳賀 亮輔</v>
      </c>
    </row>
    <row r="4964" spans="2:4" ht="13">
      <c r="B4964" s="12">
        <f ca="1">IFERROR(__xludf.DUMMYFUNCTION("""COMPUTED_VALUE"""),128248)</f>
        <v>128248</v>
      </c>
      <c r="C4964" s="14">
        <f ca="1">IFERROR(__xludf.DUMMYFUNCTION("""COMPUTED_VALUE"""),3)</f>
        <v>3</v>
      </c>
      <c r="D4964" s="12" t="str">
        <f ca="1">IFERROR(__xludf.DUMMYFUNCTION("""COMPUTED_VALUE"""),"渋谷 雄大")</f>
        <v>渋谷 雄大</v>
      </c>
    </row>
    <row r="4965" spans="2:4" ht="13">
      <c r="B4965" s="12">
        <f ca="1">IFERROR(__xludf.DUMMYFUNCTION("""COMPUTED_VALUE"""),128249)</f>
        <v>128249</v>
      </c>
      <c r="C4965" s="14">
        <f ca="1">IFERROR(__xludf.DUMMYFUNCTION("""COMPUTED_VALUE"""),3)</f>
        <v>3</v>
      </c>
      <c r="D4965" s="12" t="str">
        <f ca="1">IFERROR(__xludf.DUMMYFUNCTION("""COMPUTED_VALUE"""),"渋谷 雄大")</f>
        <v>渋谷 雄大</v>
      </c>
    </row>
    <row r="4966" spans="2:4" ht="13">
      <c r="B4966" s="12">
        <f ca="1">IFERROR(__xludf.DUMMYFUNCTION("""COMPUTED_VALUE"""),128251)</f>
        <v>128251</v>
      </c>
      <c r="C4966" s="14">
        <f ca="1">IFERROR(__xludf.DUMMYFUNCTION("""COMPUTED_VALUE"""),0)</f>
        <v>0</v>
      </c>
      <c r="D4966" s="12" t="str">
        <f ca="1">IFERROR(__xludf.DUMMYFUNCTION("""COMPUTED_VALUE"""),"桑原 明子")</f>
        <v>桑原 明子</v>
      </c>
    </row>
    <row r="4967" spans="2:4" ht="13">
      <c r="B4967" s="12">
        <f ca="1">IFERROR(__xludf.DUMMYFUNCTION("""COMPUTED_VALUE"""),128252)</f>
        <v>128252</v>
      </c>
      <c r="C4967" s="14">
        <f ca="1">IFERROR(__xludf.DUMMYFUNCTION("""COMPUTED_VALUE"""),2)</f>
        <v>2</v>
      </c>
      <c r="D4967" s="12" t="str">
        <f ca="1">IFERROR(__xludf.DUMMYFUNCTION("""COMPUTED_VALUE"""),"菅野 ぎんが")</f>
        <v>菅野 ぎんが</v>
      </c>
    </row>
    <row r="4968" spans="2:4" ht="13">
      <c r="B4968" s="12">
        <f ca="1">IFERROR(__xludf.DUMMYFUNCTION("""COMPUTED_VALUE"""),128254)</f>
        <v>128254</v>
      </c>
      <c r="C4968" s="14">
        <f ca="1">IFERROR(__xludf.DUMMYFUNCTION("""COMPUTED_VALUE"""),21)</f>
        <v>21</v>
      </c>
      <c r="D4968" s="12" t="str">
        <f ca="1">IFERROR(__xludf.DUMMYFUNCTION("""COMPUTED_VALUE"""),"桑原 明子")</f>
        <v>桑原 明子</v>
      </c>
    </row>
    <row r="4969" spans="2:4" ht="13">
      <c r="B4969" s="12">
        <f ca="1">IFERROR(__xludf.DUMMYFUNCTION("""COMPUTED_VALUE"""),128256)</f>
        <v>128256</v>
      </c>
      <c r="C4969" s="14">
        <f ca="1">IFERROR(__xludf.DUMMYFUNCTION("""COMPUTED_VALUE"""),0)</f>
        <v>0</v>
      </c>
      <c r="D4969" s="12" t="str">
        <f ca="1">IFERROR(__xludf.DUMMYFUNCTION("""COMPUTED_VALUE"""),"辻村 将大")</f>
        <v>辻村 将大</v>
      </c>
    </row>
    <row r="4970" spans="2:4" ht="13">
      <c r="B4970" s="12">
        <f ca="1">IFERROR(__xludf.DUMMYFUNCTION("""COMPUTED_VALUE"""),128264)</f>
        <v>128264</v>
      </c>
      <c r="C4970" s="14">
        <f ca="1">IFERROR(__xludf.DUMMYFUNCTION("""COMPUTED_VALUE"""),0)</f>
        <v>0</v>
      </c>
      <c r="D4970" s="12" t="str">
        <f ca="1">IFERROR(__xludf.DUMMYFUNCTION("""COMPUTED_VALUE"""),"森 光智")</f>
        <v>森 光智</v>
      </c>
    </row>
    <row r="4971" spans="2:4" ht="13">
      <c r="B4971" s="12">
        <f ca="1">IFERROR(__xludf.DUMMYFUNCTION("""COMPUTED_VALUE"""),128268)</f>
        <v>128268</v>
      </c>
      <c r="C4971" s="14">
        <f ca="1">IFERROR(__xludf.DUMMYFUNCTION("""COMPUTED_VALUE"""),0)</f>
        <v>0</v>
      </c>
      <c r="D4971" s="12" t="str">
        <f ca="1">IFERROR(__xludf.DUMMYFUNCTION("""COMPUTED_VALUE"""),"老田 純輝")</f>
        <v>老田 純輝</v>
      </c>
    </row>
    <row r="4972" spans="2:4" ht="13">
      <c r="B4972" s="12">
        <f ca="1">IFERROR(__xludf.DUMMYFUNCTION("""COMPUTED_VALUE"""),128270)</f>
        <v>128270</v>
      </c>
      <c r="C4972" s="14">
        <f ca="1">IFERROR(__xludf.DUMMYFUNCTION("""COMPUTED_VALUE"""),0)</f>
        <v>0</v>
      </c>
      <c r="D4972" s="12" t="str">
        <f ca="1">IFERROR(__xludf.DUMMYFUNCTION("""COMPUTED_VALUE"""),"老田 純輝")</f>
        <v>老田 純輝</v>
      </c>
    </row>
    <row r="4973" spans="2:4" ht="13">
      <c r="B4973" s="12">
        <f ca="1">IFERROR(__xludf.DUMMYFUNCTION("""COMPUTED_VALUE"""),128272)</f>
        <v>128272</v>
      </c>
      <c r="C4973" s="14">
        <f ca="1">IFERROR(__xludf.DUMMYFUNCTION("""COMPUTED_VALUE"""),1)</f>
        <v>1</v>
      </c>
      <c r="D4973" s="12" t="str">
        <f ca="1">IFERROR(__xludf.DUMMYFUNCTION("""COMPUTED_VALUE"""),"辻村 将大")</f>
        <v>辻村 将大</v>
      </c>
    </row>
    <row r="4974" spans="2:4" ht="13">
      <c r="B4974" s="12">
        <f ca="1">IFERROR(__xludf.DUMMYFUNCTION("""COMPUTED_VALUE"""),128275)</f>
        <v>128275</v>
      </c>
      <c r="C4974" s="14">
        <f ca="1">IFERROR(__xludf.DUMMYFUNCTION("""COMPUTED_VALUE"""),0)</f>
        <v>0</v>
      </c>
      <c r="D4974" s="12" t="str">
        <f ca="1">IFERROR(__xludf.DUMMYFUNCTION("""COMPUTED_VALUE"""),"老田 純輝")</f>
        <v>老田 純輝</v>
      </c>
    </row>
    <row r="4975" spans="2:4" ht="13">
      <c r="B4975" s="12">
        <f ca="1">IFERROR(__xludf.DUMMYFUNCTION("""COMPUTED_VALUE"""),128278)</f>
        <v>128278</v>
      </c>
      <c r="C4975" s="14">
        <f ca="1">IFERROR(__xludf.DUMMYFUNCTION("""COMPUTED_VALUE"""),0)</f>
        <v>0</v>
      </c>
      <c r="D4975" s="12" t="str">
        <f ca="1">IFERROR(__xludf.DUMMYFUNCTION("""COMPUTED_VALUE"""),"成嶋 夏未")</f>
        <v>成嶋 夏未</v>
      </c>
    </row>
    <row r="4976" spans="2:4" ht="13">
      <c r="B4976" s="12">
        <f ca="1">IFERROR(__xludf.DUMMYFUNCTION("""COMPUTED_VALUE"""),128280)</f>
        <v>128280</v>
      </c>
      <c r="C4976" s="14">
        <f ca="1">IFERROR(__xludf.DUMMYFUNCTION("""COMPUTED_VALUE"""),0)</f>
        <v>0</v>
      </c>
      <c r="D4976" s="12" t="str">
        <f ca="1">IFERROR(__xludf.DUMMYFUNCTION("""COMPUTED_VALUE"""),"栗原 大武")</f>
        <v>栗原 大武</v>
      </c>
    </row>
    <row r="4977" spans="2:4" ht="13">
      <c r="B4977" s="12">
        <f ca="1">IFERROR(__xludf.DUMMYFUNCTION("""COMPUTED_VALUE"""),128281)</f>
        <v>128281</v>
      </c>
      <c r="C4977" s="14">
        <f ca="1">IFERROR(__xludf.DUMMYFUNCTION("""COMPUTED_VALUE"""),2)</f>
        <v>2</v>
      </c>
      <c r="D4977" s="12" t="str">
        <f ca="1">IFERROR(__xludf.DUMMYFUNCTION("""COMPUTED_VALUE"""),"稲場 勇介")</f>
        <v>稲場 勇介</v>
      </c>
    </row>
    <row r="4978" spans="2:4" ht="13">
      <c r="B4978" s="12">
        <f ca="1">IFERROR(__xludf.DUMMYFUNCTION("""COMPUTED_VALUE"""),128285)</f>
        <v>128285</v>
      </c>
      <c r="C4978" s="14">
        <f ca="1">IFERROR(__xludf.DUMMYFUNCTION("""COMPUTED_VALUE"""),1)</f>
        <v>1</v>
      </c>
      <c r="D4978" s="12" t="str">
        <f ca="1">IFERROR(__xludf.DUMMYFUNCTION("""COMPUTED_VALUE"""),"菅野 ぎんが")</f>
        <v>菅野 ぎんが</v>
      </c>
    </row>
    <row r="4979" spans="2:4" ht="13">
      <c r="B4979" s="12">
        <f ca="1">IFERROR(__xludf.DUMMYFUNCTION("""COMPUTED_VALUE"""),128292)</f>
        <v>128292</v>
      </c>
      <c r="C4979" s="14">
        <f ca="1">IFERROR(__xludf.DUMMYFUNCTION("""COMPUTED_VALUE"""),1)</f>
        <v>1</v>
      </c>
      <c r="D4979" s="12" t="str">
        <f ca="1">IFERROR(__xludf.DUMMYFUNCTION("""COMPUTED_VALUE"""),"稲場 勇介")</f>
        <v>稲場 勇介</v>
      </c>
    </row>
    <row r="4980" spans="2:4" ht="13">
      <c r="B4980" s="12">
        <f ca="1">IFERROR(__xludf.DUMMYFUNCTION("""COMPUTED_VALUE"""),128299)</f>
        <v>128299</v>
      </c>
      <c r="C4980" s="14">
        <f ca="1">IFERROR(__xludf.DUMMYFUNCTION("""COMPUTED_VALUE"""),1)</f>
        <v>1</v>
      </c>
      <c r="D4980" s="12" t="str">
        <f ca="1">IFERROR(__xludf.DUMMYFUNCTION("""COMPUTED_VALUE"""),"長谷川 陸朗")</f>
        <v>長谷川 陸朗</v>
      </c>
    </row>
    <row r="4981" spans="2:4" ht="13">
      <c r="B4981" s="12">
        <f ca="1">IFERROR(__xludf.DUMMYFUNCTION("""COMPUTED_VALUE"""),128304)</f>
        <v>128304</v>
      </c>
      <c r="C4981" s="14">
        <f ca="1">IFERROR(__xludf.DUMMYFUNCTION("""COMPUTED_VALUE"""),0)</f>
        <v>0</v>
      </c>
      <c r="D4981" s="12" t="str">
        <f ca="1">IFERROR(__xludf.DUMMYFUNCTION("""COMPUTED_VALUE"""),"田嶋 将太")</f>
        <v>田嶋 将太</v>
      </c>
    </row>
    <row r="4982" spans="2:4" ht="13">
      <c r="B4982" s="12">
        <f ca="1">IFERROR(__xludf.DUMMYFUNCTION("""COMPUTED_VALUE"""),128307)</f>
        <v>128307</v>
      </c>
      <c r="C4982" s="14">
        <f ca="1">IFERROR(__xludf.DUMMYFUNCTION("""COMPUTED_VALUE"""),0)</f>
        <v>0</v>
      </c>
      <c r="D4982" s="12" t="str">
        <f ca="1">IFERROR(__xludf.DUMMYFUNCTION("""COMPUTED_VALUE"""),"田嶋 将太")</f>
        <v>田嶋 将太</v>
      </c>
    </row>
    <row r="4983" spans="2:4" ht="13">
      <c r="B4983" s="12">
        <f ca="1">IFERROR(__xludf.DUMMYFUNCTION("""COMPUTED_VALUE"""),128309)</f>
        <v>128309</v>
      </c>
      <c r="C4983" s="14">
        <f ca="1">IFERROR(__xludf.DUMMYFUNCTION("""COMPUTED_VALUE"""),0)</f>
        <v>0</v>
      </c>
      <c r="D4983" s="12" t="str">
        <f ca="1">IFERROR(__xludf.DUMMYFUNCTION("""COMPUTED_VALUE"""),"菅野 ぎんが")</f>
        <v>菅野 ぎんが</v>
      </c>
    </row>
    <row r="4984" spans="2:4" ht="13">
      <c r="B4984" s="12">
        <f ca="1">IFERROR(__xludf.DUMMYFUNCTION("""COMPUTED_VALUE"""),128321)</f>
        <v>128321</v>
      </c>
      <c r="C4984" s="14">
        <f ca="1">IFERROR(__xludf.DUMMYFUNCTION("""COMPUTED_VALUE"""),0)</f>
        <v>0</v>
      </c>
      <c r="D4984" s="12" t="str">
        <f ca="1">IFERROR(__xludf.DUMMYFUNCTION("""COMPUTED_VALUE"""),"松尾 尚樹")</f>
        <v>松尾 尚樹</v>
      </c>
    </row>
    <row r="4985" spans="2:4" ht="13">
      <c r="B4985" s="12">
        <f ca="1">IFERROR(__xludf.DUMMYFUNCTION("""COMPUTED_VALUE"""),128322)</f>
        <v>128322</v>
      </c>
      <c r="C4985" s="14">
        <f ca="1">IFERROR(__xludf.DUMMYFUNCTION("""COMPUTED_VALUE"""),0)</f>
        <v>0</v>
      </c>
      <c r="D4985" s="12" t="str">
        <f ca="1">IFERROR(__xludf.DUMMYFUNCTION("""COMPUTED_VALUE"""),"成嶋 夏未")</f>
        <v>成嶋 夏未</v>
      </c>
    </row>
    <row r="4986" spans="2:4" ht="13">
      <c r="B4986" s="12">
        <f ca="1">IFERROR(__xludf.DUMMYFUNCTION("""COMPUTED_VALUE"""),128331)</f>
        <v>128331</v>
      </c>
      <c r="C4986" s="14">
        <f ca="1">IFERROR(__xludf.DUMMYFUNCTION("""COMPUTED_VALUE"""),0)</f>
        <v>0</v>
      </c>
      <c r="D4986" s="12" t="str">
        <f ca="1">IFERROR(__xludf.DUMMYFUNCTION("""COMPUTED_VALUE"""),"桐山 勝気")</f>
        <v>桐山 勝気</v>
      </c>
    </row>
    <row r="4987" spans="2:4" ht="13">
      <c r="B4987" s="12">
        <f ca="1">IFERROR(__xludf.DUMMYFUNCTION("""COMPUTED_VALUE"""),128336)</f>
        <v>128336</v>
      </c>
      <c r="C4987" s="14">
        <f ca="1">IFERROR(__xludf.DUMMYFUNCTION("""COMPUTED_VALUE"""),0)</f>
        <v>0</v>
      </c>
      <c r="D4987" s="12" t="str">
        <f ca="1">IFERROR(__xludf.DUMMYFUNCTION("""COMPUTED_VALUE"""),"田嶋 将太")</f>
        <v>田嶋 将太</v>
      </c>
    </row>
    <row r="4988" spans="2:4" ht="13">
      <c r="B4988" s="12">
        <f ca="1">IFERROR(__xludf.DUMMYFUNCTION("""COMPUTED_VALUE"""),128340)</f>
        <v>128340</v>
      </c>
      <c r="C4988" s="14">
        <f ca="1">IFERROR(__xludf.DUMMYFUNCTION("""COMPUTED_VALUE"""),4)</f>
        <v>4</v>
      </c>
      <c r="D4988" s="12" t="str">
        <f ca="1">IFERROR(__xludf.DUMMYFUNCTION("""COMPUTED_VALUE"""),"田嶋 将太")</f>
        <v>田嶋 将太</v>
      </c>
    </row>
    <row r="4989" spans="2:4" ht="13">
      <c r="B4989" s="12">
        <f ca="1">IFERROR(__xludf.DUMMYFUNCTION("""COMPUTED_VALUE"""),128345)</f>
        <v>128345</v>
      </c>
      <c r="C4989" s="14">
        <f ca="1">IFERROR(__xludf.DUMMYFUNCTION("""COMPUTED_VALUE"""),2)</f>
        <v>2</v>
      </c>
      <c r="D4989" s="12" t="str">
        <f ca="1">IFERROR(__xludf.DUMMYFUNCTION("""COMPUTED_VALUE"""),"田嶋 将太")</f>
        <v>田嶋 将太</v>
      </c>
    </row>
    <row r="4990" spans="2:4" ht="13">
      <c r="B4990" s="12">
        <f ca="1">IFERROR(__xludf.DUMMYFUNCTION("""COMPUTED_VALUE"""),128346)</f>
        <v>128346</v>
      </c>
      <c r="C4990" s="14">
        <f ca="1">IFERROR(__xludf.DUMMYFUNCTION("""COMPUTED_VALUE"""),0)</f>
        <v>0</v>
      </c>
      <c r="D4990" s="12" t="str">
        <f ca="1">IFERROR(__xludf.DUMMYFUNCTION("""COMPUTED_VALUE"""),"菅野 ぎんが")</f>
        <v>菅野 ぎんが</v>
      </c>
    </row>
    <row r="4991" spans="2:4" ht="13">
      <c r="B4991" s="12">
        <f ca="1">IFERROR(__xludf.DUMMYFUNCTION("""COMPUTED_VALUE"""),128349)</f>
        <v>128349</v>
      </c>
      <c r="C4991" s="14">
        <f ca="1">IFERROR(__xludf.DUMMYFUNCTION("""COMPUTED_VALUE"""),0)</f>
        <v>0</v>
      </c>
      <c r="D4991" s="12" t="str">
        <f ca="1">IFERROR(__xludf.DUMMYFUNCTION("""COMPUTED_VALUE"""),"松尾 尚樹")</f>
        <v>松尾 尚樹</v>
      </c>
    </row>
    <row r="4992" spans="2:4" ht="13">
      <c r="B4992" s="12">
        <f ca="1">IFERROR(__xludf.DUMMYFUNCTION("""COMPUTED_VALUE"""),128352)</f>
        <v>128352</v>
      </c>
      <c r="C4992" s="14">
        <f ca="1">IFERROR(__xludf.DUMMYFUNCTION("""COMPUTED_VALUE"""),0)</f>
        <v>0</v>
      </c>
      <c r="D4992" s="12" t="str">
        <f ca="1">IFERROR(__xludf.DUMMYFUNCTION("""COMPUTED_VALUE"""),"成嶋 夏未")</f>
        <v>成嶋 夏未</v>
      </c>
    </row>
    <row r="4993" spans="2:4" ht="13">
      <c r="B4993" s="12">
        <f ca="1">IFERROR(__xludf.DUMMYFUNCTION("""COMPUTED_VALUE"""),128357)</f>
        <v>128357</v>
      </c>
      <c r="C4993" s="14">
        <f ca="1">IFERROR(__xludf.DUMMYFUNCTION("""COMPUTED_VALUE"""),0)</f>
        <v>0</v>
      </c>
      <c r="D4993" s="12" t="str">
        <f ca="1">IFERROR(__xludf.DUMMYFUNCTION("""COMPUTED_VALUE"""),"田嶋 将太")</f>
        <v>田嶋 将太</v>
      </c>
    </row>
    <row r="4994" spans="2:4" ht="13">
      <c r="B4994" s="12">
        <f ca="1">IFERROR(__xludf.DUMMYFUNCTION("""COMPUTED_VALUE"""),128359)</f>
        <v>128359</v>
      </c>
      <c r="C4994" s="14">
        <f ca="1">IFERROR(__xludf.DUMMYFUNCTION("""COMPUTED_VALUE"""),0)</f>
        <v>0</v>
      </c>
      <c r="D4994" s="12" t="str">
        <f ca="1">IFERROR(__xludf.DUMMYFUNCTION("""COMPUTED_VALUE"""),"菅野 ぎんが")</f>
        <v>菅野 ぎんが</v>
      </c>
    </row>
    <row r="4995" spans="2:4" ht="13">
      <c r="B4995" s="12">
        <f ca="1">IFERROR(__xludf.DUMMYFUNCTION("""COMPUTED_VALUE"""),128364)</f>
        <v>128364</v>
      </c>
      <c r="C4995" s="14">
        <f ca="1">IFERROR(__xludf.DUMMYFUNCTION("""COMPUTED_VALUE"""),0)</f>
        <v>0</v>
      </c>
      <c r="D4995" s="12" t="str">
        <f ca="1">IFERROR(__xludf.DUMMYFUNCTION("""COMPUTED_VALUE"""),"小川 純")</f>
        <v>小川 純</v>
      </c>
    </row>
    <row r="4996" spans="2:4" ht="13">
      <c r="B4996" s="12">
        <f ca="1">IFERROR(__xludf.DUMMYFUNCTION("""COMPUTED_VALUE"""),128368)</f>
        <v>128368</v>
      </c>
      <c r="C4996" s="14">
        <f ca="1">IFERROR(__xludf.DUMMYFUNCTION("""COMPUTED_VALUE"""),38)</f>
        <v>38</v>
      </c>
      <c r="D4996" s="12" t="str">
        <f ca="1">IFERROR(__xludf.DUMMYFUNCTION("""COMPUTED_VALUE"""),"松尾 尚樹")</f>
        <v>松尾 尚樹</v>
      </c>
    </row>
    <row r="4997" spans="2:4" ht="13">
      <c r="B4997" s="12">
        <f ca="1">IFERROR(__xludf.DUMMYFUNCTION("""COMPUTED_VALUE"""),128369)</f>
        <v>128369</v>
      </c>
      <c r="C4997" s="14">
        <f ca="1">IFERROR(__xludf.DUMMYFUNCTION("""COMPUTED_VALUE"""),1)</f>
        <v>1</v>
      </c>
      <c r="D4997" s="12" t="str">
        <f ca="1">IFERROR(__xludf.DUMMYFUNCTION("""COMPUTED_VALUE"""),"小川 純")</f>
        <v>小川 純</v>
      </c>
    </row>
    <row r="4998" spans="2:4" ht="13">
      <c r="B4998" s="12">
        <f ca="1">IFERROR(__xludf.DUMMYFUNCTION("""COMPUTED_VALUE"""),128370)</f>
        <v>128370</v>
      </c>
      <c r="C4998" s="14">
        <f ca="1">IFERROR(__xludf.DUMMYFUNCTION("""COMPUTED_VALUE"""),6)</f>
        <v>6</v>
      </c>
      <c r="D4998" s="12" t="str">
        <f ca="1">IFERROR(__xludf.DUMMYFUNCTION("""COMPUTED_VALUE"""),"小川 純")</f>
        <v>小川 純</v>
      </c>
    </row>
    <row r="4999" spans="2:4" ht="13">
      <c r="B4999" s="12">
        <f ca="1">IFERROR(__xludf.DUMMYFUNCTION("""COMPUTED_VALUE"""),128375)</f>
        <v>128375</v>
      </c>
      <c r="C4999" s="14">
        <f ca="1">IFERROR(__xludf.DUMMYFUNCTION("""COMPUTED_VALUE"""),32)</f>
        <v>32</v>
      </c>
      <c r="D4999" s="12" t="str">
        <f ca="1">IFERROR(__xludf.DUMMYFUNCTION("""COMPUTED_VALUE"""),"桑原 明子")</f>
        <v>桑原 明子</v>
      </c>
    </row>
    <row r="5000" spans="2:4" ht="13">
      <c r="B5000" s="12">
        <f ca="1">IFERROR(__xludf.DUMMYFUNCTION("""COMPUTED_VALUE"""),128377)</f>
        <v>128377</v>
      </c>
      <c r="C5000" s="14">
        <f ca="1">IFERROR(__xludf.DUMMYFUNCTION("""COMPUTED_VALUE"""),0)</f>
        <v>0</v>
      </c>
      <c r="D5000" s="12" t="str">
        <f ca="1">IFERROR(__xludf.DUMMYFUNCTION("""COMPUTED_VALUE"""),"内丸 裕子")</f>
        <v>内丸 裕子</v>
      </c>
    </row>
    <row r="5001" spans="2:4" ht="13">
      <c r="B5001" s="12">
        <f ca="1">IFERROR(__xludf.DUMMYFUNCTION("""COMPUTED_VALUE"""),128380)</f>
        <v>128380</v>
      </c>
      <c r="C5001" s="14">
        <f ca="1">IFERROR(__xludf.DUMMYFUNCTION("""COMPUTED_VALUE"""),0)</f>
        <v>0</v>
      </c>
      <c r="D5001" s="12" t="str">
        <f ca="1">IFERROR(__xludf.DUMMYFUNCTION("""COMPUTED_VALUE"""),"小川 純")</f>
        <v>小川 純</v>
      </c>
    </row>
    <row r="5002" spans="2:4" ht="13">
      <c r="B5002" s="12">
        <f ca="1">IFERROR(__xludf.DUMMYFUNCTION("""COMPUTED_VALUE"""),128396)</f>
        <v>128396</v>
      </c>
      <c r="C5002" s="14">
        <f ca="1">IFERROR(__xludf.DUMMYFUNCTION("""COMPUTED_VALUE"""),0)</f>
        <v>0</v>
      </c>
      <c r="D5002" s="12" t="str">
        <f ca="1">IFERROR(__xludf.DUMMYFUNCTION("""COMPUTED_VALUE"""),"田嶋 将太")</f>
        <v>田嶋 将太</v>
      </c>
    </row>
    <row r="5003" spans="2:4" ht="13">
      <c r="B5003" s="12">
        <f ca="1">IFERROR(__xludf.DUMMYFUNCTION("""COMPUTED_VALUE"""),128398)</f>
        <v>128398</v>
      </c>
      <c r="C5003" s="14">
        <f ca="1">IFERROR(__xludf.DUMMYFUNCTION("""COMPUTED_VALUE"""),0)</f>
        <v>0</v>
      </c>
      <c r="D5003" s="12" t="str">
        <f ca="1">IFERROR(__xludf.DUMMYFUNCTION("""COMPUTED_VALUE"""),"菅野 ぎんが")</f>
        <v>菅野 ぎんが</v>
      </c>
    </row>
    <row r="5004" spans="2:4" ht="13">
      <c r="B5004" s="12">
        <f ca="1">IFERROR(__xludf.DUMMYFUNCTION("""COMPUTED_VALUE"""),128402)</f>
        <v>128402</v>
      </c>
      <c r="C5004" s="14">
        <f ca="1">IFERROR(__xludf.DUMMYFUNCTION("""COMPUTED_VALUE"""),0)</f>
        <v>0</v>
      </c>
      <c r="D5004" s="12" t="str">
        <f ca="1">IFERROR(__xludf.DUMMYFUNCTION("""COMPUTED_VALUE"""),"小関 麻起")</f>
        <v>小関 麻起</v>
      </c>
    </row>
    <row r="5005" spans="2:4" ht="13">
      <c r="B5005" s="12">
        <f ca="1">IFERROR(__xludf.DUMMYFUNCTION("""COMPUTED_VALUE"""),128409)</f>
        <v>128409</v>
      </c>
      <c r="C5005" s="14">
        <f ca="1">IFERROR(__xludf.DUMMYFUNCTION("""COMPUTED_VALUE"""),7)</f>
        <v>7</v>
      </c>
      <c r="D5005" s="12" t="str">
        <f ca="1">IFERROR(__xludf.DUMMYFUNCTION("""COMPUTED_VALUE"""),"森 光智")</f>
        <v>森 光智</v>
      </c>
    </row>
    <row r="5006" spans="2:4" ht="13">
      <c r="B5006" s="12">
        <f ca="1">IFERROR(__xludf.DUMMYFUNCTION("""COMPUTED_VALUE"""),128410)</f>
        <v>128410</v>
      </c>
      <c r="C5006" s="14">
        <f ca="1">IFERROR(__xludf.DUMMYFUNCTION("""COMPUTED_VALUE"""),0)</f>
        <v>0</v>
      </c>
      <c r="D5006" s="12" t="str">
        <f ca="1">IFERROR(__xludf.DUMMYFUNCTION("""COMPUTED_VALUE"""),"村上 浩一朗")</f>
        <v>村上 浩一朗</v>
      </c>
    </row>
    <row r="5007" spans="2:4" ht="13">
      <c r="B5007" s="12">
        <f ca="1">IFERROR(__xludf.DUMMYFUNCTION("""COMPUTED_VALUE"""),128416)</f>
        <v>128416</v>
      </c>
      <c r="C5007" s="14">
        <f ca="1">IFERROR(__xludf.DUMMYFUNCTION("""COMPUTED_VALUE"""),0)</f>
        <v>0</v>
      </c>
      <c r="D5007" s="12" t="str">
        <f ca="1">IFERROR(__xludf.DUMMYFUNCTION("""COMPUTED_VALUE"""),"松尾 尚樹")</f>
        <v>松尾 尚樹</v>
      </c>
    </row>
    <row r="5008" spans="2:4" ht="13">
      <c r="B5008" s="12">
        <f ca="1">IFERROR(__xludf.DUMMYFUNCTION("""COMPUTED_VALUE"""),128417)</f>
        <v>128417</v>
      </c>
      <c r="C5008" s="14">
        <f ca="1">IFERROR(__xludf.DUMMYFUNCTION("""COMPUTED_VALUE"""),1)</f>
        <v>1</v>
      </c>
      <c r="D5008" s="12" t="str">
        <f ca="1">IFERROR(__xludf.DUMMYFUNCTION("""COMPUTED_VALUE"""),"稲場 勇介")</f>
        <v>稲場 勇介</v>
      </c>
    </row>
    <row r="5009" spans="2:4" ht="13">
      <c r="B5009" s="12">
        <f ca="1">IFERROR(__xludf.DUMMYFUNCTION("""COMPUTED_VALUE"""),128418)</f>
        <v>128418</v>
      </c>
      <c r="C5009" s="14">
        <f ca="1">IFERROR(__xludf.DUMMYFUNCTION("""COMPUTED_VALUE"""),0)</f>
        <v>0</v>
      </c>
      <c r="D5009" s="12" t="str">
        <f ca="1">IFERROR(__xludf.DUMMYFUNCTION("""COMPUTED_VALUE"""),"小川 純")</f>
        <v>小川 純</v>
      </c>
    </row>
    <row r="5010" spans="2:4" ht="13">
      <c r="B5010" s="12">
        <f ca="1">IFERROR(__xludf.DUMMYFUNCTION("""COMPUTED_VALUE"""),128419)</f>
        <v>128419</v>
      </c>
      <c r="C5010" s="14">
        <f ca="1">IFERROR(__xludf.DUMMYFUNCTION("""COMPUTED_VALUE"""),16)</f>
        <v>16</v>
      </c>
      <c r="D5010" s="12" t="str">
        <f ca="1">IFERROR(__xludf.DUMMYFUNCTION("""COMPUTED_VALUE"""),"荻曽 克輝")</f>
        <v>荻曽 克輝</v>
      </c>
    </row>
    <row r="5011" spans="2:4" ht="13">
      <c r="B5011" s="12">
        <f ca="1">IFERROR(__xludf.DUMMYFUNCTION("""COMPUTED_VALUE"""),128421)</f>
        <v>128421</v>
      </c>
      <c r="C5011" s="14">
        <f ca="1">IFERROR(__xludf.DUMMYFUNCTION("""COMPUTED_VALUE"""),4)</f>
        <v>4</v>
      </c>
      <c r="D5011" s="12" t="str">
        <f ca="1">IFERROR(__xludf.DUMMYFUNCTION("""COMPUTED_VALUE"""),"菅野 ぎんが")</f>
        <v>菅野 ぎんが</v>
      </c>
    </row>
    <row r="5012" spans="2:4" ht="13">
      <c r="B5012" s="12">
        <f ca="1">IFERROR(__xludf.DUMMYFUNCTION("""COMPUTED_VALUE"""),128422)</f>
        <v>128422</v>
      </c>
      <c r="C5012" s="14">
        <f ca="1">IFERROR(__xludf.DUMMYFUNCTION("""COMPUTED_VALUE"""),81)</f>
        <v>81</v>
      </c>
      <c r="D5012" s="12" t="str">
        <f ca="1">IFERROR(__xludf.DUMMYFUNCTION("""COMPUTED_VALUE"""),"荻曽 克輝")</f>
        <v>荻曽 克輝</v>
      </c>
    </row>
    <row r="5013" spans="2:4" ht="13">
      <c r="B5013" s="12">
        <f ca="1">IFERROR(__xludf.DUMMYFUNCTION("""COMPUTED_VALUE"""),128428)</f>
        <v>128428</v>
      </c>
      <c r="C5013" s="14">
        <f ca="1">IFERROR(__xludf.DUMMYFUNCTION("""COMPUTED_VALUE"""),0)</f>
        <v>0</v>
      </c>
      <c r="D5013" s="12" t="str">
        <f ca="1">IFERROR(__xludf.DUMMYFUNCTION("""COMPUTED_VALUE"""),"芳賀 亮輔")</f>
        <v>芳賀 亮輔</v>
      </c>
    </row>
    <row r="5014" spans="2:4" ht="13">
      <c r="B5014" s="12">
        <f ca="1">IFERROR(__xludf.DUMMYFUNCTION("""COMPUTED_VALUE"""),128429)</f>
        <v>128429</v>
      </c>
      <c r="C5014" s="14">
        <f ca="1">IFERROR(__xludf.DUMMYFUNCTION("""COMPUTED_VALUE"""),2)</f>
        <v>2</v>
      </c>
      <c r="D5014" s="12" t="str">
        <f ca="1">IFERROR(__xludf.DUMMYFUNCTION("""COMPUTED_VALUE"""),"稲場 勇介")</f>
        <v>稲場 勇介</v>
      </c>
    </row>
    <row r="5015" spans="2:4" ht="13">
      <c r="B5015" s="12">
        <f ca="1">IFERROR(__xludf.DUMMYFUNCTION("""COMPUTED_VALUE"""),128434)</f>
        <v>128434</v>
      </c>
      <c r="C5015" s="14">
        <f ca="1">IFERROR(__xludf.DUMMYFUNCTION("""COMPUTED_VALUE"""),5)</f>
        <v>5</v>
      </c>
      <c r="D5015" s="12" t="str">
        <f ca="1">IFERROR(__xludf.DUMMYFUNCTION("""COMPUTED_VALUE"""),"松尾 尚樹")</f>
        <v>松尾 尚樹</v>
      </c>
    </row>
    <row r="5016" spans="2:4" ht="13">
      <c r="B5016" s="12">
        <f ca="1">IFERROR(__xludf.DUMMYFUNCTION("""COMPUTED_VALUE"""),128438)</f>
        <v>128438</v>
      </c>
      <c r="C5016" s="14">
        <f ca="1">IFERROR(__xludf.DUMMYFUNCTION("""COMPUTED_VALUE"""),0)</f>
        <v>0</v>
      </c>
      <c r="D5016" s="12" t="str">
        <f ca="1">IFERROR(__xludf.DUMMYFUNCTION("""COMPUTED_VALUE"""),"小川 純")</f>
        <v>小川 純</v>
      </c>
    </row>
    <row r="5017" spans="2:4" ht="13">
      <c r="B5017" s="12">
        <f ca="1">IFERROR(__xludf.DUMMYFUNCTION("""COMPUTED_VALUE"""),128439)</f>
        <v>128439</v>
      </c>
      <c r="C5017" s="14">
        <f ca="1">IFERROR(__xludf.DUMMYFUNCTION("""COMPUTED_VALUE"""),2)</f>
        <v>2</v>
      </c>
      <c r="D5017" s="12" t="str">
        <f ca="1">IFERROR(__xludf.DUMMYFUNCTION("""COMPUTED_VALUE"""),"老田 純輝")</f>
        <v>老田 純輝</v>
      </c>
    </row>
    <row r="5018" spans="2:4" ht="13">
      <c r="B5018" s="12">
        <f ca="1">IFERROR(__xludf.DUMMYFUNCTION("""COMPUTED_VALUE"""),128445)</f>
        <v>128445</v>
      </c>
      <c r="C5018" s="14">
        <f ca="1">IFERROR(__xludf.DUMMYFUNCTION("""COMPUTED_VALUE"""),0)</f>
        <v>0</v>
      </c>
      <c r="D5018" s="12" t="str">
        <f ca="1">IFERROR(__xludf.DUMMYFUNCTION("""COMPUTED_VALUE"""),"小川 純")</f>
        <v>小川 純</v>
      </c>
    </row>
    <row r="5019" spans="2:4" ht="13">
      <c r="B5019" s="12">
        <f ca="1">IFERROR(__xludf.DUMMYFUNCTION("""COMPUTED_VALUE"""),128450)</f>
        <v>128450</v>
      </c>
      <c r="C5019" s="14">
        <f ca="1">IFERROR(__xludf.DUMMYFUNCTION("""COMPUTED_VALUE"""),0)</f>
        <v>0</v>
      </c>
      <c r="D5019" s="12" t="str">
        <f ca="1">IFERROR(__xludf.DUMMYFUNCTION("""COMPUTED_VALUE"""),"成嶋 夏未")</f>
        <v>成嶋 夏未</v>
      </c>
    </row>
    <row r="5020" spans="2:4" ht="13">
      <c r="B5020" s="12">
        <f ca="1">IFERROR(__xludf.DUMMYFUNCTION("""COMPUTED_VALUE"""),128451)</f>
        <v>128451</v>
      </c>
      <c r="C5020" s="14">
        <f ca="1">IFERROR(__xludf.DUMMYFUNCTION("""COMPUTED_VALUE"""),4)</f>
        <v>4</v>
      </c>
      <c r="D5020" s="12" t="str">
        <f ca="1">IFERROR(__xludf.DUMMYFUNCTION("""COMPUTED_VALUE"""),"小川 純")</f>
        <v>小川 純</v>
      </c>
    </row>
    <row r="5021" spans="2:4" ht="13">
      <c r="B5021" s="12">
        <f ca="1">IFERROR(__xludf.DUMMYFUNCTION("""COMPUTED_VALUE"""),128452)</f>
        <v>128452</v>
      </c>
      <c r="C5021" s="14">
        <f ca="1">IFERROR(__xludf.DUMMYFUNCTION("""COMPUTED_VALUE"""),0)</f>
        <v>0</v>
      </c>
      <c r="D5021" s="12" t="str">
        <f ca="1">IFERROR(__xludf.DUMMYFUNCTION("""COMPUTED_VALUE"""),"小川 純")</f>
        <v>小川 純</v>
      </c>
    </row>
    <row r="5022" spans="2:4" ht="13">
      <c r="B5022" s="12">
        <f ca="1">IFERROR(__xludf.DUMMYFUNCTION("""COMPUTED_VALUE"""),128455)</f>
        <v>128455</v>
      </c>
      <c r="C5022" s="14">
        <f ca="1">IFERROR(__xludf.DUMMYFUNCTION("""COMPUTED_VALUE"""),0)</f>
        <v>0</v>
      </c>
      <c r="D5022" s="12" t="str">
        <f ca="1">IFERROR(__xludf.DUMMYFUNCTION("""COMPUTED_VALUE"""),"長谷川 陸朗")</f>
        <v>長谷川 陸朗</v>
      </c>
    </row>
    <row r="5023" spans="2:4" ht="13">
      <c r="B5023" s="12">
        <f ca="1">IFERROR(__xludf.DUMMYFUNCTION("""COMPUTED_VALUE"""),128456)</f>
        <v>128456</v>
      </c>
      <c r="C5023" s="14">
        <f ca="1">IFERROR(__xludf.DUMMYFUNCTION("""COMPUTED_VALUE"""),0)</f>
        <v>0</v>
      </c>
      <c r="D5023" s="12" t="str">
        <f ca="1">IFERROR(__xludf.DUMMYFUNCTION("""COMPUTED_VALUE"""),"栗原 大武")</f>
        <v>栗原 大武</v>
      </c>
    </row>
    <row r="5024" spans="2:4" ht="13">
      <c r="B5024" s="12">
        <f ca="1">IFERROR(__xludf.DUMMYFUNCTION("""COMPUTED_VALUE"""),128459)</f>
        <v>128459</v>
      </c>
      <c r="C5024" s="14">
        <f ca="1">IFERROR(__xludf.DUMMYFUNCTION("""COMPUTED_VALUE"""),0)</f>
        <v>0</v>
      </c>
      <c r="D5024" s="12" t="str">
        <f ca="1">IFERROR(__xludf.DUMMYFUNCTION("""COMPUTED_VALUE"""),"小関 麻起")</f>
        <v>小関 麻起</v>
      </c>
    </row>
    <row r="5025" spans="2:4" ht="13">
      <c r="B5025" s="12">
        <f ca="1">IFERROR(__xludf.DUMMYFUNCTION("""COMPUTED_VALUE"""),128461)</f>
        <v>128461</v>
      </c>
      <c r="C5025" s="14">
        <f ca="1">IFERROR(__xludf.DUMMYFUNCTION("""COMPUTED_VALUE"""),2)</f>
        <v>2</v>
      </c>
      <c r="D5025" s="12" t="str">
        <f ca="1">IFERROR(__xludf.DUMMYFUNCTION("""COMPUTED_VALUE"""),"小川 純")</f>
        <v>小川 純</v>
      </c>
    </row>
    <row r="5026" spans="2:4" ht="13">
      <c r="B5026" s="12">
        <f ca="1">IFERROR(__xludf.DUMMYFUNCTION("""COMPUTED_VALUE"""),128467)</f>
        <v>128467</v>
      </c>
      <c r="C5026" s="14">
        <f ca="1">IFERROR(__xludf.DUMMYFUNCTION("""COMPUTED_VALUE"""),6)</f>
        <v>6</v>
      </c>
      <c r="D5026" s="12" t="str">
        <f ca="1">IFERROR(__xludf.DUMMYFUNCTION("""COMPUTED_VALUE"""),"小川 純")</f>
        <v>小川 純</v>
      </c>
    </row>
    <row r="5027" spans="2:4" ht="13">
      <c r="B5027" s="12">
        <f ca="1">IFERROR(__xludf.DUMMYFUNCTION("""COMPUTED_VALUE"""),128468)</f>
        <v>128468</v>
      </c>
      <c r="C5027" s="14">
        <f ca="1">IFERROR(__xludf.DUMMYFUNCTION("""COMPUTED_VALUE"""),0)</f>
        <v>0</v>
      </c>
      <c r="D5027" s="12" t="str">
        <f ca="1">IFERROR(__xludf.DUMMYFUNCTION("""COMPUTED_VALUE"""),"内丸 裕子")</f>
        <v>内丸 裕子</v>
      </c>
    </row>
    <row r="5028" spans="2:4" ht="13">
      <c r="B5028" s="12">
        <f ca="1">IFERROR(__xludf.DUMMYFUNCTION("""COMPUTED_VALUE"""),128476)</f>
        <v>128476</v>
      </c>
      <c r="C5028" s="14">
        <f ca="1">IFERROR(__xludf.DUMMYFUNCTION("""COMPUTED_VALUE"""),30)</f>
        <v>30</v>
      </c>
      <c r="D5028" s="12" t="str">
        <f ca="1">IFERROR(__xludf.DUMMYFUNCTION("""COMPUTED_VALUE"""),"芳賀 亮輔")</f>
        <v>芳賀 亮輔</v>
      </c>
    </row>
    <row r="5029" spans="2:4" ht="13">
      <c r="B5029" s="12">
        <f ca="1">IFERROR(__xludf.DUMMYFUNCTION("""COMPUTED_VALUE"""),128477)</f>
        <v>128477</v>
      </c>
      <c r="C5029" s="14">
        <f ca="1">IFERROR(__xludf.DUMMYFUNCTION("""COMPUTED_VALUE"""),0)</f>
        <v>0</v>
      </c>
      <c r="D5029" s="12" t="str">
        <f ca="1">IFERROR(__xludf.DUMMYFUNCTION("""COMPUTED_VALUE"""),"小関 麻起")</f>
        <v>小関 麻起</v>
      </c>
    </row>
    <row r="5030" spans="2:4" ht="13">
      <c r="B5030" s="12">
        <f ca="1">IFERROR(__xludf.DUMMYFUNCTION("""COMPUTED_VALUE"""),128478)</f>
        <v>128478</v>
      </c>
      <c r="C5030" s="14">
        <f ca="1">IFERROR(__xludf.DUMMYFUNCTION("""COMPUTED_VALUE"""),0)</f>
        <v>0</v>
      </c>
      <c r="D5030" s="12" t="str">
        <f ca="1">IFERROR(__xludf.DUMMYFUNCTION("""COMPUTED_VALUE"""),"田嶋 将太")</f>
        <v>田嶋 将太</v>
      </c>
    </row>
    <row r="5031" spans="2:4" ht="13">
      <c r="B5031" s="12">
        <f ca="1">IFERROR(__xludf.DUMMYFUNCTION("""COMPUTED_VALUE"""),128482)</f>
        <v>128482</v>
      </c>
      <c r="C5031" s="14">
        <f ca="1">IFERROR(__xludf.DUMMYFUNCTION("""COMPUTED_VALUE"""),0)</f>
        <v>0</v>
      </c>
      <c r="D5031" s="12" t="str">
        <f ca="1">IFERROR(__xludf.DUMMYFUNCTION("""COMPUTED_VALUE"""),"老田 純輝")</f>
        <v>老田 純輝</v>
      </c>
    </row>
    <row r="5032" spans="2:4" ht="13">
      <c r="B5032" s="12">
        <f ca="1">IFERROR(__xludf.DUMMYFUNCTION("""COMPUTED_VALUE"""),128488)</f>
        <v>128488</v>
      </c>
      <c r="C5032" s="14">
        <f ca="1">IFERROR(__xludf.DUMMYFUNCTION("""COMPUTED_VALUE"""),0)</f>
        <v>0</v>
      </c>
      <c r="D5032" s="12" t="str">
        <f ca="1">IFERROR(__xludf.DUMMYFUNCTION("""COMPUTED_VALUE"""),"小関 麻起")</f>
        <v>小関 麻起</v>
      </c>
    </row>
    <row r="5033" spans="2:4" ht="13">
      <c r="B5033" s="12">
        <f ca="1">IFERROR(__xludf.DUMMYFUNCTION("""COMPUTED_VALUE"""),128493)</f>
        <v>128493</v>
      </c>
      <c r="C5033" s="14">
        <f ca="1">IFERROR(__xludf.DUMMYFUNCTION("""COMPUTED_VALUE"""),0)</f>
        <v>0</v>
      </c>
      <c r="D5033" s="12" t="str">
        <f ca="1">IFERROR(__xludf.DUMMYFUNCTION("""COMPUTED_VALUE"""),"荻曽 克輝")</f>
        <v>荻曽 克輝</v>
      </c>
    </row>
    <row r="5034" spans="2:4" ht="13">
      <c r="B5034" s="12">
        <f ca="1">IFERROR(__xludf.DUMMYFUNCTION("""COMPUTED_VALUE"""),128494)</f>
        <v>128494</v>
      </c>
      <c r="C5034" s="14">
        <f ca="1">IFERROR(__xludf.DUMMYFUNCTION("""COMPUTED_VALUE"""),147)</f>
        <v>147</v>
      </c>
      <c r="D5034" s="12" t="str">
        <f ca="1">IFERROR(__xludf.DUMMYFUNCTION("""COMPUTED_VALUE"""),"柿崎 晃司")</f>
        <v>柿崎 晃司</v>
      </c>
    </row>
    <row r="5035" spans="2:4" ht="13">
      <c r="B5035" s="12">
        <f ca="1">IFERROR(__xludf.DUMMYFUNCTION("""COMPUTED_VALUE"""),128506)</f>
        <v>128506</v>
      </c>
      <c r="C5035" s="14">
        <f ca="1">IFERROR(__xludf.DUMMYFUNCTION("""COMPUTED_VALUE"""),0)</f>
        <v>0</v>
      </c>
      <c r="D5035" s="12" t="str">
        <f ca="1">IFERROR(__xludf.DUMMYFUNCTION("""COMPUTED_VALUE"""),"川島 幹也")</f>
        <v>川島 幹也</v>
      </c>
    </row>
    <row r="5036" spans="2:4" ht="13">
      <c r="B5036" s="12">
        <f ca="1">IFERROR(__xludf.DUMMYFUNCTION("""COMPUTED_VALUE"""),128508)</f>
        <v>128508</v>
      </c>
      <c r="C5036" s="14">
        <f ca="1">IFERROR(__xludf.DUMMYFUNCTION("""COMPUTED_VALUE"""),0)</f>
        <v>0</v>
      </c>
      <c r="D5036" s="12" t="str">
        <f ca="1">IFERROR(__xludf.DUMMYFUNCTION("""COMPUTED_VALUE"""),"田嶋 将太")</f>
        <v>田嶋 将太</v>
      </c>
    </row>
    <row r="5037" spans="2:4" ht="13">
      <c r="B5037" s="12">
        <f ca="1">IFERROR(__xludf.DUMMYFUNCTION("""COMPUTED_VALUE"""),128513)</f>
        <v>128513</v>
      </c>
      <c r="C5037" s="14">
        <f ca="1">IFERROR(__xludf.DUMMYFUNCTION("""COMPUTED_VALUE"""),0)</f>
        <v>0</v>
      </c>
      <c r="D5037" s="12" t="str">
        <f ca="1">IFERROR(__xludf.DUMMYFUNCTION("""COMPUTED_VALUE"""),"小関 麻起")</f>
        <v>小関 麻起</v>
      </c>
    </row>
    <row r="5038" spans="2:4" ht="13">
      <c r="B5038" s="12">
        <f ca="1">IFERROR(__xludf.DUMMYFUNCTION("""COMPUTED_VALUE"""),128516)</f>
        <v>128516</v>
      </c>
      <c r="C5038" s="14">
        <f ca="1">IFERROR(__xludf.DUMMYFUNCTION("""COMPUTED_VALUE"""),0)</f>
        <v>0</v>
      </c>
      <c r="D5038" s="12" t="str">
        <f ca="1">IFERROR(__xludf.DUMMYFUNCTION("""COMPUTED_VALUE"""),"栗原 大武")</f>
        <v>栗原 大武</v>
      </c>
    </row>
    <row r="5039" spans="2:4" ht="13">
      <c r="B5039" s="12">
        <f ca="1">IFERROR(__xludf.DUMMYFUNCTION("""COMPUTED_VALUE"""),128518)</f>
        <v>128518</v>
      </c>
      <c r="C5039" s="14">
        <f ca="1">IFERROR(__xludf.DUMMYFUNCTION("""COMPUTED_VALUE"""),0)</f>
        <v>0</v>
      </c>
      <c r="D5039" s="12" t="str">
        <f ca="1">IFERROR(__xludf.DUMMYFUNCTION("""COMPUTED_VALUE"""),"菅野 ぎんが")</f>
        <v>菅野 ぎんが</v>
      </c>
    </row>
    <row r="5040" spans="2:4" ht="13">
      <c r="B5040" s="12">
        <f ca="1">IFERROR(__xludf.DUMMYFUNCTION("""COMPUTED_VALUE"""),128525)</f>
        <v>128525</v>
      </c>
      <c r="C5040" s="14">
        <f ca="1">IFERROR(__xludf.DUMMYFUNCTION("""COMPUTED_VALUE"""),0)</f>
        <v>0</v>
      </c>
      <c r="D5040" s="12" t="str">
        <f ca="1">IFERROR(__xludf.DUMMYFUNCTION("""COMPUTED_VALUE"""),"老田 純輝")</f>
        <v>老田 純輝</v>
      </c>
    </row>
    <row r="5041" spans="2:4" ht="13">
      <c r="B5041" s="12">
        <f ca="1">IFERROR(__xludf.DUMMYFUNCTION("""COMPUTED_VALUE"""),128527)</f>
        <v>128527</v>
      </c>
      <c r="C5041" s="14">
        <f ca="1">IFERROR(__xludf.DUMMYFUNCTION("""COMPUTED_VALUE"""),0)</f>
        <v>0</v>
      </c>
      <c r="D5041" s="12" t="str">
        <f ca="1">IFERROR(__xludf.DUMMYFUNCTION("""COMPUTED_VALUE"""),"成嶋 夏未")</f>
        <v>成嶋 夏未</v>
      </c>
    </row>
    <row r="5042" spans="2:4" ht="13">
      <c r="B5042" s="12">
        <f ca="1">IFERROR(__xludf.DUMMYFUNCTION("""COMPUTED_VALUE"""),128539)</f>
        <v>128539</v>
      </c>
      <c r="C5042" s="14">
        <f ca="1">IFERROR(__xludf.DUMMYFUNCTION("""COMPUTED_VALUE"""),0)</f>
        <v>0</v>
      </c>
      <c r="D5042" s="12" t="str">
        <f ca="1">IFERROR(__xludf.DUMMYFUNCTION("""COMPUTED_VALUE"""),"成嶋 夏未")</f>
        <v>成嶋 夏未</v>
      </c>
    </row>
    <row r="5043" spans="2:4" ht="13">
      <c r="B5043" s="12">
        <f ca="1">IFERROR(__xludf.DUMMYFUNCTION("""COMPUTED_VALUE"""),128540)</f>
        <v>128540</v>
      </c>
      <c r="C5043" s="14">
        <f ca="1">IFERROR(__xludf.DUMMYFUNCTION("""COMPUTED_VALUE"""),0)</f>
        <v>0</v>
      </c>
      <c r="D5043" s="12" t="str">
        <f ca="1">IFERROR(__xludf.DUMMYFUNCTION("""COMPUTED_VALUE"""),"長谷川 陸朗")</f>
        <v>長谷川 陸朗</v>
      </c>
    </row>
    <row r="5044" spans="2:4" ht="13">
      <c r="B5044" s="12">
        <f ca="1">IFERROR(__xludf.DUMMYFUNCTION("""COMPUTED_VALUE"""),128543)</f>
        <v>128543</v>
      </c>
      <c r="C5044" s="14">
        <f ca="1">IFERROR(__xludf.DUMMYFUNCTION("""COMPUTED_VALUE"""),57)</f>
        <v>57</v>
      </c>
      <c r="D5044" s="12" t="str">
        <f ca="1">IFERROR(__xludf.DUMMYFUNCTION("""COMPUTED_VALUE"""),"小川 純")</f>
        <v>小川 純</v>
      </c>
    </row>
    <row r="5045" spans="2:4" ht="13">
      <c r="B5045" s="12">
        <f ca="1">IFERROR(__xludf.DUMMYFUNCTION("""COMPUTED_VALUE"""),128544)</f>
        <v>128544</v>
      </c>
      <c r="C5045" s="14">
        <f ca="1">IFERROR(__xludf.DUMMYFUNCTION("""COMPUTED_VALUE"""),56)</f>
        <v>56</v>
      </c>
      <c r="D5045" s="12" t="str">
        <f ca="1">IFERROR(__xludf.DUMMYFUNCTION("""COMPUTED_VALUE"""),"小川 純")</f>
        <v>小川 純</v>
      </c>
    </row>
    <row r="5046" spans="2:4" ht="13">
      <c r="B5046" s="12">
        <f ca="1">IFERROR(__xludf.DUMMYFUNCTION("""COMPUTED_VALUE"""),128545)</f>
        <v>128545</v>
      </c>
      <c r="C5046" s="14">
        <f ca="1">IFERROR(__xludf.DUMMYFUNCTION("""COMPUTED_VALUE"""),30)</f>
        <v>30</v>
      </c>
      <c r="D5046" s="12" t="str">
        <f ca="1">IFERROR(__xludf.DUMMYFUNCTION("""COMPUTED_VALUE"""),"小川 純")</f>
        <v>小川 純</v>
      </c>
    </row>
    <row r="5047" spans="2:4" ht="13">
      <c r="B5047" s="12">
        <f ca="1">IFERROR(__xludf.DUMMYFUNCTION("""COMPUTED_VALUE"""),128546)</f>
        <v>128546</v>
      </c>
      <c r="C5047" s="14">
        <f ca="1">IFERROR(__xludf.DUMMYFUNCTION("""COMPUTED_VALUE"""),25)</f>
        <v>25</v>
      </c>
      <c r="D5047" s="12" t="str">
        <f ca="1">IFERROR(__xludf.DUMMYFUNCTION("""COMPUTED_VALUE"""),"小川 純")</f>
        <v>小川 純</v>
      </c>
    </row>
    <row r="5048" spans="2:4" ht="13">
      <c r="B5048" s="12">
        <f ca="1">IFERROR(__xludf.DUMMYFUNCTION("""COMPUTED_VALUE"""),128547)</f>
        <v>128547</v>
      </c>
      <c r="C5048" s="14">
        <f ca="1">IFERROR(__xludf.DUMMYFUNCTION("""COMPUTED_VALUE"""),23)</f>
        <v>23</v>
      </c>
      <c r="D5048" s="12" t="str">
        <f ca="1">IFERROR(__xludf.DUMMYFUNCTION("""COMPUTED_VALUE"""),"小川 純")</f>
        <v>小川 純</v>
      </c>
    </row>
    <row r="5049" spans="2:4" ht="13">
      <c r="B5049" s="12">
        <f ca="1">IFERROR(__xludf.DUMMYFUNCTION("""COMPUTED_VALUE"""),128548)</f>
        <v>128548</v>
      </c>
      <c r="C5049" s="14">
        <f ca="1">IFERROR(__xludf.DUMMYFUNCTION("""COMPUTED_VALUE"""),51)</f>
        <v>51</v>
      </c>
      <c r="D5049" s="12" t="str">
        <f ca="1">IFERROR(__xludf.DUMMYFUNCTION("""COMPUTED_VALUE"""),"小川 純")</f>
        <v>小川 純</v>
      </c>
    </row>
    <row r="5050" spans="2:4" ht="13">
      <c r="B5050" s="12">
        <f ca="1">IFERROR(__xludf.DUMMYFUNCTION("""COMPUTED_VALUE"""),128553)</f>
        <v>128553</v>
      </c>
      <c r="C5050" s="14">
        <f ca="1">IFERROR(__xludf.DUMMYFUNCTION("""COMPUTED_VALUE"""),0)</f>
        <v>0</v>
      </c>
      <c r="D5050" s="12" t="str">
        <f ca="1">IFERROR(__xludf.DUMMYFUNCTION("""COMPUTED_VALUE"""),"荻曽 克輝")</f>
        <v>荻曽 克輝</v>
      </c>
    </row>
    <row r="5051" spans="2:4" ht="13">
      <c r="B5051" s="12">
        <f ca="1">IFERROR(__xludf.DUMMYFUNCTION("""COMPUTED_VALUE"""),128560)</f>
        <v>128560</v>
      </c>
      <c r="C5051" s="14">
        <f ca="1">IFERROR(__xludf.DUMMYFUNCTION("""COMPUTED_VALUE"""),0)</f>
        <v>0</v>
      </c>
      <c r="D5051" s="12" t="str">
        <f ca="1">IFERROR(__xludf.DUMMYFUNCTION("""COMPUTED_VALUE"""),"田嶋 将太")</f>
        <v>田嶋 将太</v>
      </c>
    </row>
    <row r="5052" spans="2:4" ht="13">
      <c r="B5052" s="12">
        <f ca="1">IFERROR(__xludf.DUMMYFUNCTION("""COMPUTED_VALUE"""),128564)</f>
        <v>128564</v>
      </c>
      <c r="C5052" s="14">
        <f ca="1">IFERROR(__xludf.DUMMYFUNCTION("""COMPUTED_VALUE"""),0)</f>
        <v>0</v>
      </c>
      <c r="D5052" s="12" t="str">
        <f ca="1">IFERROR(__xludf.DUMMYFUNCTION("""COMPUTED_VALUE"""),"田嶋 将太")</f>
        <v>田嶋 将太</v>
      </c>
    </row>
    <row r="5053" spans="2:4" ht="13">
      <c r="B5053" s="12">
        <f ca="1">IFERROR(__xludf.DUMMYFUNCTION("""COMPUTED_VALUE"""),128566)</f>
        <v>128566</v>
      </c>
      <c r="C5053" s="14">
        <f ca="1">IFERROR(__xludf.DUMMYFUNCTION("""COMPUTED_VALUE"""),0)</f>
        <v>0</v>
      </c>
      <c r="D5053" s="12" t="str">
        <f ca="1">IFERROR(__xludf.DUMMYFUNCTION("""COMPUTED_VALUE"""),"荻曽 克輝")</f>
        <v>荻曽 克輝</v>
      </c>
    </row>
    <row r="5054" spans="2:4" ht="13">
      <c r="B5054" s="12">
        <f ca="1">IFERROR(__xludf.DUMMYFUNCTION("""COMPUTED_VALUE"""),128570)</f>
        <v>128570</v>
      </c>
      <c r="C5054" s="14">
        <f ca="1">IFERROR(__xludf.DUMMYFUNCTION("""COMPUTED_VALUE"""),57)</f>
        <v>57</v>
      </c>
      <c r="D5054" s="12" t="str">
        <f ca="1">IFERROR(__xludf.DUMMYFUNCTION("""COMPUTED_VALUE"""),"菅野 ぎんが")</f>
        <v>菅野 ぎんが</v>
      </c>
    </row>
    <row r="5055" spans="2:4" ht="13">
      <c r="B5055" s="12">
        <f ca="1">IFERROR(__xludf.DUMMYFUNCTION("""COMPUTED_VALUE"""),128571)</f>
        <v>128571</v>
      </c>
      <c r="C5055" s="14">
        <f ca="1">IFERROR(__xludf.DUMMYFUNCTION("""COMPUTED_VALUE"""),1)</f>
        <v>1</v>
      </c>
      <c r="D5055" s="12" t="str">
        <f ca="1">IFERROR(__xludf.DUMMYFUNCTION("""COMPUTED_VALUE"""),"長谷川 陸朗")</f>
        <v>長谷川 陸朗</v>
      </c>
    </row>
    <row r="5056" spans="2:4" ht="13">
      <c r="B5056" s="12">
        <f ca="1">IFERROR(__xludf.DUMMYFUNCTION("""COMPUTED_VALUE"""),128575)</f>
        <v>128575</v>
      </c>
      <c r="C5056" s="14">
        <f ca="1">IFERROR(__xludf.DUMMYFUNCTION("""COMPUTED_VALUE"""),34)</f>
        <v>34</v>
      </c>
      <c r="D5056" s="12" t="str">
        <f ca="1">IFERROR(__xludf.DUMMYFUNCTION("""COMPUTED_VALUE"""),"荻曽 克輝")</f>
        <v>荻曽 克輝</v>
      </c>
    </row>
    <row r="5057" spans="2:4" ht="13">
      <c r="B5057" s="12">
        <f ca="1">IFERROR(__xludf.DUMMYFUNCTION("""COMPUTED_VALUE"""),128578)</f>
        <v>128578</v>
      </c>
      <c r="C5057" s="14">
        <f ca="1">IFERROR(__xludf.DUMMYFUNCTION("""COMPUTED_VALUE"""),1)</f>
        <v>1</v>
      </c>
      <c r="D5057" s="12" t="str">
        <f ca="1">IFERROR(__xludf.DUMMYFUNCTION("""COMPUTED_VALUE"""),"川島 幹也")</f>
        <v>川島 幹也</v>
      </c>
    </row>
    <row r="5058" spans="2:4" ht="13">
      <c r="B5058" s="12">
        <f ca="1">IFERROR(__xludf.DUMMYFUNCTION("""COMPUTED_VALUE"""),128580)</f>
        <v>128580</v>
      </c>
      <c r="C5058" s="14">
        <f ca="1">IFERROR(__xludf.DUMMYFUNCTION("""COMPUTED_VALUE"""),63)</f>
        <v>63</v>
      </c>
      <c r="D5058" s="12" t="str">
        <f ca="1">IFERROR(__xludf.DUMMYFUNCTION("""COMPUTED_VALUE"""),"荻曽 克輝")</f>
        <v>荻曽 克輝</v>
      </c>
    </row>
    <row r="5059" spans="2:4" ht="13">
      <c r="B5059" s="12">
        <f ca="1">IFERROR(__xludf.DUMMYFUNCTION("""COMPUTED_VALUE"""),128581)</f>
        <v>128581</v>
      </c>
      <c r="C5059" s="14">
        <f ca="1">IFERROR(__xludf.DUMMYFUNCTION("""COMPUTED_VALUE"""),42)</f>
        <v>42</v>
      </c>
      <c r="D5059" s="12" t="str">
        <f ca="1">IFERROR(__xludf.DUMMYFUNCTION("""COMPUTED_VALUE"""),"荻曽 克輝")</f>
        <v>荻曽 克輝</v>
      </c>
    </row>
    <row r="5060" spans="2:4" ht="13">
      <c r="B5060" s="12">
        <f ca="1">IFERROR(__xludf.DUMMYFUNCTION("""COMPUTED_VALUE"""),128585)</f>
        <v>128585</v>
      </c>
      <c r="C5060" s="14">
        <f ca="1">IFERROR(__xludf.DUMMYFUNCTION("""COMPUTED_VALUE"""),1)</f>
        <v>1</v>
      </c>
      <c r="D5060" s="12" t="str">
        <f ca="1">IFERROR(__xludf.DUMMYFUNCTION("""COMPUTED_VALUE"""),"成嶋 夏未")</f>
        <v>成嶋 夏未</v>
      </c>
    </row>
    <row r="5061" spans="2:4" ht="13">
      <c r="B5061" s="12">
        <f ca="1">IFERROR(__xludf.DUMMYFUNCTION("""COMPUTED_VALUE"""),128589)</f>
        <v>128589</v>
      </c>
      <c r="C5061" s="14">
        <f ca="1">IFERROR(__xludf.DUMMYFUNCTION("""COMPUTED_VALUE"""),42)</f>
        <v>42</v>
      </c>
      <c r="D5061" s="12" t="str">
        <f ca="1">IFERROR(__xludf.DUMMYFUNCTION("""COMPUTED_VALUE"""),"長谷川 陸朗")</f>
        <v>長谷川 陸朗</v>
      </c>
    </row>
    <row r="5062" spans="2:4" ht="13">
      <c r="B5062" s="12">
        <f ca="1">IFERROR(__xludf.DUMMYFUNCTION("""COMPUTED_VALUE"""),128593)</f>
        <v>128593</v>
      </c>
      <c r="C5062" s="14">
        <f ca="1">IFERROR(__xludf.DUMMYFUNCTION("""COMPUTED_VALUE"""),0)</f>
        <v>0</v>
      </c>
      <c r="D5062" s="12" t="str">
        <f ca="1">IFERROR(__xludf.DUMMYFUNCTION("""COMPUTED_VALUE"""),"辻村 将大")</f>
        <v>辻村 将大</v>
      </c>
    </row>
    <row r="5063" spans="2:4" ht="13">
      <c r="B5063" s="12">
        <f ca="1">IFERROR(__xludf.DUMMYFUNCTION("""COMPUTED_VALUE"""),128594)</f>
        <v>128594</v>
      </c>
      <c r="C5063" s="14">
        <f ca="1">IFERROR(__xludf.DUMMYFUNCTION("""COMPUTED_VALUE"""),0)</f>
        <v>0</v>
      </c>
      <c r="D5063" s="12" t="str">
        <f ca="1">IFERROR(__xludf.DUMMYFUNCTION("""COMPUTED_VALUE"""),"老田 純輝")</f>
        <v>老田 純輝</v>
      </c>
    </row>
    <row r="5064" spans="2:4" ht="13">
      <c r="B5064" s="12">
        <f ca="1">IFERROR(__xludf.DUMMYFUNCTION("""COMPUTED_VALUE"""),128596)</f>
        <v>128596</v>
      </c>
      <c r="C5064" s="14">
        <f ca="1">IFERROR(__xludf.DUMMYFUNCTION("""COMPUTED_VALUE"""),6)</f>
        <v>6</v>
      </c>
      <c r="D5064" s="12" t="str">
        <f ca="1">IFERROR(__xludf.DUMMYFUNCTION("""COMPUTED_VALUE"""),"堀越 駿")</f>
        <v>堀越 駿</v>
      </c>
    </row>
    <row r="5065" spans="2:4" ht="13">
      <c r="B5065" s="12">
        <f ca="1">IFERROR(__xludf.DUMMYFUNCTION("""COMPUTED_VALUE"""),128599)</f>
        <v>128599</v>
      </c>
      <c r="C5065" s="14">
        <f ca="1">IFERROR(__xludf.DUMMYFUNCTION("""COMPUTED_VALUE"""),0)</f>
        <v>0</v>
      </c>
      <c r="D5065" s="12" t="str">
        <f ca="1">IFERROR(__xludf.DUMMYFUNCTION("""COMPUTED_VALUE"""),"桑原 明子")</f>
        <v>桑原 明子</v>
      </c>
    </row>
    <row r="5066" spans="2:4" ht="13">
      <c r="B5066" s="12">
        <f ca="1">IFERROR(__xludf.DUMMYFUNCTION("""COMPUTED_VALUE"""),128600)</f>
        <v>128600</v>
      </c>
      <c r="C5066" s="14">
        <f ca="1">IFERROR(__xludf.DUMMYFUNCTION("""COMPUTED_VALUE"""),28)</f>
        <v>28</v>
      </c>
      <c r="D5066" s="12" t="str">
        <f ca="1">IFERROR(__xludf.DUMMYFUNCTION("""COMPUTED_VALUE"""),"小関 麻起")</f>
        <v>小関 麻起</v>
      </c>
    </row>
    <row r="5067" spans="2:4" ht="13">
      <c r="B5067" s="12">
        <f ca="1">IFERROR(__xludf.DUMMYFUNCTION("""COMPUTED_VALUE"""),128601)</f>
        <v>128601</v>
      </c>
      <c r="C5067" s="14">
        <f ca="1">IFERROR(__xludf.DUMMYFUNCTION("""COMPUTED_VALUE"""),0)</f>
        <v>0</v>
      </c>
      <c r="D5067" s="12" t="str">
        <f ca="1">IFERROR(__xludf.DUMMYFUNCTION("""COMPUTED_VALUE"""),"老田 純輝")</f>
        <v>老田 純輝</v>
      </c>
    </row>
    <row r="5068" spans="2:4" ht="13">
      <c r="B5068" s="12">
        <f ca="1">IFERROR(__xludf.DUMMYFUNCTION("""COMPUTED_VALUE"""),128602)</f>
        <v>128602</v>
      </c>
      <c r="C5068" s="14">
        <f ca="1">IFERROR(__xludf.DUMMYFUNCTION("""COMPUTED_VALUE"""),0)</f>
        <v>0</v>
      </c>
      <c r="D5068" s="12" t="str">
        <f ca="1">IFERROR(__xludf.DUMMYFUNCTION("""COMPUTED_VALUE"""),"松尾 尚樹")</f>
        <v>松尾 尚樹</v>
      </c>
    </row>
    <row r="5069" spans="2:4" ht="13">
      <c r="B5069" s="12">
        <f ca="1">IFERROR(__xludf.DUMMYFUNCTION("""COMPUTED_VALUE"""),128604)</f>
        <v>128604</v>
      </c>
      <c r="C5069" s="14">
        <f ca="1">IFERROR(__xludf.DUMMYFUNCTION("""COMPUTED_VALUE"""),0)</f>
        <v>0</v>
      </c>
      <c r="D5069" s="12" t="str">
        <f ca="1">IFERROR(__xludf.DUMMYFUNCTION("""COMPUTED_VALUE"""),"辻村 将大")</f>
        <v>辻村 将大</v>
      </c>
    </row>
    <row r="5070" spans="2:4" ht="13">
      <c r="B5070" s="12">
        <f ca="1">IFERROR(__xludf.DUMMYFUNCTION("""COMPUTED_VALUE"""),128607)</f>
        <v>128607</v>
      </c>
      <c r="C5070" s="14">
        <f ca="1">IFERROR(__xludf.DUMMYFUNCTION("""COMPUTED_VALUE"""),0)</f>
        <v>0</v>
      </c>
      <c r="D5070" s="12" t="str">
        <f ca="1">IFERROR(__xludf.DUMMYFUNCTION("""COMPUTED_VALUE"""),"森 光智")</f>
        <v>森 光智</v>
      </c>
    </row>
    <row r="5071" spans="2:4" ht="13">
      <c r="B5071" s="12">
        <f ca="1">IFERROR(__xludf.DUMMYFUNCTION("""COMPUTED_VALUE"""),128608)</f>
        <v>128608</v>
      </c>
      <c r="C5071" s="14">
        <f ca="1">IFERROR(__xludf.DUMMYFUNCTION("""COMPUTED_VALUE"""),0)</f>
        <v>0</v>
      </c>
      <c r="D5071" s="12" t="str">
        <f ca="1">IFERROR(__xludf.DUMMYFUNCTION("""COMPUTED_VALUE"""),"森 光智")</f>
        <v>森 光智</v>
      </c>
    </row>
    <row r="5072" spans="2:4" ht="13">
      <c r="B5072" s="12">
        <f ca="1">IFERROR(__xludf.DUMMYFUNCTION("""COMPUTED_VALUE"""),128609)</f>
        <v>128609</v>
      </c>
      <c r="C5072" s="14">
        <f ca="1">IFERROR(__xludf.DUMMYFUNCTION("""COMPUTED_VALUE"""),0)</f>
        <v>0</v>
      </c>
      <c r="D5072" s="12" t="str">
        <f ca="1">IFERROR(__xludf.DUMMYFUNCTION("""COMPUTED_VALUE"""),"小関 麻起")</f>
        <v>小関 麻起</v>
      </c>
    </row>
    <row r="5073" spans="2:4" ht="13">
      <c r="B5073" s="12">
        <f ca="1">IFERROR(__xludf.DUMMYFUNCTION("""COMPUTED_VALUE"""),128610)</f>
        <v>128610</v>
      </c>
      <c r="C5073" s="14">
        <f ca="1">IFERROR(__xludf.DUMMYFUNCTION("""COMPUTED_VALUE"""),0)</f>
        <v>0</v>
      </c>
      <c r="D5073" s="12" t="str">
        <f ca="1">IFERROR(__xludf.DUMMYFUNCTION("""COMPUTED_VALUE"""),"田嶋 将太")</f>
        <v>田嶋 将太</v>
      </c>
    </row>
    <row r="5074" spans="2:4" ht="13">
      <c r="B5074" s="12">
        <f ca="1">IFERROR(__xludf.DUMMYFUNCTION("""COMPUTED_VALUE"""),128614)</f>
        <v>128614</v>
      </c>
      <c r="C5074" s="14">
        <f ca="1">IFERROR(__xludf.DUMMYFUNCTION("""COMPUTED_VALUE"""),0)</f>
        <v>0</v>
      </c>
      <c r="D5074" s="12" t="str">
        <f ca="1">IFERROR(__xludf.DUMMYFUNCTION("""COMPUTED_VALUE"""),"川島 幹也")</f>
        <v>川島 幹也</v>
      </c>
    </row>
    <row r="5075" spans="2:4" ht="13">
      <c r="B5075" s="12">
        <f ca="1">IFERROR(__xludf.DUMMYFUNCTION("""COMPUTED_VALUE"""),128616)</f>
        <v>128616</v>
      </c>
      <c r="C5075" s="14">
        <f ca="1">IFERROR(__xludf.DUMMYFUNCTION("""COMPUTED_VALUE"""),0)</f>
        <v>0</v>
      </c>
      <c r="D5075" s="12" t="str">
        <f ca="1">IFERROR(__xludf.DUMMYFUNCTION("""COMPUTED_VALUE"""),"桐山 勝気")</f>
        <v>桐山 勝気</v>
      </c>
    </row>
    <row r="5076" spans="2:4" ht="13">
      <c r="B5076" s="12">
        <f ca="1">IFERROR(__xludf.DUMMYFUNCTION("""COMPUTED_VALUE"""),128623)</f>
        <v>128623</v>
      </c>
      <c r="C5076" s="14">
        <f ca="1">IFERROR(__xludf.DUMMYFUNCTION("""COMPUTED_VALUE"""),2)</f>
        <v>2</v>
      </c>
      <c r="D5076" s="12" t="str">
        <f ca="1">IFERROR(__xludf.DUMMYFUNCTION("""COMPUTED_VALUE"""),"田嶋 将太")</f>
        <v>田嶋 将太</v>
      </c>
    </row>
    <row r="5077" spans="2:4" ht="13">
      <c r="B5077" s="12">
        <f ca="1">IFERROR(__xludf.DUMMYFUNCTION("""COMPUTED_VALUE"""),128624)</f>
        <v>128624</v>
      </c>
      <c r="C5077" s="14">
        <f ca="1">IFERROR(__xludf.DUMMYFUNCTION("""COMPUTED_VALUE"""),1)</f>
        <v>1</v>
      </c>
      <c r="D5077" s="12" t="str">
        <f ca="1">IFERROR(__xludf.DUMMYFUNCTION("""COMPUTED_VALUE"""),"小川 純")</f>
        <v>小川 純</v>
      </c>
    </row>
    <row r="5078" spans="2:4" ht="13">
      <c r="B5078" s="12">
        <f ca="1">IFERROR(__xludf.DUMMYFUNCTION("""COMPUTED_VALUE"""),128625)</f>
        <v>128625</v>
      </c>
      <c r="C5078" s="14">
        <f ca="1">IFERROR(__xludf.DUMMYFUNCTION("""COMPUTED_VALUE"""),0)</f>
        <v>0</v>
      </c>
      <c r="D5078" s="12" t="str">
        <f ca="1">IFERROR(__xludf.DUMMYFUNCTION("""COMPUTED_VALUE"""),"堀越 駿")</f>
        <v>堀越 駿</v>
      </c>
    </row>
    <row r="5079" spans="2:4" ht="13">
      <c r="B5079" s="12">
        <f ca="1">IFERROR(__xludf.DUMMYFUNCTION("""COMPUTED_VALUE"""),128626)</f>
        <v>128626</v>
      </c>
      <c r="C5079" s="14">
        <f ca="1">IFERROR(__xludf.DUMMYFUNCTION("""COMPUTED_VALUE"""),0)</f>
        <v>0</v>
      </c>
      <c r="D5079" s="12" t="str">
        <f ca="1">IFERROR(__xludf.DUMMYFUNCTION("""COMPUTED_VALUE"""),"小関 麻起")</f>
        <v>小関 麻起</v>
      </c>
    </row>
    <row r="5080" spans="2:4" ht="13">
      <c r="B5080" s="12">
        <f ca="1">IFERROR(__xludf.DUMMYFUNCTION("""COMPUTED_VALUE"""),128630)</f>
        <v>128630</v>
      </c>
      <c r="C5080" s="14">
        <f ca="1">IFERROR(__xludf.DUMMYFUNCTION("""COMPUTED_VALUE"""),9)</f>
        <v>9</v>
      </c>
      <c r="D5080" s="12" t="str">
        <f ca="1">IFERROR(__xludf.DUMMYFUNCTION("""COMPUTED_VALUE"""),"栗原 大武")</f>
        <v>栗原 大武</v>
      </c>
    </row>
    <row r="5081" spans="2:4" ht="13">
      <c r="B5081" s="12">
        <f ca="1">IFERROR(__xludf.DUMMYFUNCTION("""COMPUTED_VALUE"""),128632)</f>
        <v>128632</v>
      </c>
      <c r="C5081" s="14">
        <f ca="1">IFERROR(__xludf.DUMMYFUNCTION("""COMPUTED_VALUE"""),1)</f>
        <v>1</v>
      </c>
      <c r="D5081" s="12" t="str">
        <f ca="1">IFERROR(__xludf.DUMMYFUNCTION("""COMPUTED_VALUE"""),"稲場 勇介")</f>
        <v>稲場 勇介</v>
      </c>
    </row>
    <row r="5082" spans="2:4" ht="13">
      <c r="B5082" s="12">
        <f ca="1">IFERROR(__xludf.DUMMYFUNCTION("""COMPUTED_VALUE"""),128645)</f>
        <v>128645</v>
      </c>
      <c r="C5082" s="14">
        <f ca="1">IFERROR(__xludf.DUMMYFUNCTION("""COMPUTED_VALUE"""),2)</f>
        <v>2</v>
      </c>
      <c r="D5082" s="12" t="str">
        <f ca="1">IFERROR(__xludf.DUMMYFUNCTION("""COMPUTED_VALUE"""),"長谷川 陸朗")</f>
        <v>長谷川 陸朗</v>
      </c>
    </row>
    <row r="5083" spans="2:4" ht="13">
      <c r="B5083" s="12">
        <f ca="1">IFERROR(__xludf.DUMMYFUNCTION("""COMPUTED_VALUE"""),128653)</f>
        <v>128653</v>
      </c>
      <c r="C5083" s="14">
        <f ca="1">IFERROR(__xludf.DUMMYFUNCTION("""COMPUTED_VALUE"""),0)</f>
        <v>0</v>
      </c>
      <c r="D5083" s="12" t="str">
        <f ca="1">IFERROR(__xludf.DUMMYFUNCTION("""COMPUTED_VALUE"""),"稲場 勇介")</f>
        <v>稲場 勇介</v>
      </c>
    </row>
    <row r="5084" spans="2:4" ht="13">
      <c r="B5084" s="12">
        <f ca="1">IFERROR(__xludf.DUMMYFUNCTION("""COMPUTED_VALUE"""),128660)</f>
        <v>128660</v>
      </c>
      <c r="C5084" s="14">
        <f ca="1">IFERROR(__xludf.DUMMYFUNCTION("""COMPUTED_VALUE"""),0)</f>
        <v>0</v>
      </c>
      <c r="D5084" s="12" t="str">
        <f ca="1">IFERROR(__xludf.DUMMYFUNCTION("""COMPUTED_VALUE"""),"小関 麻起")</f>
        <v>小関 麻起</v>
      </c>
    </row>
    <row r="5085" spans="2:4" ht="13">
      <c r="B5085" s="12">
        <f ca="1">IFERROR(__xludf.DUMMYFUNCTION("""COMPUTED_VALUE"""),128662)</f>
        <v>128662</v>
      </c>
      <c r="C5085" s="14">
        <f ca="1">IFERROR(__xludf.DUMMYFUNCTION("""COMPUTED_VALUE"""),1)</f>
        <v>1</v>
      </c>
      <c r="D5085" s="12" t="str">
        <f ca="1">IFERROR(__xludf.DUMMYFUNCTION("""COMPUTED_VALUE"""),"松尾 尚樹")</f>
        <v>松尾 尚樹</v>
      </c>
    </row>
    <row r="5086" spans="2:4" ht="13">
      <c r="B5086" s="12">
        <f ca="1">IFERROR(__xludf.DUMMYFUNCTION("""COMPUTED_VALUE"""),128663)</f>
        <v>128663</v>
      </c>
      <c r="C5086" s="14">
        <f ca="1">IFERROR(__xludf.DUMMYFUNCTION("""COMPUTED_VALUE"""),0)</f>
        <v>0</v>
      </c>
      <c r="D5086" s="12" t="str">
        <f ca="1">IFERROR(__xludf.DUMMYFUNCTION("""COMPUTED_VALUE"""),"稲場 勇介")</f>
        <v>稲場 勇介</v>
      </c>
    </row>
    <row r="5087" spans="2:4" ht="13">
      <c r="B5087" s="12">
        <f ca="1">IFERROR(__xludf.DUMMYFUNCTION("""COMPUTED_VALUE"""),128665)</f>
        <v>128665</v>
      </c>
      <c r="C5087" s="14">
        <f ca="1">IFERROR(__xludf.DUMMYFUNCTION("""COMPUTED_VALUE"""),2)</f>
        <v>2</v>
      </c>
      <c r="D5087" s="12" t="str">
        <f ca="1">IFERROR(__xludf.DUMMYFUNCTION("""COMPUTED_VALUE"""),"松尾 尚樹")</f>
        <v>松尾 尚樹</v>
      </c>
    </row>
    <row r="5088" spans="2:4" ht="13">
      <c r="B5088" s="12">
        <f ca="1">IFERROR(__xludf.DUMMYFUNCTION("""COMPUTED_VALUE"""),128667)</f>
        <v>128667</v>
      </c>
      <c r="C5088" s="14">
        <f ca="1">IFERROR(__xludf.DUMMYFUNCTION("""COMPUTED_VALUE"""),9)</f>
        <v>9</v>
      </c>
      <c r="D5088" s="12" t="str">
        <f ca="1">IFERROR(__xludf.DUMMYFUNCTION("""COMPUTED_VALUE"""),"栗原 大武")</f>
        <v>栗原 大武</v>
      </c>
    </row>
    <row r="5089" spans="2:4" ht="13">
      <c r="B5089" s="12">
        <f ca="1">IFERROR(__xludf.DUMMYFUNCTION("""COMPUTED_VALUE"""),128668)</f>
        <v>128668</v>
      </c>
      <c r="C5089" s="14">
        <f ca="1">IFERROR(__xludf.DUMMYFUNCTION("""COMPUTED_VALUE"""),17)</f>
        <v>17</v>
      </c>
      <c r="D5089" s="12" t="str">
        <f ca="1">IFERROR(__xludf.DUMMYFUNCTION("""COMPUTED_VALUE"""),"栗原 大武")</f>
        <v>栗原 大武</v>
      </c>
    </row>
    <row r="5090" spans="2:4" ht="13">
      <c r="B5090" s="12">
        <f ca="1">IFERROR(__xludf.DUMMYFUNCTION("""COMPUTED_VALUE"""),128671)</f>
        <v>128671</v>
      </c>
      <c r="C5090" s="14">
        <f ca="1">IFERROR(__xludf.DUMMYFUNCTION("""COMPUTED_VALUE"""),12)</f>
        <v>12</v>
      </c>
      <c r="D5090" s="12" t="str">
        <f ca="1">IFERROR(__xludf.DUMMYFUNCTION("""COMPUTED_VALUE"""),"村上 浩一朗")</f>
        <v>村上 浩一朗</v>
      </c>
    </row>
    <row r="5091" spans="2:4" ht="13">
      <c r="B5091" s="12">
        <f ca="1">IFERROR(__xludf.DUMMYFUNCTION("""COMPUTED_VALUE"""),128673)</f>
        <v>128673</v>
      </c>
      <c r="C5091" s="14">
        <f ca="1">IFERROR(__xludf.DUMMYFUNCTION("""COMPUTED_VALUE"""),0)</f>
        <v>0</v>
      </c>
      <c r="D5091" s="12" t="str">
        <f ca="1">IFERROR(__xludf.DUMMYFUNCTION("""COMPUTED_VALUE"""),"稲場 勇介")</f>
        <v>稲場 勇介</v>
      </c>
    </row>
    <row r="5092" spans="2:4" ht="13">
      <c r="B5092" s="12">
        <f ca="1">IFERROR(__xludf.DUMMYFUNCTION("""COMPUTED_VALUE"""),128676)</f>
        <v>128676</v>
      </c>
      <c r="C5092" s="14">
        <f ca="1">IFERROR(__xludf.DUMMYFUNCTION("""COMPUTED_VALUE"""),0)</f>
        <v>0</v>
      </c>
      <c r="D5092" s="12" t="str">
        <f ca="1">IFERROR(__xludf.DUMMYFUNCTION("""COMPUTED_VALUE"""),"桐山 勝気")</f>
        <v>桐山 勝気</v>
      </c>
    </row>
    <row r="5093" spans="2:4" ht="13">
      <c r="B5093" s="12">
        <f ca="1">IFERROR(__xludf.DUMMYFUNCTION("""COMPUTED_VALUE"""),128680)</f>
        <v>128680</v>
      </c>
      <c r="C5093" s="14">
        <f ca="1">IFERROR(__xludf.DUMMYFUNCTION("""COMPUTED_VALUE"""),2)</f>
        <v>2</v>
      </c>
      <c r="D5093" s="12" t="str">
        <f ca="1">IFERROR(__xludf.DUMMYFUNCTION("""COMPUTED_VALUE"""),"小関 麻起")</f>
        <v>小関 麻起</v>
      </c>
    </row>
    <row r="5094" spans="2:4" ht="13">
      <c r="B5094" s="12">
        <f ca="1">IFERROR(__xludf.DUMMYFUNCTION("""COMPUTED_VALUE"""),128684)</f>
        <v>128684</v>
      </c>
      <c r="C5094" s="14">
        <f ca="1">IFERROR(__xludf.DUMMYFUNCTION("""COMPUTED_VALUE"""),2)</f>
        <v>2</v>
      </c>
      <c r="D5094" s="12" t="str">
        <f ca="1">IFERROR(__xludf.DUMMYFUNCTION("""COMPUTED_VALUE"""),"成嶋 夏未")</f>
        <v>成嶋 夏未</v>
      </c>
    </row>
    <row r="5095" spans="2:4" ht="13">
      <c r="B5095" s="12">
        <f ca="1">IFERROR(__xludf.DUMMYFUNCTION("""COMPUTED_VALUE"""),128688)</f>
        <v>128688</v>
      </c>
      <c r="C5095" s="14">
        <f ca="1">IFERROR(__xludf.DUMMYFUNCTION("""COMPUTED_VALUE"""),21)</f>
        <v>21</v>
      </c>
      <c r="D5095" s="12" t="str">
        <f ca="1">IFERROR(__xludf.DUMMYFUNCTION("""COMPUTED_VALUE"""),"村上 浩一朗")</f>
        <v>村上 浩一朗</v>
      </c>
    </row>
    <row r="5096" spans="2:4" ht="13">
      <c r="B5096" s="12">
        <f ca="1">IFERROR(__xludf.DUMMYFUNCTION("""COMPUTED_VALUE"""),128695)</f>
        <v>128695</v>
      </c>
      <c r="C5096" s="14">
        <f ca="1">IFERROR(__xludf.DUMMYFUNCTION("""COMPUTED_VALUE"""),0)</f>
        <v>0</v>
      </c>
      <c r="D5096" s="12" t="str">
        <f ca="1">IFERROR(__xludf.DUMMYFUNCTION("""COMPUTED_VALUE"""),"成嶋 夏未")</f>
        <v>成嶋 夏未</v>
      </c>
    </row>
    <row r="5097" spans="2:4" ht="13">
      <c r="B5097" s="12">
        <f ca="1">IFERROR(__xludf.DUMMYFUNCTION("""COMPUTED_VALUE"""),128698)</f>
        <v>128698</v>
      </c>
      <c r="C5097" s="14">
        <f ca="1">IFERROR(__xludf.DUMMYFUNCTION("""COMPUTED_VALUE"""),0)</f>
        <v>0</v>
      </c>
      <c r="D5097" s="12" t="str">
        <f ca="1">IFERROR(__xludf.DUMMYFUNCTION("""COMPUTED_VALUE"""),"成嶋 夏未")</f>
        <v>成嶋 夏未</v>
      </c>
    </row>
    <row r="5098" spans="2:4" ht="13">
      <c r="B5098" s="12">
        <f ca="1">IFERROR(__xludf.DUMMYFUNCTION("""COMPUTED_VALUE"""),128699)</f>
        <v>128699</v>
      </c>
      <c r="C5098" s="14">
        <f ca="1">IFERROR(__xludf.DUMMYFUNCTION("""COMPUTED_VALUE"""),1)</f>
        <v>1</v>
      </c>
      <c r="D5098" s="12" t="str">
        <f ca="1">IFERROR(__xludf.DUMMYFUNCTION("""COMPUTED_VALUE"""),"稲場 勇介")</f>
        <v>稲場 勇介</v>
      </c>
    </row>
    <row r="5099" spans="2:4" ht="13">
      <c r="B5099" s="12">
        <f ca="1">IFERROR(__xludf.DUMMYFUNCTION("""COMPUTED_VALUE"""),128704)</f>
        <v>128704</v>
      </c>
      <c r="C5099" s="14">
        <f ca="1">IFERROR(__xludf.DUMMYFUNCTION("""COMPUTED_VALUE"""),1)</f>
        <v>1</v>
      </c>
      <c r="D5099" s="12" t="str">
        <f ca="1">IFERROR(__xludf.DUMMYFUNCTION("""COMPUTED_VALUE"""),"成嶋 夏未")</f>
        <v>成嶋 夏未</v>
      </c>
    </row>
    <row r="5100" spans="2:4" ht="13">
      <c r="B5100" s="12">
        <f ca="1">IFERROR(__xludf.DUMMYFUNCTION("""COMPUTED_VALUE"""),128706)</f>
        <v>128706</v>
      </c>
      <c r="C5100" s="14">
        <f ca="1">IFERROR(__xludf.DUMMYFUNCTION("""COMPUTED_VALUE"""),1)</f>
        <v>1</v>
      </c>
      <c r="D5100" s="12" t="str">
        <f ca="1">IFERROR(__xludf.DUMMYFUNCTION("""COMPUTED_VALUE"""),"森 光智")</f>
        <v>森 光智</v>
      </c>
    </row>
    <row r="5101" spans="2:4" ht="13">
      <c r="B5101" s="12">
        <f ca="1">IFERROR(__xludf.DUMMYFUNCTION("""COMPUTED_VALUE"""),128738)</f>
        <v>128738</v>
      </c>
      <c r="C5101" s="14">
        <f ca="1">IFERROR(__xludf.DUMMYFUNCTION("""COMPUTED_VALUE"""),0)</f>
        <v>0</v>
      </c>
      <c r="D5101" s="12" t="str">
        <f ca="1">IFERROR(__xludf.DUMMYFUNCTION("""COMPUTED_VALUE"""),"老田 純輝")</f>
        <v>老田 純輝</v>
      </c>
    </row>
    <row r="5102" spans="2:4" ht="13">
      <c r="B5102" s="12">
        <f ca="1">IFERROR(__xludf.DUMMYFUNCTION("""COMPUTED_VALUE"""),128770)</f>
        <v>128770</v>
      </c>
      <c r="C5102" s="14">
        <f ca="1">IFERROR(__xludf.DUMMYFUNCTION("""COMPUTED_VALUE"""),0)</f>
        <v>0</v>
      </c>
      <c r="D5102" s="12" t="str">
        <f ca="1">IFERROR(__xludf.DUMMYFUNCTION("""COMPUTED_VALUE"""),"栗原 大武")</f>
        <v>栗原 大武</v>
      </c>
    </row>
    <row r="5103" spans="2:4" ht="13">
      <c r="B5103" s="12">
        <f ca="1">IFERROR(__xludf.DUMMYFUNCTION("""COMPUTED_VALUE"""),128777)</f>
        <v>128777</v>
      </c>
      <c r="C5103" s="14">
        <f ca="1">IFERROR(__xludf.DUMMYFUNCTION("""COMPUTED_VALUE"""),8)</f>
        <v>8</v>
      </c>
      <c r="D5103" s="12" t="str">
        <f ca="1">IFERROR(__xludf.DUMMYFUNCTION("""COMPUTED_VALUE"""),"成嶋 夏未")</f>
        <v>成嶋 夏未</v>
      </c>
    </row>
    <row r="5104" spans="2:4" ht="13">
      <c r="B5104" s="12">
        <f ca="1">IFERROR(__xludf.DUMMYFUNCTION("""COMPUTED_VALUE"""),128779)</f>
        <v>128779</v>
      </c>
      <c r="C5104" s="14">
        <f ca="1">IFERROR(__xludf.DUMMYFUNCTION("""COMPUTED_VALUE"""),0)</f>
        <v>0</v>
      </c>
      <c r="D5104" s="12" t="str">
        <f ca="1">IFERROR(__xludf.DUMMYFUNCTION("""COMPUTED_VALUE"""),"田嶋 将太")</f>
        <v>田嶋 将太</v>
      </c>
    </row>
    <row r="5105" spans="2:4" ht="13">
      <c r="B5105" s="12">
        <f ca="1">IFERROR(__xludf.DUMMYFUNCTION("""COMPUTED_VALUE"""),128785)</f>
        <v>128785</v>
      </c>
      <c r="C5105" s="14">
        <f ca="1">IFERROR(__xludf.DUMMYFUNCTION("""COMPUTED_VALUE"""),0)</f>
        <v>0</v>
      </c>
      <c r="D5105" s="12" t="str">
        <f ca="1">IFERROR(__xludf.DUMMYFUNCTION("""COMPUTED_VALUE"""),"長谷川 陸朗")</f>
        <v>長谷川 陸朗</v>
      </c>
    </row>
    <row r="5106" spans="2:4" ht="13">
      <c r="B5106" s="12">
        <f ca="1">IFERROR(__xludf.DUMMYFUNCTION("""COMPUTED_VALUE"""),128786)</f>
        <v>128786</v>
      </c>
      <c r="C5106" s="14">
        <f ca="1">IFERROR(__xludf.DUMMYFUNCTION("""COMPUTED_VALUE"""),0)</f>
        <v>0</v>
      </c>
      <c r="D5106" s="12" t="str">
        <f ca="1">IFERROR(__xludf.DUMMYFUNCTION("""COMPUTED_VALUE"""),"芳賀 亮輔")</f>
        <v>芳賀 亮輔</v>
      </c>
    </row>
    <row r="5107" spans="2:4" ht="13">
      <c r="B5107" s="12">
        <f ca="1">IFERROR(__xludf.DUMMYFUNCTION("""COMPUTED_VALUE"""),128787)</f>
        <v>128787</v>
      </c>
      <c r="C5107" s="14">
        <f ca="1">IFERROR(__xludf.DUMMYFUNCTION("""COMPUTED_VALUE"""),0)</f>
        <v>0</v>
      </c>
      <c r="D5107" s="12" t="str">
        <f ca="1">IFERROR(__xludf.DUMMYFUNCTION("""COMPUTED_VALUE"""),"成嶋 夏未")</f>
        <v>成嶋 夏未</v>
      </c>
    </row>
    <row r="5108" spans="2:4" ht="13">
      <c r="B5108" s="12">
        <f ca="1">IFERROR(__xludf.DUMMYFUNCTION("""COMPUTED_VALUE"""),128792)</f>
        <v>128792</v>
      </c>
      <c r="C5108" s="14">
        <f ca="1">IFERROR(__xludf.DUMMYFUNCTION("""COMPUTED_VALUE"""),0)</f>
        <v>0</v>
      </c>
      <c r="D5108" s="12" t="str">
        <f ca="1">IFERROR(__xludf.DUMMYFUNCTION("""COMPUTED_VALUE"""),"菅野 ぎんが")</f>
        <v>菅野 ぎんが</v>
      </c>
    </row>
    <row r="5109" spans="2:4" ht="13">
      <c r="B5109" s="12">
        <f ca="1">IFERROR(__xludf.DUMMYFUNCTION("""COMPUTED_VALUE"""),128797)</f>
        <v>128797</v>
      </c>
      <c r="C5109" s="14">
        <f ca="1">IFERROR(__xludf.DUMMYFUNCTION("""COMPUTED_VALUE"""),0)</f>
        <v>0</v>
      </c>
      <c r="D5109" s="12" t="str">
        <f ca="1">IFERROR(__xludf.DUMMYFUNCTION("""COMPUTED_VALUE"""),"小関 麻起")</f>
        <v>小関 麻起</v>
      </c>
    </row>
    <row r="5110" spans="2:4" ht="13">
      <c r="B5110" s="12">
        <f ca="1">IFERROR(__xludf.DUMMYFUNCTION("""COMPUTED_VALUE"""),128799)</f>
        <v>128799</v>
      </c>
      <c r="C5110" s="14">
        <f ca="1">IFERROR(__xludf.DUMMYFUNCTION("""COMPUTED_VALUE"""),2)</f>
        <v>2</v>
      </c>
      <c r="D5110" s="12" t="str">
        <f ca="1">IFERROR(__xludf.DUMMYFUNCTION("""COMPUTED_VALUE"""),"成嶋 夏未")</f>
        <v>成嶋 夏未</v>
      </c>
    </row>
    <row r="5111" spans="2:4" ht="13">
      <c r="B5111" s="12">
        <f ca="1">IFERROR(__xludf.DUMMYFUNCTION("""COMPUTED_VALUE"""),128804)</f>
        <v>128804</v>
      </c>
      <c r="C5111" s="14">
        <f ca="1">IFERROR(__xludf.DUMMYFUNCTION("""COMPUTED_VALUE"""),0)</f>
        <v>0</v>
      </c>
      <c r="D5111" s="12" t="str">
        <f ca="1">IFERROR(__xludf.DUMMYFUNCTION("""COMPUTED_VALUE"""),"小関 麻起")</f>
        <v>小関 麻起</v>
      </c>
    </row>
    <row r="5112" spans="2:4" ht="13">
      <c r="B5112" s="12">
        <f ca="1">IFERROR(__xludf.DUMMYFUNCTION("""COMPUTED_VALUE"""),128805)</f>
        <v>128805</v>
      </c>
      <c r="C5112" s="14">
        <f ca="1">IFERROR(__xludf.DUMMYFUNCTION("""COMPUTED_VALUE"""),0)</f>
        <v>0</v>
      </c>
      <c r="D5112" s="12" t="str">
        <f ca="1">IFERROR(__xludf.DUMMYFUNCTION("""COMPUTED_VALUE"""),"小川 純")</f>
        <v>小川 純</v>
      </c>
    </row>
    <row r="5113" spans="2:4" ht="13">
      <c r="B5113" s="12">
        <f ca="1">IFERROR(__xludf.DUMMYFUNCTION("""COMPUTED_VALUE"""),128806)</f>
        <v>128806</v>
      </c>
      <c r="C5113" s="14">
        <f ca="1">IFERROR(__xludf.DUMMYFUNCTION("""COMPUTED_VALUE"""),0)</f>
        <v>0</v>
      </c>
      <c r="D5113" s="12" t="str">
        <f ca="1">IFERROR(__xludf.DUMMYFUNCTION("""COMPUTED_VALUE"""),"桑原 明子")</f>
        <v>桑原 明子</v>
      </c>
    </row>
    <row r="5114" spans="2:4" ht="13">
      <c r="B5114" s="12">
        <f ca="1">IFERROR(__xludf.DUMMYFUNCTION("""COMPUTED_VALUE"""),128813)</f>
        <v>128813</v>
      </c>
      <c r="C5114" s="14">
        <f ca="1">IFERROR(__xludf.DUMMYFUNCTION("""COMPUTED_VALUE"""),34)</f>
        <v>34</v>
      </c>
      <c r="D5114" s="12" t="str">
        <f ca="1">IFERROR(__xludf.DUMMYFUNCTION("""COMPUTED_VALUE"""),"小関 麻起")</f>
        <v>小関 麻起</v>
      </c>
    </row>
    <row r="5115" spans="2:4" ht="13">
      <c r="B5115" s="12">
        <f ca="1">IFERROR(__xludf.DUMMYFUNCTION("""COMPUTED_VALUE"""),128814)</f>
        <v>128814</v>
      </c>
      <c r="C5115" s="14">
        <f ca="1">IFERROR(__xludf.DUMMYFUNCTION("""COMPUTED_VALUE"""),51)</f>
        <v>51</v>
      </c>
      <c r="D5115" s="12" t="str">
        <f ca="1">IFERROR(__xludf.DUMMYFUNCTION("""COMPUTED_VALUE"""),"稲場 勇介")</f>
        <v>稲場 勇介</v>
      </c>
    </row>
    <row r="5116" spans="2:4" ht="13">
      <c r="B5116" s="12">
        <f ca="1">IFERROR(__xludf.DUMMYFUNCTION("""COMPUTED_VALUE"""),128815)</f>
        <v>128815</v>
      </c>
      <c r="C5116" s="14">
        <f ca="1">IFERROR(__xludf.DUMMYFUNCTION("""COMPUTED_VALUE"""),9)</f>
        <v>9</v>
      </c>
      <c r="D5116" s="12" t="str">
        <f ca="1">IFERROR(__xludf.DUMMYFUNCTION("""COMPUTED_VALUE"""),"成嶋 夏未")</f>
        <v>成嶋 夏未</v>
      </c>
    </row>
    <row r="5117" spans="2:4" ht="13">
      <c r="B5117" s="12">
        <f ca="1">IFERROR(__xludf.DUMMYFUNCTION("""COMPUTED_VALUE"""),128818)</f>
        <v>128818</v>
      </c>
      <c r="C5117" s="14">
        <f ca="1">IFERROR(__xludf.DUMMYFUNCTION("""COMPUTED_VALUE"""),0)</f>
        <v>0</v>
      </c>
      <c r="D5117" s="12" t="str">
        <f ca="1">IFERROR(__xludf.DUMMYFUNCTION("""COMPUTED_VALUE"""),"菅野 ぎんが")</f>
        <v>菅野 ぎんが</v>
      </c>
    </row>
    <row r="5118" spans="2:4" ht="13">
      <c r="B5118" s="12">
        <f ca="1">IFERROR(__xludf.DUMMYFUNCTION("""COMPUTED_VALUE"""),128827)</f>
        <v>128827</v>
      </c>
      <c r="C5118" s="14">
        <f ca="1">IFERROR(__xludf.DUMMYFUNCTION("""COMPUTED_VALUE"""),0)</f>
        <v>0</v>
      </c>
      <c r="D5118" s="12" t="str">
        <f ca="1">IFERROR(__xludf.DUMMYFUNCTION("""COMPUTED_VALUE"""),"菅野 ぎんが")</f>
        <v>菅野 ぎんが</v>
      </c>
    </row>
    <row r="5119" spans="2:4" ht="13">
      <c r="B5119" s="12">
        <f ca="1">IFERROR(__xludf.DUMMYFUNCTION("""COMPUTED_VALUE"""),128828)</f>
        <v>128828</v>
      </c>
      <c r="C5119" s="14">
        <f ca="1">IFERROR(__xludf.DUMMYFUNCTION("""COMPUTED_VALUE"""),51)</f>
        <v>51</v>
      </c>
      <c r="D5119" s="12" t="str">
        <f ca="1">IFERROR(__xludf.DUMMYFUNCTION("""COMPUTED_VALUE"""),"荻曽 克輝")</f>
        <v>荻曽 克輝</v>
      </c>
    </row>
    <row r="5120" spans="2:4" ht="13">
      <c r="B5120" s="12">
        <f ca="1">IFERROR(__xludf.DUMMYFUNCTION("""COMPUTED_VALUE"""),128830)</f>
        <v>128830</v>
      </c>
      <c r="C5120" s="14">
        <f ca="1">IFERROR(__xludf.DUMMYFUNCTION("""COMPUTED_VALUE"""),3)</f>
        <v>3</v>
      </c>
      <c r="D5120" s="12" t="str">
        <f ca="1">IFERROR(__xludf.DUMMYFUNCTION("""COMPUTED_VALUE"""),"柿崎 晃司")</f>
        <v>柿崎 晃司</v>
      </c>
    </row>
    <row r="5121" spans="2:4" ht="13">
      <c r="B5121" s="12">
        <f ca="1">IFERROR(__xludf.DUMMYFUNCTION("""COMPUTED_VALUE"""),128831)</f>
        <v>128831</v>
      </c>
      <c r="C5121" s="14">
        <f ca="1">IFERROR(__xludf.DUMMYFUNCTION("""COMPUTED_VALUE"""),1)</f>
        <v>1</v>
      </c>
      <c r="D5121" s="12" t="str">
        <f ca="1">IFERROR(__xludf.DUMMYFUNCTION("""COMPUTED_VALUE"""),"柿崎 晃司")</f>
        <v>柿崎 晃司</v>
      </c>
    </row>
    <row r="5122" spans="2:4" ht="13">
      <c r="B5122" s="12">
        <f ca="1">IFERROR(__xludf.DUMMYFUNCTION("""COMPUTED_VALUE"""),128833)</f>
        <v>128833</v>
      </c>
      <c r="C5122" s="14">
        <f ca="1">IFERROR(__xludf.DUMMYFUNCTION("""COMPUTED_VALUE"""),2)</f>
        <v>2</v>
      </c>
      <c r="D5122" s="12" t="str">
        <f ca="1">IFERROR(__xludf.DUMMYFUNCTION("""COMPUTED_VALUE"""),"柿崎 晃司")</f>
        <v>柿崎 晃司</v>
      </c>
    </row>
    <row r="5123" spans="2:4" ht="13">
      <c r="B5123" s="12">
        <f ca="1">IFERROR(__xludf.DUMMYFUNCTION("""COMPUTED_VALUE"""),128836)</f>
        <v>128836</v>
      </c>
      <c r="C5123" s="14">
        <f ca="1">IFERROR(__xludf.DUMMYFUNCTION("""COMPUTED_VALUE"""),4)</f>
        <v>4</v>
      </c>
      <c r="D5123" s="12" t="str">
        <f ca="1">IFERROR(__xludf.DUMMYFUNCTION("""COMPUTED_VALUE"""),"柿崎 晃司")</f>
        <v>柿崎 晃司</v>
      </c>
    </row>
    <row r="5124" spans="2:4" ht="13">
      <c r="B5124" s="12">
        <f ca="1">IFERROR(__xludf.DUMMYFUNCTION("""COMPUTED_VALUE"""),128839)</f>
        <v>128839</v>
      </c>
      <c r="C5124" s="14">
        <f ca="1">IFERROR(__xludf.DUMMYFUNCTION("""COMPUTED_VALUE"""),2)</f>
        <v>2</v>
      </c>
      <c r="D5124" s="12" t="str">
        <f ca="1">IFERROR(__xludf.DUMMYFUNCTION("""COMPUTED_VALUE"""),"柿崎 晃司")</f>
        <v>柿崎 晃司</v>
      </c>
    </row>
    <row r="5125" spans="2:4" ht="13">
      <c r="B5125" s="12">
        <f ca="1">IFERROR(__xludf.DUMMYFUNCTION("""COMPUTED_VALUE"""),128840)</f>
        <v>128840</v>
      </c>
      <c r="C5125" s="14">
        <f ca="1">IFERROR(__xludf.DUMMYFUNCTION("""COMPUTED_VALUE"""),4)</f>
        <v>4</v>
      </c>
      <c r="D5125" s="12" t="str">
        <f ca="1">IFERROR(__xludf.DUMMYFUNCTION("""COMPUTED_VALUE"""),"柿崎 晃司")</f>
        <v>柿崎 晃司</v>
      </c>
    </row>
    <row r="5126" spans="2:4" ht="13">
      <c r="B5126" s="12">
        <f ca="1">IFERROR(__xludf.DUMMYFUNCTION("""COMPUTED_VALUE"""),128841)</f>
        <v>128841</v>
      </c>
      <c r="C5126" s="14">
        <f ca="1">IFERROR(__xludf.DUMMYFUNCTION("""COMPUTED_VALUE"""),1)</f>
        <v>1</v>
      </c>
      <c r="D5126" s="12" t="str">
        <f ca="1">IFERROR(__xludf.DUMMYFUNCTION("""COMPUTED_VALUE"""),"柿崎 晃司")</f>
        <v>柿崎 晃司</v>
      </c>
    </row>
    <row r="5127" spans="2:4" ht="13">
      <c r="B5127" s="12">
        <f ca="1">IFERROR(__xludf.DUMMYFUNCTION("""COMPUTED_VALUE"""),128843)</f>
        <v>128843</v>
      </c>
      <c r="C5127" s="14">
        <f ca="1">IFERROR(__xludf.DUMMYFUNCTION("""COMPUTED_VALUE"""),2)</f>
        <v>2</v>
      </c>
      <c r="D5127" s="12" t="str">
        <f ca="1">IFERROR(__xludf.DUMMYFUNCTION("""COMPUTED_VALUE"""),"柿崎 晃司")</f>
        <v>柿崎 晃司</v>
      </c>
    </row>
    <row r="5128" spans="2:4" ht="13">
      <c r="B5128" s="12">
        <f ca="1">IFERROR(__xludf.DUMMYFUNCTION("""COMPUTED_VALUE"""),128844)</f>
        <v>128844</v>
      </c>
      <c r="C5128" s="14">
        <f ca="1">IFERROR(__xludf.DUMMYFUNCTION("""COMPUTED_VALUE"""),1)</f>
        <v>1</v>
      </c>
      <c r="D5128" s="12" t="str">
        <f ca="1">IFERROR(__xludf.DUMMYFUNCTION("""COMPUTED_VALUE"""),"柿崎 晃司")</f>
        <v>柿崎 晃司</v>
      </c>
    </row>
    <row r="5129" spans="2:4" ht="13">
      <c r="B5129" s="12">
        <f ca="1">IFERROR(__xludf.DUMMYFUNCTION("""COMPUTED_VALUE"""),128845)</f>
        <v>128845</v>
      </c>
      <c r="C5129" s="14">
        <f ca="1">IFERROR(__xludf.DUMMYFUNCTION("""COMPUTED_VALUE"""),3)</f>
        <v>3</v>
      </c>
      <c r="D5129" s="12" t="str">
        <f ca="1">IFERROR(__xludf.DUMMYFUNCTION("""COMPUTED_VALUE"""),"柿崎 晃司")</f>
        <v>柿崎 晃司</v>
      </c>
    </row>
    <row r="5130" spans="2:4" ht="13">
      <c r="B5130" s="12">
        <f ca="1">IFERROR(__xludf.DUMMYFUNCTION("""COMPUTED_VALUE"""),128846)</f>
        <v>128846</v>
      </c>
      <c r="C5130" s="14">
        <f ca="1">IFERROR(__xludf.DUMMYFUNCTION("""COMPUTED_VALUE"""),6)</f>
        <v>6</v>
      </c>
      <c r="D5130" s="12" t="str">
        <f ca="1">IFERROR(__xludf.DUMMYFUNCTION("""COMPUTED_VALUE"""),"柿崎 晃司")</f>
        <v>柿崎 晃司</v>
      </c>
    </row>
    <row r="5131" spans="2:4" ht="13">
      <c r="B5131" s="12">
        <f ca="1">IFERROR(__xludf.DUMMYFUNCTION("""COMPUTED_VALUE"""),128847)</f>
        <v>128847</v>
      </c>
      <c r="C5131" s="14">
        <f ca="1">IFERROR(__xludf.DUMMYFUNCTION("""COMPUTED_VALUE"""),1)</f>
        <v>1</v>
      </c>
      <c r="D5131" s="12" t="str">
        <f ca="1">IFERROR(__xludf.DUMMYFUNCTION("""COMPUTED_VALUE"""),"柿崎 晃司")</f>
        <v>柿崎 晃司</v>
      </c>
    </row>
    <row r="5132" spans="2:4" ht="13">
      <c r="B5132" s="12">
        <f ca="1">IFERROR(__xludf.DUMMYFUNCTION("""COMPUTED_VALUE"""),128848)</f>
        <v>128848</v>
      </c>
      <c r="C5132" s="14">
        <f ca="1">IFERROR(__xludf.DUMMYFUNCTION("""COMPUTED_VALUE"""),1)</f>
        <v>1</v>
      </c>
      <c r="D5132" s="12" t="str">
        <f ca="1">IFERROR(__xludf.DUMMYFUNCTION("""COMPUTED_VALUE"""),"柿崎 晃司")</f>
        <v>柿崎 晃司</v>
      </c>
    </row>
    <row r="5133" spans="2:4" ht="13">
      <c r="B5133" s="12">
        <f ca="1">IFERROR(__xludf.DUMMYFUNCTION("""COMPUTED_VALUE"""),128849)</f>
        <v>128849</v>
      </c>
      <c r="C5133" s="14">
        <f ca="1">IFERROR(__xludf.DUMMYFUNCTION("""COMPUTED_VALUE"""),1)</f>
        <v>1</v>
      </c>
      <c r="D5133" s="12" t="str">
        <f ca="1">IFERROR(__xludf.DUMMYFUNCTION("""COMPUTED_VALUE"""),"柿崎 晃司")</f>
        <v>柿崎 晃司</v>
      </c>
    </row>
    <row r="5134" spans="2:4" ht="13">
      <c r="B5134" s="12">
        <f ca="1">IFERROR(__xludf.DUMMYFUNCTION("""COMPUTED_VALUE"""),128850)</f>
        <v>128850</v>
      </c>
      <c r="C5134" s="14">
        <f ca="1">IFERROR(__xludf.DUMMYFUNCTION("""COMPUTED_VALUE"""),1)</f>
        <v>1</v>
      </c>
      <c r="D5134" s="12" t="str">
        <f ca="1">IFERROR(__xludf.DUMMYFUNCTION("""COMPUTED_VALUE"""),"柿崎 晃司")</f>
        <v>柿崎 晃司</v>
      </c>
    </row>
    <row r="5135" spans="2:4" ht="13">
      <c r="B5135" s="12">
        <f ca="1">IFERROR(__xludf.DUMMYFUNCTION("""COMPUTED_VALUE"""),128851)</f>
        <v>128851</v>
      </c>
      <c r="C5135" s="14">
        <f ca="1">IFERROR(__xludf.DUMMYFUNCTION("""COMPUTED_VALUE"""),0)</f>
        <v>0</v>
      </c>
      <c r="D5135" s="12" t="str">
        <f ca="1">IFERROR(__xludf.DUMMYFUNCTION("""COMPUTED_VALUE"""),"柿崎 晃司")</f>
        <v>柿崎 晃司</v>
      </c>
    </row>
    <row r="5136" spans="2:4" ht="13">
      <c r="B5136" s="12">
        <f ca="1">IFERROR(__xludf.DUMMYFUNCTION("""COMPUTED_VALUE"""),128853)</f>
        <v>128853</v>
      </c>
      <c r="C5136" s="14">
        <f ca="1">IFERROR(__xludf.DUMMYFUNCTION("""COMPUTED_VALUE"""),2)</f>
        <v>2</v>
      </c>
      <c r="D5136" s="12" t="str">
        <f ca="1">IFERROR(__xludf.DUMMYFUNCTION("""COMPUTED_VALUE"""),"柿崎 晃司")</f>
        <v>柿崎 晃司</v>
      </c>
    </row>
    <row r="5137" spans="2:4" ht="13">
      <c r="B5137" s="12">
        <f ca="1">IFERROR(__xludf.DUMMYFUNCTION("""COMPUTED_VALUE"""),128854)</f>
        <v>128854</v>
      </c>
      <c r="C5137" s="14">
        <f ca="1">IFERROR(__xludf.DUMMYFUNCTION("""COMPUTED_VALUE"""),4)</f>
        <v>4</v>
      </c>
      <c r="D5137" s="12" t="str">
        <f ca="1">IFERROR(__xludf.DUMMYFUNCTION("""COMPUTED_VALUE"""),"柿崎 晃司")</f>
        <v>柿崎 晃司</v>
      </c>
    </row>
    <row r="5138" spans="2:4" ht="13">
      <c r="B5138" s="12">
        <f ca="1">IFERROR(__xludf.DUMMYFUNCTION("""COMPUTED_VALUE"""),128855)</f>
        <v>128855</v>
      </c>
      <c r="C5138" s="14">
        <f ca="1">IFERROR(__xludf.DUMMYFUNCTION("""COMPUTED_VALUE"""),1)</f>
        <v>1</v>
      </c>
      <c r="D5138" s="12" t="str">
        <f ca="1">IFERROR(__xludf.DUMMYFUNCTION("""COMPUTED_VALUE"""),"柿崎 晃司")</f>
        <v>柿崎 晃司</v>
      </c>
    </row>
    <row r="5139" spans="2:4" ht="13">
      <c r="B5139" s="12">
        <f ca="1">IFERROR(__xludf.DUMMYFUNCTION("""COMPUTED_VALUE"""),128857)</f>
        <v>128857</v>
      </c>
      <c r="C5139" s="14">
        <f ca="1">IFERROR(__xludf.DUMMYFUNCTION("""COMPUTED_VALUE"""),1)</f>
        <v>1</v>
      </c>
      <c r="D5139" s="12" t="str">
        <f ca="1">IFERROR(__xludf.DUMMYFUNCTION("""COMPUTED_VALUE"""),"柿崎 晃司")</f>
        <v>柿崎 晃司</v>
      </c>
    </row>
    <row r="5140" spans="2:4" ht="13">
      <c r="B5140" s="12">
        <f ca="1">IFERROR(__xludf.DUMMYFUNCTION("""COMPUTED_VALUE"""),128858)</f>
        <v>128858</v>
      </c>
      <c r="C5140" s="14">
        <f ca="1">IFERROR(__xludf.DUMMYFUNCTION("""COMPUTED_VALUE"""),0)</f>
        <v>0</v>
      </c>
      <c r="D5140" s="12" t="str">
        <f ca="1">IFERROR(__xludf.DUMMYFUNCTION("""COMPUTED_VALUE"""),"柿崎 晃司")</f>
        <v>柿崎 晃司</v>
      </c>
    </row>
    <row r="5141" spans="2:4" ht="13">
      <c r="B5141" s="12">
        <f ca="1">IFERROR(__xludf.DUMMYFUNCTION("""COMPUTED_VALUE"""),128861)</f>
        <v>128861</v>
      </c>
      <c r="C5141" s="14">
        <f ca="1">IFERROR(__xludf.DUMMYFUNCTION("""COMPUTED_VALUE"""),0)</f>
        <v>0</v>
      </c>
      <c r="D5141" s="12" t="str">
        <f ca="1">IFERROR(__xludf.DUMMYFUNCTION("""COMPUTED_VALUE"""),"成嶋 夏未")</f>
        <v>成嶋 夏未</v>
      </c>
    </row>
    <row r="5142" spans="2:4" ht="13">
      <c r="B5142" s="12">
        <f ca="1">IFERROR(__xludf.DUMMYFUNCTION("""COMPUTED_VALUE"""),128862)</f>
        <v>128862</v>
      </c>
      <c r="C5142" s="14">
        <f ca="1">IFERROR(__xludf.DUMMYFUNCTION("""COMPUTED_VALUE"""),0)</f>
        <v>0</v>
      </c>
      <c r="D5142" s="12" t="str">
        <f ca="1">IFERROR(__xludf.DUMMYFUNCTION("""COMPUTED_VALUE"""),"堀越 駿")</f>
        <v>堀越 駿</v>
      </c>
    </row>
    <row r="5143" spans="2:4" ht="13">
      <c r="B5143" s="12">
        <f ca="1">IFERROR(__xludf.DUMMYFUNCTION("""COMPUTED_VALUE"""),128864)</f>
        <v>128864</v>
      </c>
      <c r="C5143" s="14">
        <f ca="1">IFERROR(__xludf.DUMMYFUNCTION("""COMPUTED_VALUE"""),0)</f>
        <v>0</v>
      </c>
      <c r="D5143" s="12" t="str">
        <f ca="1">IFERROR(__xludf.DUMMYFUNCTION("""COMPUTED_VALUE"""),"桑原 明子")</f>
        <v>桑原 明子</v>
      </c>
    </row>
    <row r="5144" spans="2:4" ht="13">
      <c r="B5144" s="12">
        <f ca="1">IFERROR(__xludf.DUMMYFUNCTION("""COMPUTED_VALUE"""),128877)</f>
        <v>128877</v>
      </c>
      <c r="C5144" s="14">
        <f ca="1">IFERROR(__xludf.DUMMYFUNCTION("""COMPUTED_VALUE"""),0)</f>
        <v>0</v>
      </c>
      <c r="D5144" s="12" t="str">
        <f ca="1">IFERROR(__xludf.DUMMYFUNCTION("""COMPUTED_VALUE"""),"松尾 尚樹")</f>
        <v>松尾 尚樹</v>
      </c>
    </row>
    <row r="5145" spans="2:4" ht="13">
      <c r="B5145" s="12">
        <f ca="1">IFERROR(__xludf.DUMMYFUNCTION("""COMPUTED_VALUE"""),128891)</f>
        <v>128891</v>
      </c>
      <c r="C5145" s="14">
        <f ca="1">IFERROR(__xludf.DUMMYFUNCTION("""COMPUTED_VALUE"""),0)</f>
        <v>0</v>
      </c>
      <c r="D5145" s="12" t="str">
        <f ca="1">IFERROR(__xludf.DUMMYFUNCTION("""COMPUTED_VALUE"""),"菅野 ぎんが")</f>
        <v>菅野 ぎんが</v>
      </c>
    </row>
    <row r="5146" spans="2:4" ht="13">
      <c r="B5146" s="12">
        <f ca="1">IFERROR(__xludf.DUMMYFUNCTION("""COMPUTED_VALUE"""),128898)</f>
        <v>128898</v>
      </c>
      <c r="C5146" s="14">
        <f ca="1">IFERROR(__xludf.DUMMYFUNCTION("""COMPUTED_VALUE"""),0)</f>
        <v>0</v>
      </c>
      <c r="D5146" s="12" t="str">
        <f ca="1">IFERROR(__xludf.DUMMYFUNCTION("""COMPUTED_VALUE"""),"辻村 将大")</f>
        <v>辻村 将大</v>
      </c>
    </row>
    <row r="5147" spans="2:4" ht="13">
      <c r="B5147" s="12">
        <f ca="1">IFERROR(__xludf.DUMMYFUNCTION("""COMPUTED_VALUE"""),128902)</f>
        <v>128902</v>
      </c>
      <c r="C5147" s="14">
        <f ca="1">IFERROR(__xludf.DUMMYFUNCTION("""COMPUTED_VALUE"""),24)</f>
        <v>24</v>
      </c>
      <c r="D5147" s="12" t="str">
        <f ca="1">IFERROR(__xludf.DUMMYFUNCTION("""COMPUTED_VALUE"""),"小川 純")</f>
        <v>小川 純</v>
      </c>
    </row>
    <row r="5148" spans="2:4" ht="13">
      <c r="B5148" s="12">
        <f ca="1">IFERROR(__xludf.DUMMYFUNCTION("""COMPUTED_VALUE"""),128909)</f>
        <v>128909</v>
      </c>
      <c r="C5148" s="14">
        <f ca="1">IFERROR(__xludf.DUMMYFUNCTION("""COMPUTED_VALUE"""),0)</f>
        <v>0</v>
      </c>
      <c r="D5148" s="12" t="str">
        <f ca="1">IFERROR(__xludf.DUMMYFUNCTION("""COMPUTED_VALUE"""),"桐山 勝気")</f>
        <v>桐山 勝気</v>
      </c>
    </row>
    <row r="5149" spans="2:4" ht="13">
      <c r="B5149" s="12">
        <f ca="1">IFERROR(__xludf.DUMMYFUNCTION("""COMPUTED_VALUE"""),128913)</f>
        <v>128913</v>
      </c>
      <c r="C5149" s="14">
        <f ca="1">IFERROR(__xludf.DUMMYFUNCTION("""COMPUTED_VALUE"""),4)</f>
        <v>4</v>
      </c>
      <c r="D5149" s="12" t="str">
        <f ca="1">IFERROR(__xludf.DUMMYFUNCTION("""COMPUTED_VALUE"""),"桑原 明子")</f>
        <v>桑原 明子</v>
      </c>
    </row>
    <row r="5150" spans="2:4" ht="13">
      <c r="B5150" s="12">
        <f ca="1">IFERROR(__xludf.DUMMYFUNCTION("""COMPUTED_VALUE"""),128919)</f>
        <v>128919</v>
      </c>
      <c r="C5150" s="14">
        <f ca="1">IFERROR(__xludf.DUMMYFUNCTION("""COMPUTED_VALUE"""),0)</f>
        <v>0</v>
      </c>
      <c r="D5150" s="12" t="str">
        <f ca="1">IFERROR(__xludf.DUMMYFUNCTION("""COMPUTED_VALUE"""),"菅野 ぎんが")</f>
        <v>菅野 ぎんが</v>
      </c>
    </row>
    <row r="5151" spans="2:4" ht="13">
      <c r="B5151" s="12">
        <f ca="1">IFERROR(__xludf.DUMMYFUNCTION("""COMPUTED_VALUE"""),128920)</f>
        <v>128920</v>
      </c>
      <c r="C5151" s="14">
        <f ca="1">IFERROR(__xludf.DUMMYFUNCTION("""COMPUTED_VALUE"""),0)</f>
        <v>0</v>
      </c>
      <c r="D5151" s="12" t="str">
        <f ca="1">IFERROR(__xludf.DUMMYFUNCTION("""COMPUTED_VALUE"""),"栗原 大武")</f>
        <v>栗原 大武</v>
      </c>
    </row>
    <row r="5152" spans="2:4" ht="13">
      <c r="B5152" s="12">
        <f ca="1">IFERROR(__xludf.DUMMYFUNCTION("""COMPUTED_VALUE"""),128923)</f>
        <v>128923</v>
      </c>
      <c r="C5152" s="14">
        <f ca="1">IFERROR(__xludf.DUMMYFUNCTION("""COMPUTED_VALUE"""),0)</f>
        <v>0</v>
      </c>
      <c r="D5152" s="12" t="str">
        <f ca="1">IFERROR(__xludf.DUMMYFUNCTION("""COMPUTED_VALUE"""),"成嶋 夏未")</f>
        <v>成嶋 夏未</v>
      </c>
    </row>
    <row r="5153" spans="2:4" ht="13">
      <c r="B5153" s="12">
        <f ca="1">IFERROR(__xludf.DUMMYFUNCTION("""COMPUTED_VALUE"""),128925)</f>
        <v>128925</v>
      </c>
      <c r="C5153" s="14">
        <f ca="1">IFERROR(__xludf.DUMMYFUNCTION("""COMPUTED_VALUE"""),0)</f>
        <v>0</v>
      </c>
      <c r="D5153" s="12" t="str">
        <f ca="1">IFERROR(__xludf.DUMMYFUNCTION("""COMPUTED_VALUE"""),"松尾 尚樹")</f>
        <v>松尾 尚樹</v>
      </c>
    </row>
    <row r="5154" spans="2:4" ht="13">
      <c r="B5154" s="12">
        <f ca="1">IFERROR(__xludf.DUMMYFUNCTION("""COMPUTED_VALUE"""),128929)</f>
        <v>128929</v>
      </c>
      <c r="C5154" s="14">
        <f ca="1">IFERROR(__xludf.DUMMYFUNCTION("""COMPUTED_VALUE"""),17)</f>
        <v>17</v>
      </c>
      <c r="D5154" s="12" t="str">
        <f ca="1">IFERROR(__xludf.DUMMYFUNCTION("""COMPUTED_VALUE"""),"桐山 勝気")</f>
        <v>桐山 勝気</v>
      </c>
    </row>
    <row r="5155" spans="2:4" ht="13">
      <c r="B5155" s="12">
        <f ca="1">IFERROR(__xludf.DUMMYFUNCTION("""COMPUTED_VALUE"""),128931)</f>
        <v>128931</v>
      </c>
      <c r="C5155" s="14">
        <f ca="1">IFERROR(__xludf.DUMMYFUNCTION("""COMPUTED_VALUE"""),36)</f>
        <v>36</v>
      </c>
      <c r="D5155" s="12" t="str">
        <f ca="1">IFERROR(__xludf.DUMMYFUNCTION("""COMPUTED_VALUE"""),"老田 純輝")</f>
        <v>老田 純輝</v>
      </c>
    </row>
    <row r="5156" spans="2:4" ht="13">
      <c r="B5156" s="12">
        <f ca="1">IFERROR(__xludf.DUMMYFUNCTION("""COMPUTED_VALUE"""),128932)</f>
        <v>128932</v>
      </c>
      <c r="C5156" s="14">
        <f ca="1">IFERROR(__xludf.DUMMYFUNCTION("""COMPUTED_VALUE"""),0)</f>
        <v>0</v>
      </c>
      <c r="D5156" s="12" t="str">
        <f ca="1">IFERROR(__xludf.DUMMYFUNCTION("""COMPUTED_VALUE"""),"芳賀 亮輔")</f>
        <v>芳賀 亮輔</v>
      </c>
    </row>
    <row r="5157" spans="2:4" ht="13">
      <c r="B5157" s="12">
        <f ca="1">IFERROR(__xludf.DUMMYFUNCTION("""COMPUTED_VALUE"""),128933)</f>
        <v>128933</v>
      </c>
      <c r="C5157" s="14">
        <f ca="1">IFERROR(__xludf.DUMMYFUNCTION("""COMPUTED_VALUE"""),0)</f>
        <v>0</v>
      </c>
      <c r="D5157" s="12" t="str">
        <f ca="1">IFERROR(__xludf.DUMMYFUNCTION("""COMPUTED_VALUE"""),"長谷川 陸朗")</f>
        <v>長谷川 陸朗</v>
      </c>
    </row>
    <row r="5158" spans="2:4" ht="13">
      <c r="B5158" s="12">
        <f ca="1">IFERROR(__xludf.DUMMYFUNCTION("""COMPUTED_VALUE"""),128936)</f>
        <v>128936</v>
      </c>
      <c r="C5158" s="14">
        <f ca="1">IFERROR(__xludf.DUMMYFUNCTION("""COMPUTED_VALUE"""),4)</f>
        <v>4</v>
      </c>
      <c r="D5158" s="12" t="str">
        <f ca="1">IFERROR(__xludf.DUMMYFUNCTION("""COMPUTED_VALUE"""),"老田 純輝")</f>
        <v>老田 純輝</v>
      </c>
    </row>
    <row r="5159" spans="2:4" ht="13">
      <c r="B5159" s="12">
        <f ca="1">IFERROR(__xludf.DUMMYFUNCTION("""COMPUTED_VALUE"""),128938)</f>
        <v>128938</v>
      </c>
      <c r="C5159" s="14">
        <f ca="1">IFERROR(__xludf.DUMMYFUNCTION("""COMPUTED_VALUE"""),4)</f>
        <v>4</v>
      </c>
      <c r="D5159" s="12" t="str">
        <f ca="1">IFERROR(__xludf.DUMMYFUNCTION("""COMPUTED_VALUE"""),"小関 麻起")</f>
        <v>小関 麻起</v>
      </c>
    </row>
    <row r="5160" spans="2:4" ht="13">
      <c r="B5160" s="12">
        <f ca="1">IFERROR(__xludf.DUMMYFUNCTION("""COMPUTED_VALUE"""),128944)</f>
        <v>128944</v>
      </c>
      <c r="C5160" s="14">
        <f ca="1">IFERROR(__xludf.DUMMYFUNCTION("""COMPUTED_VALUE"""),0)</f>
        <v>0</v>
      </c>
      <c r="D5160" s="12" t="str">
        <f ca="1">IFERROR(__xludf.DUMMYFUNCTION("""COMPUTED_VALUE"""),"小川 純")</f>
        <v>小川 純</v>
      </c>
    </row>
    <row r="5161" spans="2:4" ht="13">
      <c r="B5161" s="12">
        <f ca="1">IFERROR(__xludf.DUMMYFUNCTION("""COMPUTED_VALUE"""),128946)</f>
        <v>128946</v>
      </c>
      <c r="C5161" s="14">
        <f ca="1">IFERROR(__xludf.DUMMYFUNCTION("""COMPUTED_VALUE"""),0)</f>
        <v>0</v>
      </c>
      <c r="D5161" s="12" t="str">
        <f ca="1">IFERROR(__xludf.DUMMYFUNCTION("""COMPUTED_VALUE"""),"松尾 尚樹")</f>
        <v>松尾 尚樹</v>
      </c>
    </row>
    <row r="5162" spans="2:4" ht="13">
      <c r="B5162" s="12">
        <f ca="1">IFERROR(__xludf.DUMMYFUNCTION("""COMPUTED_VALUE"""),128953)</f>
        <v>128953</v>
      </c>
      <c r="C5162" s="14">
        <f ca="1">IFERROR(__xludf.DUMMYFUNCTION("""COMPUTED_VALUE"""),17)</f>
        <v>17</v>
      </c>
      <c r="D5162" s="12" t="str">
        <f ca="1">IFERROR(__xludf.DUMMYFUNCTION("""COMPUTED_VALUE"""),"田嶋 将太")</f>
        <v>田嶋 将太</v>
      </c>
    </row>
    <row r="5163" spans="2:4" ht="13">
      <c r="B5163" s="12">
        <f ca="1">IFERROR(__xludf.DUMMYFUNCTION("""COMPUTED_VALUE"""),128957)</f>
        <v>128957</v>
      </c>
      <c r="C5163" s="14">
        <f ca="1">IFERROR(__xludf.DUMMYFUNCTION("""COMPUTED_VALUE"""),0)</f>
        <v>0</v>
      </c>
      <c r="D5163" s="12" t="str">
        <f ca="1">IFERROR(__xludf.DUMMYFUNCTION("""COMPUTED_VALUE"""),"小川 純")</f>
        <v>小川 純</v>
      </c>
    </row>
    <row r="5164" spans="2:4" ht="13">
      <c r="B5164" s="12">
        <f ca="1">IFERROR(__xludf.DUMMYFUNCTION("""COMPUTED_VALUE"""),128960)</f>
        <v>128960</v>
      </c>
      <c r="C5164" s="14">
        <f ca="1">IFERROR(__xludf.DUMMYFUNCTION("""COMPUTED_VALUE"""),0)</f>
        <v>0</v>
      </c>
      <c r="D5164" s="12" t="str">
        <f ca="1">IFERROR(__xludf.DUMMYFUNCTION("""COMPUTED_VALUE"""),"小川 純")</f>
        <v>小川 純</v>
      </c>
    </row>
    <row r="5165" spans="2:4" ht="13">
      <c r="B5165" s="12">
        <f ca="1">IFERROR(__xludf.DUMMYFUNCTION("""COMPUTED_VALUE"""),128963)</f>
        <v>128963</v>
      </c>
      <c r="C5165" s="14">
        <f ca="1">IFERROR(__xludf.DUMMYFUNCTION("""COMPUTED_VALUE"""),0)</f>
        <v>0</v>
      </c>
      <c r="D5165" s="12" t="str">
        <f ca="1">IFERROR(__xludf.DUMMYFUNCTION("""COMPUTED_VALUE"""),"小川 純")</f>
        <v>小川 純</v>
      </c>
    </row>
    <row r="5166" spans="2:4" ht="13">
      <c r="B5166" s="12">
        <f ca="1">IFERROR(__xludf.DUMMYFUNCTION("""COMPUTED_VALUE"""),128964)</f>
        <v>128964</v>
      </c>
      <c r="C5166" s="14">
        <f ca="1">IFERROR(__xludf.DUMMYFUNCTION("""COMPUTED_VALUE"""),0)</f>
        <v>0</v>
      </c>
      <c r="D5166" s="12" t="str">
        <f ca="1">IFERROR(__xludf.DUMMYFUNCTION("""COMPUTED_VALUE"""),"小川 純")</f>
        <v>小川 純</v>
      </c>
    </row>
    <row r="5167" spans="2:4" ht="13">
      <c r="B5167" s="12">
        <f ca="1">IFERROR(__xludf.DUMMYFUNCTION("""COMPUTED_VALUE"""),128966)</f>
        <v>128966</v>
      </c>
      <c r="C5167" s="14">
        <f ca="1">IFERROR(__xludf.DUMMYFUNCTION("""COMPUTED_VALUE"""),0)</f>
        <v>0</v>
      </c>
      <c r="D5167" s="12" t="str">
        <f ca="1">IFERROR(__xludf.DUMMYFUNCTION("""COMPUTED_VALUE"""),"小川 純")</f>
        <v>小川 純</v>
      </c>
    </row>
    <row r="5168" spans="2:4" ht="13">
      <c r="B5168" s="12">
        <f ca="1">IFERROR(__xludf.DUMMYFUNCTION("""COMPUTED_VALUE"""),128970)</f>
        <v>128970</v>
      </c>
      <c r="C5168" s="14">
        <f ca="1">IFERROR(__xludf.DUMMYFUNCTION("""COMPUTED_VALUE"""),0)</f>
        <v>0</v>
      </c>
      <c r="D5168" s="12" t="str">
        <f ca="1">IFERROR(__xludf.DUMMYFUNCTION("""COMPUTED_VALUE"""),"桑原 明子")</f>
        <v>桑原 明子</v>
      </c>
    </row>
    <row r="5169" spans="2:4" ht="13">
      <c r="B5169" s="12">
        <f ca="1">IFERROR(__xludf.DUMMYFUNCTION("""COMPUTED_VALUE"""),128971)</f>
        <v>128971</v>
      </c>
      <c r="C5169" s="14">
        <f ca="1">IFERROR(__xludf.DUMMYFUNCTION("""COMPUTED_VALUE"""),0)</f>
        <v>0</v>
      </c>
      <c r="D5169" s="12" t="str">
        <f ca="1">IFERROR(__xludf.DUMMYFUNCTION("""COMPUTED_VALUE"""),"小川 純")</f>
        <v>小川 純</v>
      </c>
    </row>
    <row r="5170" spans="2:4" ht="13">
      <c r="B5170" s="12">
        <f ca="1">IFERROR(__xludf.DUMMYFUNCTION("""COMPUTED_VALUE"""),128976)</f>
        <v>128976</v>
      </c>
      <c r="C5170" s="14">
        <f ca="1">IFERROR(__xludf.DUMMYFUNCTION("""COMPUTED_VALUE"""),0)</f>
        <v>0</v>
      </c>
      <c r="D5170" s="12" t="str">
        <f ca="1">IFERROR(__xludf.DUMMYFUNCTION("""COMPUTED_VALUE"""),"菅野 ぎんが")</f>
        <v>菅野 ぎんが</v>
      </c>
    </row>
    <row r="5171" spans="2:4" ht="13">
      <c r="B5171" s="12">
        <f ca="1">IFERROR(__xludf.DUMMYFUNCTION("""COMPUTED_VALUE"""),128978)</f>
        <v>128978</v>
      </c>
      <c r="C5171" s="14">
        <f ca="1">IFERROR(__xludf.DUMMYFUNCTION("""COMPUTED_VALUE"""),0)</f>
        <v>0</v>
      </c>
      <c r="D5171" s="12" t="str">
        <f ca="1">IFERROR(__xludf.DUMMYFUNCTION("""COMPUTED_VALUE"""),"桑原 明子")</f>
        <v>桑原 明子</v>
      </c>
    </row>
    <row r="5172" spans="2:4" ht="13">
      <c r="B5172" s="12">
        <f ca="1">IFERROR(__xludf.DUMMYFUNCTION("""COMPUTED_VALUE"""),128979)</f>
        <v>128979</v>
      </c>
      <c r="C5172" s="14">
        <f ca="1">IFERROR(__xludf.DUMMYFUNCTION("""COMPUTED_VALUE"""),0)</f>
        <v>0</v>
      </c>
      <c r="D5172" s="12" t="str">
        <f ca="1">IFERROR(__xludf.DUMMYFUNCTION("""COMPUTED_VALUE"""),"村上 浩一朗")</f>
        <v>村上 浩一朗</v>
      </c>
    </row>
    <row r="5173" spans="2:4" ht="13">
      <c r="B5173" s="12">
        <f ca="1">IFERROR(__xludf.DUMMYFUNCTION("""COMPUTED_VALUE"""),128986)</f>
        <v>128986</v>
      </c>
      <c r="C5173" s="14">
        <f ca="1">IFERROR(__xludf.DUMMYFUNCTION("""COMPUTED_VALUE"""),0)</f>
        <v>0</v>
      </c>
      <c r="D5173" s="12" t="str">
        <f ca="1">IFERROR(__xludf.DUMMYFUNCTION("""COMPUTED_VALUE"""),"小川 純")</f>
        <v>小川 純</v>
      </c>
    </row>
    <row r="5174" spans="2:4" ht="13">
      <c r="B5174" s="12">
        <f ca="1">IFERROR(__xludf.DUMMYFUNCTION("""COMPUTED_VALUE"""),128991)</f>
        <v>128991</v>
      </c>
      <c r="C5174" s="14">
        <f ca="1">IFERROR(__xludf.DUMMYFUNCTION("""COMPUTED_VALUE"""),2)</f>
        <v>2</v>
      </c>
      <c r="D5174" s="12" t="str">
        <f ca="1">IFERROR(__xludf.DUMMYFUNCTION("""COMPUTED_VALUE"""),"辻村 将大")</f>
        <v>辻村 将大</v>
      </c>
    </row>
    <row r="5175" spans="2:4" ht="13">
      <c r="B5175" s="12">
        <f ca="1">IFERROR(__xludf.DUMMYFUNCTION("""COMPUTED_VALUE"""),128992)</f>
        <v>128992</v>
      </c>
      <c r="C5175" s="14">
        <f ca="1">IFERROR(__xludf.DUMMYFUNCTION("""COMPUTED_VALUE"""),0)</f>
        <v>0</v>
      </c>
      <c r="D5175" s="12" t="str">
        <f ca="1">IFERROR(__xludf.DUMMYFUNCTION("""COMPUTED_VALUE"""),"稲場 勇介")</f>
        <v>稲場 勇介</v>
      </c>
    </row>
    <row r="5176" spans="2:4" ht="13">
      <c r="B5176" s="12">
        <f ca="1">IFERROR(__xludf.DUMMYFUNCTION("""COMPUTED_VALUE"""),128998)</f>
        <v>128998</v>
      </c>
      <c r="C5176" s="14">
        <f ca="1">IFERROR(__xludf.DUMMYFUNCTION("""COMPUTED_VALUE"""),34)</f>
        <v>34</v>
      </c>
      <c r="D5176" s="12" t="str">
        <f ca="1">IFERROR(__xludf.DUMMYFUNCTION("""COMPUTED_VALUE"""),"菅野 ぎんが")</f>
        <v>菅野 ぎんが</v>
      </c>
    </row>
    <row r="5177" spans="2:4" ht="13">
      <c r="B5177" s="12">
        <f ca="1">IFERROR(__xludf.DUMMYFUNCTION("""COMPUTED_VALUE"""),128999)</f>
        <v>128999</v>
      </c>
      <c r="C5177" s="14">
        <f ca="1">IFERROR(__xludf.DUMMYFUNCTION("""COMPUTED_VALUE"""),47)</f>
        <v>47</v>
      </c>
      <c r="D5177" s="12" t="str">
        <f ca="1">IFERROR(__xludf.DUMMYFUNCTION("""COMPUTED_VALUE"""),"小関 麻起")</f>
        <v>小関 麻起</v>
      </c>
    </row>
    <row r="5178" spans="2:4" ht="13">
      <c r="B5178" s="12">
        <f ca="1">IFERROR(__xludf.DUMMYFUNCTION("""COMPUTED_VALUE"""),129000)</f>
        <v>129000</v>
      </c>
      <c r="C5178" s="14">
        <f ca="1">IFERROR(__xludf.DUMMYFUNCTION("""COMPUTED_VALUE"""),51)</f>
        <v>51</v>
      </c>
      <c r="D5178" s="12" t="str">
        <f ca="1">IFERROR(__xludf.DUMMYFUNCTION("""COMPUTED_VALUE"""),"小関 麻起")</f>
        <v>小関 麻起</v>
      </c>
    </row>
    <row r="5179" spans="2:4" ht="13">
      <c r="B5179" s="12">
        <f ca="1">IFERROR(__xludf.DUMMYFUNCTION("""COMPUTED_VALUE"""),129002)</f>
        <v>129002</v>
      </c>
      <c r="C5179" s="14">
        <f ca="1">IFERROR(__xludf.DUMMYFUNCTION("""COMPUTED_VALUE"""),1)</f>
        <v>1</v>
      </c>
      <c r="D5179" s="12" t="str">
        <f ca="1">IFERROR(__xludf.DUMMYFUNCTION("""COMPUTED_VALUE"""),"小関 麻起")</f>
        <v>小関 麻起</v>
      </c>
    </row>
    <row r="5180" spans="2:4" ht="13">
      <c r="B5180" s="12">
        <f ca="1">IFERROR(__xludf.DUMMYFUNCTION("""COMPUTED_VALUE"""),129004)</f>
        <v>129004</v>
      </c>
      <c r="C5180" s="14">
        <f ca="1">IFERROR(__xludf.DUMMYFUNCTION("""COMPUTED_VALUE"""),0)</f>
        <v>0</v>
      </c>
      <c r="D5180" s="12" t="str">
        <f ca="1">IFERROR(__xludf.DUMMYFUNCTION("""COMPUTED_VALUE"""),"荻曽 克輝")</f>
        <v>荻曽 克輝</v>
      </c>
    </row>
    <row r="5181" spans="2:4" ht="13">
      <c r="B5181" s="12">
        <f ca="1">IFERROR(__xludf.DUMMYFUNCTION("""COMPUTED_VALUE"""),129008)</f>
        <v>129008</v>
      </c>
      <c r="C5181" s="14">
        <f ca="1">IFERROR(__xludf.DUMMYFUNCTION("""COMPUTED_VALUE"""),1)</f>
        <v>1</v>
      </c>
      <c r="D5181" s="12" t="str">
        <f ca="1">IFERROR(__xludf.DUMMYFUNCTION("""COMPUTED_VALUE"""),"稲場 勇介")</f>
        <v>稲場 勇介</v>
      </c>
    </row>
    <row r="5182" spans="2:4" ht="13">
      <c r="B5182" s="12">
        <f ca="1">IFERROR(__xludf.DUMMYFUNCTION("""COMPUTED_VALUE"""),129009)</f>
        <v>129009</v>
      </c>
      <c r="C5182" s="14">
        <f ca="1">IFERROR(__xludf.DUMMYFUNCTION("""COMPUTED_VALUE"""),0)</f>
        <v>0</v>
      </c>
      <c r="D5182" s="12" t="str">
        <f ca="1">IFERROR(__xludf.DUMMYFUNCTION("""COMPUTED_VALUE"""),"内丸 裕子")</f>
        <v>内丸 裕子</v>
      </c>
    </row>
    <row r="5183" spans="2:4" ht="13">
      <c r="B5183" s="12">
        <f ca="1">IFERROR(__xludf.DUMMYFUNCTION("""COMPUTED_VALUE"""),129011)</f>
        <v>129011</v>
      </c>
      <c r="C5183" s="14">
        <f ca="1">IFERROR(__xludf.DUMMYFUNCTION("""COMPUTED_VALUE"""),0)</f>
        <v>0</v>
      </c>
      <c r="D5183" s="12" t="str">
        <f ca="1">IFERROR(__xludf.DUMMYFUNCTION("""COMPUTED_VALUE"""),"森 光智")</f>
        <v>森 光智</v>
      </c>
    </row>
    <row r="5184" spans="2:4" ht="13">
      <c r="B5184" s="12">
        <f ca="1">IFERROR(__xludf.DUMMYFUNCTION("""COMPUTED_VALUE"""),129012)</f>
        <v>129012</v>
      </c>
      <c r="C5184" s="14">
        <f ca="1">IFERROR(__xludf.DUMMYFUNCTION("""COMPUTED_VALUE"""),0)</f>
        <v>0</v>
      </c>
      <c r="D5184" s="12" t="str">
        <f ca="1">IFERROR(__xludf.DUMMYFUNCTION("""COMPUTED_VALUE"""),"森 光智")</f>
        <v>森 光智</v>
      </c>
    </row>
    <row r="5185" spans="2:4" ht="13">
      <c r="B5185" s="12">
        <f ca="1">IFERROR(__xludf.DUMMYFUNCTION("""COMPUTED_VALUE"""),129013)</f>
        <v>129013</v>
      </c>
      <c r="C5185" s="14">
        <f ca="1">IFERROR(__xludf.DUMMYFUNCTION("""COMPUTED_VALUE"""),2)</f>
        <v>2</v>
      </c>
      <c r="D5185" s="12" t="str">
        <f ca="1">IFERROR(__xludf.DUMMYFUNCTION("""COMPUTED_VALUE"""),"桑原 明子")</f>
        <v>桑原 明子</v>
      </c>
    </row>
    <row r="5186" spans="2:4" ht="13">
      <c r="B5186" s="12">
        <f ca="1">IFERROR(__xludf.DUMMYFUNCTION("""COMPUTED_VALUE"""),129016)</f>
        <v>129016</v>
      </c>
      <c r="C5186" s="14">
        <f ca="1">IFERROR(__xludf.DUMMYFUNCTION("""COMPUTED_VALUE"""),5)</f>
        <v>5</v>
      </c>
      <c r="D5186" s="12" t="str">
        <f ca="1">IFERROR(__xludf.DUMMYFUNCTION("""COMPUTED_VALUE"""),"小川 純")</f>
        <v>小川 純</v>
      </c>
    </row>
    <row r="5187" spans="2:4" ht="13">
      <c r="B5187" s="12">
        <f ca="1">IFERROR(__xludf.DUMMYFUNCTION("""COMPUTED_VALUE"""),129018)</f>
        <v>129018</v>
      </c>
      <c r="C5187" s="14">
        <f ca="1">IFERROR(__xludf.DUMMYFUNCTION("""COMPUTED_VALUE"""),0)</f>
        <v>0</v>
      </c>
      <c r="D5187" s="12" t="str">
        <f ca="1">IFERROR(__xludf.DUMMYFUNCTION("""COMPUTED_VALUE"""),"村上 浩一朗")</f>
        <v>村上 浩一朗</v>
      </c>
    </row>
    <row r="5188" spans="2:4" ht="13">
      <c r="B5188" s="12">
        <f ca="1">IFERROR(__xludf.DUMMYFUNCTION("""COMPUTED_VALUE"""),129019)</f>
        <v>129019</v>
      </c>
      <c r="C5188" s="14">
        <f ca="1">IFERROR(__xludf.DUMMYFUNCTION("""COMPUTED_VALUE"""),0)</f>
        <v>0</v>
      </c>
      <c r="D5188" s="12" t="str">
        <f ca="1">IFERROR(__xludf.DUMMYFUNCTION("""COMPUTED_VALUE"""),"成嶋 夏未")</f>
        <v>成嶋 夏未</v>
      </c>
    </row>
    <row r="5189" spans="2:4" ht="13">
      <c r="B5189" s="12">
        <f ca="1">IFERROR(__xludf.DUMMYFUNCTION("""COMPUTED_VALUE"""),129021)</f>
        <v>129021</v>
      </c>
      <c r="C5189" s="14">
        <f ca="1">IFERROR(__xludf.DUMMYFUNCTION("""COMPUTED_VALUE"""),0)</f>
        <v>0</v>
      </c>
      <c r="D5189" s="12" t="str">
        <f ca="1">IFERROR(__xludf.DUMMYFUNCTION("""COMPUTED_VALUE"""),"小関 麻起")</f>
        <v>小関 麻起</v>
      </c>
    </row>
    <row r="5190" spans="2:4" ht="13">
      <c r="B5190" s="12">
        <f ca="1">IFERROR(__xludf.DUMMYFUNCTION("""COMPUTED_VALUE"""),129024)</f>
        <v>129024</v>
      </c>
      <c r="C5190" s="14">
        <f ca="1">IFERROR(__xludf.DUMMYFUNCTION("""COMPUTED_VALUE"""),0)</f>
        <v>0</v>
      </c>
      <c r="D5190" s="12" t="str">
        <f ca="1">IFERROR(__xludf.DUMMYFUNCTION("""COMPUTED_VALUE"""),"荻曽 克輝")</f>
        <v>荻曽 克輝</v>
      </c>
    </row>
    <row r="5191" spans="2:4" ht="13">
      <c r="B5191" s="12">
        <f ca="1">IFERROR(__xludf.DUMMYFUNCTION("""COMPUTED_VALUE"""),129026)</f>
        <v>129026</v>
      </c>
      <c r="C5191" s="14">
        <f ca="1">IFERROR(__xludf.DUMMYFUNCTION("""COMPUTED_VALUE"""),0)</f>
        <v>0</v>
      </c>
      <c r="D5191" s="12" t="str">
        <f ca="1">IFERROR(__xludf.DUMMYFUNCTION("""COMPUTED_VALUE"""),"成嶋 夏未")</f>
        <v>成嶋 夏未</v>
      </c>
    </row>
    <row r="5192" spans="2:4" ht="13">
      <c r="B5192" s="12">
        <f ca="1">IFERROR(__xludf.DUMMYFUNCTION("""COMPUTED_VALUE"""),129034)</f>
        <v>129034</v>
      </c>
      <c r="C5192" s="14">
        <f ca="1">IFERROR(__xludf.DUMMYFUNCTION("""COMPUTED_VALUE"""),1)</f>
        <v>1</v>
      </c>
      <c r="D5192" s="12" t="str">
        <f ca="1">IFERROR(__xludf.DUMMYFUNCTION("""COMPUTED_VALUE"""),"大木 優香")</f>
        <v>大木 優香</v>
      </c>
    </row>
    <row r="5193" spans="2:4" ht="13">
      <c r="B5193" s="12">
        <f ca="1">IFERROR(__xludf.DUMMYFUNCTION("""COMPUTED_VALUE"""),129036)</f>
        <v>129036</v>
      </c>
      <c r="C5193" s="14">
        <f ca="1">IFERROR(__xludf.DUMMYFUNCTION("""COMPUTED_VALUE"""),2)</f>
        <v>2</v>
      </c>
      <c r="D5193" s="12" t="str">
        <f ca="1">IFERROR(__xludf.DUMMYFUNCTION("""COMPUTED_VALUE"""),"芳賀 亮輔")</f>
        <v>芳賀 亮輔</v>
      </c>
    </row>
    <row r="5194" spans="2:4" ht="13">
      <c r="B5194" s="12">
        <f ca="1">IFERROR(__xludf.DUMMYFUNCTION("""COMPUTED_VALUE"""),129037)</f>
        <v>129037</v>
      </c>
      <c r="C5194" s="14">
        <f ca="1">IFERROR(__xludf.DUMMYFUNCTION("""COMPUTED_VALUE"""),0)</f>
        <v>0</v>
      </c>
      <c r="D5194" s="12" t="str">
        <f ca="1">IFERROR(__xludf.DUMMYFUNCTION("""COMPUTED_VALUE"""),"芳賀 亮輔")</f>
        <v>芳賀 亮輔</v>
      </c>
    </row>
    <row r="5195" spans="2:4" ht="13">
      <c r="B5195" s="12">
        <f ca="1">IFERROR(__xludf.DUMMYFUNCTION("""COMPUTED_VALUE"""),129043)</f>
        <v>129043</v>
      </c>
      <c r="C5195" s="14">
        <f ca="1">IFERROR(__xludf.DUMMYFUNCTION("""COMPUTED_VALUE"""),0)</f>
        <v>0</v>
      </c>
      <c r="D5195" s="12" t="str">
        <f ca="1">IFERROR(__xludf.DUMMYFUNCTION("""COMPUTED_VALUE"""),"森 光智")</f>
        <v>森 光智</v>
      </c>
    </row>
    <row r="5196" spans="2:4" ht="13">
      <c r="B5196" s="12">
        <f ca="1">IFERROR(__xludf.DUMMYFUNCTION("""COMPUTED_VALUE"""),129045)</f>
        <v>129045</v>
      </c>
      <c r="C5196" s="14">
        <f ca="1">IFERROR(__xludf.DUMMYFUNCTION("""COMPUTED_VALUE"""),0)</f>
        <v>0</v>
      </c>
      <c r="D5196" s="12" t="str">
        <f ca="1">IFERROR(__xludf.DUMMYFUNCTION("""COMPUTED_VALUE"""),"桑原 明子")</f>
        <v>桑原 明子</v>
      </c>
    </row>
    <row r="5197" spans="2:4" ht="13">
      <c r="B5197" s="12">
        <f ca="1">IFERROR(__xludf.DUMMYFUNCTION("""COMPUTED_VALUE"""),129046)</f>
        <v>129046</v>
      </c>
      <c r="C5197" s="14">
        <f ca="1">IFERROR(__xludf.DUMMYFUNCTION("""COMPUTED_VALUE"""),0)</f>
        <v>0</v>
      </c>
      <c r="D5197" s="12" t="str">
        <f ca="1">IFERROR(__xludf.DUMMYFUNCTION("""COMPUTED_VALUE"""),"村上 浩一朗")</f>
        <v>村上 浩一朗</v>
      </c>
    </row>
    <row r="5198" spans="2:4" ht="13">
      <c r="B5198" s="12">
        <f ca="1">IFERROR(__xludf.DUMMYFUNCTION("""COMPUTED_VALUE"""),129047)</f>
        <v>129047</v>
      </c>
      <c r="C5198" s="14">
        <f ca="1">IFERROR(__xludf.DUMMYFUNCTION("""COMPUTED_VALUE"""),0)</f>
        <v>0</v>
      </c>
      <c r="D5198" s="12" t="str">
        <f ca="1">IFERROR(__xludf.DUMMYFUNCTION("""COMPUTED_VALUE"""),"村上 浩一朗")</f>
        <v>村上 浩一朗</v>
      </c>
    </row>
    <row r="5199" spans="2:4" ht="13">
      <c r="B5199" s="12">
        <f ca="1">IFERROR(__xludf.DUMMYFUNCTION("""COMPUTED_VALUE"""),129048)</f>
        <v>129048</v>
      </c>
      <c r="C5199" s="14">
        <f ca="1">IFERROR(__xludf.DUMMYFUNCTION("""COMPUTED_VALUE"""),0)</f>
        <v>0</v>
      </c>
      <c r="D5199" s="12" t="str">
        <f ca="1">IFERROR(__xludf.DUMMYFUNCTION("""COMPUTED_VALUE"""),"村上 浩一朗")</f>
        <v>村上 浩一朗</v>
      </c>
    </row>
    <row r="5200" spans="2:4" ht="13">
      <c r="B5200" s="12">
        <f ca="1">IFERROR(__xludf.DUMMYFUNCTION("""COMPUTED_VALUE"""),129049)</f>
        <v>129049</v>
      </c>
      <c r="C5200" s="14">
        <f ca="1">IFERROR(__xludf.DUMMYFUNCTION("""COMPUTED_VALUE"""),0)</f>
        <v>0</v>
      </c>
      <c r="D5200" s="12" t="str">
        <f ca="1">IFERROR(__xludf.DUMMYFUNCTION("""COMPUTED_VALUE"""),"村上 浩一朗")</f>
        <v>村上 浩一朗</v>
      </c>
    </row>
    <row r="5201" spans="2:4" ht="13">
      <c r="B5201" s="12">
        <f ca="1">IFERROR(__xludf.DUMMYFUNCTION("""COMPUTED_VALUE"""),129050)</f>
        <v>129050</v>
      </c>
      <c r="C5201" s="14">
        <f ca="1">IFERROR(__xludf.DUMMYFUNCTION("""COMPUTED_VALUE"""),0)</f>
        <v>0</v>
      </c>
      <c r="D5201" s="12" t="str">
        <f ca="1">IFERROR(__xludf.DUMMYFUNCTION("""COMPUTED_VALUE"""),"村上 浩一朗")</f>
        <v>村上 浩一朗</v>
      </c>
    </row>
    <row r="5202" spans="2:4" ht="13">
      <c r="B5202" s="12">
        <f ca="1">IFERROR(__xludf.DUMMYFUNCTION("""COMPUTED_VALUE"""),129051)</f>
        <v>129051</v>
      </c>
      <c r="C5202" s="14">
        <f ca="1">IFERROR(__xludf.DUMMYFUNCTION("""COMPUTED_VALUE"""),0)</f>
        <v>0</v>
      </c>
      <c r="D5202" s="12" t="str">
        <f ca="1">IFERROR(__xludf.DUMMYFUNCTION("""COMPUTED_VALUE"""),"村上 浩一朗")</f>
        <v>村上 浩一朗</v>
      </c>
    </row>
    <row r="5203" spans="2:4" ht="13">
      <c r="B5203" s="12">
        <f ca="1">IFERROR(__xludf.DUMMYFUNCTION("""COMPUTED_VALUE"""),129052)</f>
        <v>129052</v>
      </c>
      <c r="C5203" s="14">
        <f ca="1">IFERROR(__xludf.DUMMYFUNCTION("""COMPUTED_VALUE"""),0)</f>
        <v>0</v>
      </c>
      <c r="D5203" s="12" t="str">
        <f ca="1">IFERROR(__xludf.DUMMYFUNCTION("""COMPUTED_VALUE"""),"村上 浩一朗")</f>
        <v>村上 浩一朗</v>
      </c>
    </row>
    <row r="5204" spans="2:4" ht="13">
      <c r="B5204" s="12">
        <f ca="1">IFERROR(__xludf.DUMMYFUNCTION("""COMPUTED_VALUE"""),129053)</f>
        <v>129053</v>
      </c>
      <c r="C5204" s="14">
        <f ca="1">IFERROR(__xludf.DUMMYFUNCTION("""COMPUTED_VALUE"""),0)</f>
        <v>0</v>
      </c>
      <c r="D5204" s="12" t="str">
        <f ca="1">IFERROR(__xludf.DUMMYFUNCTION("""COMPUTED_VALUE"""),"村上 浩一朗")</f>
        <v>村上 浩一朗</v>
      </c>
    </row>
    <row r="5205" spans="2:4" ht="13">
      <c r="B5205" s="12">
        <f ca="1">IFERROR(__xludf.DUMMYFUNCTION("""COMPUTED_VALUE"""),129054)</f>
        <v>129054</v>
      </c>
      <c r="C5205" s="14">
        <f ca="1">IFERROR(__xludf.DUMMYFUNCTION("""COMPUTED_VALUE"""),6)</f>
        <v>6</v>
      </c>
      <c r="D5205" s="12" t="str">
        <f ca="1">IFERROR(__xludf.DUMMYFUNCTION("""COMPUTED_VALUE"""),"芳賀 亮輔")</f>
        <v>芳賀 亮輔</v>
      </c>
    </row>
    <row r="5206" spans="2:4" ht="13">
      <c r="B5206" s="12">
        <f ca="1">IFERROR(__xludf.DUMMYFUNCTION("""COMPUTED_VALUE"""),129055)</f>
        <v>129055</v>
      </c>
      <c r="C5206" s="14">
        <f ca="1">IFERROR(__xludf.DUMMYFUNCTION("""COMPUTED_VALUE"""),0)</f>
        <v>0</v>
      </c>
      <c r="D5206" s="12" t="str">
        <f ca="1">IFERROR(__xludf.DUMMYFUNCTION("""COMPUTED_VALUE"""),"大木 優香")</f>
        <v>大木 優香</v>
      </c>
    </row>
    <row r="5207" spans="2:4" ht="13">
      <c r="B5207" s="12">
        <f ca="1">IFERROR(__xludf.DUMMYFUNCTION("""COMPUTED_VALUE"""),129057)</f>
        <v>129057</v>
      </c>
      <c r="C5207" s="14">
        <f ca="1">IFERROR(__xludf.DUMMYFUNCTION("""COMPUTED_VALUE"""),0)</f>
        <v>0</v>
      </c>
      <c r="D5207" s="12" t="str">
        <f ca="1">IFERROR(__xludf.DUMMYFUNCTION("""COMPUTED_VALUE"""),"大木 優香")</f>
        <v>大木 優香</v>
      </c>
    </row>
    <row r="5208" spans="2:4" ht="13">
      <c r="B5208" s="12">
        <f ca="1">IFERROR(__xludf.DUMMYFUNCTION("""COMPUTED_VALUE"""),129060)</f>
        <v>129060</v>
      </c>
      <c r="C5208" s="14">
        <f ca="1">IFERROR(__xludf.DUMMYFUNCTION("""COMPUTED_VALUE"""),0)</f>
        <v>0</v>
      </c>
      <c r="D5208" s="12" t="str">
        <f ca="1">IFERROR(__xludf.DUMMYFUNCTION("""COMPUTED_VALUE"""),"大木 優香")</f>
        <v>大木 優香</v>
      </c>
    </row>
    <row r="5209" spans="2:4" ht="13">
      <c r="B5209" s="12">
        <f ca="1">IFERROR(__xludf.DUMMYFUNCTION("""COMPUTED_VALUE"""),129065)</f>
        <v>129065</v>
      </c>
      <c r="C5209" s="14">
        <f ca="1">IFERROR(__xludf.DUMMYFUNCTION("""COMPUTED_VALUE"""),17)</f>
        <v>17</v>
      </c>
      <c r="D5209" s="12" t="str">
        <f ca="1">IFERROR(__xludf.DUMMYFUNCTION("""COMPUTED_VALUE"""),"稲場 勇介")</f>
        <v>稲場 勇介</v>
      </c>
    </row>
    <row r="5210" spans="2:4" ht="13">
      <c r="B5210" s="12">
        <f ca="1">IFERROR(__xludf.DUMMYFUNCTION("""COMPUTED_VALUE"""),129075)</f>
        <v>129075</v>
      </c>
      <c r="C5210" s="14">
        <f ca="1">IFERROR(__xludf.DUMMYFUNCTION("""COMPUTED_VALUE"""),0)</f>
        <v>0</v>
      </c>
      <c r="D5210" s="12" t="str">
        <f ca="1">IFERROR(__xludf.DUMMYFUNCTION("""COMPUTED_VALUE"""),"稲場 勇介")</f>
        <v>稲場 勇介</v>
      </c>
    </row>
    <row r="5211" spans="2:4" ht="13">
      <c r="B5211" s="12">
        <f ca="1">IFERROR(__xludf.DUMMYFUNCTION("""COMPUTED_VALUE"""),129080)</f>
        <v>129080</v>
      </c>
      <c r="C5211" s="14">
        <f ca="1">IFERROR(__xludf.DUMMYFUNCTION("""COMPUTED_VALUE"""),0)</f>
        <v>0</v>
      </c>
      <c r="D5211" s="12" t="str">
        <f ca="1">IFERROR(__xludf.DUMMYFUNCTION("""COMPUTED_VALUE"""),"荻曽 克輝")</f>
        <v>荻曽 克輝</v>
      </c>
    </row>
    <row r="5212" spans="2:4" ht="13">
      <c r="B5212" s="12">
        <f ca="1">IFERROR(__xludf.DUMMYFUNCTION("""COMPUTED_VALUE"""),129085)</f>
        <v>129085</v>
      </c>
      <c r="C5212" s="14">
        <f ca="1">IFERROR(__xludf.DUMMYFUNCTION("""COMPUTED_VALUE"""),1)</f>
        <v>1</v>
      </c>
      <c r="D5212" s="12" t="str">
        <f ca="1">IFERROR(__xludf.DUMMYFUNCTION("""COMPUTED_VALUE"""),"桑原 明子")</f>
        <v>桑原 明子</v>
      </c>
    </row>
    <row r="5213" spans="2:4" ht="13">
      <c r="B5213" s="12">
        <f ca="1">IFERROR(__xludf.DUMMYFUNCTION("""COMPUTED_VALUE"""),129088)</f>
        <v>129088</v>
      </c>
      <c r="C5213" s="14">
        <f ca="1">IFERROR(__xludf.DUMMYFUNCTION("""COMPUTED_VALUE"""),0)</f>
        <v>0</v>
      </c>
      <c r="D5213" s="12" t="str">
        <f ca="1">IFERROR(__xludf.DUMMYFUNCTION("""COMPUTED_VALUE"""),"辻村 将大")</f>
        <v>辻村 将大</v>
      </c>
    </row>
    <row r="5214" spans="2:4" ht="13">
      <c r="B5214" s="12">
        <f ca="1">IFERROR(__xludf.DUMMYFUNCTION("""COMPUTED_VALUE"""),129090)</f>
        <v>129090</v>
      </c>
      <c r="C5214" s="14">
        <f ca="1">IFERROR(__xludf.DUMMYFUNCTION("""COMPUTED_VALUE"""),0)</f>
        <v>0</v>
      </c>
      <c r="D5214" s="12" t="str">
        <f ca="1">IFERROR(__xludf.DUMMYFUNCTION("""COMPUTED_VALUE"""),"内丸 裕子")</f>
        <v>内丸 裕子</v>
      </c>
    </row>
    <row r="5215" spans="2:4" ht="13">
      <c r="B5215" s="12">
        <f ca="1">IFERROR(__xludf.DUMMYFUNCTION("""COMPUTED_VALUE"""),129098)</f>
        <v>129098</v>
      </c>
      <c r="C5215" s="14">
        <f ca="1">IFERROR(__xludf.DUMMYFUNCTION("""COMPUTED_VALUE"""),0)</f>
        <v>0</v>
      </c>
      <c r="D5215" s="12" t="str">
        <f ca="1">IFERROR(__xludf.DUMMYFUNCTION("""COMPUTED_VALUE"""),"堀越 駿")</f>
        <v>堀越 駿</v>
      </c>
    </row>
    <row r="5216" spans="2:4" ht="13">
      <c r="B5216" s="12">
        <f ca="1">IFERROR(__xludf.DUMMYFUNCTION("""COMPUTED_VALUE"""),129099)</f>
        <v>129099</v>
      </c>
      <c r="C5216" s="14">
        <f ca="1">IFERROR(__xludf.DUMMYFUNCTION("""COMPUTED_VALUE"""),0)</f>
        <v>0</v>
      </c>
      <c r="D5216" s="12" t="str">
        <f ca="1">IFERROR(__xludf.DUMMYFUNCTION("""COMPUTED_VALUE"""),"荻曽 克輝")</f>
        <v>荻曽 克輝</v>
      </c>
    </row>
    <row r="5217" spans="2:4" ht="13">
      <c r="B5217" s="12">
        <f ca="1">IFERROR(__xludf.DUMMYFUNCTION("""COMPUTED_VALUE"""),129108)</f>
        <v>129108</v>
      </c>
      <c r="C5217" s="14">
        <f ca="1">IFERROR(__xludf.DUMMYFUNCTION("""COMPUTED_VALUE"""),7)</f>
        <v>7</v>
      </c>
      <c r="D5217" s="12" t="str">
        <f ca="1">IFERROR(__xludf.DUMMYFUNCTION("""COMPUTED_VALUE"""),"栗原 大武")</f>
        <v>栗原 大武</v>
      </c>
    </row>
    <row r="5218" spans="2:4" ht="13">
      <c r="B5218" s="12">
        <f ca="1">IFERROR(__xludf.DUMMYFUNCTION("""COMPUTED_VALUE"""),129111)</f>
        <v>129111</v>
      </c>
      <c r="C5218" s="14">
        <f ca="1">IFERROR(__xludf.DUMMYFUNCTION("""COMPUTED_VALUE"""),0)</f>
        <v>0</v>
      </c>
      <c r="D5218" s="12" t="str">
        <f ca="1">IFERROR(__xludf.DUMMYFUNCTION("""COMPUTED_VALUE"""),"川島 幹也")</f>
        <v>川島 幹也</v>
      </c>
    </row>
    <row r="5219" spans="2:4" ht="13">
      <c r="B5219" s="12">
        <f ca="1">IFERROR(__xludf.DUMMYFUNCTION("""COMPUTED_VALUE"""),129112)</f>
        <v>129112</v>
      </c>
      <c r="C5219" s="14">
        <f ca="1">IFERROR(__xludf.DUMMYFUNCTION("""COMPUTED_VALUE"""),18)</f>
        <v>18</v>
      </c>
      <c r="D5219" s="12" t="str">
        <f ca="1">IFERROR(__xludf.DUMMYFUNCTION("""COMPUTED_VALUE"""),"桐山 勝気")</f>
        <v>桐山 勝気</v>
      </c>
    </row>
    <row r="5220" spans="2:4" ht="13">
      <c r="B5220" s="12">
        <f ca="1">IFERROR(__xludf.DUMMYFUNCTION("""COMPUTED_VALUE"""),129117)</f>
        <v>129117</v>
      </c>
      <c r="C5220" s="14">
        <f ca="1">IFERROR(__xludf.DUMMYFUNCTION("""COMPUTED_VALUE"""),6)</f>
        <v>6</v>
      </c>
      <c r="D5220" s="12" t="str">
        <f ca="1">IFERROR(__xludf.DUMMYFUNCTION("""COMPUTED_VALUE"""),"小川 純")</f>
        <v>小川 純</v>
      </c>
    </row>
    <row r="5221" spans="2:4" ht="13">
      <c r="B5221" s="12">
        <f ca="1">IFERROR(__xludf.DUMMYFUNCTION("""COMPUTED_VALUE"""),129122)</f>
        <v>129122</v>
      </c>
      <c r="C5221" s="14">
        <f ca="1">IFERROR(__xludf.DUMMYFUNCTION("""COMPUTED_VALUE"""),0)</f>
        <v>0</v>
      </c>
      <c r="D5221" s="12" t="str">
        <f ca="1">IFERROR(__xludf.DUMMYFUNCTION("""COMPUTED_VALUE"""),"長谷川 陸朗")</f>
        <v>長谷川 陸朗</v>
      </c>
    </row>
    <row r="5222" spans="2:4" ht="13">
      <c r="B5222" s="12">
        <f ca="1">IFERROR(__xludf.DUMMYFUNCTION("""COMPUTED_VALUE"""),129123)</f>
        <v>129123</v>
      </c>
      <c r="C5222" s="14">
        <f ca="1">IFERROR(__xludf.DUMMYFUNCTION("""COMPUTED_VALUE"""),0)</f>
        <v>0</v>
      </c>
      <c r="D5222" s="12" t="str">
        <f ca="1">IFERROR(__xludf.DUMMYFUNCTION("""COMPUTED_VALUE"""),"小関 麻起")</f>
        <v>小関 麻起</v>
      </c>
    </row>
    <row r="5223" spans="2:4" ht="13">
      <c r="B5223" s="12">
        <f ca="1">IFERROR(__xludf.DUMMYFUNCTION("""COMPUTED_VALUE"""),129126)</f>
        <v>129126</v>
      </c>
      <c r="C5223" s="14">
        <f ca="1">IFERROR(__xludf.DUMMYFUNCTION("""COMPUTED_VALUE"""),2)</f>
        <v>2</v>
      </c>
      <c r="D5223" s="12" t="str">
        <f ca="1">IFERROR(__xludf.DUMMYFUNCTION("""COMPUTED_VALUE"""),"小関 麻起")</f>
        <v>小関 麻起</v>
      </c>
    </row>
    <row r="5224" spans="2:4" ht="13">
      <c r="B5224" s="12">
        <f ca="1">IFERROR(__xludf.DUMMYFUNCTION("""COMPUTED_VALUE"""),129127)</f>
        <v>129127</v>
      </c>
      <c r="C5224" s="14">
        <f ca="1">IFERROR(__xludf.DUMMYFUNCTION("""COMPUTED_VALUE"""),0)</f>
        <v>0</v>
      </c>
      <c r="D5224" s="12" t="str">
        <f ca="1">IFERROR(__xludf.DUMMYFUNCTION("""COMPUTED_VALUE"""),"小関 麻起")</f>
        <v>小関 麻起</v>
      </c>
    </row>
    <row r="5225" spans="2:4" ht="13">
      <c r="B5225" s="12">
        <f ca="1">IFERROR(__xludf.DUMMYFUNCTION("""COMPUTED_VALUE"""),129128)</f>
        <v>129128</v>
      </c>
      <c r="C5225" s="14">
        <f ca="1">IFERROR(__xludf.DUMMYFUNCTION("""COMPUTED_VALUE"""),1)</f>
        <v>1</v>
      </c>
      <c r="D5225" s="12" t="str">
        <f ca="1">IFERROR(__xludf.DUMMYFUNCTION("""COMPUTED_VALUE"""),"栗原 大武")</f>
        <v>栗原 大武</v>
      </c>
    </row>
    <row r="5226" spans="2:4" ht="13">
      <c r="B5226" s="12">
        <f ca="1">IFERROR(__xludf.DUMMYFUNCTION("""COMPUTED_VALUE"""),129130)</f>
        <v>129130</v>
      </c>
      <c r="C5226" s="14">
        <f ca="1">IFERROR(__xludf.DUMMYFUNCTION("""COMPUTED_VALUE"""),3)</f>
        <v>3</v>
      </c>
      <c r="D5226" s="12" t="str">
        <f ca="1">IFERROR(__xludf.DUMMYFUNCTION("""COMPUTED_VALUE"""),"長谷川 陸朗")</f>
        <v>長谷川 陸朗</v>
      </c>
    </row>
    <row r="5227" spans="2:4" ht="13">
      <c r="B5227" s="12">
        <f ca="1">IFERROR(__xludf.DUMMYFUNCTION("""COMPUTED_VALUE"""),129131)</f>
        <v>129131</v>
      </c>
      <c r="C5227" s="14">
        <f ca="1">IFERROR(__xludf.DUMMYFUNCTION("""COMPUTED_VALUE"""),3)</f>
        <v>3</v>
      </c>
      <c r="D5227" s="12" t="str">
        <f ca="1">IFERROR(__xludf.DUMMYFUNCTION("""COMPUTED_VALUE"""),"栗原 大武")</f>
        <v>栗原 大武</v>
      </c>
    </row>
    <row r="5228" spans="2:4" ht="13">
      <c r="B5228" s="12">
        <f ca="1">IFERROR(__xludf.DUMMYFUNCTION("""COMPUTED_VALUE"""),129135)</f>
        <v>129135</v>
      </c>
      <c r="C5228" s="14">
        <f ca="1">IFERROR(__xludf.DUMMYFUNCTION("""COMPUTED_VALUE"""),0)</f>
        <v>0</v>
      </c>
      <c r="D5228" s="12" t="str">
        <f ca="1">IFERROR(__xludf.DUMMYFUNCTION("""COMPUTED_VALUE"""),"芳賀 亮輔")</f>
        <v>芳賀 亮輔</v>
      </c>
    </row>
    <row r="5229" spans="2:4" ht="13">
      <c r="B5229" s="12">
        <f ca="1">IFERROR(__xludf.DUMMYFUNCTION("""COMPUTED_VALUE"""),129136)</f>
        <v>129136</v>
      </c>
      <c r="C5229" s="14">
        <f ca="1">IFERROR(__xludf.DUMMYFUNCTION("""COMPUTED_VALUE"""),0)</f>
        <v>0</v>
      </c>
      <c r="D5229" s="12" t="str">
        <f ca="1">IFERROR(__xludf.DUMMYFUNCTION("""COMPUTED_VALUE"""),"老田 純輝")</f>
        <v>老田 純輝</v>
      </c>
    </row>
    <row r="5230" spans="2:4" ht="13">
      <c r="B5230" s="12">
        <f ca="1">IFERROR(__xludf.DUMMYFUNCTION("""COMPUTED_VALUE"""),129139)</f>
        <v>129139</v>
      </c>
      <c r="C5230" s="14">
        <f ca="1">IFERROR(__xludf.DUMMYFUNCTION("""COMPUTED_VALUE"""),1)</f>
        <v>1</v>
      </c>
      <c r="D5230" s="12" t="str">
        <f ca="1">IFERROR(__xludf.DUMMYFUNCTION("""COMPUTED_VALUE"""),"菅野 ぎんが")</f>
        <v>菅野 ぎんが</v>
      </c>
    </row>
    <row r="5231" spans="2:4" ht="13">
      <c r="B5231" s="12">
        <f ca="1">IFERROR(__xludf.DUMMYFUNCTION("""COMPUTED_VALUE"""),129142)</f>
        <v>129142</v>
      </c>
      <c r="C5231" s="14">
        <f ca="1">IFERROR(__xludf.DUMMYFUNCTION("""COMPUTED_VALUE"""),0)</f>
        <v>0</v>
      </c>
      <c r="D5231" s="12" t="str">
        <f ca="1">IFERROR(__xludf.DUMMYFUNCTION("""COMPUTED_VALUE"""),"菅野 ぎんが")</f>
        <v>菅野 ぎんが</v>
      </c>
    </row>
    <row r="5232" spans="2:4" ht="13">
      <c r="B5232" s="12">
        <f ca="1">IFERROR(__xludf.DUMMYFUNCTION("""COMPUTED_VALUE"""),129146)</f>
        <v>129146</v>
      </c>
      <c r="C5232" s="14">
        <f ca="1">IFERROR(__xludf.DUMMYFUNCTION("""COMPUTED_VALUE"""),0)</f>
        <v>0</v>
      </c>
      <c r="D5232" s="12" t="str">
        <f ca="1">IFERROR(__xludf.DUMMYFUNCTION("""COMPUTED_VALUE"""),"小川 純")</f>
        <v>小川 純</v>
      </c>
    </row>
    <row r="5233" spans="2:4" ht="13">
      <c r="B5233" s="12">
        <f ca="1">IFERROR(__xludf.DUMMYFUNCTION("""COMPUTED_VALUE"""),129147)</f>
        <v>129147</v>
      </c>
      <c r="C5233" s="14">
        <f ca="1">IFERROR(__xludf.DUMMYFUNCTION("""COMPUTED_VALUE"""),0)</f>
        <v>0</v>
      </c>
      <c r="D5233" s="12" t="str">
        <f ca="1">IFERROR(__xludf.DUMMYFUNCTION("""COMPUTED_VALUE"""),"成嶋 夏未")</f>
        <v>成嶋 夏未</v>
      </c>
    </row>
    <row r="5234" spans="2:4" ht="13">
      <c r="B5234" s="12">
        <f ca="1">IFERROR(__xludf.DUMMYFUNCTION("""COMPUTED_VALUE"""),129148)</f>
        <v>129148</v>
      </c>
      <c r="C5234" s="14">
        <f ca="1">IFERROR(__xludf.DUMMYFUNCTION("""COMPUTED_VALUE"""),0)</f>
        <v>0</v>
      </c>
      <c r="D5234" s="12" t="str">
        <f ca="1">IFERROR(__xludf.DUMMYFUNCTION("""COMPUTED_VALUE"""),"稲場 勇介")</f>
        <v>稲場 勇介</v>
      </c>
    </row>
    <row r="5235" spans="2:4" ht="13">
      <c r="B5235" s="12">
        <f ca="1">IFERROR(__xludf.DUMMYFUNCTION("""COMPUTED_VALUE"""),129149)</f>
        <v>129149</v>
      </c>
      <c r="C5235" s="14">
        <f ca="1">IFERROR(__xludf.DUMMYFUNCTION("""COMPUTED_VALUE"""),0)</f>
        <v>0</v>
      </c>
      <c r="D5235" s="12" t="str">
        <f ca="1">IFERROR(__xludf.DUMMYFUNCTION("""COMPUTED_VALUE"""),"稲場 勇介")</f>
        <v>稲場 勇介</v>
      </c>
    </row>
    <row r="5236" spans="2:4" ht="13">
      <c r="B5236" s="12">
        <f ca="1">IFERROR(__xludf.DUMMYFUNCTION("""COMPUTED_VALUE"""),129150)</f>
        <v>129150</v>
      </c>
      <c r="C5236" s="14">
        <f ca="1">IFERROR(__xludf.DUMMYFUNCTION("""COMPUTED_VALUE"""),0)</f>
        <v>0</v>
      </c>
      <c r="D5236" s="12" t="str">
        <f ca="1">IFERROR(__xludf.DUMMYFUNCTION("""COMPUTED_VALUE"""),"森 光智")</f>
        <v>森 光智</v>
      </c>
    </row>
    <row r="5237" spans="2:4" ht="13">
      <c r="B5237" s="12">
        <f ca="1">IFERROR(__xludf.DUMMYFUNCTION("""COMPUTED_VALUE"""),129155)</f>
        <v>129155</v>
      </c>
      <c r="C5237" s="14">
        <f ca="1">IFERROR(__xludf.DUMMYFUNCTION("""COMPUTED_VALUE"""),0)</f>
        <v>0</v>
      </c>
      <c r="D5237" s="12" t="str">
        <f ca="1">IFERROR(__xludf.DUMMYFUNCTION("""COMPUTED_VALUE"""),"辻村 将大")</f>
        <v>辻村 将大</v>
      </c>
    </row>
    <row r="5238" spans="2:4" ht="13">
      <c r="B5238" s="12">
        <f ca="1">IFERROR(__xludf.DUMMYFUNCTION("""COMPUTED_VALUE"""),129161)</f>
        <v>129161</v>
      </c>
      <c r="C5238" s="14">
        <f ca="1">IFERROR(__xludf.DUMMYFUNCTION("""COMPUTED_VALUE"""),0)</f>
        <v>0</v>
      </c>
      <c r="D5238" s="12" t="str">
        <f ca="1">IFERROR(__xludf.DUMMYFUNCTION("""COMPUTED_VALUE"""),"桑原 明子")</f>
        <v>桑原 明子</v>
      </c>
    </row>
    <row r="5239" spans="2:4" ht="13">
      <c r="B5239" s="12">
        <f ca="1">IFERROR(__xludf.DUMMYFUNCTION("""COMPUTED_VALUE"""),129172)</f>
        <v>129172</v>
      </c>
      <c r="C5239" s="14">
        <f ca="1">IFERROR(__xludf.DUMMYFUNCTION("""COMPUTED_VALUE"""),0)</f>
        <v>0</v>
      </c>
      <c r="D5239" s="12" t="str">
        <f ca="1">IFERROR(__xludf.DUMMYFUNCTION("""COMPUTED_VALUE"""),"小関 麻起")</f>
        <v>小関 麻起</v>
      </c>
    </row>
    <row r="5240" spans="2:4" ht="13">
      <c r="B5240" s="12">
        <f ca="1">IFERROR(__xludf.DUMMYFUNCTION("""COMPUTED_VALUE"""),129175)</f>
        <v>129175</v>
      </c>
      <c r="C5240" s="14">
        <f ca="1">IFERROR(__xludf.DUMMYFUNCTION("""COMPUTED_VALUE"""),0)</f>
        <v>0</v>
      </c>
      <c r="D5240" s="12" t="str">
        <f ca="1">IFERROR(__xludf.DUMMYFUNCTION("""COMPUTED_VALUE"""),"松尾 尚樹")</f>
        <v>松尾 尚樹</v>
      </c>
    </row>
    <row r="5241" spans="2:4" ht="13">
      <c r="B5241" s="12">
        <f ca="1">IFERROR(__xludf.DUMMYFUNCTION("""COMPUTED_VALUE"""),129176)</f>
        <v>129176</v>
      </c>
      <c r="C5241" s="14">
        <f ca="1">IFERROR(__xludf.DUMMYFUNCTION("""COMPUTED_VALUE"""),0)</f>
        <v>0</v>
      </c>
      <c r="D5241" s="12" t="str">
        <f ca="1">IFERROR(__xludf.DUMMYFUNCTION("""COMPUTED_VALUE"""),"村上 浩一朗")</f>
        <v>村上 浩一朗</v>
      </c>
    </row>
    <row r="5242" spans="2:4" ht="13">
      <c r="B5242" s="12">
        <f ca="1">IFERROR(__xludf.DUMMYFUNCTION("""COMPUTED_VALUE"""),129182)</f>
        <v>129182</v>
      </c>
      <c r="C5242" s="14">
        <f ca="1">IFERROR(__xludf.DUMMYFUNCTION("""COMPUTED_VALUE"""),0)</f>
        <v>0</v>
      </c>
      <c r="D5242" s="12" t="str">
        <f ca="1">IFERROR(__xludf.DUMMYFUNCTION("""COMPUTED_VALUE"""),"小川 純")</f>
        <v>小川 純</v>
      </c>
    </row>
    <row r="5243" spans="2:4" ht="13">
      <c r="B5243" s="12">
        <f ca="1">IFERROR(__xludf.DUMMYFUNCTION("""COMPUTED_VALUE"""),129193)</f>
        <v>129193</v>
      </c>
      <c r="C5243" s="14">
        <f ca="1">IFERROR(__xludf.DUMMYFUNCTION("""COMPUTED_VALUE"""),0)</f>
        <v>0</v>
      </c>
      <c r="D5243" s="12" t="str">
        <f ca="1">IFERROR(__xludf.DUMMYFUNCTION("""COMPUTED_VALUE"""),"小関 麻起")</f>
        <v>小関 麻起</v>
      </c>
    </row>
    <row r="5244" spans="2:4" ht="13">
      <c r="B5244" s="12">
        <f ca="1">IFERROR(__xludf.DUMMYFUNCTION("""COMPUTED_VALUE"""),129199)</f>
        <v>129199</v>
      </c>
      <c r="C5244" s="14">
        <f ca="1">IFERROR(__xludf.DUMMYFUNCTION("""COMPUTED_VALUE"""),0)</f>
        <v>0</v>
      </c>
      <c r="D5244" s="12" t="str">
        <f ca="1">IFERROR(__xludf.DUMMYFUNCTION("""COMPUTED_VALUE"""),"小川 純")</f>
        <v>小川 純</v>
      </c>
    </row>
    <row r="5245" spans="2:4" ht="13">
      <c r="B5245" s="12">
        <f ca="1">IFERROR(__xludf.DUMMYFUNCTION("""COMPUTED_VALUE"""),129201)</f>
        <v>129201</v>
      </c>
      <c r="C5245" s="14">
        <f ca="1">IFERROR(__xludf.DUMMYFUNCTION("""COMPUTED_VALUE"""),10)</f>
        <v>10</v>
      </c>
      <c r="D5245" s="12" t="str">
        <f ca="1">IFERROR(__xludf.DUMMYFUNCTION("""COMPUTED_VALUE"""),"奥野 貴大")</f>
        <v>奥野 貴大</v>
      </c>
    </row>
    <row r="5246" spans="2:4" ht="13">
      <c r="B5246" s="12">
        <f ca="1">IFERROR(__xludf.DUMMYFUNCTION("""COMPUTED_VALUE"""),129202)</f>
        <v>129202</v>
      </c>
      <c r="C5246" s="14">
        <f ca="1">IFERROR(__xludf.DUMMYFUNCTION("""COMPUTED_VALUE"""),0)</f>
        <v>0</v>
      </c>
      <c r="D5246" s="12" t="str">
        <f ca="1">IFERROR(__xludf.DUMMYFUNCTION("""COMPUTED_VALUE"""),"奥野 貴大")</f>
        <v>奥野 貴大</v>
      </c>
    </row>
    <row r="5247" spans="2:4" ht="13">
      <c r="B5247" s="12">
        <f ca="1">IFERROR(__xludf.DUMMYFUNCTION("""COMPUTED_VALUE"""),129203)</f>
        <v>129203</v>
      </c>
      <c r="C5247" s="14">
        <f ca="1">IFERROR(__xludf.DUMMYFUNCTION("""COMPUTED_VALUE"""),9)</f>
        <v>9</v>
      </c>
      <c r="D5247" s="12" t="str">
        <f ca="1">IFERROR(__xludf.DUMMYFUNCTION("""COMPUTED_VALUE"""),"松尾 尚樹")</f>
        <v>松尾 尚樹</v>
      </c>
    </row>
    <row r="5248" spans="2:4" ht="13">
      <c r="B5248" s="12">
        <f ca="1">IFERROR(__xludf.DUMMYFUNCTION("""COMPUTED_VALUE"""),129204)</f>
        <v>129204</v>
      </c>
      <c r="C5248" s="14">
        <f ca="1">IFERROR(__xludf.DUMMYFUNCTION("""COMPUTED_VALUE"""),37)</f>
        <v>37</v>
      </c>
      <c r="D5248" s="12" t="str">
        <f ca="1">IFERROR(__xludf.DUMMYFUNCTION("""COMPUTED_VALUE"""),"荻曽 克輝")</f>
        <v>荻曽 克輝</v>
      </c>
    </row>
    <row r="5249" spans="2:4" ht="13">
      <c r="B5249" s="12">
        <f ca="1">IFERROR(__xludf.DUMMYFUNCTION("""COMPUTED_VALUE"""),129207)</f>
        <v>129207</v>
      </c>
      <c r="C5249" s="14">
        <f ca="1">IFERROR(__xludf.DUMMYFUNCTION("""COMPUTED_VALUE"""),0)</f>
        <v>0</v>
      </c>
      <c r="D5249" s="12" t="str">
        <f ca="1">IFERROR(__xludf.DUMMYFUNCTION("""COMPUTED_VALUE"""),"小関 麻起")</f>
        <v>小関 麻起</v>
      </c>
    </row>
    <row r="5250" spans="2:4" ht="13">
      <c r="B5250" s="12">
        <f ca="1">IFERROR(__xludf.DUMMYFUNCTION("""COMPUTED_VALUE"""),129212)</f>
        <v>129212</v>
      </c>
      <c r="C5250" s="14">
        <f ca="1">IFERROR(__xludf.DUMMYFUNCTION("""COMPUTED_VALUE"""),0)</f>
        <v>0</v>
      </c>
      <c r="D5250" s="12" t="str">
        <f ca="1">IFERROR(__xludf.DUMMYFUNCTION("""COMPUTED_VALUE"""),"老田 純輝")</f>
        <v>老田 純輝</v>
      </c>
    </row>
    <row r="5251" spans="2:4" ht="13">
      <c r="B5251" s="12">
        <f ca="1">IFERROR(__xludf.DUMMYFUNCTION("""COMPUTED_VALUE"""),129220)</f>
        <v>129220</v>
      </c>
      <c r="C5251" s="14">
        <f ca="1">IFERROR(__xludf.DUMMYFUNCTION("""COMPUTED_VALUE"""),0)</f>
        <v>0</v>
      </c>
      <c r="D5251" s="12" t="str">
        <f ca="1">IFERROR(__xludf.DUMMYFUNCTION("""COMPUTED_VALUE"""),"柿崎 晃司")</f>
        <v>柿崎 晃司</v>
      </c>
    </row>
    <row r="5252" spans="2:4" ht="13">
      <c r="B5252" s="12">
        <f ca="1">IFERROR(__xludf.DUMMYFUNCTION("""COMPUTED_VALUE"""),129228)</f>
        <v>129228</v>
      </c>
      <c r="C5252" s="14">
        <f ca="1">IFERROR(__xludf.DUMMYFUNCTION("""COMPUTED_VALUE"""),2)</f>
        <v>2</v>
      </c>
      <c r="D5252" s="12" t="str">
        <f ca="1">IFERROR(__xludf.DUMMYFUNCTION("""COMPUTED_VALUE"""),"辻村 将大")</f>
        <v>辻村 将大</v>
      </c>
    </row>
    <row r="5253" spans="2:4" ht="13">
      <c r="B5253" s="12">
        <f ca="1">IFERROR(__xludf.DUMMYFUNCTION("""COMPUTED_VALUE"""),129232)</f>
        <v>129232</v>
      </c>
      <c r="C5253" s="14">
        <f ca="1">IFERROR(__xludf.DUMMYFUNCTION("""COMPUTED_VALUE"""),1)</f>
        <v>1</v>
      </c>
      <c r="D5253" s="12" t="str">
        <f ca="1">IFERROR(__xludf.DUMMYFUNCTION("""COMPUTED_VALUE"""),"小関 麻起")</f>
        <v>小関 麻起</v>
      </c>
    </row>
    <row r="5254" spans="2:4" ht="13">
      <c r="B5254" s="12">
        <f ca="1">IFERROR(__xludf.DUMMYFUNCTION("""COMPUTED_VALUE"""),129234)</f>
        <v>129234</v>
      </c>
      <c r="C5254" s="14">
        <f ca="1">IFERROR(__xludf.DUMMYFUNCTION("""COMPUTED_VALUE"""),63)</f>
        <v>63</v>
      </c>
      <c r="D5254" s="12" t="str">
        <f ca="1">IFERROR(__xludf.DUMMYFUNCTION("""COMPUTED_VALUE"""),"菅野 ぎんが")</f>
        <v>菅野 ぎんが</v>
      </c>
    </row>
    <row r="5255" spans="2:4" ht="13">
      <c r="B5255" s="12">
        <f ca="1">IFERROR(__xludf.DUMMYFUNCTION("""COMPUTED_VALUE"""),129243)</f>
        <v>129243</v>
      </c>
      <c r="C5255" s="14">
        <f ca="1">IFERROR(__xludf.DUMMYFUNCTION("""COMPUTED_VALUE"""),0)</f>
        <v>0</v>
      </c>
      <c r="D5255" s="12" t="str">
        <f ca="1">IFERROR(__xludf.DUMMYFUNCTION("""COMPUTED_VALUE"""),"稲場 勇介")</f>
        <v>稲場 勇介</v>
      </c>
    </row>
    <row r="5256" spans="2:4" ht="13">
      <c r="B5256" s="12">
        <f ca="1">IFERROR(__xludf.DUMMYFUNCTION("""COMPUTED_VALUE"""),129245)</f>
        <v>129245</v>
      </c>
      <c r="C5256" s="14">
        <f ca="1">IFERROR(__xludf.DUMMYFUNCTION("""COMPUTED_VALUE"""),54)</f>
        <v>54</v>
      </c>
      <c r="D5256" s="12" t="str">
        <f ca="1">IFERROR(__xludf.DUMMYFUNCTION("""COMPUTED_VALUE"""),"老田 純輝")</f>
        <v>老田 純輝</v>
      </c>
    </row>
    <row r="5257" spans="2:4" ht="13">
      <c r="B5257" s="12">
        <f ca="1">IFERROR(__xludf.DUMMYFUNCTION("""COMPUTED_VALUE"""),129247)</f>
        <v>129247</v>
      </c>
      <c r="C5257" s="14">
        <f ca="1">IFERROR(__xludf.DUMMYFUNCTION("""COMPUTED_VALUE"""),51)</f>
        <v>51</v>
      </c>
      <c r="D5257" s="12" t="str">
        <f ca="1">IFERROR(__xludf.DUMMYFUNCTION("""COMPUTED_VALUE"""),"老田 純輝")</f>
        <v>老田 純輝</v>
      </c>
    </row>
    <row r="5258" spans="2:4" ht="13">
      <c r="B5258" s="12">
        <f ca="1">IFERROR(__xludf.DUMMYFUNCTION("""COMPUTED_VALUE"""),129248)</f>
        <v>129248</v>
      </c>
      <c r="C5258" s="14">
        <f ca="1">IFERROR(__xludf.DUMMYFUNCTION("""COMPUTED_VALUE"""),55)</f>
        <v>55</v>
      </c>
      <c r="D5258" s="12" t="str">
        <f ca="1">IFERROR(__xludf.DUMMYFUNCTION("""COMPUTED_VALUE"""),"老田 純輝")</f>
        <v>老田 純輝</v>
      </c>
    </row>
    <row r="5259" spans="2:4" ht="13">
      <c r="B5259" s="12">
        <f ca="1">IFERROR(__xludf.DUMMYFUNCTION("""COMPUTED_VALUE"""),129249)</f>
        <v>129249</v>
      </c>
      <c r="C5259" s="14">
        <f ca="1">IFERROR(__xludf.DUMMYFUNCTION("""COMPUTED_VALUE"""),0)</f>
        <v>0</v>
      </c>
      <c r="D5259" s="12" t="str">
        <f ca="1">IFERROR(__xludf.DUMMYFUNCTION("""COMPUTED_VALUE"""),"稲場 勇介")</f>
        <v>稲場 勇介</v>
      </c>
    </row>
    <row r="5260" spans="2:4" ht="13">
      <c r="B5260" s="12">
        <f ca="1">IFERROR(__xludf.DUMMYFUNCTION("""COMPUTED_VALUE"""),129252)</f>
        <v>129252</v>
      </c>
      <c r="C5260" s="14">
        <f ca="1">IFERROR(__xludf.DUMMYFUNCTION("""COMPUTED_VALUE"""),19)</f>
        <v>19</v>
      </c>
      <c r="D5260" s="12" t="str">
        <f ca="1">IFERROR(__xludf.DUMMYFUNCTION("""COMPUTED_VALUE"""),"堀越 駿")</f>
        <v>堀越 駿</v>
      </c>
    </row>
    <row r="5261" spans="2:4" ht="13">
      <c r="B5261" s="12">
        <f ca="1">IFERROR(__xludf.DUMMYFUNCTION("""COMPUTED_VALUE"""),129253)</f>
        <v>129253</v>
      </c>
      <c r="C5261" s="14">
        <f ca="1">IFERROR(__xludf.DUMMYFUNCTION("""COMPUTED_VALUE"""),0)</f>
        <v>0</v>
      </c>
      <c r="D5261" s="12" t="str">
        <f ca="1">IFERROR(__xludf.DUMMYFUNCTION("""COMPUTED_VALUE"""),"森 光智")</f>
        <v>森 光智</v>
      </c>
    </row>
    <row r="5262" spans="2:4" ht="13">
      <c r="B5262" s="12">
        <f ca="1">IFERROR(__xludf.DUMMYFUNCTION("""COMPUTED_VALUE"""),129262)</f>
        <v>129262</v>
      </c>
      <c r="C5262" s="14">
        <f ca="1">IFERROR(__xludf.DUMMYFUNCTION("""COMPUTED_VALUE"""),36)</f>
        <v>36</v>
      </c>
      <c r="D5262" s="12" t="str">
        <f ca="1">IFERROR(__xludf.DUMMYFUNCTION("""COMPUTED_VALUE"""),"桐山 勝気")</f>
        <v>桐山 勝気</v>
      </c>
    </row>
    <row r="5263" spans="2:4" ht="13">
      <c r="B5263" s="12">
        <f ca="1">IFERROR(__xludf.DUMMYFUNCTION("""COMPUTED_VALUE"""),129280)</f>
        <v>129280</v>
      </c>
      <c r="C5263" s="14">
        <f ca="1">IFERROR(__xludf.DUMMYFUNCTION("""COMPUTED_VALUE"""),0)</f>
        <v>0</v>
      </c>
      <c r="D5263" s="12" t="str">
        <f ca="1">IFERROR(__xludf.DUMMYFUNCTION("""COMPUTED_VALUE"""),"松尾 尚樹")</f>
        <v>松尾 尚樹</v>
      </c>
    </row>
    <row r="5264" spans="2:4" ht="13">
      <c r="B5264" s="12">
        <f ca="1">IFERROR(__xludf.DUMMYFUNCTION("""COMPUTED_VALUE"""),129281)</f>
        <v>129281</v>
      </c>
      <c r="C5264" s="14">
        <f ca="1">IFERROR(__xludf.DUMMYFUNCTION("""COMPUTED_VALUE"""),3)</f>
        <v>3</v>
      </c>
      <c r="D5264" s="12" t="str">
        <f ca="1">IFERROR(__xludf.DUMMYFUNCTION("""COMPUTED_VALUE"""),"小川 純")</f>
        <v>小川 純</v>
      </c>
    </row>
    <row r="5265" spans="2:4" ht="13">
      <c r="B5265" s="12">
        <f ca="1">IFERROR(__xludf.DUMMYFUNCTION("""COMPUTED_VALUE"""),129284)</f>
        <v>129284</v>
      </c>
      <c r="C5265" s="14">
        <f ca="1">IFERROR(__xludf.DUMMYFUNCTION("""COMPUTED_VALUE"""),19)</f>
        <v>19</v>
      </c>
      <c r="D5265" s="12" t="str">
        <f ca="1">IFERROR(__xludf.DUMMYFUNCTION("""COMPUTED_VALUE"""),"荻曽 克輝")</f>
        <v>荻曽 克輝</v>
      </c>
    </row>
    <row r="5266" spans="2:4" ht="13">
      <c r="B5266" s="12">
        <f ca="1">IFERROR(__xludf.DUMMYFUNCTION("""COMPUTED_VALUE"""),129292)</f>
        <v>129292</v>
      </c>
      <c r="C5266" s="14">
        <f ca="1">IFERROR(__xludf.DUMMYFUNCTION("""COMPUTED_VALUE"""),0)</f>
        <v>0</v>
      </c>
      <c r="D5266" s="12" t="str">
        <f ca="1">IFERROR(__xludf.DUMMYFUNCTION("""COMPUTED_VALUE"""),"辻村 将大")</f>
        <v>辻村 将大</v>
      </c>
    </row>
    <row r="5267" spans="2:4" ht="13">
      <c r="B5267" s="12">
        <f ca="1">IFERROR(__xludf.DUMMYFUNCTION("""COMPUTED_VALUE"""),129293)</f>
        <v>129293</v>
      </c>
      <c r="C5267" s="14">
        <f ca="1">IFERROR(__xludf.DUMMYFUNCTION("""COMPUTED_VALUE"""),0)</f>
        <v>0</v>
      </c>
      <c r="D5267" s="12" t="str">
        <f ca="1">IFERROR(__xludf.DUMMYFUNCTION("""COMPUTED_VALUE"""),"小関 麻起")</f>
        <v>小関 麻起</v>
      </c>
    </row>
    <row r="5268" spans="2:4" ht="13">
      <c r="B5268" s="12">
        <f ca="1">IFERROR(__xludf.DUMMYFUNCTION("""COMPUTED_VALUE"""),129297)</f>
        <v>129297</v>
      </c>
      <c r="C5268" s="14">
        <f ca="1">IFERROR(__xludf.DUMMYFUNCTION("""COMPUTED_VALUE"""),0)</f>
        <v>0</v>
      </c>
      <c r="D5268" s="12" t="str">
        <f ca="1">IFERROR(__xludf.DUMMYFUNCTION("""COMPUTED_VALUE"""),"辻村 将大")</f>
        <v>辻村 将大</v>
      </c>
    </row>
    <row r="5269" spans="2:4" ht="13">
      <c r="B5269" s="12">
        <f ca="1">IFERROR(__xludf.DUMMYFUNCTION("""COMPUTED_VALUE"""),129298)</f>
        <v>129298</v>
      </c>
      <c r="C5269" s="14">
        <f ca="1">IFERROR(__xludf.DUMMYFUNCTION("""COMPUTED_VALUE"""),0)</f>
        <v>0</v>
      </c>
      <c r="D5269" s="12" t="str">
        <f ca="1">IFERROR(__xludf.DUMMYFUNCTION("""COMPUTED_VALUE"""),"小関 麻起")</f>
        <v>小関 麻起</v>
      </c>
    </row>
    <row r="5270" spans="2:4" ht="13">
      <c r="B5270" s="12">
        <f ca="1">IFERROR(__xludf.DUMMYFUNCTION("""COMPUTED_VALUE"""),129299)</f>
        <v>129299</v>
      </c>
      <c r="C5270" s="14">
        <f ca="1">IFERROR(__xludf.DUMMYFUNCTION("""COMPUTED_VALUE"""),0)</f>
        <v>0</v>
      </c>
      <c r="D5270" s="12" t="str">
        <f ca="1">IFERROR(__xludf.DUMMYFUNCTION("""COMPUTED_VALUE"""),"長谷川 陸朗")</f>
        <v>長谷川 陸朗</v>
      </c>
    </row>
    <row r="5271" spans="2:4" ht="13">
      <c r="B5271" s="12">
        <f ca="1">IFERROR(__xludf.DUMMYFUNCTION("""COMPUTED_VALUE"""),129306)</f>
        <v>129306</v>
      </c>
      <c r="C5271" s="14">
        <f ca="1">IFERROR(__xludf.DUMMYFUNCTION("""COMPUTED_VALUE"""),15)</f>
        <v>15</v>
      </c>
      <c r="D5271" s="12" t="str">
        <f ca="1">IFERROR(__xludf.DUMMYFUNCTION("""COMPUTED_VALUE"""),"稲場 勇介")</f>
        <v>稲場 勇介</v>
      </c>
    </row>
    <row r="5272" spans="2:4" ht="13">
      <c r="B5272" s="12">
        <f ca="1">IFERROR(__xludf.DUMMYFUNCTION("""COMPUTED_VALUE"""),129307)</f>
        <v>129307</v>
      </c>
      <c r="C5272" s="14">
        <f ca="1">IFERROR(__xludf.DUMMYFUNCTION("""COMPUTED_VALUE"""),55)</f>
        <v>55</v>
      </c>
      <c r="D5272" s="12" t="str">
        <f ca="1">IFERROR(__xludf.DUMMYFUNCTION("""COMPUTED_VALUE"""),"老田 純輝")</f>
        <v>老田 純輝</v>
      </c>
    </row>
    <row r="5273" spans="2:4" ht="13">
      <c r="B5273" s="12">
        <f ca="1">IFERROR(__xludf.DUMMYFUNCTION("""COMPUTED_VALUE"""),129309)</f>
        <v>129309</v>
      </c>
      <c r="C5273" s="14">
        <f ca="1">IFERROR(__xludf.DUMMYFUNCTION("""COMPUTED_VALUE"""),0)</f>
        <v>0</v>
      </c>
      <c r="D5273" s="12" t="str">
        <f ca="1">IFERROR(__xludf.DUMMYFUNCTION("""COMPUTED_VALUE"""),"内丸 裕子")</f>
        <v>内丸 裕子</v>
      </c>
    </row>
    <row r="5274" spans="2:4" ht="13">
      <c r="B5274" s="12">
        <f ca="1">IFERROR(__xludf.DUMMYFUNCTION("""COMPUTED_VALUE"""),129311)</f>
        <v>129311</v>
      </c>
      <c r="C5274" s="14">
        <f ca="1">IFERROR(__xludf.DUMMYFUNCTION("""COMPUTED_VALUE"""),0)</f>
        <v>0</v>
      </c>
      <c r="D5274" s="12" t="str">
        <f ca="1">IFERROR(__xludf.DUMMYFUNCTION("""COMPUTED_VALUE"""),"松尾 尚樹")</f>
        <v>松尾 尚樹</v>
      </c>
    </row>
    <row r="5275" spans="2:4" ht="13">
      <c r="B5275" s="12">
        <f ca="1">IFERROR(__xludf.DUMMYFUNCTION("""COMPUTED_VALUE"""),129318)</f>
        <v>129318</v>
      </c>
      <c r="C5275" s="14">
        <f ca="1">IFERROR(__xludf.DUMMYFUNCTION("""COMPUTED_VALUE"""),0)</f>
        <v>0</v>
      </c>
      <c r="D5275" s="12" t="str">
        <f ca="1">IFERROR(__xludf.DUMMYFUNCTION("""COMPUTED_VALUE"""),"桑原 明子")</f>
        <v>桑原 明子</v>
      </c>
    </row>
    <row r="5276" spans="2:4" ht="13">
      <c r="B5276" s="12">
        <f ca="1">IFERROR(__xludf.DUMMYFUNCTION("""COMPUTED_VALUE"""),129322)</f>
        <v>129322</v>
      </c>
      <c r="C5276" s="14">
        <f ca="1">IFERROR(__xludf.DUMMYFUNCTION("""COMPUTED_VALUE"""),0)</f>
        <v>0</v>
      </c>
      <c r="D5276" s="12" t="str">
        <f ca="1">IFERROR(__xludf.DUMMYFUNCTION("""COMPUTED_VALUE"""),"桐山 勝気")</f>
        <v>桐山 勝気</v>
      </c>
    </row>
    <row r="5277" spans="2:4" ht="13">
      <c r="B5277" s="12">
        <f ca="1">IFERROR(__xludf.DUMMYFUNCTION("""COMPUTED_VALUE"""),129327)</f>
        <v>129327</v>
      </c>
      <c r="C5277" s="14">
        <f ca="1">IFERROR(__xludf.DUMMYFUNCTION("""COMPUTED_VALUE"""),1)</f>
        <v>1</v>
      </c>
      <c r="D5277" s="12" t="str">
        <f ca="1">IFERROR(__xludf.DUMMYFUNCTION("""COMPUTED_VALUE"""),"松尾 尚樹")</f>
        <v>松尾 尚樹</v>
      </c>
    </row>
    <row r="5278" spans="2:4" ht="13">
      <c r="B5278" s="12">
        <f ca="1">IFERROR(__xludf.DUMMYFUNCTION("""COMPUTED_VALUE"""),129331)</f>
        <v>129331</v>
      </c>
      <c r="C5278" s="14">
        <f ca="1">IFERROR(__xludf.DUMMYFUNCTION("""COMPUTED_VALUE"""),8)</f>
        <v>8</v>
      </c>
      <c r="D5278" s="12" t="str">
        <f ca="1">IFERROR(__xludf.DUMMYFUNCTION("""COMPUTED_VALUE"""),"桑原 明子")</f>
        <v>桑原 明子</v>
      </c>
    </row>
    <row r="5279" spans="2:4" ht="13">
      <c r="B5279" s="12">
        <f ca="1">IFERROR(__xludf.DUMMYFUNCTION("""COMPUTED_VALUE"""),129511)</f>
        <v>129511</v>
      </c>
      <c r="C5279" s="14">
        <f ca="1">IFERROR(__xludf.DUMMYFUNCTION("""COMPUTED_VALUE"""),0)</f>
        <v>0</v>
      </c>
      <c r="D5279" s="12" t="str">
        <f ca="1">IFERROR(__xludf.DUMMYFUNCTION("""COMPUTED_VALUE"""),"成嶋 夏未")</f>
        <v>成嶋 夏未</v>
      </c>
    </row>
    <row r="5280" spans="2:4" ht="13">
      <c r="B5280" s="12">
        <f ca="1">IFERROR(__xludf.DUMMYFUNCTION("""COMPUTED_VALUE"""),129515)</f>
        <v>129515</v>
      </c>
      <c r="C5280" s="14">
        <f ca="1">IFERROR(__xludf.DUMMYFUNCTION("""COMPUTED_VALUE"""),0)</f>
        <v>0</v>
      </c>
      <c r="D5280" s="12" t="str">
        <f ca="1">IFERROR(__xludf.DUMMYFUNCTION("""COMPUTED_VALUE"""),"小関 麻起")</f>
        <v>小関 麻起</v>
      </c>
    </row>
    <row r="5281" spans="2:4" ht="13">
      <c r="B5281" s="12">
        <f ca="1">IFERROR(__xludf.DUMMYFUNCTION("""COMPUTED_VALUE"""),129516)</f>
        <v>129516</v>
      </c>
      <c r="C5281" s="14">
        <f ca="1">IFERROR(__xludf.DUMMYFUNCTION("""COMPUTED_VALUE"""),0)</f>
        <v>0</v>
      </c>
      <c r="D5281" s="12" t="str">
        <f ca="1">IFERROR(__xludf.DUMMYFUNCTION("""COMPUTED_VALUE"""),"桐山 勝気")</f>
        <v>桐山 勝気</v>
      </c>
    </row>
    <row r="5282" spans="2:4" ht="13">
      <c r="B5282" s="12">
        <f ca="1">IFERROR(__xludf.DUMMYFUNCTION("""COMPUTED_VALUE"""),129522)</f>
        <v>129522</v>
      </c>
      <c r="C5282" s="14">
        <f ca="1">IFERROR(__xludf.DUMMYFUNCTION("""COMPUTED_VALUE"""),13)</f>
        <v>13</v>
      </c>
      <c r="D5282" s="12" t="str">
        <f ca="1">IFERROR(__xludf.DUMMYFUNCTION("""COMPUTED_VALUE"""),"小関 麻起")</f>
        <v>小関 麻起</v>
      </c>
    </row>
    <row r="5283" spans="2:4" ht="13">
      <c r="B5283" s="12">
        <f ca="1">IFERROR(__xludf.DUMMYFUNCTION("""COMPUTED_VALUE"""),129528)</f>
        <v>129528</v>
      </c>
      <c r="C5283" s="14">
        <f ca="1">IFERROR(__xludf.DUMMYFUNCTION("""COMPUTED_VALUE"""),0)</f>
        <v>0</v>
      </c>
      <c r="D5283" s="12" t="str">
        <f ca="1">IFERROR(__xludf.DUMMYFUNCTION("""COMPUTED_VALUE"""),"松尾 尚樹")</f>
        <v>松尾 尚樹</v>
      </c>
    </row>
    <row r="5284" spans="2:4" ht="13">
      <c r="B5284" s="12">
        <f ca="1">IFERROR(__xludf.DUMMYFUNCTION("""COMPUTED_VALUE"""),129533)</f>
        <v>129533</v>
      </c>
      <c r="C5284" s="14">
        <f ca="1">IFERROR(__xludf.DUMMYFUNCTION("""COMPUTED_VALUE"""),26)</f>
        <v>26</v>
      </c>
      <c r="D5284" s="12" t="str">
        <f ca="1">IFERROR(__xludf.DUMMYFUNCTION("""COMPUTED_VALUE"""),"荻曽 克輝")</f>
        <v>荻曽 克輝</v>
      </c>
    </row>
    <row r="5285" spans="2:4" ht="13">
      <c r="B5285" s="12">
        <f ca="1">IFERROR(__xludf.DUMMYFUNCTION("""COMPUTED_VALUE"""),129534)</f>
        <v>129534</v>
      </c>
      <c r="C5285" s="14">
        <f ca="1">IFERROR(__xludf.DUMMYFUNCTION("""COMPUTED_VALUE"""),13)</f>
        <v>13</v>
      </c>
      <c r="D5285" s="12" t="str">
        <f ca="1">IFERROR(__xludf.DUMMYFUNCTION("""COMPUTED_VALUE"""),"荻曽 克輝")</f>
        <v>荻曽 克輝</v>
      </c>
    </row>
    <row r="5286" spans="2:4" ht="13">
      <c r="B5286" s="12">
        <f ca="1">IFERROR(__xludf.DUMMYFUNCTION("""COMPUTED_VALUE"""),129544)</f>
        <v>129544</v>
      </c>
      <c r="C5286" s="14">
        <f ca="1">IFERROR(__xludf.DUMMYFUNCTION("""COMPUTED_VALUE"""),0)</f>
        <v>0</v>
      </c>
      <c r="D5286" s="12" t="str">
        <f ca="1">IFERROR(__xludf.DUMMYFUNCTION("""COMPUTED_VALUE"""),"松尾 尚樹")</f>
        <v>松尾 尚樹</v>
      </c>
    </row>
    <row r="5287" spans="2:4" ht="13">
      <c r="B5287" s="12">
        <f ca="1">IFERROR(__xludf.DUMMYFUNCTION("""COMPUTED_VALUE"""),129550)</f>
        <v>129550</v>
      </c>
      <c r="C5287" s="14">
        <f ca="1">IFERROR(__xludf.DUMMYFUNCTION("""COMPUTED_VALUE"""),0)</f>
        <v>0</v>
      </c>
      <c r="D5287" s="12" t="str">
        <f ca="1">IFERROR(__xludf.DUMMYFUNCTION("""COMPUTED_VALUE"""),"栗原 大武")</f>
        <v>栗原 大武</v>
      </c>
    </row>
    <row r="5288" spans="2:4" ht="13">
      <c r="B5288" s="12">
        <f ca="1">IFERROR(__xludf.DUMMYFUNCTION("""COMPUTED_VALUE"""),129551)</f>
        <v>129551</v>
      </c>
      <c r="C5288" s="14">
        <f ca="1">IFERROR(__xludf.DUMMYFUNCTION("""COMPUTED_VALUE"""),0)</f>
        <v>0</v>
      </c>
      <c r="D5288" s="12" t="str">
        <f ca="1">IFERROR(__xludf.DUMMYFUNCTION("""COMPUTED_VALUE"""),"老田 純輝")</f>
        <v>老田 純輝</v>
      </c>
    </row>
    <row r="5289" spans="2:4" ht="13">
      <c r="B5289" s="12">
        <f ca="1">IFERROR(__xludf.DUMMYFUNCTION("""COMPUTED_VALUE"""),129556)</f>
        <v>129556</v>
      </c>
      <c r="C5289" s="14">
        <f ca="1">IFERROR(__xludf.DUMMYFUNCTION("""COMPUTED_VALUE"""),0)</f>
        <v>0</v>
      </c>
      <c r="D5289" s="12" t="str">
        <f ca="1">IFERROR(__xludf.DUMMYFUNCTION("""COMPUTED_VALUE"""),"稲場 勇介")</f>
        <v>稲場 勇介</v>
      </c>
    </row>
    <row r="5290" spans="2:4" ht="13">
      <c r="B5290" s="12">
        <f ca="1">IFERROR(__xludf.DUMMYFUNCTION("""COMPUTED_VALUE"""),129557)</f>
        <v>129557</v>
      </c>
      <c r="C5290" s="14">
        <f ca="1">IFERROR(__xludf.DUMMYFUNCTION("""COMPUTED_VALUE"""),0)</f>
        <v>0</v>
      </c>
      <c r="D5290" s="12" t="str">
        <f ca="1">IFERROR(__xludf.DUMMYFUNCTION("""COMPUTED_VALUE"""),"小関 麻起")</f>
        <v>小関 麻起</v>
      </c>
    </row>
    <row r="5291" spans="2:4" ht="13">
      <c r="B5291" s="12">
        <f ca="1">IFERROR(__xludf.DUMMYFUNCTION("""COMPUTED_VALUE"""),129559)</f>
        <v>129559</v>
      </c>
      <c r="C5291" s="14">
        <f ca="1">IFERROR(__xludf.DUMMYFUNCTION("""COMPUTED_VALUE"""),25)</f>
        <v>25</v>
      </c>
      <c r="D5291" s="12" t="str">
        <f ca="1">IFERROR(__xludf.DUMMYFUNCTION("""COMPUTED_VALUE"""),"老田 純輝")</f>
        <v>老田 純輝</v>
      </c>
    </row>
    <row r="5292" spans="2:4" ht="13">
      <c r="B5292" s="12">
        <f ca="1">IFERROR(__xludf.DUMMYFUNCTION("""COMPUTED_VALUE"""),129561)</f>
        <v>129561</v>
      </c>
      <c r="C5292" s="14">
        <f ca="1">IFERROR(__xludf.DUMMYFUNCTION("""COMPUTED_VALUE"""),0)</f>
        <v>0</v>
      </c>
      <c r="D5292" s="12" t="str">
        <f ca="1">IFERROR(__xludf.DUMMYFUNCTION("""COMPUTED_VALUE"""),"小川 純")</f>
        <v>小川 純</v>
      </c>
    </row>
    <row r="5293" spans="2:4" ht="13">
      <c r="B5293" s="12">
        <f ca="1">IFERROR(__xludf.DUMMYFUNCTION("""COMPUTED_VALUE"""),129562)</f>
        <v>129562</v>
      </c>
      <c r="C5293" s="14">
        <f ca="1">IFERROR(__xludf.DUMMYFUNCTION("""COMPUTED_VALUE"""),15)</f>
        <v>15</v>
      </c>
      <c r="D5293" s="12" t="str">
        <f ca="1">IFERROR(__xludf.DUMMYFUNCTION("""COMPUTED_VALUE"""),"芳賀 亮輔")</f>
        <v>芳賀 亮輔</v>
      </c>
    </row>
    <row r="5294" spans="2:4" ht="13">
      <c r="B5294" s="12">
        <f ca="1">IFERROR(__xludf.DUMMYFUNCTION("""COMPUTED_VALUE"""),129572)</f>
        <v>129572</v>
      </c>
      <c r="C5294" s="14">
        <f ca="1">IFERROR(__xludf.DUMMYFUNCTION("""COMPUTED_VALUE"""),0)</f>
        <v>0</v>
      </c>
      <c r="D5294" s="12" t="str">
        <f ca="1">IFERROR(__xludf.DUMMYFUNCTION("""COMPUTED_VALUE"""),"荻曽 克輝")</f>
        <v>荻曽 克輝</v>
      </c>
    </row>
    <row r="5295" spans="2:4" ht="13">
      <c r="B5295" s="12">
        <f ca="1">IFERROR(__xludf.DUMMYFUNCTION("""COMPUTED_VALUE"""),129574)</f>
        <v>129574</v>
      </c>
      <c r="C5295" s="14">
        <f ca="1">IFERROR(__xludf.DUMMYFUNCTION("""COMPUTED_VALUE"""),0)</f>
        <v>0</v>
      </c>
      <c r="D5295" s="12" t="str">
        <f ca="1">IFERROR(__xludf.DUMMYFUNCTION("""COMPUTED_VALUE"""),"桐山 勝気")</f>
        <v>桐山 勝気</v>
      </c>
    </row>
    <row r="5296" spans="2:4" ht="13">
      <c r="B5296" s="12">
        <f ca="1">IFERROR(__xludf.DUMMYFUNCTION("""COMPUTED_VALUE"""),129579)</f>
        <v>129579</v>
      </c>
      <c r="C5296" s="14">
        <f ca="1">IFERROR(__xludf.DUMMYFUNCTION("""COMPUTED_VALUE"""),0)</f>
        <v>0</v>
      </c>
      <c r="D5296" s="12" t="str">
        <f ca="1">IFERROR(__xludf.DUMMYFUNCTION("""COMPUTED_VALUE"""),"荻曽 克輝")</f>
        <v>荻曽 克輝</v>
      </c>
    </row>
    <row r="5297" spans="2:4" ht="13">
      <c r="B5297" s="12">
        <f ca="1">IFERROR(__xludf.DUMMYFUNCTION("""COMPUTED_VALUE"""),129582)</f>
        <v>129582</v>
      </c>
      <c r="C5297" s="14">
        <f ca="1">IFERROR(__xludf.DUMMYFUNCTION("""COMPUTED_VALUE"""),0)</f>
        <v>0</v>
      </c>
      <c r="D5297" s="12" t="str">
        <f ca="1">IFERROR(__xludf.DUMMYFUNCTION("""COMPUTED_VALUE"""),"田嶋 将太")</f>
        <v>田嶋 将太</v>
      </c>
    </row>
    <row r="5298" spans="2:4" ht="13">
      <c r="B5298" s="12">
        <f ca="1">IFERROR(__xludf.DUMMYFUNCTION("""COMPUTED_VALUE"""),129583)</f>
        <v>129583</v>
      </c>
      <c r="C5298" s="14">
        <f ca="1">IFERROR(__xludf.DUMMYFUNCTION("""COMPUTED_VALUE"""),11)</f>
        <v>11</v>
      </c>
      <c r="D5298" s="12" t="str">
        <f ca="1">IFERROR(__xludf.DUMMYFUNCTION("""COMPUTED_VALUE"""),"内丸 裕子")</f>
        <v>内丸 裕子</v>
      </c>
    </row>
    <row r="5299" spans="2:4" ht="13">
      <c r="B5299" s="12">
        <f ca="1">IFERROR(__xludf.DUMMYFUNCTION("""COMPUTED_VALUE"""),129590)</f>
        <v>129590</v>
      </c>
      <c r="C5299" s="14">
        <f ca="1">IFERROR(__xludf.DUMMYFUNCTION("""COMPUTED_VALUE"""),0)</f>
        <v>0</v>
      </c>
      <c r="D5299" s="12" t="str">
        <f ca="1">IFERROR(__xludf.DUMMYFUNCTION("""COMPUTED_VALUE"""),"小川 純")</f>
        <v>小川 純</v>
      </c>
    </row>
    <row r="5300" spans="2:4" ht="13">
      <c r="B5300" s="12">
        <f ca="1">IFERROR(__xludf.DUMMYFUNCTION("""COMPUTED_VALUE"""),129593)</f>
        <v>129593</v>
      </c>
      <c r="C5300" s="14">
        <f ca="1">IFERROR(__xludf.DUMMYFUNCTION("""COMPUTED_VALUE"""),6)</f>
        <v>6</v>
      </c>
      <c r="D5300" s="12" t="str">
        <f ca="1">IFERROR(__xludf.DUMMYFUNCTION("""COMPUTED_VALUE"""),"小川 純")</f>
        <v>小川 純</v>
      </c>
    </row>
    <row r="5301" spans="2:4" ht="13">
      <c r="B5301" s="12">
        <f ca="1">IFERROR(__xludf.DUMMYFUNCTION("""COMPUTED_VALUE"""),129594)</f>
        <v>129594</v>
      </c>
      <c r="C5301" s="14">
        <f ca="1">IFERROR(__xludf.DUMMYFUNCTION("""COMPUTED_VALUE"""),4)</f>
        <v>4</v>
      </c>
      <c r="D5301" s="12" t="str">
        <f ca="1">IFERROR(__xludf.DUMMYFUNCTION("""COMPUTED_VALUE"""),"小川 純")</f>
        <v>小川 純</v>
      </c>
    </row>
    <row r="5302" spans="2:4" ht="13">
      <c r="B5302" s="12">
        <f ca="1">IFERROR(__xludf.DUMMYFUNCTION("""COMPUTED_VALUE"""),129595)</f>
        <v>129595</v>
      </c>
      <c r="C5302" s="14">
        <f ca="1">IFERROR(__xludf.DUMMYFUNCTION("""COMPUTED_VALUE"""),0)</f>
        <v>0</v>
      </c>
      <c r="D5302" s="12" t="str">
        <f ca="1">IFERROR(__xludf.DUMMYFUNCTION("""COMPUTED_VALUE"""),"大木 優香")</f>
        <v>大木 優香</v>
      </c>
    </row>
    <row r="5303" spans="2:4" ht="13">
      <c r="B5303" s="12">
        <f ca="1">IFERROR(__xludf.DUMMYFUNCTION("""COMPUTED_VALUE"""),129597)</f>
        <v>129597</v>
      </c>
      <c r="C5303" s="14">
        <f ca="1">IFERROR(__xludf.DUMMYFUNCTION("""COMPUTED_VALUE"""),19)</f>
        <v>19</v>
      </c>
      <c r="D5303" s="12" t="str">
        <f ca="1">IFERROR(__xludf.DUMMYFUNCTION("""COMPUTED_VALUE"""),"稲場 勇介")</f>
        <v>稲場 勇介</v>
      </c>
    </row>
    <row r="5304" spans="2:4" ht="13">
      <c r="B5304" s="12">
        <f ca="1">IFERROR(__xludf.DUMMYFUNCTION("""COMPUTED_VALUE"""),129602)</f>
        <v>129602</v>
      </c>
      <c r="C5304" s="14">
        <f ca="1">IFERROR(__xludf.DUMMYFUNCTION("""COMPUTED_VALUE"""),0)</f>
        <v>0</v>
      </c>
      <c r="D5304" s="12" t="str">
        <f ca="1">IFERROR(__xludf.DUMMYFUNCTION("""COMPUTED_VALUE"""),"稲場 勇介")</f>
        <v>稲場 勇介</v>
      </c>
    </row>
    <row r="5305" spans="2:4" ht="13">
      <c r="B5305" s="12">
        <f ca="1">IFERROR(__xludf.DUMMYFUNCTION("""COMPUTED_VALUE"""),129617)</f>
        <v>129617</v>
      </c>
      <c r="C5305" s="14">
        <f ca="1">IFERROR(__xludf.DUMMYFUNCTION("""COMPUTED_VALUE"""),0)</f>
        <v>0</v>
      </c>
      <c r="D5305" s="12" t="str">
        <f ca="1">IFERROR(__xludf.DUMMYFUNCTION("""COMPUTED_VALUE"""),"荻曽 克輝")</f>
        <v>荻曽 克輝</v>
      </c>
    </row>
    <row r="5306" spans="2:4" ht="13">
      <c r="B5306" s="12">
        <f ca="1">IFERROR(__xludf.DUMMYFUNCTION("""COMPUTED_VALUE"""),129627)</f>
        <v>129627</v>
      </c>
      <c r="C5306" s="14">
        <f ca="1">IFERROR(__xludf.DUMMYFUNCTION("""COMPUTED_VALUE"""),0)</f>
        <v>0</v>
      </c>
      <c r="D5306" s="12" t="str">
        <f ca="1">IFERROR(__xludf.DUMMYFUNCTION("""COMPUTED_VALUE"""),"桑原 明子")</f>
        <v>桑原 明子</v>
      </c>
    </row>
    <row r="5307" spans="2:4" ht="13">
      <c r="B5307" s="12">
        <f ca="1">IFERROR(__xludf.DUMMYFUNCTION("""COMPUTED_VALUE"""),129644)</f>
        <v>129644</v>
      </c>
      <c r="C5307" s="14">
        <f ca="1">IFERROR(__xludf.DUMMYFUNCTION("""COMPUTED_VALUE"""),9)</f>
        <v>9</v>
      </c>
      <c r="D5307" s="12" t="str">
        <f ca="1">IFERROR(__xludf.DUMMYFUNCTION("""COMPUTED_VALUE"""),"堀越 駿")</f>
        <v>堀越 駿</v>
      </c>
    </row>
    <row r="5308" spans="2:4" ht="13">
      <c r="B5308" s="12">
        <f ca="1">IFERROR(__xludf.DUMMYFUNCTION("""COMPUTED_VALUE"""),129659)</f>
        <v>129659</v>
      </c>
      <c r="C5308" s="14">
        <f ca="1">IFERROR(__xludf.DUMMYFUNCTION("""COMPUTED_VALUE"""),0)</f>
        <v>0</v>
      </c>
      <c r="D5308" s="12" t="str">
        <f ca="1">IFERROR(__xludf.DUMMYFUNCTION("""COMPUTED_VALUE"""),"小川 純")</f>
        <v>小川 純</v>
      </c>
    </row>
    <row r="5309" spans="2:4" ht="13">
      <c r="B5309" s="12">
        <f ca="1">IFERROR(__xludf.DUMMYFUNCTION("""COMPUTED_VALUE"""),129665)</f>
        <v>129665</v>
      </c>
      <c r="C5309" s="14">
        <f ca="1">IFERROR(__xludf.DUMMYFUNCTION("""COMPUTED_VALUE"""),0)</f>
        <v>0</v>
      </c>
      <c r="D5309" s="12" t="str">
        <f ca="1">IFERROR(__xludf.DUMMYFUNCTION("""COMPUTED_VALUE"""),"辻村 将大")</f>
        <v>辻村 将大</v>
      </c>
    </row>
    <row r="5310" spans="2:4" ht="13">
      <c r="B5310" s="12">
        <f ca="1">IFERROR(__xludf.DUMMYFUNCTION("""COMPUTED_VALUE"""),129668)</f>
        <v>129668</v>
      </c>
      <c r="C5310" s="14">
        <f ca="1">IFERROR(__xludf.DUMMYFUNCTION("""COMPUTED_VALUE"""),53)</f>
        <v>53</v>
      </c>
      <c r="D5310" s="12" t="str">
        <f ca="1">IFERROR(__xludf.DUMMYFUNCTION("""COMPUTED_VALUE"""),"菅野 ぎんが")</f>
        <v>菅野 ぎんが</v>
      </c>
    </row>
    <row r="5311" spans="2:4" ht="13">
      <c r="B5311" s="12">
        <f ca="1">IFERROR(__xludf.DUMMYFUNCTION("""COMPUTED_VALUE"""),129674)</f>
        <v>129674</v>
      </c>
      <c r="C5311" s="14">
        <f ca="1">IFERROR(__xludf.DUMMYFUNCTION("""COMPUTED_VALUE"""),17)</f>
        <v>17</v>
      </c>
      <c r="D5311" s="12" t="str">
        <f ca="1">IFERROR(__xludf.DUMMYFUNCTION("""COMPUTED_VALUE"""),"荻曽 克輝")</f>
        <v>荻曽 克輝</v>
      </c>
    </row>
    <row r="5312" spans="2:4" ht="13">
      <c r="B5312" s="12">
        <f ca="1">IFERROR(__xludf.DUMMYFUNCTION("""COMPUTED_VALUE"""),129680)</f>
        <v>129680</v>
      </c>
      <c r="C5312" s="14">
        <f ca="1">IFERROR(__xludf.DUMMYFUNCTION("""COMPUTED_VALUE"""),22)</f>
        <v>22</v>
      </c>
      <c r="D5312" s="12" t="str">
        <f ca="1">IFERROR(__xludf.DUMMYFUNCTION("""COMPUTED_VALUE"""),"荻曽 克輝")</f>
        <v>荻曽 克輝</v>
      </c>
    </row>
    <row r="5313" spans="2:4" ht="13">
      <c r="B5313" s="12">
        <f ca="1">IFERROR(__xludf.DUMMYFUNCTION("""COMPUTED_VALUE"""),129685)</f>
        <v>129685</v>
      </c>
      <c r="C5313" s="14">
        <f ca="1">IFERROR(__xludf.DUMMYFUNCTION("""COMPUTED_VALUE"""),0)</f>
        <v>0</v>
      </c>
      <c r="D5313" s="12" t="str">
        <f ca="1">IFERROR(__xludf.DUMMYFUNCTION("""COMPUTED_VALUE"""),"小関 麻起")</f>
        <v>小関 麻起</v>
      </c>
    </row>
    <row r="5314" spans="2:4" ht="13">
      <c r="B5314" s="12">
        <f ca="1">IFERROR(__xludf.DUMMYFUNCTION("""COMPUTED_VALUE"""),129686)</f>
        <v>129686</v>
      </c>
      <c r="C5314" s="14">
        <f ca="1">IFERROR(__xludf.DUMMYFUNCTION("""COMPUTED_VALUE"""),13)</f>
        <v>13</v>
      </c>
      <c r="D5314" s="12" t="str">
        <f ca="1">IFERROR(__xludf.DUMMYFUNCTION("""COMPUTED_VALUE"""),"小関 麻起")</f>
        <v>小関 麻起</v>
      </c>
    </row>
    <row r="5315" spans="2:4" ht="13">
      <c r="B5315" s="12">
        <f ca="1">IFERROR(__xludf.DUMMYFUNCTION("""COMPUTED_VALUE"""),129689)</f>
        <v>129689</v>
      </c>
      <c r="C5315" s="14">
        <f ca="1">IFERROR(__xludf.DUMMYFUNCTION("""COMPUTED_VALUE"""),14)</f>
        <v>14</v>
      </c>
      <c r="D5315" s="12" t="str">
        <f ca="1">IFERROR(__xludf.DUMMYFUNCTION("""COMPUTED_VALUE"""),"老田 純輝")</f>
        <v>老田 純輝</v>
      </c>
    </row>
    <row r="5316" spans="2:4" ht="13">
      <c r="B5316" s="12">
        <f ca="1">IFERROR(__xludf.DUMMYFUNCTION("""COMPUTED_VALUE"""),129692)</f>
        <v>129692</v>
      </c>
      <c r="C5316" s="14">
        <f ca="1">IFERROR(__xludf.DUMMYFUNCTION("""COMPUTED_VALUE"""),1)</f>
        <v>1</v>
      </c>
      <c r="D5316" s="12" t="str">
        <f ca="1">IFERROR(__xludf.DUMMYFUNCTION("""COMPUTED_VALUE"""),"小川 純")</f>
        <v>小川 純</v>
      </c>
    </row>
    <row r="5317" spans="2:4" ht="13">
      <c r="B5317" s="12">
        <f ca="1">IFERROR(__xludf.DUMMYFUNCTION("""COMPUTED_VALUE"""),129695)</f>
        <v>129695</v>
      </c>
      <c r="C5317" s="14">
        <f ca="1">IFERROR(__xludf.DUMMYFUNCTION("""COMPUTED_VALUE"""),0)</f>
        <v>0</v>
      </c>
      <c r="D5317" s="12" t="str">
        <f ca="1">IFERROR(__xludf.DUMMYFUNCTION("""COMPUTED_VALUE"""),"森 光智")</f>
        <v>森 光智</v>
      </c>
    </row>
    <row r="5318" spans="2:4" ht="13">
      <c r="B5318" s="12">
        <f ca="1">IFERROR(__xludf.DUMMYFUNCTION("""COMPUTED_VALUE"""),129697)</f>
        <v>129697</v>
      </c>
      <c r="C5318" s="14">
        <f ca="1">IFERROR(__xludf.DUMMYFUNCTION("""COMPUTED_VALUE"""),0)</f>
        <v>0</v>
      </c>
      <c r="D5318" s="12" t="str">
        <f ca="1">IFERROR(__xludf.DUMMYFUNCTION("""COMPUTED_VALUE"""),"小川 純")</f>
        <v>小川 純</v>
      </c>
    </row>
    <row r="5319" spans="2:4" ht="13">
      <c r="B5319" s="12">
        <f ca="1">IFERROR(__xludf.DUMMYFUNCTION("""COMPUTED_VALUE"""),129700)</f>
        <v>129700</v>
      </c>
      <c r="C5319" s="14">
        <f ca="1">IFERROR(__xludf.DUMMYFUNCTION("""COMPUTED_VALUE"""),32)</f>
        <v>32</v>
      </c>
      <c r="D5319" s="12" t="str">
        <f ca="1">IFERROR(__xludf.DUMMYFUNCTION("""COMPUTED_VALUE"""),"成嶋 夏未")</f>
        <v>成嶋 夏未</v>
      </c>
    </row>
    <row r="5320" spans="2:4" ht="13">
      <c r="B5320" s="12">
        <f ca="1">IFERROR(__xludf.DUMMYFUNCTION("""COMPUTED_VALUE"""),129703)</f>
        <v>129703</v>
      </c>
      <c r="C5320" s="14">
        <f ca="1">IFERROR(__xludf.DUMMYFUNCTION("""COMPUTED_VALUE"""),0)</f>
        <v>0</v>
      </c>
      <c r="D5320" s="12" t="str">
        <f ca="1">IFERROR(__xludf.DUMMYFUNCTION("""COMPUTED_VALUE"""),"栗原 大武")</f>
        <v>栗原 大武</v>
      </c>
    </row>
    <row r="5321" spans="2:4" ht="13">
      <c r="B5321" s="12">
        <f ca="1">IFERROR(__xludf.DUMMYFUNCTION("""COMPUTED_VALUE"""),129705)</f>
        <v>129705</v>
      </c>
      <c r="C5321" s="14">
        <f ca="1">IFERROR(__xludf.DUMMYFUNCTION("""COMPUTED_VALUE"""),0)</f>
        <v>0</v>
      </c>
      <c r="D5321" s="12" t="str">
        <f ca="1">IFERROR(__xludf.DUMMYFUNCTION("""COMPUTED_VALUE"""),"辻村 将大")</f>
        <v>辻村 将大</v>
      </c>
    </row>
    <row r="5322" spans="2:4" ht="13">
      <c r="B5322" s="12">
        <f ca="1">IFERROR(__xludf.DUMMYFUNCTION("""COMPUTED_VALUE"""),129711)</f>
        <v>129711</v>
      </c>
      <c r="C5322" s="14">
        <f ca="1">IFERROR(__xludf.DUMMYFUNCTION("""COMPUTED_VALUE"""),2)</f>
        <v>2</v>
      </c>
      <c r="D5322" s="12" t="str">
        <f ca="1">IFERROR(__xludf.DUMMYFUNCTION("""COMPUTED_VALUE"""),"小川 純")</f>
        <v>小川 純</v>
      </c>
    </row>
    <row r="5323" spans="2:4" ht="13">
      <c r="B5323" s="12">
        <f ca="1">IFERROR(__xludf.DUMMYFUNCTION("""COMPUTED_VALUE"""),129712)</f>
        <v>129712</v>
      </c>
      <c r="C5323" s="14">
        <f ca="1">IFERROR(__xludf.DUMMYFUNCTION("""COMPUTED_VALUE"""),1)</f>
        <v>1</v>
      </c>
      <c r="D5323" s="12" t="str">
        <f ca="1">IFERROR(__xludf.DUMMYFUNCTION("""COMPUTED_VALUE"""),"小関 麻起")</f>
        <v>小関 麻起</v>
      </c>
    </row>
    <row r="5324" spans="2:4" ht="13">
      <c r="B5324" s="12">
        <f ca="1">IFERROR(__xludf.DUMMYFUNCTION("""COMPUTED_VALUE"""),129714)</f>
        <v>129714</v>
      </c>
      <c r="C5324" s="14">
        <f ca="1">IFERROR(__xludf.DUMMYFUNCTION("""COMPUTED_VALUE"""),2)</f>
        <v>2</v>
      </c>
      <c r="D5324" s="12" t="str">
        <f ca="1">IFERROR(__xludf.DUMMYFUNCTION("""COMPUTED_VALUE"""),"辻村 将大")</f>
        <v>辻村 将大</v>
      </c>
    </row>
    <row r="5325" spans="2:4" ht="13">
      <c r="B5325" s="12">
        <f ca="1">IFERROR(__xludf.DUMMYFUNCTION("""COMPUTED_VALUE"""),129715)</f>
        <v>129715</v>
      </c>
      <c r="C5325" s="14">
        <f ca="1">IFERROR(__xludf.DUMMYFUNCTION("""COMPUTED_VALUE"""),0)</f>
        <v>0</v>
      </c>
      <c r="D5325" s="12" t="str">
        <f ca="1">IFERROR(__xludf.DUMMYFUNCTION("""COMPUTED_VALUE"""),"堀越 駿")</f>
        <v>堀越 駿</v>
      </c>
    </row>
    <row r="5326" spans="2:4" ht="13">
      <c r="B5326" s="12">
        <f ca="1">IFERROR(__xludf.DUMMYFUNCTION("""COMPUTED_VALUE"""),129717)</f>
        <v>129717</v>
      </c>
      <c r="C5326" s="14">
        <f ca="1">IFERROR(__xludf.DUMMYFUNCTION("""COMPUTED_VALUE"""),1)</f>
        <v>1</v>
      </c>
      <c r="D5326" s="12" t="str">
        <f ca="1">IFERROR(__xludf.DUMMYFUNCTION("""COMPUTED_VALUE"""),"小川 純")</f>
        <v>小川 純</v>
      </c>
    </row>
    <row r="5327" spans="2:4" ht="13">
      <c r="B5327" s="12">
        <f ca="1">IFERROR(__xludf.DUMMYFUNCTION("""COMPUTED_VALUE"""),129719)</f>
        <v>129719</v>
      </c>
      <c r="C5327" s="14">
        <f ca="1">IFERROR(__xludf.DUMMYFUNCTION("""COMPUTED_VALUE"""),0)</f>
        <v>0</v>
      </c>
      <c r="D5327" s="12" t="str">
        <f ca="1">IFERROR(__xludf.DUMMYFUNCTION("""COMPUTED_VALUE"""),"奥野 貴大")</f>
        <v>奥野 貴大</v>
      </c>
    </row>
    <row r="5328" spans="2:4" ht="13">
      <c r="B5328" s="12">
        <f ca="1">IFERROR(__xludf.DUMMYFUNCTION("""COMPUTED_VALUE"""),129722)</f>
        <v>129722</v>
      </c>
      <c r="C5328" s="14">
        <f ca="1">IFERROR(__xludf.DUMMYFUNCTION("""COMPUTED_VALUE"""),0)</f>
        <v>0</v>
      </c>
      <c r="D5328" s="12" t="str">
        <f ca="1">IFERROR(__xludf.DUMMYFUNCTION("""COMPUTED_VALUE"""),"菅野 ぎんが")</f>
        <v>菅野 ぎんが</v>
      </c>
    </row>
    <row r="5329" spans="2:4" ht="13">
      <c r="B5329" s="12">
        <f ca="1">IFERROR(__xludf.DUMMYFUNCTION("""COMPUTED_VALUE"""),129725)</f>
        <v>129725</v>
      </c>
      <c r="C5329" s="14">
        <f ca="1">IFERROR(__xludf.DUMMYFUNCTION("""COMPUTED_VALUE"""),0)</f>
        <v>0</v>
      </c>
      <c r="D5329" s="12" t="str">
        <f ca="1">IFERROR(__xludf.DUMMYFUNCTION("""COMPUTED_VALUE"""),"村上 浩一朗")</f>
        <v>村上 浩一朗</v>
      </c>
    </row>
    <row r="5330" spans="2:4" ht="13">
      <c r="B5330" s="12">
        <f ca="1">IFERROR(__xludf.DUMMYFUNCTION("""COMPUTED_VALUE"""),129727)</f>
        <v>129727</v>
      </c>
      <c r="C5330" s="14">
        <f ca="1">IFERROR(__xludf.DUMMYFUNCTION("""COMPUTED_VALUE"""),0)</f>
        <v>0</v>
      </c>
      <c r="D5330" s="12" t="str">
        <f ca="1">IFERROR(__xludf.DUMMYFUNCTION("""COMPUTED_VALUE"""),"松尾 尚樹")</f>
        <v>松尾 尚樹</v>
      </c>
    </row>
    <row r="5331" spans="2:4" ht="13">
      <c r="B5331" s="12">
        <f ca="1">IFERROR(__xludf.DUMMYFUNCTION("""COMPUTED_VALUE"""),129732)</f>
        <v>129732</v>
      </c>
      <c r="C5331" s="14">
        <f ca="1">IFERROR(__xludf.DUMMYFUNCTION("""COMPUTED_VALUE"""),0)</f>
        <v>0</v>
      </c>
      <c r="D5331" s="12" t="str">
        <f ca="1">IFERROR(__xludf.DUMMYFUNCTION("""COMPUTED_VALUE"""),"辻村 将大")</f>
        <v>辻村 将大</v>
      </c>
    </row>
    <row r="5332" spans="2:4" ht="13">
      <c r="B5332" s="12">
        <f ca="1">IFERROR(__xludf.DUMMYFUNCTION("""COMPUTED_VALUE"""),129737)</f>
        <v>129737</v>
      </c>
      <c r="C5332" s="14">
        <f ca="1">IFERROR(__xludf.DUMMYFUNCTION("""COMPUTED_VALUE"""),6)</f>
        <v>6</v>
      </c>
      <c r="D5332" s="12" t="str">
        <f ca="1">IFERROR(__xludf.DUMMYFUNCTION("""COMPUTED_VALUE"""),"大木 優香")</f>
        <v>大木 優香</v>
      </c>
    </row>
    <row r="5333" spans="2:4" ht="13">
      <c r="B5333" s="12">
        <f ca="1">IFERROR(__xludf.DUMMYFUNCTION("""COMPUTED_VALUE"""),129740)</f>
        <v>129740</v>
      </c>
      <c r="C5333" s="14">
        <f ca="1">IFERROR(__xludf.DUMMYFUNCTION("""COMPUTED_VALUE"""),11)</f>
        <v>11</v>
      </c>
      <c r="D5333" s="12" t="str">
        <f ca="1">IFERROR(__xludf.DUMMYFUNCTION("""COMPUTED_VALUE"""),"小川 純")</f>
        <v>小川 純</v>
      </c>
    </row>
    <row r="5334" spans="2:4" ht="13">
      <c r="B5334" s="12">
        <f ca="1">IFERROR(__xludf.DUMMYFUNCTION("""COMPUTED_VALUE"""),129745)</f>
        <v>129745</v>
      </c>
      <c r="C5334" s="14">
        <f ca="1">IFERROR(__xludf.DUMMYFUNCTION("""COMPUTED_VALUE"""),10)</f>
        <v>10</v>
      </c>
      <c r="D5334" s="12" t="str">
        <f ca="1">IFERROR(__xludf.DUMMYFUNCTION("""COMPUTED_VALUE"""),"小川 純")</f>
        <v>小川 純</v>
      </c>
    </row>
    <row r="5335" spans="2:4" ht="13">
      <c r="B5335" s="12">
        <f ca="1">IFERROR(__xludf.DUMMYFUNCTION("""COMPUTED_VALUE"""),129746)</f>
        <v>129746</v>
      </c>
      <c r="C5335" s="14">
        <f ca="1">IFERROR(__xludf.DUMMYFUNCTION("""COMPUTED_VALUE"""),0)</f>
        <v>0</v>
      </c>
      <c r="D5335" s="12" t="str">
        <f ca="1">IFERROR(__xludf.DUMMYFUNCTION("""COMPUTED_VALUE"""),"小川 純")</f>
        <v>小川 純</v>
      </c>
    </row>
    <row r="5336" spans="2:4" ht="13">
      <c r="B5336" s="12">
        <f ca="1">IFERROR(__xludf.DUMMYFUNCTION("""COMPUTED_VALUE"""),129747)</f>
        <v>129747</v>
      </c>
      <c r="C5336" s="14">
        <f ca="1">IFERROR(__xludf.DUMMYFUNCTION("""COMPUTED_VALUE"""),51)</f>
        <v>51</v>
      </c>
      <c r="D5336" s="12" t="str">
        <f ca="1">IFERROR(__xludf.DUMMYFUNCTION("""COMPUTED_VALUE"""),"小川 純")</f>
        <v>小川 純</v>
      </c>
    </row>
    <row r="5337" spans="2:4" ht="13">
      <c r="B5337" s="12">
        <f ca="1">IFERROR(__xludf.DUMMYFUNCTION("""COMPUTED_VALUE"""),129748)</f>
        <v>129748</v>
      </c>
      <c r="C5337" s="14">
        <f ca="1">IFERROR(__xludf.DUMMYFUNCTION("""COMPUTED_VALUE"""),0)</f>
        <v>0</v>
      </c>
      <c r="D5337" s="12" t="str">
        <f ca="1">IFERROR(__xludf.DUMMYFUNCTION("""COMPUTED_VALUE"""),"松尾 尚樹")</f>
        <v>松尾 尚樹</v>
      </c>
    </row>
    <row r="5338" spans="2:4" ht="13">
      <c r="B5338" s="12">
        <f ca="1">IFERROR(__xludf.DUMMYFUNCTION("""COMPUTED_VALUE"""),129750)</f>
        <v>129750</v>
      </c>
      <c r="C5338" s="14">
        <f ca="1">IFERROR(__xludf.DUMMYFUNCTION("""COMPUTED_VALUE"""),54)</f>
        <v>54</v>
      </c>
      <c r="D5338" s="12" t="str">
        <f ca="1">IFERROR(__xludf.DUMMYFUNCTION("""COMPUTED_VALUE"""),"小川 純")</f>
        <v>小川 純</v>
      </c>
    </row>
    <row r="5339" spans="2:4" ht="13">
      <c r="B5339" s="12">
        <f ca="1">IFERROR(__xludf.DUMMYFUNCTION("""COMPUTED_VALUE"""),129759)</f>
        <v>129759</v>
      </c>
      <c r="C5339" s="14">
        <f ca="1">IFERROR(__xludf.DUMMYFUNCTION("""COMPUTED_VALUE"""),27)</f>
        <v>27</v>
      </c>
      <c r="D5339" s="12" t="str">
        <f ca="1">IFERROR(__xludf.DUMMYFUNCTION("""COMPUTED_VALUE"""),"小川 純")</f>
        <v>小川 純</v>
      </c>
    </row>
    <row r="5340" spans="2:4" ht="13">
      <c r="B5340" s="12">
        <f ca="1">IFERROR(__xludf.DUMMYFUNCTION("""COMPUTED_VALUE"""),129764)</f>
        <v>129764</v>
      </c>
      <c r="C5340" s="14">
        <f ca="1">IFERROR(__xludf.DUMMYFUNCTION("""COMPUTED_VALUE"""),0)</f>
        <v>0</v>
      </c>
      <c r="D5340" s="12" t="str">
        <f ca="1">IFERROR(__xludf.DUMMYFUNCTION("""COMPUTED_VALUE"""),"村上 浩一朗")</f>
        <v>村上 浩一朗</v>
      </c>
    </row>
    <row r="5341" spans="2:4" ht="13">
      <c r="B5341" s="12">
        <f ca="1">IFERROR(__xludf.DUMMYFUNCTION("""COMPUTED_VALUE"""),129769)</f>
        <v>129769</v>
      </c>
      <c r="C5341" s="14">
        <f ca="1">IFERROR(__xludf.DUMMYFUNCTION("""COMPUTED_VALUE"""),0)</f>
        <v>0</v>
      </c>
      <c r="D5341" s="12" t="str">
        <f ca="1">IFERROR(__xludf.DUMMYFUNCTION("""COMPUTED_VALUE"""),"川島 幹也")</f>
        <v>川島 幹也</v>
      </c>
    </row>
    <row r="5342" spans="2:4" ht="13">
      <c r="B5342" s="12">
        <f ca="1">IFERROR(__xludf.DUMMYFUNCTION("""COMPUTED_VALUE"""),129774)</f>
        <v>129774</v>
      </c>
      <c r="C5342" s="14">
        <f ca="1">IFERROR(__xludf.DUMMYFUNCTION("""COMPUTED_VALUE"""),2)</f>
        <v>2</v>
      </c>
      <c r="D5342" s="12" t="str">
        <f ca="1">IFERROR(__xludf.DUMMYFUNCTION("""COMPUTED_VALUE"""),"菅野 ぎんが")</f>
        <v>菅野 ぎんが</v>
      </c>
    </row>
    <row r="5343" spans="2:4" ht="13">
      <c r="B5343" s="12">
        <f ca="1">IFERROR(__xludf.DUMMYFUNCTION("""COMPUTED_VALUE"""),129777)</f>
        <v>129777</v>
      </c>
      <c r="C5343" s="14">
        <f ca="1">IFERROR(__xludf.DUMMYFUNCTION("""COMPUTED_VALUE"""),0)</f>
        <v>0</v>
      </c>
      <c r="D5343" s="12" t="str">
        <f ca="1">IFERROR(__xludf.DUMMYFUNCTION("""COMPUTED_VALUE"""),"成嶋 夏未")</f>
        <v>成嶋 夏未</v>
      </c>
    </row>
    <row r="5344" spans="2:4" ht="13">
      <c r="B5344" s="12">
        <f ca="1">IFERROR(__xludf.DUMMYFUNCTION("""COMPUTED_VALUE"""),129779)</f>
        <v>129779</v>
      </c>
      <c r="C5344" s="14">
        <f ca="1">IFERROR(__xludf.DUMMYFUNCTION("""COMPUTED_VALUE"""),2)</f>
        <v>2</v>
      </c>
      <c r="D5344" s="12" t="str">
        <f ca="1">IFERROR(__xludf.DUMMYFUNCTION("""COMPUTED_VALUE"""),"菅野 ぎんが")</f>
        <v>菅野 ぎんが</v>
      </c>
    </row>
    <row r="5345" spans="2:4" ht="13">
      <c r="B5345" s="12">
        <f ca="1">IFERROR(__xludf.DUMMYFUNCTION("""COMPUTED_VALUE"""),129790)</f>
        <v>129790</v>
      </c>
      <c r="C5345" s="14">
        <f ca="1">IFERROR(__xludf.DUMMYFUNCTION("""COMPUTED_VALUE"""),6)</f>
        <v>6</v>
      </c>
      <c r="D5345" s="12" t="str">
        <f ca="1">IFERROR(__xludf.DUMMYFUNCTION("""COMPUTED_VALUE"""),"菅野 ぎんが")</f>
        <v>菅野 ぎんが</v>
      </c>
    </row>
    <row r="5346" spans="2:4" ht="13">
      <c r="B5346" s="12">
        <f ca="1">IFERROR(__xludf.DUMMYFUNCTION("""COMPUTED_VALUE"""),129797)</f>
        <v>129797</v>
      </c>
      <c r="C5346" s="14">
        <f ca="1">IFERROR(__xludf.DUMMYFUNCTION("""COMPUTED_VALUE"""),0)</f>
        <v>0</v>
      </c>
      <c r="D5346" s="12" t="str">
        <f ca="1">IFERROR(__xludf.DUMMYFUNCTION("""COMPUTED_VALUE"""),"桑原 明子")</f>
        <v>桑原 明子</v>
      </c>
    </row>
    <row r="5347" spans="2:4" ht="13">
      <c r="B5347" s="12">
        <f ca="1">IFERROR(__xludf.DUMMYFUNCTION("""COMPUTED_VALUE"""),129808)</f>
        <v>129808</v>
      </c>
      <c r="C5347" s="14">
        <f ca="1">IFERROR(__xludf.DUMMYFUNCTION("""COMPUTED_VALUE"""),0)</f>
        <v>0</v>
      </c>
      <c r="D5347" s="12" t="str">
        <f ca="1">IFERROR(__xludf.DUMMYFUNCTION("""COMPUTED_VALUE"""),"小川 純")</f>
        <v>小川 純</v>
      </c>
    </row>
    <row r="5348" spans="2:4" ht="13">
      <c r="B5348" s="12">
        <f ca="1">IFERROR(__xludf.DUMMYFUNCTION("""COMPUTED_VALUE"""),129810)</f>
        <v>129810</v>
      </c>
      <c r="C5348" s="14">
        <f ca="1">IFERROR(__xludf.DUMMYFUNCTION("""COMPUTED_VALUE"""),3)</f>
        <v>3</v>
      </c>
      <c r="D5348" s="12" t="str">
        <f ca="1">IFERROR(__xludf.DUMMYFUNCTION("""COMPUTED_VALUE"""),"松尾 尚樹")</f>
        <v>松尾 尚樹</v>
      </c>
    </row>
    <row r="5349" spans="2:4" ht="13">
      <c r="B5349" s="12">
        <f ca="1">IFERROR(__xludf.DUMMYFUNCTION("""COMPUTED_VALUE"""),129814)</f>
        <v>129814</v>
      </c>
      <c r="C5349" s="14">
        <f ca="1">IFERROR(__xludf.DUMMYFUNCTION("""COMPUTED_VALUE"""),1)</f>
        <v>1</v>
      </c>
      <c r="D5349" s="12" t="str">
        <f ca="1">IFERROR(__xludf.DUMMYFUNCTION("""COMPUTED_VALUE"""),"成嶋 夏未")</f>
        <v>成嶋 夏未</v>
      </c>
    </row>
    <row r="5350" spans="2:4" ht="13">
      <c r="B5350" s="12">
        <f ca="1">IFERROR(__xludf.DUMMYFUNCTION("""COMPUTED_VALUE"""),129821)</f>
        <v>129821</v>
      </c>
      <c r="C5350" s="14">
        <f ca="1">IFERROR(__xludf.DUMMYFUNCTION("""COMPUTED_VALUE"""),0)</f>
        <v>0</v>
      </c>
      <c r="D5350" s="12" t="str">
        <f ca="1">IFERROR(__xludf.DUMMYFUNCTION("""COMPUTED_VALUE"""),"小関 麻起")</f>
        <v>小関 麻起</v>
      </c>
    </row>
    <row r="5351" spans="2:4" ht="13">
      <c r="B5351" s="12">
        <f ca="1">IFERROR(__xludf.DUMMYFUNCTION("""COMPUTED_VALUE"""),129824)</f>
        <v>129824</v>
      </c>
      <c r="C5351" s="14">
        <f ca="1">IFERROR(__xludf.DUMMYFUNCTION("""COMPUTED_VALUE"""),1)</f>
        <v>1</v>
      </c>
      <c r="D5351" s="12" t="str">
        <f ca="1">IFERROR(__xludf.DUMMYFUNCTION("""COMPUTED_VALUE"""),"堀越 駿")</f>
        <v>堀越 駿</v>
      </c>
    </row>
    <row r="5352" spans="2:4" ht="13">
      <c r="B5352" s="12">
        <f ca="1">IFERROR(__xludf.DUMMYFUNCTION("""COMPUTED_VALUE"""),129831)</f>
        <v>129831</v>
      </c>
      <c r="C5352" s="14">
        <f ca="1">IFERROR(__xludf.DUMMYFUNCTION("""COMPUTED_VALUE"""),0)</f>
        <v>0</v>
      </c>
      <c r="D5352" s="12" t="str">
        <f ca="1">IFERROR(__xludf.DUMMYFUNCTION("""COMPUTED_VALUE"""),"川島 幹也")</f>
        <v>川島 幹也</v>
      </c>
    </row>
    <row r="5353" spans="2:4" ht="13">
      <c r="B5353" s="12">
        <f ca="1">IFERROR(__xludf.DUMMYFUNCTION("""COMPUTED_VALUE"""),129832)</f>
        <v>129832</v>
      </c>
      <c r="C5353" s="14">
        <f ca="1">IFERROR(__xludf.DUMMYFUNCTION("""COMPUTED_VALUE"""),0)</f>
        <v>0</v>
      </c>
      <c r="D5353" s="12" t="str">
        <f ca="1">IFERROR(__xludf.DUMMYFUNCTION("""COMPUTED_VALUE"""),"栗原 大武")</f>
        <v>栗原 大武</v>
      </c>
    </row>
    <row r="5354" spans="2:4" ht="13">
      <c r="B5354" s="12">
        <f ca="1">IFERROR(__xludf.DUMMYFUNCTION("""COMPUTED_VALUE"""),129834)</f>
        <v>129834</v>
      </c>
      <c r="C5354" s="14">
        <f ca="1">IFERROR(__xludf.DUMMYFUNCTION("""COMPUTED_VALUE"""),0)</f>
        <v>0</v>
      </c>
      <c r="D5354" s="12" t="str">
        <f ca="1">IFERROR(__xludf.DUMMYFUNCTION("""COMPUTED_VALUE"""),"奥野 貴大")</f>
        <v>奥野 貴大</v>
      </c>
    </row>
    <row r="5355" spans="2:4" ht="13">
      <c r="B5355" s="12">
        <f ca="1">IFERROR(__xludf.DUMMYFUNCTION("""COMPUTED_VALUE"""),129841)</f>
        <v>129841</v>
      </c>
      <c r="C5355" s="14">
        <f ca="1">IFERROR(__xludf.DUMMYFUNCTION("""COMPUTED_VALUE"""),41)</f>
        <v>41</v>
      </c>
      <c r="D5355" s="12" t="str">
        <f ca="1">IFERROR(__xludf.DUMMYFUNCTION("""COMPUTED_VALUE"""),"小関 麻起")</f>
        <v>小関 麻起</v>
      </c>
    </row>
    <row r="5356" spans="2:4" ht="13">
      <c r="B5356" s="12">
        <f ca="1">IFERROR(__xludf.DUMMYFUNCTION("""COMPUTED_VALUE"""),129842)</f>
        <v>129842</v>
      </c>
      <c r="C5356" s="14">
        <f ca="1">IFERROR(__xludf.DUMMYFUNCTION("""COMPUTED_VALUE"""),41)</f>
        <v>41</v>
      </c>
      <c r="D5356" s="12" t="str">
        <f ca="1">IFERROR(__xludf.DUMMYFUNCTION("""COMPUTED_VALUE"""),"小関 麻起")</f>
        <v>小関 麻起</v>
      </c>
    </row>
    <row r="5357" spans="2:4" ht="13">
      <c r="B5357" s="12">
        <f ca="1">IFERROR(__xludf.DUMMYFUNCTION("""COMPUTED_VALUE"""),129843)</f>
        <v>129843</v>
      </c>
      <c r="C5357" s="14">
        <f ca="1">IFERROR(__xludf.DUMMYFUNCTION("""COMPUTED_VALUE"""),38)</f>
        <v>38</v>
      </c>
      <c r="D5357" s="12" t="str">
        <f ca="1">IFERROR(__xludf.DUMMYFUNCTION("""COMPUTED_VALUE"""),"小関 麻起")</f>
        <v>小関 麻起</v>
      </c>
    </row>
    <row r="5358" spans="2:4" ht="13">
      <c r="B5358" s="12">
        <f ca="1">IFERROR(__xludf.DUMMYFUNCTION("""COMPUTED_VALUE"""),129844)</f>
        <v>129844</v>
      </c>
      <c r="C5358" s="14">
        <f ca="1">IFERROR(__xludf.DUMMYFUNCTION("""COMPUTED_VALUE"""),37)</f>
        <v>37</v>
      </c>
      <c r="D5358" s="12" t="str">
        <f ca="1">IFERROR(__xludf.DUMMYFUNCTION("""COMPUTED_VALUE"""),"小関 麻起")</f>
        <v>小関 麻起</v>
      </c>
    </row>
    <row r="5359" spans="2:4" ht="13">
      <c r="B5359" s="12">
        <f ca="1">IFERROR(__xludf.DUMMYFUNCTION("""COMPUTED_VALUE"""),129845)</f>
        <v>129845</v>
      </c>
      <c r="C5359" s="14">
        <f ca="1">IFERROR(__xludf.DUMMYFUNCTION("""COMPUTED_VALUE"""),0)</f>
        <v>0</v>
      </c>
      <c r="D5359" s="12" t="str">
        <f ca="1">IFERROR(__xludf.DUMMYFUNCTION("""COMPUTED_VALUE"""),"小関 麻起")</f>
        <v>小関 麻起</v>
      </c>
    </row>
    <row r="5360" spans="2:4" ht="13">
      <c r="B5360" s="12">
        <f ca="1">IFERROR(__xludf.DUMMYFUNCTION("""COMPUTED_VALUE"""),129852)</f>
        <v>129852</v>
      </c>
      <c r="C5360" s="14">
        <f ca="1">IFERROR(__xludf.DUMMYFUNCTION("""COMPUTED_VALUE"""),0)</f>
        <v>0</v>
      </c>
      <c r="D5360" s="12" t="str">
        <f ca="1">IFERROR(__xludf.DUMMYFUNCTION("""COMPUTED_VALUE"""),"松尾 尚樹")</f>
        <v>松尾 尚樹</v>
      </c>
    </row>
    <row r="5361" spans="2:4" ht="13">
      <c r="B5361" s="12">
        <f ca="1">IFERROR(__xludf.DUMMYFUNCTION("""COMPUTED_VALUE"""),129853)</f>
        <v>129853</v>
      </c>
      <c r="C5361" s="14">
        <f ca="1">IFERROR(__xludf.DUMMYFUNCTION("""COMPUTED_VALUE"""),0)</f>
        <v>0</v>
      </c>
      <c r="D5361" s="12" t="str">
        <f ca="1">IFERROR(__xludf.DUMMYFUNCTION("""COMPUTED_VALUE"""),"菅野 ぎんが")</f>
        <v>菅野 ぎんが</v>
      </c>
    </row>
    <row r="5362" spans="2:4" ht="13">
      <c r="B5362" s="12">
        <f ca="1">IFERROR(__xludf.DUMMYFUNCTION("""COMPUTED_VALUE"""),129859)</f>
        <v>129859</v>
      </c>
      <c r="C5362" s="14">
        <f ca="1">IFERROR(__xludf.DUMMYFUNCTION("""COMPUTED_VALUE"""),1)</f>
        <v>1</v>
      </c>
      <c r="D5362" s="12" t="str">
        <f ca="1">IFERROR(__xludf.DUMMYFUNCTION("""COMPUTED_VALUE"""),"辻村 将大")</f>
        <v>辻村 将大</v>
      </c>
    </row>
    <row r="5363" spans="2:4" ht="13">
      <c r="B5363" s="12">
        <f ca="1">IFERROR(__xludf.DUMMYFUNCTION("""COMPUTED_VALUE"""),129864)</f>
        <v>129864</v>
      </c>
      <c r="C5363" s="14">
        <f ca="1">IFERROR(__xludf.DUMMYFUNCTION("""COMPUTED_VALUE"""),0)</f>
        <v>0</v>
      </c>
      <c r="D5363" s="12" t="str">
        <f ca="1">IFERROR(__xludf.DUMMYFUNCTION("""COMPUTED_VALUE"""),"栗原 大武")</f>
        <v>栗原 大武</v>
      </c>
    </row>
    <row r="5364" spans="2:4" ht="13">
      <c r="B5364" s="12">
        <f ca="1">IFERROR(__xludf.DUMMYFUNCTION("""COMPUTED_VALUE"""),129868)</f>
        <v>129868</v>
      </c>
      <c r="C5364" s="14">
        <f ca="1">IFERROR(__xludf.DUMMYFUNCTION("""COMPUTED_VALUE"""),8)</f>
        <v>8</v>
      </c>
      <c r="D5364" s="12" t="str">
        <f ca="1">IFERROR(__xludf.DUMMYFUNCTION("""COMPUTED_VALUE"""),"芳賀 亮輔")</f>
        <v>芳賀 亮輔</v>
      </c>
    </row>
    <row r="5365" spans="2:4" ht="13">
      <c r="B5365" s="12">
        <f ca="1">IFERROR(__xludf.DUMMYFUNCTION("""COMPUTED_VALUE"""),129869)</f>
        <v>129869</v>
      </c>
      <c r="C5365" s="14">
        <f ca="1">IFERROR(__xludf.DUMMYFUNCTION("""COMPUTED_VALUE"""),14)</f>
        <v>14</v>
      </c>
      <c r="D5365" s="12" t="str">
        <f ca="1">IFERROR(__xludf.DUMMYFUNCTION("""COMPUTED_VALUE"""),"芳賀 亮輔")</f>
        <v>芳賀 亮輔</v>
      </c>
    </row>
    <row r="5366" spans="2:4" ht="13">
      <c r="B5366" s="12">
        <f ca="1">IFERROR(__xludf.DUMMYFUNCTION("""COMPUTED_VALUE"""),129870)</f>
        <v>129870</v>
      </c>
      <c r="C5366" s="14">
        <f ca="1">IFERROR(__xludf.DUMMYFUNCTION("""COMPUTED_VALUE"""),2)</f>
        <v>2</v>
      </c>
      <c r="D5366" s="12" t="str">
        <f ca="1">IFERROR(__xludf.DUMMYFUNCTION("""COMPUTED_VALUE"""),"稲場 勇介")</f>
        <v>稲場 勇介</v>
      </c>
    </row>
    <row r="5367" spans="2:4" ht="13">
      <c r="B5367" s="12">
        <f ca="1">IFERROR(__xludf.DUMMYFUNCTION("""COMPUTED_VALUE"""),129873)</f>
        <v>129873</v>
      </c>
      <c r="C5367" s="14">
        <f ca="1">IFERROR(__xludf.DUMMYFUNCTION("""COMPUTED_VALUE"""),32)</f>
        <v>32</v>
      </c>
      <c r="D5367" s="12" t="str">
        <f ca="1">IFERROR(__xludf.DUMMYFUNCTION("""COMPUTED_VALUE"""),"小関 麻起")</f>
        <v>小関 麻起</v>
      </c>
    </row>
    <row r="5368" spans="2:4" ht="13">
      <c r="B5368" s="12">
        <f ca="1">IFERROR(__xludf.DUMMYFUNCTION("""COMPUTED_VALUE"""),129878)</f>
        <v>129878</v>
      </c>
      <c r="C5368" s="14">
        <f ca="1">IFERROR(__xludf.DUMMYFUNCTION("""COMPUTED_VALUE"""),0)</f>
        <v>0</v>
      </c>
      <c r="D5368" s="12" t="str">
        <f ca="1">IFERROR(__xludf.DUMMYFUNCTION("""COMPUTED_VALUE"""),"松尾 尚樹")</f>
        <v>松尾 尚樹</v>
      </c>
    </row>
    <row r="5369" spans="2:4" ht="13">
      <c r="B5369" s="12">
        <f ca="1">IFERROR(__xludf.DUMMYFUNCTION("""COMPUTED_VALUE"""),129884)</f>
        <v>129884</v>
      </c>
      <c r="C5369" s="14">
        <f ca="1">IFERROR(__xludf.DUMMYFUNCTION("""COMPUTED_VALUE"""),0)</f>
        <v>0</v>
      </c>
      <c r="D5369" s="12" t="str">
        <f ca="1">IFERROR(__xludf.DUMMYFUNCTION("""COMPUTED_VALUE"""),"栗原 大武")</f>
        <v>栗原 大武</v>
      </c>
    </row>
    <row r="5370" spans="2:4" ht="13">
      <c r="B5370" s="12">
        <f ca="1">IFERROR(__xludf.DUMMYFUNCTION("""COMPUTED_VALUE"""),129888)</f>
        <v>129888</v>
      </c>
      <c r="C5370" s="14">
        <f ca="1">IFERROR(__xludf.DUMMYFUNCTION("""COMPUTED_VALUE"""),0)</f>
        <v>0</v>
      </c>
      <c r="D5370" s="12" t="str">
        <f ca="1">IFERROR(__xludf.DUMMYFUNCTION("""COMPUTED_VALUE"""),"栗原 大武")</f>
        <v>栗原 大武</v>
      </c>
    </row>
    <row r="5371" spans="2:4" ht="13">
      <c r="B5371" s="12">
        <f ca="1">IFERROR(__xludf.DUMMYFUNCTION("""COMPUTED_VALUE"""),129900)</f>
        <v>129900</v>
      </c>
      <c r="C5371" s="14">
        <f ca="1">IFERROR(__xludf.DUMMYFUNCTION("""COMPUTED_VALUE"""),5)</f>
        <v>5</v>
      </c>
      <c r="D5371" s="12" t="str">
        <f ca="1">IFERROR(__xludf.DUMMYFUNCTION("""COMPUTED_VALUE"""),"栗原 大武")</f>
        <v>栗原 大武</v>
      </c>
    </row>
    <row r="5372" spans="2:4" ht="13">
      <c r="B5372" s="12">
        <f ca="1">IFERROR(__xludf.DUMMYFUNCTION("""COMPUTED_VALUE"""),129903)</f>
        <v>129903</v>
      </c>
      <c r="C5372" s="14">
        <f ca="1">IFERROR(__xludf.DUMMYFUNCTION("""COMPUTED_VALUE"""),0)</f>
        <v>0</v>
      </c>
      <c r="D5372" s="12" t="str">
        <f ca="1">IFERROR(__xludf.DUMMYFUNCTION("""COMPUTED_VALUE"""),"荻曽 克輝")</f>
        <v>荻曽 克輝</v>
      </c>
    </row>
    <row r="5373" spans="2:4" ht="13">
      <c r="B5373" s="12">
        <f ca="1">IFERROR(__xludf.DUMMYFUNCTION("""COMPUTED_VALUE"""),129906)</f>
        <v>129906</v>
      </c>
      <c r="C5373" s="14">
        <f ca="1">IFERROR(__xludf.DUMMYFUNCTION("""COMPUTED_VALUE"""),0)</f>
        <v>0</v>
      </c>
      <c r="D5373" s="12" t="str">
        <f ca="1">IFERROR(__xludf.DUMMYFUNCTION("""COMPUTED_VALUE"""),"辻村 将大")</f>
        <v>辻村 将大</v>
      </c>
    </row>
    <row r="5374" spans="2:4" ht="13">
      <c r="B5374" s="12">
        <f ca="1">IFERROR(__xludf.DUMMYFUNCTION("""COMPUTED_VALUE"""),129916)</f>
        <v>129916</v>
      </c>
      <c r="C5374" s="14">
        <f ca="1">IFERROR(__xludf.DUMMYFUNCTION("""COMPUTED_VALUE"""),48)</f>
        <v>48</v>
      </c>
      <c r="D5374" s="12" t="str">
        <f ca="1">IFERROR(__xludf.DUMMYFUNCTION("""COMPUTED_VALUE"""),"桐山 勝気")</f>
        <v>桐山 勝気</v>
      </c>
    </row>
    <row r="5375" spans="2:4" ht="13">
      <c r="B5375" s="12">
        <f ca="1">IFERROR(__xludf.DUMMYFUNCTION("""COMPUTED_VALUE"""),129929)</f>
        <v>129929</v>
      </c>
      <c r="C5375" s="14">
        <f ca="1">IFERROR(__xludf.DUMMYFUNCTION("""COMPUTED_VALUE"""),32)</f>
        <v>32</v>
      </c>
      <c r="D5375" s="12" t="str">
        <f ca="1">IFERROR(__xludf.DUMMYFUNCTION("""COMPUTED_VALUE"""),"桐山 勝気")</f>
        <v>桐山 勝気</v>
      </c>
    </row>
    <row r="5376" spans="2:4" ht="13">
      <c r="B5376" s="12">
        <f ca="1">IFERROR(__xludf.DUMMYFUNCTION("""COMPUTED_VALUE"""),129936)</f>
        <v>129936</v>
      </c>
      <c r="C5376" s="14">
        <f ca="1">IFERROR(__xludf.DUMMYFUNCTION("""COMPUTED_VALUE"""),1)</f>
        <v>1</v>
      </c>
      <c r="D5376" s="12" t="str">
        <f ca="1">IFERROR(__xludf.DUMMYFUNCTION("""COMPUTED_VALUE"""),"稲場 勇介")</f>
        <v>稲場 勇介</v>
      </c>
    </row>
    <row r="5377" spans="2:4" ht="13">
      <c r="B5377" s="12">
        <f ca="1">IFERROR(__xludf.DUMMYFUNCTION("""COMPUTED_VALUE"""),129939)</f>
        <v>129939</v>
      </c>
      <c r="C5377" s="14">
        <f ca="1">IFERROR(__xludf.DUMMYFUNCTION("""COMPUTED_VALUE"""),0)</f>
        <v>0</v>
      </c>
      <c r="D5377" s="12" t="str">
        <f ca="1">IFERROR(__xludf.DUMMYFUNCTION("""COMPUTED_VALUE"""),"小関 麻起")</f>
        <v>小関 麻起</v>
      </c>
    </row>
    <row r="5378" spans="2:4" ht="13">
      <c r="B5378" s="12">
        <f ca="1">IFERROR(__xludf.DUMMYFUNCTION("""COMPUTED_VALUE"""),129947)</f>
        <v>129947</v>
      </c>
      <c r="C5378" s="14">
        <f ca="1">IFERROR(__xludf.DUMMYFUNCTION("""COMPUTED_VALUE"""),37)</f>
        <v>37</v>
      </c>
      <c r="D5378" s="12" t="str">
        <f ca="1">IFERROR(__xludf.DUMMYFUNCTION("""COMPUTED_VALUE"""),"辻村 将大")</f>
        <v>辻村 将大</v>
      </c>
    </row>
    <row r="5379" spans="2:4" ht="13">
      <c r="B5379" s="12">
        <f ca="1">IFERROR(__xludf.DUMMYFUNCTION("""COMPUTED_VALUE"""),129952)</f>
        <v>129952</v>
      </c>
      <c r="C5379" s="14">
        <f ca="1">IFERROR(__xludf.DUMMYFUNCTION("""COMPUTED_VALUE"""),0)</f>
        <v>0</v>
      </c>
      <c r="D5379" s="12" t="str">
        <f ca="1">IFERROR(__xludf.DUMMYFUNCTION("""COMPUTED_VALUE"""),"老田 純輝")</f>
        <v>老田 純輝</v>
      </c>
    </row>
    <row r="5380" spans="2:4" ht="13">
      <c r="B5380" s="12">
        <f ca="1">IFERROR(__xludf.DUMMYFUNCTION("""COMPUTED_VALUE"""),129955)</f>
        <v>129955</v>
      </c>
      <c r="C5380" s="14">
        <f ca="1">IFERROR(__xludf.DUMMYFUNCTION("""COMPUTED_VALUE"""),0)</f>
        <v>0</v>
      </c>
      <c r="D5380" s="12" t="str">
        <f ca="1">IFERROR(__xludf.DUMMYFUNCTION("""COMPUTED_VALUE"""),"菅野 ぎんが")</f>
        <v>菅野 ぎんが</v>
      </c>
    </row>
    <row r="5381" spans="2:4" ht="13">
      <c r="B5381" s="12">
        <f ca="1">IFERROR(__xludf.DUMMYFUNCTION("""COMPUTED_VALUE"""),129956)</f>
        <v>129956</v>
      </c>
      <c r="C5381" s="14">
        <f ca="1">IFERROR(__xludf.DUMMYFUNCTION("""COMPUTED_VALUE"""),11)</f>
        <v>11</v>
      </c>
      <c r="D5381" s="12" t="str">
        <f ca="1">IFERROR(__xludf.DUMMYFUNCTION("""COMPUTED_VALUE"""),"芳賀 亮輔")</f>
        <v>芳賀 亮輔</v>
      </c>
    </row>
    <row r="5382" spans="2:4" ht="13">
      <c r="B5382" s="12">
        <f ca="1">IFERROR(__xludf.DUMMYFUNCTION("""COMPUTED_VALUE"""),129957)</f>
        <v>129957</v>
      </c>
      <c r="C5382" s="14">
        <f ca="1">IFERROR(__xludf.DUMMYFUNCTION("""COMPUTED_VALUE"""),2)</f>
        <v>2</v>
      </c>
      <c r="D5382" s="12" t="str">
        <f ca="1">IFERROR(__xludf.DUMMYFUNCTION("""COMPUTED_VALUE"""),"松尾 尚樹")</f>
        <v>松尾 尚樹</v>
      </c>
    </row>
    <row r="5383" spans="2:4" ht="13">
      <c r="B5383" s="12">
        <f ca="1">IFERROR(__xludf.DUMMYFUNCTION("""COMPUTED_VALUE"""),129960)</f>
        <v>129960</v>
      </c>
      <c r="C5383" s="14">
        <f ca="1">IFERROR(__xludf.DUMMYFUNCTION("""COMPUTED_VALUE"""),0)</f>
        <v>0</v>
      </c>
      <c r="D5383" s="12" t="str">
        <f ca="1">IFERROR(__xludf.DUMMYFUNCTION("""COMPUTED_VALUE"""),"小川 純")</f>
        <v>小川 純</v>
      </c>
    </row>
    <row r="5384" spans="2:4" ht="13">
      <c r="B5384" s="12">
        <f ca="1">IFERROR(__xludf.DUMMYFUNCTION("""COMPUTED_VALUE"""),129966)</f>
        <v>129966</v>
      </c>
      <c r="C5384" s="14">
        <f ca="1">IFERROR(__xludf.DUMMYFUNCTION("""COMPUTED_VALUE"""),9)</f>
        <v>9</v>
      </c>
      <c r="D5384" s="12" t="str">
        <f ca="1">IFERROR(__xludf.DUMMYFUNCTION("""COMPUTED_VALUE"""),"老田 純輝")</f>
        <v>老田 純輝</v>
      </c>
    </row>
    <row r="5385" spans="2:4" ht="13">
      <c r="B5385" s="12">
        <f ca="1">IFERROR(__xludf.DUMMYFUNCTION("""COMPUTED_VALUE"""),129973)</f>
        <v>129973</v>
      </c>
      <c r="C5385" s="14">
        <f ca="1">IFERROR(__xludf.DUMMYFUNCTION("""COMPUTED_VALUE"""),2)</f>
        <v>2</v>
      </c>
      <c r="D5385" s="12" t="str">
        <f ca="1">IFERROR(__xludf.DUMMYFUNCTION("""COMPUTED_VALUE"""),"松尾 尚樹")</f>
        <v>松尾 尚樹</v>
      </c>
    </row>
    <row r="5386" spans="2:4" ht="13">
      <c r="B5386" s="12">
        <f ca="1">IFERROR(__xludf.DUMMYFUNCTION("""COMPUTED_VALUE"""),129975)</f>
        <v>129975</v>
      </c>
      <c r="C5386" s="14">
        <f ca="1">IFERROR(__xludf.DUMMYFUNCTION("""COMPUTED_VALUE"""),3)</f>
        <v>3</v>
      </c>
      <c r="D5386" s="12" t="str">
        <f ca="1">IFERROR(__xludf.DUMMYFUNCTION("""COMPUTED_VALUE"""),"辻村 将大")</f>
        <v>辻村 将大</v>
      </c>
    </row>
    <row r="5387" spans="2:4" ht="13">
      <c r="B5387" s="12">
        <f ca="1">IFERROR(__xludf.DUMMYFUNCTION("""COMPUTED_VALUE"""),129983)</f>
        <v>129983</v>
      </c>
      <c r="C5387" s="14">
        <f ca="1">IFERROR(__xludf.DUMMYFUNCTION("""COMPUTED_VALUE"""),0)</f>
        <v>0</v>
      </c>
      <c r="D5387" s="12" t="str">
        <f ca="1">IFERROR(__xludf.DUMMYFUNCTION("""COMPUTED_VALUE"""),"小関 麻起")</f>
        <v>小関 麻起</v>
      </c>
    </row>
    <row r="5388" spans="2:4" ht="13">
      <c r="B5388" s="12">
        <f ca="1">IFERROR(__xludf.DUMMYFUNCTION("""COMPUTED_VALUE"""),129984)</f>
        <v>129984</v>
      </c>
      <c r="C5388" s="14">
        <f ca="1">IFERROR(__xludf.DUMMYFUNCTION("""COMPUTED_VALUE"""),19)</f>
        <v>19</v>
      </c>
      <c r="D5388" s="12" t="str">
        <f ca="1">IFERROR(__xludf.DUMMYFUNCTION("""COMPUTED_VALUE"""),"村上 浩一朗")</f>
        <v>村上 浩一朗</v>
      </c>
    </row>
    <row r="5389" spans="2:4" ht="13">
      <c r="B5389" s="12">
        <f ca="1">IFERROR(__xludf.DUMMYFUNCTION("""COMPUTED_VALUE"""),129986)</f>
        <v>129986</v>
      </c>
      <c r="C5389" s="14">
        <f ca="1">IFERROR(__xludf.DUMMYFUNCTION("""COMPUTED_VALUE"""),72)</f>
        <v>72</v>
      </c>
      <c r="D5389" s="12" t="str">
        <f ca="1">IFERROR(__xludf.DUMMYFUNCTION("""COMPUTED_VALUE"""),"柿崎 晃司")</f>
        <v>柿崎 晃司</v>
      </c>
    </row>
    <row r="5390" spans="2:4" ht="13">
      <c r="B5390" s="12">
        <f ca="1">IFERROR(__xludf.DUMMYFUNCTION("""COMPUTED_VALUE"""),129987)</f>
        <v>129987</v>
      </c>
      <c r="C5390" s="14">
        <f ca="1">IFERROR(__xludf.DUMMYFUNCTION("""COMPUTED_VALUE"""),11)</f>
        <v>11</v>
      </c>
      <c r="D5390" s="12" t="str">
        <f ca="1">IFERROR(__xludf.DUMMYFUNCTION("""COMPUTED_VALUE"""),"芳賀 亮輔")</f>
        <v>芳賀 亮輔</v>
      </c>
    </row>
    <row r="5391" spans="2:4" ht="13">
      <c r="B5391" s="12">
        <f ca="1">IFERROR(__xludf.DUMMYFUNCTION("""COMPUTED_VALUE"""),129989)</f>
        <v>129989</v>
      </c>
      <c r="C5391" s="14">
        <f ca="1">IFERROR(__xludf.DUMMYFUNCTION("""COMPUTED_VALUE"""),5)</f>
        <v>5</v>
      </c>
      <c r="D5391" s="12" t="str">
        <f ca="1">IFERROR(__xludf.DUMMYFUNCTION("""COMPUTED_VALUE"""),"荻曽 克輝")</f>
        <v>荻曽 克輝</v>
      </c>
    </row>
    <row r="5392" spans="2:4" ht="13">
      <c r="B5392" s="12">
        <f ca="1">IFERROR(__xludf.DUMMYFUNCTION("""COMPUTED_VALUE"""),129994)</f>
        <v>129994</v>
      </c>
      <c r="C5392" s="14">
        <f ca="1">IFERROR(__xludf.DUMMYFUNCTION("""COMPUTED_VALUE"""),14)</f>
        <v>14</v>
      </c>
      <c r="D5392" s="12" t="str">
        <f ca="1">IFERROR(__xludf.DUMMYFUNCTION("""COMPUTED_VALUE"""),"芳賀 亮輔")</f>
        <v>芳賀 亮輔</v>
      </c>
    </row>
    <row r="5393" spans="2:4" ht="13">
      <c r="B5393" s="12">
        <f ca="1">IFERROR(__xludf.DUMMYFUNCTION("""COMPUTED_VALUE"""),129995)</f>
        <v>129995</v>
      </c>
      <c r="C5393" s="14">
        <f ca="1">IFERROR(__xludf.DUMMYFUNCTION("""COMPUTED_VALUE"""),15)</f>
        <v>15</v>
      </c>
      <c r="D5393" s="12" t="str">
        <f ca="1">IFERROR(__xludf.DUMMYFUNCTION("""COMPUTED_VALUE"""),"芳賀 亮輔")</f>
        <v>芳賀 亮輔</v>
      </c>
    </row>
    <row r="5394" spans="2:4" ht="13">
      <c r="B5394" s="12">
        <f ca="1">IFERROR(__xludf.DUMMYFUNCTION("""COMPUTED_VALUE"""),129998)</f>
        <v>129998</v>
      </c>
      <c r="C5394" s="14">
        <f ca="1">IFERROR(__xludf.DUMMYFUNCTION("""COMPUTED_VALUE"""),62)</f>
        <v>62</v>
      </c>
      <c r="D5394" s="12" t="str">
        <f ca="1">IFERROR(__xludf.DUMMYFUNCTION("""COMPUTED_VALUE"""),"芳賀 亮輔")</f>
        <v>芳賀 亮輔</v>
      </c>
    </row>
    <row r="5395" spans="2:4" ht="13">
      <c r="B5395" s="12">
        <f ca="1">IFERROR(__xludf.DUMMYFUNCTION("""COMPUTED_VALUE"""),130002)</f>
        <v>130002</v>
      </c>
      <c r="C5395" s="14">
        <f ca="1">IFERROR(__xludf.DUMMYFUNCTION("""COMPUTED_VALUE"""),21)</f>
        <v>21</v>
      </c>
      <c r="D5395" s="12" t="str">
        <f ca="1">IFERROR(__xludf.DUMMYFUNCTION("""COMPUTED_VALUE"""),"芳賀 亮輔")</f>
        <v>芳賀 亮輔</v>
      </c>
    </row>
    <row r="5396" spans="2:4" ht="13">
      <c r="B5396" s="12">
        <f ca="1">IFERROR(__xludf.DUMMYFUNCTION("""COMPUTED_VALUE"""),130004)</f>
        <v>130004</v>
      </c>
      <c r="C5396" s="14">
        <f ca="1">IFERROR(__xludf.DUMMYFUNCTION("""COMPUTED_VALUE"""),12)</f>
        <v>12</v>
      </c>
      <c r="D5396" s="12" t="str">
        <f ca="1">IFERROR(__xludf.DUMMYFUNCTION("""COMPUTED_VALUE"""),"芳賀 亮輔")</f>
        <v>芳賀 亮輔</v>
      </c>
    </row>
    <row r="5397" spans="2:4" ht="13">
      <c r="B5397" s="12">
        <f ca="1">IFERROR(__xludf.DUMMYFUNCTION("""COMPUTED_VALUE"""),130006)</f>
        <v>130006</v>
      </c>
      <c r="C5397" s="14">
        <f ca="1">IFERROR(__xludf.DUMMYFUNCTION("""COMPUTED_VALUE"""),14)</f>
        <v>14</v>
      </c>
      <c r="D5397" s="12" t="str">
        <f ca="1">IFERROR(__xludf.DUMMYFUNCTION("""COMPUTED_VALUE"""),"芳賀 亮輔")</f>
        <v>芳賀 亮輔</v>
      </c>
    </row>
    <row r="5398" spans="2:4" ht="13">
      <c r="B5398" s="12">
        <f ca="1">IFERROR(__xludf.DUMMYFUNCTION("""COMPUTED_VALUE"""),130016)</f>
        <v>130016</v>
      </c>
      <c r="C5398" s="14">
        <f ca="1">IFERROR(__xludf.DUMMYFUNCTION("""COMPUTED_VALUE"""),0)</f>
        <v>0</v>
      </c>
      <c r="D5398" s="12" t="str">
        <f ca="1">IFERROR(__xludf.DUMMYFUNCTION("""COMPUTED_VALUE"""),"松尾 尚樹")</f>
        <v>松尾 尚樹</v>
      </c>
    </row>
    <row r="5399" spans="2:4" ht="13">
      <c r="B5399" s="12">
        <f ca="1">IFERROR(__xludf.DUMMYFUNCTION("""COMPUTED_VALUE"""),130026)</f>
        <v>130026</v>
      </c>
      <c r="C5399" s="14">
        <f ca="1">IFERROR(__xludf.DUMMYFUNCTION("""COMPUTED_VALUE"""),0)</f>
        <v>0</v>
      </c>
      <c r="D5399" s="12" t="str">
        <f ca="1">IFERROR(__xludf.DUMMYFUNCTION("""COMPUTED_VALUE"""),"小川 純")</f>
        <v>小川 純</v>
      </c>
    </row>
    <row r="5400" spans="2:4" ht="13">
      <c r="B5400" s="12">
        <f ca="1">IFERROR(__xludf.DUMMYFUNCTION("""COMPUTED_VALUE"""),130028)</f>
        <v>130028</v>
      </c>
      <c r="C5400" s="14">
        <f ca="1">IFERROR(__xludf.DUMMYFUNCTION("""COMPUTED_VALUE"""),0)</f>
        <v>0</v>
      </c>
      <c r="D5400" s="12" t="str">
        <f ca="1">IFERROR(__xludf.DUMMYFUNCTION("""COMPUTED_VALUE"""),"小川 純")</f>
        <v>小川 純</v>
      </c>
    </row>
    <row r="5401" spans="2:4" ht="13">
      <c r="B5401" s="12">
        <f ca="1">IFERROR(__xludf.DUMMYFUNCTION("""COMPUTED_VALUE"""),130029)</f>
        <v>130029</v>
      </c>
      <c r="C5401" s="14">
        <f ca="1">IFERROR(__xludf.DUMMYFUNCTION("""COMPUTED_VALUE"""),0)</f>
        <v>0</v>
      </c>
      <c r="D5401" s="12" t="str">
        <f ca="1">IFERROR(__xludf.DUMMYFUNCTION("""COMPUTED_VALUE"""),"小川 純")</f>
        <v>小川 純</v>
      </c>
    </row>
    <row r="5402" spans="2:4" ht="13">
      <c r="B5402" s="12">
        <f ca="1">IFERROR(__xludf.DUMMYFUNCTION("""COMPUTED_VALUE"""),130030)</f>
        <v>130030</v>
      </c>
      <c r="C5402" s="14">
        <f ca="1">IFERROR(__xludf.DUMMYFUNCTION("""COMPUTED_VALUE"""),0)</f>
        <v>0</v>
      </c>
      <c r="D5402" s="12" t="str">
        <f ca="1">IFERROR(__xludf.DUMMYFUNCTION("""COMPUTED_VALUE"""),"小川 純")</f>
        <v>小川 純</v>
      </c>
    </row>
    <row r="5403" spans="2:4" ht="13">
      <c r="B5403" s="12">
        <f ca="1">IFERROR(__xludf.DUMMYFUNCTION("""COMPUTED_VALUE"""),130031)</f>
        <v>130031</v>
      </c>
      <c r="C5403" s="14">
        <f ca="1">IFERROR(__xludf.DUMMYFUNCTION("""COMPUTED_VALUE"""),0)</f>
        <v>0</v>
      </c>
      <c r="D5403" s="12" t="str">
        <f ca="1">IFERROR(__xludf.DUMMYFUNCTION("""COMPUTED_VALUE"""),"小川 純")</f>
        <v>小川 純</v>
      </c>
    </row>
    <row r="5404" spans="2:4" ht="13">
      <c r="B5404" s="12">
        <f ca="1">IFERROR(__xludf.DUMMYFUNCTION("""COMPUTED_VALUE"""),130032)</f>
        <v>130032</v>
      </c>
      <c r="C5404" s="14">
        <f ca="1">IFERROR(__xludf.DUMMYFUNCTION("""COMPUTED_VALUE"""),0)</f>
        <v>0</v>
      </c>
      <c r="D5404" s="12" t="str">
        <f ca="1">IFERROR(__xludf.DUMMYFUNCTION("""COMPUTED_VALUE"""),"小川 純")</f>
        <v>小川 純</v>
      </c>
    </row>
    <row r="5405" spans="2:4" ht="13">
      <c r="B5405" s="12">
        <f ca="1">IFERROR(__xludf.DUMMYFUNCTION("""COMPUTED_VALUE"""),130033)</f>
        <v>130033</v>
      </c>
      <c r="C5405" s="14">
        <f ca="1">IFERROR(__xludf.DUMMYFUNCTION("""COMPUTED_VALUE"""),0)</f>
        <v>0</v>
      </c>
      <c r="D5405" s="12" t="str">
        <f ca="1">IFERROR(__xludf.DUMMYFUNCTION("""COMPUTED_VALUE"""),"小川 純")</f>
        <v>小川 純</v>
      </c>
    </row>
    <row r="5406" spans="2:4" ht="13">
      <c r="B5406" s="12">
        <f ca="1">IFERROR(__xludf.DUMMYFUNCTION("""COMPUTED_VALUE"""),130034)</f>
        <v>130034</v>
      </c>
      <c r="C5406" s="14">
        <f ca="1">IFERROR(__xludf.DUMMYFUNCTION("""COMPUTED_VALUE"""),0)</f>
        <v>0</v>
      </c>
      <c r="D5406" s="12" t="str">
        <f ca="1">IFERROR(__xludf.DUMMYFUNCTION("""COMPUTED_VALUE"""),"小川 純")</f>
        <v>小川 純</v>
      </c>
    </row>
    <row r="5407" spans="2:4" ht="13">
      <c r="B5407" s="12">
        <f ca="1">IFERROR(__xludf.DUMMYFUNCTION("""COMPUTED_VALUE"""),130035)</f>
        <v>130035</v>
      </c>
      <c r="C5407" s="14">
        <f ca="1">IFERROR(__xludf.DUMMYFUNCTION("""COMPUTED_VALUE"""),0)</f>
        <v>0</v>
      </c>
      <c r="D5407" s="12" t="str">
        <f ca="1">IFERROR(__xludf.DUMMYFUNCTION("""COMPUTED_VALUE"""),"小川 純")</f>
        <v>小川 純</v>
      </c>
    </row>
    <row r="5408" spans="2:4" ht="13">
      <c r="B5408" s="12">
        <f ca="1">IFERROR(__xludf.DUMMYFUNCTION("""COMPUTED_VALUE"""),130043)</f>
        <v>130043</v>
      </c>
      <c r="C5408" s="14">
        <f ca="1">IFERROR(__xludf.DUMMYFUNCTION("""COMPUTED_VALUE"""),0)</f>
        <v>0</v>
      </c>
      <c r="D5408" s="12" t="str">
        <f ca="1">IFERROR(__xludf.DUMMYFUNCTION("""COMPUTED_VALUE"""),"川島 幹也")</f>
        <v>川島 幹也</v>
      </c>
    </row>
    <row r="5409" spans="2:4" ht="13">
      <c r="B5409" s="12">
        <f ca="1">IFERROR(__xludf.DUMMYFUNCTION("""COMPUTED_VALUE"""),130052)</f>
        <v>130052</v>
      </c>
      <c r="C5409" s="14">
        <f ca="1">IFERROR(__xludf.DUMMYFUNCTION("""COMPUTED_VALUE"""),0)</f>
        <v>0</v>
      </c>
      <c r="D5409" s="12" t="str">
        <f ca="1">IFERROR(__xludf.DUMMYFUNCTION("""COMPUTED_VALUE"""),"森 光智")</f>
        <v>森 光智</v>
      </c>
    </row>
    <row r="5410" spans="2:4" ht="13">
      <c r="B5410" s="12">
        <f ca="1">IFERROR(__xludf.DUMMYFUNCTION("""COMPUTED_VALUE"""),130060)</f>
        <v>130060</v>
      </c>
      <c r="C5410" s="14">
        <f ca="1">IFERROR(__xludf.DUMMYFUNCTION("""COMPUTED_VALUE"""),1)</f>
        <v>1</v>
      </c>
      <c r="D5410" s="12" t="str">
        <f ca="1">IFERROR(__xludf.DUMMYFUNCTION("""COMPUTED_VALUE"""),"荻曽 克輝")</f>
        <v>荻曽 克輝</v>
      </c>
    </row>
    <row r="5411" spans="2:4" ht="13">
      <c r="B5411" s="12">
        <f ca="1">IFERROR(__xludf.DUMMYFUNCTION("""COMPUTED_VALUE"""),130063)</f>
        <v>130063</v>
      </c>
      <c r="C5411" s="14">
        <f ca="1">IFERROR(__xludf.DUMMYFUNCTION("""COMPUTED_VALUE"""),1)</f>
        <v>1</v>
      </c>
      <c r="D5411" s="12" t="str">
        <f ca="1">IFERROR(__xludf.DUMMYFUNCTION("""COMPUTED_VALUE"""),"荻曽 克輝")</f>
        <v>荻曽 克輝</v>
      </c>
    </row>
    <row r="5412" spans="2:4" ht="13">
      <c r="B5412" s="12">
        <f ca="1">IFERROR(__xludf.DUMMYFUNCTION("""COMPUTED_VALUE"""),130066)</f>
        <v>130066</v>
      </c>
      <c r="C5412" s="14">
        <f ca="1">IFERROR(__xludf.DUMMYFUNCTION("""COMPUTED_VALUE"""),0)</f>
        <v>0</v>
      </c>
      <c r="D5412" s="12" t="str">
        <f ca="1">IFERROR(__xludf.DUMMYFUNCTION("""COMPUTED_VALUE"""),"老田 純輝")</f>
        <v>老田 純輝</v>
      </c>
    </row>
    <row r="5413" spans="2:4" ht="13">
      <c r="B5413" s="12">
        <f ca="1">IFERROR(__xludf.DUMMYFUNCTION("""COMPUTED_VALUE"""),130067)</f>
        <v>130067</v>
      </c>
      <c r="C5413" s="14">
        <f ca="1">IFERROR(__xludf.DUMMYFUNCTION("""COMPUTED_VALUE"""),17)</f>
        <v>17</v>
      </c>
      <c r="D5413" s="12" t="str">
        <f ca="1">IFERROR(__xludf.DUMMYFUNCTION("""COMPUTED_VALUE"""),"辻村 将大")</f>
        <v>辻村 将大</v>
      </c>
    </row>
    <row r="5414" spans="2:4" ht="13">
      <c r="B5414" s="12">
        <f ca="1">IFERROR(__xludf.DUMMYFUNCTION("""COMPUTED_VALUE"""),130076)</f>
        <v>130076</v>
      </c>
      <c r="C5414" s="14">
        <f ca="1">IFERROR(__xludf.DUMMYFUNCTION("""COMPUTED_VALUE"""),0)</f>
        <v>0</v>
      </c>
      <c r="D5414" s="12" t="str">
        <f ca="1">IFERROR(__xludf.DUMMYFUNCTION("""COMPUTED_VALUE"""),"村上 浩一朗")</f>
        <v>村上 浩一朗</v>
      </c>
    </row>
    <row r="5415" spans="2:4" ht="13">
      <c r="B5415" s="12">
        <f ca="1">IFERROR(__xludf.DUMMYFUNCTION("""COMPUTED_VALUE"""),130077)</f>
        <v>130077</v>
      </c>
      <c r="C5415" s="14">
        <f ca="1">IFERROR(__xludf.DUMMYFUNCTION("""COMPUTED_VALUE"""),0)</f>
        <v>0</v>
      </c>
      <c r="D5415" s="12" t="str">
        <f ca="1">IFERROR(__xludf.DUMMYFUNCTION("""COMPUTED_VALUE"""),"村上 浩一朗")</f>
        <v>村上 浩一朗</v>
      </c>
    </row>
    <row r="5416" spans="2:4" ht="13">
      <c r="B5416" s="12">
        <f ca="1">IFERROR(__xludf.DUMMYFUNCTION("""COMPUTED_VALUE"""),130080)</f>
        <v>130080</v>
      </c>
      <c r="C5416" s="14">
        <f ca="1">IFERROR(__xludf.DUMMYFUNCTION("""COMPUTED_VALUE"""),0)</f>
        <v>0</v>
      </c>
      <c r="D5416" s="12" t="str">
        <f ca="1">IFERROR(__xludf.DUMMYFUNCTION("""COMPUTED_VALUE"""),"老田 純輝")</f>
        <v>老田 純輝</v>
      </c>
    </row>
    <row r="5417" spans="2:4" ht="13">
      <c r="B5417" s="12">
        <f ca="1">IFERROR(__xludf.DUMMYFUNCTION("""COMPUTED_VALUE"""),130083)</f>
        <v>130083</v>
      </c>
      <c r="C5417" s="14">
        <f ca="1">IFERROR(__xludf.DUMMYFUNCTION("""COMPUTED_VALUE"""),0)</f>
        <v>0</v>
      </c>
      <c r="D5417" s="12" t="str">
        <f ca="1">IFERROR(__xludf.DUMMYFUNCTION("""COMPUTED_VALUE"""),"芳賀 亮輔")</f>
        <v>芳賀 亮輔</v>
      </c>
    </row>
    <row r="5418" spans="2:4" ht="13">
      <c r="B5418" s="12">
        <f ca="1">IFERROR(__xludf.DUMMYFUNCTION("""COMPUTED_VALUE"""),130088)</f>
        <v>130088</v>
      </c>
      <c r="C5418" s="14">
        <f ca="1">IFERROR(__xludf.DUMMYFUNCTION("""COMPUTED_VALUE"""),0)</f>
        <v>0</v>
      </c>
      <c r="D5418" s="12" t="str">
        <f ca="1">IFERROR(__xludf.DUMMYFUNCTION("""COMPUTED_VALUE"""),"菅野 ぎんが")</f>
        <v>菅野 ぎんが</v>
      </c>
    </row>
    <row r="5419" spans="2:4" ht="13">
      <c r="B5419" s="12">
        <f ca="1">IFERROR(__xludf.DUMMYFUNCTION("""COMPUTED_VALUE"""),130094)</f>
        <v>130094</v>
      </c>
      <c r="C5419" s="14">
        <f ca="1">IFERROR(__xludf.DUMMYFUNCTION("""COMPUTED_VALUE"""),2)</f>
        <v>2</v>
      </c>
      <c r="D5419" s="12" t="str">
        <f ca="1">IFERROR(__xludf.DUMMYFUNCTION("""COMPUTED_VALUE"""),"稲場 勇介")</f>
        <v>稲場 勇介</v>
      </c>
    </row>
    <row r="5420" spans="2:4" ht="13">
      <c r="B5420" s="12">
        <f ca="1">IFERROR(__xludf.DUMMYFUNCTION("""COMPUTED_VALUE"""),130096)</f>
        <v>130096</v>
      </c>
      <c r="C5420" s="14">
        <f ca="1">IFERROR(__xludf.DUMMYFUNCTION("""COMPUTED_VALUE"""),1)</f>
        <v>1</v>
      </c>
      <c r="D5420" s="12" t="str">
        <f ca="1">IFERROR(__xludf.DUMMYFUNCTION("""COMPUTED_VALUE"""),"菅野 ぎんが")</f>
        <v>菅野 ぎんが</v>
      </c>
    </row>
    <row r="5421" spans="2:4" ht="13">
      <c r="B5421" s="12">
        <f ca="1">IFERROR(__xludf.DUMMYFUNCTION("""COMPUTED_VALUE"""),130107)</f>
        <v>130107</v>
      </c>
      <c r="C5421" s="14">
        <f ca="1">IFERROR(__xludf.DUMMYFUNCTION("""COMPUTED_VALUE"""),3)</f>
        <v>3</v>
      </c>
      <c r="D5421" s="12" t="str">
        <f ca="1">IFERROR(__xludf.DUMMYFUNCTION("""COMPUTED_VALUE"""),"小川 純")</f>
        <v>小川 純</v>
      </c>
    </row>
    <row r="5422" spans="2:4" ht="13">
      <c r="B5422" s="12">
        <f ca="1">IFERROR(__xludf.DUMMYFUNCTION("""COMPUTED_VALUE"""),130109)</f>
        <v>130109</v>
      </c>
      <c r="C5422" s="14">
        <f ca="1">IFERROR(__xludf.DUMMYFUNCTION("""COMPUTED_VALUE"""),22)</f>
        <v>22</v>
      </c>
      <c r="D5422" s="12" t="str">
        <f ca="1">IFERROR(__xludf.DUMMYFUNCTION("""COMPUTED_VALUE"""),"森 光智")</f>
        <v>森 光智</v>
      </c>
    </row>
    <row r="5423" spans="2:4" ht="13">
      <c r="B5423" s="12">
        <f ca="1">IFERROR(__xludf.DUMMYFUNCTION("""COMPUTED_VALUE"""),130110)</f>
        <v>130110</v>
      </c>
      <c r="C5423" s="14">
        <f ca="1">IFERROR(__xludf.DUMMYFUNCTION("""COMPUTED_VALUE"""),20)</f>
        <v>20</v>
      </c>
      <c r="D5423" s="12" t="str">
        <f ca="1">IFERROR(__xludf.DUMMYFUNCTION("""COMPUTED_VALUE"""),"森 光智")</f>
        <v>森 光智</v>
      </c>
    </row>
    <row r="5424" spans="2:4" ht="13">
      <c r="B5424" s="12">
        <f ca="1">IFERROR(__xludf.DUMMYFUNCTION("""COMPUTED_VALUE"""),130112)</f>
        <v>130112</v>
      </c>
      <c r="C5424" s="14">
        <f ca="1">IFERROR(__xludf.DUMMYFUNCTION("""COMPUTED_VALUE"""),12)</f>
        <v>12</v>
      </c>
      <c r="D5424" s="12" t="str">
        <f ca="1">IFERROR(__xludf.DUMMYFUNCTION("""COMPUTED_VALUE"""),"森 光智")</f>
        <v>森 光智</v>
      </c>
    </row>
    <row r="5425" spans="2:4" ht="13">
      <c r="B5425" s="12">
        <f ca="1">IFERROR(__xludf.DUMMYFUNCTION("""COMPUTED_VALUE"""),130134)</f>
        <v>130134</v>
      </c>
      <c r="C5425" s="14">
        <f ca="1">IFERROR(__xludf.DUMMYFUNCTION("""COMPUTED_VALUE"""),0)</f>
        <v>0</v>
      </c>
      <c r="D5425" s="12" t="str">
        <f ca="1">IFERROR(__xludf.DUMMYFUNCTION("""COMPUTED_VALUE"""),"松尾 尚樹")</f>
        <v>松尾 尚樹</v>
      </c>
    </row>
    <row r="5426" spans="2:4" ht="13">
      <c r="B5426" s="12">
        <f ca="1">IFERROR(__xludf.DUMMYFUNCTION("""COMPUTED_VALUE"""),130138)</f>
        <v>130138</v>
      </c>
      <c r="C5426" s="14">
        <f ca="1">IFERROR(__xludf.DUMMYFUNCTION("""COMPUTED_VALUE"""),0)</f>
        <v>0</v>
      </c>
      <c r="D5426" s="12" t="str">
        <f ca="1">IFERROR(__xludf.DUMMYFUNCTION("""COMPUTED_VALUE"""),"菅野 ぎんが")</f>
        <v>菅野 ぎんが</v>
      </c>
    </row>
    <row r="5427" spans="2:4" ht="13">
      <c r="B5427" s="12">
        <f ca="1">IFERROR(__xludf.DUMMYFUNCTION("""COMPUTED_VALUE"""),130151)</f>
        <v>130151</v>
      </c>
      <c r="C5427" s="14">
        <f ca="1">IFERROR(__xludf.DUMMYFUNCTION("""COMPUTED_VALUE"""),0)</f>
        <v>0</v>
      </c>
      <c r="D5427" s="12" t="str">
        <f ca="1">IFERROR(__xludf.DUMMYFUNCTION("""COMPUTED_VALUE"""),"村上 浩一朗")</f>
        <v>村上 浩一朗</v>
      </c>
    </row>
    <row r="5428" spans="2:4" ht="13">
      <c r="B5428" s="12">
        <f ca="1">IFERROR(__xludf.DUMMYFUNCTION("""COMPUTED_VALUE"""),130153)</f>
        <v>130153</v>
      </c>
      <c r="C5428" s="14">
        <f ca="1">IFERROR(__xludf.DUMMYFUNCTION("""COMPUTED_VALUE"""),0)</f>
        <v>0</v>
      </c>
      <c r="D5428" s="12" t="str">
        <f ca="1">IFERROR(__xludf.DUMMYFUNCTION("""COMPUTED_VALUE"""),"稲場 勇介")</f>
        <v>稲場 勇介</v>
      </c>
    </row>
    <row r="5429" spans="2:4" ht="13">
      <c r="B5429" s="12">
        <f ca="1">IFERROR(__xludf.DUMMYFUNCTION("""COMPUTED_VALUE"""),130160)</f>
        <v>130160</v>
      </c>
      <c r="C5429" s="14">
        <f ca="1">IFERROR(__xludf.DUMMYFUNCTION("""COMPUTED_VALUE"""),21)</f>
        <v>21</v>
      </c>
      <c r="D5429" s="12" t="str">
        <f ca="1">IFERROR(__xludf.DUMMYFUNCTION("""COMPUTED_VALUE"""),"村上 浩一朗")</f>
        <v>村上 浩一朗</v>
      </c>
    </row>
    <row r="5430" spans="2:4" ht="13">
      <c r="B5430" s="12">
        <f ca="1">IFERROR(__xludf.DUMMYFUNCTION("""COMPUTED_VALUE"""),130164)</f>
        <v>130164</v>
      </c>
      <c r="C5430" s="14">
        <f ca="1">IFERROR(__xludf.DUMMYFUNCTION("""COMPUTED_VALUE"""),0)</f>
        <v>0</v>
      </c>
      <c r="D5430" s="12" t="str">
        <f ca="1">IFERROR(__xludf.DUMMYFUNCTION("""COMPUTED_VALUE"""),"菅野 ぎんが")</f>
        <v>菅野 ぎんが</v>
      </c>
    </row>
    <row r="5431" spans="2:4" ht="13">
      <c r="B5431" s="12">
        <f ca="1">IFERROR(__xludf.DUMMYFUNCTION("""COMPUTED_VALUE"""),130175)</f>
        <v>130175</v>
      </c>
      <c r="C5431" s="14">
        <f ca="1">IFERROR(__xludf.DUMMYFUNCTION("""COMPUTED_VALUE"""),1)</f>
        <v>1</v>
      </c>
      <c r="D5431" s="12" t="str">
        <f ca="1">IFERROR(__xludf.DUMMYFUNCTION("""COMPUTED_VALUE"""),"小川 純")</f>
        <v>小川 純</v>
      </c>
    </row>
    <row r="5432" spans="2:4" ht="13">
      <c r="B5432" s="12">
        <f ca="1">IFERROR(__xludf.DUMMYFUNCTION("""COMPUTED_VALUE"""),130176)</f>
        <v>130176</v>
      </c>
      <c r="C5432" s="14">
        <f ca="1">IFERROR(__xludf.DUMMYFUNCTION("""COMPUTED_VALUE"""),0)</f>
        <v>0</v>
      </c>
      <c r="D5432" s="12" t="str">
        <f ca="1">IFERROR(__xludf.DUMMYFUNCTION("""COMPUTED_VALUE"""),"川島 幹也")</f>
        <v>川島 幹也</v>
      </c>
    </row>
    <row r="5433" spans="2:4" ht="13">
      <c r="B5433" s="12">
        <f ca="1">IFERROR(__xludf.DUMMYFUNCTION("""COMPUTED_VALUE"""),130177)</f>
        <v>130177</v>
      </c>
      <c r="C5433" s="14">
        <f ca="1">IFERROR(__xludf.DUMMYFUNCTION("""COMPUTED_VALUE"""),0)</f>
        <v>0</v>
      </c>
      <c r="D5433" s="12" t="str">
        <f ca="1">IFERROR(__xludf.DUMMYFUNCTION("""COMPUTED_VALUE"""),"川島 幹也")</f>
        <v>川島 幹也</v>
      </c>
    </row>
    <row r="5434" spans="2:4" ht="13">
      <c r="B5434" s="12">
        <f ca="1">IFERROR(__xludf.DUMMYFUNCTION("""COMPUTED_VALUE"""),130178)</f>
        <v>130178</v>
      </c>
      <c r="C5434" s="14">
        <f ca="1">IFERROR(__xludf.DUMMYFUNCTION("""COMPUTED_VALUE"""),0)</f>
        <v>0</v>
      </c>
      <c r="D5434" s="12" t="str">
        <f ca="1">IFERROR(__xludf.DUMMYFUNCTION("""COMPUTED_VALUE"""),"栗原 大武")</f>
        <v>栗原 大武</v>
      </c>
    </row>
    <row r="5435" spans="2:4" ht="13">
      <c r="B5435" s="12">
        <f ca="1">IFERROR(__xludf.DUMMYFUNCTION("""COMPUTED_VALUE"""),130179)</f>
        <v>130179</v>
      </c>
      <c r="C5435" s="14">
        <f ca="1">IFERROR(__xludf.DUMMYFUNCTION("""COMPUTED_VALUE"""),0)</f>
        <v>0</v>
      </c>
      <c r="D5435" s="12" t="str">
        <f ca="1">IFERROR(__xludf.DUMMYFUNCTION("""COMPUTED_VALUE"""),"栗原 大武")</f>
        <v>栗原 大武</v>
      </c>
    </row>
    <row r="5436" spans="2:4" ht="13">
      <c r="B5436" s="12">
        <f ca="1">IFERROR(__xludf.DUMMYFUNCTION("""COMPUTED_VALUE"""),130183)</f>
        <v>130183</v>
      </c>
      <c r="C5436" s="14">
        <f ca="1">IFERROR(__xludf.DUMMYFUNCTION("""COMPUTED_VALUE"""),0)</f>
        <v>0</v>
      </c>
      <c r="D5436" s="12" t="str">
        <f ca="1">IFERROR(__xludf.DUMMYFUNCTION("""COMPUTED_VALUE"""),"小川 純")</f>
        <v>小川 純</v>
      </c>
    </row>
    <row r="5437" spans="2:4" ht="13">
      <c r="B5437" s="12">
        <f ca="1">IFERROR(__xludf.DUMMYFUNCTION("""COMPUTED_VALUE"""),130184)</f>
        <v>130184</v>
      </c>
      <c r="C5437" s="14">
        <f ca="1">IFERROR(__xludf.DUMMYFUNCTION("""COMPUTED_VALUE"""),0)</f>
        <v>0</v>
      </c>
      <c r="D5437" s="12" t="str">
        <f ca="1">IFERROR(__xludf.DUMMYFUNCTION("""COMPUTED_VALUE"""),"内丸 裕子")</f>
        <v>内丸 裕子</v>
      </c>
    </row>
    <row r="5438" spans="2:4" ht="13">
      <c r="B5438" s="12">
        <f ca="1">IFERROR(__xludf.DUMMYFUNCTION("""COMPUTED_VALUE"""),130188)</f>
        <v>130188</v>
      </c>
      <c r="C5438" s="14">
        <f ca="1">IFERROR(__xludf.DUMMYFUNCTION("""COMPUTED_VALUE"""),0)</f>
        <v>0</v>
      </c>
      <c r="D5438" s="12" t="str">
        <f ca="1">IFERROR(__xludf.DUMMYFUNCTION("""COMPUTED_VALUE"""),"荻曽 克輝")</f>
        <v>荻曽 克輝</v>
      </c>
    </row>
    <row r="5439" spans="2:4" ht="13">
      <c r="B5439" s="12">
        <f ca="1">IFERROR(__xludf.DUMMYFUNCTION("""COMPUTED_VALUE"""),130190)</f>
        <v>130190</v>
      </c>
      <c r="C5439" s="14">
        <f ca="1">IFERROR(__xludf.DUMMYFUNCTION("""COMPUTED_VALUE"""),0)</f>
        <v>0</v>
      </c>
      <c r="D5439" s="12" t="str">
        <f ca="1">IFERROR(__xludf.DUMMYFUNCTION("""COMPUTED_VALUE"""),"荻曽 克輝")</f>
        <v>荻曽 克輝</v>
      </c>
    </row>
    <row r="5440" spans="2:4" ht="13">
      <c r="B5440" s="12">
        <f ca="1">IFERROR(__xludf.DUMMYFUNCTION("""COMPUTED_VALUE"""),130192)</f>
        <v>130192</v>
      </c>
      <c r="C5440" s="14">
        <f ca="1">IFERROR(__xludf.DUMMYFUNCTION("""COMPUTED_VALUE"""),0)</f>
        <v>0</v>
      </c>
      <c r="D5440" s="12" t="str">
        <f ca="1">IFERROR(__xludf.DUMMYFUNCTION("""COMPUTED_VALUE"""),"長谷川 陸朗")</f>
        <v>長谷川 陸朗</v>
      </c>
    </row>
    <row r="5441" spans="2:4" ht="13">
      <c r="B5441" s="12">
        <f ca="1">IFERROR(__xludf.DUMMYFUNCTION("""COMPUTED_VALUE"""),130200)</f>
        <v>130200</v>
      </c>
      <c r="C5441" s="14">
        <f ca="1">IFERROR(__xludf.DUMMYFUNCTION("""COMPUTED_VALUE"""),23)</f>
        <v>23</v>
      </c>
      <c r="D5441" s="12" t="str">
        <f ca="1">IFERROR(__xludf.DUMMYFUNCTION("""COMPUTED_VALUE"""),"村上 浩一朗")</f>
        <v>村上 浩一朗</v>
      </c>
    </row>
    <row r="5442" spans="2:4" ht="13">
      <c r="B5442" s="12">
        <f ca="1">IFERROR(__xludf.DUMMYFUNCTION("""COMPUTED_VALUE"""),130201)</f>
        <v>130201</v>
      </c>
      <c r="C5442" s="14">
        <f ca="1">IFERROR(__xludf.DUMMYFUNCTION("""COMPUTED_VALUE"""),0)</f>
        <v>0</v>
      </c>
      <c r="D5442" s="12" t="str">
        <f ca="1">IFERROR(__xludf.DUMMYFUNCTION("""COMPUTED_VALUE"""),"荻曽 克輝")</f>
        <v>荻曽 克輝</v>
      </c>
    </row>
    <row r="5443" spans="2:4" ht="13">
      <c r="B5443" s="12">
        <f ca="1">IFERROR(__xludf.DUMMYFUNCTION("""COMPUTED_VALUE"""),130202)</f>
        <v>130202</v>
      </c>
      <c r="C5443" s="14">
        <f ca="1">IFERROR(__xludf.DUMMYFUNCTION("""COMPUTED_VALUE"""),2)</f>
        <v>2</v>
      </c>
      <c r="D5443" s="12" t="str">
        <f ca="1">IFERROR(__xludf.DUMMYFUNCTION("""COMPUTED_VALUE"""),"菅野 ぎんが")</f>
        <v>菅野 ぎんが</v>
      </c>
    </row>
    <row r="5444" spans="2:4" ht="13">
      <c r="B5444" s="12">
        <f ca="1">IFERROR(__xludf.DUMMYFUNCTION("""COMPUTED_VALUE"""),130203)</f>
        <v>130203</v>
      </c>
      <c r="C5444" s="14">
        <f ca="1">IFERROR(__xludf.DUMMYFUNCTION("""COMPUTED_VALUE"""),0)</f>
        <v>0</v>
      </c>
      <c r="D5444" s="12" t="str">
        <f ca="1">IFERROR(__xludf.DUMMYFUNCTION("""COMPUTED_VALUE"""),"長谷川 陸朗")</f>
        <v>長谷川 陸朗</v>
      </c>
    </row>
    <row r="5445" spans="2:4" ht="13">
      <c r="B5445" s="12">
        <f ca="1">IFERROR(__xludf.DUMMYFUNCTION("""COMPUTED_VALUE"""),130212)</f>
        <v>130212</v>
      </c>
      <c r="C5445" s="14">
        <f ca="1">IFERROR(__xludf.DUMMYFUNCTION("""COMPUTED_VALUE"""),0)</f>
        <v>0</v>
      </c>
      <c r="D5445" s="12" t="str">
        <f ca="1">IFERROR(__xludf.DUMMYFUNCTION("""COMPUTED_VALUE"""),"堀越 駿")</f>
        <v>堀越 駿</v>
      </c>
    </row>
    <row r="5446" spans="2:4" ht="13">
      <c r="B5446" s="12">
        <f ca="1">IFERROR(__xludf.DUMMYFUNCTION("""COMPUTED_VALUE"""),130214)</f>
        <v>130214</v>
      </c>
      <c r="C5446" s="14">
        <f ca="1">IFERROR(__xludf.DUMMYFUNCTION("""COMPUTED_VALUE"""),0)</f>
        <v>0</v>
      </c>
      <c r="D5446" s="12" t="str">
        <f ca="1">IFERROR(__xludf.DUMMYFUNCTION("""COMPUTED_VALUE"""),"小関 麻起")</f>
        <v>小関 麻起</v>
      </c>
    </row>
    <row r="5447" spans="2:4" ht="13">
      <c r="B5447" s="12">
        <f ca="1">IFERROR(__xludf.DUMMYFUNCTION("""COMPUTED_VALUE"""),130220)</f>
        <v>130220</v>
      </c>
      <c r="C5447" s="14">
        <f ca="1">IFERROR(__xludf.DUMMYFUNCTION("""COMPUTED_VALUE"""),0)</f>
        <v>0</v>
      </c>
      <c r="D5447" s="12" t="str">
        <f ca="1">IFERROR(__xludf.DUMMYFUNCTION("""COMPUTED_VALUE"""),"小関 麻起")</f>
        <v>小関 麻起</v>
      </c>
    </row>
    <row r="5448" spans="2:4" ht="13">
      <c r="B5448" s="12">
        <f ca="1">IFERROR(__xludf.DUMMYFUNCTION("""COMPUTED_VALUE"""),130224)</f>
        <v>130224</v>
      </c>
      <c r="C5448" s="14">
        <f ca="1">IFERROR(__xludf.DUMMYFUNCTION("""COMPUTED_VALUE"""),0)</f>
        <v>0</v>
      </c>
      <c r="D5448" s="12" t="str">
        <f ca="1">IFERROR(__xludf.DUMMYFUNCTION("""COMPUTED_VALUE"""),"老田 純輝")</f>
        <v>老田 純輝</v>
      </c>
    </row>
    <row r="5449" spans="2:4" ht="13">
      <c r="B5449" s="12">
        <f ca="1">IFERROR(__xludf.DUMMYFUNCTION("""COMPUTED_VALUE"""),130228)</f>
        <v>130228</v>
      </c>
      <c r="C5449" s="14">
        <f ca="1">IFERROR(__xludf.DUMMYFUNCTION("""COMPUTED_VALUE"""),0)</f>
        <v>0</v>
      </c>
      <c r="D5449" s="12" t="str">
        <f ca="1">IFERROR(__xludf.DUMMYFUNCTION("""COMPUTED_VALUE"""),"川島 幹也")</f>
        <v>川島 幹也</v>
      </c>
    </row>
    <row r="5450" spans="2:4" ht="13">
      <c r="B5450" s="12">
        <f ca="1">IFERROR(__xludf.DUMMYFUNCTION("""COMPUTED_VALUE"""),130230)</f>
        <v>130230</v>
      </c>
      <c r="C5450" s="14">
        <f ca="1">IFERROR(__xludf.DUMMYFUNCTION("""COMPUTED_VALUE"""),0)</f>
        <v>0</v>
      </c>
      <c r="D5450" s="12" t="str">
        <f ca="1">IFERROR(__xludf.DUMMYFUNCTION("""COMPUTED_VALUE"""),"村上 浩一朗")</f>
        <v>村上 浩一朗</v>
      </c>
    </row>
    <row r="5451" spans="2:4" ht="13">
      <c r="B5451" s="12">
        <f ca="1">IFERROR(__xludf.DUMMYFUNCTION("""COMPUTED_VALUE"""),130231)</f>
        <v>130231</v>
      </c>
      <c r="C5451" s="14">
        <f ca="1">IFERROR(__xludf.DUMMYFUNCTION("""COMPUTED_VALUE"""),43)</f>
        <v>43</v>
      </c>
      <c r="D5451" s="12" t="str">
        <f ca="1">IFERROR(__xludf.DUMMYFUNCTION("""COMPUTED_VALUE"""),"荻曽 克輝")</f>
        <v>荻曽 克輝</v>
      </c>
    </row>
    <row r="5452" spans="2:4" ht="13">
      <c r="B5452" s="12">
        <f ca="1">IFERROR(__xludf.DUMMYFUNCTION("""COMPUTED_VALUE"""),130239)</f>
        <v>130239</v>
      </c>
      <c r="C5452" s="14">
        <f ca="1">IFERROR(__xludf.DUMMYFUNCTION("""COMPUTED_VALUE"""),20)</f>
        <v>20</v>
      </c>
      <c r="D5452" s="12" t="str">
        <f ca="1">IFERROR(__xludf.DUMMYFUNCTION("""COMPUTED_VALUE"""),"荻曽 克輝")</f>
        <v>荻曽 克輝</v>
      </c>
    </row>
    <row r="5453" spans="2:4" ht="13">
      <c r="B5453" s="12">
        <f ca="1">IFERROR(__xludf.DUMMYFUNCTION("""COMPUTED_VALUE"""),130240)</f>
        <v>130240</v>
      </c>
      <c r="C5453" s="14">
        <f ca="1">IFERROR(__xludf.DUMMYFUNCTION("""COMPUTED_VALUE"""),94)</f>
        <v>94</v>
      </c>
      <c r="D5453" s="12" t="str">
        <f ca="1">IFERROR(__xludf.DUMMYFUNCTION("""COMPUTED_VALUE"""),"荻曽 克輝")</f>
        <v>荻曽 克輝</v>
      </c>
    </row>
    <row r="5454" spans="2:4" ht="13">
      <c r="B5454" s="12">
        <f ca="1">IFERROR(__xludf.DUMMYFUNCTION("""COMPUTED_VALUE"""),130244)</f>
        <v>130244</v>
      </c>
      <c r="C5454" s="14">
        <f ca="1">IFERROR(__xludf.DUMMYFUNCTION("""COMPUTED_VALUE"""),2)</f>
        <v>2</v>
      </c>
      <c r="D5454" s="12" t="str">
        <f ca="1">IFERROR(__xludf.DUMMYFUNCTION("""COMPUTED_VALUE"""),"森 光智")</f>
        <v>森 光智</v>
      </c>
    </row>
    <row r="5455" spans="2:4" ht="13">
      <c r="B5455" s="12">
        <f ca="1">IFERROR(__xludf.DUMMYFUNCTION("""COMPUTED_VALUE"""),130246)</f>
        <v>130246</v>
      </c>
      <c r="C5455" s="14">
        <f ca="1">IFERROR(__xludf.DUMMYFUNCTION("""COMPUTED_VALUE"""),0)</f>
        <v>0</v>
      </c>
      <c r="D5455" s="12" t="str">
        <f ca="1">IFERROR(__xludf.DUMMYFUNCTION("""COMPUTED_VALUE"""),"村上 浩一朗")</f>
        <v>村上 浩一朗</v>
      </c>
    </row>
    <row r="5456" spans="2:4" ht="13">
      <c r="B5456" s="12">
        <f ca="1">IFERROR(__xludf.DUMMYFUNCTION("""COMPUTED_VALUE"""),130250)</f>
        <v>130250</v>
      </c>
      <c r="C5456" s="14">
        <f ca="1">IFERROR(__xludf.DUMMYFUNCTION("""COMPUTED_VALUE"""),1)</f>
        <v>1</v>
      </c>
      <c r="D5456" s="12" t="str">
        <f ca="1">IFERROR(__xludf.DUMMYFUNCTION("""COMPUTED_VALUE"""),"稲場 勇介")</f>
        <v>稲場 勇介</v>
      </c>
    </row>
    <row r="5457" spans="2:4" ht="13">
      <c r="B5457" s="12">
        <f ca="1">IFERROR(__xludf.DUMMYFUNCTION("""COMPUTED_VALUE"""),130255)</f>
        <v>130255</v>
      </c>
      <c r="C5457" s="14">
        <f ca="1">IFERROR(__xludf.DUMMYFUNCTION("""COMPUTED_VALUE"""),0)</f>
        <v>0</v>
      </c>
      <c r="D5457" s="12" t="str">
        <f ca="1">IFERROR(__xludf.DUMMYFUNCTION("""COMPUTED_VALUE"""),"辻村 将大")</f>
        <v>辻村 将大</v>
      </c>
    </row>
    <row r="5458" spans="2:4" ht="13">
      <c r="B5458" s="12">
        <f ca="1">IFERROR(__xludf.DUMMYFUNCTION("""COMPUTED_VALUE"""),130260)</f>
        <v>130260</v>
      </c>
      <c r="C5458" s="14">
        <f ca="1">IFERROR(__xludf.DUMMYFUNCTION("""COMPUTED_VALUE"""),1)</f>
        <v>1</v>
      </c>
      <c r="D5458" s="12" t="str">
        <f ca="1">IFERROR(__xludf.DUMMYFUNCTION("""COMPUTED_VALUE"""),"荻曽 克輝")</f>
        <v>荻曽 克輝</v>
      </c>
    </row>
    <row r="5459" spans="2:4" ht="13">
      <c r="B5459" s="12">
        <f ca="1">IFERROR(__xludf.DUMMYFUNCTION("""COMPUTED_VALUE"""),130261)</f>
        <v>130261</v>
      </c>
      <c r="C5459" s="14">
        <f ca="1">IFERROR(__xludf.DUMMYFUNCTION("""COMPUTED_VALUE"""),0)</f>
        <v>0</v>
      </c>
      <c r="D5459" s="12" t="str">
        <f ca="1">IFERROR(__xludf.DUMMYFUNCTION("""COMPUTED_VALUE"""),"堀越 駿")</f>
        <v>堀越 駿</v>
      </c>
    </row>
    <row r="5460" spans="2:4" ht="13">
      <c r="B5460" s="12">
        <f ca="1">IFERROR(__xludf.DUMMYFUNCTION("""COMPUTED_VALUE"""),130263)</f>
        <v>130263</v>
      </c>
      <c r="C5460" s="14">
        <f ca="1">IFERROR(__xludf.DUMMYFUNCTION("""COMPUTED_VALUE"""),0)</f>
        <v>0</v>
      </c>
      <c r="D5460" s="12" t="str">
        <f ca="1">IFERROR(__xludf.DUMMYFUNCTION("""COMPUTED_VALUE"""),"松尾 尚樹")</f>
        <v>松尾 尚樹</v>
      </c>
    </row>
    <row r="5461" spans="2:4" ht="13">
      <c r="B5461" s="12">
        <f ca="1">IFERROR(__xludf.DUMMYFUNCTION("""COMPUTED_VALUE"""),130266)</f>
        <v>130266</v>
      </c>
      <c r="C5461" s="14">
        <f ca="1">IFERROR(__xludf.DUMMYFUNCTION("""COMPUTED_VALUE"""),0)</f>
        <v>0</v>
      </c>
      <c r="D5461" s="12" t="str">
        <f ca="1">IFERROR(__xludf.DUMMYFUNCTION("""COMPUTED_VALUE"""),"成嶋 夏未")</f>
        <v>成嶋 夏未</v>
      </c>
    </row>
    <row r="5462" spans="2:4" ht="13">
      <c r="B5462" s="12">
        <f ca="1">IFERROR(__xludf.DUMMYFUNCTION("""COMPUTED_VALUE"""),130267)</f>
        <v>130267</v>
      </c>
      <c r="C5462" s="14">
        <f ca="1">IFERROR(__xludf.DUMMYFUNCTION("""COMPUTED_VALUE"""),0)</f>
        <v>0</v>
      </c>
      <c r="D5462" s="12" t="str">
        <f ca="1">IFERROR(__xludf.DUMMYFUNCTION("""COMPUTED_VALUE"""),"菅野 ぎんが")</f>
        <v>菅野 ぎんが</v>
      </c>
    </row>
    <row r="5463" spans="2:4" ht="13">
      <c r="B5463" s="12">
        <f ca="1">IFERROR(__xludf.DUMMYFUNCTION("""COMPUTED_VALUE"""),130270)</f>
        <v>130270</v>
      </c>
      <c r="C5463" s="14">
        <f ca="1">IFERROR(__xludf.DUMMYFUNCTION("""COMPUTED_VALUE"""),0)</f>
        <v>0</v>
      </c>
      <c r="D5463" s="12" t="str">
        <f ca="1">IFERROR(__xludf.DUMMYFUNCTION("""COMPUTED_VALUE"""),"成嶋 夏未")</f>
        <v>成嶋 夏未</v>
      </c>
    </row>
    <row r="5464" spans="2:4" ht="13">
      <c r="B5464" s="12">
        <f ca="1">IFERROR(__xludf.DUMMYFUNCTION("""COMPUTED_VALUE"""),130271)</f>
        <v>130271</v>
      </c>
      <c r="C5464" s="14">
        <f ca="1">IFERROR(__xludf.DUMMYFUNCTION("""COMPUTED_VALUE"""),4)</f>
        <v>4</v>
      </c>
      <c r="D5464" s="12" t="str">
        <f ca="1">IFERROR(__xludf.DUMMYFUNCTION("""COMPUTED_VALUE"""),"桐山 勝気")</f>
        <v>桐山 勝気</v>
      </c>
    </row>
    <row r="5465" spans="2:4" ht="13">
      <c r="B5465" s="12">
        <f ca="1">IFERROR(__xludf.DUMMYFUNCTION("""COMPUTED_VALUE"""),130272)</f>
        <v>130272</v>
      </c>
      <c r="C5465" s="14">
        <f ca="1">IFERROR(__xludf.DUMMYFUNCTION("""COMPUTED_VALUE"""),0)</f>
        <v>0</v>
      </c>
      <c r="D5465" s="12" t="str">
        <f ca="1">IFERROR(__xludf.DUMMYFUNCTION("""COMPUTED_VALUE"""),"成嶋 夏未")</f>
        <v>成嶋 夏未</v>
      </c>
    </row>
    <row r="5466" spans="2:4" ht="13">
      <c r="B5466" s="12">
        <f ca="1">IFERROR(__xludf.DUMMYFUNCTION("""COMPUTED_VALUE"""),130275)</f>
        <v>130275</v>
      </c>
      <c r="C5466" s="14">
        <f ca="1">IFERROR(__xludf.DUMMYFUNCTION("""COMPUTED_VALUE"""),0)</f>
        <v>0</v>
      </c>
      <c r="D5466" s="12" t="str">
        <f ca="1">IFERROR(__xludf.DUMMYFUNCTION("""COMPUTED_VALUE"""),"菅野 ぎんが")</f>
        <v>菅野 ぎんが</v>
      </c>
    </row>
    <row r="5467" spans="2:4" ht="13">
      <c r="B5467" s="12">
        <f ca="1">IFERROR(__xludf.DUMMYFUNCTION("""COMPUTED_VALUE"""),130288)</f>
        <v>130288</v>
      </c>
      <c r="C5467" s="14">
        <f ca="1">IFERROR(__xludf.DUMMYFUNCTION("""COMPUTED_VALUE"""),0)</f>
        <v>0</v>
      </c>
      <c r="D5467" s="12" t="str">
        <f ca="1">IFERROR(__xludf.DUMMYFUNCTION("""COMPUTED_VALUE"""),"小川 純")</f>
        <v>小川 純</v>
      </c>
    </row>
    <row r="5468" spans="2:4" ht="13">
      <c r="B5468" s="12">
        <f ca="1">IFERROR(__xludf.DUMMYFUNCTION("""COMPUTED_VALUE"""),130297)</f>
        <v>130297</v>
      </c>
      <c r="C5468" s="14">
        <f ca="1">IFERROR(__xludf.DUMMYFUNCTION("""COMPUTED_VALUE"""),0)</f>
        <v>0</v>
      </c>
      <c r="D5468" s="12" t="str">
        <f ca="1">IFERROR(__xludf.DUMMYFUNCTION("""COMPUTED_VALUE"""),"荻曽 克輝")</f>
        <v>荻曽 克輝</v>
      </c>
    </row>
    <row r="5469" spans="2:4" ht="13">
      <c r="B5469" s="12">
        <f ca="1">IFERROR(__xludf.DUMMYFUNCTION("""COMPUTED_VALUE"""),130302)</f>
        <v>130302</v>
      </c>
      <c r="C5469" s="14">
        <f ca="1">IFERROR(__xludf.DUMMYFUNCTION("""COMPUTED_VALUE"""),0)</f>
        <v>0</v>
      </c>
      <c r="D5469" s="12" t="str">
        <f ca="1">IFERROR(__xludf.DUMMYFUNCTION("""COMPUTED_VALUE"""),"小関 麻起")</f>
        <v>小関 麻起</v>
      </c>
    </row>
    <row r="5470" spans="2:4" ht="13">
      <c r="B5470" s="12">
        <f ca="1">IFERROR(__xludf.DUMMYFUNCTION("""COMPUTED_VALUE"""),130304)</f>
        <v>130304</v>
      </c>
      <c r="C5470" s="14">
        <f ca="1">IFERROR(__xludf.DUMMYFUNCTION("""COMPUTED_VALUE"""),9)</f>
        <v>9</v>
      </c>
      <c r="D5470" s="12" t="str">
        <f ca="1">IFERROR(__xludf.DUMMYFUNCTION("""COMPUTED_VALUE"""),"川島 幹也")</f>
        <v>川島 幹也</v>
      </c>
    </row>
    <row r="5471" spans="2:4" ht="13">
      <c r="B5471" s="12">
        <f ca="1">IFERROR(__xludf.DUMMYFUNCTION("""COMPUTED_VALUE"""),130305)</f>
        <v>130305</v>
      </c>
      <c r="C5471" s="14">
        <f ca="1">IFERROR(__xludf.DUMMYFUNCTION("""COMPUTED_VALUE"""),0)</f>
        <v>0</v>
      </c>
      <c r="D5471" s="12" t="str">
        <f ca="1">IFERROR(__xludf.DUMMYFUNCTION("""COMPUTED_VALUE"""),"栗原 大武")</f>
        <v>栗原 大武</v>
      </c>
    </row>
    <row r="5472" spans="2:4" ht="13">
      <c r="B5472" s="12">
        <f ca="1">IFERROR(__xludf.DUMMYFUNCTION("""COMPUTED_VALUE"""),130318)</f>
        <v>130318</v>
      </c>
      <c r="C5472" s="14">
        <f ca="1">IFERROR(__xludf.DUMMYFUNCTION("""COMPUTED_VALUE"""),0)</f>
        <v>0</v>
      </c>
      <c r="D5472" s="12" t="str">
        <f ca="1">IFERROR(__xludf.DUMMYFUNCTION("""COMPUTED_VALUE"""),"村上 浩一朗")</f>
        <v>村上 浩一朗</v>
      </c>
    </row>
    <row r="5473" spans="2:4" ht="13">
      <c r="B5473" s="12">
        <f ca="1">IFERROR(__xludf.DUMMYFUNCTION("""COMPUTED_VALUE"""),130322)</f>
        <v>130322</v>
      </c>
      <c r="C5473" s="14">
        <f ca="1">IFERROR(__xludf.DUMMYFUNCTION("""COMPUTED_VALUE"""),0)</f>
        <v>0</v>
      </c>
      <c r="D5473" s="12" t="str">
        <f ca="1">IFERROR(__xludf.DUMMYFUNCTION("""COMPUTED_VALUE"""),"荻曽 克輝")</f>
        <v>荻曽 克輝</v>
      </c>
    </row>
    <row r="5474" spans="2:4" ht="13">
      <c r="B5474" s="12">
        <f ca="1">IFERROR(__xludf.DUMMYFUNCTION("""COMPUTED_VALUE"""),130324)</f>
        <v>130324</v>
      </c>
      <c r="C5474" s="14">
        <f ca="1">IFERROR(__xludf.DUMMYFUNCTION("""COMPUTED_VALUE"""),0)</f>
        <v>0</v>
      </c>
      <c r="D5474" s="12" t="str">
        <f ca="1">IFERROR(__xludf.DUMMYFUNCTION("""COMPUTED_VALUE"""),"堀越 駿")</f>
        <v>堀越 駿</v>
      </c>
    </row>
    <row r="5475" spans="2:4" ht="13">
      <c r="B5475" s="12">
        <f ca="1">IFERROR(__xludf.DUMMYFUNCTION("""COMPUTED_VALUE"""),130325)</f>
        <v>130325</v>
      </c>
      <c r="C5475" s="14">
        <f ca="1">IFERROR(__xludf.DUMMYFUNCTION("""COMPUTED_VALUE"""),5)</f>
        <v>5</v>
      </c>
      <c r="D5475" s="12" t="str">
        <f ca="1">IFERROR(__xludf.DUMMYFUNCTION("""COMPUTED_VALUE"""),"荻曽 克輝")</f>
        <v>荻曽 克輝</v>
      </c>
    </row>
    <row r="5476" spans="2:4" ht="13">
      <c r="B5476" s="12">
        <f ca="1">IFERROR(__xludf.DUMMYFUNCTION("""COMPUTED_VALUE"""),130330)</f>
        <v>130330</v>
      </c>
      <c r="C5476" s="14">
        <f ca="1">IFERROR(__xludf.DUMMYFUNCTION("""COMPUTED_VALUE"""),6)</f>
        <v>6</v>
      </c>
      <c r="D5476" s="12" t="str">
        <f ca="1">IFERROR(__xludf.DUMMYFUNCTION("""COMPUTED_VALUE"""),"大木 優香")</f>
        <v>大木 優香</v>
      </c>
    </row>
    <row r="5477" spans="2:4" ht="13">
      <c r="B5477" s="12">
        <f ca="1">IFERROR(__xludf.DUMMYFUNCTION("""COMPUTED_VALUE"""),130331)</f>
        <v>130331</v>
      </c>
      <c r="C5477" s="14">
        <f ca="1">IFERROR(__xludf.DUMMYFUNCTION("""COMPUTED_VALUE"""),1)</f>
        <v>1</v>
      </c>
      <c r="D5477" s="12" t="str">
        <f ca="1">IFERROR(__xludf.DUMMYFUNCTION("""COMPUTED_VALUE"""),"大木 優香")</f>
        <v>大木 優香</v>
      </c>
    </row>
    <row r="5478" spans="2:4" ht="13">
      <c r="B5478" s="12">
        <f ca="1">IFERROR(__xludf.DUMMYFUNCTION("""COMPUTED_VALUE"""),130332)</f>
        <v>130332</v>
      </c>
      <c r="C5478" s="14">
        <f ca="1">IFERROR(__xludf.DUMMYFUNCTION("""COMPUTED_VALUE"""),2)</f>
        <v>2</v>
      </c>
      <c r="D5478" s="12" t="str">
        <f ca="1">IFERROR(__xludf.DUMMYFUNCTION("""COMPUTED_VALUE"""),"大木 優香")</f>
        <v>大木 優香</v>
      </c>
    </row>
    <row r="5479" spans="2:4" ht="13">
      <c r="B5479" s="12">
        <f ca="1">IFERROR(__xludf.DUMMYFUNCTION("""COMPUTED_VALUE"""),130333)</f>
        <v>130333</v>
      </c>
      <c r="C5479" s="14">
        <f ca="1">IFERROR(__xludf.DUMMYFUNCTION("""COMPUTED_VALUE"""),0)</f>
        <v>0</v>
      </c>
      <c r="D5479" s="12" t="str">
        <f ca="1">IFERROR(__xludf.DUMMYFUNCTION("""COMPUTED_VALUE"""),"大木 優香")</f>
        <v>大木 優香</v>
      </c>
    </row>
    <row r="5480" spans="2:4" ht="13">
      <c r="B5480" s="12">
        <f ca="1">IFERROR(__xludf.DUMMYFUNCTION("""COMPUTED_VALUE"""),130334)</f>
        <v>130334</v>
      </c>
      <c r="C5480" s="14">
        <f ca="1">IFERROR(__xludf.DUMMYFUNCTION("""COMPUTED_VALUE"""),0)</f>
        <v>0</v>
      </c>
      <c r="D5480" s="12" t="str">
        <f ca="1">IFERROR(__xludf.DUMMYFUNCTION("""COMPUTED_VALUE"""),"大木 優香")</f>
        <v>大木 優香</v>
      </c>
    </row>
    <row r="5481" spans="2:4" ht="13">
      <c r="B5481" s="12">
        <f ca="1">IFERROR(__xludf.DUMMYFUNCTION("""COMPUTED_VALUE"""),130337)</f>
        <v>130337</v>
      </c>
      <c r="C5481" s="14">
        <f ca="1">IFERROR(__xludf.DUMMYFUNCTION("""COMPUTED_VALUE"""),0)</f>
        <v>0</v>
      </c>
      <c r="D5481" s="12" t="str">
        <f ca="1">IFERROR(__xludf.DUMMYFUNCTION("""COMPUTED_VALUE"""),"菅野 ぎんが")</f>
        <v>菅野 ぎんが</v>
      </c>
    </row>
    <row r="5482" spans="2:4" ht="13">
      <c r="B5482" s="12">
        <f ca="1">IFERROR(__xludf.DUMMYFUNCTION("""COMPUTED_VALUE"""),130339)</f>
        <v>130339</v>
      </c>
      <c r="C5482" s="14">
        <f ca="1">IFERROR(__xludf.DUMMYFUNCTION("""COMPUTED_VALUE"""),0)</f>
        <v>0</v>
      </c>
      <c r="D5482" s="12" t="str">
        <f ca="1">IFERROR(__xludf.DUMMYFUNCTION("""COMPUTED_VALUE"""),"荻曽 克輝")</f>
        <v>荻曽 克輝</v>
      </c>
    </row>
    <row r="5483" spans="2:4" ht="13">
      <c r="B5483" s="12">
        <f ca="1">IFERROR(__xludf.DUMMYFUNCTION("""COMPUTED_VALUE"""),130345)</f>
        <v>130345</v>
      </c>
      <c r="C5483" s="14">
        <f ca="1">IFERROR(__xludf.DUMMYFUNCTION("""COMPUTED_VALUE"""),0)</f>
        <v>0</v>
      </c>
      <c r="D5483" s="12" t="str">
        <f ca="1">IFERROR(__xludf.DUMMYFUNCTION("""COMPUTED_VALUE"""),"菅野 ぎんが")</f>
        <v>菅野 ぎんが</v>
      </c>
    </row>
    <row r="5484" spans="2:4" ht="13">
      <c r="B5484" s="12">
        <f ca="1">IFERROR(__xludf.DUMMYFUNCTION("""COMPUTED_VALUE"""),130358)</f>
        <v>130358</v>
      </c>
      <c r="C5484" s="14">
        <f ca="1">IFERROR(__xludf.DUMMYFUNCTION("""COMPUTED_VALUE"""),1)</f>
        <v>1</v>
      </c>
      <c r="D5484" s="12" t="str">
        <f ca="1">IFERROR(__xludf.DUMMYFUNCTION("""COMPUTED_VALUE"""),"成嶋 夏未")</f>
        <v>成嶋 夏未</v>
      </c>
    </row>
    <row r="5485" spans="2:4" ht="13">
      <c r="B5485" s="12">
        <f ca="1">IFERROR(__xludf.DUMMYFUNCTION("""COMPUTED_VALUE"""),130362)</f>
        <v>130362</v>
      </c>
      <c r="C5485" s="14">
        <f ca="1">IFERROR(__xludf.DUMMYFUNCTION("""COMPUTED_VALUE"""),0)</f>
        <v>0</v>
      </c>
      <c r="D5485" s="12" t="str">
        <f ca="1">IFERROR(__xludf.DUMMYFUNCTION("""COMPUTED_VALUE"""),"荻曽 克輝")</f>
        <v>荻曽 克輝</v>
      </c>
    </row>
    <row r="5486" spans="2:4" ht="13">
      <c r="B5486" s="12">
        <f ca="1">IFERROR(__xludf.DUMMYFUNCTION("""COMPUTED_VALUE"""),130376)</f>
        <v>130376</v>
      </c>
      <c r="C5486" s="14">
        <f ca="1">IFERROR(__xludf.DUMMYFUNCTION("""COMPUTED_VALUE"""),0)</f>
        <v>0</v>
      </c>
      <c r="D5486" s="12" t="str">
        <f ca="1">IFERROR(__xludf.DUMMYFUNCTION("""COMPUTED_VALUE"""),"田嶋 将太")</f>
        <v>田嶋 将太</v>
      </c>
    </row>
    <row r="5487" spans="2:4" ht="13">
      <c r="B5487" s="12">
        <f ca="1">IFERROR(__xludf.DUMMYFUNCTION("""COMPUTED_VALUE"""),130382)</f>
        <v>130382</v>
      </c>
      <c r="C5487" s="14">
        <f ca="1">IFERROR(__xludf.DUMMYFUNCTION("""COMPUTED_VALUE"""),0)</f>
        <v>0</v>
      </c>
      <c r="D5487" s="12" t="str">
        <f ca="1">IFERROR(__xludf.DUMMYFUNCTION("""COMPUTED_VALUE"""),"松尾 尚樹")</f>
        <v>松尾 尚樹</v>
      </c>
    </row>
    <row r="5488" spans="2:4" ht="13">
      <c r="B5488" s="12">
        <f ca="1">IFERROR(__xludf.DUMMYFUNCTION("""COMPUTED_VALUE"""),130387)</f>
        <v>130387</v>
      </c>
      <c r="C5488" s="14">
        <f ca="1">IFERROR(__xludf.DUMMYFUNCTION("""COMPUTED_VALUE"""),0)</f>
        <v>0</v>
      </c>
      <c r="D5488" s="12" t="str">
        <f ca="1">IFERROR(__xludf.DUMMYFUNCTION("""COMPUTED_VALUE"""),"菅野 ぎんが")</f>
        <v>菅野 ぎんが</v>
      </c>
    </row>
    <row r="5489" spans="2:4" ht="13">
      <c r="B5489" s="12">
        <f ca="1">IFERROR(__xludf.DUMMYFUNCTION("""COMPUTED_VALUE"""),130390)</f>
        <v>130390</v>
      </c>
      <c r="C5489" s="14">
        <f ca="1">IFERROR(__xludf.DUMMYFUNCTION("""COMPUTED_VALUE"""),0)</f>
        <v>0</v>
      </c>
      <c r="D5489" s="12" t="str">
        <f ca="1">IFERROR(__xludf.DUMMYFUNCTION("""COMPUTED_VALUE"""),"長谷川 陸朗")</f>
        <v>長谷川 陸朗</v>
      </c>
    </row>
    <row r="5490" spans="2:4" ht="13">
      <c r="B5490" s="12">
        <f ca="1">IFERROR(__xludf.DUMMYFUNCTION("""COMPUTED_VALUE"""),130396)</f>
        <v>130396</v>
      </c>
      <c r="C5490" s="14">
        <f ca="1">IFERROR(__xludf.DUMMYFUNCTION("""COMPUTED_VALUE"""),0)</f>
        <v>0</v>
      </c>
      <c r="D5490" s="12" t="str">
        <f ca="1">IFERROR(__xludf.DUMMYFUNCTION("""COMPUTED_VALUE"""),"老田 純輝")</f>
        <v>老田 純輝</v>
      </c>
    </row>
    <row r="5491" spans="2:4" ht="13">
      <c r="B5491" s="12">
        <f ca="1">IFERROR(__xludf.DUMMYFUNCTION("""COMPUTED_VALUE"""),130403)</f>
        <v>130403</v>
      </c>
      <c r="C5491" s="14">
        <f ca="1">IFERROR(__xludf.DUMMYFUNCTION("""COMPUTED_VALUE"""),0)</f>
        <v>0</v>
      </c>
      <c r="D5491" s="12" t="str">
        <f ca="1">IFERROR(__xludf.DUMMYFUNCTION("""COMPUTED_VALUE"""),"成嶋 夏未")</f>
        <v>成嶋 夏未</v>
      </c>
    </row>
    <row r="5492" spans="2:4" ht="13">
      <c r="B5492" s="12">
        <f ca="1">IFERROR(__xludf.DUMMYFUNCTION("""COMPUTED_VALUE"""),130412)</f>
        <v>130412</v>
      </c>
      <c r="C5492" s="14">
        <f ca="1">IFERROR(__xludf.DUMMYFUNCTION("""COMPUTED_VALUE"""),0)</f>
        <v>0</v>
      </c>
      <c r="D5492" s="12" t="str">
        <f ca="1">IFERROR(__xludf.DUMMYFUNCTION("""COMPUTED_VALUE"""),"村上 浩一朗")</f>
        <v>村上 浩一朗</v>
      </c>
    </row>
    <row r="5493" spans="2:4" ht="13">
      <c r="B5493" s="12">
        <f ca="1">IFERROR(__xludf.DUMMYFUNCTION("""COMPUTED_VALUE"""),130413)</f>
        <v>130413</v>
      </c>
      <c r="C5493" s="14">
        <f ca="1">IFERROR(__xludf.DUMMYFUNCTION("""COMPUTED_VALUE"""),27)</f>
        <v>27</v>
      </c>
      <c r="D5493" s="12" t="str">
        <f ca="1">IFERROR(__xludf.DUMMYFUNCTION("""COMPUTED_VALUE"""),"荻曽 克輝")</f>
        <v>荻曽 克輝</v>
      </c>
    </row>
    <row r="5494" spans="2:4" ht="13">
      <c r="B5494" s="12">
        <f ca="1">IFERROR(__xludf.DUMMYFUNCTION("""COMPUTED_VALUE"""),130414)</f>
        <v>130414</v>
      </c>
      <c r="C5494" s="14">
        <f ca="1">IFERROR(__xludf.DUMMYFUNCTION("""COMPUTED_VALUE"""),0)</f>
        <v>0</v>
      </c>
      <c r="D5494" s="12" t="str">
        <f ca="1">IFERROR(__xludf.DUMMYFUNCTION("""COMPUTED_VALUE"""),"辻村 将大")</f>
        <v>辻村 将大</v>
      </c>
    </row>
    <row r="5495" spans="2:4" ht="13">
      <c r="B5495" s="12">
        <f ca="1">IFERROR(__xludf.DUMMYFUNCTION("""COMPUTED_VALUE"""),130416)</f>
        <v>130416</v>
      </c>
      <c r="C5495" s="14">
        <f ca="1">IFERROR(__xludf.DUMMYFUNCTION("""COMPUTED_VALUE"""),17)</f>
        <v>17</v>
      </c>
      <c r="D5495" s="12" t="str">
        <f ca="1">IFERROR(__xludf.DUMMYFUNCTION("""COMPUTED_VALUE"""),"内丸 裕子")</f>
        <v>内丸 裕子</v>
      </c>
    </row>
    <row r="5496" spans="2:4" ht="13">
      <c r="B5496" s="12">
        <f ca="1">IFERROR(__xludf.DUMMYFUNCTION("""COMPUTED_VALUE"""),130417)</f>
        <v>130417</v>
      </c>
      <c r="C5496" s="14">
        <f ca="1">IFERROR(__xludf.DUMMYFUNCTION("""COMPUTED_VALUE"""),0)</f>
        <v>0</v>
      </c>
      <c r="D5496" s="12" t="str">
        <f ca="1">IFERROR(__xludf.DUMMYFUNCTION("""COMPUTED_VALUE"""),"荻曽 克輝")</f>
        <v>荻曽 克輝</v>
      </c>
    </row>
    <row r="5497" spans="2:4" ht="13">
      <c r="B5497" s="12">
        <f ca="1">IFERROR(__xludf.DUMMYFUNCTION("""COMPUTED_VALUE"""),130422)</f>
        <v>130422</v>
      </c>
      <c r="C5497" s="14">
        <f ca="1">IFERROR(__xludf.DUMMYFUNCTION("""COMPUTED_VALUE"""),15)</f>
        <v>15</v>
      </c>
      <c r="D5497" s="12" t="str">
        <f ca="1">IFERROR(__xludf.DUMMYFUNCTION("""COMPUTED_VALUE"""),"小川 純")</f>
        <v>小川 純</v>
      </c>
    </row>
    <row r="5498" spans="2:4" ht="13">
      <c r="B5498" s="12">
        <f ca="1">IFERROR(__xludf.DUMMYFUNCTION("""COMPUTED_VALUE"""),130426)</f>
        <v>130426</v>
      </c>
      <c r="C5498" s="14">
        <f ca="1">IFERROR(__xludf.DUMMYFUNCTION("""COMPUTED_VALUE"""),0)</f>
        <v>0</v>
      </c>
      <c r="D5498" s="12" t="str">
        <f ca="1">IFERROR(__xludf.DUMMYFUNCTION("""COMPUTED_VALUE"""),"奥野 貴大")</f>
        <v>奥野 貴大</v>
      </c>
    </row>
    <row r="5499" spans="2:4" ht="13">
      <c r="B5499" s="12">
        <f ca="1">IFERROR(__xludf.DUMMYFUNCTION("""COMPUTED_VALUE"""),130429)</f>
        <v>130429</v>
      </c>
      <c r="C5499" s="14">
        <f ca="1">IFERROR(__xludf.DUMMYFUNCTION("""COMPUTED_VALUE"""),0)</f>
        <v>0</v>
      </c>
      <c r="D5499" s="12" t="str">
        <f ca="1">IFERROR(__xludf.DUMMYFUNCTION("""COMPUTED_VALUE"""),"長谷川 陸朗")</f>
        <v>長谷川 陸朗</v>
      </c>
    </row>
    <row r="5500" spans="2:4" ht="13">
      <c r="B5500" s="12">
        <f ca="1">IFERROR(__xludf.DUMMYFUNCTION("""COMPUTED_VALUE"""),130436)</f>
        <v>130436</v>
      </c>
      <c r="C5500" s="14">
        <f ca="1">IFERROR(__xludf.DUMMYFUNCTION("""COMPUTED_VALUE"""),0)</f>
        <v>0</v>
      </c>
      <c r="D5500" s="12" t="str">
        <f ca="1">IFERROR(__xludf.DUMMYFUNCTION("""COMPUTED_VALUE"""),"栗原 大武")</f>
        <v>栗原 大武</v>
      </c>
    </row>
    <row r="5501" spans="2:4" ht="13">
      <c r="B5501" s="12">
        <f ca="1">IFERROR(__xludf.DUMMYFUNCTION("""COMPUTED_VALUE"""),130442)</f>
        <v>130442</v>
      </c>
      <c r="C5501" s="14">
        <f ca="1">IFERROR(__xludf.DUMMYFUNCTION("""COMPUTED_VALUE"""),0)</f>
        <v>0</v>
      </c>
      <c r="D5501" s="12" t="str">
        <f ca="1">IFERROR(__xludf.DUMMYFUNCTION("""COMPUTED_VALUE"""),"稲場 勇介")</f>
        <v>稲場 勇介</v>
      </c>
    </row>
    <row r="5502" spans="2:4" ht="13">
      <c r="B5502" s="12">
        <f ca="1">IFERROR(__xludf.DUMMYFUNCTION("""COMPUTED_VALUE"""),130443)</f>
        <v>130443</v>
      </c>
      <c r="C5502" s="14">
        <f ca="1">IFERROR(__xludf.DUMMYFUNCTION("""COMPUTED_VALUE"""),1)</f>
        <v>1</v>
      </c>
      <c r="D5502" s="12" t="str">
        <f ca="1">IFERROR(__xludf.DUMMYFUNCTION("""COMPUTED_VALUE"""),"小関 麻起")</f>
        <v>小関 麻起</v>
      </c>
    </row>
    <row r="5503" spans="2:4" ht="13">
      <c r="B5503" s="12">
        <f ca="1">IFERROR(__xludf.DUMMYFUNCTION("""COMPUTED_VALUE"""),130445)</f>
        <v>130445</v>
      </c>
      <c r="C5503" s="14">
        <f ca="1">IFERROR(__xludf.DUMMYFUNCTION("""COMPUTED_VALUE"""),0)</f>
        <v>0</v>
      </c>
      <c r="D5503" s="12" t="str">
        <f ca="1">IFERROR(__xludf.DUMMYFUNCTION("""COMPUTED_VALUE"""),"稲場 勇介")</f>
        <v>稲場 勇介</v>
      </c>
    </row>
    <row r="5504" spans="2:4" ht="13">
      <c r="B5504" s="12">
        <f ca="1">IFERROR(__xludf.DUMMYFUNCTION("""COMPUTED_VALUE"""),130449)</f>
        <v>130449</v>
      </c>
      <c r="C5504" s="14">
        <f ca="1">IFERROR(__xludf.DUMMYFUNCTION("""COMPUTED_VALUE"""),0)</f>
        <v>0</v>
      </c>
      <c r="D5504" s="12" t="str">
        <f ca="1">IFERROR(__xludf.DUMMYFUNCTION("""COMPUTED_VALUE"""),"菅野 ぎんが")</f>
        <v>菅野 ぎんが</v>
      </c>
    </row>
    <row r="5505" spans="2:4" ht="13">
      <c r="B5505" s="12">
        <f ca="1">IFERROR(__xludf.DUMMYFUNCTION("""COMPUTED_VALUE"""),130451)</f>
        <v>130451</v>
      </c>
      <c r="C5505" s="14">
        <f ca="1">IFERROR(__xludf.DUMMYFUNCTION("""COMPUTED_VALUE"""),5)</f>
        <v>5</v>
      </c>
      <c r="D5505" s="12" t="str">
        <f ca="1">IFERROR(__xludf.DUMMYFUNCTION("""COMPUTED_VALUE"""),"小関 麻起")</f>
        <v>小関 麻起</v>
      </c>
    </row>
    <row r="5506" spans="2:4" ht="13">
      <c r="B5506" s="12">
        <f ca="1">IFERROR(__xludf.DUMMYFUNCTION("""COMPUTED_VALUE"""),130452)</f>
        <v>130452</v>
      </c>
      <c r="C5506" s="14">
        <f ca="1">IFERROR(__xludf.DUMMYFUNCTION("""COMPUTED_VALUE"""),0)</f>
        <v>0</v>
      </c>
      <c r="D5506" s="12" t="str">
        <f ca="1">IFERROR(__xludf.DUMMYFUNCTION("""COMPUTED_VALUE"""),"成嶋 夏未")</f>
        <v>成嶋 夏未</v>
      </c>
    </row>
    <row r="5507" spans="2:4" ht="13">
      <c r="B5507" s="12">
        <f ca="1">IFERROR(__xludf.DUMMYFUNCTION("""COMPUTED_VALUE"""),130455)</f>
        <v>130455</v>
      </c>
      <c r="C5507" s="14">
        <f ca="1">IFERROR(__xludf.DUMMYFUNCTION("""COMPUTED_VALUE"""),0)</f>
        <v>0</v>
      </c>
      <c r="D5507" s="12" t="str">
        <f ca="1">IFERROR(__xludf.DUMMYFUNCTION("""COMPUTED_VALUE"""),"小川 純")</f>
        <v>小川 純</v>
      </c>
    </row>
    <row r="5508" spans="2:4" ht="13">
      <c r="B5508" s="12">
        <f ca="1">IFERROR(__xludf.DUMMYFUNCTION("""COMPUTED_VALUE"""),130457)</f>
        <v>130457</v>
      </c>
      <c r="C5508" s="14">
        <f ca="1">IFERROR(__xludf.DUMMYFUNCTION("""COMPUTED_VALUE"""),0)</f>
        <v>0</v>
      </c>
      <c r="D5508" s="12" t="str">
        <f ca="1">IFERROR(__xludf.DUMMYFUNCTION("""COMPUTED_VALUE"""),"荻曽 克輝")</f>
        <v>荻曽 克輝</v>
      </c>
    </row>
    <row r="5509" spans="2:4" ht="13">
      <c r="B5509" s="12">
        <f ca="1">IFERROR(__xludf.DUMMYFUNCTION("""COMPUTED_VALUE"""),130458)</f>
        <v>130458</v>
      </c>
      <c r="C5509" s="14">
        <f ca="1">IFERROR(__xludf.DUMMYFUNCTION("""COMPUTED_VALUE"""),3)</f>
        <v>3</v>
      </c>
      <c r="D5509" s="12" t="str">
        <f ca="1">IFERROR(__xludf.DUMMYFUNCTION("""COMPUTED_VALUE"""),"森 光智")</f>
        <v>森 光智</v>
      </c>
    </row>
    <row r="5510" spans="2:4" ht="13">
      <c r="B5510" s="12">
        <f ca="1">IFERROR(__xludf.DUMMYFUNCTION("""COMPUTED_VALUE"""),130461)</f>
        <v>130461</v>
      </c>
      <c r="C5510" s="14">
        <f ca="1">IFERROR(__xludf.DUMMYFUNCTION("""COMPUTED_VALUE"""),0)</f>
        <v>0</v>
      </c>
      <c r="D5510" s="12" t="str">
        <f ca="1">IFERROR(__xludf.DUMMYFUNCTION("""COMPUTED_VALUE"""),"森 光智")</f>
        <v>森 光智</v>
      </c>
    </row>
    <row r="5511" spans="2:4" ht="13">
      <c r="B5511" s="12">
        <f ca="1">IFERROR(__xludf.DUMMYFUNCTION("""COMPUTED_VALUE"""),130462)</f>
        <v>130462</v>
      </c>
      <c r="C5511" s="14">
        <f ca="1">IFERROR(__xludf.DUMMYFUNCTION("""COMPUTED_VALUE"""),0)</f>
        <v>0</v>
      </c>
      <c r="D5511" s="12" t="str">
        <f ca="1">IFERROR(__xludf.DUMMYFUNCTION("""COMPUTED_VALUE"""),"川島 幹也")</f>
        <v>川島 幹也</v>
      </c>
    </row>
    <row r="5512" spans="2:4" ht="13">
      <c r="B5512" s="12">
        <f ca="1">IFERROR(__xludf.DUMMYFUNCTION("""COMPUTED_VALUE"""),130463)</f>
        <v>130463</v>
      </c>
      <c r="C5512" s="14">
        <f ca="1">IFERROR(__xludf.DUMMYFUNCTION("""COMPUTED_VALUE"""),0)</f>
        <v>0</v>
      </c>
      <c r="D5512" s="12" t="str">
        <f ca="1">IFERROR(__xludf.DUMMYFUNCTION("""COMPUTED_VALUE"""),"小関 麻起")</f>
        <v>小関 麻起</v>
      </c>
    </row>
    <row r="5513" spans="2:4" ht="13">
      <c r="B5513" s="12">
        <f ca="1">IFERROR(__xludf.DUMMYFUNCTION("""COMPUTED_VALUE"""),130475)</f>
        <v>130475</v>
      </c>
      <c r="C5513" s="14">
        <f ca="1">IFERROR(__xludf.DUMMYFUNCTION("""COMPUTED_VALUE"""),0)</f>
        <v>0</v>
      </c>
      <c r="D5513" s="12" t="str">
        <f ca="1">IFERROR(__xludf.DUMMYFUNCTION("""COMPUTED_VALUE"""),"村上 浩一朗")</f>
        <v>村上 浩一朗</v>
      </c>
    </row>
    <row r="5514" spans="2:4" ht="13">
      <c r="B5514" s="12">
        <f ca="1">IFERROR(__xludf.DUMMYFUNCTION("""COMPUTED_VALUE"""),130479)</f>
        <v>130479</v>
      </c>
      <c r="C5514" s="14">
        <f ca="1">IFERROR(__xludf.DUMMYFUNCTION("""COMPUTED_VALUE"""),0)</f>
        <v>0</v>
      </c>
      <c r="D5514" s="12" t="str">
        <f ca="1">IFERROR(__xludf.DUMMYFUNCTION("""COMPUTED_VALUE"""),"小関 麻起")</f>
        <v>小関 麻起</v>
      </c>
    </row>
    <row r="5515" spans="2:4" ht="13">
      <c r="B5515" s="12">
        <f ca="1">IFERROR(__xludf.DUMMYFUNCTION("""COMPUTED_VALUE"""),130481)</f>
        <v>130481</v>
      </c>
      <c r="C5515" s="14">
        <f ca="1">IFERROR(__xludf.DUMMYFUNCTION("""COMPUTED_VALUE"""),0)</f>
        <v>0</v>
      </c>
      <c r="D5515" s="12" t="str">
        <f ca="1">IFERROR(__xludf.DUMMYFUNCTION("""COMPUTED_VALUE"""),"老田 純輝")</f>
        <v>老田 純輝</v>
      </c>
    </row>
    <row r="5516" spans="2:4" ht="13">
      <c r="B5516" s="12">
        <f ca="1">IFERROR(__xludf.DUMMYFUNCTION("""COMPUTED_VALUE"""),130484)</f>
        <v>130484</v>
      </c>
      <c r="C5516" s="14">
        <f ca="1">IFERROR(__xludf.DUMMYFUNCTION("""COMPUTED_VALUE"""),3)</f>
        <v>3</v>
      </c>
      <c r="D5516" s="12" t="str">
        <f ca="1">IFERROR(__xludf.DUMMYFUNCTION("""COMPUTED_VALUE"""),"堀越 駿")</f>
        <v>堀越 駿</v>
      </c>
    </row>
    <row r="5517" spans="2:4" ht="13">
      <c r="B5517" s="12">
        <f ca="1">IFERROR(__xludf.DUMMYFUNCTION("""COMPUTED_VALUE"""),130485)</f>
        <v>130485</v>
      </c>
      <c r="C5517" s="14">
        <f ca="1">IFERROR(__xludf.DUMMYFUNCTION("""COMPUTED_VALUE"""),35)</f>
        <v>35</v>
      </c>
      <c r="D5517" s="12" t="str">
        <f ca="1">IFERROR(__xludf.DUMMYFUNCTION("""COMPUTED_VALUE"""),"栗原 大武")</f>
        <v>栗原 大武</v>
      </c>
    </row>
    <row r="5518" spans="2:4" ht="13">
      <c r="B5518" s="12">
        <f ca="1">IFERROR(__xludf.DUMMYFUNCTION("""COMPUTED_VALUE"""),130486)</f>
        <v>130486</v>
      </c>
      <c r="C5518" s="14">
        <f ca="1">IFERROR(__xludf.DUMMYFUNCTION("""COMPUTED_VALUE"""),0)</f>
        <v>0</v>
      </c>
      <c r="D5518" s="12" t="str">
        <f ca="1">IFERROR(__xludf.DUMMYFUNCTION("""COMPUTED_VALUE"""),"桑原 明子")</f>
        <v>桑原 明子</v>
      </c>
    </row>
    <row r="5519" spans="2:4" ht="13">
      <c r="B5519" s="12">
        <f ca="1">IFERROR(__xludf.DUMMYFUNCTION("""COMPUTED_VALUE"""),130487)</f>
        <v>130487</v>
      </c>
      <c r="C5519" s="14">
        <f ca="1">IFERROR(__xludf.DUMMYFUNCTION("""COMPUTED_VALUE"""),0)</f>
        <v>0</v>
      </c>
      <c r="D5519" s="12" t="str">
        <f ca="1">IFERROR(__xludf.DUMMYFUNCTION("""COMPUTED_VALUE"""),"川島 幹也")</f>
        <v>川島 幹也</v>
      </c>
    </row>
    <row r="5520" spans="2:4" ht="13">
      <c r="B5520" s="12">
        <f ca="1">IFERROR(__xludf.DUMMYFUNCTION("""COMPUTED_VALUE"""),130488)</f>
        <v>130488</v>
      </c>
      <c r="C5520" s="14">
        <f ca="1">IFERROR(__xludf.DUMMYFUNCTION("""COMPUTED_VALUE"""),0)</f>
        <v>0</v>
      </c>
      <c r="D5520" s="12" t="str">
        <f ca="1">IFERROR(__xludf.DUMMYFUNCTION("""COMPUTED_VALUE"""),"桐山 勝気")</f>
        <v>桐山 勝気</v>
      </c>
    </row>
    <row r="5521" spans="2:4" ht="13">
      <c r="B5521" s="12">
        <f ca="1">IFERROR(__xludf.DUMMYFUNCTION("""COMPUTED_VALUE"""),130495)</f>
        <v>130495</v>
      </c>
      <c r="C5521" s="14">
        <f ca="1">IFERROR(__xludf.DUMMYFUNCTION("""COMPUTED_VALUE"""),0)</f>
        <v>0</v>
      </c>
      <c r="D5521" s="12" t="str">
        <f ca="1">IFERROR(__xludf.DUMMYFUNCTION("""COMPUTED_VALUE"""),"菅野 ぎんが")</f>
        <v>菅野 ぎんが</v>
      </c>
    </row>
    <row r="5522" spans="2:4" ht="13">
      <c r="B5522" s="12">
        <f ca="1">IFERROR(__xludf.DUMMYFUNCTION("""COMPUTED_VALUE"""),130497)</f>
        <v>130497</v>
      </c>
      <c r="C5522" s="14">
        <f ca="1">IFERROR(__xludf.DUMMYFUNCTION("""COMPUTED_VALUE"""),3)</f>
        <v>3</v>
      </c>
      <c r="D5522" s="12" t="str">
        <f ca="1">IFERROR(__xludf.DUMMYFUNCTION("""COMPUTED_VALUE"""),"堀越 駿")</f>
        <v>堀越 駿</v>
      </c>
    </row>
    <row r="5523" spans="2:4" ht="13">
      <c r="B5523" s="12">
        <f ca="1">IFERROR(__xludf.DUMMYFUNCTION("""COMPUTED_VALUE"""),130500)</f>
        <v>130500</v>
      </c>
      <c r="C5523" s="14">
        <f ca="1">IFERROR(__xludf.DUMMYFUNCTION("""COMPUTED_VALUE"""),0)</f>
        <v>0</v>
      </c>
      <c r="D5523" s="12" t="str">
        <f ca="1">IFERROR(__xludf.DUMMYFUNCTION("""COMPUTED_VALUE"""),"稲場 勇介")</f>
        <v>稲場 勇介</v>
      </c>
    </row>
    <row r="5524" spans="2:4" ht="13">
      <c r="B5524" s="12">
        <f ca="1">IFERROR(__xludf.DUMMYFUNCTION("""COMPUTED_VALUE"""),130502)</f>
        <v>130502</v>
      </c>
      <c r="C5524" s="14">
        <f ca="1">IFERROR(__xludf.DUMMYFUNCTION("""COMPUTED_VALUE"""),0)</f>
        <v>0</v>
      </c>
      <c r="D5524" s="12" t="str">
        <f ca="1">IFERROR(__xludf.DUMMYFUNCTION("""COMPUTED_VALUE"""),"小川 純")</f>
        <v>小川 純</v>
      </c>
    </row>
    <row r="5525" spans="2:4" ht="13">
      <c r="B5525" s="12">
        <f ca="1">IFERROR(__xludf.DUMMYFUNCTION("""COMPUTED_VALUE"""),130506)</f>
        <v>130506</v>
      </c>
      <c r="C5525" s="14">
        <f ca="1">IFERROR(__xludf.DUMMYFUNCTION("""COMPUTED_VALUE"""),0)</f>
        <v>0</v>
      </c>
      <c r="D5525" s="12" t="str">
        <f ca="1">IFERROR(__xludf.DUMMYFUNCTION("""COMPUTED_VALUE"""),"堀越 駿")</f>
        <v>堀越 駿</v>
      </c>
    </row>
    <row r="5526" spans="2:4" ht="13">
      <c r="B5526" s="12">
        <f ca="1">IFERROR(__xludf.DUMMYFUNCTION("""COMPUTED_VALUE"""),130518)</f>
        <v>130518</v>
      </c>
      <c r="C5526" s="14">
        <f ca="1">IFERROR(__xludf.DUMMYFUNCTION("""COMPUTED_VALUE"""),0)</f>
        <v>0</v>
      </c>
      <c r="D5526" s="12" t="str">
        <f ca="1">IFERROR(__xludf.DUMMYFUNCTION("""COMPUTED_VALUE"""),"松尾 尚樹")</f>
        <v>松尾 尚樹</v>
      </c>
    </row>
    <row r="5527" spans="2:4" ht="13">
      <c r="B5527" s="12">
        <f ca="1">IFERROR(__xludf.DUMMYFUNCTION("""COMPUTED_VALUE"""),130521)</f>
        <v>130521</v>
      </c>
      <c r="C5527" s="14">
        <f ca="1">IFERROR(__xludf.DUMMYFUNCTION("""COMPUTED_VALUE"""),13)</f>
        <v>13</v>
      </c>
      <c r="D5527" s="12" t="str">
        <f ca="1">IFERROR(__xludf.DUMMYFUNCTION("""COMPUTED_VALUE"""),"桐山 勝気")</f>
        <v>桐山 勝気</v>
      </c>
    </row>
    <row r="5528" spans="2:4" ht="13">
      <c r="B5528" s="12">
        <f ca="1">IFERROR(__xludf.DUMMYFUNCTION("""COMPUTED_VALUE"""),130523)</f>
        <v>130523</v>
      </c>
      <c r="C5528" s="14">
        <f ca="1">IFERROR(__xludf.DUMMYFUNCTION("""COMPUTED_VALUE"""),5)</f>
        <v>5</v>
      </c>
      <c r="D5528" s="12" t="str">
        <f ca="1">IFERROR(__xludf.DUMMYFUNCTION("""COMPUTED_VALUE"""),"村上 浩一朗")</f>
        <v>村上 浩一朗</v>
      </c>
    </row>
    <row r="5529" spans="2:4" ht="13">
      <c r="B5529" s="12">
        <f ca="1">IFERROR(__xludf.DUMMYFUNCTION("""COMPUTED_VALUE"""),130531)</f>
        <v>130531</v>
      </c>
      <c r="C5529" s="14">
        <f ca="1">IFERROR(__xludf.DUMMYFUNCTION("""COMPUTED_VALUE"""),39)</f>
        <v>39</v>
      </c>
      <c r="D5529" s="12" t="str">
        <f ca="1">IFERROR(__xludf.DUMMYFUNCTION("""COMPUTED_VALUE"""),"稲場 勇介")</f>
        <v>稲場 勇介</v>
      </c>
    </row>
    <row r="5530" spans="2:4" ht="13">
      <c r="B5530" s="12">
        <f ca="1">IFERROR(__xludf.DUMMYFUNCTION("""COMPUTED_VALUE"""),130540)</f>
        <v>130540</v>
      </c>
      <c r="C5530" s="14">
        <f ca="1">IFERROR(__xludf.DUMMYFUNCTION("""COMPUTED_VALUE"""),0)</f>
        <v>0</v>
      </c>
      <c r="D5530" s="12" t="str">
        <f ca="1">IFERROR(__xludf.DUMMYFUNCTION("""COMPUTED_VALUE"""),"小関 麻起")</f>
        <v>小関 麻起</v>
      </c>
    </row>
    <row r="5531" spans="2:4" ht="13">
      <c r="B5531" s="12">
        <f ca="1">IFERROR(__xludf.DUMMYFUNCTION("""COMPUTED_VALUE"""),130550)</f>
        <v>130550</v>
      </c>
      <c r="C5531" s="14">
        <f ca="1">IFERROR(__xludf.DUMMYFUNCTION("""COMPUTED_VALUE"""),0)</f>
        <v>0</v>
      </c>
      <c r="D5531" s="12" t="str">
        <f ca="1">IFERROR(__xludf.DUMMYFUNCTION("""COMPUTED_VALUE"""),"桐山 勝気")</f>
        <v>桐山 勝気</v>
      </c>
    </row>
    <row r="5532" spans="2:4" ht="13">
      <c r="B5532" s="12">
        <f ca="1">IFERROR(__xludf.DUMMYFUNCTION("""COMPUTED_VALUE"""),130555)</f>
        <v>130555</v>
      </c>
      <c r="C5532" s="14">
        <f ca="1">IFERROR(__xludf.DUMMYFUNCTION("""COMPUTED_VALUE"""),0)</f>
        <v>0</v>
      </c>
      <c r="D5532" s="12" t="str">
        <f ca="1">IFERROR(__xludf.DUMMYFUNCTION("""COMPUTED_VALUE"""),"老田 純輝")</f>
        <v>老田 純輝</v>
      </c>
    </row>
    <row r="5533" spans="2:4" ht="13">
      <c r="B5533" s="12">
        <f ca="1">IFERROR(__xludf.DUMMYFUNCTION("""COMPUTED_VALUE"""),130567)</f>
        <v>130567</v>
      </c>
      <c r="C5533" s="14">
        <f ca="1">IFERROR(__xludf.DUMMYFUNCTION("""COMPUTED_VALUE"""),0)</f>
        <v>0</v>
      </c>
      <c r="D5533" s="12" t="str">
        <f ca="1">IFERROR(__xludf.DUMMYFUNCTION("""COMPUTED_VALUE"""),"荻曽 克輝")</f>
        <v>荻曽 克輝</v>
      </c>
    </row>
    <row r="5534" spans="2:4" ht="13">
      <c r="B5534" s="12">
        <f ca="1">IFERROR(__xludf.DUMMYFUNCTION("""COMPUTED_VALUE"""),130571)</f>
        <v>130571</v>
      </c>
      <c r="C5534" s="14">
        <f ca="1">IFERROR(__xludf.DUMMYFUNCTION("""COMPUTED_VALUE"""),0)</f>
        <v>0</v>
      </c>
      <c r="D5534" s="12" t="str">
        <f ca="1">IFERROR(__xludf.DUMMYFUNCTION("""COMPUTED_VALUE"""),"成嶋 夏未")</f>
        <v>成嶋 夏未</v>
      </c>
    </row>
    <row r="5535" spans="2:4" ht="13">
      <c r="B5535" s="12">
        <f ca="1">IFERROR(__xludf.DUMMYFUNCTION("""COMPUTED_VALUE"""),130575)</f>
        <v>130575</v>
      </c>
      <c r="C5535" s="14">
        <f ca="1">IFERROR(__xludf.DUMMYFUNCTION("""COMPUTED_VALUE"""),7)</f>
        <v>7</v>
      </c>
      <c r="D5535" s="12" t="str">
        <f ca="1">IFERROR(__xludf.DUMMYFUNCTION("""COMPUTED_VALUE"""),"栗原 大武")</f>
        <v>栗原 大武</v>
      </c>
    </row>
    <row r="5536" spans="2:4" ht="13">
      <c r="B5536" s="12">
        <f ca="1">IFERROR(__xludf.DUMMYFUNCTION("""COMPUTED_VALUE"""),130577)</f>
        <v>130577</v>
      </c>
      <c r="C5536" s="14">
        <f ca="1">IFERROR(__xludf.DUMMYFUNCTION("""COMPUTED_VALUE"""),0)</f>
        <v>0</v>
      </c>
      <c r="D5536" s="12" t="str">
        <f ca="1">IFERROR(__xludf.DUMMYFUNCTION("""COMPUTED_VALUE"""),"老田 純輝")</f>
        <v>老田 純輝</v>
      </c>
    </row>
    <row r="5537" spans="2:4" ht="13">
      <c r="B5537" s="12">
        <f ca="1">IFERROR(__xludf.DUMMYFUNCTION("""COMPUTED_VALUE"""),130582)</f>
        <v>130582</v>
      </c>
      <c r="C5537" s="14">
        <f ca="1">IFERROR(__xludf.DUMMYFUNCTION("""COMPUTED_VALUE"""),0)</f>
        <v>0</v>
      </c>
      <c r="D5537" s="12" t="str">
        <f ca="1">IFERROR(__xludf.DUMMYFUNCTION("""COMPUTED_VALUE"""),"成嶋 夏未")</f>
        <v>成嶋 夏未</v>
      </c>
    </row>
    <row r="5538" spans="2:4" ht="13">
      <c r="B5538" s="12">
        <f ca="1">IFERROR(__xludf.DUMMYFUNCTION("""COMPUTED_VALUE"""),130589)</f>
        <v>130589</v>
      </c>
      <c r="C5538" s="14">
        <f ca="1">IFERROR(__xludf.DUMMYFUNCTION("""COMPUTED_VALUE"""),0)</f>
        <v>0</v>
      </c>
      <c r="D5538" s="12" t="str">
        <f ca="1">IFERROR(__xludf.DUMMYFUNCTION("""COMPUTED_VALUE"""),"小関 麻起")</f>
        <v>小関 麻起</v>
      </c>
    </row>
    <row r="5539" spans="2:4" ht="13">
      <c r="B5539" s="12">
        <f ca="1">IFERROR(__xludf.DUMMYFUNCTION("""COMPUTED_VALUE"""),130592)</f>
        <v>130592</v>
      </c>
      <c r="C5539" s="14">
        <f ca="1">IFERROR(__xludf.DUMMYFUNCTION("""COMPUTED_VALUE"""),0)</f>
        <v>0</v>
      </c>
      <c r="D5539" s="12" t="str">
        <f ca="1">IFERROR(__xludf.DUMMYFUNCTION("""COMPUTED_VALUE"""),"小川 純")</f>
        <v>小川 純</v>
      </c>
    </row>
    <row r="5540" spans="2:4" ht="13">
      <c r="B5540" s="12">
        <f ca="1">IFERROR(__xludf.DUMMYFUNCTION("""COMPUTED_VALUE"""),130596)</f>
        <v>130596</v>
      </c>
      <c r="C5540" s="14">
        <f ca="1">IFERROR(__xludf.DUMMYFUNCTION("""COMPUTED_VALUE"""),0)</f>
        <v>0</v>
      </c>
      <c r="D5540" s="12" t="str">
        <f ca="1">IFERROR(__xludf.DUMMYFUNCTION("""COMPUTED_VALUE"""),"栗原 大武")</f>
        <v>栗原 大武</v>
      </c>
    </row>
    <row r="5541" spans="2:4" ht="13">
      <c r="B5541" s="12">
        <f ca="1">IFERROR(__xludf.DUMMYFUNCTION("""COMPUTED_VALUE"""),130599)</f>
        <v>130599</v>
      </c>
      <c r="C5541" s="14">
        <f ca="1">IFERROR(__xludf.DUMMYFUNCTION("""COMPUTED_VALUE"""),0)</f>
        <v>0</v>
      </c>
      <c r="D5541" s="12" t="str">
        <f ca="1">IFERROR(__xludf.DUMMYFUNCTION("""COMPUTED_VALUE"""),"栗原 大武")</f>
        <v>栗原 大武</v>
      </c>
    </row>
    <row r="5542" spans="2:4" ht="13">
      <c r="B5542" s="12">
        <f ca="1">IFERROR(__xludf.DUMMYFUNCTION("""COMPUTED_VALUE"""),130606)</f>
        <v>130606</v>
      </c>
      <c r="C5542" s="14">
        <f ca="1">IFERROR(__xludf.DUMMYFUNCTION("""COMPUTED_VALUE"""),0)</f>
        <v>0</v>
      </c>
      <c r="D5542" s="12" t="str">
        <f ca="1">IFERROR(__xludf.DUMMYFUNCTION("""COMPUTED_VALUE"""),"成嶋 夏未")</f>
        <v>成嶋 夏未</v>
      </c>
    </row>
    <row r="5543" spans="2:4" ht="13">
      <c r="B5543" s="12">
        <f ca="1">IFERROR(__xludf.DUMMYFUNCTION("""COMPUTED_VALUE"""),130623)</f>
        <v>130623</v>
      </c>
      <c r="C5543" s="14">
        <f ca="1">IFERROR(__xludf.DUMMYFUNCTION("""COMPUTED_VALUE"""),0)</f>
        <v>0</v>
      </c>
      <c r="D5543" s="12" t="str">
        <f ca="1">IFERROR(__xludf.DUMMYFUNCTION("""COMPUTED_VALUE"""),"菅野 ぎんが")</f>
        <v>菅野 ぎんが</v>
      </c>
    </row>
    <row r="5544" spans="2:4" ht="13">
      <c r="B5544" s="12">
        <f ca="1">IFERROR(__xludf.DUMMYFUNCTION("""COMPUTED_VALUE"""),130627)</f>
        <v>130627</v>
      </c>
      <c r="C5544" s="14">
        <f ca="1">IFERROR(__xludf.DUMMYFUNCTION("""COMPUTED_VALUE"""),0)</f>
        <v>0</v>
      </c>
      <c r="D5544" s="12" t="str">
        <f ca="1">IFERROR(__xludf.DUMMYFUNCTION("""COMPUTED_VALUE"""),"荻曽 克輝")</f>
        <v>荻曽 克輝</v>
      </c>
    </row>
    <row r="5545" spans="2:4" ht="13">
      <c r="B5545" s="12">
        <f ca="1">IFERROR(__xludf.DUMMYFUNCTION("""COMPUTED_VALUE"""),130630)</f>
        <v>130630</v>
      </c>
      <c r="C5545" s="14">
        <f ca="1">IFERROR(__xludf.DUMMYFUNCTION("""COMPUTED_VALUE"""),0)</f>
        <v>0</v>
      </c>
      <c r="D5545" s="12" t="str">
        <f ca="1">IFERROR(__xludf.DUMMYFUNCTION("""COMPUTED_VALUE"""),"堀越 駿")</f>
        <v>堀越 駿</v>
      </c>
    </row>
    <row r="5546" spans="2:4" ht="13">
      <c r="B5546" s="12">
        <f ca="1">IFERROR(__xludf.DUMMYFUNCTION("""COMPUTED_VALUE"""),130640)</f>
        <v>130640</v>
      </c>
      <c r="C5546" s="14">
        <f ca="1">IFERROR(__xludf.DUMMYFUNCTION("""COMPUTED_VALUE"""),0)</f>
        <v>0</v>
      </c>
      <c r="D5546" s="12" t="str">
        <f ca="1">IFERROR(__xludf.DUMMYFUNCTION("""COMPUTED_VALUE"""),"桐山 勝気")</f>
        <v>桐山 勝気</v>
      </c>
    </row>
    <row r="5547" spans="2:4" ht="13">
      <c r="B5547" s="12">
        <f ca="1">IFERROR(__xludf.DUMMYFUNCTION("""COMPUTED_VALUE"""),130642)</f>
        <v>130642</v>
      </c>
      <c r="C5547" s="14">
        <f ca="1">IFERROR(__xludf.DUMMYFUNCTION("""COMPUTED_VALUE"""),4)</f>
        <v>4</v>
      </c>
      <c r="D5547" s="12" t="str">
        <f ca="1">IFERROR(__xludf.DUMMYFUNCTION("""COMPUTED_VALUE"""),"田嶋 将太")</f>
        <v>田嶋 将太</v>
      </c>
    </row>
    <row r="5548" spans="2:4" ht="13">
      <c r="B5548" s="12">
        <f ca="1">IFERROR(__xludf.DUMMYFUNCTION("""COMPUTED_VALUE"""),130644)</f>
        <v>130644</v>
      </c>
      <c r="C5548" s="14">
        <f ca="1">IFERROR(__xludf.DUMMYFUNCTION("""COMPUTED_VALUE"""),2)</f>
        <v>2</v>
      </c>
      <c r="D5548" s="12" t="str">
        <f ca="1">IFERROR(__xludf.DUMMYFUNCTION("""COMPUTED_VALUE"""),"田嶋 将太")</f>
        <v>田嶋 将太</v>
      </c>
    </row>
    <row r="5549" spans="2:4" ht="13">
      <c r="B5549" s="12">
        <f ca="1">IFERROR(__xludf.DUMMYFUNCTION("""COMPUTED_VALUE"""),130645)</f>
        <v>130645</v>
      </c>
      <c r="C5549" s="14">
        <f ca="1">IFERROR(__xludf.DUMMYFUNCTION("""COMPUTED_VALUE"""),0)</f>
        <v>0</v>
      </c>
      <c r="D5549" s="12" t="str">
        <f ca="1">IFERROR(__xludf.DUMMYFUNCTION("""COMPUTED_VALUE"""),"田嶋 将太")</f>
        <v>田嶋 将太</v>
      </c>
    </row>
    <row r="5550" spans="2:4" ht="13">
      <c r="B5550" s="12">
        <f ca="1">IFERROR(__xludf.DUMMYFUNCTION("""COMPUTED_VALUE"""),130647)</f>
        <v>130647</v>
      </c>
      <c r="C5550" s="14">
        <f ca="1">IFERROR(__xludf.DUMMYFUNCTION("""COMPUTED_VALUE"""),2)</f>
        <v>2</v>
      </c>
      <c r="D5550" s="12" t="str">
        <f ca="1">IFERROR(__xludf.DUMMYFUNCTION("""COMPUTED_VALUE"""),"田嶋 将太")</f>
        <v>田嶋 将太</v>
      </c>
    </row>
    <row r="5551" spans="2:4" ht="13">
      <c r="B5551" s="12">
        <f ca="1">IFERROR(__xludf.DUMMYFUNCTION("""COMPUTED_VALUE"""),130650)</f>
        <v>130650</v>
      </c>
      <c r="C5551" s="14">
        <f ca="1">IFERROR(__xludf.DUMMYFUNCTION("""COMPUTED_VALUE"""),9)</f>
        <v>9</v>
      </c>
      <c r="D5551" s="12" t="str">
        <f ca="1">IFERROR(__xludf.DUMMYFUNCTION("""COMPUTED_VALUE"""),"田嶋 将太")</f>
        <v>田嶋 将太</v>
      </c>
    </row>
    <row r="5552" spans="2:4" ht="13">
      <c r="B5552" s="12">
        <f ca="1">IFERROR(__xludf.DUMMYFUNCTION("""COMPUTED_VALUE"""),130651)</f>
        <v>130651</v>
      </c>
      <c r="C5552" s="14">
        <f ca="1">IFERROR(__xludf.DUMMYFUNCTION("""COMPUTED_VALUE"""),6)</f>
        <v>6</v>
      </c>
      <c r="D5552" s="12" t="str">
        <f ca="1">IFERROR(__xludf.DUMMYFUNCTION("""COMPUTED_VALUE"""),"田嶋 将太")</f>
        <v>田嶋 将太</v>
      </c>
    </row>
    <row r="5553" spans="2:4" ht="13">
      <c r="B5553" s="12">
        <f ca="1">IFERROR(__xludf.DUMMYFUNCTION("""COMPUTED_VALUE"""),130653)</f>
        <v>130653</v>
      </c>
      <c r="C5553" s="14">
        <f ca="1">IFERROR(__xludf.DUMMYFUNCTION("""COMPUTED_VALUE"""),0)</f>
        <v>0</v>
      </c>
      <c r="D5553" s="12" t="str">
        <f ca="1">IFERROR(__xludf.DUMMYFUNCTION("""COMPUTED_VALUE"""),"松尾 尚樹")</f>
        <v>松尾 尚樹</v>
      </c>
    </row>
    <row r="5554" spans="2:4" ht="13">
      <c r="B5554" s="12">
        <f ca="1">IFERROR(__xludf.DUMMYFUNCTION("""COMPUTED_VALUE"""),130654)</f>
        <v>130654</v>
      </c>
      <c r="C5554" s="14">
        <f ca="1">IFERROR(__xludf.DUMMYFUNCTION("""COMPUTED_VALUE"""),0)</f>
        <v>0</v>
      </c>
      <c r="D5554" s="12" t="str">
        <f ca="1">IFERROR(__xludf.DUMMYFUNCTION("""COMPUTED_VALUE"""),"桐山 勝気")</f>
        <v>桐山 勝気</v>
      </c>
    </row>
    <row r="5555" spans="2:4" ht="13">
      <c r="B5555" s="12">
        <f ca="1">IFERROR(__xludf.DUMMYFUNCTION("""COMPUTED_VALUE"""),130665)</f>
        <v>130665</v>
      </c>
      <c r="C5555" s="14">
        <f ca="1">IFERROR(__xludf.DUMMYFUNCTION("""COMPUTED_VALUE"""),2)</f>
        <v>2</v>
      </c>
      <c r="D5555" s="12" t="str">
        <f ca="1">IFERROR(__xludf.DUMMYFUNCTION("""COMPUTED_VALUE"""),"田嶋 将太")</f>
        <v>田嶋 将太</v>
      </c>
    </row>
    <row r="5556" spans="2:4" ht="13">
      <c r="B5556" s="12">
        <f ca="1">IFERROR(__xludf.DUMMYFUNCTION("""COMPUTED_VALUE"""),130671)</f>
        <v>130671</v>
      </c>
      <c r="C5556" s="14">
        <f ca="1">IFERROR(__xludf.DUMMYFUNCTION("""COMPUTED_VALUE"""),0)</f>
        <v>0</v>
      </c>
      <c r="D5556" s="12" t="str">
        <f ca="1">IFERROR(__xludf.DUMMYFUNCTION("""COMPUTED_VALUE"""),"小川 純")</f>
        <v>小川 純</v>
      </c>
    </row>
    <row r="5557" spans="2:4" ht="13">
      <c r="B5557" s="12">
        <f ca="1">IFERROR(__xludf.DUMMYFUNCTION("""COMPUTED_VALUE"""),130674)</f>
        <v>130674</v>
      </c>
      <c r="C5557" s="14">
        <f ca="1">IFERROR(__xludf.DUMMYFUNCTION("""COMPUTED_VALUE"""),0)</f>
        <v>0</v>
      </c>
      <c r="D5557" s="12" t="str">
        <f ca="1">IFERROR(__xludf.DUMMYFUNCTION("""COMPUTED_VALUE"""),"辻村 将大")</f>
        <v>辻村 将大</v>
      </c>
    </row>
    <row r="5558" spans="2:4" ht="13">
      <c r="B5558" s="12">
        <f ca="1">IFERROR(__xludf.DUMMYFUNCTION("""COMPUTED_VALUE"""),130682)</f>
        <v>130682</v>
      </c>
      <c r="C5558" s="14">
        <f ca="1">IFERROR(__xludf.DUMMYFUNCTION("""COMPUTED_VALUE"""),1)</f>
        <v>1</v>
      </c>
      <c r="D5558" s="12" t="str">
        <f ca="1">IFERROR(__xludf.DUMMYFUNCTION("""COMPUTED_VALUE"""),"小川 純")</f>
        <v>小川 純</v>
      </c>
    </row>
    <row r="5559" spans="2:4" ht="13">
      <c r="B5559" s="12">
        <f ca="1">IFERROR(__xludf.DUMMYFUNCTION("""COMPUTED_VALUE"""),130692)</f>
        <v>130692</v>
      </c>
      <c r="C5559" s="14">
        <f ca="1">IFERROR(__xludf.DUMMYFUNCTION("""COMPUTED_VALUE"""),0)</f>
        <v>0</v>
      </c>
      <c r="D5559" s="12" t="str">
        <f ca="1">IFERROR(__xludf.DUMMYFUNCTION("""COMPUTED_VALUE"""),"小関 麻起")</f>
        <v>小関 麻起</v>
      </c>
    </row>
    <row r="5560" spans="2:4" ht="13">
      <c r="B5560" s="12">
        <f ca="1">IFERROR(__xludf.DUMMYFUNCTION("""COMPUTED_VALUE"""),130693)</f>
        <v>130693</v>
      </c>
      <c r="C5560" s="14">
        <f ca="1">IFERROR(__xludf.DUMMYFUNCTION("""COMPUTED_VALUE"""),0)</f>
        <v>0</v>
      </c>
      <c r="D5560" s="12" t="str">
        <f ca="1">IFERROR(__xludf.DUMMYFUNCTION("""COMPUTED_VALUE"""),"内丸 裕子")</f>
        <v>内丸 裕子</v>
      </c>
    </row>
    <row r="5561" spans="2:4" ht="13">
      <c r="B5561" s="12">
        <f ca="1">IFERROR(__xludf.DUMMYFUNCTION("""COMPUTED_VALUE"""),130696)</f>
        <v>130696</v>
      </c>
      <c r="C5561" s="14">
        <f ca="1">IFERROR(__xludf.DUMMYFUNCTION("""COMPUTED_VALUE"""),0)</f>
        <v>0</v>
      </c>
      <c r="D5561" s="12" t="str">
        <f ca="1">IFERROR(__xludf.DUMMYFUNCTION("""COMPUTED_VALUE"""),"荻曽 克輝")</f>
        <v>荻曽 克輝</v>
      </c>
    </row>
    <row r="5562" spans="2:4" ht="13">
      <c r="B5562" s="12">
        <f ca="1">IFERROR(__xludf.DUMMYFUNCTION("""COMPUTED_VALUE"""),130701)</f>
        <v>130701</v>
      </c>
      <c r="C5562" s="14">
        <f ca="1">IFERROR(__xludf.DUMMYFUNCTION("""COMPUTED_VALUE"""),0)</f>
        <v>0</v>
      </c>
      <c r="D5562" s="12" t="str">
        <f ca="1">IFERROR(__xludf.DUMMYFUNCTION("""COMPUTED_VALUE"""),"荻曽 克輝")</f>
        <v>荻曽 克輝</v>
      </c>
    </row>
    <row r="5563" spans="2:4" ht="13">
      <c r="B5563" s="12">
        <f ca="1">IFERROR(__xludf.DUMMYFUNCTION("""COMPUTED_VALUE"""),130713)</f>
        <v>130713</v>
      </c>
      <c r="C5563" s="14">
        <f ca="1">IFERROR(__xludf.DUMMYFUNCTION("""COMPUTED_VALUE"""),1)</f>
        <v>1</v>
      </c>
      <c r="D5563" s="12" t="str">
        <f ca="1">IFERROR(__xludf.DUMMYFUNCTION("""COMPUTED_VALUE"""),"大木 優香")</f>
        <v>大木 優香</v>
      </c>
    </row>
    <row r="5564" spans="2:4" ht="13">
      <c r="B5564" s="12">
        <f ca="1">IFERROR(__xludf.DUMMYFUNCTION("""COMPUTED_VALUE"""),130720)</f>
        <v>130720</v>
      </c>
      <c r="C5564" s="14">
        <f ca="1">IFERROR(__xludf.DUMMYFUNCTION("""COMPUTED_VALUE"""),0)</f>
        <v>0</v>
      </c>
      <c r="D5564" s="12" t="str">
        <f ca="1">IFERROR(__xludf.DUMMYFUNCTION("""COMPUTED_VALUE"""),"成嶋 夏未")</f>
        <v>成嶋 夏未</v>
      </c>
    </row>
    <row r="5565" spans="2:4" ht="13">
      <c r="B5565" s="12">
        <f ca="1">IFERROR(__xludf.DUMMYFUNCTION("""COMPUTED_VALUE"""),130721)</f>
        <v>130721</v>
      </c>
      <c r="C5565" s="14">
        <f ca="1">IFERROR(__xludf.DUMMYFUNCTION("""COMPUTED_VALUE"""),0)</f>
        <v>0</v>
      </c>
      <c r="D5565" s="12" t="str">
        <f ca="1">IFERROR(__xludf.DUMMYFUNCTION("""COMPUTED_VALUE"""),"松尾 尚樹")</f>
        <v>松尾 尚樹</v>
      </c>
    </row>
    <row r="5566" spans="2:4" ht="13">
      <c r="B5566" s="12">
        <f ca="1">IFERROR(__xludf.DUMMYFUNCTION("""COMPUTED_VALUE"""),130724)</f>
        <v>130724</v>
      </c>
      <c r="C5566" s="14">
        <f ca="1">IFERROR(__xludf.DUMMYFUNCTION("""COMPUTED_VALUE"""),0)</f>
        <v>0</v>
      </c>
      <c r="D5566" s="12" t="str">
        <f ca="1">IFERROR(__xludf.DUMMYFUNCTION("""COMPUTED_VALUE"""),"荻曽 克輝")</f>
        <v>荻曽 克輝</v>
      </c>
    </row>
    <row r="5567" spans="2:4" ht="13">
      <c r="B5567" s="12">
        <f ca="1">IFERROR(__xludf.DUMMYFUNCTION("""COMPUTED_VALUE"""),130732)</f>
        <v>130732</v>
      </c>
      <c r="C5567" s="14">
        <f ca="1">IFERROR(__xludf.DUMMYFUNCTION("""COMPUTED_VALUE"""),0)</f>
        <v>0</v>
      </c>
      <c r="D5567" s="12" t="str">
        <f ca="1">IFERROR(__xludf.DUMMYFUNCTION("""COMPUTED_VALUE"""),"長谷川 陸朗")</f>
        <v>長谷川 陸朗</v>
      </c>
    </row>
    <row r="5568" spans="2:4" ht="13">
      <c r="B5568" s="12">
        <f ca="1">IFERROR(__xludf.DUMMYFUNCTION("""COMPUTED_VALUE"""),130743)</f>
        <v>130743</v>
      </c>
      <c r="C5568" s="14">
        <f ca="1">IFERROR(__xludf.DUMMYFUNCTION("""COMPUTED_VALUE"""),0)</f>
        <v>0</v>
      </c>
      <c r="D5568" s="12" t="str">
        <f ca="1">IFERROR(__xludf.DUMMYFUNCTION("""COMPUTED_VALUE"""),"成嶋 夏未")</f>
        <v>成嶋 夏未</v>
      </c>
    </row>
    <row r="5569" spans="2:4" ht="13">
      <c r="B5569" s="12">
        <f ca="1">IFERROR(__xludf.DUMMYFUNCTION("""COMPUTED_VALUE"""),130749)</f>
        <v>130749</v>
      </c>
      <c r="C5569" s="14">
        <f ca="1">IFERROR(__xludf.DUMMYFUNCTION("""COMPUTED_VALUE"""),0)</f>
        <v>0</v>
      </c>
      <c r="D5569" s="12" t="str">
        <f ca="1">IFERROR(__xludf.DUMMYFUNCTION("""COMPUTED_VALUE"""),"小関 麻起")</f>
        <v>小関 麻起</v>
      </c>
    </row>
    <row r="5570" spans="2:4" ht="13">
      <c r="B5570" s="12">
        <f ca="1">IFERROR(__xludf.DUMMYFUNCTION("""COMPUTED_VALUE"""),130754)</f>
        <v>130754</v>
      </c>
      <c r="C5570" s="14">
        <f ca="1">IFERROR(__xludf.DUMMYFUNCTION("""COMPUTED_VALUE"""),0)</f>
        <v>0</v>
      </c>
      <c r="D5570" s="12" t="str">
        <f ca="1">IFERROR(__xludf.DUMMYFUNCTION("""COMPUTED_VALUE"""),"菅野 ぎんが")</f>
        <v>菅野 ぎんが</v>
      </c>
    </row>
    <row r="5571" spans="2:4" ht="13">
      <c r="B5571" s="12">
        <f ca="1">IFERROR(__xludf.DUMMYFUNCTION("""COMPUTED_VALUE"""),130757)</f>
        <v>130757</v>
      </c>
      <c r="C5571" s="14">
        <f ca="1">IFERROR(__xludf.DUMMYFUNCTION("""COMPUTED_VALUE"""),0)</f>
        <v>0</v>
      </c>
      <c r="D5571" s="12" t="str">
        <f ca="1">IFERROR(__xludf.DUMMYFUNCTION("""COMPUTED_VALUE"""),"桐山 勝気")</f>
        <v>桐山 勝気</v>
      </c>
    </row>
    <row r="5572" spans="2:4" ht="13">
      <c r="B5572" s="12">
        <f ca="1">IFERROR(__xludf.DUMMYFUNCTION("""COMPUTED_VALUE"""),130763)</f>
        <v>130763</v>
      </c>
      <c r="C5572" s="14">
        <f ca="1">IFERROR(__xludf.DUMMYFUNCTION("""COMPUTED_VALUE"""),0)</f>
        <v>0</v>
      </c>
      <c r="D5572" s="12" t="str">
        <f ca="1">IFERROR(__xludf.DUMMYFUNCTION("""COMPUTED_VALUE"""),"成嶋 夏未")</f>
        <v>成嶋 夏未</v>
      </c>
    </row>
    <row r="5573" spans="2:4" ht="13">
      <c r="B5573" s="12">
        <f ca="1">IFERROR(__xludf.DUMMYFUNCTION("""COMPUTED_VALUE"""),130765)</f>
        <v>130765</v>
      </c>
      <c r="C5573" s="14">
        <f ca="1">IFERROR(__xludf.DUMMYFUNCTION("""COMPUTED_VALUE"""),0)</f>
        <v>0</v>
      </c>
      <c r="D5573" s="12" t="str">
        <f ca="1">IFERROR(__xludf.DUMMYFUNCTION("""COMPUTED_VALUE"""),"小川 純")</f>
        <v>小川 純</v>
      </c>
    </row>
    <row r="5574" spans="2:4" ht="13">
      <c r="B5574" s="12">
        <f ca="1">IFERROR(__xludf.DUMMYFUNCTION("""COMPUTED_VALUE"""),130769)</f>
        <v>130769</v>
      </c>
      <c r="C5574" s="14">
        <f ca="1">IFERROR(__xludf.DUMMYFUNCTION("""COMPUTED_VALUE"""),0)</f>
        <v>0</v>
      </c>
      <c r="D5574" s="12" t="str">
        <f ca="1">IFERROR(__xludf.DUMMYFUNCTION("""COMPUTED_VALUE"""),"成嶋 夏未")</f>
        <v>成嶋 夏未</v>
      </c>
    </row>
    <row r="5575" spans="2:4" ht="13">
      <c r="B5575" s="12">
        <f ca="1">IFERROR(__xludf.DUMMYFUNCTION("""COMPUTED_VALUE"""),130771)</f>
        <v>130771</v>
      </c>
      <c r="C5575" s="14">
        <f ca="1">IFERROR(__xludf.DUMMYFUNCTION("""COMPUTED_VALUE"""),0)</f>
        <v>0</v>
      </c>
      <c r="D5575" s="12" t="str">
        <f ca="1">IFERROR(__xludf.DUMMYFUNCTION("""COMPUTED_VALUE"""),"松尾 尚樹")</f>
        <v>松尾 尚樹</v>
      </c>
    </row>
    <row r="5576" spans="2:4" ht="13">
      <c r="B5576" s="12">
        <f ca="1">IFERROR(__xludf.DUMMYFUNCTION("""COMPUTED_VALUE"""),130772)</f>
        <v>130772</v>
      </c>
      <c r="C5576" s="14">
        <f ca="1">IFERROR(__xludf.DUMMYFUNCTION("""COMPUTED_VALUE"""),0)</f>
        <v>0</v>
      </c>
      <c r="D5576" s="12" t="str">
        <f ca="1">IFERROR(__xludf.DUMMYFUNCTION("""COMPUTED_VALUE"""),"長谷川 陸朗")</f>
        <v>長谷川 陸朗</v>
      </c>
    </row>
    <row r="5577" spans="2:4" ht="13">
      <c r="B5577" s="12">
        <f ca="1">IFERROR(__xludf.DUMMYFUNCTION("""COMPUTED_VALUE"""),130782)</f>
        <v>130782</v>
      </c>
      <c r="C5577" s="14">
        <f ca="1">IFERROR(__xludf.DUMMYFUNCTION("""COMPUTED_VALUE"""),0)</f>
        <v>0</v>
      </c>
      <c r="D5577" s="12" t="str">
        <f ca="1">IFERROR(__xludf.DUMMYFUNCTION("""COMPUTED_VALUE"""),"堀越 駿")</f>
        <v>堀越 駿</v>
      </c>
    </row>
    <row r="5578" spans="2:4" ht="13">
      <c r="B5578" s="12">
        <f ca="1">IFERROR(__xludf.DUMMYFUNCTION("""COMPUTED_VALUE"""),130791)</f>
        <v>130791</v>
      </c>
      <c r="C5578" s="14">
        <f ca="1">IFERROR(__xludf.DUMMYFUNCTION("""COMPUTED_VALUE"""),2)</f>
        <v>2</v>
      </c>
      <c r="D5578" s="12" t="str">
        <f ca="1">IFERROR(__xludf.DUMMYFUNCTION("""COMPUTED_VALUE"""),"森 光智")</f>
        <v>森 光智</v>
      </c>
    </row>
    <row r="5579" spans="2:4" ht="13">
      <c r="B5579" s="12">
        <f ca="1">IFERROR(__xludf.DUMMYFUNCTION("""COMPUTED_VALUE"""),130815)</f>
        <v>130815</v>
      </c>
      <c r="C5579" s="14">
        <f ca="1">IFERROR(__xludf.DUMMYFUNCTION("""COMPUTED_VALUE"""),2)</f>
        <v>2</v>
      </c>
      <c r="D5579" s="12" t="str">
        <f ca="1">IFERROR(__xludf.DUMMYFUNCTION("""COMPUTED_VALUE"""),"田嶋 将太")</f>
        <v>田嶋 将太</v>
      </c>
    </row>
    <row r="5580" spans="2:4" ht="13">
      <c r="B5580" s="12">
        <f ca="1">IFERROR(__xludf.DUMMYFUNCTION("""COMPUTED_VALUE"""),130824)</f>
        <v>130824</v>
      </c>
      <c r="C5580" s="14">
        <f ca="1">IFERROR(__xludf.DUMMYFUNCTION("""COMPUTED_VALUE"""),0)</f>
        <v>0</v>
      </c>
      <c r="D5580" s="12" t="str">
        <f ca="1">IFERROR(__xludf.DUMMYFUNCTION("""COMPUTED_VALUE"""),"荻曽 克輝")</f>
        <v>荻曽 克輝</v>
      </c>
    </row>
    <row r="5581" spans="2:4" ht="13">
      <c r="B5581" s="12">
        <f ca="1">IFERROR(__xludf.DUMMYFUNCTION("""COMPUTED_VALUE"""),130839)</f>
        <v>130839</v>
      </c>
      <c r="C5581" s="14">
        <f ca="1">IFERROR(__xludf.DUMMYFUNCTION("""COMPUTED_VALUE"""),0)</f>
        <v>0</v>
      </c>
      <c r="D5581" s="12" t="str">
        <f ca="1">IFERROR(__xludf.DUMMYFUNCTION("""COMPUTED_VALUE"""),"堀越 駿")</f>
        <v>堀越 駿</v>
      </c>
    </row>
    <row r="5582" spans="2:4" ht="13">
      <c r="B5582" s="12">
        <f ca="1">IFERROR(__xludf.DUMMYFUNCTION("""COMPUTED_VALUE"""),130846)</f>
        <v>130846</v>
      </c>
      <c r="C5582" s="14">
        <f ca="1">IFERROR(__xludf.DUMMYFUNCTION("""COMPUTED_VALUE"""),0)</f>
        <v>0</v>
      </c>
      <c r="D5582" s="12" t="str">
        <f ca="1">IFERROR(__xludf.DUMMYFUNCTION("""COMPUTED_VALUE"""),"成嶋 夏未")</f>
        <v>成嶋 夏未</v>
      </c>
    </row>
    <row r="5583" spans="2:4" ht="13">
      <c r="B5583" s="12">
        <f ca="1">IFERROR(__xludf.DUMMYFUNCTION("""COMPUTED_VALUE"""),130848)</f>
        <v>130848</v>
      </c>
      <c r="C5583" s="14">
        <f ca="1">IFERROR(__xludf.DUMMYFUNCTION("""COMPUTED_VALUE"""),7)</f>
        <v>7</v>
      </c>
      <c r="D5583" s="12" t="str">
        <f ca="1">IFERROR(__xludf.DUMMYFUNCTION("""COMPUTED_VALUE"""),"稲場 勇介")</f>
        <v>稲場 勇介</v>
      </c>
    </row>
    <row r="5584" spans="2:4" ht="13">
      <c r="B5584" s="12">
        <f ca="1">IFERROR(__xludf.DUMMYFUNCTION("""COMPUTED_VALUE"""),130852)</f>
        <v>130852</v>
      </c>
      <c r="C5584" s="14">
        <f ca="1">IFERROR(__xludf.DUMMYFUNCTION("""COMPUTED_VALUE"""),0)</f>
        <v>0</v>
      </c>
      <c r="D5584" s="12" t="str">
        <f ca="1">IFERROR(__xludf.DUMMYFUNCTION("""COMPUTED_VALUE"""),"小関 麻起")</f>
        <v>小関 麻起</v>
      </c>
    </row>
    <row r="5585" spans="2:4" ht="13">
      <c r="B5585" s="12">
        <f ca="1">IFERROR(__xludf.DUMMYFUNCTION("""COMPUTED_VALUE"""),130853)</f>
        <v>130853</v>
      </c>
      <c r="C5585" s="14">
        <f ca="1">IFERROR(__xludf.DUMMYFUNCTION("""COMPUTED_VALUE"""),0)</f>
        <v>0</v>
      </c>
      <c r="D5585" s="12" t="str">
        <f ca="1">IFERROR(__xludf.DUMMYFUNCTION("""COMPUTED_VALUE"""),"村上 浩一朗")</f>
        <v>村上 浩一朗</v>
      </c>
    </row>
    <row r="5586" spans="2:4" ht="13">
      <c r="B5586" s="12">
        <f ca="1">IFERROR(__xludf.DUMMYFUNCTION("""COMPUTED_VALUE"""),130863)</f>
        <v>130863</v>
      </c>
      <c r="C5586" s="14">
        <f ca="1">IFERROR(__xludf.DUMMYFUNCTION("""COMPUTED_VALUE"""),3)</f>
        <v>3</v>
      </c>
      <c r="D5586" s="12" t="str">
        <f ca="1">IFERROR(__xludf.DUMMYFUNCTION("""COMPUTED_VALUE"""),"辻村 将大")</f>
        <v>辻村 将大</v>
      </c>
    </row>
    <row r="5587" spans="2:4" ht="13">
      <c r="B5587" s="12">
        <f ca="1">IFERROR(__xludf.DUMMYFUNCTION("""COMPUTED_VALUE"""),130865)</f>
        <v>130865</v>
      </c>
      <c r="C5587" s="14">
        <f ca="1">IFERROR(__xludf.DUMMYFUNCTION("""COMPUTED_VALUE"""),0)</f>
        <v>0</v>
      </c>
      <c r="D5587" s="12" t="str">
        <f ca="1">IFERROR(__xludf.DUMMYFUNCTION("""COMPUTED_VALUE"""),"老田 純輝")</f>
        <v>老田 純輝</v>
      </c>
    </row>
    <row r="5588" spans="2:4" ht="13">
      <c r="B5588" s="12">
        <f ca="1">IFERROR(__xludf.DUMMYFUNCTION("""COMPUTED_VALUE"""),130873)</f>
        <v>130873</v>
      </c>
      <c r="C5588" s="14">
        <f ca="1">IFERROR(__xludf.DUMMYFUNCTION("""COMPUTED_VALUE"""),0)</f>
        <v>0</v>
      </c>
      <c r="D5588" s="12" t="str">
        <f ca="1">IFERROR(__xludf.DUMMYFUNCTION("""COMPUTED_VALUE"""),"成嶋 夏未")</f>
        <v>成嶋 夏未</v>
      </c>
    </row>
    <row r="5589" spans="2:4" ht="13">
      <c r="B5589" s="12">
        <f ca="1">IFERROR(__xludf.DUMMYFUNCTION("""COMPUTED_VALUE"""),130880)</f>
        <v>130880</v>
      </c>
      <c r="C5589" s="14">
        <f ca="1">IFERROR(__xludf.DUMMYFUNCTION("""COMPUTED_VALUE"""),0)</f>
        <v>0</v>
      </c>
      <c r="D5589" s="12" t="str">
        <f ca="1">IFERROR(__xludf.DUMMYFUNCTION("""COMPUTED_VALUE"""),"長谷川 陸朗")</f>
        <v>長谷川 陸朗</v>
      </c>
    </row>
    <row r="5590" spans="2:4" ht="13">
      <c r="B5590" s="12">
        <f ca="1">IFERROR(__xludf.DUMMYFUNCTION("""COMPUTED_VALUE"""),130903)</f>
        <v>130903</v>
      </c>
      <c r="C5590" s="14">
        <f ca="1">IFERROR(__xludf.DUMMYFUNCTION("""COMPUTED_VALUE"""),0)</f>
        <v>0</v>
      </c>
      <c r="D5590" s="12" t="str">
        <f ca="1">IFERROR(__xludf.DUMMYFUNCTION("""COMPUTED_VALUE"""),"長谷川 陸朗")</f>
        <v>長谷川 陸朗</v>
      </c>
    </row>
    <row r="5591" spans="2:4" ht="13">
      <c r="B5591" s="12">
        <f ca="1">IFERROR(__xludf.DUMMYFUNCTION("""COMPUTED_VALUE"""),130906)</f>
        <v>130906</v>
      </c>
      <c r="C5591" s="14">
        <f ca="1">IFERROR(__xludf.DUMMYFUNCTION("""COMPUTED_VALUE"""),47)</f>
        <v>47</v>
      </c>
      <c r="D5591" s="12" t="str">
        <f ca="1">IFERROR(__xludf.DUMMYFUNCTION("""COMPUTED_VALUE"""),"桐山 勝気")</f>
        <v>桐山 勝気</v>
      </c>
    </row>
    <row r="5592" spans="2:4" ht="13">
      <c r="B5592" s="12">
        <f ca="1">IFERROR(__xludf.DUMMYFUNCTION("""COMPUTED_VALUE"""),130909)</f>
        <v>130909</v>
      </c>
      <c r="C5592" s="14">
        <f ca="1">IFERROR(__xludf.DUMMYFUNCTION("""COMPUTED_VALUE"""),0)</f>
        <v>0</v>
      </c>
      <c r="D5592" s="12" t="str">
        <f ca="1">IFERROR(__xludf.DUMMYFUNCTION("""COMPUTED_VALUE"""),"小川 純")</f>
        <v>小川 純</v>
      </c>
    </row>
    <row r="5593" spans="2:4" ht="13">
      <c r="B5593" s="12">
        <f ca="1">IFERROR(__xludf.DUMMYFUNCTION("""COMPUTED_VALUE"""),130913)</f>
        <v>130913</v>
      </c>
      <c r="C5593" s="14">
        <f ca="1">IFERROR(__xludf.DUMMYFUNCTION("""COMPUTED_VALUE"""),0)</f>
        <v>0</v>
      </c>
      <c r="D5593" s="12" t="str">
        <f ca="1">IFERROR(__xludf.DUMMYFUNCTION("""COMPUTED_VALUE"""),"成嶋 夏未")</f>
        <v>成嶋 夏未</v>
      </c>
    </row>
    <row r="5594" spans="2:4" ht="13">
      <c r="B5594" s="12">
        <f ca="1">IFERROR(__xludf.DUMMYFUNCTION("""COMPUTED_VALUE"""),130914)</f>
        <v>130914</v>
      </c>
      <c r="C5594" s="14">
        <f ca="1">IFERROR(__xludf.DUMMYFUNCTION("""COMPUTED_VALUE"""),273)</f>
        <v>273</v>
      </c>
      <c r="D5594" s="12" t="str">
        <f ca="1">IFERROR(__xludf.DUMMYFUNCTION("""COMPUTED_VALUE"""),"辻村 将大")</f>
        <v>辻村 将大</v>
      </c>
    </row>
    <row r="5595" spans="2:4" ht="13">
      <c r="B5595" s="12">
        <f ca="1">IFERROR(__xludf.DUMMYFUNCTION("""COMPUTED_VALUE"""),130916)</f>
        <v>130916</v>
      </c>
      <c r="C5595" s="14">
        <f ca="1">IFERROR(__xludf.DUMMYFUNCTION("""COMPUTED_VALUE"""),0)</f>
        <v>0</v>
      </c>
      <c r="D5595" s="12" t="str">
        <f ca="1">IFERROR(__xludf.DUMMYFUNCTION("""COMPUTED_VALUE"""),"荻曽 克輝")</f>
        <v>荻曽 克輝</v>
      </c>
    </row>
    <row r="5596" spans="2:4" ht="13">
      <c r="B5596" s="12">
        <f ca="1">IFERROR(__xludf.DUMMYFUNCTION("""COMPUTED_VALUE"""),130923)</f>
        <v>130923</v>
      </c>
      <c r="C5596" s="14">
        <f ca="1">IFERROR(__xludf.DUMMYFUNCTION("""COMPUTED_VALUE"""),6)</f>
        <v>6</v>
      </c>
      <c r="D5596" s="12" t="str">
        <f ca="1">IFERROR(__xludf.DUMMYFUNCTION("""COMPUTED_VALUE"""),"大木 優香")</f>
        <v>大木 優香</v>
      </c>
    </row>
    <row r="5597" spans="2:4" ht="13">
      <c r="B5597" s="12">
        <f ca="1">IFERROR(__xludf.DUMMYFUNCTION("""COMPUTED_VALUE"""),130930)</f>
        <v>130930</v>
      </c>
      <c r="C5597" s="14">
        <f ca="1">IFERROR(__xludf.DUMMYFUNCTION("""COMPUTED_VALUE"""),0)</f>
        <v>0</v>
      </c>
      <c r="D5597" s="12" t="str">
        <f ca="1">IFERROR(__xludf.DUMMYFUNCTION("""COMPUTED_VALUE"""),"小関 麻起")</f>
        <v>小関 麻起</v>
      </c>
    </row>
    <row r="5598" spans="2:4" ht="13">
      <c r="B5598" s="12">
        <f ca="1">IFERROR(__xludf.DUMMYFUNCTION("""COMPUTED_VALUE"""),130939)</f>
        <v>130939</v>
      </c>
      <c r="C5598" s="14">
        <f ca="1">IFERROR(__xludf.DUMMYFUNCTION("""COMPUTED_VALUE"""),0)</f>
        <v>0</v>
      </c>
      <c r="D5598" s="12" t="str">
        <f ca="1">IFERROR(__xludf.DUMMYFUNCTION("""COMPUTED_VALUE"""),"松尾 尚樹")</f>
        <v>松尾 尚樹</v>
      </c>
    </row>
    <row r="5599" spans="2:4" ht="13">
      <c r="B5599" s="12">
        <f ca="1">IFERROR(__xludf.DUMMYFUNCTION("""COMPUTED_VALUE"""),130951)</f>
        <v>130951</v>
      </c>
      <c r="C5599" s="14">
        <f ca="1">IFERROR(__xludf.DUMMYFUNCTION("""COMPUTED_VALUE"""),0)</f>
        <v>0</v>
      </c>
      <c r="D5599" s="12" t="str">
        <f ca="1">IFERROR(__xludf.DUMMYFUNCTION("""COMPUTED_VALUE"""),"芳賀 亮輔")</f>
        <v>芳賀 亮輔</v>
      </c>
    </row>
    <row r="5600" spans="2:4" ht="13">
      <c r="B5600" s="12">
        <f ca="1">IFERROR(__xludf.DUMMYFUNCTION("""COMPUTED_VALUE"""),130954)</f>
        <v>130954</v>
      </c>
      <c r="C5600" s="14">
        <f ca="1">IFERROR(__xludf.DUMMYFUNCTION("""COMPUTED_VALUE"""),0)</f>
        <v>0</v>
      </c>
      <c r="D5600" s="12" t="str">
        <f ca="1">IFERROR(__xludf.DUMMYFUNCTION("""COMPUTED_VALUE"""),"芳賀 亮輔")</f>
        <v>芳賀 亮輔</v>
      </c>
    </row>
    <row r="5601" spans="2:4" ht="13">
      <c r="B5601" s="12">
        <f ca="1">IFERROR(__xludf.DUMMYFUNCTION("""COMPUTED_VALUE"""),130955)</f>
        <v>130955</v>
      </c>
      <c r="C5601" s="14">
        <f ca="1">IFERROR(__xludf.DUMMYFUNCTION("""COMPUTED_VALUE"""),0)</f>
        <v>0</v>
      </c>
      <c r="D5601" s="12" t="str">
        <f ca="1">IFERROR(__xludf.DUMMYFUNCTION("""COMPUTED_VALUE"""),"芳賀 亮輔")</f>
        <v>芳賀 亮輔</v>
      </c>
    </row>
    <row r="5602" spans="2:4" ht="13">
      <c r="B5602" s="12">
        <f ca="1">IFERROR(__xludf.DUMMYFUNCTION("""COMPUTED_VALUE"""),130969)</f>
        <v>130969</v>
      </c>
      <c r="C5602" s="14">
        <f ca="1">IFERROR(__xludf.DUMMYFUNCTION("""COMPUTED_VALUE"""),0)</f>
        <v>0</v>
      </c>
      <c r="D5602" s="12" t="str">
        <f ca="1">IFERROR(__xludf.DUMMYFUNCTION("""COMPUTED_VALUE"""),"小関 麻起")</f>
        <v>小関 麻起</v>
      </c>
    </row>
    <row r="5603" spans="2:4" ht="13">
      <c r="B5603" s="12">
        <f ca="1">IFERROR(__xludf.DUMMYFUNCTION("""COMPUTED_VALUE"""),130971)</f>
        <v>130971</v>
      </c>
      <c r="C5603" s="14">
        <f ca="1">IFERROR(__xludf.DUMMYFUNCTION("""COMPUTED_VALUE"""),0)</f>
        <v>0</v>
      </c>
      <c r="D5603" s="12" t="str">
        <f ca="1">IFERROR(__xludf.DUMMYFUNCTION("""COMPUTED_VALUE"""),"小関 麻起")</f>
        <v>小関 麻起</v>
      </c>
    </row>
    <row r="5604" spans="2:4" ht="13">
      <c r="B5604" s="12">
        <f ca="1">IFERROR(__xludf.DUMMYFUNCTION("""COMPUTED_VALUE"""),130972)</f>
        <v>130972</v>
      </c>
      <c r="C5604" s="14">
        <f ca="1">IFERROR(__xludf.DUMMYFUNCTION("""COMPUTED_VALUE"""),5)</f>
        <v>5</v>
      </c>
      <c r="D5604" s="12" t="str">
        <f ca="1">IFERROR(__xludf.DUMMYFUNCTION("""COMPUTED_VALUE"""),"老田 純輝")</f>
        <v>老田 純輝</v>
      </c>
    </row>
    <row r="5605" spans="2:4" ht="13">
      <c r="B5605" s="12">
        <f ca="1">IFERROR(__xludf.DUMMYFUNCTION("""COMPUTED_VALUE"""),130999)</f>
        <v>130999</v>
      </c>
      <c r="C5605" s="14">
        <f ca="1">IFERROR(__xludf.DUMMYFUNCTION("""COMPUTED_VALUE"""),0)</f>
        <v>0</v>
      </c>
      <c r="D5605" s="12" t="str">
        <f ca="1">IFERROR(__xludf.DUMMYFUNCTION("""COMPUTED_VALUE"""),"辻村 将大")</f>
        <v>辻村 将大</v>
      </c>
    </row>
    <row r="5606" spans="2:4" ht="13">
      <c r="B5606" s="12">
        <f ca="1">IFERROR(__xludf.DUMMYFUNCTION("""COMPUTED_VALUE"""),131000)</f>
        <v>131000</v>
      </c>
      <c r="C5606" s="14">
        <f ca="1">IFERROR(__xludf.DUMMYFUNCTION("""COMPUTED_VALUE"""),0)</f>
        <v>0</v>
      </c>
      <c r="D5606" s="12" t="str">
        <f ca="1">IFERROR(__xludf.DUMMYFUNCTION("""COMPUTED_VALUE"""),"松尾 尚樹")</f>
        <v>松尾 尚樹</v>
      </c>
    </row>
    <row r="5607" spans="2:4" ht="13">
      <c r="B5607" s="12">
        <f ca="1">IFERROR(__xludf.DUMMYFUNCTION("""COMPUTED_VALUE"""),131009)</f>
        <v>131009</v>
      </c>
      <c r="C5607" s="14">
        <f ca="1">IFERROR(__xludf.DUMMYFUNCTION("""COMPUTED_VALUE"""),0)</f>
        <v>0</v>
      </c>
      <c r="D5607" s="12" t="str">
        <f ca="1">IFERROR(__xludf.DUMMYFUNCTION("""COMPUTED_VALUE"""),"大木 優香")</f>
        <v>大木 優香</v>
      </c>
    </row>
    <row r="5608" spans="2:4" ht="13">
      <c r="B5608" s="12">
        <f ca="1">IFERROR(__xludf.DUMMYFUNCTION("""COMPUTED_VALUE"""),131022)</f>
        <v>131022</v>
      </c>
      <c r="C5608" s="14">
        <f ca="1">IFERROR(__xludf.DUMMYFUNCTION("""COMPUTED_VALUE"""),0)</f>
        <v>0</v>
      </c>
      <c r="D5608" s="12" t="str">
        <f ca="1">IFERROR(__xludf.DUMMYFUNCTION("""COMPUTED_VALUE"""),"村上 浩一朗")</f>
        <v>村上 浩一朗</v>
      </c>
    </row>
    <row r="5609" spans="2:4" ht="13">
      <c r="B5609" s="12">
        <f ca="1">IFERROR(__xludf.DUMMYFUNCTION("""COMPUTED_VALUE"""),131023)</f>
        <v>131023</v>
      </c>
      <c r="C5609" s="14">
        <f ca="1">IFERROR(__xludf.DUMMYFUNCTION("""COMPUTED_VALUE"""),0)</f>
        <v>0</v>
      </c>
      <c r="D5609" s="12" t="str">
        <f ca="1">IFERROR(__xludf.DUMMYFUNCTION("""COMPUTED_VALUE"""),"内丸 裕子")</f>
        <v>内丸 裕子</v>
      </c>
    </row>
    <row r="5610" spans="2:4" ht="13">
      <c r="B5610" s="12">
        <f ca="1">IFERROR(__xludf.DUMMYFUNCTION("""COMPUTED_VALUE"""),131024)</f>
        <v>131024</v>
      </c>
      <c r="C5610" s="14">
        <f ca="1">IFERROR(__xludf.DUMMYFUNCTION("""COMPUTED_VALUE"""),1)</f>
        <v>1</v>
      </c>
      <c r="D5610" s="12" t="str">
        <f ca="1">IFERROR(__xludf.DUMMYFUNCTION("""COMPUTED_VALUE"""),"桐山 勝気")</f>
        <v>桐山 勝気</v>
      </c>
    </row>
    <row r="5611" spans="2:4" ht="13">
      <c r="B5611" s="12">
        <f ca="1">IFERROR(__xludf.DUMMYFUNCTION("""COMPUTED_VALUE"""),131062)</f>
        <v>131062</v>
      </c>
      <c r="C5611" s="14">
        <f ca="1">IFERROR(__xludf.DUMMYFUNCTION("""COMPUTED_VALUE"""),0)</f>
        <v>0</v>
      </c>
      <c r="D5611" s="12" t="str">
        <f ca="1">IFERROR(__xludf.DUMMYFUNCTION("""COMPUTED_VALUE"""),"稲場 勇介")</f>
        <v>稲場 勇介</v>
      </c>
    </row>
    <row r="5612" spans="2:4" ht="13">
      <c r="B5612" s="12">
        <f ca="1">IFERROR(__xludf.DUMMYFUNCTION("""COMPUTED_VALUE"""),131065)</f>
        <v>131065</v>
      </c>
      <c r="C5612" s="14">
        <f ca="1">IFERROR(__xludf.DUMMYFUNCTION("""COMPUTED_VALUE"""),0)</f>
        <v>0</v>
      </c>
      <c r="D5612" s="12" t="str">
        <f ca="1">IFERROR(__xludf.DUMMYFUNCTION("""COMPUTED_VALUE"""),"長谷川 陸朗")</f>
        <v>長谷川 陸朗</v>
      </c>
    </row>
    <row r="5613" spans="2:4" ht="13">
      <c r="B5613" s="12">
        <f ca="1">IFERROR(__xludf.DUMMYFUNCTION("""COMPUTED_VALUE"""),131087)</f>
        <v>131087</v>
      </c>
      <c r="C5613" s="14">
        <f ca="1">IFERROR(__xludf.DUMMYFUNCTION("""COMPUTED_VALUE"""),0)</f>
        <v>0</v>
      </c>
      <c r="D5613" s="12" t="str">
        <f ca="1">IFERROR(__xludf.DUMMYFUNCTION("""COMPUTED_VALUE"""),"成嶋 夏未")</f>
        <v>成嶋 夏未</v>
      </c>
    </row>
    <row r="5614" spans="2:4" ht="13">
      <c r="B5614" s="12">
        <f ca="1">IFERROR(__xludf.DUMMYFUNCTION("""COMPUTED_VALUE"""),131088)</f>
        <v>131088</v>
      </c>
      <c r="C5614" s="14">
        <f ca="1">IFERROR(__xludf.DUMMYFUNCTION("""COMPUTED_VALUE"""),0)</f>
        <v>0</v>
      </c>
      <c r="D5614" s="12" t="str">
        <f ca="1">IFERROR(__xludf.DUMMYFUNCTION("""COMPUTED_VALUE"""),"成嶋 夏未")</f>
        <v>成嶋 夏未</v>
      </c>
    </row>
    <row r="5615" spans="2:4" ht="13">
      <c r="B5615" s="12">
        <f ca="1">IFERROR(__xludf.DUMMYFUNCTION("""COMPUTED_VALUE"""),131093)</f>
        <v>131093</v>
      </c>
      <c r="C5615" s="14">
        <f ca="1">IFERROR(__xludf.DUMMYFUNCTION("""COMPUTED_VALUE"""),0)</f>
        <v>0</v>
      </c>
      <c r="D5615" s="12" t="str">
        <f ca="1">IFERROR(__xludf.DUMMYFUNCTION("""COMPUTED_VALUE"""),"長谷川 陸朗")</f>
        <v>長谷川 陸朗</v>
      </c>
    </row>
    <row r="5616" spans="2:4" ht="13">
      <c r="B5616" s="12">
        <f ca="1">IFERROR(__xludf.DUMMYFUNCTION("""COMPUTED_VALUE"""),131094)</f>
        <v>131094</v>
      </c>
      <c r="C5616" s="14">
        <f ca="1">IFERROR(__xludf.DUMMYFUNCTION("""COMPUTED_VALUE"""),0)</f>
        <v>0</v>
      </c>
      <c r="D5616" s="12" t="str">
        <f ca="1">IFERROR(__xludf.DUMMYFUNCTION("""COMPUTED_VALUE"""),"大木 優香")</f>
        <v>大木 優香</v>
      </c>
    </row>
    <row r="5617" spans="2:4" ht="13">
      <c r="B5617" s="12">
        <f ca="1">IFERROR(__xludf.DUMMYFUNCTION("""COMPUTED_VALUE"""),131095)</f>
        <v>131095</v>
      </c>
      <c r="C5617" s="14">
        <f ca="1">IFERROR(__xludf.DUMMYFUNCTION("""COMPUTED_VALUE"""),0)</f>
        <v>0</v>
      </c>
      <c r="D5617" s="12" t="str">
        <f ca="1">IFERROR(__xludf.DUMMYFUNCTION("""COMPUTED_VALUE"""),"大木 優香")</f>
        <v>大木 優香</v>
      </c>
    </row>
    <row r="5618" spans="2:4" ht="13">
      <c r="B5618" s="12">
        <f ca="1">IFERROR(__xludf.DUMMYFUNCTION("""COMPUTED_VALUE"""),131098)</f>
        <v>131098</v>
      </c>
      <c r="C5618" s="14">
        <f ca="1">IFERROR(__xludf.DUMMYFUNCTION("""COMPUTED_VALUE"""),1)</f>
        <v>1</v>
      </c>
      <c r="D5618" s="12" t="str">
        <f ca="1">IFERROR(__xludf.DUMMYFUNCTION("""COMPUTED_VALUE"""),"長谷川 陸朗")</f>
        <v>長谷川 陸朗</v>
      </c>
    </row>
    <row r="5619" spans="2:4" ht="13">
      <c r="B5619" s="12">
        <f ca="1">IFERROR(__xludf.DUMMYFUNCTION("""COMPUTED_VALUE"""),131100)</f>
        <v>131100</v>
      </c>
      <c r="C5619" s="14">
        <f ca="1">IFERROR(__xludf.DUMMYFUNCTION("""COMPUTED_VALUE"""),0)</f>
        <v>0</v>
      </c>
      <c r="D5619" s="12" t="str">
        <f ca="1">IFERROR(__xludf.DUMMYFUNCTION("""COMPUTED_VALUE"""),"松尾 尚樹")</f>
        <v>松尾 尚樹</v>
      </c>
    </row>
    <row r="5620" spans="2:4" ht="13">
      <c r="B5620" s="12">
        <f ca="1">IFERROR(__xludf.DUMMYFUNCTION("""COMPUTED_VALUE"""),131103)</f>
        <v>131103</v>
      </c>
      <c r="C5620" s="14">
        <f ca="1">IFERROR(__xludf.DUMMYFUNCTION("""COMPUTED_VALUE"""),6)</f>
        <v>6</v>
      </c>
      <c r="D5620" s="12" t="str">
        <f ca="1">IFERROR(__xludf.DUMMYFUNCTION("""COMPUTED_VALUE"""),"小川 純")</f>
        <v>小川 純</v>
      </c>
    </row>
    <row r="5621" spans="2:4" ht="13">
      <c r="B5621" s="12">
        <f ca="1">IFERROR(__xludf.DUMMYFUNCTION("""COMPUTED_VALUE"""),131112)</f>
        <v>131112</v>
      </c>
      <c r="C5621" s="14">
        <f ca="1">IFERROR(__xludf.DUMMYFUNCTION("""COMPUTED_VALUE"""),2)</f>
        <v>2</v>
      </c>
      <c r="D5621" s="12" t="str">
        <f ca="1">IFERROR(__xludf.DUMMYFUNCTION("""COMPUTED_VALUE"""),"大木 優香")</f>
        <v>大木 優香</v>
      </c>
    </row>
    <row r="5622" spans="2:4" ht="13">
      <c r="B5622" s="12">
        <f ca="1">IFERROR(__xludf.DUMMYFUNCTION("""COMPUTED_VALUE"""),131113)</f>
        <v>131113</v>
      </c>
      <c r="C5622" s="14">
        <f ca="1">IFERROR(__xludf.DUMMYFUNCTION("""COMPUTED_VALUE"""),12)</f>
        <v>12</v>
      </c>
      <c r="D5622" s="12" t="str">
        <f ca="1">IFERROR(__xludf.DUMMYFUNCTION("""COMPUTED_VALUE"""),"稲場 勇介")</f>
        <v>稲場 勇介</v>
      </c>
    </row>
    <row r="5623" spans="2:4" ht="13">
      <c r="B5623" s="12">
        <f ca="1">IFERROR(__xludf.DUMMYFUNCTION("""COMPUTED_VALUE"""),131114)</f>
        <v>131114</v>
      </c>
      <c r="C5623" s="14">
        <f ca="1">IFERROR(__xludf.DUMMYFUNCTION("""COMPUTED_VALUE"""),0)</f>
        <v>0</v>
      </c>
      <c r="D5623" s="12" t="str">
        <f ca="1">IFERROR(__xludf.DUMMYFUNCTION("""COMPUTED_VALUE"""),"柿崎 晃司")</f>
        <v>柿崎 晃司</v>
      </c>
    </row>
    <row r="5624" spans="2:4" ht="13">
      <c r="B5624" s="12">
        <f ca="1">IFERROR(__xludf.DUMMYFUNCTION("""COMPUTED_VALUE"""),131120)</f>
        <v>131120</v>
      </c>
      <c r="C5624" s="14">
        <f ca="1">IFERROR(__xludf.DUMMYFUNCTION("""COMPUTED_VALUE"""),0)</f>
        <v>0</v>
      </c>
      <c r="D5624" s="12" t="str">
        <f ca="1">IFERROR(__xludf.DUMMYFUNCTION("""COMPUTED_VALUE"""),"森 光智")</f>
        <v>森 光智</v>
      </c>
    </row>
    <row r="5625" spans="2:4" ht="13">
      <c r="B5625" s="12">
        <f ca="1">IFERROR(__xludf.DUMMYFUNCTION("""COMPUTED_VALUE"""),131125)</f>
        <v>131125</v>
      </c>
      <c r="C5625" s="14">
        <f ca="1">IFERROR(__xludf.DUMMYFUNCTION("""COMPUTED_VALUE"""),0)</f>
        <v>0</v>
      </c>
      <c r="D5625" s="12" t="str">
        <f ca="1">IFERROR(__xludf.DUMMYFUNCTION("""COMPUTED_VALUE"""),"老田 純輝")</f>
        <v>老田 純輝</v>
      </c>
    </row>
    <row r="5626" spans="2:4" ht="13">
      <c r="B5626" s="12">
        <f ca="1">IFERROR(__xludf.DUMMYFUNCTION("""COMPUTED_VALUE"""),131128)</f>
        <v>131128</v>
      </c>
      <c r="C5626" s="14">
        <f ca="1">IFERROR(__xludf.DUMMYFUNCTION("""COMPUTED_VALUE"""),0)</f>
        <v>0</v>
      </c>
      <c r="D5626" s="12" t="str">
        <f ca="1">IFERROR(__xludf.DUMMYFUNCTION("""COMPUTED_VALUE"""),"栗原 大武")</f>
        <v>栗原 大武</v>
      </c>
    </row>
    <row r="5627" spans="2:4" ht="13">
      <c r="B5627" s="12">
        <f ca="1">IFERROR(__xludf.DUMMYFUNCTION("""COMPUTED_VALUE"""),131132)</f>
        <v>131132</v>
      </c>
      <c r="C5627" s="14">
        <f ca="1">IFERROR(__xludf.DUMMYFUNCTION("""COMPUTED_VALUE"""),0)</f>
        <v>0</v>
      </c>
      <c r="D5627" s="12" t="str">
        <f ca="1">IFERROR(__xludf.DUMMYFUNCTION("""COMPUTED_VALUE"""),"小関 麻起")</f>
        <v>小関 麻起</v>
      </c>
    </row>
    <row r="5628" spans="2:4" ht="13">
      <c r="B5628" s="12">
        <f ca="1">IFERROR(__xludf.DUMMYFUNCTION("""COMPUTED_VALUE"""),131135)</f>
        <v>131135</v>
      </c>
      <c r="C5628" s="14">
        <f ca="1">IFERROR(__xludf.DUMMYFUNCTION("""COMPUTED_VALUE"""),6)</f>
        <v>6</v>
      </c>
      <c r="D5628" s="12" t="str">
        <f ca="1">IFERROR(__xludf.DUMMYFUNCTION("""COMPUTED_VALUE"""),"長谷川 陸朗")</f>
        <v>長谷川 陸朗</v>
      </c>
    </row>
    <row r="5629" spans="2:4" ht="13">
      <c r="B5629" s="12">
        <f ca="1">IFERROR(__xludf.DUMMYFUNCTION("""COMPUTED_VALUE"""),131144)</f>
        <v>131144</v>
      </c>
      <c r="C5629" s="14">
        <f ca="1">IFERROR(__xludf.DUMMYFUNCTION("""COMPUTED_VALUE"""),0)</f>
        <v>0</v>
      </c>
      <c r="D5629" s="12" t="str">
        <f ca="1">IFERROR(__xludf.DUMMYFUNCTION("""COMPUTED_VALUE"""),"稲場 勇介")</f>
        <v>稲場 勇介</v>
      </c>
    </row>
    <row r="5630" spans="2:4" ht="13">
      <c r="B5630" s="12">
        <f ca="1">IFERROR(__xludf.DUMMYFUNCTION("""COMPUTED_VALUE"""),131149)</f>
        <v>131149</v>
      </c>
      <c r="C5630" s="14">
        <f ca="1">IFERROR(__xludf.DUMMYFUNCTION("""COMPUTED_VALUE"""),0)</f>
        <v>0</v>
      </c>
      <c r="D5630" s="12" t="str">
        <f ca="1">IFERROR(__xludf.DUMMYFUNCTION("""COMPUTED_VALUE"""),"老田 純輝")</f>
        <v>老田 純輝</v>
      </c>
    </row>
    <row r="5631" spans="2:4" ht="13">
      <c r="B5631" s="12">
        <f ca="1">IFERROR(__xludf.DUMMYFUNCTION("""COMPUTED_VALUE"""),131161)</f>
        <v>131161</v>
      </c>
      <c r="C5631" s="14">
        <f ca="1">IFERROR(__xludf.DUMMYFUNCTION("""COMPUTED_VALUE"""),33)</f>
        <v>33</v>
      </c>
      <c r="D5631" s="12" t="str">
        <f ca="1">IFERROR(__xludf.DUMMYFUNCTION("""COMPUTED_VALUE"""),"稲場 勇介")</f>
        <v>稲場 勇介</v>
      </c>
    </row>
    <row r="5632" spans="2:4" ht="13">
      <c r="B5632" s="12">
        <f ca="1">IFERROR(__xludf.DUMMYFUNCTION("""COMPUTED_VALUE"""),131164)</f>
        <v>131164</v>
      </c>
      <c r="C5632" s="14">
        <f ca="1">IFERROR(__xludf.DUMMYFUNCTION("""COMPUTED_VALUE"""),0)</f>
        <v>0</v>
      </c>
      <c r="D5632" s="12" t="str">
        <f ca="1">IFERROR(__xludf.DUMMYFUNCTION("""COMPUTED_VALUE"""),"堀越 駿")</f>
        <v>堀越 駿</v>
      </c>
    </row>
    <row r="5633" spans="2:4" ht="13">
      <c r="B5633" s="12">
        <f ca="1">IFERROR(__xludf.DUMMYFUNCTION("""COMPUTED_VALUE"""),131165)</f>
        <v>131165</v>
      </c>
      <c r="C5633" s="14">
        <f ca="1">IFERROR(__xludf.DUMMYFUNCTION("""COMPUTED_VALUE"""),34)</f>
        <v>34</v>
      </c>
      <c r="D5633" s="12" t="str">
        <f ca="1">IFERROR(__xludf.DUMMYFUNCTION("""COMPUTED_VALUE"""),"芳賀 亮輔")</f>
        <v>芳賀 亮輔</v>
      </c>
    </row>
    <row r="5634" spans="2:4" ht="13">
      <c r="B5634" s="12">
        <f ca="1">IFERROR(__xludf.DUMMYFUNCTION("""COMPUTED_VALUE"""),131166)</f>
        <v>131166</v>
      </c>
      <c r="C5634" s="14">
        <f ca="1">IFERROR(__xludf.DUMMYFUNCTION("""COMPUTED_VALUE"""),1)</f>
        <v>1</v>
      </c>
      <c r="D5634" s="12" t="str">
        <f ca="1">IFERROR(__xludf.DUMMYFUNCTION("""COMPUTED_VALUE"""),"桑原 明子")</f>
        <v>桑原 明子</v>
      </c>
    </row>
    <row r="5635" spans="2:4" ht="13">
      <c r="B5635" s="12">
        <f ca="1">IFERROR(__xludf.DUMMYFUNCTION("""COMPUTED_VALUE"""),131171)</f>
        <v>131171</v>
      </c>
      <c r="C5635" s="14">
        <f ca="1">IFERROR(__xludf.DUMMYFUNCTION("""COMPUTED_VALUE"""),74)</f>
        <v>74</v>
      </c>
      <c r="D5635" s="12" t="str">
        <f ca="1">IFERROR(__xludf.DUMMYFUNCTION("""COMPUTED_VALUE"""),"菅野 ぎんが")</f>
        <v>菅野 ぎんが</v>
      </c>
    </row>
    <row r="5636" spans="2:4" ht="13">
      <c r="B5636" s="12">
        <f ca="1">IFERROR(__xludf.DUMMYFUNCTION("""COMPUTED_VALUE"""),131172)</f>
        <v>131172</v>
      </c>
      <c r="C5636" s="14">
        <f ca="1">IFERROR(__xludf.DUMMYFUNCTION("""COMPUTED_VALUE"""),0)</f>
        <v>0</v>
      </c>
      <c r="D5636" s="12" t="str">
        <f ca="1">IFERROR(__xludf.DUMMYFUNCTION("""COMPUTED_VALUE"""),"成嶋 夏未")</f>
        <v>成嶋 夏未</v>
      </c>
    </row>
    <row r="5637" spans="2:4" ht="13">
      <c r="B5637" s="12">
        <f ca="1">IFERROR(__xludf.DUMMYFUNCTION("""COMPUTED_VALUE"""),131174)</f>
        <v>131174</v>
      </c>
      <c r="C5637" s="14">
        <f ca="1">IFERROR(__xludf.DUMMYFUNCTION("""COMPUTED_VALUE"""),0)</f>
        <v>0</v>
      </c>
      <c r="D5637" s="12" t="str">
        <f ca="1">IFERROR(__xludf.DUMMYFUNCTION("""COMPUTED_VALUE"""),"成嶋 夏未")</f>
        <v>成嶋 夏未</v>
      </c>
    </row>
    <row r="5638" spans="2:4" ht="13">
      <c r="B5638" s="12">
        <f ca="1">IFERROR(__xludf.DUMMYFUNCTION("""COMPUTED_VALUE"""),131176)</f>
        <v>131176</v>
      </c>
      <c r="C5638" s="14">
        <f ca="1">IFERROR(__xludf.DUMMYFUNCTION("""COMPUTED_VALUE"""),0)</f>
        <v>0</v>
      </c>
      <c r="D5638" s="12" t="str">
        <f ca="1">IFERROR(__xludf.DUMMYFUNCTION("""COMPUTED_VALUE"""),"稲場 勇介")</f>
        <v>稲場 勇介</v>
      </c>
    </row>
    <row r="5639" spans="2:4" ht="13">
      <c r="B5639" s="12">
        <f ca="1">IFERROR(__xludf.DUMMYFUNCTION("""COMPUTED_VALUE"""),131181)</f>
        <v>131181</v>
      </c>
      <c r="C5639" s="14">
        <f ca="1">IFERROR(__xludf.DUMMYFUNCTION("""COMPUTED_VALUE"""),93)</f>
        <v>93</v>
      </c>
      <c r="D5639" s="12" t="str">
        <f ca="1">IFERROR(__xludf.DUMMYFUNCTION("""COMPUTED_VALUE"""),"稲場 勇介")</f>
        <v>稲場 勇介</v>
      </c>
    </row>
    <row r="5640" spans="2:4" ht="13">
      <c r="B5640" s="12">
        <f ca="1">IFERROR(__xludf.DUMMYFUNCTION("""COMPUTED_VALUE"""),131190)</f>
        <v>131190</v>
      </c>
      <c r="C5640" s="14">
        <f ca="1">IFERROR(__xludf.DUMMYFUNCTION("""COMPUTED_VALUE"""),2)</f>
        <v>2</v>
      </c>
      <c r="D5640" s="12" t="str">
        <f ca="1">IFERROR(__xludf.DUMMYFUNCTION("""COMPUTED_VALUE"""),"栗原 大武")</f>
        <v>栗原 大武</v>
      </c>
    </row>
    <row r="5641" spans="2:4" ht="13">
      <c r="B5641" s="12">
        <f ca="1">IFERROR(__xludf.DUMMYFUNCTION("""COMPUTED_VALUE"""),131192)</f>
        <v>131192</v>
      </c>
      <c r="C5641" s="14">
        <f ca="1">IFERROR(__xludf.DUMMYFUNCTION("""COMPUTED_VALUE"""),0)</f>
        <v>0</v>
      </c>
      <c r="D5641" s="12" t="str">
        <f ca="1">IFERROR(__xludf.DUMMYFUNCTION("""COMPUTED_VALUE"""),"辻村 将大")</f>
        <v>辻村 将大</v>
      </c>
    </row>
    <row r="5642" spans="2:4" ht="13">
      <c r="B5642" s="12">
        <f ca="1">IFERROR(__xludf.DUMMYFUNCTION("""COMPUTED_VALUE"""),131198)</f>
        <v>131198</v>
      </c>
      <c r="C5642" s="14">
        <f ca="1">IFERROR(__xludf.DUMMYFUNCTION("""COMPUTED_VALUE"""),55)</f>
        <v>55</v>
      </c>
      <c r="D5642" s="12" t="str">
        <f ca="1">IFERROR(__xludf.DUMMYFUNCTION("""COMPUTED_VALUE"""),"老田 純輝")</f>
        <v>老田 純輝</v>
      </c>
    </row>
    <row r="5643" spans="2:4" ht="13">
      <c r="B5643" s="12">
        <f ca="1">IFERROR(__xludf.DUMMYFUNCTION("""COMPUTED_VALUE"""),131200)</f>
        <v>131200</v>
      </c>
      <c r="C5643" s="14">
        <f ca="1">IFERROR(__xludf.DUMMYFUNCTION("""COMPUTED_VALUE"""),25)</f>
        <v>25</v>
      </c>
      <c r="D5643" s="12" t="str">
        <f ca="1">IFERROR(__xludf.DUMMYFUNCTION("""COMPUTED_VALUE"""),"小川 純")</f>
        <v>小川 純</v>
      </c>
    </row>
    <row r="5644" spans="2:4" ht="13">
      <c r="B5644" s="12">
        <f ca="1">IFERROR(__xludf.DUMMYFUNCTION("""COMPUTED_VALUE"""),131201)</f>
        <v>131201</v>
      </c>
      <c r="C5644" s="14">
        <f ca="1">IFERROR(__xludf.DUMMYFUNCTION("""COMPUTED_VALUE"""),22)</f>
        <v>22</v>
      </c>
      <c r="D5644" s="12" t="str">
        <f ca="1">IFERROR(__xludf.DUMMYFUNCTION("""COMPUTED_VALUE"""),"小川 純")</f>
        <v>小川 純</v>
      </c>
    </row>
    <row r="5645" spans="2:4" ht="13">
      <c r="B5645" s="12">
        <f ca="1">IFERROR(__xludf.DUMMYFUNCTION("""COMPUTED_VALUE"""),131204)</f>
        <v>131204</v>
      </c>
      <c r="C5645" s="14">
        <f ca="1">IFERROR(__xludf.DUMMYFUNCTION("""COMPUTED_VALUE"""),0)</f>
        <v>0</v>
      </c>
      <c r="D5645" s="12" t="str">
        <f ca="1">IFERROR(__xludf.DUMMYFUNCTION("""COMPUTED_VALUE"""),"栗原 大武")</f>
        <v>栗原 大武</v>
      </c>
    </row>
    <row r="5646" spans="2:4" ht="13">
      <c r="B5646" s="12">
        <f ca="1">IFERROR(__xludf.DUMMYFUNCTION("""COMPUTED_VALUE"""),131209)</f>
        <v>131209</v>
      </c>
      <c r="C5646" s="14">
        <f ca="1">IFERROR(__xludf.DUMMYFUNCTION("""COMPUTED_VALUE"""),14)</f>
        <v>14</v>
      </c>
      <c r="D5646" s="12" t="str">
        <f ca="1">IFERROR(__xludf.DUMMYFUNCTION("""COMPUTED_VALUE"""),"小川 純")</f>
        <v>小川 純</v>
      </c>
    </row>
    <row r="5647" spans="2:4" ht="13">
      <c r="B5647" s="12">
        <f ca="1">IFERROR(__xludf.DUMMYFUNCTION("""COMPUTED_VALUE"""),131210)</f>
        <v>131210</v>
      </c>
      <c r="C5647" s="14">
        <f ca="1">IFERROR(__xludf.DUMMYFUNCTION("""COMPUTED_VALUE"""),0)</f>
        <v>0</v>
      </c>
      <c r="D5647" s="12" t="str">
        <f ca="1">IFERROR(__xludf.DUMMYFUNCTION("""COMPUTED_VALUE"""),"小川 純")</f>
        <v>小川 純</v>
      </c>
    </row>
    <row r="5648" spans="2:4" ht="13">
      <c r="B5648" s="12">
        <f ca="1">IFERROR(__xludf.DUMMYFUNCTION("""COMPUTED_VALUE"""),131213)</f>
        <v>131213</v>
      </c>
      <c r="C5648" s="14">
        <f ca="1">IFERROR(__xludf.DUMMYFUNCTION("""COMPUTED_VALUE"""),9)</f>
        <v>9</v>
      </c>
      <c r="D5648" s="12" t="str">
        <f ca="1">IFERROR(__xludf.DUMMYFUNCTION("""COMPUTED_VALUE"""),"芳賀 亮輔")</f>
        <v>芳賀 亮輔</v>
      </c>
    </row>
    <row r="5649" spans="2:4" ht="13">
      <c r="B5649" s="12">
        <f ca="1">IFERROR(__xludf.DUMMYFUNCTION("""COMPUTED_VALUE"""),131215)</f>
        <v>131215</v>
      </c>
      <c r="C5649" s="14">
        <f ca="1">IFERROR(__xludf.DUMMYFUNCTION("""COMPUTED_VALUE"""),0)</f>
        <v>0</v>
      </c>
      <c r="D5649" s="12" t="str">
        <f ca="1">IFERROR(__xludf.DUMMYFUNCTION("""COMPUTED_VALUE"""),"成嶋 夏未")</f>
        <v>成嶋 夏未</v>
      </c>
    </row>
    <row r="5650" spans="2:4" ht="13">
      <c r="B5650" s="12">
        <f ca="1">IFERROR(__xludf.DUMMYFUNCTION("""COMPUTED_VALUE"""),131220)</f>
        <v>131220</v>
      </c>
      <c r="C5650" s="14">
        <f ca="1">IFERROR(__xludf.DUMMYFUNCTION("""COMPUTED_VALUE"""),7)</f>
        <v>7</v>
      </c>
      <c r="D5650" s="12" t="str">
        <f ca="1">IFERROR(__xludf.DUMMYFUNCTION("""COMPUTED_VALUE"""),"辻村 将大")</f>
        <v>辻村 将大</v>
      </c>
    </row>
    <row r="5651" spans="2:4" ht="13">
      <c r="B5651" s="12">
        <f ca="1">IFERROR(__xludf.DUMMYFUNCTION("""COMPUTED_VALUE"""),131227)</f>
        <v>131227</v>
      </c>
      <c r="C5651" s="14">
        <f ca="1">IFERROR(__xludf.DUMMYFUNCTION("""COMPUTED_VALUE"""),16)</f>
        <v>16</v>
      </c>
      <c r="D5651" s="12" t="str">
        <f ca="1">IFERROR(__xludf.DUMMYFUNCTION("""COMPUTED_VALUE"""),"栗原 大武")</f>
        <v>栗原 大武</v>
      </c>
    </row>
    <row r="5652" spans="2:4" ht="13">
      <c r="B5652" s="12">
        <f ca="1">IFERROR(__xludf.DUMMYFUNCTION("""COMPUTED_VALUE"""),131228)</f>
        <v>131228</v>
      </c>
      <c r="C5652" s="14">
        <f ca="1">IFERROR(__xludf.DUMMYFUNCTION("""COMPUTED_VALUE"""),16)</f>
        <v>16</v>
      </c>
      <c r="D5652" s="12" t="str">
        <f ca="1">IFERROR(__xludf.DUMMYFUNCTION("""COMPUTED_VALUE"""),"栗原 大武")</f>
        <v>栗原 大武</v>
      </c>
    </row>
    <row r="5653" spans="2:4" ht="13">
      <c r="B5653" s="12">
        <f ca="1">IFERROR(__xludf.DUMMYFUNCTION("""COMPUTED_VALUE"""),131229)</f>
        <v>131229</v>
      </c>
      <c r="C5653" s="14">
        <f ca="1">IFERROR(__xludf.DUMMYFUNCTION("""COMPUTED_VALUE"""),0)</f>
        <v>0</v>
      </c>
      <c r="D5653" s="12" t="str">
        <f ca="1">IFERROR(__xludf.DUMMYFUNCTION("""COMPUTED_VALUE"""),"栗原 大武")</f>
        <v>栗原 大武</v>
      </c>
    </row>
    <row r="5654" spans="2:4" ht="13">
      <c r="B5654" s="12">
        <f ca="1">IFERROR(__xludf.DUMMYFUNCTION("""COMPUTED_VALUE"""),131235)</f>
        <v>131235</v>
      </c>
      <c r="C5654" s="14">
        <f ca="1">IFERROR(__xludf.DUMMYFUNCTION("""COMPUTED_VALUE"""),6)</f>
        <v>6</v>
      </c>
      <c r="D5654" s="12" t="str">
        <f ca="1">IFERROR(__xludf.DUMMYFUNCTION("""COMPUTED_VALUE"""),"栗原 大武")</f>
        <v>栗原 大武</v>
      </c>
    </row>
    <row r="5655" spans="2:4" ht="13">
      <c r="B5655" s="12">
        <f ca="1">IFERROR(__xludf.DUMMYFUNCTION("""COMPUTED_VALUE"""),131237)</f>
        <v>131237</v>
      </c>
      <c r="C5655" s="14">
        <f ca="1">IFERROR(__xludf.DUMMYFUNCTION("""COMPUTED_VALUE"""),3)</f>
        <v>3</v>
      </c>
      <c r="D5655" s="12" t="str">
        <f ca="1">IFERROR(__xludf.DUMMYFUNCTION("""COMPUTED_VALUE"""),"桑原 明子")</f>
        <v>桑原 明子</v>
      </c>
    </row>
    <row r="5656" spans="2:4" ht="13">
      <c r="B5656" s="12">
        <f ca="1">IFERROR(__xludf.DUMMYFUNCTION("""COMPUTED_VALUE"""),131251)</f>
        <v>131251</v>
      </c>
      <c r="C5656" s="14">
        <f ca="1">IFERROR(__xludf.DUMMYFUNCTION("""COMPUTED_VALUE"""),0)</f>
        <v>0</v>
      </c>
      <c r="D5656" s="12" t="str">
        <f ca="1">IFERROR(__xludf.DUMMYFUNCTION("""COMPUTED_VALUE"""),"老田 純輝")</f>
        <v>老田 純輝</v>
      </c>
    </row>
    <row r="5657" spans="2:4" ht="13">
      <c r="B5657" s="12">
        <f ca="1">IFERROR(__xludf.DUMMYFUNCTION("""COMPUTED_VALUE"""),131253)</f>
        <v>131253</v>
      </c>
      <c r="C5657" s="14">
        <f ca="1">IFERROR(__xludf.DUMMYFUNCTION("""COMPUTED_VALUE"""),26)</f>
        <v>26</v>
      </c>
      <c r="D5657" s="12" t="str">
        <f ca="1">IFERROR(__xludf.DUMMYFUNCTION("""COMPUTED_VALUE"""),"菅野 ぎんが")</f>
        <v>菅野 ぎんが</v>
      </c>
    </row>
    <row r="5658" spans="2:4" ht="13">
      <c r="B5658" s="12">
        <f ca="1">IFERROR(__xludf.DUMMYFUNCTION("""COMPUTED_VALUE"""),131258)</f>
        <v>131258</v>
      </c>
      <c r="C5658" s="14">
        <f ca="1">IFERROR(__xludf.DUMMYFUNCTION("""COMPUTED_VALUE"""),0)</f>
        <v>0</v>
      </c>
      <c r="D5658" s="12" t="str">
        <f ca="1">IFERROR(__xludf.DUMMYFUNCTION("""COMPUTED_VALUE"""),"長谷川 陸朗")</f>
        <v>長谷川 陸朗</v>
      </c>
    </row>
    <row r="5659" spans="2:4" ht="13">
      <c r="B5659" s="12">
        <f ca="1">IFERROR(__xludf.DUMMYFUNCTION("""COMPUTED_VALUE"""),131275)</f>
        <v>131275</v>
      </c>
      <c r="C5659" s="14">
        <f ca="1">IFERROR(__xludf.DUMMYFUNCTION("""COMPUTED_VALUE"""),0)</f>
        <v>0</v>
      </c>
      <c r="D5659" s="12" t="str">
        <f ca="1">IFERROR(__xludf.DUMMYFUNCTION("""COMPUTED_VALUE"""),"成嶋 夏未")</f>
        <v>成嶋 夏未</v>
      </c>
    </row>
    <row r="5660" spans="2:4" ht="13">
      <c r="B5660" s="12">
        <f ca="1">IFERROR(__xludf.DUMMYFUNCTION("""COMPUTED_VALUE"""),131276)</f>
        <v>131276</v>
      </c>
      <c r="C5660" s="14">
        <f ca="1">IFERROR(__xludf.DUMMYFUNCTION("""COMPUTED_VALUE"""),0)</f>
        <v>0</v>
      </c>
      <c r="D5660" s="12" t="str">
        <f ca="1">IFERROR(__xludf.DUMMYFUNCTION("""COMPUTED_VALUE"""),"稲場 勇介")</f>
        <v>稲場 勇介</v>
      </c>
    </row>
    <row r="5661" spans="2:4" ht="13">
      <c r="B5661" s="12">
        <f ca="1">IFERROR(__xludf.DUMMYFUNCTION("""COMPUTED_VALUE"""),131278)</f>
        <v>131278</v>
      </c>
      <c r="C5661" s="14">
        <f ca="1">IFERROR(__xludf.DUMMYFUNCTION("""COMPUTED_VALUE"""),0)</f>
        <v>0</v>
      </c>
      <c r="D5661" s="12" t="str">
        <f ca="1">IFERROR(__xludf.DUMMYFUNCTION("""COMPUTED_VALUE"""),"長谷川 陸朗")</f>
        <v>長谷川 陸朗</v>
      </c>
    </row>
    <row r="5662" spans="2:4" ht="13">
      <c r="B5662" s="12">
        <f ca="1">IFERROR(__xludf.DUMMYFUNCTION("""COMPUTED_VALUE"""),131280)</f>
        <v>131280</v>
      </c>
      <c r="C5662" s="14">
        <f ca="1">IFERROR(__xludf.DUMMYFUNCTION("""COMPUTED_VALUE"""),0)</f>
        <v>0</v>
      </c>
      <c r="D5662" s="12" t="str">
        <f ca="1">IFERROR(__xludf.DUMMYFUNCTION("""COMPUTED_VALUE"""),"田嶋 将太")</f>
        <v>田嶋 将太</v>
      </c>
    </row>
    <row r="5663" spans="2:4" ht="13">
      <c r="B5663" s="12">
        <f ca="1">IFERROR(__xludf.DUMMYFUNCTION("""COMPUTED_VALUE"""),131286)</f>
        <v>131286</v>
      </c>
      <c r="C5663" s="14">
        <f ca="1">IFERROR(__xludf.DUMMYFUNCTION("""COMPUTED_VALUE"""),2)</f>
        <v>2</v>
      </c>
      <c r="D5663" s="12" t="str">
        <f ca="1">IFERROR(__xludf.DUMMYFUNCTION("""COMPUTED_VALUE"""),"田嶋 将太")</f>
        <v>田嶋 将太</v>
      </c>
    </row>
    <row r="5664" spans="2:4" ht="13">
      <c r="B5664" s="12">
        <f ca="1">IFERROR(__xludf.DUMMYFUNCTION("""COMPUTED_VALUE"""),131287)</f>
        <v>131287</v>
      </c>
      <c r="C5664" s="14">
        <f ca="1">IFERROR(__xludf.DUMMYFUNCTION("""COMPUTED_VALUE"""),0)</f>
        <v>0</v>
      </c>
      <c r="D5664" s="12" t="str">
        <f ca="1">IFERROR(__xludf.DUMMYFUNCTION("""COMPUTED_VALUE"""),"松尾 尚樹")</f>
        <v>松尾 尚樹</v>
      </c>
    </row>
    <row r="5665" spans="2:4" ht="13">
      <c r="B5665" s="12">
        <f ca="1">IFERROR(__xludf.DUMMYFUNCTION("""COMPUTED_VALUE"""),131292)</f>
        <v>131292</v>
      </c>
      <c r="C5665" s="14">
        <f ca="1">IFERROR(__xludf.DUMMYFUNCTION("""COMPUTED_VALUE"""),0)</f>
        <v>0</v>
      </c>
      <c r="D5665" s="12" t="str">
        <f ca="1">IFERROR(__xludf.DUMMYFUNCTION("""COMPUTED_VALUE"""),"辻村 将大")</f>
        <v>辻村 将大</v>
      </c>
    </row>
    <row r="5666" spans="2:4" ht="13">
      <c r="B5666" s="12">
        <f ca="1">IFERROR(__xludf.DUMMYFUNCTION("""COMPUTED_VALUE"""),131299)</f>
        <v>131299</v>
      </c>
      <c r="C5666" s="14">
        <f ca="1">IFERROR(__xludf.DUMMYFUNCTION("""COMPUTED_VALUE"""),24)</f>
        <v>24</v>
      </c>
      <c r="D5666" s="12" t="str">
        <f ca="1">IFERROR(__xludf.DUMMYFUNCTION("""COMPUTED_VALUE"""),"小関 麻起")</f>
        <v>小関 麻起</v>
      </c>
    </row>
    <row r="5667" spans="2:4" ht="13">
      <c r="B5667" s="12">
        <f ca="1">IFERROR(__xludf.DUMMYFUNCTION("""COMPUTED_VALUE"""),131307)</f>
        <v>131307</v>
      </c>
      <c r="C5667" s="14">
        <f ca="1">IFERROR(__xludf.DUMMYFUNCTION("""COMPUTED_VALUE"""),0)</f>
        <v>0</v>
      </c>
      <c r="D5667" s="12" t="str">
        <f ca="1">IFERROR(__xludf.DUMMYFUNCTION("""COMPUTED_VALUE"""),"成嶋 夏未")</f>
        <v>成嶋 夏未</v>
      </c>
    </row>
    <row r="5668" spans="2:4" ht="13">
      <c r="B5668" s="12">
        <f ca="1">IFERROR(__xludf.DUMMYFUNCTION("""COMPUTED_VALUE"""),131317)</f>
        <v>131317</v>
      </c>
      <c r="C5668" s="14">
        <f ca="1">IFERROR(__xludf.DUMMYFUNCTION("""COMPUTED_VALUE"""),0)</f>
        <v>0</v>
      </c>
      <c r="D5668" s="12" t="str">
        <f ca="1">IFERROR(__xludf.DUMMYFUNCTION("""COMPUTED_VALUE"""),"荻曽 克輝")</f>
        <v>荻曽 克輝</v>
      </c>
    </row>
    <row r="5669" spans="2:4" ht="13">
      <c r="B5669" s="12">
        <f ca="1">IFERROR(__xludf.DUMMYFUNCTION("""COMPUTED_VALUE"""),131325)</f>
        <v>131325</v>
      </c>
      <c r="C5669" s="14">
        <f ca="1">IFERROR(__xludf.DUMMYFUNCTION("""COMPUTED_VALUE"""),0)</f>
        <v>0</v>
      </c>
      <c r="D5669" s="12" t="str">
        <f ca="1">IFERROR(__xludf.DUMMYFUNCTION("""COMPUTED_VALUE"""),"辻村 将大")</f>
        <v>辻村 将大</v>
      </c>
    </row>
    <row r="5670" spans="2:4" ht="13">
      <c r="B5670" s="12">
        <f ca="1">IFERROR(__xludf.DUMMYFUNCTION("""COMPUTED_VALUE"""),131343)</f>
        <v>131343</v>
      </c>
      <c r="C5670" s="14">
        <f ca="1">IFERROR(__xludf.DUMMYFUNCTION("""COMPUTED_VALUE"""),0)</f>
        <v>0</v>
      </c>
      <c r="D5670" s="12" t="str">
        <f ca="1">IFERROR(__xludf.DUMMYFUNCTION("""COMPUTED_VALUE"""),"老田 純輝")</f>
        <v>老田 純輝</v>
      </c>
    </row>
    <row r="5671" spans="2:4" ht="13">
      <c r="B5671" s="12">
        <f ca="1">IFERROR(__xludf.DUMMYFUNCTION("""COMPUTED_VALUE"""),131347)</f>
        <v>131347</v>
      </c>
      <c r="C5671" s="14">
        <f ca="1">IFERROR(__xludf.DUMMYFUNCTION("""COMPUTED_VALUE"""),0)</f>
        <v>0</v>
      </c>
      <c r="D5671" s="12" t="str">
        <f ca="1">IFERROR(__xludf.DUMMYFUNCTION("""COMPUTED_VALUE"""),"小関 麻起")</f>
        <v>小関 麻起</v>
      </c>
    </row>
    <row r="5672" spans="2:4" ht="13">
      <c r="B5672" s="12">
        <f ca="1">IFERROR(__xludf.DUMMYFUNCTION("""COMPUTED_VALUE"""),131352)</f>
        <v>131352</v>
      </c>
      <c r="C5672" s="14">
        <f ca="1">IFERROR(__xludf.DUMMYFUNCTION("""COMPUTED_VALUE"""),30)</f>
        <v>30</v>
      </c>
      <c r="D5672" s="12" t="str">
        <f ca="1">IFERROR(__xludf.DUMMYFUNCTION("""COMPUTED_VALUE"""),"松尾 尚樹")</f>
        <v>松尾 尚樹</v>
      </c>
    </row>
    <row r="5673" spans="2:4" ht="13">
      <c r="B5673" s="12">
        <f ca="1">IFERROR(__xludf.DUMMYFUNCTION("""COMPUTED_VALUE"""),131353)</f>
        <v>131353</v>
      </c>
      <c r="C5673" s="14">
        <f ca="1">IFERROR(__xludf.DUMMYFUNCTION("""COMPUTED_VALUE"""),5)</f>
        <v>5</v>
      </c>
      <c r="D5673" s="12" t="str">
        <f ca="1">IFERROR(__xludf.DUMMYFUNCTION("""COMPUTED_VALUE"""),"芳賀 亮輔")</f>
        <v>芳賀 亮輔</v>
      </c>
    </row>
    <row r="5674" spans="2:4" ht="13">
      <c r="B5674" s="12">
        <f ca="1">IFERROR(__xludf.DUMMYFUNCTION("""COMPUTED_VALUE"""),131357)</f>
        <v>131357</v>
      </c>
      <c r="C5674" s="14">
        <f ca="1">IFERROR(__xludf.DUMMYFUNCTION("""COMPUTED_VALUE"""),16)</f>
        <v>16</v>
      </c>
      <c r="D5674" s="12" t="str">
        <f ca="1">IFERROR(__xludf.DUMMYFUNCTION("""COMPUTED_VALUE"""),"小関 麻起")</f>
        <v>小関 麻起</v>
      </c>
    </row>
    <row r="5675" spans="2:4" ht="13">
      <c r="B5675" s="12">
        <f ca="1">IFERROR(__xludf.DUMMYFUNCTION("""COMPUTED_VALUE"""),131358)</f>
        <v>131358</v>
      </c>
      <c r="C5675" s="14">
        <f ca="1">IFERROR(__xludf.DUMMYFUNCTION("""COMPUTED_VALUE"""),12)</f>
        <v>12</v>
      </c>
      <c r="D5675" s="12" t="str">
        <f ca="1">IFERROR(__xludf.DUMMYFUNCTION("""COMPUTED_VALUE"""),"稲場 勇介")</f>
        <v>稲場 勇介</v>
      </c>
    </row>
    <row r="5676" spans="2:4" ht="13">
      <c r="B5676" s="12">
        <f ca="1">IFERROR(__xludf.DUMMYFUNCTION("""COMPUTED_VALUE"""),131361)</f>
        <v>131361</v>
      </c>
      <c r="C5676" s="14">
        <f ca="1">IFERROR(__xludf.DUMMYFUNCTION("""COMPUTED_VALUE"""),0)</f>
        <v>0</v>
      </c>
      <c r="D5676" s="12" t="str">
        <f ca="1">IFERROR(__xludf.DUMMYFUNCTION("""COMPUTED_VALUE"""),"長谷川 陸朗")</f>
        <v>長谷川 陸朗</v>
      </c>
    </row>
    <row r="5677" spans="2:4" ht="13">
      <c r="B5677" s="12">
        <f ca="1">IFERROR(__xludf.DUMMYFUNCTION("""COMPUTED_VALUE"""),131364)</f>
        <v>131364</v>
      </c>
      <c r="C5677" s="14">
        <f ca="1">IFERROR(__xludf.DUMMYFUNCTION("""COMPUTED_VALUE"""),0)</f>
        <v>0</v>
      </c>
      <c r="D5677" s="12" t="str">
        <f ca="1">IFERROR(__xludf.DUMMYFUNCTION("""COMPUTED_VALUE"""),"稲場 勇介")</f>
        <v>稲場 勇介</v>
      </c>
    </row>
    <row r="5678" spans="2:4" ht="13">
      <c r="B5678" s="12">
        <f ca="1">IFERROR(__xludf.DUMMYFUNCTION("""COMPUTED_VALUE"""),131373)</f>
        <v>131373</v>
      </c>
      <c r="C5678" s="14">
        <f ca="1">IFERROR(__xludf.DUMMYFUNCTION("""COMPUTED_VALUE"""),5)</f>
        <v>5</v>
      </c>
      <c r="D5678" s="12" t="str">
        <f ca="1">IFERROR(__xludf.DUMMYFUNCTION("""COMPUTED_VALUE"""),"松尾 尚樹")</f>
        <v>松尾 尚樹</v>
      </c>
    </row>
    <row r="5679" spans="2:4" ht="13">
      <c r="B5679" s="12">
        <f ca="1">IFERROR(__xludf.DUMMYFUNCTION("""COMPUTED_VALUE"""),131386)</f>
        <v>131386</v>
      </c>
      <c r="C5679" s="14">
        <f ca="1">IFERROR(__xludf.DUMMYFUNCTION("""COMPUTED_VALUE"""),0)</f>
        <v>0</v>
      </c>
      <c r="D5679" s="12" t="str">
        <f ca="1">IFERROR(__xludf.DUMMYFUNCTION("""COMPUTED_VALUE"""),"森 光智")</f>
        <v>森 光智</v>
      </c>
    </row>
    <row r="5680" spans="2:4" ht="13">
      <c r="B5680" s="12">
        <f ca="1">IFERROR(__xludf.DUMMYFUNCTION("""COMPUTED_VALUE"""),131394)</f>
        <v>131394</v>
      </c>
      <c r="C5680" s="14">
        <f ca="1">IFERROR(__xludf.DUMMYFUNCTION("""COMPUTED_VALUE"""),0)</f>
        <v>0</v>
      </c>
      <c r="D5680" s="12" t="str">
        <f ca="1">IFERROR(__xludf.DUMMYFUNCTION("""COMPUTED_VALUE"""),"田嶋 将太")</f>
        <v>田嶋 将太</v>
      </c>
    </row>
    <row r="5681" spans="2:4" ht="13">
      <c r="B5681" s="12">
        <f ca="1">IFERROR(__xludf.DUMMYFUNCTION("""COMPUTED_VALUE"""),131399)</f>
        <v>131399</v>
      </c>
      <c r="C5681" s="14">
        <f ca="1">IFERROR(__xludf.DUMMYFUNCTION("""COMPUTED_VALUE"""),0)</f>
        <v>0</v>
      </c>
      <c r="D5681" s="12" t="str">
        <f ca="1">IFERROR(__xludf.DUMMYFUNCTION("""COMPUTED_VALUE"""),"小川 純")</f>
        <v>小川 純</v>
      </c>
    </row>
    <row r="5682" spans="2:4" ht="13">
      <c r="B5682" s="12">
        <f ca="1">IFERROR(__xludf.DUMMYFUNCTION("""COMPUTED_VALUE"""),131404)</f>
        <v>131404</v>
      </c>
      <c r="C5682" s="14">
        <f ca="1">IFERROR(__xludf.DUMMYFUNCTION("""COMPUTED_VALUE"""),0)</f>
        <v>0</v>
      </c>
      <c r="D5682" s="12" t="str">
        <f ca="1">IFERROR(__xludf.DUMMYFUNCTION("""COMPUTED_VALUE"""),"松尾 尚樹")</f>
        <v>松尾 尚樹</v>
      </c>
    </row>
    <row r="5683" spans="2:4" ht="13">
      <c r="B5683" s="12">
        <f ca="1">IFERROR(__xludf.DUMMYFUNCTION("""COMPUTED_VALUE"""),131408)</f>
        <v>131408</v>
      </c>
      <c r="C5683" s="14">
        <f ca="1">IFERROR(__xludf.DUMMYFUNCTION("""COMPUTED_VALUE"""),0)</f>
        <v>0</v>
      </c>
      <c r="D5683" s="12" t="str">
        <f ca="1">IFERROR(__xludf.DUMMYFUNCTION("""COMPUTED_VALUE"""),"松尾 尚樹")</f>
        <v>松尾 尚樹</v>
      </c>
    </row>
    <row r="5684" spans="2:4" ht="13">
      <c r="B5684" s="12">
        <f ca="1">IFERROR(__xludf.DUMMYFUNCTION("""COMPUTED_VALUE"""),131412)</f>
        <v>131412</v>
      </c>
      <c r="C5684" s="14">
        <f ca="1">IFERROR(__xludf.DUMMYFUNCTION("""COMPUTED_VALUE"""),72)</f>
        <v>72</v>
      </c>
      <c r="D5684" s="12" t="str">
        <f ca="1">IFERROR(__xludf.DUMMYFUNCTION("""COMPUTED_VALUE"""),"辻村 将大")</f>
        <v>辻村 将大</v>
      </c>
    </row>
    <row r="5685" spans="2:4" ht="13">
      <c r="B5685" s="12">
        <f ca="1">IFERROR(__xludf.DUMMYFUNCTION("""COMPUTED_VALUE"""),131413)</f>
        <v>131413</v>
      </c>
      <c r="C5685" s="14">
        <f ca="1">IFERROR(__xludf.DUMMYFUNCTION("""COMPUTED_VALUE"""),8)</f>
        <v>8</v>
      </c>
      <c r="D5685" s="12" t="str">
        <f ca="1">IFERROR(__xludf.DUMMYFUNCTION("""COMPUTED_VALUE"""),"稲場 勇介")</f>
        <v>稲場 勇介</v>
      </c>
    </row>
    <row r="5686" spans="2:4" ht="13">
      <c r="B5686" s="12">
        <f ca="1">IFERROR(__xludf.DUMMYFUNCTION("""COMPUTED_VALUE"""),131418)</f>
        <v>131418</v>
      </c>
      <c r="C5686" s="14">
        <f ca="1">IFERROR(__xludf.DUMMYFUNCTION("""COMPUTED_VALUE"""),0)</f>
        <v>0</v>
      </c>
      <c r="D5686" s="12" t="str">
        <f ca="1">IFERROR(__xludf.DUMMYFUNCTION("""COMPUTED_VALUE"""),"川島 幹也")</f>
        <v>川島 幹也</v>
      </c>
    </row>
    <row r="5687" spans="2:4" ht="13">
      <c r="B5687" s="12">
        <f ca="1">IFERROR(__xludf.DUMMYFUNCTION("""COMPUTED_VALUE"""),131422)</f>
        <v>131422</v>
      </c>
      <c r="C5687" s="14">
        <f ca="1">IFERROR(__xludf.DUMMYFUNCTION("""COMPUTED_VALUE"""),0)</f>
        <v>0</v>
      </c>
      <c r="D5687" s="12" t="str">
        <f ca="1">IFERROR(__xludf.DUMMYFUNCTION("""COMPUTED_VALUE"""),"老田 純輝")</f>
        <v>老田 純輝</v>
      </c>
    </row>
    <row r="5688" spans="2:4" ht="13">
      <c r="B5688" s="12">
        <f ca="1">IFERROR(__xludf.DUMMYFUNCTION("""COMPUTED_VALUE"""),131426)</f>
        <v>131426</v>
      </c>
      <c r="C5688" s="14">
        <f ca="1">IFERROR(__xludf.DUMMYFUNCTION("""COMPUTED_VALUE"""),0)</f>
        <v>0</v>
      </c>
      <c r="D5688" s="12" t="str">
        <f ca="1">IFERROR(__xludf.DUMMYFUNCTION("""COMPUTED_VALUE"""),"荻曽 克輝")</f>
        <v>荻曽 克輝</v>
      </c>
    </row>
    <row r="5689" spans="2:4" ht="13">
      <c r="B5689" s="12">
        <f ca="1">IFERROR(__xludf.DUMMYFUNCTION("""COMPUTED_VALUE"""),131427)</f>
        <v>131427</v>
      </c>
      <c r="C5689" s="14">
        <f ca="1">IFERROR(__xludf.DUMMYFUNCTION("""COMPUTED_VALUE"""),0)</f>
        <v>0</v>
      </c>
      <c r="D5689" s="12" t="str">
        <f ca="1">IFERROR(__xludf.DUMMYFUNCTION("""COMPUTED_VALUE"""),"長谷川 陸朗")</f>
        <v>長谷川 陸朗</v>
      </c>
    </row>
    <row r="5690" spans="2:4" ht="13">
      <c r="B5690" s="12">
        <f ca="1">IFERROR(__xludf.DUMMYFUNCTION("""COMPUTED_VALUE"""),131431)</f>
        <v>131431</v>
      </c>
      <c r="C5690" s="14">
        <f ca="1">IFERROR(__xludf.DUMMYFUNCTION("""COMPUTED_VALUE"""),6)</f>
        <v>6</v>
      </c>
      <c r="D5690" s="12" t="str">
        <f ca="1">IFERROR(__xludf.DUMMYFUNCTION("""COMPUTED_VALUE"""),"稲場 勇介")</f>
        <v>稲場 勇介</v>
      </c>
    </row>
    <row r="5691" spans="2:4" ht="13">
      <c r="B5691" s="12">
        <f ca="1">IFERROR(__xludf.DUMMYFUNCTION("""COMPUTED_VALUE"""),131432)</f>
        <v>131432</v>
      </c>
      <c r="C5691" s="14">
        <f ca="1">IFERROR(__xludf.DUMMYFUNCTION("""COMPUTED_VALUE"""),0)</f>
        <v>0</v>
      </c>
      <c r="D5691" s="12" t="str">
        <f ca="1">IFERROR(__xludf.DUMMYFUNCTION("""COMPUTED_VALUE"""),"芳賀 亮輔")</f>
        <v>芳賀 亮輔</v>
      </c>
    </row>
    <row r="5692" spans="2:4" ht="13">
      <c r="B5692" s="12">
        <f ca="1">IFERROR(__xludf.DUMMYFUNCTION("""COMPUTED_VALUE"""),131437)</f>
        <v>131437</v>
      </c>
      <c r="C5692" s="14">
        <f ca="1">IFERROR(__xludf.DUMMYFUNCTION("""COMPUTED_VALUE"""),0)</f>
        <v>0</v>
      </c>
      <c r="D5692" s="12" t="str">
        <f ca="1">IFERROR(__xludf.DUMMYFUNCTION("""COMPUTED_VALUE"""),"成嶋 夏未")</f>
        <v>成嶋 夏未</v>
      </c>
    </row>
    <row r="5693" spans="2:4" ht="13">
      <c r="B5693" s="12">
        <f ca="1">IFERROR(__xludf.DUMMYFUNCTION("""COMPUTED_VALUE"""),131441)</f>
        <v>131441</v>
      </c>
      <c r="C5693" s="14">
        <f ca="1">IFERROR(__xludf.DUMMYFUNCTION("""COMPUTED_VALUE"""),0)</f>
        <v>0</v>
      </c>
      <c r="D5693" s="12" t="str">
        <f ca="1">IFERROR(__xludf.DUMMYFUNCTION("""COMPUTED_VALUE"""),"栗原 大武")</f>
        <v>栗原 大武</v>
      </c>
    </row>
    <row r="5694" spans="2:4" ht="13">
      <c r="B5694" s="12">
        <f ca="1">IFERROR(__xludf.DUMMYFUNCTION("""COMPUTED_VALUE"""),131442)</f>
        <v>131442</v>
      </c>
      <c r="C5694" s="14">
        <f ca="1">IFERROR(__xludf.DUMMYFUNCTION("""COMPUTED_VALUE"""),0)</f>
        <v>0</v>
      </c>
      <c r="D5694" s="12" t="str">
        <f ca="1">IFERROR(__xludf.DUMMYFUNCTION("""COMPUTED_VALUE"""),"小川 純")</f>
        <v>小川 純</v>
      </c>
    </row>
    <row r="5695" spans="2:4" ht="13">
      <c r="B5695" s="12">
        <f ca="1">IFERROR(__xludf.DUMMYFUNCTION("""COMPUTED_VALUE"""),131446)</f>
        <v>131446</v>
      </c>
      <c r="C5695" s="14">
        <f ca="1">IFERROR(__xludf.DUMMYFUNCTION("""COMPUTED_VALUE"""),0)</f>
        <v>0</v>
      </c>
      <c r="D5695" s="12" t="str">
        <f ca="1">IFERROR(__xludf.DUMMYFUNCTION("""COMPUTED_VALUE"""),"桑原 明子")</f>
        <v>桑原 明子</v>
      </c>
    </row>
    <row r="5696" spans="2:4" ht="13">
      <c r="B5696" s="12">
        <f ca="1">IFERROR(__xludf.DUMMYFUNCTION("""COMPUTED_VALUE"""),131451)</f>
        <v>131451</v>
      </c>
      <c r="C5696" s="14">
        <f ca="1">IFERROR(__xludf.DUMMYFUNCTION("""COMPUTED_VALUE"""),0)</f>
        <v>0</v>
      </c>
      <c r="D5696" s="12" t="str">
        <f ca="1">IFERROR(__xludf.DUMMYFUNCTION("""COMPUTED_VALUE"""),"川島 幹也")</f>
        <v>川島 幹也</v>
      </c>
    </row>
    <row r="5697" spans="2:4" ht="13">
      <c r="B5697" s="12">
        <f ca="1">IFERROR(__xludf.DUMMYFUNCTION("""COMPUTED_VALUE"""),131453)</f>
        <v>131453</v>
      </c>
      <c r="C5697" s="14">
        <f ca="1">IFERROR(__xludf.DUMMYFUNCTION("""COMPUTED_VALUE"""),0)</f>
        <v>0</v>
      </c>
      <c r="D5697" s="12" t="str">
        <f ca="1">IFERROR(__xludf.DUMMYFUNCTION("""COMPUTED_VALUE"""),"芳賀 亮輔")</f>
        <v>芳賀 亮輔</v>
      </c>
    </row>
    <row r="5698" spans="2:4" ht="13">
      <c r="B5698" s="12">
        <f ca="1">IFERROR(__xludf.DUMMYFUNCTION("""COMPUTED_VALUE"""),131458)</f>
        <v>131458</v>
      </c>
      <c r="C5698" s="14">
        <f ca="1">IFERROR(__xludf.DUMMYFUNCTION("""COMPUTED_VALUE"""),0)</f>
        <v>0</v>
      </c>
      <c r="D5698" s="12" t="str">
        <f ca="1">IFERROR(__xludf.DUMMYFUNCTION("""COMPUTED_VALUE"""),"荻曽 克輝")</f>
        <v>荻曽 克輝</v>
      </c>
    </row>
    <row r="5699" spans="2:4" ht="13">
      <c r="B5699" s="12">
        <f ca="1">IFERROR(__xludf.DUMMYFUNCTION("""COMPUTED_VALUE"""),131460)</f>
        <v>131460</v>
      </c>
      <c r="C5699" s="14">
        <f ca="1">IFERROR(__xludf.DUMMYFUNCTION("""COMPUTED_VALUE"""),94)</f>
        <v>94</v>
      </c>
      <c r="D5699" s="12" t="str">
        <f ca="1">IFERROR(__xludf.DUMMYFUNCTION("""COMPUTED_VALUE"""),"内丸 裕子")</f>
        <v>内丸 裕子</v>
      </c>
    </row>
    <row r="5700" spans="2:4" ht="13">
      <c r="B5700" s="12">
        <f ca="1">IFERROR(__xludf.DUMMYFUNCTION("""COMPUTED_VALUE"""),131462)</f>
        <v>131462</v>
      </c>
      <c r="C5700" s="14">
        <f ca="1">IFERROR(__xludf.DUMMYFUNCTION("""COMPUTED_VALUE"""),0)</f>
        <v>0</v>
      </c>
      <c r="D5700" s="12" t="str">
        <f ca="1">IFERROR(__xludf.DUMMYFUNCTION("""COMPUTED_VALUE"""),"松尾 尚樹")</f>
        <v>松尾 尚樹</v>
      </c>
    </row>
    <row r="5701" spans="2:4" ht="13">
      <c r="B5701" s="12">
        <f ca="1">IFERROR(__xludf.DUMMYFUNCTION("""COMPUTED_VALUE"""),131468)</f>
        <v>131468</v>
      </c>
      <c r="C5701" s="14">
        <f ca="1">IFERROR(__xludf.DUMMYFUNCTION("""COMPUTED_VALUE"""),0)</f>
        <v>0</v>
      </c>
      <c r="D5701" s="12" t="str">
        <f ca="1">IFERROR(__xludf.DUMMYFUNCTION("""COMPUTED_VALUE"""),"菅野 ぎんが")</f>
        <v>菅野 ぎんが</v>
      </c>
    </row>
    <row r="5702" spans="2:4" ht="13">
      <c r="B5702" s="12">
        <f ca="1">IFERROR(__xludf.DUMMYFUNCTION("""COMPUTED_VALUE"""),131470)</f>
        <v>131470</v>
      </c>
      <c r="C5702" s="14">
        <f ca="1">IFERROR(__xludf.DUMMYFUNCTION("""COMPUTED_VALUE"""),0)</f>
        <v>0</v>
      </c>
      <c r="D5702" s="12" t="str">
        <f ca="1">IFERROR(__xludf.DUMMYFUNCTION("""COMPUTED_VALUE"""),"小関 麻起")</f>
        <v>小関 麻起</v>
      </c>
    </row>
    <row r="5703" spans="2:4" ht="13">
      <c r="B5703" s="12">
        <f ca="1">IFERROR(__xludf.DUMMYFUNCTION("""COMPUTED_VALUE"""),131474)</f>
        <v>131474</v>
      </c>
      <c r="C5703" s="14">
        <f ca="1">IFERROR(__xludf.DUMMYFUNCTION("""COMPUTED_VALUE"""),24)</f>
        <v>24</v>
      </c>
      <c r="D5703" s="12" t="str">
        <f ca="1">IFERROR(__xludf.DUMMYFUNCTION("""COMPUTED_VALUE"""),"栗原 大武")</f>
        <v>栗原 大武</v>
      </c>
    </row>
    <row r="5704" spans="2:4" ht="13">
      <c r="B5704" s="12">
        <f ca="1">IFERROR(__xludf.DUMMYFUNCTION("""COMPUTED_VALUE"""),131475)</f>
        <v>131475</v>
      </c>
      <c r="C5704" s="14">
        <f ca="1">IFERROR(__xludf.DUMMYFUNCTION("""COMPUTED_VALUE"""),0)</f>
        <v>0</v>
      </c>
      <c r="D5704" s="12" t="str">
        <f ca="1">IFERROR(__xludf.DUMMYFUNCTION("""COMPUTED_VALUE"""),"栗原 大武")</f>
        <v>栗原 大武</v>
      </c>
    </row>
    <row r="5705" spans="2:4" ht="13">
      <c r="B5705" s="12">
        <f ca="1">IFERROR(__xludf.DUMMYFUNCTION("""COMPUTED_VALUE"""),131482)</f>
        <v>131482</v>
      </c>
      <c r="C5705" s="14">
        <f ca="1">IFERROR(__xludf.DUMMYFUNCTION("""COMPUTED_VALUE"""),0)</f>
        <v>0</v>
      </c>
      <c r="D5705" s="12" t="str">
        <f ca="1">IFERROR(__xludf.DUMMYFUNCTION("""COMPUTED_VALUE"""),"菅野 ぎんが")</f>
        <v>菅野 ぎんが</v>
      </c>
    </row>
    <row r="5706" spans="2:4" ht="13">
      <c r="B5706" s="12">
        <f ca="1">IFERROR(__xludf.DUMMYFUNCTION("""COMPUTED_VALUE"""),131488)</f>
        <v>131488</v>
      </c>
      <c r="C5706" s="14">
        <f ca="1">IFERROR(__xludf.DUMMYFUNCTION("""COMPUTED_VALUE"""),11)</f>
        <v>11</v>
      </c>
      <c r="D5706" s="12" t="str">
        <f ca="1">IFERROR(__xludf.DUMMYFUNCTION("""COMPUTED_VALUE"""),"菅野 ぎんが")</f>
        <v>菅野 ぎんが</v>
      </c>
    </row>
    <row r="5707" spans="2:4" ht="13">
      <c r="B5707" s="12">
        <f ca="1">IFERROR(__xludf.DUMMYFUNCTION("""COMPUTED_VALUE"""),131493)</f>
        <v>131493</v>
      </c>
      <c r="C5707" s="14">
        <f ca="1">IFERROR(__xludf.DUMMYFUNCTION("""COMPUTED_VALUE"""),26)</f>
        <v>26</v>
      </c>
      <c r="D5707" s="12" t="str">
        <f ca="1">IFERROR(__xludf.DUMMYFUNCTION("""COMPUTED_VALUE"""),"老田 純輝")</f>
        <v>老田 純輝</v>
      </c>
    </row>
    <row r="5708" spans="2:4" ht="13">
      <c r="B5708" s="12">
        <f ca="1">IFERROR(__xludf.DUMMYFUNCTION("""COMPUTED_VALUE"""),131497)</f>
        <v>131497</v>
      </c>
      <c r="C5708" s="14">
        <f ca="1">IFERROR(__xludf.DUMMYFUNCTION("""COMPUTED_VALUE"""),1)</f>
        <v>1</v>
      </c>
      <c r="D5708" s="12" t="str">
        <f ca="1">IFERROR(__xludf.DUMMYFUNCTION("""COMPUTED_VALUE"""),"栗原 大武")</f>
        <v>栗原 大武</v>
      </c>
    </row>
    <row r="5709" spans="2:4" ht="13">
      <c r="B5709" s="12">
        <f ca="1">IFERROR(__xludf.DUMMYFUNCTION("""COMPUTED_VALUE"""),131501)</f>
        <v>131501</v>
      </c>
      <c r="C5709" s="14">
        <f ca="1">IFERROR(__xludf.DUMMYFUNCTION("""COMPUTED_VALUE"""),17)</f>
        <v>17</v>
      </c>
      <c r="D5709" s="12" t="str">
        <f ca="1">IFERROR(__xludf.DUMMYFUNCTION("""COMPUTED_VALUE"""),"老田 純輝")</f>
        <v>老田 純輝</v>
      </c>
    </row>
    <row r="5710" spans="2:4" ht="13">
      <c r="B5710" s="12">
        <f ca="1">IFERROR(__xludf.DUMMYFUNCTION("""COMPUTED_VALUE"""),131507)</f>
        <v>131507</v>
      </c>
      <c r="C5710" s="14">
        <f ca="1">IFERROR(__xludf.DUMMYFUNCTION("""COMPUTED_VALUE"""),0)</f>
        <v>0</v>
      </c>
      <c r="D5710" s="12" t="str">
        <f ca="1">IFERROR(__xludf.DUMMYFUNCTION("""COMPUTED_VALUE"""),"長谷川 陸朗")</f>
        <v>長谷川 陸朗</v>
      </c>
    </row>
    <row r="5711" spans="2:4" ht="13">
      <c r="B5711" s="12">
        <f ca="1">IFERROR(__xludf.DUMMYFUNCTION("""COMPUTED_VALUE"""),131510)</f>
        <v>131510</v>
      </c>
      <c r="C5711" s="14">
        <f ca="1">IFERROR(__xludf.DUMMYFUNCTION("""COMPUTED_VALUE"""),52)</f>
        <v>52</v>
      </c>
      <c r="D5711" s="12" t="str">
        <f ca="1">IFERROR(__xludf.DUMMYFUNCTION("""COMPUTED_VALUE"""),"内丸 裕子")</f>
        <v>内丸 裕子</v>
      </c>
    </row>
    <row r="5712" spans="2:4" ht="13">
      <c r="B5712" s="12">
        <f ca="1">IFERROR(__xludf.DUMMYFUNCTION("""COMPUTED_VALUE"""),131511)</f>
        <v>131511</v>
      </c>
      <c r="C5712" s="14">
        <f ca="1">IFERROR(__xludf.DUMMYFUNCTION("""COMPUTED_VALUE"""),0)</f>
        <v>0</v>
      </c>
      <c r="D5712" s="12" t="str">
        <f ca="1">IFERROR(__xludf.DUMMYFUNCTION("""COMPUTED_VALUE"""),"田嶋 将太")</f>
        <v>田嶋 将太</v>
      </c>
    </row>
    <row r="5713" spans="2:4" ht="13">
      <c r="B5713" s="12">
        <f ca="1">IFERROR(__xludf.DUMMYFUNCTION("""COMPUTED_VALUE"""),131513)</f>
        <v>131513</v>
      </c>
      <c r="C5713" s="14">
        <f ca="1">IFERROR(__xludf.DUMMYFUNCTION("""COMPUTED_VALUE"""),0)</f>
        <v>0</v>
      </c>
      <c r="D5713" s="12" t="str">
        <f ca="1">IFERROR(__xludf.DUMMYFUNCTION("""COMPUTED_VALUE"""),"桐山 勝気")</f>
        <v>桐山 勝気</v>
      </c>
    </row>
    <row r="5714" spans="2:4" ht="13">
      <c r="B5714" s="12">
        <f ca="1">IFERROR(__xludf.DUMMYFUNCTION("""COMPUTED_VALUE"""),131519)</f>
        <v>131519</v>
      </c>
      <c r="C5714" s="14">
        <f ca="1">IFERROR(__xludf.DUMMYFUNCTION("""COMPUTED_VALUE"""),0)</f>
        <v>0</v>
      </c>
      <c r="D5714" s="12" t="str">
        <f ca="1">IFERROR(__xludf.DUMMYFUNCTION("""COMPUTED_VALUE"""),"成嶋 夏未")</f>
        <v>成嶋 夏未</v>
      </c>
    </row>
    <row r="5715" spans="2:4" ht="13">
      <c r="B5715" s="12">
        <f ca="1">IFERROR(__xludf.DUMMYFUNCTION("""COMPUTED_VALUE"""),131520)</f>
        <v>131520</v>
      </c>
      <c r="C5715" s="14">
        <f ca="1">IFERROR(__xludf.DUMMYFUNCTION("""COMPUTED_VALUE"""),0)</f>
        <v>0</v>
      </c>
      <c r="D5715" s="12" t="str">
        <f ca="1">IFERROR(__xludf.DUMMYFUNCTION("""COMPUTED_VALUE"""),"小川 純")</f>
        <v>小川 純</v>
      </c>
    </row>
    <row r="5716" spans="2:4" ht="13">
      <c r="B5716" s="12">
        <f ca="1">IFERROR(__xludf.DUMMYFUNCTION("""COMPUTED_VALUE"""),131527)</f>
        <v>131527</v>
      </c>
      <c r="C5716" s="14">
        <f ca="1">IFERROR(__xludf.DUMMYFUNCTION("""COMPUTED_VALUE"""),5)</f>
        <v>5</v>
      </c>
      <c r="D5716" s="12" t="str">
        <f ca="1">IFERROR(__xludf.DUMMYFUNCTION("""COMPUTED_VALUE"""),"川島 幹也")</f>
        <v>川島 幹也</v>
      </c>
    </row>
    <row r="5717" spans="2:4" ht="13">
      <c r="B5717" s="12">
        <f ca="1">IFERROR(__xludf.DUMMYFUNCTION("""COMPUTED_VALUE"""),131533)</f>
        <v>131533</v>
      </c>
      <c r="C5717" s="14">
        <f ca="1">IFERROR(__xludf.DUMMYFUNCTION("""COMPUTED_VALUE"""),0)</f>
        <v>0</v>
      </c>
      <c r="D5717" s="12" t="str">
        <f ca="1">IFERROR(__xludf.DUMMYFUNCTION("""COMPUTED_VALUE"""),"田嶋 将太")</f>
        <v>田嶋 将太</v>
      </c>
    </row>
    <row r="5718" spans="2:4" ht="13">
      <c r="B5718" s="12">
        <f ca="1">IFERROR(__xludf.DUMMYFUNCTION("""COMPUTED_VALUE"""),131540)</f>
        <v>131540</v>
      </c>
      <c r="C5718" s="14">
        <f ca="1">IFERROR(__xludf.DUMMYFUNCTION("""COMPUTED_VALUE"""),0)</f>
        <v>0</v>
      </c>
      <c r="D5718" s="12" t="str">
        <f ca="1">IFERROR(__xludf.DUMMYFUNCTION("""COMPUTED_VALUE"""),"成嶋 夏未")</f>
        <v>成嶋 夏未</v>
      </c>
    </row>
    <row r="5719" spans="2:4" ht="13">
      <c r="B5719" s="12">
        <f ca="1">IFERROR(__xludf.DUMMYFUNCTION("""COMPUTED_VALUE"""),131541)</f>
        <v>131541</v>
      </c>
      <c r="C5719" s="14">
        <f ca="1">IFERROR(__xludf.DUMMYFUNCTION("""COMPUTED_VALUE"""),0)</f>
        <v>0</v>
      </c>
      <c r="D5719" s="12" t="str">
        <f ca="1">IFERROR(__xludf.DUMMYFUNCTION("""COMPUTED_VALUE"""),"松尾 尚樹")</f>
        <v>松尾 尚樹</v>
      </c>
    </row>
    <row r="5720" spans="2:4" ht="13">
      <c r="B5720" s="12">
        <f ca="1">IFERROR(__xludf.DUMMYFUNCTION("""COMPUTED_VALUE"""),131543)</f>
        <v>131543</v>
      </c>
      <c r="C5720" s="14">
        <f ca="1">IFERROR(__xludf.DUMMYFUNCTION("""COMPUTED_VALUE"""),4)</f>
        <v>4</v>
      </c>
      <c r="D5720" s="12" t="str">
        <f ca="1">IFERROR(__xludf.DUMMYFUNCTION("""COMPUTED_VALUE"""),"小関 麻起")</f>
        <v>小関 麻起</v>
      </c>
    </row>
    <row r="5721" spans="2:4" ht="13">
      <c r="B5721" s="12">
        <f ca="1">IFERROR(__xludf.DUMMYFUNCTION("""COMPUTED_VALUE"""),131544)</f>
        <v>131544</v>
      </c>
      <c r="C5721" s="14">
        <f ca="1">IFERROR(__xludf.DUMMYFUNCTION("""COMPUTED_VALUE"""),0)</f>
        <v>0</v>
      </c>
      <c r="D5721" s="12" t="str">
        <f ca="1">IFERROR(__xludf.DUMMYFUNCTION("""COMPUTED_VALUE"""),"菅野 ぎんが")</f>
        <v>菅野 ぎんが</v>
      </c>
    </row>
    <row r="5722" spans="2:4" ht="13">
      <c r="B5722" s="12">
        <f ca="1">IFERROR(__xludf.DUMMYFUNCTION("""COMPUTED_VALUE"""),131552)</f>
        <v>131552</v>
      </c>
      <c r="C5722" s="14">
        <f ca="1">IFERROR(__xludf.DUMMYFUNCTION("""COMPUTED_VALUE"""),8)</f>
        <v>8</v>
      </c>
      <c r="D5722" s="12" t="str">
        <f ca="1">IFERROR(__xludf.DUMMYFUNCTION("""COMPUTED_VALUE"""),"荻曽 克輝")</f>
        <v>荻曽 克輝</v>
      </c>
    </row>
    <row r="5723" spans="2:4" ht="13">
      <c r="B5723" s="12">
        <f ca="1">IFERROR(__xludf.DUMMYFUNCTION("""COMPUTED_VALUE"""),131555)</f>
        <v>131555</v>
      </c>
      <c r="C5723" s="14">
        <f ca="1">IFERROR(__xludf.DUMMYFUNCTION("""COMPUTED_VALUE"""),4)</f>
        <v>4</v>
      </c>
      <c r="D5723" s="12" t="str">
        <f ca="1">IFERROR(__xludf.DUMMYFUNCTION("""COMPUTED_VALUE"""),"小川 純")</f>
        <v>小川 純</v>
      </c>
    </row>
    <row r="5724" spans="2:4" ht="13">
      <c r="B5724" s="12">
        <f ca="1">IFERROR(__xludf.DUMMYFUNCTION("""COMPUTED_VALUE"""),131556)</f>
        <v>131556</v>
      </c>
      <c r="C5724" s="14">
        <f ca="1">IFERROR(__xludf.DUMMYFUNCTION("""COMPUTED_VALUE"""),9)</f>
        <v>9</v>
      </c>
      <c r="D5724" s="12" t="str">
        <f ca="1">IFERROR(__xludf.DUMMYFUNCTION("""COMPUTED_VALUE"""),"小川 純")</f>
        <v>小川 純</v>
      </c>
    </row>
    <row r="5725" spans="2:4" ht="13">
      <c r="B5725" s="12">
        <f ca="1">IFERROR(__xludf.DUMMYFUNCTION("""COMPUTED_VALUE"""),131557)</f>
        <v>131557</v>
      </c>
      <c r="C5725" s="14">
        <f ca="1">IFERROR(__xludf.DUMMYFUNCTION("""COMPUTED_VALUE"""),8)</f>
        <v>8</v>
      </c>
      <c r="D5725" s="12" t="str">
        <f ca="1">IFERROR(__xludf.DUMMYFUNCTION("""COMPUTED_VALUE"""),"小川 純")</f>
        <v>小川 純</v>
      </c>
    </row>
    <row r="5726" spans="2:4" ht="13">
      <c r="B5726" s="12">
        <f ca="1">IFERROR(__xludf.DUMMYFUNCTION("""COMPUTED_VALUE"""),131558)</f>
        <v>131558</v>
      </c>
      <c r="C5726" s="14">
        <f ca="1">IFERROR(__xludf.DUMMYFUNCTION("""COMPUTED_VALUE"""),1)</f>
        <v>1</v>
      </c>
      <c r="D5726" s="12" t="str">
        <f ca="1">IFERROR(__xludf.DUMMYFUNCTION("""COMPUTED_VALUE"""),"小川 純")</f>
        <v>小川 純</v>
      </c>
    </row>
    <row r="5727" spans="2:4" ht="13">
      <c r="B5727" s="12">
        <f ca="1">IFERROR(__xludf.DUMMYFUNCTION("""COMPUTED_VALUE"""),131559)</f>
        <v>131559</v>
      </c>
      <c r="C5727" s="14">
        <f ca="1">IFERROR(__xludf.DUMMYFUNCTION("""COMPUTED_VALUE"""),17)</f>
        <v>17</v>
      </c>
      <c r="D5727" s="12" t="str">
        <f ca="1">IFERROR(__xludf.DUMMYFUNCTION("""COMPUTED_VALUE"""),"小川 純")</f>
        <v>小川 純</v>
      </c>
    </row>
    <row r="5728" spans="2:4" ht="13">
      <c r="B5728" s="12">
        <f ca="1">IFERROR(__xludf.DUMMYFUNCTION("""COMPUTED_VALUE"""),131560)</f>
        <v>131560</v>
      </c>
      <c r="C5728" s="14">
        <f ca="1">IFERROR(__xludf.DUMMYFUNCTION("""COMPUTED_VALUE"""),8)</f>
        <v>8</v>
      </c>
      <c r="D5728" s="12" t="str">
        <f ca="1">IFERROR(__xludf.DUMMYFUNCTION("""COMPUTED_VALUE"""),"小川 純")</f>
        <v>小川 純</v>
      </c>
    </row>
    <row r="5729" spans="2:4" ht="13">
      <c r="B5729" s="12">
        <f ca="1">IFERROR(__xludf.DUMMYFUNCTION("""COMPUTED_VALUE"""),131561)</f>
        <v>131561</v>
      </c>
      <c r="C5729" s="14">
        <f ca="1">IFERROR(__xludf.DUMMYFUNCTION("""COMPUTED_VALUE"""),4)</f>
        <v>4</v>
      </c>
      <c r="D5729" s="12" t="str">
        <f ca="1">IFERROR(__xludf.DUMMYFUNCTION("""COMPUTED_VALUE"""),"小川 純")</f>
        <v>小川 純</v>
      </c>
    </row>
    <row r="5730" spans="2:4" ht="13">
      <c r="B5730" s="12">
        <f ca="1">IFERROR(__xludf.DUMMYFUNCTION("""COMPUTED_VALUE"""),131562)</f>
        <v>131562</v>
      </c>
      <c r="C5730" s="14">
        <f ca="1">IFERROR(__xludf.DUMMYFUNCTION("""COMPUTED_VALUE"""),1)</f>
        <v>1</v>
      </c>
      <c r="D5730" s="12" t="str">
        <f ca="1">IFERROR(__xludf.DUMMYFUNCTION("""COMPUTED_VALUE"""),"小川 純")</f>
        <v>小川 純</v>
      </c>
    </row>
    <row r="5731" spans="2:4" ht="13">
      <c r="B5731" s="12">
        <f ca="1">IFERROR(__xludf.DUMMYFUNCTION("""COMPUTED_VALUE"""),131563)</f>
        <v>131563</v>
      </c>
      <c r="C5731" s="14">
        <f ca="1">IFERROR(__xludf.DUMMYFUNCTION("""COMPUTED_VALUE"""),2)</f>
        <v>2</v>
      </c>
      <c r="D5731" s="12" t="str">
        <f ca="1">IFERROR(__xludf.DUMMYFUNCTION("""COMPUTED_VALUE"""),"小川 純")</f>
        <v>小川 純</v>
      </c>
    </row>
    <row r="5732" spans="2:4" ht="13">
      <c r="B5732" s="12">
        <f ca="1">IFERROR(__xludf.DUMMYFUNCTION("""COMPUTED_VALUE"""),131564)</f>
        <v>131564</v>
      </c>
      <c r="C5732" s="14">
        <f ca="1">IFERROR(__xludf.DUMMYFUNCTION("""COMPUTED_VALUE"""),10)</f>
        <v>10</v>
      </c>
      <c r="D5732" s="12" t="str">
        <f ca="1">IFERROR(__xludf.DUMMYFUNCTION("""COMPUTED_VALUE"""),"小川 純")</f>
        <v>小川 純</v>
      </c>
    </row>
    <row r="5733" spans="2:4" ht="13">
      <c r="B5733" s="12">
        <f ca="1">IFERROR(__xludf.DUMMYFUNCTION("""COMPUTED_VALUE"""),131565)</f>
        <v>131565</v>
      </c>
      <c r="C5733" s="14">
        <f ca="1">IFERROR(__xludf.DUMMYFUNCTION("""COMPUTED_VALUE"""),5)</f>
        <v>5</v>
      </c>
      <c r="D5733" s="12" t="str">
        <f ca="1">IFERROR(__xludf.DUMMYFUNCTION("""COMPUTED_VALUE"""),"小川 純")</f>
        <v>小川 純</v>
      </c>
    </row>
    <row r="5734" spans="2:4" ht="13">
      <c r="B5734" s="12">
        <f ca="1">IFERROR(__xludf.DUMMYFUNCTION("""COMPUTED_VALUE"""),131567)</f>
        <v>131567</v>
      </c>
      <c r="C5734" s="14">
        <f ca="1">IFERROR(__xludf.DUMMYFUNCTION("""COMPUTED_VALUE"""),3)</f>
        <v>3</v>
      </c>
      <c r="D5734" s="12" t="str">
        <f ca="1">IFERROR(__xludf.DUMMYFUNCTION("""COMPUTED_VALUE"""),"小川 純")</f>
        <v>小川 純</v>
      </c>
    </row>
    <row r="5735" spans="2:4" ht="13">
      <c r="B5735" s="12">
        <f ca="1">IFERROR(__xludf.DUMMYFUNCTION("""COMPUTED_VALUE"""),131569)</f>
        <v>131569</v>
      </c>
      <c r="C5735" s="14">
        <f ca="1">IFERROR(__xludf.DUMMYFUNCTION("""COMPUTED_VALUE"""),4)</f>
        <v>4</v>
      </c>
      <c r="D5735" s="12" t="str">
        <f ca="1">IFERROR(__xludf.DUMMYFUNCTION("""COMPUTED_VALUE"""),"小川 純")</f>
        <v>小川 純</v>
      </c>
    </row>
    <row r="5736" spans="2:4" ht="13">
      <c r="B5736" s="12">
        <f ca="1">IFERROR(__xludf.DUMMYFUNCTION("""COMPUTED_VALUE"""),131570)</f>
        <v>131570</v>
      </c>
      <c r="C5736" s="14">
        <f ca="1">IFERROR(__xludf.DUMMYFUNCTION("""COMPUTED_VALUE"""),11)</f>
        <v>11</v>
      </c>
      <c r="D5736" s="12" t="str">
        <f ca="1">IFERROR(__xludf.DUMMYFUNCTION("""COMPUTED_VALUE"""),"小川 純")</f>
        <v>小川 純</v>
      </c>
    </row>
    <row r="5737" spans="2:4" ht="13">
      <c r="B5737" s="12">
        <f ca="1">IFERROR(__xludf.DUMMYFUNCTION("""COMPUTED_VALUE"""),131571)</f>
        <v>131571</v>
      </c>
      <c r="C5737" s="14">
        <f ca="1">IFERROR(__xludf.DUMMYFUNCTION("""COMPUTED_VALUE"""),9)</f>
        <v>9</v>
      </c>
      <c r="D5737" s="12" t="str">
        <f ca="1">IFERROR(__xludf.DUMMYFUNCTION("""COMPUTED_VALUE"""),"小川 純")</f>
        <v>小川 純</v>
      </c>
    </row>
    <row r="5738" spans="2:4" ht="13">
      <c r="B5738" s="12">
        <f ca="1">IFERROR(__xludf.DUMMYFUNCTION("""COMPUTED_VALUE"""),131582)</f>
        <v>131582</v>
      </c>
      <c r="C5738" s="14">
        <f ca="1">IFERROR(__xludf.DUMMYFUNCTION("""COMPUTED_VALUE"""),0)</f>
        <v>0</v>
      </c>
      <c r="D5738" s="12" t="str">
        <f ca="1">IFERROR(__xludf.DUMMYFUNCTION("""COMPUTED_VALUE"""),"柿崎 晃司")</f>
        <v>柿崎 晃司</v>
      </c>
    </row>
    <row r="5739" spans="2:4" ht="13">
      <c r="B5739" s="12">
        <f ca="1">IFERROR(__xludf.DUMMYFUNCTION("""COMPUTED_VALUE"""),131587)</f>
        <v>131587</v>
      </c>
      <c r="C5739" s="14">
        <f ca="1">IFERROR(__xludf.DUMMYFUNCTION("""COMPUTED_VALUE"""),0)</f>
        <v>0</v>
      </c>
      <c r="D5739" s="12" t="str">
        <f ca="1">IFERROR(__xludf.DUMMYFUNCTION("""COMPUTED_VALUE"""),"村上 浩一朗")</f>
        <v>村上 浩一朗</v>
      </c>
    </row>
    <row r="5740" spans="2:4" ht="13">
      <c r="B5740" s="12">
        <f ca="1">IFERROR(__xludf.DUMMYFUNCTION("""COMPUTED_VALUE"""),131590)</f>
        <v>131590</v>
      </c>
      <c r="C5740" s="14">
        <f ca="1">IFERROR(__xludf.DUMMYFUNCTION("""COMPUTED_VALUE"""),0)</f>
        <v>0</v>
      </c>
      <c r="D5740" s="12" t="str">
        <f ca="1">IFERROR(__xludf.DUMMYFUNCTION("""COMPUTED_VALUE"""),"川島 幹也")</f>
        <v>川島 幹也</v>
      </c>
    </row>
    <row r="5741" spans="2:4" ht="13">
      <c r="B5741" s="12">
        <f ca="1">IFERROR(__xludf.DUMMYFUNCTION("""COMPUTED_VALUE"""),131592)</f>
        <v>131592</v>
      </c>
      <c r="C5741" s="14">
        <f ca="1">IFERROR(__xludf.DUMMYFUNCTION("""COMPUTED_VALUE"""),17)</f>
        <v>17</v>
      </c>
      <c r="D5741" s="12" t="str">
        <f ca="1">IFERROR(__xludf.DUMMYFUNCTION("""COMPUTED_VALUE"""),"栗原 大武")</f>
        <v>栗原 大武</v>
      </c>
    </row>
    <row r="5742" spans="2:4" ht="13">
      <c r="B5742" s="12">
        <f ca="1">IFERROR(__xludf.DUMMYFUNCTION("""COMPUTED_VALUE"""),131594)</f>
        <v>131594</v>
      </c>
      <c r="C5742" s="14">
        <f ca="1">IFERROR(__xludf.DUMMYFUNCTION("""COMPUTED_VALUE"""),0)</f>
        <v>0</v>
      </c>
      <c r="D5742" s="12" t="str">
        <f ca="1">IFERROR(__xludf.DUMMYFUNCTION("""COMPUTED_VALUE"""),"栗原 大武")</f>
        <v>栗原 大武</v>
      </c>
    </row>
    <row r="5743" spans="2:4" ht="13">
      <c r="B5743" s="12">
        <f ca="1">IFERROR(__xludf.DUMMYFUNCTION("""COMPUTED_VALUE"""),131595)</f>
        <v>131595</v>
      </c>
      <c r="C5743" s="14">
        <f ca="1">IFERROR(__xludf.DUMMYFUNCTION("""COMPUTED_VALUE"""),6)</f>
        <v>6</v>
      </c>
      <c r="D5743" s="12" t="str">
        <f ca="1">IFERROR(__xludf.DUMMYFUNCTION("""COMPUTED_VALUE"""),"成嶋 夏未")</f>
        <v>成嶋 夏未</v>
      </c>
    </row>
    <row r="5744" spans="2:4" ht="13">
      <c r="B5744" s="12">
        <f ca="1">IFERROR(__xludf.DUMMYFUNCTION("""COMPUTED_VALUE"""),131596)</f>
        <v>131596</v>
      </c>
      <c r="C5744" s="14">
        <f ca="1">IFERROR(__xludf.DUMMYFUNCTION("""COMPUTED_VALUE"""),0)</f>
        <v>0</v>
      </c>
      <c r="D5744" s="12" t="str">
        <f ca="1">IFERROR(__xludf.DUMMYFUNCTION("""COMPUTED_VALUE"""),"松尾 尚樹")</f>
        <v>松尾 尚樹</v>
      </c>
    </row>
    <row r="5745" spans="2:4" ht="13">
      <c r="B5745" s="12">
        <f ca="1">IFERROR(__xludf.DUMMYFUNCTION("""COMPUTED_VALUE"""),131598)</f>
        <v>131598</v>
      </c>
      <c r="C5745" s="14">
        <f ca="1">IFERROR(__xludf.DUMMYFUNCTION("""COMPUTED_VALUE"""),22)</f>
        <v>22</v>
      </c>
      <c r="D5745" s="12" t="str">
        <f ca="1">IFERROR(__xludf.DUMMYFUNCTION("""COMPUTED_VALUE"""),"小川 純")</f>
        <v>小川 純</v>
      </c>
    </row>
    <row r="5746" spans="2:4" ht="13">
      <c r="B5746" s="12">
        <f ca="1">IFERROR(__xludf.DUMMYFUNCTION("""COMPUTED_VALUE"""),131618)</f>
        <v>131618</v>
      </c>
      <c r="C5746" s="14">
        <f ca="1">IFERROR(__xludf.DUMMYFUNCTION("""COMPUTED_VALUE"""),0)</f>
        <v>0</v>
      </c>
      <c r="D5746" s="12" t="str">
        <f ca="1">IFERROR(__xludf.DUMMYFUNCTION("""COMPUTED_VALUE"""),"森 光智")</f>
        <v>森 光智</v>
      </c>
    </row>
    <row r="5747" spans="2:4" ht="13">
      <c r="B5747" s="12">
        <f ca="1">IFERROR(__xludf.DUMMYFUNCTION("""COMPUTED_VALUE"""),131628)</f>
        <v>131628</v>
      </c>
      <c r="C5747" s="14">
        <f ca="1">IFERROR(__xludf.DUMMYFUNCTION("""COMPUTED_VALUE"""),0)</f>
        <v>0</v>
      </c>
      <c r="D5747" s="12" t="str">
        <f ca="1">IFERROR(__xludf.DUMMYFUNCTION("""COMPUTED_VALUE"""),"辻村 将大")</f>
        <v>辻村 将大</v>
      </c>
    </row>
    <row r="5748" spans="2:4" ht="13">
      <c r="B5748" s="12">
        <f ca="1">IFERROR(__xludf.DUMMYFUNCTION("""COMPUTED_VALUE"""),131629)</f>
        <v>131629</v>
      </c>
      <c r="C5748" s="14">
        <f ca="1">IFERROR(__xludf.DUMMYFUNCTION("""COMPUTED_VALUE"""),0)</f>
        <v>0</v>
      </c>
      <c r="D5748" s="12" t="str">
        <f ca="1">IFERROR(__xludf.DUMMYFUNCTION("""COMPUTED_VALUE"""),"桐山 勝気")</f>
        <v>桐山 勝気</v>
      </c>
    </row>
    <row r="5749" spans="2:4" ht="13">
      <c r="B5749" s="12">
        <f ca="1">IFERROR(__xludf.DUMMYFUNCTION("""COMPUTED_VALUE"""),131633)</f>
        <v>131633</v>
      </c>
      <c r="C5749" s="14">
        <f ca="1">IFERROR(__xludf.DUMMYFUNCTION("""COMPUTED_VALUE"""),0)</f>
        <v>0</v>
      </c>
      <c r="D5749" s="12" t="str">
        <f ca="1">IFERROR(__xludf.DUMMYFUNCTION("""COMPUTED_VALUE"""),"小川 純")</f>
        <v>小川 純</v>
      </c>
    </row>
    <row r="5750" spans="2:4" ht="13">
      <c r="B5750" s="12">
        <f ca="1">IFERROR(__xludf.DUMMYFUNCTION("""COMPUTED_VALUE"""),131635)</f>
        <v>131635</v>
      </c>
      <c r="C5750" s="14">
        <f ca="1">IFERROR(__xludf.DUMMYFUNCTION("""COMPUTED_VALUE"""),0)</f>
        <v>0</v>
      </c>
      <c r="D5750" s="12" t="str">
        <f ca="1">IFERROR(__xludf.DUMMYFUNCTION("""COMPUTED_VALUE"""),"成嶋 夏未")</f>
        <v>成嶋 夏未</v>
      </c>
    </row>
    <row r="5751" spans="2:4" ht="13">
      <c r="B5751" s="12">
        <f ca="1">IFERROR(__xludf.DUMMYFUNCTION("""COMPUTED_VALUE"""),131646)</f>
        <v>131646</v>
      </c>
      <c r="C5751" s="14">
        <f ca="1">IFERROR(__xludf.DUMMYFUNCTION("""COMPUTED_VALUE"""),0)</f>
        <v>0</v>
      </c>
      <c r="D5751" s="12" t="str">
        <f ca="1">IFERROR(__xludf.DUMMYFUNCTION("""COMPUTED_VALUE"""),"荻曽 克輝")</f>
        <v>荻曽 克輝</v>
      </c>
    </row>
    <row r="5752" spans="2:4" ht="13">
      <c r="B5752" s="12">
        <f ca="1">IFERROR(__xludf.DUMMYFUNCTION("""COMPUTED_VALUE"""),131648)</f>
        <v>131648</v>
      </c>
      <c r="C5752" s="14">
        <f ca="1">IFERROR(__xludf.DUMMYFUNCTION("""COMPUTED_VALUE"""),4)</f>
        <v>4</v>
      </c>
      <c r="D5752" s="12" t="str">
        <f ca="1">IFERROR(__xludf.DUMMYFUNCTION("""COMPUTED_VALUE"""),"小関 麻起")</f>
        <v>小関 麻起</v>
      </c>
    </row>
    <row r="5753" spans="2:4" ht="13">
      <c r="B5753" s="12">
        <f ca="1">IFERROR(__xludf.DUMMYFUNCTION("""COMPUTED_VALUE"""),131651)</f>
        <v>131651</v>
      </c>
      <c r="C5753" s="14">
        <f ca="1">IFERROR(__xludf.DUMMYFUNCTION("""COMPUTED_VALUE"""),0)</f>
        <v>0</v>
      </c>
      <c r="D5753" s="12" t="str">
        <f ca="1">IFERROR(__xludf.DUMMYFUNCTION("""COMPUTED_VALUE"""),"成嶋 夏未")</f>
        <v>成嶋 夏未</v>
      </c>
    </row>
    <row r="5754" spans="2:4" ht="13">
      <c r="B5754" s="12">
        <f ca="1">IFERROR(__xludf.DUMMYFUNCTION("""COMPUTED_VALUE"""),131659)</f>
        <v>131659</v>
      </c>
      <c r="C5754" s="14">
        <f ca="1">IFERROR(__xludf.DUMMYFUNCTION("""COMPUTED_VALUE"""),0)</f>
        <v>0</v>
      </c>
      <c r="D5754" s="12" t="str">
        <f ca="1">IFERROR(__xludf.DUMMYFUNCTION("""COMPUTED_VALUE"""),"荻曽 克輝")</f>
        <v>荻曽 克輝</v>
      </c>
    </row>
    <row r="5755" spans="2:4" ht="13">
      <c r="B5755" s="12">
        <f ca="1">IFERROR(__xludf.DUMMYFUNCTION("""COMPUTED_VALUE"""),131667)</f>
        <v>131667</v>
      </c>
      <c r="C5755" s="14">
        <f ca="1">IFERROR(__xludf.DUMMYFUNCTION("""COMPUTED_VALUE"""),0)</f>
        <v>0</v>
      </c>
      <c r="D5755" s="12" t="str">
        <f ca="1">IFERROR(__xludf.DUMMYFUNCTION("""COMPUTED_VALUE"""),"松尾 尚樹")</f>
        <v>松尾 尚樹</v>
      </c>
    </row>
    <row r="5756" spans="2:4" ht="13">
      <c r="B5756" s="12">
        <f ca="1">IFERROR(__xludf.DUMMYFUNCTION("""COMPUTED_VALUE"""),131677)</f>
        <v>131677</v>
      </c>
      <c r="C5756" s="14">
        <f ca="1">IFERROR(__xludf.DUMMYFUNCTION("""COMPUTED_VALUE"""),3)</f>
        <v>3</v>
      </c>
      <c r="D5756" s="12" t="str">
        <f ca="1">IFERROR(__xludf.DUMMYFUNCTION("""COMPUTED_VALUE"""),"内丸 裕子")</f>
        <v>内丸 裕子</v>
      </c>
    </row>
    <row r="5757" spans="2:4" ht="13">
      <c r="B5757" s="12">
        <f ca="1">IFERROR(__xludf.DUMMYFUNCTION("""COMPUTED_VALUE"""),131678)</f>
        <v>131678</v>
      </c>
      <c r="C5757" s="14">
        <f ca="1">IFERROR(__xludf.DUMMYFUNCTION("""COMPUTED_VALUE"""),0)</f>
        <v>0</v>
      </c>
      <c r="D5757" s="12" t="str">
        <f ca="1">IFERROR(__xludf.DUMMYFUNCTION("""COMPUTED_VALUE"""),"森 光智")</f>
        <v>森 光智</v>
      </c>
    </row>
    <row r="5758" spans="2:4" ht="13">
      <c r="B5758" s="12">
        <f ca="1">IFERROR(__xludf.DUMMYFUNCTION("""COMPUTED_VALUE"""),131679)</f>
        <v>131679</v>
      </c>
      <c r="C5758" s="14">
        <f ca="1">IFERROR(__xludf.DUMMYFUNCTION("""COMPUTED_VALUE"""),44)</f>
        <v>44</v>
      </c>
      <c r="D5758" s="12" t="str">
        <f ca="1">IFERROR(__xludf.DUMMYFUNCTION("""COMPUTED_VALUE"""),"菅野 ぎんが")</f>
        <v>菅野 ぎんが</v>
      </c>
    </row>
    <row r="5759" spans="2:4" ht="13">
      <c r="B5759" s="12">
        <f ca="1">IFERROR(__xludf.DUMMYFUNCTION("""COMPUTED_VALUE"""),131681)</f>
        <v>131681</v>
      </c>
      <c r="C5759" s="14">
        <f ca="1">IFERROR(__xludf.DUMMYFUNCTION("""COMPUTED_VALUE"""),0)</f>
        <v>0</v>
      </c>
      <c r="D5759" s="12" t="str">
        <f ca="1">IFERROR(__xludf.DUMMYFUNCTION("""COMPUTED_VALUE"""),"小川 純")</f>
        <v>小川 純</v>
      </c>
    </row>
    <row r="5760" spans="2:4" ht="13">
      <c r="B5760" s="12">
        <f ca="1">IFERROR(__xludf.DUMMYFUNCTION("""COMPUTED_VALUE"""),131682)</f>
        <v>131682</v>
      </c>
      <c r="C5760" s="14">
        <f ca="1">IFERROR(__xludf.DUMMYFUNCTION("""COMPUTED_VALUE"""),0)</f>
        <v>0</v>
      </c>
      <c r="D5760" s="12" t="str">
        <f ca="1">IFERROR(__xludf.DUMMYFUNCTION("""COMPUTED_VALUE"""),"川島 幹也")</f>
        <v>川島 幹也</v>
      </c>
    </row>
    <row r="5761" spans="2:4" ht="13">
      <c r="B5761" s="12">
        <f ca="1">IFERROR(__xludf.DUMMYFUNCTION("""COMPUTED_VALUE"""),131686)</f>
        <v>131686</v>
      </c>
      <c r="C5761" s="14">
        <f ca="1">IFERROR(__xludf.DUMMYFUNCTION("""COMPUTED_VALUE"""),1)</f>
        <v>1</v>
      </c>
      <c r="D5761" s="12" t="str">
        <f ca="1">IFERROR(__xludf.DUMMYFUNCTION("""COMPUTED_VALUE"""),"川島 幹也")</f>
        <v>川島 幹也</v>
      </c>
    </row>
    <row r="5762" spans="2:4" ht="13">
      <c r="B5762" s="12">
        <f ca="1">IFERROR(__xludf.DUMMYFUNCTION("""COMPUTED_VALUE"""),131693)</f>
        <v>131693</v>
      </c>
      <c r="C5762" s="14">
        <f ca="1">IFERROR(__xludf.DUMMYFUNCTION("""COMPUTED_VALUE"""),63)</f>
        <v>63</v>
      </c>
      <c r="D5762" s="12" t="str">
        <f ca="1">IFERROR(__xludf.DUMMYFUNCTION("""COMPUTED_VALUE"""),"荻曽 克輝")</f>
        <v>荻曽 克輝</v>
      </c>
    </row>
    <row r="5763" spans="2:4" ht="13">
      <c r="B5763" s="12">
        <f ca="1">IFERROR(__xludf.DUMMYFUNCTION("""COMPUTED_VALUE"""),131697)</f>
        <v>131697</v>
      </c>
      <c r="C5763" s="14">
        <f ca="1">IFERROR(__xludf.DUMMYFUNCTION("""COMPUTED_VALUE"""),0)</f>
        <v>0</v>
      </c>
      <c r="D5763" s="12" t="str">
        <f ca="1">IFERROR(__xludf.DUMMYFUNCTION("""COMPUTED_VALUE"""),"小川 純")</f>
        <v>小川 純</v>
      </c>
    </row>
    <row r="5764" spans="2:4" ht="13">
      <c r="B5764" s="12">
        <f ca="1">IFERROR(__xludf.DUMMYFUNCTION("""COMPUTED_VALUE"""),131698)</f>
        <v>131698</v>
      </c>
      <c r="C5764" s="14">
        <f ca="1">IFERROR(__xludf.DUMMYFUNCTION("""COMPUTED_VALUE"""),0)</f>
        <v>0</v>
      </c>
      <c r="D5764" s="12" t="str">
        <f ca="1">IFERROR(__xludf.DUMMYFUNCTION("""COMPUTED_VALUE"""),"内丸 裕子")</f>
        <v>内丸 裕子</v>
      </c>
    </row>
    <row r="5765" spans="2:4" ht="13">
      <c r="B5765" s="12">
        <f ca="1">IFERROR(__xludf.DUMMYFUNCTION("""COMPUTED_VALUE"""),131700)</f>
        <v>131700</v>
      </c>
      <c r="C5765" s="14">
        <f ca="1">IFERROR(__xludf.DUMMYFUNCTION("""COMPUTED_VALUE"""),0)</f>
        <v>0</v>
      </c>
      <c r="D5765" s="12" t="str">
        <f ca="1">IFERROR(__xludf.DUMMYFUNCTION("""COMPUTED_VALUE"""),"成嶋 夏未")</f>
        <v>成嶋 夏未</v>
      </c>
    </row>
    <row r="5766" spans="2:4" ht="13">
      <c r="B5766" s="12">
        <f ca="1">IFERROR(__xludf.DUMMYFUNCTION("""COMPUTED_VALUE"""),131707)</f>
        <v>131707</v>
      </c>
      <c r="C5766" s="14">
        <f ca="1">IFERROR(__xludf.DUMMYFUNCTION("""COMPUTED_VALUE"""),10)</f>
        <v>10</v>
      </c>
      <c r="D5766" s="12" t="str">
        <f ca="1">IFERROR(__xludf.DUMMYFUNCTION("""COMPUTED_VALUE"""),"桑原 明子")</f>
        <v>桑原 明子</v>
      </c>
    </row>
    <row r="5767" spans="2:4" ht="13">
      <c r="B5767" s="12">
        <f ca="1">IFERROR(__xludf.DUMMYFUNCTION("""COMPUTED_VALUE"""),131717)</f>
        <v>131717</v>
      </c>
      <c r="C5767" s="14">
        <f ca="1">IFERROR(__xludf.DUMMYFUNCTION("""COMPUTED_VALUE"""),0)</f>
        <v>0</v>
      </c>
      <c r="D5767" s="12" t="str">
        <f ca="1">IFERROR(__xludf.DUMMYFUNCTION("""COMPUTED_VALUE"""),"小川 純")</f>
        <v>小川 純</v>
      </c>
    </row>
    <row r="5768" spans="2:4" ht="13">
      <c r="B5768" s="12">
        <f ca="1">IFERROR(__xludf.DUMMYFUNCTION("""COMPUTED_VALUE"""),131726)</f>
        <v>131726</v>
      </c>
      <c r="C5768" s="14">
        <f ca="1">IFERROR(__xludf.DUMMYFUNCTION("""COMPUTED_VALUE"""),0)</f>
        <v>0</v>
      </c>
      <c r="D5768" s="12" t="str">
        <f ca="1">IFERROR(__xludf.DUMMYFUNCTION("""COMPUTED_VALUE"""),"栗原 大武")</f>
        <v>栗原 大武</v>
      </c>
    </row>
    <row r="5769" spans="2:4" ht="13">
      <c r="B5769" s="12">
        <f ca="1">IFERROR(__xludf.DUMMYFUNCTION("""COMPUTED_VALUE"""),131727)</f>
        <v>131727</v>
      </c>
      <c r="C5769" s="14">
        <f ca="1">IFERROR(__xludf.DUMMYFUNCTION("""COMPUTED_VALUE"""),0)</f>
        <v>0</v>
      </c>
      <c r="D5769" s="12" t="str">
        <f ca="1">IFERROR(__xludf.DUMMYFUNCTION("""COMPUTED_VALUE"""),"栗原 大武")</f>
        <v>栗原 大武</v>
      </c>
    </row>
    <row r="5770" spans="2:4" ht="13">
      <c r="B5770" s="12">
        <f ca="1">IFERROR(__xludf.DUMMYFUNCTION("""COMPUTED_VALUE"""),131737)</f>
        <v>131737</v>
      </c>
      <c r="C5770" s="14">
        <f ca="1">IFERROR(__xludf.DUMMYFUNCTION("""COMPUTED_VALUE"""),0)</f>
        <v>0</v>
      </c>
      <c r="D5770" s="12" t="str">
        <f ca="1">IFERROR(__xludf.DUMMYFUNCTION("""COMPUTED_VALUE"""),"菅野 ぎんが")</f>
        <v>菅野 ぎんが</v>
      </c>
    </row>
    <row r="5771" spans="2:4" ht="13">
      <c r="B5771" s="12">
        <f ca="1">IFERROR(__xludf.DUMMYFUNCTION("""COMPUTED_VALUE"""),131738)</f>
        <v>131738</v>
      </c>
      <c r="C5771" s="14">
        <f ca="1">IFERROR(__xludf.DUMMYFUNCTION("""COMPUTED_VALUE"""),0)</f>
        <v>0</v>
      </c>
      <c r="D5771" s="12" t="str">
        <f ca="1">IFERROR(__xludf.DUMMYFUNCTION("""COMPUTED_VALUE"""),"成嶋 夏未")</f>
        <v>成嶋 夏未</v>
      </c>
    </row>
    <row r="5772" spans="2:4" ht="13">
      <c r="B5772" s="12">
        <f ca="1">IFERROR(__xludf.DUMMYFUNCTION("""COMPUTED_VALUE"""),131742)</f>
        <v>131742</v>
      </c>
      <c r="C5772" s="14">
        <f ca="1">IFERROR(__xludf.DUMMYFUNCTION("""COMPUTED_VALUE"""),78)</f>
        <v>78</v>
      </c>
      <c r="D5772" s="12" t="str">
        <f ca="1">IFERROR(__xludf.DUMMYFUNCTION("""COMPUTED_VALUE"""),"菅野 ぎんが")</f>
        <v>菅野 ぎんが</v>
      </c>
    </row>
    <row r="5773" spans="2:4" ht="13">
      <c r="B5773" s="12">
        <f ca="1">IFERROR(__xludf.DUMMYFUNCTION("""COMPUTED_VALUE"""),131743)</f>
        <v>131743</v>
      </c>
      <c r="C5773" s="14">
        <f ca="1">IFERROR(__xludf.DUMMYFUNCTION("""COMPUTED_VALUE"""),38)</f>
        <v>38</v>
      </c>
      <c r="D5773" s="12" t="str">
        <f ca="1">IFERROR(__xludf.DUMMYFUNCTION("""COMPUTED_VALUE"""),"桐山 勝気")</f>
        <v>桐山 勝気</v>
      </c>
    </row>
    <row r="5774" spans="2:4" ht="13">
      <c r="B5774" s="12">
        <f ca="1">IFERROR(__xludf.DUMMYFUNCTION("""COMPUTED_VALUE"""),131744)</f>
        <v>131744</v>
      </c>
      <c r="C5774" s="14">
        <f ca="1">IFERROR(__xludf.DUMMYFUNCTION("""COMPUTED_VALUE"""),2)</f>
        <v>2</v>
      </c>
      <c r="D5774" s="12" t="str">
        <f ca="1">IFERROR(__xludf.DUMMYFUNCTION("""COMPUTED_VALUE"""),"柿崎 晃司")</f>
        <v>柿崎 晃司</v>
      </c>
    </row>
    <row r="5775" spans="2:4" ht="13">
      <c r="B5775" s="12">
        <f ca="1">IFERROR(__xludf.DUMMYFUNCTION("""COMPUTED_VALUE"""),131751)</f>
        <v>131751</v>
      </c>
      <c r="C5775" s="14">
        <f ca="1">IFERROR(__xludf.DUMMYFUNCTION("""COMPUTED_VALUE"""),0)</f>
        <v>0</v>
      </c>
      <c r="D5775" s="12" t="str">
        <f ca="1">IFERROR(__xludf.DUMMYFUNCTION("""COMPUTED_VALUE"""),"堀越 駿")</f>
        <v>堀越 駿</v>
      </c>
    </row>
    <row r="5776" spans="2:4" ht="13">
      <c r="B5776" s="12">
        <f ca="1">IFERROR(__xludf.DUMMYFUNCTION("""COMPUTED_VALUE"""),131754)</f>
        <v>131754</v>
      </c>
      <c r="C5776" s="14">
        <f ca="1">IFERROR(__xludf.DUMMYFUNCTION("""COMPUTED_VALUE"""),0)</f>
        <v>0</v>
      </c>
      <c r="D5776" s="12" t="str">
        <f ca="1">IFERROR(__xludf.DUMMYFUNCTION("""COMPUTED_VALUE"""),"森 光智")</f>
        <v>森 光智</v>
      </c>
    </row>
    <row r="5777" spans="2:4" ht="13">
      <c r="B5777" s="12">
        <f ca="1">IFERROR(__xludf.DUMMYFUNCTION("""COMPUTED_VALUE"""),131757)</f>
        <v>131757</v>
      </c>
      <c r="C5777" s="14">
        <f ca="1">IFERROR(__xludf.DUMMYFUNCTION("""COMPUTED_VALUE"""),1)</f>
        <v>1</v>
      </c>
      <c r="D5777" s="12" t="str">
        <f ca="1">IFERROR(__xludf.DUMMYFUNCTION("""COMPUTED_VALUE"""),"小川 純")</f>
        <v>小川 純</v>
      </c>
    </row>
    <row r="5778" spans="2:4" ht="13">
      <c r="B5778" s="12">
        <f ca="1">IFERROR(__xludf.DUMMYFUNCTION("""COMPUTED_VALUE"""),131768)</f>
        <v>131768</v>
      </c>
      <c r="C5778" s="14">
        <f ca="1">IFERROR(__xludf.DUMMYFUNCTION("""COMPUTED_VALUE"""),0)</f>
        <v>0</v>
      </c>
      <c r="D5778" s="12" t="str">
        <f ca="1">IFERROR(__xludf.DUMMYFUNCTION("""COMPUTED_VALUE"""),"菅野 ぎんが")</f>
        <v>菅野 ぎんが</v>
      </c>
    </row>
    <row r="5779" spans="2:4" ht="13">
      <c r="B5779" s="12">
        <f ca="1">IFERROR(__xludf.DUMMYFUNCTION("""COMPUTED_VALUE"""),131770)</f>
        <v>131770</v>
      </c>
      <c r="C5779" s="14">
        <f ca="1">IFERROR(__xludf.DUMMYFUNCTION("""COMPUTED_VALUE"""),3)</f>
        <v>3</v>
      </c>
      <c r="D5779" s="12" t="str">
        <f ca="1">IFERROR(__xludf.DUMMYFUNCTION("""COMPUTED_VALUE"""),"小関 麻起")</f>
        <v>小関 麻起</v>
      </c>
    </row>
    <row r="5780" spans="2:4" ht="13">
      <c r="B5780" s="12">
        <f ca="1">IFERROR(__xludf.DUMMYFUNCTION("""COMPUTED_VALUE"""),131771)</f>
        <v>131771</v>
      </c>
      <c r="C5780" s="14">
        <f ca="1">IFERROR(__xludf.DUMMYFUNCTION("""COMPUTED_VALUE"""),0)</f>
        <v>0</v>
      </c>
      <c r="D5780" s="12" t="str">
        <f ca="1">IFERROR(__xludf.DUMMYFUNCTION("""COMPUTED_VALUE"""),"小川 純")</f>
        <v>小川 純</v>
      </c>
    </row>
    <row r="5781" spans="2:4" ht="13">
      <c r="B5781" s="12">
        <f ca="1">IFERROR(__xludf.DUMMYFUNCTION("""COMPUTED_VALUE"""),131776)</f>
        <v>131776</v>
      </c>
      <c r="C5781" s="14">
        <f ca="1">IFERROR(__xludf.DUMMYFUNCTION("""COMPUTED_VALUE"""),7)</f>
        <v>7</v>
      </c>
      <c r="D5781" s="12" t="str">
        <f ca="1">IFERROR(__xludf.DUMMYFUNCTION("""COMPUTED_VALUE"""),"松尾 尚樹")</f>
        <v>松尾 尚樹</v>
      </c>
    </row>
    <row r="5782" spans="2:4" ht="13">
      <c r="B5782" s="12">
        <f ca="1">IFERROR(__xludf.DUMMYFUNCTION("""COMPUTED_VALUE"""),131777)</f>
        <v>131777</v>
      </c>
      <c r="C5782" s="14">
        <f ca="1">IFERROR(__xludf.DUMMYFUNCTION("""COMPUTED_VALUE"""),0)</f>
        <v>0</v>
      </c>
      <c r="D5782" s="12" t="str">
        <f ca="1">IFERROR(__xludf.DUMMYFUNCTION("""COMPUTED_VALUE"""),"柿崎 晃司")</f>
        <v>柿崎 晃司</v>
      </c>
    </row>
    <row r="5783" spans="2:4" ht="13">
      <c r="B5783" s="12">
        <f ca="1">IFERROR(__xludf.DUMMYFUNCTION("""COMPUTED_VALUE"""),131778)</f>
        <v>131778</v>
      </c>
      <c r="C5783" s="14">
        <f ca="1">IFERROR(__xludf.DUMMYFUNCTION("""COMPUTED_VALUE"""),1)</f>
        <v>1</v>
      </c>
      <c r="D5783" s="12" t="str">
        <f ca="1">IFERROR(__xludf.DUMMYFUNCTION("""COMPUTED_VALUE"""),"稲場 勇介")</f>
        <v>稲場 勇介</v>
      </c>
    </row>
    <row r="5784" spans="2:4" ht="13">
      <c r="B5784" s="12">
        <f ca="1">IFERROR(__xludf.DUMMYFUNCTION("""COMPUTED_VALUE"""),131779)</f>
        <v>131779</v>
      </c>
      <c r="C5784" s="14">
        <f ca="1">IFERROR(__xludf.DUMMYFUNCTION("""COMPUTED_VALUE"""),0)</f>
        <v>0</v>
      </c>
      <c r="D5784" s="12" t="str">
        <f ca="1">IFERROR(__xludf.DUMMYFUNCTION("""COMPUTED_VALUE"""),"辻村 将大")</f>
        <v>辻村 将大</v>
      </c>
    </row>
    <row r="5785" spans="2:4" ht="13">
      <c r="B5785" s="12">
        <f ca="1">IFERROR(__xludf.DUMMYFUNCTION("""COMPUTED_VALUE"""),131781)</f>
        <v>131781</v>
      </c>
      <c r="C5785" s="14">
        <f ca="1">IFERROR(__xludf.DUMMYFUNCTION("""COMPUTED_VALUE"""),0)</f>
        <v>0</v>
      </c>
      <c r="D5785" s="12" t="str">
        <f ca="1">IFERROR(__xludf.DUMMYFUNCTION("""COMPUTED_VALUE"""),"荻曽 克輝")</f>
        <v>荻曽 克輝</v>
      </c>
    </row>
    <row r="5786" spans="2:4" ht="13">
      <c r="B5786" s="12">
        <f ca="1">IFERROR(__xludf.DUMMYFUNCTION("""COMPUTED_VALUE"""),131787)</f>
        <v>131787</v>
      </c>
      <c r="C5786" s="14">
        <f ca="1">IFERROR(__xludf.DUMMYFUNCTION("""COMPUTED_VALUE"""),70)</f>
        <v>70</v>
      </c>
      <c r="D5786" s="12" t="str">
        <f ca="1">IFERROR(__xludf.DUMMYFUNCTION("""COMPUTED_VALUE"""),"小川 純")</f>
        <v>小川 純</v>
      </c>
    </row>
    <row r="5787" spans="2:4" ht="13">
      <c r="B5787" s="12">
        <f ca="1">IFERROR(__xludf.DUMMYFUNCTION("""COMPUTED_VALUE"""),131788)</f>
        <v>131788</v>
      </c>
      <c r="C5787" s="14">
        <f ca="1">IFERROR(__xludf.DUMMYFUNCTION("""COMPUTED_VALUE"""),100)</f>
        <v>100</v>
      </c>
      <c r="D5787" s="12" t="str">
        <f ca="1">IFERROR(__xludf.DUMMYFUNCTION("""COMPUTED_VALUE"""),"老田 純輝")</f>
        <v>老田 純輝</v>
      </c>
    </row>
    <row r="5788" spans="2:4" ht="13">
      <c r="B5788" s="12">
        <f ca="1">IFERROR(__xludf.DUMMYFUNCTION("""COMPUTED_VALUE"""),131789)</f>
        <v>131789</v>
      </c>
      <c r="C5788" s="14">
        <f ca="1">IFERROR(__xludf.DUMMYFUNCTION("""COMPUTED_VALUE"""),4)</f>
        <v>4</v>
      </c>
      <c r="D5788" s="12" t="str">
        <f ca="1">IFERROR(__xludf.DUMMYFUNCTION("""COMPUTED_VALUE"""),"柿崎 晃司")</f>
        <v>柿崎 晃司</v>
      </c>
    </row>
    <row r="5789" spans="2:4" ht="13">
      <c r="B5789" s="12">
        <f ca="1">IFERROR(__xludf.DUMMYFUNCTION("""COMPUTED_VALUE"""),131790)</f>
        <v>131790</v>
      </c>
      <c r="C5789" s="14">
        <f ca="1">IFERROR(__xludf.DUMMYFUNCTION("""COMPUTED_VALUE"""),0)</f>
        <v>0</v>
      </c>
      <c r="D5789" s="12" t="str">
        <f ca="1">IFERROR(__xludf.DUMMYFUNCTION("""COMPUTED_VALUE"""),"小川 純")</f>
        <v>小川 純</v>
      </c>
    </row>
    <row r="5790" spans="2:4" ht="13">
      <c r="B5790" s="12">
        <f ca="1">IFERROR(__xludf.DUMMYFUNCTION("""COMPUTED_VALUE"""),131800)</f>
        <v>131800</v>
      </c>
      <c r="C5790" s="14">
        <f ca="1">IFERROR(__xludf.DUMMYFUNCTION("""COMPUTED_VALUE"""),1)</f>
        <v>1</v>
      </c>
      <c r="D5790" s="12" t="str">
        <f ca="1">IFERROR(__xludf.DUMMYFUNCTION("""COMPUTED_VALUE"""),"辻村 将大")</f>
        <v>辻村 将大</v>
      </c>
    </row>
    <row r="5791" spans="2:4" ht="13">
      <c r="B5791" s="12">
        <f ca="1">IFERROR(__xludf.DUMMYFUNCTION("""COMPUTED_VALUE"""),131810)</f>
        <v>131810</v>
      </c>
      <c r="C5791" s="14">
        <f ca="1">IFERROR(__xludf.DUMMYFUNCTION("""COMPUTED_VALUE"""),0)</f>
        <v>0</v>
      </c>
      <c r="D5791" s="12" t="str">
        <f ca="1">IFERROR(__xludf.DUMMYFUNCTION("""COMPUTED_VALUE"""),"菅野 ぎんが")</f>
        <v>菅野 ぎんが</v>
      </c>
    </row>
    <row r="5792" spans="2:4" ht="13">
      <c r="B5792" s="12">
        <f ca="1">IFERROR(__xludf.DUMMYFUNCTION("""COMPUTED_VALUE"""),131813)</f>
        <v>131813</v>
      </c>
      <c r="C5792" s="14">
        <f ca="1">IFERROR(__xludf.DUMMYFUNCTION("""COMPUTED_VALUE"""),0)</f>
        <v>0</v>
      </c>
      <c r="D5792" s="12" t="str">
        <f ca="1">IFERROR(__xludf.DUMMYFUNCTION("""COMPUTED_VALUE"""),"森 光智")</f>
        <v>森 光智</v>
      </c>
    </row>
    <row r="5793" spans="2:4" ht="13">
      <c r="B5793" s="12">
        <f ca="1">IFERROR(__xludf.DUMMYFUNCTION("""COMPUTED_VALUE"""),131814)</f>
        <v>131814</v>
      </c>
      <c r="C5793" s="14">
        <f ca="1">IFERROR(__xludf.DUMMYFUNCTION("""COMPUTED_VALUE"""),26)</f>
        <v>26</v>
      </c>
      <c r="D5793" s="12" t="str">
        <f ca="1">IFERROR(__xludf.DUMMYFUNCTION("""COMPUTED_VALUE"""),"内丸 裕子")</f>
        <v>内丸 裕子</v>
      </c>
    </row>
    <row r="5794" spans="2:4" ht="13">
      <c r="B5794" s="12">
        <f ca="1">IFERROR(__xludf.DUMMYFUNCTION("""COMPUTED_VALUE"""),131818)</f>
        <v>131818</v>
      </c>
      <c r="C5794" s="14">
        <f ca="1">IFERROR(__xludf.DUMMYFUNCTION("""COMPUTED_VALUE"""),0)</f>
        <v>0</v>
      </c>
      <c r="D5794" s="12" t="str">
        <f ca="1">IFERROR(__xludf.DUMMYFUNCTION("""COMPUTED_VALUE"""),"小川 純")</f>
        <v>小川 純</v>
      </c>
    </row>
    <row r="5795" spans="2:4" ht="13">
      <c r="B5795" s="12">
        <f ca="1">IFERROR(__xludf.DUMMYFUNCTION("""COMPUTED_VALUE"""),131823)</f>
        <v>131823</v>
      </c>
      <c r="C5795" s="14">
        <f ca="1">IFERROR(__xludf.DUMMYFUNCTION("""COMPUTED_VALUE"""),2)</f>
        <v>2</v>
      </c>
      <c r="D5795" s="12" t="str">
        <f ca="1">IFERROR(__xludf.DUMMYFUNCTION("""COMPUTED_VALUE"""),"村上 浩一朗")</f>
        <v>村上 浩一朗</v>
      </c>
    </row>
    <row r="5796" spans="2:4" ht="13">
      <c r="B5796" s="12">
        <f ca="1">IFERROR(__xludf.DUMMYFUNCTION("""COMPUTED_VALUE"""),131825)</f>
        <v>131825</v>
      </c>
      <c r="C5796" s="14">
        <f ca="1">IFERROR(__xludf.DUMMYFUNCTION("""COMPUTED_VALUE"""),0)</f>
        <v>0</v>
      </c>
      <c r="D5796" s="12" t="str">
        <f ca="1">IFERROR(__xludf.DUMMYFUNCTION("""COMPUTED_VALUE"""),"栗原 大武")</f>
        <v>栗原 大武</v>
      </c>
    </row>
    <row r="5797" spans="2:4" ht="13">
      <c r="B5797" s="12">
        <f ca="1">IFERROR(__xludf.DUMMYFUNCTION("""COMPUTED_VALUE"""),131827)</f>
        <v>131827</v>
      </c>
      <c r="C5797" s="14">
        <f ca="1">IFERROR(__xludf.DUMMYFUNCTION("""COMPUTED_VALUE"""),0)</f>
        <v>0</v>
      </c>
      <c r="D5797" s="12" t="str">
        <f ca="1">IFERROR(__xludf.DUMMYFUNCTION("""COMPUTED_VALUE"""),"桐山 勝気")</f>
        <v>桐山 勝気</v>
      </c>
    </row>
    <row r="5798" spans="2:4" ht="13">
      <c r="B5798" s="12">
        <f ca="1">IFERROR(__xludf.DUMMYFUNCTION("""COMPUTED_VALUE"""),131834)</f>
        <v>131834</v>
      </c>
      <c r="C5798" s="14">
        <f ca="1">IFERROR(__xludf.DUMMYFUNCTION("""COMPUTED_VALUE"""),0)</f>
        <v>0</v>
      </c>
      <c r="D5798" s="12" t="str">
        <f ca="1">IFERROR(__xludf.DUMMYFUNCTION("""COMPUTED_VALUE"""),"成嶋 夏未")</f>
        <v>成嶋 夏未</v>
      </c>
    </row>
    <row r="5799" spans="2:4" ht="13">
      <c r="B5799" s="12">
        <f ca="1">IFERROR(__xludf.DUMMYFUNCTION("""COMPUTED_VALUE"""),131839)</f>
        <v>131839</v>
      </c>
      <c r="C5799" s="14">
        <f ca="1">IFERROR(__xludf.DUMMYFUNCTION("""COMPUTED_VALUE"""),0)</f>
        <v>0</v>
      </c>
      <c r="D5799" s="12" t="str">
        <f ca="1">IFERROR(__xludf.DUMMYFUNCTION("""COMPUTED_VALUE"""),"芳賀 亮輔")</f>
        <v>芳賀 亮輔</v>
      </c>
    </row>
    <row r="5800" spans="2:4" ht="13">
      <c r="B5800" s="12">
        <f ca="1">IFERROR(__xludf.DUMMYFUNCTION("""COMPUTED_VALUE"""),131854)</f>
        <v>131854</v>
      </c>
      <c r="C5800" s="14">
        <f ca="1">IFERROR(__xludf.DUMMYFUNCTION("""COMPUTED_VALUE"""),3)</f>
        <v>3</v>
      </c>
      <c r="D5800" s="12" t="str">
        <f ca="1">IFERROR(__xludf.DUMMYFUNCTION("""COMPUTED_VALUE"""),"森 光智")</f>
        <v>森 光智</v>
      </c>
    </row>
    <row r="5801" spans="2:4" ht="13">
      <c r="B5801" s="12">
        <f ca="1">IFERROR(__xludf.DUMMYFUNCTION("""COMPUTED_VALUE"""),131858)</f>
        <v>131858</v>
      </c>
      <c r="C5801" s="14">
        <f ca="1">IFERROR(__xludf.DUMMYFUNCTION("""COMPUTED_VALUE"""),5)</f>
        <v>5</v>
      </c>
      <c r="D5801" s="12" t="str">
        <f ca="1">IFERROR(__xludf.DUMMYFUNCTION("""COMPUTED_VALUE"""),"小関 麻起")</f>
        <v>小関 麻起</v>
      </c>
    </row>
    <row r="5802" spans="2:4" ht="13">
      <c r="B5802" s="12">
        <f ca="1">IFERROR(__xludf.DUMMYFUNCTION("""COMPUTED_VALUE"""),131862)</f>
        <v>131862</v>
      </c>
      <c r="C5802" s="14">
        <f ca="1">IFERROR(__xludf.DUMMYFUNCTION("""COMPUTED_VALUE"""),0)</f>
        <v>0</v>
      </c>
      <c r="D5802" s="12" t="str">
        <f ca="1">IFERROR(__xludf.DUMMYFUNCTION("""COMPUTED_VALUE"""),"栗原 大武")</f>
        <v>栗原 大武</v>
      </c>
    </row>
    <row r="5803" spans="2:4" ht="13">
      <c r="B5803" s="12">
        <f ca="1">IFERROR(__xludf.DUMMYFUNCTION("""COMPUTED_VALUE"""),131867)</f>
        <v>131867</v>
      </c>
      <c r="C5803" s="14">
        <f ca="1">IFERROR(__xludf.DUMMYFUNCTION("""COMPUTED_VALUE"""),0)</f>
        <v>0</v>
      </c>
      <c r="D5803" s="12" t="str">
        <f ca="1">IFERROR(__xludf.DUMMYFUNCTION("""COMPUTED_VALUE"""),"小川 純")</f>
        <v>小川 純</v>
      </c>
    </row>
    <row r="5804" spans="2:4" ht="13">
      <c r="B5804" s="12">
        <f ca="1">IFERROR(__xludf.DUMMYFUNCTION("""COMPUTED_VALUE"""),131870)</f>
        <v>131870</v>
      </c>
      <c r="C5804" s="14">
        <f ca="1">IFERROR(__xludf.DUMMYFUNCTION("""COMPUTED_VALUE"""),3)</f>
        <v>3</v>
      </c>
      <c r="D5804" s="12" t="str">
        <f ca="1">IFERROR(__xludf.DUMMYFUNCTION("""COMPUTED_VALUE"""),"老田 純輝")</f>
        <v>老田 純輝</v>
      </c>
    </row>
    <row r="5805" spans="2:4" ht="13">
      <c r="B5805" s="12">
        <f ca="1">IFERROR(__xludf.DUMMYFUNCTION("""COMPUTED_VALUE"""),131872)</f>
        <v>131872</v>
      </c>
      <c r="C5805" s="14">
        <f ca="1">IFERROR(__xludf.DUMMYFUNCTION("""COMPUTED_VALUE"""),0)</f>
        <v>0</v>
      </c>
      <c r="D5805" s="12" t="str">
        <f ca="1">IFERROR(__xludf.DUMMYFUNCTION("""COMPUTED_VALUE"""),"森 光智")</f>
        <v>森 光智</v>
      </c>
    </row>
    <row r="5806" spans="2:4" ht="13">
      <c r="B5806" s="12">
        <f ca="1">IFERROR(__xludf.DUMMYFUNCTION("""COMPUTED_VALUE"""),131875)</f>
        <v>131875</v>
      </c>
      <c r="C5806" s="14">
        <f ca="1">IFERROR(__xludf.DUMMYFUNCTION("""COMPUTED_VALUE"""),5)</f>
        <v>5</v>
      </c>
      <c r="D5806" s="12" t="str">
        <f ca="1">IFERROR(__xludf.DUMMYFUNCTION("""COMPUTED_VALUE"""),"芳賀 亮輔")</f>
        <v>芳賀 亮輔</v>
      </c>
    </row>
    <row r="5807" spans="2:4" ht="13">
      <c r="B5807" s="12">
        <f ca="1">IFERROR(__xludf.DUMMYFUNCTION("""COMPUTED_VALUE"""),131880)</f>
        <v>131880</v>
      </c>
      <c r="C5807" s="14">
        <f ca="1">IFERROR(__xludf.DUMMYFUNCTION("""COMPUTED_VALUE"""),0)</f>
        <v>0</v>
      </c>
      <c r="D5807" s="12" t="str">
        <f ca="1">IFERROR(__xludf.DUMMYFUNCTION("""COMPUTED_VALUE"""),"小関 麻起")</f>
        <v>小関 麻起</v>
      </c>
    </row>
    <row r="5808" spans="2:4" ht="13">
      <c r="B5808" s="12">
        <f ca="1">IFERROR(__xludf.DUMMYFUNCTION("""COMPUTED_VALUE"""),131883)</f>
        <v>131883</v>
      </c>
      <c r="C5808" s="14">
        <f ca="1">IFERROR(__xludf.DUMMYFUNCTION("""COMPUTED_VALUE"""),0)</f>
        <v>0</v>
      </c>
      <c r="D5808" s="12" t="str">
        <f ca="1">IFERROR(__xludf.DUMMYFUNCTION("""COMPUTED_VALUE"""),"菅野 ぎんが")</f>
        <v>菅野 ぎんが</v>
      </c>
    </row>
    <row r="5809" spans="2:4" ht="13">
      <c r="B5809" s="12">
        <f ca="1">IFERROR(__xludf.DUMMYFUNCTION("""COMPUTED_VALUE"""),131897)</f>
        <v>131897</v>
      </c>
      <c r="C5809" s="14">
        <f ca="1">IFERROR(__xludf.DUMMYFUNCTION("""COMPUTED_VALUE"""),0)</f>
        <v>0</v>
      </c>
      <c r="D5809" s="12" t="str">
        <f ca="1">IFERROR(__xludf.DUMMYFUNCTION("""COMPUTED_VALUE"""),"小関 麻起")</f>
        <v>小関 麻起</v>
      </c>
    </row>
    <row r="5810" spans="2:4" ht="13">
      <c r="B5810" s="12">
        <f ca="1">IFERROR(__xludf.DUMMYFUNCTION("""COMPUTED_VALUE"""),131906)</f>
        <v>131906</v>
      </c>
      <c r="C5810" s="14">
        <f ca="1">IFERROR(__xludf.DUMMYFUNCTION("""COMPUTED_VALUE"""),6)</f>
        <v>6</v>
      </c>
      <c r="D5810" s="12" t="str">
        <f ca="1">IFERROR(__xludf.DUMMYFUNCTION("""COMPUTED_VALUE"""),"松尾 尚樹")</f>
        <v>松尾 尚樹</v>
      </c>
    </row>
    <row r="5811" spans="2:4" ht="13">
      <c r="B5811" s="12">
        <f ca="1">IFERROR(__xludf.DUMMYFUNCTION("""COMPUTED_VALUE"""),131926)</f>
        <v>131926</v>
      </c>
      <c r="C5811" s="14">
        <f ca="1">IFERROR(__xludf.DUMMYFUNCTION("""COMPUTED_VALUE"""),16)</f>
        <v>16</v>
      </c>
      <c r="D5811" s="12" t="str">
        <f ca="1">IFERROR(__xludf.DUMMYFUNCTION("""COMPUTED_VALUE"""),"栗原 大武")</f>
        <v>栗原 大武</v>
      </c>
    </row>
    <row r="5812" spans="2:4" ht="13">
      <c r="B5812" s="12">
        <f ca="1">IFERROR(__xludf.DUMMYFUNCTION("""COMPUTED_VALUE"""),131928)</f>
        <v>131928</v>
      </c>
      <c r="C5812" s="14">
        <f ca="1">IFERROR(__xludf.DUMMYFUNCTION("""COMPUTED_VALUE"""),0)</f>
        <v>0</v>
      </c>
      <c r="D5812" s="12" t="str">
        <f ca="1">IFERROR(__xludf.DUMMYFUNCTION("""COMPUTED_VALUE"""),"田嶋 将太")</f>
        <v>田嶋 将太</v>
      </c>
    </row>
    <row r="5813" spans="2:4" ht="13">
      <c r="B5813" s="12">
        <f ca="1">IFERROR(__xludf.DUMMYFUNCTION("""COMPUTED_VALUE"""),131971)</f>
        <v>131971</v>
      </c>
      <c r="C5813" s="14">
        <f ca="1">IFERROR(__xludf.DUMMYFUNCTION("""COMPUTED_VALUE"""),0)</f>
        <v>0</v>
      </c>
      <c r="D5813" s="12" t="str">
        <f ca="1">IFERROR(__xludf.DUMMYFUNCTION("""COMPUTED_VALUE"""),"小関 麻起")</f>
        <v>小関 麻起</v>
      </c>
    </row>
    <row r="5814" spans="2:4" ht="13">
      <c r="B5814" s="12">
        <f ca="1">IFERROR(__xludf.DUMMYFUNCTION("""COMPUTED_VALUE"""),131975)</f>
        <v>131975</v>
      </c>
      <c r="C5814" s="14">
        <f ca="1">IFERROR(__xludf.DUMMYFUNCTION("""COMPUTED_VALUE"""),9)</f>
        <v>9</v>
      </c>
      <c r="D5814" s="12" t="str">
        <f ca="1">IFERROR(__xludf.DUMMYFUNCTION("""COMPUTED_VALUE"""),"田嶋 将太")</f>
        <v>田嶋 将太</v>
      </c>
    </row>
    <row r="5815" spans="2:4" ht="13">
      <c r="B5815" s="12">
        <f ca="1">IFERROR(__xludf.DUMMYFUNCTION("""COMPUTED_VALUE"""),131985)</f>
        <v>131985</v>
      </c>
      <c r="C5815" s="14">
        <f ca="1">IFERROR(__xludf.DUMMYFUNCTION("""COMPUTED_VALUE"""),0)</f>
        <v>0</v>
      </c>
      <c r="D5815" s="12" t="str">
        <f ca="1">IFERROR(__xludf.DUMMYFUNCTION("""COMPUTED_VALUE"""),"栗原 大武")</f>
        <v>栗原 大武</v>
      </c>
    </row>
    <row r="5816" spans="2:4" ht="13">
      <c r="B5816" s="12">
        <f ca="1">IFERROR(__xludf.DUMMYFUNCTION("""COMPUTED_VALUE"""),131986)</f>
        <v>131986</v>
      </c>
      <c r="C5816" s="14">
        <f ca="1">IFERROR(__xludf.DUMMYFUNCTION("""COMPUTED_VALUE"""),0)</f>
        <v>0</v>
      </c>
      <c r="D5816" s="12" t="str">
        <f ca="1">IFERROR(__xludf.DUMMYFUNCTION("""COMPUTED_VALUE"""),"桐山 勝気")</f>
        <v>桐山 勝気</v>
      </c>
    </row>
    <row r="5817" spans="2:4" ht="13">
      <c r="B5817" s="12">
        <f ca="1">IFERROR(__xludf.DUMMYFUNCTION("""COMPUTED_VALUE"""),131990)</f>
        <v>131990</v>
      </c>
      <c r="C5817" s="14">
        <f ca="1">IFERROR(__xludf.DUMMYFUNCTION("""COMPUTED_VALUE"""),0)</f>
        <v>0</v>
      </c>
      <c r="D5817" s="12" t="str">
        <f ca="1">IFERROR(__xludf.DUMMYFUNCTION("""COMPUTED_VALUE"""),"菅野 ぎんが")</f>
        <v>菅野 ぎんが</v>
      </c>
    </row>
    <row r="5818" spans="2:4" ht="13">
      <c r="B5818" s="12">
        <f ca="1">IFERROR(__xludf.DUMMYFUNCTION("""COMPUTED_VALUE"""),132006)</f>
        <v>132006</v>
      </c>
      <c r="C5818" s="14">
        <f ca="1">IFERROR(__xludf.DUMMYFUNCTION("""COMPUTED_VALUE"""),0)</f>
        <v>0</v>
      </c>
      <c r="D5818" s="12" t="str">
        <f ca="1">IFERROR(__xludf.DUMMYFUNCTION("""COMPUTED_VALUE"""),"松尾 尚樹")</f>
        <v>松尾 尚樹</v>
      </c>
    </row>
    <row r="5819" spans="2:4" ht="13">
      <c r="B5819" s="12">
        <f ca="1">IFERROR(__xludf.DUMMYFUNCTION("""COMPUTED_VALUE"""),132008)</f>
        <v>132008</v>
      </c>
      <c r="C5819" s="14">
        <f ca="1">IFERROR(__xludf.DUMMYFUNCTION("""COMPUTED_VALUE"""),2)</f>
        <v>2</v>
      </c>
      <c r="D5819" s="12" t="str">
        <f ca="1">IFERROR(__xludf.DUMMYFUNCTION("""COMPUTED_VALUE"""),"桑原 明子")</f>
        <v>桑原 明子</v>
      </c>
    </row>
    <row r="5820" spans="2:4" ht="13">
      <c r="B5820" s="12">
        <f ca="1">IFERROR(__xludf.DUMMYFUNCTION("""COMPUTED_VALUE"""),132010)</f>
        <v>132010</v>
      </c>
      <c r="C5820" s="14">
        <f ca="1">IFERROR(__xludf.DUMMYFUNCTION("""COMPUTED_VALUE"""),48)</f>
        <v>48</v>
      </c>
      <c r="D5820" s="12" t="str">
        <f ca="1">IFERROR(__xludf.DUMMYFUNCTION("""COMPUTED_VALUE"""),"栗原 大武")</f>
        <v>栗原 大武</v>
      </c>
    </row>
    <row r="5821" spans="2:4" ht="13">
      <c r="B5821" s="12">
        <f ca="1">IFERROR(__xludf.DUMMYFUNCTION("""COMPUTED_VALUE"""),132016)</f>
        <v>132016</v>
      </c>
      <c r="C5821" s="14">
        <f ca="1">IFERROR(__xludf.DUMMYFUNCTION("""COMPUTED_VALUE"""),4)</f>
        <v>4</v>
      </c>
      <c r="D5821" s="12" t="str">
        <f ca="1">IFERROR(__xludf.DUMMYFUNCTION("""COMPUTED_VALUE"""),"小関 麻起")</f>
        <v>小関 麻起</v>
      </c>
    </row>
    <row r="5822" spans="2:4" ht="13">
      <c r="B5822" s="12">
        <f ca="1">IFERROR(__xludf.DUMMYFUNCTION("""COMPUTED_VALUE"""),132018)</f>
        <v>132018</v>
      </c>
      <c r="C5822" s="14">
        <f ca="1">IFERROR(__xludf.DUMMYFUNCTION("""COMPUTED_VALUE"""),43)</f>
        <v>43</v>
      </c>
      <c r="D5822" s="12" t="str">
        <f ca="1">IFERROR(__xludf.DUMMYFUNCTION("""COMPUTED_VALUE"""),"稲場 勇介")</f>
        <v>稲場 勇介</v>
      </c>
    </row>
    <row r="5823" spans="2:4" ht="13">
      <c r="B5823" s="12">
        <f ca="1">IFERROR(__xludf.DUMMYFUNCTION("""COMPUTED_VALUE"""),132020)</f>
        <v>132020</v>
      </c>
      <c r="C5823" s="14">
        <f ca="1">IFERROR(__xludf.DUMMYFUNCTION("""COMPUTED_VALUE"""),1)</f>
        <v>1</v>
      </c>
      <c r="D5823" s="12" t="str">
        <f ca="1">IFERROR(__xludf.DUMMYFUNCTION("""COMPUTED_VALUE"""),"稲場 勇介")</f>
        <v>稲場 勇介</v>
      </c>
    </row>
    <row r="5824" spans="2:4" ht="13">
      <c r="B5824" s="12">
        <f ca="1">IFERROR(__xludf.DUMMYFUNCTION("""COMPUTED_VALUE"""),132022)</f>
        <v>132022</v>
      </c>
      <c r="C5824" s="14">
        <f ca="1">IFERROR(__xludf.DUMMYFUNCTION("""COMPUTED_VALUE"""),3)</f>
        <v>3</v>
      </c>
      <c r="D5824" s="12" t="str">
        <f ca="1">IFERROR(__xludf.DUMMYFUNCTION("""COMPUTED_VALUE"""),"荻曽 克輝")</f>
        <v>荻曽 克輝</v>
      </c>
    </row>
    <row r="5825" spans="2:4" ht="13">
      <c r="B5825" s="12">
        <f ca="1">IFERROR(__xludf.DUMMYFUNCTION("""COMPUTED_VALUE"""),132024)</f>
        <v>132024</v>
      </c>
      <c r="C5825" s="14">
        <f ca="1">IFERROR(__xludf.DUMMYFUNCTION("""COMPUTED_VALUE"""),0)</f>
        <v>0</v>
      </c>
      <c r="D5825" s="12" t="str">
        <f ca="1">IFERROR(__xludf.DUMMYFUNCTION("""COMPUTED_VALUE"""),"森 光智")</f>
        <v>森 光智</v>
      </c>
    </row>
    <row r="5826" spans="2:4" ht="13">
      <c r="B5826" s="12">
        <f ca="1">IFERROR(__xludf.DUMMYFUNCTION("""COMPUTED_VALUE"""),132027)</f>
        <v>132027</v>
      </c>
      <c r="C5826" s="14">
        <f ca="1">IFERROR(__xludf.DUMMYFUNCTION("""COMPUTED_VALUE"""),0)</f>
        <v>0</v>
      </c>
      <c r="D5826" s="12" t="str">
        <f ca="1">IFERROR(__xludf.DUMMYFUNCTION("""COMPUTED_VALUE"""),"森 光智")</f>
        <v>森 光智</v>
      </c>
    </row>
    <row r="5827" spans="2:4" ht="13">
      <c r="B5827" s="12">
        <f ca="1">IFERROR(__xludf.DUMMYFUNCTION("""COMPUTED_VALUE"""),132032)</f>
        <v>132032</v>
      </c>
      <c r="C5827" s="14">
        <f ca="1">IFERROR(__xludf.DUMMYFUNCTION("""COMPUTED_VALUE"""),0)</f>
        <v>0</v>
      </c>
      <c r="D5827" s="12" t="str">
        <f ca="1">IFERROR(__xludf.DUMMYFUNCTION("""COMPUTED_VALUE"""),"荻曽 克輝")</f>
        <v>荻曽 克輝</v>
      </c>
    </row>
    <row r="5828" spans="2:4" ht="13">
      <c r="B5828" s="12">
        <f ca="1">IFERROR(__xludf.DUMMYFUNCTION("""COMPUTED_VALUE"""),132045)</f>
        <v>132045</v>
      </c>
      <c r="C5828" s="14">
        <f ca="1">IFERROR(__xludf.DUMMYFUNCTION("""COMPUTED_VALUE"""),0)</f>
        <v>0</v>
      </c>
      <c r="D5828" s="12" t="str">
        <f ca="1">IFERROR(__xludf.DUMMYFUNCTION("""COMPUTED_VALUE"""),"芳賀 亮輔")</f>
        <v>芳賀 亮輔</v>
      </c>
    </row>
    <row r="5829" spans="2:4" ht="13">
      <c r="B5829" s="12">
        <f ca="1">IFERROR(__xludf.DUMMYFUNCTION("""COMPUTED_VALUE"""),132062)</f>
        <v>132062</v>
      </c>
      <c r="C5829" s="14">
        <f ca="1">IFERROR(__xludf.DUMMYFUNCTION("""COMPUTED_VALUE"""),74)</f>
        <v>74</v>
      </c>
      <c r="D5829" s="12" t="str">
        <f ca="1">IFERROR(__xludf.DUMMYFUNCTION("""COMPUTED_VALUE"""),"稲場 勇介")</f>
        <v>稲場 勇介</v>
      </c>
    </row>
    <row r="5830" spans="2:4" ht="13">
      <c r="B5830" s="12">
        <f ca="1">IFERROR(__xludf.DUMMYFUNCTION("""COMPUTED_VALUE"""),132063)</f>
        <v>132063</v>
      </c>
      <c r="C5830" s="14">
        <f ca="1">IFERROR(__xludf.DUMMYFUNCTION("""COMPUTED_VALUE"""),16)</f>
        <v>16</v>
      </c>
      <c r="D5830" s="12" t="str">
        <f ca="1">IFERROR(__xludf.DUMMYFUNCTION("""COMPUTED_VALUE"""),"小川 純")</f>
        <v>小川 純</v>
      </c>
    </row>
    <row r="5831" spans="2:4" ht="13">
      <c r="B5831" s="12">
        <f ca="1">IFERROR(__xludf.DUMMYFUNCTION("""COMPUTED_VALUE"""),132064)</f>
        <v>132064</v>
      </c>
      <c r="C5831" s="14">
        <f ca="1">IFERROR(__xludf.DUMMYFUNCTION("""COMPUTED_VALUE"""),0)</f>
        <v>0</v>
      </c>
      <c r="D5831" s="12" t="str">
        <f ca="1">IFERROR(__xludf.DUMMYFUNCTION("""COMPUTED_VALUE"""),"成嶋 夏未")</f>
        <v>成嶋 夏未</v>
      </c>
    </row>
    <row r="5832" spans="2:4" ht="13">
      <c r="B5832" s="12">
        <f ca="1">IFERROR(__xludf.DUMMYFUNCTION("""COMPUTED_VALUE"""),132071)</f>
        <v>132071</v>
      </c>
      <c r="C5832" s="14">
        <f ca="1">IFERROR(__xludf.DUMMYFUNCTION("""COMPUTED_VALUE"""),0)</f>
        <v>0</v>
      </c>
      <c r="D5832" s="12" t="str">
        <f ca="1">IFERROR(__xludf.DUMMYFUNCTION("""COMPUTED_VALUE"""),"栗原 大武")</f>
        <v>栗原 大武</v>
      </c>
    </row>
    <row r="5833" spans="2:4" ht="13">
      <c r="B5833" s="12">
        <f ca="1">IFERROR(__xludf.DUMMYFUNCTION("""COMPUTED_VALUE"""),132075)</f>
        <v>132075</v>
      </c>
      <c r="C5833" s="14">
        <f ca="1">IFERROR(__xludf.DUMMYFUNCTION("""COMPUTED_VALUE"""),0)</f>
        <v>0</v>
      </c>
      <c r="D5833" s="12" t="str">
        <f ca="1">IFERROR(__xludf.DUMMYFUNCTION("""COMPUTED_VALUE"""),"村上 浩一朗")</f>
        <v>村上 浩一朗</v>
      </c>
    </row>
    <row r="5834" spans="2:4" ht="13">
      <c r="B5834" s="12">
        <f ca="1">IFERROR(__xludf.DUMMYFUNCTION("""COMPUTED_VALUE"""),132077)</f>
        <v>132077</v>
      </c>
      <c r="C5834" s="14">
        <f ca="1">IFERROR(__xludf.DUMMYFUNCTION("""COMPUTED_VALUE"""),0)</f>
        <v>0</v>
      </c>
      <c r="D5834" s="12" t="str">
        <f ca="1">IFERROR(__xludf.DUMMYFUNCTION("""COMPUTED_VALUE"""),"桑原 明子")</f>
        <v>桑原 明子</v>
      </c>
    </row>
    <row r="5835" spans="2:4" ht="13">
      <c r="B5835" s="12">
        <f ca="1">IFERROR(__xludf.DUMMYFUNCTION("""COMPUTED_VALUE"""),132078)</f>
        <v>132078</v>
      </c>
      <c r="C5835" s="14">
        <f ca="1">IFERROR(__xludf.DUMMYFUNCTION("""COMPUTED_VALUE"""),1)</f>
        <v>1</v>
      </c>
      <c r="D5835" s="12" t="str">
        <f ca="1">IFERROR(__xludf.DUMMYFUNCTION("""COMPUTED_VALUE"""),"辻村 将大")</f>
        <v>辻村 将大</v>
      </c>
    </row>
    <row r="5836" spans="2:4" ht="13">
      <c r="B5836" s="12">
        <f ca="1">IFERROR(__xludf.DUMMYFUNCTION("""COMPUTED_VALUE"""),132087)</f>
        <v>132087</v>
      </c>
      <c r="C5836" s="14">
        <f ca="1">IFERROR(__xludf.DUMMYFUNCTION("""COMPUTED_VALUE"""),4)</f>
        <v>4</v>
      </c>
      <c r="D5836" s="12" t="str">
        <f ca="1">IFERROR(__xludf.DUMMYFUNCTION("""COMPUTED_VALUE"""),"長谷川 陸朗")</f>
        <v>長谷川 陸朗</v>
      </c>
    </row>
    <row r="5837" spans="2:4" ht="13">
      <c r="B5837" s="12">
        <f ca="1">IFERROR(__xludf.DUMMYFUNCTION("""COMPUTED_VALUE"""),132098)</f>
        <v>132098</v>
      </c>
      <c r="C5837" s="14">
        <f ca="1">IFERROR(__xludf.DUMMYFUNCTION("""COMPUTED_VALUE"""),1)</f>
        <v>1</v>
      </c>
      <c r="D5837" s="12" t="str">
        <f ca="1">IFERROR(__xludf.DUMMYFUNCTION("""COMPUTED_VALUE"""),"芳賀 亮輔")</f>
        <v>芳賀 亮輔</v>
      </c>
    </row>
    <row r="5838" spans="2:4" ht="13">
      <c r="B5838" s="12">
        <f ca="1">IFERROR(__xludf.DUMMYFUNCTION("""COMPUTED_VALUE"""),132101)</f>
        <v>132101</v>
      </c>
      <c r="C5838" s="14">
        <f ca="1">IFERROR(__xludf.DUMMYFUNCTION("""COMPUTED_VALUE"""),0)</f>
        <v>0</v>
      </c>
      <c r="D5838" s="12" t="str">
        <f ca="1">IFERROR(__xludf.DUMMYFUNCTION("""COMPUTED_VALUE"""),"芳賀 亮輔")</f>
        <v>芳賀 亮輔</v>
      </c>
    </row>
    <row r="5839" spans="2:4" ht="13">
      <c r="B5839" s="12">
        <f ca="1">IFERROR(__xludf.DUMMYFUNCTION("""COMPUTED_VALUE"""),132112)</f>
        <v>132112</v>
      </c>
      <c r="C5839" s="14">
        <f ca="1">IFERROR(__xludf.DUMMYFUNCTION("""COMPUTED_VALUE"""),0)</f>
        <v>0</v>
      </c>
      <c r="D5839" s="12" t="str">
        <f ca="1">IFERROR(__xludf.DUMMYFUNCTION("""COMPUTED_VALUE"""),"菅野 ぎんが")</f>
        <v>菅野 ぎんが</v>
      </c>
    </row>
    <row r="5840" spans="2:4" ht="13">
      <c r="B5840" s="12">
        <f ca="1">IFERROR(__xludf.DUMMYFUNCTION("""COMPUTED_VALUE"""),132114)</f>
        <v>132114</v>
      </c>
      <c r="C5840" s="14">
        <f ca="1">IFERROR(__xludf.DUMMYFUNCTION("""COMPUTED_VALUE"""),0)</f>
        <v>0</v>
      </c>
      <c r="D5840" s="12" t="str">
        <f ca="1">IFERROR(__xludf.DUMMYFUNCTION("""COMPUTED_VALUE"""),"栗原 大武")</f>
        <v>栗原 大武</v>
      </c>
    </row>
    <row r="5841" spans="2:4" ht="13">
      <c r="B5841" s="12">
        <f ca="1">IFERROR(__xludf.DUMMYFUNCTION("""COMPUTED_VALUE"""),132117)</f>
        <v>132117</v>
      </c>
      <c r="C5841" s="14">
        <f ca="1">IFERROR(__xludf.DUMMYFUNCTION("""COMPUTED_VALUE"""),0)</f>
        <v>0</v>
      </c>
      <c r="D5841" s="12" t="str">
        <f ca="1">IFERROR(__xludf.DUMMYFUNCTION("""COMPUTED_VALUE"""),"小関 麻起")</f>
        <v>小関 麻起</v>
      </c>
    </row>
    <row r="5842" spans="2:4" ht="13">
      <c r="B5842" s="12">
        <f ca="1">IFERROR(__xludf.DUMMYFUNCTION("""COMPUTED_VALUE"""),132122)</f>
        <v>132122</v>
      </c>
      <c r="C5842" s="14">
        <f ca="1">IFERROR(__xludf.DUMMYFUNCTION("""COMPUTED_VALUE"""),0)</f>
        <v>0</v>
      </c>
      <c r="D5842" s="12" t="str">
        <f ca="1">IFERROR(__xludf.DUMMYFUNCTION("""COMPUTED_VALUE"""),"松尾 尚樹")</f>
        <v>松尾 尚樹</v>
      </c>
    </row>
    <row r="5843" spans="2:4" ht="13">
      <c r="B5843" s="12">
        <f ca="1">IFERROR(__xludf.DUMMYFUNCTION("""COMPUTED_VALUE"""),132129)</f>
        <v>132129</v>
      </c>
      <c r="C5843" s="14">
        <f ca="1">IFERROR(__xludf.DUMMYFUNCTION("""COMPUTED_VALUE"""),0)</f>
        <v>0</v>
      </c>
      <c r="D5843" s="12" t="str">
        <f ca="1">IFERROR(__xludf.DUMMYFUNCTION("""COMPUTED_VALUE"""),"田嶋 将太")</f>
        <v>田嶋 将太</v>
      </c>
    </row>
    <row r="5844" spans="2:4" ht="13">
      <c r="B5844" s="12">
        <f ca="1">IFERROR(__xludf.DUMMYFUNCTION("""COMPUTED_VALUE"""),132155)</f>
        <v>132155</v>
      </c>
      <c r="C5844" s="14">
        <f ca="1">IFERROR(__xludf.DUMMYFUNCTION("""COMPUTED_VALUE"""),0)</f>
        <v>0</v>
      </c>
      <c r="D5844" s="12" t="str">
        <f ca="1">IFERROR(__xludf.DUMMYFUNCTION("""COMPUTED_VALUE"""),"荻曽 克輝")</f>
        <v>荻曽 克輝</v>
      </c>
    </row>
    <row r="5845" spans="2:4" ht="13">
      <c r="B5845" s="12">
        <f ca="1">IFERROR(__xludf.DUMMYFUNCTION("""COMPUTED_VALUE"""),132165)</f>
        <v>132165</v>
      </c>
      <c r="C5845" s="14">
        <f ca="1">IFERROR(__xludf.DUMMYFUNCTION("""COMPUTED_VALUE"""),0)</f>
        <v>0</v>
      </c>
      <c r="D5845" s="12" t="str">
        <f ca="1">IFERROR(__xludf.DUMMYFUNCTION("""COMPUTED_VALUE"""),"田嶋 将太")</f>
        <v>田嶋 将太</v>
      </c>
    </row>
    <row r="5846" spans="2:4" ht="13">
      <c r="B5846" s="12">
        <f ca="1">IFERROR(__xludf.DUMMYFUNCTION("""COMPUTED_VALUE"""),132203)</f>
        <v>132203</v>
      </c>
      <c r="C5846" s="14">
        <f ca="1">IFERROR(__xludf.DUMMYFUNCTION("""COMPUTED_VALUE"""),0)</f>
        <v>0</v>
      </c>
      <c r="D5846" s="12" t="str">
        <f ca="1">IFERROR(__xludf.DUMMYFUNCTION("""COMPUTED_VALUE"""),"荻曽 克輝")</f>
        <v>荻曽 克輝</v>
      </c>
    </row>
    <row r="5847" spans="2:4" ht="13">
      <c r="B5847" s="12">
        <f ca="1">IFERROR(__xludf.DUMMYFUNCTION("""COMPUTED_VALUE"""),132205)</f>
        <v>132205</v>
      </c>
      <c r="C5847" s="14">
        <f ca="1">IFERROR(__xludf.DUMMYFUNCTION("""COMPUTED_VALUE"""),1)</f>
        <v>1</v>
      </c>
      <c r="D5847" s="12" t="str">
        <f ca="1">IFERROR(__xludf.DUMMYFUNCTION("""COMPUTED_VALUE"""),"稲場 勇介")</f>
        <v>稲場 勇介</v>
      </c>
    </row>
    <row r="5848" spans="2:4" ht="13">
      <c r="B5848" s="12">
        <f ca="1">IFERROR(__xludf.DUMMYFUNCTION("""COMPUTED_VALUE"""),132207)</f>
        <v>132207</v>
      </c>
      <c r="C5848" s="14">
        <f ca="1">IFERROR(__xludf.DUMMYFUNCTION("""COMPUTED_VALUE"""),3)</f>
        <v>3</v>
      </c>
      <c r="D5848" s="12" t="str">
        <f ca="1">IFERROR(__xludf.DUMMYFUNCTION("""COMPUTED_VALUE"""),"小関 麻起")</f>
        <v>小関 麻起</v>
      </c>
    </row>
    <row r="5849" spans="2:4" ht="13">
      <c r="B5849" s="12">
        <f ca="1">IFERROR(__xludf.DUMMYFUNCTION("""COMPUTED_VALUE"""),132208)</f>
        <v>132208</v>
      </c>
      <c r="C5849" s="14">
        <f ca="1">IFERROR(__xludf.DUMMYFUNCTION("""COMPUTED_VALUE"""),0)</f>
        <v>0</v>
      </c>
      <c r="D5849" s="12" t="str">
        <f ca="1">IFERROR(__xludf.DUMMYFUNCTION("""COMPUTED_VALUE"""),"成嶋 夏未")</f>
        <v>成嶋 夏未</v>
      </c>
    </row>
    <row r="5850" spans="2:4" ht="13">
      <c r="B5850" s="12">
        <f ca="1">IFERROR(__xludf.DUMMYFUNCTION("""COMPUTED_VALUE"""),132210)</f>
        <v>132210</v>
      </c>
      <c r="C5850" s="14">
        <f ca="1">IFERROR(__xludf.DUMMYFUNCTION("""COMPUTED_VALUE"""),0)</f>
        <v>0</v>
      </c>
      <c r="D5850" s="12" t="str">
        <f ca="1">IFERROR(__xludf.DUMMYFUNCTION("""COMPUTED_VALUE"""),"老田 純輝")</f>
        <v>老田 純輝</v>
      </c>
    </row>
    <row r="5851" spans="2:4" ht="13">
      <c r="B5851" s="12">
        <f ca="1">IFERROR(__xludf.DUMMYFUNCTION("""COMPUTED_VALUE"""),132214)</f>
        <v>132214</v>
      </c>
      <c r="C5851" s="14">
        <f ca="1">IFERROR(__xludf.DUMMYFUNCTION("""COMPUTED_VALUE"""),0)</f>
        <v>0</v>
      </c>
      <c r="D5851" s="12" t="str">
        <f ca="1">IFERROR(__xludf.DUMMYFUNCTION("""COMPUTED_VALUE"""),"柿崎 晃司")</f>
        <v>柿崎 晃司</v>
      </c>
    </row>
    <row r="5852" spans="2:4" ht="13">
      <c r="B5852" s="12">
        <f ca="1">IFERROR(__xludf.DUMMYFUNCTION("""COMPUTED_VALUE"""),132222)</f>
        <v>132222</v>
      </c>
      <c r="C5852" s="14">
        <f ca="1">IFERROR(__xludf.DUMMYFUNCTION("""COMPUTED_VALUE"""),1)</f>
        <v>1</v>
      </c>
      <c r="D5852" s="12" t="str">
        <f ca="1">IFERROR(__xludf.DUMMYFUNCTION("""COMPUTED_VALUE"""),"田嶋 将太")</f>
        <v>田嶋 将太</v>
      </c>
    </row>
    <row r="5853" spans="2:4" ht="13">
      <c r="B5853" s="12">
        <f ca="1">IFERROR(__xludf.DUMMYFUNCTION("""COMPUTED_VALUE"""),132224)</f>
        <v>132224</v>
      </c>
      <c r="C5853" s="14">
        <f ca="1">IFERROR(__xludf.DUMMYFUNCTION("""COMPUTED_VALUE"""),38)</f>
        <v>38</v>
      </c>
      <c r="D5853" s="12" t="str">
        <f ca="1">IFERROR(__xludf.DUMMYFUNCTION("""COMPUTED_VALUE"""),"桐山 勝気")</f>
        <v>桐山 勝気</v>
      </c>
    </row>
    <row r="5854" spans="2:4" ht="13">
      <c r="B5854" s="12">
        <f ca="1">IFERROR(__xludf.DUMMYFUNCTION("""COMPUTED_VALUE"""),132228)</f>
        <v>132228</v>
      </c>
      <c r="C5854" s="14">
        <f ca="1">IFERROR(__xludf.DUMMYFUNCTION("""COMPUTED_VALUE"""),0)</f>
        <v>0</v>
      </c>
      <c r="D5854" s="12" t="str">
        <f ca="1">IFERROR(__xludf.DUMMYFUNCTION("""COMPUTED_VALUE"""),"荻曽 克輝")</f>
        <v>荻曽 克輝</v>
      </c>
    </row>
    <row r="5855" spans="2:4" ht="13">
      <c r="B5855" s="12">
        <f ca="1">IFERROR(__xludf.DUMMYFUNCTION("""COMPUTED_VALUE"""),132229)</f>
        <v>132229</v>
      </c>
      <c r="C5855" s="14">
        <f ca="1">IFERROR(__xludf.DUMMYFUNCTION("""COMPUTED_VALUE"""),6)</f>
        <v>6</v>
      </c>
      <c r="D5855" s="12" t="str">
        <f ca="1">IFERROR(__xludf.DUMMYFUNCTION("""COMPUTED_VALUE"""),"成嶋 夏未")</f>
        <v>成嶋 夏未</v>
      </c>
    </row>
    <row r="5856" spans="2:4" ht="13">
      <c r="B5856" s="12">
        <f ca="1">IFERROR(__xludf.DUMMYFUNCTION("""COMPUTED_VALUE"""),132231)</f>
        <v>132231</v>
      </c>
      <c r="C5856" s="14">
        <f ca="1">IFERROR(__xludf.DUMMYFUNCTION("""COMPUTED_VALUE"""),0)</f>
        <v>0</v>
      </c>
      <c r="D5856" s="12" t="str">
        <f ca="1">IFERROR(__xludf.DUMMYFUNCTION("""COMPUTED_VALUE"""),"荻曽 克輝")</f>
        <v>荻曽 克輝</v>
      </c>
    </row>
    <row r="5857" spans="2:4" ht="13">
      <c r="B5857" s="12">
        <f ca="1">IFERROR(__xludf.DUMMYFUNCTION("""COMPUTED_VALUE"""),132238)</f>
        <v>132238</v>
      </c>
      <c r="C5857" s="14">
        <f ca="1">IFERROR(__xludf.DUMMYFUNCTION("""COMPUTED_VALUE"""),0)</f>
        <v>0</v>
      </c>
      <c r="D5857" s="12" t="str">
        <f ca="1">IFERROR(__xludf.DUMMYFUNCTION("""COMPUTED_VALUE"""),"辻村 将大")</f>
        <v>辻村 将大</v>
      </c>
    </row>
    <row r="5858" spans="2:4" ht="13">
      <c r="B5858" s="12">
        <f ca="1">IFERROR(__xludf.DUMMYFUNCTION("""COMPUTED_VALUE"""),132240)</f>
        <v>132240</v>
      </c>
      <c r="C5858" s="14">
        <f ca="1">IFERROR(__xludf.DUMMYFUNCTION("""COMPUTED_VALUE"""),0)</f>
        <v>0</v>
      </c>
      <c r="D5858" s="12" t="str">
        <f ca="1">IFERROR(__xludf.DUMMYFUNCTION("""COMPUTED_VALUE"""),"菅野 ぎんが")</f>
        <v>菅野 ぎんが</v>
      </c>
    </row>
    <row r="5859" spans="2:4" ht="13">
      <c r="B5859" s="12">
        <f ca="1">IFERROR(__xludf.DUMMYFUNCTION("""COMPUTED_VALUE"""),132247)</f>
        <v>132247</v>
      </c>
      <c r="C5859" s="14">
        <f ca="1">IFERROR(__xludf.DUMMYFUNCTION("""COMPUTED_VALUE"""),0)</f>
        <v>0</v>
      </c>
      <c r="D5859" s="12" t="str">
        <f ca="1">IFERROR(__xludf.DUMMYFUNCTION("""COMPUTED_VALUE"""),"桐山 勝気")</f>
        <v>桐山 勝気</v>
      </c>
    </row>
    <row r="5860" spans="2:4" ht="13">
      <c r="B5860" s="12">
        <f ca="1">IFERROR(__xludf.DUMMYFUNCTION("""COMPUTED_VALUE"""),132265)</f>
        <v>132265</v>
      </c>
      <c r="C5860" s="14">
        <f ca="1">IFERROR(__xludf.DUMMYFUNCTION("""COMPUTED_VALUE"""),5)</f>
        <v>5</v>
      </c>
      <c r="D5860" s="12" t="str">
        <f ca="1">IFERROR(__xludf.DUMMYFUNCTION("""COMPUTED_VALUE"""),"稲場 勇介")</f>
        <v>稲場 勇介</v>
      </c>
    </row>
    <row r="5861" spans="2:4" ht="13">
      <c r="B5861" s="12">
        <f ca="1">IFERROR(__xludf.DUMMYFUNCTION("""COMPUTED_VALUE"""),132266)</f>
        <v>132266</v>
      </c>
      <c r="C5861" s="14">
        <f ca="1">IFERROR(__xludf.DUMMYFUNCTION("""COMPUTED_VALUE"""),30)</f>
        <v>30</v>
      </c>
      <c r="D5861" s="12" t="str">
        <f ca="1">IFERROR(__xludf.DUMMYFUNCTION("""COMPUTED_VALUE"""),"荻曽 克輝")</f>
        <v>荻曽 克輝</v>
      </c>
    </row>
    <row r="5862" spans="2:4" ht="13">
      <c r="B5862" s="12">
        <f ca="1">IFERROR(__xludf.DUMMYFUNCTION("""COMPUTED_VALUE"""),132267)</f>
        <v>132267</v>
      </c>
      <c r="C5862" s="14">
        <f ca="1">IFERROR(__xludf.DUMMYFUNCTION("""COMPUTED_VALUE"""),62)</f>
        <v>62</v>
      </c>
      <c r="D5862" s="12" t="str">
        <f ca="1">IFERROR(__xludf.DUMMYFUNCTION("""COMPUTED_VALUE"""),"稲場 勇介")</f>
        <v>稲場 勇介</v>
      </c>
    </row>
    <row r="5863" spans="2:4" ht="13">
      <c r="B5863" s="12">
        <f ca="1">IFERROR(__xludf.DUMMYFUNCTION("""COMPUTED_VALUE"""),132337)</f>
        <v>132337</v>
      </c>
      <c r="C5863" s="14">
        <f ca="1">IFERROR(__xludf.DUMMYFUNCTION("""COMPUTED_VALUE"""),0)</f>
        <v>0</v>
      </c>
      <c r="D5863" s="12" t="str">
        <f ca="1">IFERROR(__xludf.DUMMYFUNCTION("""COMPUTED_VALUE"""),"小川 純")</f>
        <v>小川 純</v>
      </c>
    </row>
    <row r="5864" spans="2:4" ht="13">
      <c r="B5864" s="12">
        <f ca="1">IFERROR(__xludf.DUMMYFUNCTION("""COMPUTED_VALUE"""),132339)</f>
        <v>132339</v>
      </c>
      <c r="C5864" s="14">
        <f ca="1">IFERROR(__xludf.DUMMYFUNCTION("""COMPUTED_VALUE"""),0)</f>
        <v>0</v>
      </c>
      <c r="D5864" s="12" t="str">
        <f ca="1">IFERROR(__xludf.DUMMYFUNCTION("""COMPUTED_VALUE"""),"川島 幹也")</f>
        <v>川島 幹也</v>
      </c>
    </row>
    <row r="5865" spans="2:4" ht="13">
      <c r="B5865" s="12">
        <f ca="1">IFERROR(__xludf.DUMMYFUNCTION("""COMPUTED_VALUE"""),132340)</f>
        <v>132340</v>
      </c>
      <c r="C5865" s="14">
        <f ca="1">IFERROR(__xludf.DUMMYFUNCTION("""COMPUTED_VALUE"""),6)</f>
        <v>6</v>
      </c>
      <c r="D5865" s="12" t="str">
        <f ca="1">IFERROR(__xludf.DUMMYFUNCTION("""COMPUTED_VALUE"""),"川島 幹也")</f>
        <v>川島 幹也</v>
      </c>
    </row>
    <row r="5866" spans="2:4" ht="13">
      <c r="B5866" s="12">
        <f ca="1">IFERROR(__xludf.DUMMYFUNCTION("""COMPUTED_VALUE"""),132345)</f>
        <v>132345</v>
      </c>
      <c r="C5866" s="14">
        <f ca="1">IFERROR(__xludf.DUMMYFUNCTION("""COMPUTED_VALUE"""),0)</f>
        <v>0</v>
      </c>
      <c r="D5866" s="12" t="str">
        <f ca="1">IFERROR(__xludf.DUMMYFUNCTION("""COMPUTED_VALUE"""),"桐山 勝気")</f>
        <v>桐山 勝気</v>
      </c>
    </row>
    <row r="5867" spans="2:4" ht="13">
      <c r="B5867" s="12">
        <f ca="1">IFERROR(__xludf.DUMMYFUNCTION("""COMPUTED_VALUE"""),132347)</f>
        <v>132347</v>
      </c>
      <c r="C5867" s="14">
        <f ca="1">IFERROR(__xludf.DUMMYFUNCTION("""COMPUTED_VALUE"""),0)</f>
        <v>0</v>
      </c>
      <c r="D5867" s="12" t="str">
        <f ca="1">IFERROR(__xludf.DUMMYFUNCTION("""COMPUTED_VALUE"""),"荻曽 克輝")</f>
        <v>荻曽 克輝</v>
      </c>
    </row>
    <row r="5868" spans="2:4" ht="13">
      <c r="B5868" s="12">
        <f ca="1">IFERROR(__xludf.DUMMYFUNCTION("""COMPUTED_VALUE"""),132350)</f>
        <v>132350</v>
      </c>
      <c r="C5868" s="14">
        <f ca="1">IFERROR(__xludf.DUMMYFUNCTION("""COMPUTED_VALUE"""),0)</f>
        <v>0</v>
      </c>
      <c r="D5868" s="12" t="str">
        <f ca="1">IFERROR(__xludf.DUMMYFUNCTION("""COMPUTED_VALUE"""),"芳賀 亮輔")</f>
        <v>芳賀 亮輔</v>
      </c>
    </row>
    <row r="5869" spans="2:4" ht="13">
      <c r="B5869" s="12">
        <f ca="1">IFERROR(__xludf.DUMMYFUNCTION("""COMPUTED_VALUE"""),132351)</f>
        <v>132351</v>
      </c>
      <c r="C5869" s="14">
        <f ca="1">IFERROR(__xludf.DUMMYFUNCTION("""COMPUTED_VALUE"""),0)</f>
        <v>0</v>
      </c>
      <c r="D5869" s="12" t="str">
        <f ca="1">IFERROR(__xludf.DUMMYFUNCTION("""COMPUTED_VALUE"""),"小関 麻起")</f>
        <v>小関 麻起</v>
      </c>
    </row>
    <row r="5870" spans="2:4" ht="13">
      <c r="B5870" s="12">
        <f ca="1">IFERROR(__xludf.DUMMYFUNCTION("""COMPUTED_VALUE"""),132353)</f>
        <v>132353</v>
      </c>
      <c r="C5870" s="14">
        <f ca="1">IFERROR(__xludf.DUMMYFUNCTION("""COMPUTED_VALUE"""),0)</f>
        <v>0</v>
      </c>
      <c r="D5870" s="12" t="str">
        <f ca="1">IFERROR(__xludf.DUMMYFUNCTION("""COMPUTED_VALUE"""),"森 光智")</f>
        <v>森 光智</v>
      </c>
    </row>
    <row r="5871" spans="2:4" ht="13">
      <c r="B5871" s="12">
        <f ca="1">IFERROR(__xludf.DUMMYFUNCTION("""COMPUTED_VALUE"""),132356)</f>
        <v>132356</v>
      </c>
      <c r="C5871" s="14">
        <f ca="1">IFERROR(__xludf.DUMMYFUNCTION("""COMPUTED_VALUE"""),0)</f>
        <v>0</v>
      </c>
      <c r="D5871" s="12" t="str">
        <f ca="1">IFERROR(__xludf.DUMMYFUNCTION("""COMPUTED_VALUE"""),"菅野 ぎんが")</f>
        <v>菅野 ぎんが</v>
      </c>
    </row>
    <row r="5872" spans="2:4" ht="13">
      <c r="B5872" s="12">
        <f ca="1">IFERROR(__xludf.DUMMYFUNCTION("""COMPUTED_VALUE"""),132357)</f>
        <v>132357</v>
      </c>
      <c r="C5872" s="14">
        <f ca="1">IFERROR(__xludf.DUMMYFUNCTION("""COMPUTED_VALUE"""),0)</f>
        <v>0</v>
      </c>
      <c r="D5872" s="12" t="str">
        <f ca="1">IFERROR(__xludf.DUMMYFUNCTION("""COMPUTED_VALUE"""),"成嶋 夏未")</f>
        <v>成嶋 夏未</v>
      </c>
    </row>
    <row r="5873" spans="2:4" ht="13">
      <c r="B5873" s="12">
        <f ca="1">IFERROR(__xludf.DUMMYFUNCTION("""COMPUTED_VALUE"""),132363)</f>
        <v>132363</v>
      </c>
      <c r="C5873" s="14">
        <f ca="1">IFERROR(__xludf.DUMMYFUNCTION("""COMPUTED_VALUE"""),1)</f>
        <v>1</v>
      </c>
      <c r="D5873" s="12" t="str">
        <f ca="1">IFERROR(__xludf.DUMMYFUNCTION("""COMPUTED_VALUE"""),"内丸 裕子")</f>
        <v>内丸 裕子</v>
      </c>
    </row>
    <row r="5874" spans="2:4" ht="13">
      <c r="B5874" s="12">
        <f ca="1">IFERROR(__xludf.DUMMYFUNCTION("""COMPUTED_VALUE"""),132364)</f>
        <v>132364</v>
      </c>
      <c r="C5874" s="14">
        <f ca="1">IFERROR(__xludf.DUMMYFUNCTION("""COMPUTED_VALUE"""),1)</f>
        <v>1</v>
      </c>
      <c r="D5874" s="12" t="str">
        <f ca="1">IFERROR(__xludf.DUMMYFUNCTION("""COMPUTED_VALUE"""),"小関 麻起")</f>
        <v>小関 麻起</v>
      </c>
    </row>
    <row r="5875" spans="2:4" ht="13">
      <c r="B5875" s="12">
        <f ca="1">IFERROR(__xludf.DUMMYFUNCTION("""COMPUTED_VALUE"""),132365)</f>
        <v>132365</v>
      </c>
      <c r="C5875" s="14">
        <f ca="1">IFERROR(__xludf.DUMMYFUNCTION("""COMPUTED_VALUE"""),0)</f>
        <v>0</v>
      </c>
      <c r="D5875" s="12" t="str">
        <f ca="1">IFERROR(__xludf.DUMMYFUNCTION("""COMPUTED_VALUE"""),"稲場 勇介")</f>
        <v>稲場 勇介</v>
      </c>
    </row>
    <row r="5876" spans="2:4" ht="13">
      <c r="B5876" s="12">
        <f ca="1">IFERROR(__xludf.DUMMYFUNCTION("""COMPUTED_VALUE"""),132366)</f>
        <v>132366</v>
      </c>
      <c r="C5876" s="14">
        <f ca="1">IFERROR(__xludf.DUMMYFUNCTION("""COMPUTED_VALUE"""),0)</f>
        <v>0</v>
      </c>
      <c r="D5876" s="12" t="str">
        <f ca="1">IFERROR(__xludf.DUMMYFUNCTION("""COMPUTED_VALUE"""),"桑原 明子")</f>
        <v>桑原 明子</v>
      </c>
    </row>
    <row r="5877" spans="2:4" ht="13">
      <c r="B5877" s="12">
        <f ca="1">IFERROR(__xludf.DUMMYFUNCTION("""COMPUTED_VALUE"""),132372)</f>
        <v>132372</v>
      </c>
      <c r="C5877" s="14">
        <f ca="1">IFERROR(__xludf.DUMMYFUNCTION("""COMPUTED_VALUE"""),0)</f>
        <v>0</v>
      </c>
      <c r="D5877" s="12" t="str">
        <f ca="1">IFERROR(__xludf.DUMMYFUNCTION("""COMPUTED_VALUE"""),"小関 麻起")</f>
        <v>小関 麻起</v>
      </c>
    </row>
    <row r="5878" spans="2:4" ht="13">
      <c r="B5878" s="12">
        <f ca="1">IFERROR(__xludf.DUMMYFUNCTION("""COMPUTED_VALUE"""),132387)</f>
        <v>132387</v>
      </c>
      <c r="C5878" s="14">
        <f ca="1">IFERROR(__xludf.DUMMYFUNCTION("""COMPUTED_VALUE"""),25)</f>
        <v>25</v>
      </c>
      <c r="D5878" s="12" t="str">
        <f ca="1">IFERROR(__xludf.DUMMYFUNCTION("""COMPUTED_VALUE"""),"内丸 裕子")</f>
        <v>内丸 裕子</v>
      </c>
    </row>
    <row r="5879" spans="2:4" ht="13">
      <c r="B5879" s="12">
        <f ca="1">IFERROR(__xludf.DUMMYFUNCTION("""COMPUTED_VALUE"""),132392)</f>
        <v>132392</v>
      </c>
      <c r="C5879" s="14">
        <f ca="1">IFERROR(__xludf.DUMMYFUNCTION("""COMPUTED_VALUE"""),46)</f>
        <v>46</v>
      </c>
      <c r="D5879" s="12" t="str">
        <f ca="1">IFERROR(__xludf.DUMMYFUNCTION("""COMPUTED_VALUE"""),"村上 浩一朗")</f>
        <v>村上 浩一朗</v>
      </c>
    </row>
    <row r="5880" spans="2:4" ht="13">
      <c r="B5880" s="12">
        <f ca="1">IFERROR(__xludf.DUMMYFUNCTION("""COMPUTED_VALUE"""),132395)</f>
        <v>132395</v>
      </c>
      <c r="C5880" s="14">
        <f ca="1">IFERROR(__xludf.DUMMYFUNCTION("""COMPUTED_VALUE"""),18)</f>
        <v>18</v>
      </c>
      <c r="D5880" s="12" t="str">
        <f ca="1">IFERROR(__xludf.DUMMYFUNCTION("""COMPUTED_VALUE"""),"荻曽 克輝")</f>
        <v>荻曽 克輝</v>
      </c>
    </row>
    <row r="5881" spans="2:4" ht="13">
      <c r="B5881" s="12">
        <f ca="1">IFERROR(__xludf.DUMMYFUNCTION("""COMPUTED_VALUE"""),132396)</f>
        <v>132396</v>
      </c>
      <c r="C5881" s="14">
        <f ca="1">IFERROR(__xludf.DUMMYFUNCTION("""COMPUTED_VALUE"""),71)</f>
        <v>71</v>
      </c>
      <c r="D5881" s="12" t="str">
        <f ca="1">IFERROR(__xludf.DUMMYFUNCTION("""COMPUTED_VALUE"""),"荻曽 克輝")</f>
        <v>荻曽 克輝</v>
      </c>
    </row>
    <row r="5882" spans="2:4" ht="13">
      <c r="B5882" s="12">
        <f ca="1">IFERROR(__xludf.DUMMYFUNCTION("""COMPUTED_VALUE"""),132398)</f>
        <v>132398</v>
      </c>
      <c r="C5882" s="14">
        <f ca="1">IFERROR(__xludf.DUMMYFUNCTION("""COMPUTED_VALUE"""),11)</f>
        <v>11</v>
      </c>
      <c r="D5882" s="12" t="str">
        <f ca="1">IFERROR(__xludf.DUMMYFUNCTION("""COMPUTED_VALUE"""),"菅野 ぎんが")</f>
        <v>菅野 ぎんが</v>
      </c>
    </row>
    <row r="5883" spans="2:4" ht="13">
      <c r="B5883" s="12">
        <f ca="1">IFERROR(__xludf.DUMMYFUNCTION("""COMPUTED_VALUE"""),132403)</f>
        <v>132403</v>
      </c>
      <c r="C5883" s="14">
        <f ca="1">IFERROR(__xludf.DUMMYFUNCTION("""COMPUTED_VALUE"""),0)</f>
        <v>0</v>
      </c>
      <c r="D5883" s="12" t="str">
        <f ca="1">IFERROR(__xludf.DUMMYFUNCTION("""COMPUTED_VALUE"""),"荻曽 克輝")</f>
        <v>荻曽 克輝</v>
      </c>
    </row>
    <row r="5884" spans="2:4" ht="13">
      <c r="B5884" s="12">
        <f ca="1">IFERROR(__xludf.DUMMYFUNCTION("""COMPUTED_VALUE"""),132405)</f>
        <v>132405</v>
      </c>
      <c r="C5884" s="14">
        <f ca="1">IFERROR(__xludf.DUMMYFUNCTION("""COMPUTED_VALUE"""),3)</f>
        <v>3</v>
      </c>
      <c r="D5884" s="12" t="str">
        <f ca="1">IFERROR(__xludf.DUMMYFUNCTION("""COMPUTED_VALUE"""),"菅野 ぎんが")</f>
        <v>菅野 ぎんが</v>
      </c>
    </row>
    <row r="5885" spans="2:4" ht="13">
      <c r="B5885" s="12">
        <f ca="1">IFERROR(__xludf.DUMMYFUNCTION("""COMPUTED_VALUE"""),132410)</f>
        <v>132410</v>
      </c>
      <c r="C5885" s="14">
        <f ca="1">IFERROR(__xludf.DUMMYFUNCTION("""COMPUTED_VALUE"""),27)</f>
        <v>27</v>
      </c>
      <c r="D5885" s="12" t="str">
        <f ca="1">IFERROR(__xludf.DUMMYFUNCTION("""COMPUTED_VALUE"""),"菅野 ぎんが")</f>
        <v>菅野 ぎんが</v>
      </c>
    </row>
    <row r="5886" spans="2:4" ht="13">
      <c r="B5886" s="12">
        <f ca="1">IFERROR(__xludf.DUMMYFUNCTION("""COMPUTED_VALUE"""),132412)</f>
        <v>132412</v>
      </c>
      <c r="C5886" s="14">
        <f ca="1">IFERROR(__xludf.DUMMYFUNCTION("""COMPUTED_VALUE"""),0)</f>
        <v>0</v>
      </c>
      <c r="D5886" s="12" t="str">
        <f ca="1">IFERROR(__xludf.DUMMYFUNCTION("""COMPUTED_VALUE"""),"老田 純輝")</f>
        <v>老田 純輝</v>
      </c>
    </row>
    <row r="5887" spans="2:4" ht="13">
      <c r="B5887" s="12">
        <f ca="1">IFERROR(__xludf.DUMMYFUNCTION("""COMPUTED_VALUE"""),132415)</f>
        <v>132415</v>
      </c>
      <c r="C5887" s="14">
        <f ca="1">IFERROR(__xludf.DUMMYFUNCTION("""COMPUTED_VALUE"""),0)</f>
        <v>0</v>
      </c>
      <c r="D5887" s="12" t="str">
        <f ca="1">IFERROR(__xludf.DUMMYFUNCTION("""COMPUTED_VALUE"""),"荻曽 克輝")</f>
        <v>荻曽 克輝</v>
      </c>
    </row>
    <row r="5888" spans="2:4" ht="13">
      <c r="B5888" s="12">
        <f ca="1">IFERROR(__xludf.DUMMYFUNCTION("""COMPUTED_VALUE"""),132434)</f>
        <v>132434</v>
      </c>
      <c r="C5888" s="14">
        <f ca="1">IFERROR(__xludf.DUMMYFUNCTION("""COMPUTED_VALUE"""),0)</f>
        <v>0</v>
      </c>
      <c r="D5888" s="12" t="str">
        <f ca="1">IFERROR(__xludf.DUMMYFUNCTION("""COMPUTED_VALUE"""),"老田 純輝")</f>
        <v>老田 純輝</v>
      </c>
    </row>
    <row r="5889" spans="2:4" ht="13">
      <c r="B5889" s="12">
        <f ca="1">IFERROR(__xludf.DUMMYFUNCTION("""COMPUTED_VALUE"""),132452)</f>
        <v>132452</v>
      </c>
      <c r="C5889" s="14">
        <f ca="1">IFERROR(__xludf.DUMMYFUNCTION("""COMPUTED_VALUE"""),0)</f>
        <v>0</v>
      </c>
      <c r="D5889" s="12" t="str">
        <f ca="1">IFERROR(__xludf.DUMMYFUNCTION("""COMPUTED_VALUE"""),"松尾 尚樹")</f>
        <v>松尾 尚樹</v>
      </c>
    </row>
    <row r="5890" spans="2:4" ht="13">
      <c r="B5890" s="12">
        <f ca="1">IFERROR(__xludf.DUMMYFUNCTION("""COMPUTED_VALUE"""),132456)</f>
        <v>132456</v>
      </c>
      <c r="C5890" s="14">
        <f ca="1">IFERROR(__xludf.DUMMYFUNCTION("""COMPUTED_VALUE"""),0)</f>
        <v>0</v>
      </c>
      <c r="D5890" s="12" t="str">
        <f ca="1">IFERROR(__xludf.DUMMYFUNCTION("""COMPUTED_VALUE"""),"稲場 勇介")</f>
        <v>稲場 勇介</v>
      </c>
    </row>
    <row r="5891" spans="2:4" ht="13">
      <c r="B5891" s="12">
        <f ca="1">IFERROR(__xludf.DUMMYFUNCTION("""COMPUTED_VALUE"""),132464)</f>
        <v>132464</v>
      </c>
      <c r="C5891" s="14">
        <f ca="1">IFERROR(__xludf.DUMMYFUNCTION("""COMPUTED_VALUE"""),0)</f>
        <v>0</v>
      </c>
      <c r="D5891" s="12" t="str">
        <f ca="1">IFERROR(__xludf.DUMMYFUNCTION("""COMPUTED_VALUE"""),"大木 優香")</f>
        <v>大木 優香</v>
      </c>
    </row>
    <row r="5892" spans="2:4" ht="13">
      <c r="B5892" s="12">
        <f ca="1">IFERROR(__xludf.DUMMYFUNCTION("""COMPUTED_VALUE"""),132466)</f>
        <v>132466</v>
      </c>
      <c r="C5892" s="14">
        <f ca="1">IFERROR(__xludf.DUMMYFUNCTION("""COMPUTED_VALUE"""),17)</f>
        <v>17</v>
      </c>
      <c r="D5892" s="12" t="str">
        <f ca="1">IFERROR(__xludf.DUMMYFUNCTION("""COMPUTED_VALUE"""),"荻曽 克輝")</f>
        <v>荻曽 克輝</v>
      </c>
    </row>
    <row r="5893" spans="2:4" ht="13">
      <c r="B5893" s="12">
        <f ca="1">IFERROR(__xludf.DUMMYFUNCTION("""COMPUTED_VALUE"""),132472)</f>
        <v>132472</v>
      </c>
      <c r="C5893" s="14">
        <f ca="1">IFERROR(__xludf.DUMMYFUNCTION("""COMPUTED_VALUE"""),5)</f>
        <v>5</v>
      </c>
      <c r="D5893" s="12" t="str">
        <f ca="1">IFERROR(__xludf.DUMMYFUNCTION("""COMPUTED_VALUE"""),"小関 麻起")</f>
        <v>小関 麻起</v>
      </c>
    </row>
    <row r="5894" spans="2:4" ht="13">
      <c r="B5894" s="12">
        <f ca="1">IFERROR(__xludf.DUMMYFUNCTION("""COMPUTED_VALUE"""),132474)</f>
        <v>132474</v>
      </c>
      <c r="C5894" s="14">
        <f ca="1">IFERROR(__xludf.DUMMYFUNCTION("""COMPUTED_VALUE"""),0)</f>
        <v>0</v>
      </c>
      <c r="D5894" s="12" t="str">
        <f ca="1">IFERROR(__xludf.DUMMYFUNCTION("""COMPUTED_VALUE"""),"長谷川 陸朗")</f>
        <v>長谷川 陸朗</v>
      </c>
    </row>
    <row r="5895" spans="2:4" ht="13">
      <c r="B5895" s="12">
        <f ca="1">IFERROR(__xludf.DUMMYFUNCTION("""COMPUTED_VALUE"""),132477)</f>
        <v>132477</v>
      </c>
      <c r="C5895" s="14">
        <f ca="1">IFERROR(__xludf.DUMMYFUNCTION("""COMPUTED_VALUE"""),0)</f>
        <v>0</v>
      </c>
      <c r="D5895" s="12" t="str">
        <f ca="1">IFERROR(__xludf.DUMMYFUNCTION("""COMPUTED_VALUE"""),"小川 純")</f>
        <v>小川 純</v>
      </c>
    </row>
    <row r="5896" spans="2:4" ht="13">
      <c r="B5896" s="12">
        <f ca="1">IFERROR(__xludf.DUMMYFUNCTION("""COMPUTED_VALUE"""),132478)</f>
        <v>132478</v>
      </c>
      <c r="C5896" s="14">
        <f ca="1">IFERROR(__xludf.DUMMYFUNCTION("""COMPUTED_VALUE"""),0)</f>
        <v>0</v>
      </c>
      <c r="D5896" s="12" t="str">
        <f ca="1">IFERROR(__xludf.DUMMYFUNCTION("""COMPUTED_VALUE"""),"成嶋 夏未")</f>
        <v>成嶋 夏未</v>
      </c>
    </row>
    <row r="5897" spans="2:4" ht="13">
      <c r="B5897" s="12">
        <f ca="1">IFERROR(__xludf.DUMMYFUNCTION("""COMPUTED_VALUE"""),132486)</f>
        <v>132486</v>
      </c>
      <c r="C5897" s="14">
        <f ca="1">IFERROR(__xludf.DUMMYFUNCTION("""COMPUTED_VALUE"""),2)</f>
        <v>2</v>
      </c>
      <c r="D5897" s="12" t="str">
        <f ca="1">IFERROR(__xludf.DUMMYFUNCTION("""COMPUTED_VALUE"""),"小川 純")</f>
        <v>小川 純</v>
      </c>
    </row>
    <row r="5898" spans="2:4" ht="13">
      <c r="B5898" s="12">
        <f ca="1">IFERROR(__xludf.DUMMYFUNCTION("""COMPUTED_VALUE"""),132487)</f>
        <v>132487</v>
      </c>
      <c r="C5898" s="14">
        <f ca="1">IFERROR(__xludf.DUMMYFUNCTION("""COMPUTED_VALUE"""),25)</f>
        <v>25</v>
      </c>
      <c r="D5898" s="12" t="str">
        <f ca="1">IFERROR(__xludf.DUMMYFUNCTION("""COMPUTED_VALUE"""),"荻曽 克輝")</f>
        <v>荻曽 克輝</v>
      </c>
    </row>
    <row r="5899" spans="2:4" ht="13">
      <c r="B5899" s="12">
        <f ca="1">IFERROR(__xludf.DUMMYFUNCTION("""COMPUTED_VALUE"""),132503)</f>
        <v>132503</v>
      </c>
      <c r="C5899" s="14">
        <f ca="1">IFERROR(__xludf.DUMMYFUNCTION("""COMPUTED_VALUE"""),0)</f>
        <v>0</v>
      </c>
      <c r="D5899" s="12" t="str">
        <f ca="1">IFERROR(__xludf.DUMMYFUNCTION("""COMPUTED_VALUE"""),"川島 幹也")</f>
        <v>川島 幹也</v>
      </c>
    </row>
    <row r="5900" spans="2:4" ht="13">
      <c r="B5900" s="12">
        <f ca="1">IFERROR(__xludf.DUMMYFUNCTION("""COMPUTED_VALUE"""),132505)</f>
        <v>132505</v>
      </c>
      <c r="C5900" s="14">
        <f ca="1">IFERROR(__xludf.DUMMYFUNCTION("""COMPUTED_VALUE"""),43)</f>
        <v>43</v>
      </c>
      <c r="D5900" s="12" t="str">
        <f ca="1">IFERROR(__xludf.DUMMYFUNCTION("""COMPUTED_VALUE"""),"村上 浩一朗")</f>
        <v>村上 浩一朗</v>
      </c>
    </row>
    <row r="5901" spans="2:4" ht="13">
      <c r="B5901" s="12">
        <f ca="1">IFERROR(__xludf.DUMMYFUNCTION("""COMPUTED_VALUE"""),132508)</f>
        <v>132508</v>
      </c>
      <c r="C5901" s="14">
        <f ca="1">IFERROR(__xludf.DUMMYFUNCTION("""COMPUTED_VALUE"""),0)</f>
        <v>0</v>
      </c>
      <c r="D5901" s="12" t="str">
        <f ca="1">IFERROR(__xludf.DUMMYFUNCTION("""COMPUTED_VALUE"""),"成嶋 夏未")</f>
        <v>成嶋 夏未</v>
      </c>
    </row>
    <row r="5902" spans="2:4" ht="13">
      <c r="B5902" s="12">
        <f ca="1">IFERROR(__xludf.DUMMYFUNCTION("""COMPUTED_VALUE"""),132509)</f>
        <v>132509</v>
      </c>
      <c r="C5902" s="14">
        <f ca="1">IFERROR(__xludf.DUMMYFUNCTION("""COMPUTED_VALUE"""),0)</f>
        <v>0</v>
      </c>
      <c r="D5902" s="12" t="str">
        <f ca="1">IFERROR(__xludf.DUMMYFUNCTION("""COMPUTED_VALUE"""),"小川 純")</f>
        <v>小川 純</v>
      </c>
    </row>
    <row r="5903" spans="2:4" ht="13">
      <c r="B5903" s="12">
        <f ca="1">IFERROR(__xludf.DUMMYFUNCTION("""COMPUTED_VALUE"""),132510)</f>
        <v>132510</v>
      </c>
      <c r="C5903" s="14">
        <f ca="1">IFERROR(__xludf.DUMMYFUNCTION("""COMPUTED_VALUE"""),2)</f>
        <v>2</v>
      </c>
      <c r="D5903" s="12" t="str">
        <f ca="1">IFERROR(__xludf.DUMMYFUNCTION("""COMPUTED_VALUE"""),"内丸 裕子")</f>
        <v>内丸 裕子</v>
      </c>
    </row>
    <row r="5904" spans="2:4" ht="13">
      <c r="B5904" s="12">
        <f ca="1">IFERROR(__xludf.DUMMYFUNCTION("""COMPUTED_VALUE"""),132516)</f>
        <v>132516</v>
      </c>
      <c r="C5904" s="14">
        <f ca="1">IFERROR(__xludf.DUMMYFUNCTION("""COMPUTED_VALUE"""),8)</f>
        <v>8</v>
      </c>
      <c r="D5904" s="12" t="str">
        <f ca="1">IFERROR(__xludf.DUMMYFUNCTION("""COMPUTED_VALUE"""),"成嶋 夏未")</f>
        <v>成嶋 夏未</v>
      </c>
    </row>
    <row r="5905" spans="2:4" ht="13">
      <c r="B5905" s="12">
        <f ca="1">IFERROR(__xludf.DUMMYFUNCTION("""COMPUTED_VALUE"""),132523)</f>
        <v>132523</v>
      </c>
      <c r="C5905" s="14">
        <f ca="1">IFERROR(__xludf.DUMMYFUNCTION("""COMPUTED_VALUE"""),0)</f>
        <v>0</v>
      </c>
      <c r="D5905" s="12" t="str">
        <f ca="1">IFERROR(__xludf.DUMMYFUNCTION("""COMPUTED_VALUE"""),"村上 浩一朗")</f>
        <v>村上 浩一朗</v>
      </c>
    </row>
    <row r="5906" spans="2:4" ht="13">
      <c r="B5906" s="12">
        <f ca="1">IFERROR(__xludf.DUMMYFUNCTION("""COMPUTED_VALUE"""),132528)</f>
        <v>132528</v>
      </c>
      <c r="C5906" s="14">
        <f ca="1">IFERROR(__xludf.DUMMYFUNCTION("""COMPUTED_VALUE"""),0)</f>
        <v>0</v>
      </c>
      <c r="D5906" s="12" t="str">
        <f ca="1">IFERROR(__xludf.DUMMYFUNCTION("""COMPUTED_VALUE"""),"成嶋 夏未")</f>
        <v>成嶋 夏未</v>
      </c>
    </row>
    <row r="5907" spans="2:4" ht="13">
      <c r="B5907" s="12">
        <f ca="1">IFERROR(__xludf.DUMMYFUNCTION("""COMPUTED_VALUE"""),132535)</f>
        <v>132535</v>
      </c>
      <c r="C5907" s="14">
        <f ca="1">IFERROR(__xludf.DUMMYFUNCTION("""COMPUTED_VALUE"""),0)</f>
        <v>0</v>
      </c>
      <c r="D5907" s="12" t="str">
        <f ca="1">IFERROR(__xludf.DUMMYFUNCTION("""COMPUTED_VALUE"""),"川島 幹也")</f>
        <v>川島 幹也</v>
      </c>
    </row>
    <row r="5908" spans="2:4" ht="13">
      <c r="B5908" s="12">
        <f ca="1">IFERROR(__xludf.DUMMYFUNCTION("""COMPUTED_VALUE"""),132536)</f>
        <v>132536</v>
      </c>
      <c r="C5908" s="14">
        <f ca="1">IFERROR(__xludf.DUMMYFUNCTION("""COMPUTED_VALUE"""),0)</f>
        <v>0</v>
      </c>
      <c r="D5908" s="12" t="str">
        <f ca="1">IFERROR(__xludf.DUMMYFUNCTION("""COMPUTED_VALUE"""),"荻曽 克輝")</f>
        <v>荻曽 克輝</v>
      </c>
    </row>
    <row r="5909" spans="2:4" ht="13">
      <c r="B5909" s="12">
        <f ca="1">IFERROR(__xludf.DUMMYFUNCTION("""COMPUTED_VALUE"""),132566)</f>
        <v>132566</v>
      </c>
      <c r="C5909" s="14">
        <f ca="1">IFERROR(__xludf.DUMMYFUNCTION("""COMPUTED_VALUE"""),0)</f>
        <v>0</v>
      </c>
      <c r="D5909" s="12" t="str">
        <f ca="1">IFERROR(__xludf.DUMMYFUNCTION("""COMPUTED_VALUE"""),"堀越 駿")</f>
        <v>堀越 駿</v>
      </c>
    </row>
    <row r="5910" spans="2:4" ht="13">
      <c r="B5910" s="12">
        <f ca="1">IFERROR(__xludf.DUMMYFUNCTION("""COMPUTED_VALUE"""),132567)</f>
        <v>132567</v>
      </c>
      <c r="C5910" s="14">
        <f ca="1">IFERROR(__xludf.DUMMYFUNCTION("""COMPUTED_VALUE"""),13)</f>
        <v>13</v>
      </c>
      <c r="D5910" s="12" t="str">
        <f ca="1">IFERROR(__xludf.DUMMYFUNCTION("""COMPUTED_VALUE"""),"村上 浩一朗")</f>
        <v>村上 浩一朗</v>
      </c>
    </row>
    <row r="5911" spans="2:4" ht="13">
      <c r="B5911" s="12">
        <f ca="1">IFERROR(__xludf.DUMMYFUNCTION("""COMPUTED_VALUE"""),132569)</f>
        <v>132569</v>
      </c>
      <c r="C5911" s="14">
        <f ca="1">IFERROR(__xludf.DUMMYFUNCTION("""COMPUTED_VALUE"""),0)</f>
        <v>0</v>
      </c>
      <c r="D5911" s="12" t="str">
        <f ca="1">IFERROR(__xludf.DUMMYFUNCTION("""COMPUTED_VALUE"""),"内丸 裕子")</f>
        <v>内丸 裕子</v>
      </c>
    </row>
    <row r="5912" spans="2:4" ht="13">
      <c r="B5912" s="12">
        <f ca="1">IFERROR(__xludf.DUMMYFUNCTION("""COMPUTED_VALUE"""),132576)</f>
        <v>132576</v>
      </c>
      <c r="C5912" s="14">
        <f ca="1">IFERROR(__xludf.DUMMYFUNCTION("""COMPUTED_VALUE"""),3)</f>
        <v>3</v>
      </c>
      <c r="D5912" s="12" t="str">
        <f ca="1">IFERROR(__xludf.DUMMYFUNCTION("""COMPUTED_VALUE"""),"大木 優香")</f>
        <v>大木 優香</v>
      </c>
    </row>
    <row r="5913" spans="2:4" ht="13">
      <c r="B5913" s="12">
        <f ca="1">IFERROR(__xludf.DUMMYFUNCTION("""COMPUTED_VALUE"""),132581)</f>
        <v>132581</v>
      </c>
      <c r="C5913" s="14">
        <f ca="1">IFERROR(__xludf.DUMMYFUNCTION("""COMPUTED_VALUE"""),0)</f>
        <v>0</v>
      </c>
      <c r="D5913" s="12" t="str">
        <f ca="1">IFERROR(__xludf.DUMMYFUNCTION("""COMPUTED_VALUE"""),"荻曽 克輝")</f>
        <v>荻曽 克輝</v>
      </c>
    </row>
    <row r="5914" spans="2:4" ht="13">
      <c r="B5914" s="12">
        <f ca="1">IFERROR(__xludf.DUMMYFUNCTION("""COMPUTED_VALUE"""),132591)</f>
        <v>132591</v>
      </c>
      <c r="C5914" s="14">
        <f ca="1">IFERROR(__xludf.DUMMYFUNCTION("""COMPUTED_VALUE"""),0)</f>
        <v>0</v>
      </c>
      <c r="D5914" s="12" t="str">
        <f ca="1">IFERROR(__xludf.DUMMYFUNCTION("""COMPUTED_VALUE"""),"内丸 裕子")</f>
        <v>内丸 裕子</v>
      </c>
    </row>
    <row r="5915" spans="2:4" ht="13">
      <c r="B5915" s="12">
        <f ca="1">IFERROR(__xludf.DUMMYFUNCTION("""COMPUTED_VALUE"""),132602)</f>
        <v>132602</v>
      </c>
      <c r="C5915" s="14">
        <f ca="1">IFERROR(__xludf.DUMMYFUNCTION("""COMPUTED_VALUE"""),40)</f>
        <v>40</v>
      </c>
      <c r="D5915" s="12" t="str">
        <f ca="1">IFERROR(__xludf.DUMMYFUNCTION("""COMPUTED_VALUE"""),"小関 麻起")</f>
        <v>小関 麻起</v>
      </c>
    </row>
    <row r="5916" spans="2:4" ht="13">
      <c r="B5916" s="12">
        <f ca="1">IFERROR(__xludf.DUMMYFUNCTION("""COMPUTED_VALUE"""),132608)</f>
        <v>132608</v>
      </c>
      <c r="C5916" s="14">
        <f ca="1">IFERROR(__xludf.DUMMYFUNCTION("""COMPUTED_VALUE"""),10)</f>
        <v>10</v>
      </c>
      <c r="D5916" s="12" t="str">
        <f ca="1">IFERROR(__xludf.DUMMYFUNCTION("""COMPUTED_VALUE"""),"芳賀 亮輔")</f>
        <v>芳賀 亮輔</v>
      </c>
    </row>
    <row r="5917" spans="2:4" ht="13">
      <c r="B5917" s="12">
        <f ca="1">IFERROR(__xludf.DUMMYFUNCTION("""COMPUTED_VALUE"""),132610)</f>
        <v>132610</v>
      </c>
      <c r="C5917" s="14">
        <f ca="1">IFERROR(__xludf.DUMMYFUNCTION("""COMPUTED_VALUE"""),7)</f>
        <v>7</v>
      </c>
      <c r="D5917" s="12" t="str">
        <f ca="1">IFERROR(__xludf.DUMMYFUNCTION("""COMPUTED_VALUE"""),"奥野 貴大")</f>
        <v>奥野 貴大</v>
      </c>
    </row>
    <row r="5918" spans="2:4" ht="13">
      <c r="B5918" s="12">
        <f ca="1">IFERROR(__xludf.DUMMYFUNCTION("""COMPUTED_VALUE"""),132611)</f>
        <v>132611</v>
      </c>
      <c r="C5918" s="14">
        <f ca="1">IFERROR(__xludf.DUMMYFUNCTION("""COMPUTED_VALUE"""),1)</f>
        <v>1</v>
      </c>
      <c r="D5918" s="12" t="str">
        <f ca="1">IFERROR(__xludf.DUMMYFUNCTION("""COMPUTED_VALUE"""),"田嶋 将太")</f>
        <v>田嶋 将太</v>
      </c>
    </row>
    <row r="5919" spans="2:4" ht="13">
      <c r="B5919" s="12">
        <f ca="1">IFERROR(__xludf.DUMMYFUNCTION("""COMPUTED_VALUE"""),132614)</f>
        <v>132614</v>
      </c>
      <c r="C5919" s="14">
        <f ca="1">IFERROR(__xludf.DUMMYFUNCTION("""COMPUTED_VALUE"""),2)</f>
        <v>2</v>
      </c>
      <c r="D5919" s="12" t="str">
        <f ca="1">IFERROR(__xludf.DUMMYFUNCTION("""COMPUTED_VALUE"""),"小関 麻起")</f>
        <v>小関 麻起</v>
      </c>
    </row>
    <row r="5920" spans="2:4" ht="13">
      <c r="B5920" s="12">
        <f ca="1">IFERROR(__xludf.DUMMYFUNCTION("""COMPUTED_VALUE"""),132621)</f>
        <v>132621</v>
      </c>
      <c r="C5920" s="14">
        <f ca="1">IFERROR(__xludf.DUMMYFUNCTION("""COMPUTED_VALUE"""),3)</f>
        <v>3</v>
      </c>
      <c r="D5920" s="12" t="str">
        <f ca="1">IFERROR(__xludf.DUMMYFUNCTION("""COMPUTED_VALUE"""),"奥野 貴大")</f>
        <v>奥野 貴大</v>
      </c>
    </row>
    <row r="5921" spans="2:4" ht="13">
      <c r="B5921" s="12">
        <f ca="1">IFERROR(__xludf.DUMMYFUNCTION("""COMPUTED_VALUE"""),132632)</f>
        <v>132632</v>
      </c>
      <c r="C5921" s="14">
        <f ca="1">IFERROR(__xludf.DUMMYFUNCTION("""COMPUTED_VALUE"""),0)</f>
        <v>0</v>
      </c>
      <c r="D5921" s="12" t="str">
        <f ca="1">IFERROR(__xludf.DUMMYFUNCTION("""COMPUTED_VALUE"""),"村上 浩一朗")</f>
        <v>村上 浩一朗</v>
      </c>
    </row>
    <row r="5922" spans="2:4" ht="13">
      <c r="B5922" s="12">
        <f ca="1">IFERROR(__xludf.DUMMYFUNCTION("""COMPUTED_VALUE"""),132643)</f>
        <v>132643</v>
      </c>
      <c r="C5922" s="14">
        <f ca="1">IFERROR(__xludf.DUMMYFUNCTION("""COMPUTED_VALUE"""),42)</f>
        <v>42</v>
      </c>
      <c r="D5922" s="12" t="str">
        <f ca="1">IFERROR(__xludf.DUMMYFUNCTION("""COMPUTED_VALUE"""),"荻曽 克輝")</f>
        <v>荻曽 克輝</v>
      </c>
    </row>
    <row r="5923" spans="2:4" ht="13">
      <c r="B5923" s="12">
        <f ca="1">IFERROR(__xludf.DUMMYFUNCTION("""COMPUTED_VALUE"""),132644)</f>
        <v>132644</v>
      </c>
      <c r="C5923" s="14">
        <f ca="1">IFERROR(__xludf.DUMMYFUNCTION("""COMPUTED_VALUE"""),0)</f>
        <v>0</v>
      </c>
      <c r="D5923" s="12" t="str">
        <f ca="1">IFERROR(__xludf.DUMMYFUNCTION("""COMPUTED_VALUE"""),"老田 純輝")</f>
        <v>老田 純輝</v>
      </c>
    </row>
    <row r="5924" spans="2:4" ht="13">
      <c r="B5924" s="12">
        <f ca="1">IFERROR(__xludf.DUMMYFUNCTION("""COMPUTED_VALUE"""),132649)</f>
        <v>132649</v>
      </c>
      <c r="C5924" s="14">
        <f ca="1">IFERROR(__xludf.DUMMYFUNCTION("""COMPUTED_VALUE"""),3)</f>
        <v>3</v>
      </c>
      <c r="D5924" s="12" t="str">
        <f ca="1">IFERROR(__xludf.DUMMYFUNCTION("""COMPUTED_VALUE"""),"長谷川 陸朗")</f>
        <v>長谷川 陸朗</v>
      </c>
    </row>
    <row r="5925" spans="2:4" ht="13">
      <c r="B5925" s="12">
        <f ca="1">IFERROR(__xludf.DUMMYFUNCTION("""COMPUTED_VALUE"""),132651)</f>
        <v>132651</v>
      </c>
      <c r="C5925" s="14">
        <f ca="1">IFERROR(__xludf.DUMMYFUNCTION("""COMPUTED_VALUE"""),0)</f>
        <v>0</v>
      </c>
      <c r="D5925" s="12" t="str">
        <f ca="1">IFERROR(__xludf.DUMMYFUNCTION("""COMPUTED_VALUE"""),"成嶋 夏未")</f>
        <v>成嶋 夏未</v>
      </c>
    </row>
    <row r="5926" spans="2:4" ht="13">
      <c r="B5926" s="12">
        <f ca="1">IFERROR(__xludf.DUMMYFUNCTION("""COMPUTED_VALUE"""),132654)</f>
        <v>132654</v>
      </c>
      <c r="C5926" s="14">
        <f ca="1">IFERROR(__xludf.DUMMYFUNCTION("""COMPUTED_VALUE"""),0)</f>
        <v>0</v>
      </c>
      <c r="D5926" s="12" t="str">
        <f ca="1">IFERROR(__xludf.DUMMYFUNCTION("""COMPUTED_VALUE"""),"成嶋 夏未")</f>
        <v>成嶋 夏未</v>
      </c>
    </row>
    <row r="5927" spans="2:4" ht="13">
      <c r="B5927" s="12">
        <f ca="1">IFERROR(__xludf.DUMMYFUNCTION("""COMPUTED_VALUE"""),132657)</f>
        <v>132657</v>
      </c>
      <c r="C5927" s="14">
        <f ca="1">IFERROR(__xludf.DUMMYFUNCTION("""COMPUTED_VALUE"""),0)</f>
        <v>0</v>
      </c>
      <c r="D5927" s="12" t="str">
        <f ca="1">IFERROR(__xludf.DUMMYFUNCTION("""COMPUTED_VALUE"""),"成嶋 夏未")</f>
        <v>成嶋 夏未</v>
      </c>
    </row>
    <row r="5928" spans="2:4" ht="13">
      <c r="B5928" s="12">
        <f ca="1">IFERROR(__xludf.DUMMYFUNCTION("""COMPUTED_VALUE"""),132662)</f>
        <v>132662</v>
      </c>
      <c r="C5928" s="14">
        <f ca="1">IFERROR(__xludf.DUMMYFUNCTION("""COMPUTED_VALUE"""),55)</f>
        <v>55</v>
      </c>
      <c r="D5928" s="12" t="str">
        <f ca="1">IFERROR(__xludf.DUMMYFUNCTION("""COMPUTED_VALUE"""),"内丸 裕子")</f>
        <v>内丸 裕子</v>
      </c>
    </row>
    <row r="5929" spans="2:4" ht="13">
      <c r="B5929" s="12">
        <f ca="1">IFERROR(__xludf.DUMMYFUNCTION("""COMPUTED_VALUE"""),132663)</f>
        <v>132663</v>
      </c>
      <c r="C5929" s="14">
        <f ca="1">IFERROR(__xludf.DUMMYFUNCTION("""COMPUTED_VALUE"""),37)</f>
        <v>37</v>
      </c>
      <c r="D5929" s="12" t="str">
        <f ca="1">IFERROR(__xludf.DUMMYFUNCTION("""COMPUTED_VALUE"""),"老田 純輝")</f>
        <v>老田 純輝</v>
      </c>
    </row>
    <row r="5930" spans="2:4" ht="13">
      <c r="B5930" s="12">
        <f ca="1">IFERROR(__xludf.DUMMYFUNCTION("""COMPUTED_VALUE"""),132665)</f>
        <v>132665</v>
      </c>
      <c r="C5930" s="14">
        <f ca="1">IFERROR(__xludf.DUMMYFUNCTION("""COMPUTED_VALUE"""),0)</f>
        <v>0</v>
      </c>
      <c r="D5930" s="12" t="str">
        <f ca="1">IFERROR(__xludf.DUMMYFUNCTION("""COMPUTED_VALUE"""),"稲場 勇介")</f>
        <v>稲場 勇介</v>
      </c>
    </row>
    <row r="5931" spans="2:4" ht="13">
      <c r="B5931" s="12">
        <f ca="1">IFERROR(__xludf.DUMMYFUNCTION("""COMPUTED_VALUE"""),132666)</f>
        <v>132666</v>
      </c>
      <c r="C5931" s="14">
        <f ca="1">IFERROR(__xludf.DUMMYFUNCTION("""COMPUTED_VALUE"""),357)</f>
        <v>357</v>
      </c>
      <c r="D5931" s="12" t="str">
        <f ca="1">IFERROR(__xludf.DUMMYFUNCTION("""COMPUTED_VALUE"""),"栗原 大武")</f>
        <v>栗原 大武</v>
      </c>
    </row>
    <row r="5932" spans="2:4" ht="13">
      <c r="B5932" s="12">
        <f ca="1">IFERROR(__xludf.DUMMYFUNCTION("""COMPUTED_VALUE"""),132668)</f>
        <v>132668</v>
      </c>
      <c r="C5932" s="14">
        <f ca="1">IFERROR(__xludf.DUMMYFUNCTION("""COMPUTED_VALUE"""),0)</f>
        <v>0</v>
      </c>
      <c r="D5932" s="12" t="str">
        <f ca="1">IFERROR(__xludf.DUMMYFUNCTION("""COMPUTED_VALUE"""),"芳賀 亮輔")</f>
        <v>芳賀 亮輔</v>
      </c>
    </row>
    <row r="5933" spans="2:4" ht="13">
      <c r="B5933" s="12">
        <f ca="1">IFERROR(__xludf.DUMMYFUNCTION("""COMPUTED_VALUE"""),132671)</f>
        <v>132671</v>
      </c>
      <c r="C5933" s="14">
        <f ca="1">IFERROR(__xludf.DUMMYFUNCTION("""COMPUTED_VALUE"""),6)</f>
        <v>6</v>
      </c>
      <c r="D5933" s="12" t="str">
        <f ca="1">IFERROR(__xludf.DUMMYFUNCTION("""COMPUTED_VALUE"""),"村上 浩一朗")</f>
        <v>村上 浩一朗</v>
      </c>
    </row>
    <row r="5934" spans="2:4" ht="13">
      <c r="B5934" s="12">
        <f ca="1">IFERROR(__xludf.DUMMYFUNCTION("""COMPUTED_VALUE"""),132678)</f>
        <v>132678</v>
      </c>
      <c r="C5934" s="14">
        <f ca="1">IFERROR(__xludf.DUMMYFUNCTION("""COMPUTED_VALUE"""),0)</f>
        <v>0</v>
      </c>
      <c r="D5934" s="12" t="str">
        <f ca="1">IFERROR(__xludf.DUMMYFUNCTION("""COMPUTED_VALUE"""),"成嶋 夏未")</f>
        <v>成嶋 夏未</v>
      </c>
    </row>
    <row r="5935" spans="2:4" ht="13">
      <c r="B5935" s="12">
        <f ca="1">IFERROR(__xludf.DUMMYFUNCTION("""COMPUTED_VALUE"""),132680)</f>
        <v>132680</v>
      </c>
      <c r="C5935" s="14">
        <f ca="1">IFERROR(__xludf.DUMMYFUNCTION("""COMPUTED_VALUE"""),0)</f>
        <v>0</v>
      </c>
      <c r="D5935" s="12" t="str">
        <f ca="1">IFERROR(__xludf.DUMMYFUNCTION("""COMPUTED_VALUE"""),"辻村 将大")</f>
        <v>辻村 将大</v>
      </c>
    </row>
    <row r="5936" spans="2:4" ht="13">
      <c r="B5936" s="12">
        <f ca="1">IFERROR(__xludf.DUMMYFUNCTION("""COMPUTED_VALUE"""),132684)</f>
        <v>132684</v>
      </c>
      <c r="C5936" s="14">
        <f ca="1">IFERROR(__xludf.DUMMYFUNCTION("""COMPUTED_VALUE"""),1)</f>
        <v>1</v>
      </c>
      <c r="D5936" s="12" t="str">
        <f ca="1">IFERROR(__xludf.DUMMYFUNCTION("""COMPUTED_VALUE"""),"大木 優香")</f>
        <v>大木 優香</v>
      </c>
    </row>
    <row r="5937" spans="2:4" ht="13">
      <c r="B5937" s="12">
        <f ca="1">IFERROR(__xludf.DUMMYFUNCTION("""COMPUTED_VALUE"""),132685)</f>
        <v>132685</v>
      </c>
      <c r="C5937" s="14">
        <f ca="1">IFERROR(__xludf.DUMMYFUNCTION("""COMPUTED_VALUE"""),0)</f>
        <v>0</v>
      </c>
      <c r="D5937" s="12" t="str">
        <f ca="1">IFERROR(__xludf.DUMMYFUNCTION("""COMPUTED_VALUE"""),"稲場 勇介")</f>
        <v>稲場 勇介</v>
      </c>
    </row>
    <row r="5938" spans="2:4" ht="13">
      <c r="B5938" s="12">
        <f ca="1">IFERROR(__xludf.DUMMYFUNCTION("""COMPUTED_VALUE"""),132686)</f>
        <v>132686</v>
      </c>
      <c r="C5938" s="14">
        <f ca="1">IFERROR(__xludf.DUMMYFUNCTION("""COMPUTED_VALUE"""),7)</f>
        <v>7</v>
      </c>
      <c r="D5938" s="12" t="str">
        <f ca="1">IFERROR(__xludf.DUMMYFUNCTION("""COMPUTED_VALUE"""),"成嶋 夏未")</f>
        <v>成嶋 夏未</v>
      </c>
    </row>
    <row r="5939" spans="2:4" ht="13">
      <c r="B5939" s="12">
        <f ca="1">IFERROR(__xludf.DUMMYFUNCTION("""COMPUTED_VALUE"""),132687)</f>
        <v>132687</v>
      </c>
      <c r="C5939" s="14">
        <f ca="1">IFERROR(__xludf.DUMMYFUNCTION("""COMPUTED_VALUE"""),3)</f>
        <v>3</v>
      </c>
      <c r="D5939" s="12" t="str">
        <f ca="1">IFERROR(__xludf.DUMMYFUNCTION("""COMPUTED_VALUE"""),"小川 純")</f>
        <v>小川 純</v>
      </c>
    </row>
    <row r="5940" spans="2:4" ht="13">
      <c r="B5940" s="12">
        <f ca="1">IFERROR(__xludf.DUMMYFUNCTION("""COMPUTED_VALUE"""),132694)</f>
        <v>132694</v>
      </c>
      <c r="C5940" s="14">
        <f ca="1">IFERROR(__xludf.DUMMYFUNCTION("""COMPUTED_VALUE"""),0)</f>
        <v>0</v>
      </c>
      <c r="D5940" s="12" t="str">
        <f ca="1">IFERROR(__xludf.DUMMYFUNCTION("""COMPUTED_VALUE"""),"成嶋 夏未")</f>
        <v>成嶋 夏未</v>
      </c>
    </row>
    <row r="5941" spans="2:4" ht="13">
      <c r="B5941" s="12">
        <f ca="1">IFERROR(__xludf.DUMMYFUNCTION("""COMPUTED_VALUE"""),132696)</f>
        <v>132696</v>
      </c>
      <c r="C5941" s="14">
        <f ca="1">IFERROR(__xludf.DUMMYFUNCTION("""COMPUTED_VALUE"""),0)</f>
        <v>0</v>
      </c>
      <c r="D5941" s="12" t="str">
        <f ca="1">IFERROR(__xludf.DUMMYFUNCTION("""COMPUTED_VALUE"""),"小関 麻起")</f>
        <v>小関 麻起</v>
      </c>
    </row>
    <row r="5942" spans="2:4" ht="13">
      <c r="B5942" s="12">
        <f ca="1">IFERROR(__xludf.DUMMYFUNCTION("""COMPUTED_VALUE"""),132699)</f>
        <v>132699</v>
      </c>
      <c r="C5942" s="14">
        <f ca="1">IFERROR(__xludf.DUMMYFUNCTION("""COMPUTED_VALUE"""),1)</f>
        <v>1</v>
      </c>
      <c r="D5942" s="12" t="str">
        <f ca="1">IFERROR(__xludf.DUMMYFUNCTION("""COMPUTED_VALUE"""),"栗原 大武")</f>
        <v>栗原 大武</v>
      </c>
    </row>
    <row r="5943" spans="2:4" ht="13">
      <c r="B5943" s="12">
        <f ca="1">IFERROR(__xludf.DUMMYFUNCTION("""COMPUTED_VALUE"""),132704)</f>
        <v>132704</v>
      </c>
      <c r="C5943" s="14">
        <f ca="1">IFERROR(__xludf.DUMMYFUNCTION("""COMPUTED_VALUE"""),45)</f>
        <v>45</v>
      </c>
      <c r="D5943" s="12" t="str">
        <f ca="1">IFERROR(__xludf.DUMMYFUNCTION("""COMPUTED_VALUE"""),"辻村 将大")</f>
        <v>辻村 将大</v>
      </c>
    </row>
    <row r="5944" spans="2:4" ht="13">
      <c r="B5944" s="12">
        <f ca="1">IFERROR(__xludf.DUMMYFUNCTION("""COMPUTED_VALUE"""),132705)</f>
        <v>132705</v>
      </c>
      <c r="C5944" s="14">
        <f ca="1">IFERROR(__xludf.DUMMYFUNCTION("""COMPUTED_VALUE"""),1)</f>
        <v>1</v>
      </c>
      <c r="D5944" s="12" t="str">
        <f ca="1">IFERROR(__xludf.DUMMYFUNCTION("""COMPUTED_VALUE"""),"小関 麻起")</f>
        <v>小関 麻起</v>
      </c>
    </row>
    <row r="5945" spans="2:4" ht="13">
      <c r="B5945" s="12">
        <f ca="1">IFERROR(__xludf.DUMMYFUNCTION("""COMPUTED_VALUE"""),132706)</f>
        <v>132706</v>
      </c>
      <c r="C5945" s="14">
        <f ca="1">IFERROR(__xludf.DUMMYFUNCTION("""COMPUTED_VALUE"""),1)</f>
        <v>1</v>
      </c>
      <c r="D5945" s="12" t="str">
        <f ca="1">IFERROR(__xludf.DUMMYFUNCTION("""COMPUTED_VALUE"""),"松尾 尚樹")</f>
        <v>松尾 尚樹</v>
      </c>
    </row>
    <row r="5946" spans="2:4" ht="13">
      <c r="B5946" s="12">
        <f ca="1">IFERROR(__xludf.DUMMYFUNCTION("""COMPUTED_VALUE"""),132710)</f>
        <v>132710</v>
      </c>
      <c r="C5946" s="14">
        <f ca="1">IFERROR(__xludf.DUMMYFUNCTION("""COMPUTED_VALUE"""),2)</f>
        <v>2</v>
      </c>
      <c r="D5946" s="12" t="str">
        <f ca="1">IFERROR(__xludf.DUMMYFUNCTION("""COMPUTED_VALUE"""),"栗原 大武")</f>
        <v>栗原 大武</v>
      </c>
    </row>
    <row r="5947" spans="2:4" ht="13">
      <c r="B5947" s="12">
        <f ca="1">IFERROR(__xludf.DUMMYFUNCTION("""COMPUTED_VALUE"""),132711)</f>
        <v>132711</v>
      </c>
      <c r="C5947" s="14">
        <f ca="1">IFERROR(__xludf.DUMMYFUNCTION("""COMPUTED_VALUE"""),25)</f>
        <v>25</v>
      </c>
      <c r="D5947" s="12" t="str">
        <f ca="1">IFERROR(__xludf.DUMMYFUNCTION("""COMPUTED_VALUE"""),"小関 麻起")</f>
        <v>小関 麻起</v>
      </c>
    </row>
    <row r="5948" spans="2:4" ht="13">
      <c r="B5948" s="12">
        <f ca="1">IFERROR(__xludf.DUMMYFUNCTION("""COMPUTED_VALUE"""),132714)</f>
        <v>132714</v>
      </c>
      <c r="C5948" s="14">
        <f ca="1">IFERROR(__xludf.DUMMYFUNCTION("""COMPUTED_VALUE"""),0)</f>
        <v>0</v>
      </c>
      <c r="D5948" s="12" t="str">
        <f ca="1">IFERROR(__xludf.DUMMYFUNCTION("""COMPUTED_VALUE"""),"小川 純")</f>
        <v>小川 純</v>
      </c>
    </row>
    <row r="5949" spans="2:4" ht="13">
      <c r="B5949" s="12">
        <f ca="1">IFERROR(__xludf.DUMMYFUNCTION("""COMPUTED_VALUE"""),132718)</f>
        <v>132718</v>
      </c>
      <c r="C5949" s="14">
        <f ca="1">IFERROR(__xludf.DUMMYFUNCTION("""COMPUTED_VALUE"""),37)</f>
        <v>37</v>
      </c>
      <c r="D5949" s="12" t="str">
        <f ca="1">IFERROR(__xludf.DUMMYFUNCTION("""COMPUTED_VALUE"""),"松尾 尚樹")</f>
        <v>松尾 尚樹</v>
      </c>
    </row>
    <row r="5950" spans="2:4" ht="13">
      <c r="B5950" s="12">
        <f ca="1">IFERROR(__xludf.DUMMYFUNCTION("""COMPUTED_VALUE"""),132726)</f>
        <v>132726</v>
      </c>
      <c r="C5950" s="14">
        <f ca="1">IFERROR(__xludf.DUMMYFUNCTION("""COMPUTED_VALUE"""),0)</f>
        <v>0</v>
      </c>
      <c r="D5950" s="12" t="str">
        <f ca="1">IFERROR(__xludf.DUMMYFUNCTION("""COMPUTED_VALUE"""),"菅野 ぎんが")</f>
        <v>菅野 ぎんが</v>
      </c>
    </row>
    <row r="5951" spans="2:4" ht="13">
      <c r="B5951" s="12">
        <f ca="1">IFERROR(__xludf.DUMMYFUNCTION("""COMPUTED_VALUE"""),132728)</f>
        <v>132728</v>
      </c>
      <c r="C5951" s="14">
        <f ca="1">IFERROR(__xludf.DUMMYFUNCTION("""COMPUTED_VALUE"""),0)</f>
        <v>0</v>
      </c>
      <c r="D5951" s="12" t="str">
        <f ca="1">IFERROR(__xludf.DUMMYFUNCTION("""COMPUTED_VALUE"""),"成嶋 夏未")</f>
        <v>成嶋 夏未</v>
      </c>
    </row>
    <row r="5952" spans="2:4" ht="13">
      <c r="B5952" s="12">
        <f ca="1">IFERROR(__xludf.DUMMYFUNCTION("""COMPUTED_VALUE"""),132732)</f>
        <v>132732</v>
      </c>
      <c r="C5952" s="14">
        <f ca="1">IFERROR(__xludf.DUMMYFUNCTION("""COMPUTED_VALUE"""),6)</f>
        <v>6</v>
      </c>
      <c r="D5952" s="12" t="str">
        <f ca="1">IFERROR(__xludf.DUMMYFUNCTION("""COMPUTED_VALUE"""),"菅野 ぎんが")</f>
        <v>菅野 ぎんが</v>
      </c>
    </row>
    <row r="5953" spans="2:4" ht="13">
      <c r="B5953" s="12">
        <f ca="1">IFERROR(__xludf.DUMMYFUNCTION("""COMPUTED_VALUE"""),132733)</f>
        <v>132733</v>
      </c>
      <c r="C5953" s="14">
        <f ca="1">IFERROR(__xludf.DUMMYFUNCTION("""COMPUTED_VALUE"""),0)</f>
        <v>0</v>
      </c>
      <c r="D5953" s="12" t="str">
        <f ca="1">IFERROR(__xludf.DUMMYFUNCTION("""COMPUTED_VALUE"""),"芳賀 亮輔")</f>
        <v>芳賀 亮輔</v>
      </c>
    </row>
    <row r="5954" spans="2:4" ht="13">
      <c r="B5954" s="12">
        <f ca="1">IFERROR(__xludf.DUMMYFUNCTION("""COMPUTED_VALUE"""),132735)</f>
        <v>132735</v>
      </c>
      <c r="C5954" s="14">
        <f ca="1">IFERROR(__xludf.DUMMYFUNCTION("""COMPUTED_VALUE"""),44)</f>
        <v>44</v>
      </c>
      <c r="D5954" s="12" t="str">
        <f ca="1">IFERROR(__xludf.DUMMYFUNCTION("""COMPUTED_VALUE"""),"栗原 大武")</f>
        <v>栗原 大武</v>
      </c>
    </row>
    <row r="5955" spans="2:4" ht="13">
      <c r="B5955" s="12">
        <f ca="1">IFERROR(__xludf.DUMMYFUNCTION("""COMPUTED_VALUE"""),132745)</f>
        <v>132745</v>
      </c>
      <c r="C5955" s="14">
        <f ca="1">IFERROR(__xludf.DUMMYFUNCTION("""COMPUTED_VALUE"""),0)</f>
        <v>0</v>
      </c>
      <c r="D5955" s="12" t="str">
        <f ca="1">IFERROR(__xludf.DUMMYFUNCTION("""COMPUTED_VALUE"""),"小関 麻起")</f>
        <v>小関 麻起</v>
      </c>
    </row>
    <row r="5956" spans="2:4" ht="13">
      <c r="B5956" s="12">
        <f ca="1">IFERROR(__xludf.DUMMYFUNCTION("""COMPUTED_VALUE"""),132747)</f>
        <v>132747</v>
      </c>
      <c r="C5956" s="14">
        <f ca="1">IFERROR(__xludf.DUMMYFUNCTION("""COMPUTED_VALUE"""),6)</f>
        <v>6</v>
      </c>
      <c r="D5956" s="12" t="str">
        <f ca="1">IFERROR(__xludf.DUMMYFUNCTION("""COMPUTED_VALUE"""),"長谷川 陸朗")</f>
        <v>長谷川 陸朗</v>
      </c>
    </row>
    <row r="5957" spans="2:4" ht="13">
      <c r="B5957" s="12">
        <f ca="1">IFERROR(__xludf.DUMMYFUNCTION("""COMPUTED_VALUE"""),132752)</f>
        <v>132752</v>
      </c>
      <c r="C5957" s="14">
        <f ca="1">IFERROR(__xludf.DUMMYFUNCTION("""COMPUTED_VALUE"""),0)</f>
        <v>0</v>
      </c>
      <c r="D5957" s="12" t="str">
        <f ca="1">IFERROR(__xludf.DUMMYFUNCTION("""COMPUTED_VALUE"""),"荻曽 克輝")</f>
        <v>荻曽 克輝</v>
      </c>
    </row>
    <row r="5958" spans="2:4" ht="13">
      <c r="B5958" s="12">
        <f ca="1">IFERROR(__xludf.DUMMYFUNCTION("""COMPUTED_VALUE"""),132761)</f>
        <v>132761</v>
      </c>
      <c r="C5958" s="14">
        <f ca="1">IFERROR(__xludf.DUMMYFUNCTION("""COMPUTED_VALUE"""),0)</f>
        <v>0</v>
      </c>
      <c r="D5958" s="12" t="str">
        <f ca="1">IFERROR(__xludf.DUMMYFUNCTION("""COMPUTED_VALUE"""),"松尾 尚樹")</f>
        <v>松尾 尚樹</v>
      </c>
    </row>
    <row r="5959" spans="2:4" ht="13">
      <c r="B5959" s="12">
        <f ca="1">IFERROR(__xludf.DUMMYFUNCTION("""COMPUTED_VALUE"""),132767)</f>
        <v>132767</v>
      </c>
      <c r="C5959" s="14">
        <f ca="1">IFERROR(__xludf.DUMMYFUNCTION("""COMPUTED_VALUE"""),0)</f>
        <v>0</v>
      </c>
      <c r="D5959" s="12" t="str">
        <f ca="1">IFERROR(__xludf.DUMMYFUNCTION("""COMPUTED_VALUE"""),"長谷川 陸朗")</f>
        <v>長谷川 陸朗</v>
      </c>
    </row>
    <row r="5960" spans="2:4" ht="13">
      <c r="B5960" s="12">
        <f ca="1">IFERROR(__xludf.DUMMYFUNCTION("""COMPUTED_VALUE"""),132779)</f>
        <v>132779</v>
      </c>
      <c r="C5960" s="14">
        <f ca="1">IFERROR(__xludf.DUMMYFUNCTION("""COMPUTED_VALUE"""),0)</f>
        <v>0</v>
      </c>
      <c r="D5960" s="12" t="str">
        <f ca="1">IFERROR(__xludf.DUMMYFUNCTION("""COMPUTED_VALUE"""),"菅野 ぎんが")</f>
        <v>菅野 ぎんが</v>
      </c>
    </row>
    <row r="5961" spans="2:4" ht="13">
      <c r="B5961" s="12">
        <f ca="1">IFERROR(__xludf.DUMMYFUNCTION("""COMPUTED_VALUE"""),132790)</f>
        <v>132790</v>
      </c>
      <c r="C5961" s="14">
        <f ca="1">IFERROR(__xludf.DUMMYFUNCTION("""COMPUTED_VALUE"""),0)</f>
        <v>0</v>
      </c>
      <c r="D5961" s="12" t="str">
        <f ca="1">IFERROR(__xludf.DUMMYFUNCTION("""COMPUTED_VALUE"""),"小関 麻起")</f>
        <v>小関 麻起</v>
      </c>
    </row>
    <row r="5962" spans="2:4" ht="13">
      <c r="B5962" s="12">
        <f ca="1">IFERROR(__xludf.DUMMYFUNCTION("""COMPUTED_VALUE"""),132797)</f>
        <v>132797</v>
      </c>
      <c r="C5962" s="14">
        <f ca="1">IFERROR(__xludf.DUMMYFUNCTION("""COMPUTED_VALUE"""),0)</f>
        <v>0</v>
      </c>
      <c r="D5962" s="12" t="str">
        <f ca="1">IFERROR(__xludf.DUMMYFUNCTION("""COMPUTED_VALUE"""),"芳賀 亮輔")</f>
        <v>芳賀 亮輔</v>
      </c>
    </row>
    <row r="5963" spans="2:4" ht="13">
      <c r="B5963" s="12">
        <f ca="1">IFERROR(__xludf.DUMMYFUNCTION("""COMPUTED_VALUE"""),132809)</f>
        <v>132809</v>
      </c>
      <c r="C5963" s="14">
        <f ca="1">IFERROR(__xludf.DUMMYFUNCTION("""COMPUTED_VALUE"""),0)</f>
        <v>0</v>
      </c>
      <c r="D5963" s="12" t="str">
        <f ca="1">IFERROR(__xludf.DUMMYFUNCTION("""COMPUTED_VALUE"""),"田嶋 将太")</f>
        <v>田嶋 将太</v>
      </c>
    </row>
    <row r="5964" spans="2:4" ht="13">
      <c r="B5964" s="12">
        <f ca="1">IFERROR(__xludf.DUMMYFUNCTION("""COMPUTED_VALUE"""),132816)</f>
        <v>132816</v>
      </c>
      <c r="C5964" s="14">
        <f ca="1">IFERROR(__xludf.DUMMYFUNCTION("""COMPUTED_VALUE"""),0)</f>
        <v>0</v>
      </c>
      <c r="D5964" s="12" t="str">
        <f ca="1">IFERROR(__xludf.DUMMYFUNCTION("""COMPUTED_VALUE"""),"川島 幹也")</f>
        <v>川島 幹也</v>
      </c>
    </row>
    <row r="5965" spans="2:4" ht="13">
      <c r="B5965" s="12">
        <f ca="1">IFERROR(__xludf.DUMMYFUNCTION("""COMPUTED_VALUE"""),132817)</f>
        <v>132817</v>
      </c>
      <c r="C5965" s="14">
        <f ca="1">IFERROR(__xludf.DUMMYFUNCTION("""COMPUTED_VALUE"""),0)</f>
        <v>0</v>
      </c>
      <c r="D5965" s="12" t="str">
        <f ca="1">IFERROR(__xludf.DUMMYFUNCTION("""COMPUTED_VALUE"""),"稲場 勇介")</f>
        <v>稲場 勇介</v>
      </c>
    </row>
    <row r="5966" spans="2:4" ht="13">
      <c r="B5966" s="12">
        <f ca="1">IFERROR(__xludf.DUMMYFUNCTION("""COMPUTED_VALUE"""),132825)</f>
        <v>132825</v>
      </c>
      <c r="C5966" s="14">
        <f ca="1">IFERROR(__xludf.DUMMYFUNCTION("""COMPUTED_VALUE"""),47)</f>
        <v>47</v>
      </c>
      <c r="D5966" s="12" t="str">
        <f ca="1">IFERROR(__xludf.DUMMYFUNCTION("""COMPUTED_VALUE"""),"小川 純")</f>
        <v>小川 純</v>
      </c>
    </row>
    <row r="5967" spans="2:4" ht="13">
      <c r="B5967" s="12">
        <f ca="1">IFERROR(__xludf.DUMMYFUNCTION("""COMPUTED_VALUE"""),132832)</f>
        <v>132832</v>
      </c>
      <c r="C5967" s="14">
        <f ca="1">IFERROR(__xludf.DUMMYFUNCTION("""COMPUTED_VALUE"""),0)</f>
        <v>0</v>
      </c>
      <c r="D5967" s="12" t="str">
        <f ca="1">IFERROR(__xludf.DUMMYFUNCTION("""COMPUTED_VALUE"""),"成嶋 夏未")</f>
        <v>成嶋 夏未</v>
      </c>
    </row>
    <row r="5968" spans="2:4" ht="13">
      <c r="B5968" s="12">
        <f ca="1">IFERROR(__xludf.DUMMYFUNCTION("""COMPUTED_VALUE"""),132836)</f>
        <v>132836</v>
      </c>
      <c r="C5968" s="14">
        <f ca="1">IFERROR(__xludf.DUMMYFUNCTION("""COMPUTED_VALUE"""),0)</f>
        <v>0</v>
      </c>
      <c r="D5968" s="12" t="str">
        <f ca="1">IFERROR(__xludf.DUMMYFUNCTION("""COMPUTED_VALUE"""),"成嶋 夏未")</f>
        <v>成嶋 夏未</v>
      </c>
    </row>
    <row r="5969" spans="2:4" ht="13">
      <c r="B5969" s="12">
        <f ca="1">IFERROR(__xludf.DUMMYFUNCTION("""COMPUTED_VALUE"""),132847)</f>
        <v>132847</v>
      </c>
      <c r="C5969" s="14">
        <f ca="1">IFERROR(__xludf.DUMMYFUNCTION("""COMPUTED_VALUE"""),0)</f>
        <v>0</v>
      </c>
      <c r="D5969" s="12" t="str">
        <f ca="1">IFERROR(__xludf.DUMMYFUNCTION("""COMPUTED_VALUE"""),"荻曽 克輝")</f>
        <v>荻曽 克輝</v>
      </c>
    </row>
    <row r="5970" spans="2:4" ht="13">
      <c r="B5970" s="12">
        <f ca="1">IFERROR(__xludf.DUMMYFUNCTION("""COMPUTED_VALUE"""),132853)</f>
        <v>132853</v>
      </c>
      <c r="C5970" s="14">
        <f ca="1">IFERROR(__xludf.DUMMYFUNCTION("""COMPUTED_VALUE"""),0)</f>
        <v>0</v>
      </c>
      <c r="D5970" s="12" t="str">
        <f ca="1">IFERROR(__xludf.DUMMYFUNCTION("""COMPUTED_VALUE"""),"菅野 ぎんが")</f>
        <v>菅野 ぎんが</v>
      </c>
    </row>
    <row r="5971" spans="2:4" ht="13">
      <c r="B5971" s="12">
        <f ca="1">IFERROR(__xludf.DUMMYFUNCTION("""COMPUTED_VALUE"""),132857)</f>
        <v>132857</v>
      </c>
      <c r="C5971" s="14">
        <f ca="1">IFERROR(__xludf.DUMMYFUNCTION("""COMPUTED_VALUE"""),1)</f>
        <v>1</v>
      </c>
      <c r="D5971" s="12" t="str">
        <f ca="1">IFERROR(__xludf.DUMMYFUNCTION("""COMPUTED_VALUE"""),"小関 麻起")</f>
        <v>小関 麻起</v>
      </c>
    </row>
    <row r="5972" spans="2:4" ht="13">
      <c r="B5972" s="12">
        <f ca="1">IFERROR(__xludf.DUMMYFUNCTION("""COMPUTED_VALUE"""),132895)</f>
        <v>132895</v>
      </c>
      <c r="C5972" s="14">
        <f ca="1">IFERROR(__xludf.DUMMYFUNCTION("""COMPUTED_VALUE"""),0)</f>
        <v>0</v>
      </c>
      <c r="D5972" s="12" t="str">
        <f ca="1">IFERROR(__xludf.DUMMYFUNCTION("""COMPUTED_VALUE"""),"川島 幹也")</f>
        <v>川島 幹也</v>
      </c>
    </row>
    <row r="5973" spans="2:4" ht="13">
      <c r="B5973" s="12">
        <f ca="1">IFERROR(__xludf.DUMMYFUNCTION("""COMPUTED_VALUE"""),132898)</f>
        <v>132898</v>
      </c>
      <c r="C5973" s="14">
        <f ca="1">IFERROR(__xludf.DUMMYFUNCTION("""COMPUTED_VALUE"""),0)</f>
        <v>0</v>
      </c>
      <c r="D5973" s="12" t="str">
        <f ca="1">IFERROR(__xludf.DUMMYFUNCTION("""COMPUTED_VALUE"""),"辻村 将大")</f>
        <v>辻村 将大</v>
      </c>
    </row>
    <row r="5974" spans="2:4" ht="13">
      <c r="B5974" s="12">
        <f ca="1">IFERROR(__xludf.DUMMYFUNCTION("""COMPUTED_VALUE"""),132899)</f>
        <v>132899</v>
      </c>
      <c r="C5974" s="14">
        <f ca="1">IFERROR(__xludf.DUMMYFUNCTION("""COMPUTED_VALUE"""),0)</f>
        <v>0</v>
      </c>
      <c r="D5974" s="12" t="str">
        <f ca="1">IFERROR(__xludf.DUMMYFUNCTION("""COMPUTED_VALUE"""),"辻村 将大")</f>
        <v>辻村 将大</v>
      </c>
    </row>
    <row r="5975" spans="2:4" ht="13">
      <c r="B5975" s="12">
        <f ca="1">IFERROR(__xludf.DUMMYFUNCTION("""COMPUTED_VALUE"""),132902)</f>
        <v>132902</v>
      </c>
      <c r="C5975" s="14">
        <f ca="1">IFERROR(__xludf.DUMMYFUNCTION("""COMPUTED_VALUE"""),0)</f>
        <v>0</v>
      </c>
      <c r="D5975" s="12" t="str">
        <f ca="1">IFERROR(__xludf.DUMMYFUNCTION("""COMPUTED_VALUE"""),"芳賀 亮輔")</f>
        <v>芳賀 亮輔</v>
      </c>
    </row>
    <row r="5976" spans="2:4" ht="13">
      <c r="B5976" s="12">
        <f ca="1">IFERROR(__xludf.DUMMYFUNCTION("""COMPUTED_VALUE"""),132906)</f>
        <v>132906</v>
      </c>
      <c r="C5976" s="14">
        <f ca="1">IFERROR(__xludf.DUMMYFUNCTION("""COMPUTED_VALUE"""),0)</f>
        <v>0</v>
      </c>
      <c r="D5976" s="12" t="str">
        <f ca="1">IFERROR(__xludf.DUMMYFUNCTION("""COMPUTED_VALUE"""),"稲場 勇介")</f>
        <v>稲場 勇介</v>
      </c>
    </row>
    <row r="5977" spans="2:4" ht="13">
      <c r="B5977" s="12">
        <f ca="1">IFERROR(__xludf.DUMMYFUNCTION("""COMPUTED_VALUE"""),132907)</f>
        <v>132907</v>
      </c>
      <c r="C5977" s="14">
        <f ca="1">IFERROR(__xludf.DUMMYFUNCTION("""COMPUTED_VALUE"""),0)</f>
        <v>0</v>
      </c>
      <c r="D5977" s="12" t="str">
        <f ca="1">IFERROR(__xludf.DUMMYFUNCTION("""COMPUTED_VALUE"""),"村上 浩一朗")</f>
        <v>村上 浩一朗</v>
      </c>
    </row>
    <row r="5978" spans="2:4" ht="13">
      <c r="B5978" s="12">
        <f ca="1">IFERROR(__xludf.DUMMYFUNCTION("""COMPUTED_VALUE"""),132908)</f>
        <v>132908</v>
      </c>
      <c r="C5978" s="14">
        <f ca="1">IFERROR(__xludf.DUMMYFUNCTION("""COMPUTED_VALUE"""),7)</f>
        <v>7</v>
      </c>
      <c r="D5978" s="12" t="str">
        <f ca="1">IFERROR(__xludf.DUMMYFUNCTION("""COMPUTED_VALUE"""),"小川 純")</f>
        <v>小川 純</v>
      </c>
    </row>
    <row r="5979" spans="2:4" ht="13">
      <c r="B5979" s="12">
        <f ca="1">IFERROR(__xludf.DUMMYFUNCTION("""COMPUTED_VALUE"""),132910)</f>
        <v>132910</v>
      </c>
      <c r="C5979" s="14">
        <f ca="1">IFERROR(__xludf.DUMMYFUNCTION("""COMPUTED_VALUE"""),9)</f>
        <v>9</v>
      </c>
      <c r="D5979" s="12" t="str">
        <f ca="1">IFERROR(__xludf.DUMMYFUNCTION("""COMPUTED_VALUE"""),"辻村 将大")</f>
        <v>辻村 将大</v>
      </c>
    </row>
    <row r="5980" spans="2:4" ht="13">
      <c r="B5980" s="12">
        <f ca="1">IFERROR(__xludf.DUMMYFUNCTION("""COMPUTED_VALUE"""),132911)</f>
        <v>132911</v>
      </c>
      <c r="C5980" s="14">
        <f ca="1">IFERROR(__xludf.DUMMYFUNCTION("""COMPUTED_VALUE"""),9)</f>
        <v>9</v>
      </c>
      <c r="D5980" s="12" t="str">
        <f ca="1">IFERROR(__xludf.DUMMYFUNCTION("""COMPUTED_VALUE"""),"辻村 将大")</f>
        <v>辻村 将大</v>
      </c>
    </row>
    <row r="5981" spans="2:4" ht="13">
      <c r="B5981" s="12">
        <f ca="1">IFERROR(__xludf.DUMMYFUNCTION("""COMPUTED_VALUE"""),132912)</f>
        <v>132912</v>
      </c>
      <c r="C5981" s="14">
        <f ca="1">IFERROR(__xludf.DUMMYFUNCTION("""COMPUTED_VALUE"""),9)</f>
        <v>9</v>
      </c>
      <c r="D5981" s="12" t="str">
        <f ca="1">IFERROR(__xludf.DUMMYFUNCTION("""COMPUTED_VALUE"""),"辻村 将大")</f>
        <v>辻村 将大</v>
      </c>
    </row>
    <row r="5982" spans="2:4" ht="13">
      <c r="B5982" s="12">
        <f ca="1">IFERROR(__xludf.DUMMYFUNCTION("""COMPUTED_VALUE"""),132913)</f>
        <v>132913</v>
      </c>
      <c r="C5982" s="14">
        <f ca="1">IFERROR(__xludf.DUMMYFUNCTION("""COMPUTED_VALUE"""),5)</f>
        <v>5</v>
      </c>
      <c r="D5982" s="12" t="str">
        <f ca="1">IFERROR(__xludf.DUMMYFUNCTION("""COMPUTED_VALUE"""),"辻村 将大")</f>
        <v>辻村 将大</v>
      </c>
    </row>
    <row r="5983" spans="2:4" ht="13">
      <c r="B5983" s="12">
        <f ca="1">IFERROR(__xludf.DUMMYFUNCTION("""COMPUTED_VALUE"""),132914)</f>
        <v>132914</v>
      </c>
      <c r="C5983" s="14">
        <f ca="1">IFERROR(__xludf.DUMMYFUNCTION("""COMPUTED_VALUE"""),1)</f>
        <v>1</v>
      </c>
      <c r="D5983" s="12" t="str">
        <f ca="1">IFERROR(__xludf.DUMMYFUNCTION("""COMPUTED_VALUE"""),"辻村 将大")</f>
        <v>辻村 将大</v>
      </c>
    </row>
    <row r="5984" spans="2:4" ht="13">
      <c r="B5984" s="12">
        <f ca="1">IFERROR(__xludf.DUMMYFUNCTION("""COMPUTED_VALUE"""),132915)</f>
        <v>132915</v>
      </c>
      <c r="C5984" s="14">
        <f ca="1">IFERROR(__xludf.DUMMYFUNCTION("""COMPUTED_VALUE"""),0)</f>
        <v>0</v>
      </c>
      <c r="D5984" s="12" t="str">
        <f ca="1">IFERROR(__xludf.DUMMYFUNCTION("""COMPUTED_VALUE"""),"辻村 将大")</f>
        <v>辻村 将大</v>
      </c>
    </row>
    <row r="5985" spans="2:4" ht="13">
      <c r="B5985" s="12">
        <f ca="1">IFERROR(__xludf.DUMMYFUNCTION("""COMPUTED_VALUE"""),132916)</f>
        <v>132916</v>
      </c>
      <c r="C5985" s="14">
        <f ca="1">IFERROR(__xludf.DUMMYFUNCTION("""COMPUTED_VALUE"""),0)</f>
        <v>0</v>
      </c>
      <c r="D5985" s="12" t="str">
        <f ca="1">IFERROR(__xludf.DUMMYFUNCTION("""COMPUTED_VALUE"""),"辻村 将大")</f>
        <v>辻村 将大</v>
      </c>
    </row>
    <row r="5986" spans="2:4" ht="13">
      <c r="B5986" s="12">
        <f ca="1">IFERROR(__xludf.DUMMYFUNCTION("""COMPUTED_VALUE"""),132917)</f>
        <v>132917</v>
      </c>
      <c r="C5986" s="14">
        <f ca="1">IFERROR(__xludf.DUMMYFUNCTION("""COMPUTED_VALUE"""),1)</f>
        <v>1</v>
      </c>
      <c r="D5986" s="12" t="str">
        <f ca="1">IFERROR(__xludf.DUMMYFUNCTION("""COMPUTED_VALUE"""),"辻村 将大")</f>
        <v>辻村 将大</v>
      </c>
    </row>
    <row r="5987" spans="2:4" ht="13">
      <c r="B5987" s="12">
        <f ca="1">IFERROR(__xludf.DUMMYFUNCTION("""COMPUTED_VALUE"""),132920)</f>
        <v>132920</v>
      </c>
      <c r="C5987" s="14">
        <f ca="1">IFERROR(__xludf.DUMMYFUNCTION("""COMPUTED_VALUE"""),1)</f>
        <v>1</v>
      </c>
      <c r="D5987" s="12" t="str">
        <f ca="1">IFERROR(__xludf.DUMMYFUNCTION("""COMPUTED_VALUE"""),"辻村 将大")</f>
        <v>辻村 将大</v>
      </c>
    </row>
    <row r="5988" spans="2:4" ht="13">
      <c r="B5988" s="12">
        <f ca="1">IFERROR(__xludf.DUMMYFUNCTION("""COMPUTED_VALUE"""),132921)</f>
        <v>132921</v>
      </c>
      <c r="C5988" s="14">
        <f ca="1">IFERROR(__xludf.DUMMYFUNCTION("""COMPUTED_VALUE"""),1)</f>
        <v>1</v>
      </c>
      <c r="D5988" s="12" t="str">
        <f ca="1">IFERROR(__xludf.DUMMYFUNCTION("""COMPUTED_VALUE"""),"辻村 将大")</f>
        <v>辻村 将大</v>
      </c>
    </row>
    <row r="5989" spans="2:4" ht="13">
      <c r="B5989" s="12">
        <f ca="1">IFERROR(__xludf.DUMMYFUNCTION("""COMPUTED_VALUE"""),132922)</f>
        <v>132922</v>
      </c>
      <c r="C5989" s="14">
        <f ca="1">IFERROR(__xludf.DUMMYFUNCTION("""COMPUTED_VALUE"""),1)</f>
        <v>1</v>
      </c>
      <c r="D5989" s="12" t="str">
        <f ca="1">IFERROR(__xludf.DUMMYFUNCTION("""COMPUTED_VALUE"""),"辻村 将大")</f>
        <v>辻村 将大</v>
      </c>
    </row>
    <row r="5990" spans="2:4" ht="13">
      <c r="B5990" s="12">
        <f ca="1">IFERROR(__xludf.DUMMYFUNCTION("""COMPUTED_VALUE"""),132923)</f>
        <v>132923</v>
      </c>
      <c r="C5990" s="14">
        <f ca="1">IFERROR(__xludf.DUMMYFUNCTION("""COMPUTED_VALUE"""),1)</f>
        <v>1</v>
      </c>
      <c r="D5990" s="12" t="str">
        <f ca="1">IFERROR(__xludf.DUMMYFUNCTION("""COMPUTED_VALUE"""),"辻村 将大")</f>
        <v>辻村 将大</v>
      </c>
    </row>
    <row r="5991" spans="2:4" ht="13">
      <c r="B5991" s="12">
        <f ca="1">IFERROR(__xludf.DUMMYFUNCTION("""COMPUTED_VALUE"""),132924)</f>
        <v>132924</v>
      </c>
      <c r="C5991" s="14">
        <f ca="1">IFERROR(__xludf.DUMMYFUNCTION("""COMPUTED_VALUE"""),2)</f>
        <v>2</v>
      </c>
      <c r="D5991" s="12" t="str">
        <f ca="1">IFERROR(__xludf.DUMMYFUNCTION("""COMPUTED_VALUE"""),"辻村 将大")</f>
        <v>辻村 将大</v>
      </c>
    </row>
    <row r="5992" spans="2:4" ht="13">
      <c r="B5992" s="12">
        <f ca="1">IFERROR(__xludf.DUMMYFUNCTION("""COMPUTED_VALUE"""),132926)</f>
        <v>132926</v>
      </c>
      <c r="C5992" s="14">
        <f ca="1">IFERROR(__xludf.DUMMYFUNCTION("""COMPUTED_VALUE"""),6)</f>
        <v>6</v>
      </c>
      <c r="D5992" s="12" t="str">
        <f ca="1">IFERROR(__xludf.DUMMYFUNCTION("""COMPUTED_VALUE"""),"辻村 将大")</f>
        <v>辻村 将大</v>
      </c>
    </row>
    <row r="5993" spans="2:4" ht="13">
      <c r="B5993" s="12">
        <f ca="1">IFERROR(__xludf.DUMMYFUNCTION("""COMPUTED_VALUE"""),132927)</f>
        <v>132927</v>
      </c>
      <c r="C5993" s="14">
        <f ca="1">IFERROR(__xludf.DUMMYFUNCTION("""COMPUTED_VALUE"""),2)</f>
        <v>2</v>
      </c>
      <c r="D5993" s="12" t="str">
        <f ca="1">IFERROR(__xludf.DUMMYFUNCTION("""COMPUTED_VALUE"""),"辻村 将大")</f>
        <v>辻村 将大</v>
      </c>
    </row>
    <row r="5994" spans="2:4" ht="13">
      <c r="B5994" s="12">
        <f ca="1">IFERROR(__xludf.DUMMYFUNCTION("""COMPUTED_VALUE"""),132928)</f>
        <v>132928</v>
      </c>
      <c r="C5994" s="14">
        <f ca="1">IFERROR(__xludf.DUMMYFUNCTION("""COMPUTED_VALUE"""),0)</f>
        <v>0</v>
      </c>
      <c r="D5994" s="12" t="str">
        <f ca="1">IFERROR(__xludf.DUMMYFUNCTION("""COMPUTED_VALUE"""),"辻村 将大")</f>
        <v>辻村 将大</v>
      </c>
    </row>
    <row r="5995" spans="2:4" ht="13">
      <c r="B5995" s="12">
        <f ca="1">IFERROR(__xludf.DUMMYFUNCTION("""COMPUTED_VALUE"""),132929)</f>
        <v>132929</v>
      </c>
      <c r="C5995" s="14">
        <f ca="1">IFERROR(__xludf.DUMMYFUNCTION("""COMPUTED_VALUE"""),0)</f>
        <v>0</v>
      </c>
      <c r="D5995" s="12" t="str">
        <f ca="1">IFERROR(__xludf.DUMMYFUNCTION("""COMPUTED_VALUE"""),"辻村 将大")</f>
        <v>辻村 将大</v>
      </c>
    </row>
    <row r="5996" spans="2:4" ht="13">
      <c r="B5996" s="12">
        <f ca="1">IFERROR(__xludf.DUMMYFUNCTION("""COMPUTED_VALUE"""),132930)</f>
        <v>132930</v>
      </c>
      <c r="C5996" s="14">
        <f ca="1">IFERROR(__xludf.DUMMYFUNCTION("""COMPUTED_VALUE"""),2)</f>
        <v>2</v>
      </c>
      <c r="D5996" s="12" t="str">
        <f ca="1">IFERROR(__xludf.DUMMYFUNCTION("""COMPUTED_VALUE"""),"辻村 将大")</f>
        <v>辻村 将大</v>
      </c>
    </row>
    <row r="5997" spans="2:4" ht="13">
      <c r="B5997" s="12">
        <f ca="1">IFERROR(__xludf.DUMMYFUNCTION("""COMPUTED_VALUE"""),132931)</f>
        <v>132931</v>
      </c>
      <c r="C5997" s="14">
        <f ca="1">IFERROR(__xludf.DUMMYFUNCTION("""COMPUTED_VALUE"""),1)</f>
        <v>1</v>
      </c>
      <c r="D5997" s="12" t="str">
        <f ca="1">IFERROR(__xludf.DUMMYFUNCTION("""COMPUTED_VALUE"""),"辻村 将大")</f>
        <v>辻村 将大</v>
      </c>
    </row>
    <row r="5998" spans="2:4" ht="13">
      <c r="B5998" s="12">
        <f ca="1">IFERROR(__xludf.DUMMYFUNCTION("""COMPUTED_VALUE"""),132932)</f>
        <v>132932</v>
      </c>
      <c r="C5998" s="14">
        <f ca="1">IFERROR(__xludf.DUMMYFUNCTION("""COMPUTED_VALUE"""),0)</f>
        <v>0</v>
      </c>
      <c r="D5998" s="12" t="str">
        <f ca="1">IFERROR(__xludf.DUMMYFUNCTION("""COMPUTED_VALUE"""),"辻村 将大")</f>
        <v>辻村 将大</v>
      </c>
    </row>
    <row r="5999" spans="2:4" ht="13">
      <c r="B5999" s="12">
        <f ca="1">IFERROR(__xludf.DUMMYFUNCTION("""COMPUTED_VALUE"""),132933)</f>
        <v>132933</v>
      </c>
      <c r="C5999" s="14">
        <f ca="1">IFERROR(__xludf.DUMMYFUNCTION("""COMPUTED_VALUE"""),1)</f>
        <v>1</v>
      </c>
      <c r="D5999" s="12" t="str">
        <f ca="1">IFERROR(__xludf.DUMMYFUNCTION("""COMPUTED_VALUE"""),"辻村 将大")</f>
        <v>辻村 将大</v>
      </c>
    </row>
    <row r="6000" spans="2:4" ht="13">
      <c r="B6000" s="12">
        <f ca="1">IFERROR(__xludf.DUMMYFUNCTION("""COMPUTED_VALUE"""),132934)</f>
        <v>132934</v>
      </c>
      <c r="C6000" s="14">
        <f ca="1">IFERROR(__xludf.DUMMYFUNCTION("""COMPUTED_VALUE"""),0)</f>
        <v>0</v>
      </c>
      <c r="D6000" s="12" t="str">
        <f ca="1">IFERROR(__xludf.DUMMYFUNCTION("""COMPUTED_VALUE"""),"辻村 将大")</f>
        <v>辻村 将大</v>
      </c>
    </row>
    <row r="6001" spans="2:4" ht="13">
      <c r="B6001" s="12">
        <f ca="1">IFERROR(__xludf.DUMMYFUNCTION("""COMPUTED_VALUE"""),132935)</f>
        <v>132935</v>
      </c>
      <c r="C6001" s="14">
        <f ca="1">IFERROR(__xludf.DUMMYFUNCTION("""COMPUTED_VALUE"""),5)</f>
        <v>5</v>
      </c>
      <c r="D6001" s="12" t="str">
        <f ca="1">IFERROR(__xludf.DUMMYFUNCTION("""COMPUTED_VALUE"""),"辻村 将大")</f>
        <v>辻村 将大</v>
      </c>
    </row>
    <row r="6002" spans="2:4" ht="13">
      <c r="B6002" s="12">
        <f ca="1">IFERROR(__xludf.DUMMYFUNCTION("""COMPUTED_VALUE"""),132936)</f>
        <v>132936</v>
      </c>
      <c r="C6002" s="14">
        <f ca="1">IFERROR(__xludf.DUMMYFUNCTION("""COMPUTED_VALUE"""),12)</f>
        <v>12</v>
      </c>
      <c r="D6002" s="12" t="str">
        <f ca="1">IFERROR(__xludf.DUMMYFUNCTION("""COMPUTED_VALUE"""),"川島 幹也")</f>
        <v>川島 幹也</v>
      </c>
    </row>
    <row r="6003" spans="2:4" ht="13">
      <c r="B6003" s="12">
        <f ca="1">IFERROR(__xludf.DUMMYFUNCTION("""COMPUTED_VALUE"""),132939)</f>
        <v>132939</v>
      </c>
      <c r="C6003" s="14">
        <f ca="1">IFERROR(__xludf.DUMMYFUNCTION("""COMPUTED_VALUE"""),76)</f>
        <v>76</v>
      </c>
      <c r="D6003" s="12" t="str">
        <f ca="1">IFERROR(__xludf.DUMMYFUNCTION("""COMPUTED_VALUE"""),"荻曽 克輝")</f>
        <v>荻曽 克輝</v>
      </c>
    </row>
    <row r="6004" spans="2:4" ht="13">
      <c r="B6004" s="12">
        <f ca="1">IFERROR(__xludf.DUMMYFUNCTION("""COMPUTED_VALUE"""),132941)</f>
        <v>132941</v>
      </c>
      <c r="C6004" s="14">
        <f ca="1">IFERROR(__xludf.DUMMYFUNCTION("""COMPUTED_VALUE"""),0)</f>
        <v>0</v>
      </c>
      <c r="D6004" s="12" t="str">
        <f ca="1">IFERROR(__xludf.DUMMYFUNCTION("""COMPUTED_VALUE"""),"長谷川 陸朗")</f>
        <v>長谷川 陸朗</v>
      </c>
    </row>
    <row r="6005" spans="2:4" ht="13">
      <c r="B6005" s="12">
        <f ca="1">IFERROR(__xludf.DUMMYFUNCTION("""COMPUTED_VALUE"""),132942)</f>
        <v>132942</v>
      </c>
      <c r="C6005" s="14">
        <f ca="1">IFERROR(__xludf.DUMMYFUNCTION("""COMPUTED_VALUE"""),0)</f>
        <v>0</v>
      </c>
      <c r="D6005" s="12" t="str">
        <f ca="1">IFERROR(__xludf.DUMMYFUNCTION("""COMPUTED_VALUE"""),"松尾 尚樹")</f>
        <v>松尾 尚樹</v>
      </c>
    </row>
    <row r="6006" spans="2:4" ht="13">
      <c r="B6006" s="12">
        <f ca="1">IFERROR(__xludf.DUMMYFUNCTION("""COMPUTED_VALUE"""),132947)</f>
        <v>132947</v>
      </c>
      <c r="C6006" s="14">
        <f ca="1">IFERROR(__xludf.DUMMYFUNCTION("""COMPUTED_VALUE"""),0)</f>
        <v>0</v>
      </c>
      <c r="D6006" s="12" t="str">
        <f ca="1">IFERROR(__xludf.DUMMYFUNCTION("""COMPUTED_VALUE"""),"辻村 将大")</f>
        <v>辻村 将大</v>
      </c>
    </row>
    <row r="6007" spans="2:4" ht="13">
      <c r="B6007" s="12">
        <f ca="1">IFERROR(__xludf.DUMMYFUNCTION("""COMPUTED_VALUE"""),132949)</f>
        <v>132949</v>
      </c>
      <c r="C6007" s="14">
        <f ca="1">IFERROR(__xludf.DUMMYFUNCTION("""COMPUTED_VALUE"""),0)</f>
        <v>0</v>
      </c>
      <c r="D6007" s="12" t="str">
        <f ca="1">IFERROR(__xludf.DUMMYFUNCTION("""COMPUTED_VALUE"""),"菅野 ぎんが")</f>
        <v>菅野 ぎんが</v>
      </c>
    </row>
    <row r="6008" spans="2:4" ht="13">
      <c r="B6008" s="12">
        <f ca="1">IFERROR(__xludf.DUMMYFUNCTION("""COMPUTED_VALUE"""),132955)</f>
        <v>132955</v>
      </c>
      <c r="C6008" s="14">
        <f ca="1">IFERROR(__xludf.DUMMYFUNCTION("""COMPUTED_VALUE"""),0)</f>
        <v>0</v>
      </c>
      <c r="D6008" s="12" t="str">
        <f ca="1">IFERROR(__xludf.DUMMYFUNCTION("""COMPUTED_VALUE"""),"荻曽 克輝")</f>
        <v>荻曽 克輝</v>
      </c>
    </row>
    <row r="6009" spans="2:4" ht="13">
      <c r="B6009" s="12">
        <f ca="1">IFERROR(__xludf.DUMMYFUNCTION("""COMPUTED_VALUE"""),132957)</f>
        <v>132957</v>
      </c>
      <c r="C6009" s="14">
        <f ca="1">IFERROR(__xludf.DUMMYFUNCTION("""COMPUTED_VALUE"""),0)</f>
        <v>0</v>
      </c>
      <c r="D6009" s="12" t="str">
        <f ca="1">IFERROR(__xludf.DUMMYFUNCTION("""COMPUTED_VALUE"""),"荻曽 克輝")</f>
        <v>荻曽 克輝</v>
      </c>
    </row>
    <row r="6010" spans="2:4" ht="13">
      <c r="B6010" s="12">
        <f ca="1">IFERROR(__xludf.DUMMYFUNCTION("""COMPUTED_VALUE"""),132958)</f>
        <v>132958</v>
      </c>
      <c r="C6010" s="14">
        <f ca="1">IFERROR(__xludf.DUMMYFUNCTION("""COMPUTED_VALUE"""),0)</f>
        <v>0</v>
      </c>
      <c r="D6010" s="12" t="str">
        <f ca="1">IFERROR(__xludf.DUMMYFUNCTION("""COMPUTED_VALUE"""),"内丸 裕子")</f>
        <v>内丸 裕子</v>
      </c>
    </row>
    <row r="6011" spans="2:4" ht="13">
      <c r="B6011" s="12">
        <f ca="1">IFERROR(__xludf.DUMMYFUNCTION("""COMPUTED_VALUE"""),132959)</f>
        <v>132959</v>
      </c>
      <c r="C6011" s="14">
        <f ca="1">IFERROR(__xludf.DUMMYFUNCTION("""COMPUTED_VALUE"""),0)</f>
        <v>0</v>
      </c>
      <c r="D6011" s="12" t="str">
        <f ca="1">IFERROR(__xludf.DUMMYFUNCTION("""COMPUTED_VALUE"""),"荻曽 克輝")</f>
        <v>荻曽 克輝</v>
      </c>
    </row>
    <row r="6012" spans="2:4" ht="13">
      <c r="B6012" s="12">
        <f ca="1">IFERROR(__xludf.DUMMYFUNCTION("""COMPUTED_VALUE"""),132965)</f>
        <v>132965</v>
      </c>
      <c r="C6012" s="14">
        <f ca="1">IFERROR(__xludf.DUMMYFUNCTION("""COMPUTED_VALUE"""),0)</f>
        <v>0</v>
      </c>
      <c r="D6012" s="12" t="str">
        <f ca="1">IFERROR(__xludf.DUMMYFUNCTION("""COMPUTED_VALUE"""),"荻曽 克輝")</f>
        <v>荻曽 克輝</v>
      </c>
    </row>
    <row r="6013" spans="2:4" ht="13">
      <c r="B6013" s="12">
        <f ca="1">IFERROR(__xludf.DUMMYFUNCTION("""COMPUTED_VALUE"""),132974)</f>
        <v>132974</v>
      </c>
      <c r="C6013" s="14">
        <f ca="1">IFERROR(__xludf.DUMMYFUNCTION("""COMPUTED_VALUE"""),3)</f>
        <v>3</v>
      </c>
      <c r="D6013" s="12" t="str">
        <f ca="1">IFERROR(__xludf.DUMMYFUNCTION("""COMPUTED_VALUE"""),"村上 浩一朗")</f>
        <v>村上 浩一朗</v>
      </c>
    </row>
    <row r="6014" spans="2:4" ht="13">
      <c r="B6014" s="12">
        <f ca="1">IFERROR(__xludf.DUMMYFUNCTION("""COMPUTED_VALUE"""),132978)</f>
        <v>132978</v>
      </c>
      <c r="C6014" s="14">
        <f ca="1">IFERROR(__xludf.DUMMYFUNCTION("""COMPUTED_VALUE"""),2)</f>
        <v>2</v>
      </c>
      <c r="D6014" s="12" t="str">
        <f ca="1">IFERROR(__xludf.DUMMYFUNCTION("""COMPUTED_VALUE"""),"桑原 明子")</f>
        <v>桑原 明子</v>
      </c>
    </row>
    <row r="6015" spans="2:4" ht="13">
      <c r="B6015" s="12">
        <f ca="1">IFERROR(__xludf.DUMMYFUNCTION("""COMPUTED_VALUE"""),132980)</f>
        <v>132980</v>
      </c>
      <c r="C6015" s="14">
        <f ca="1">IFERROR(__xludf.DUMMYFUNCTION("""COMPUTED_VALUE"""),0)</f>
        <v>0</v>
      </c>
      <c r="D6015" s="12" t="str">
        <f ca="1">IFERROR(__xludf.DUMMYFUNCTION("""COMPUTED_VALUE"""),"松尾 尚樹")</f>
        <v>松尾 尚樹</v>
      </c>
    </row>
    <row r="6016" spans="2:4" ht="13">
      <c r="B6016" s="12">
        <f ca="1">IFERROR(__xludf.DUMMYFUNCTION("""COMPUTED_VALUE"""),132984)</f>
        <v>132984</v>
      </c>
      <c r="C6016" s="14">
        <f ca="1">IFERROR(__xludf.DUMMYFUNCTION("""COMPUTED_VALUE"""),1)</f>
        <v>1</v>
      </c>
      <c r="D6016" s="12" t="str">
        <f ca="1">IFERROR(__xludf.DUMMYFUNCTION("""COMPUTED_VALUE"""),"成嶋 夏未")</f>
        <v>成嶋 夏未</v>
      </c>
    </row>
    <row r="6017" spans="2:4" ht="13">
      <c r="B6017" s="12">
        <f ca="1">IFERROR(__xludf.DUMMYFUNCTION("""COMPUTED_VALUE"""),132988)</f>
        <v>132988</v>
      </c>
      <c r="C6017" s="14">
        <f ca="1">IFERROR(__xludf.DUMMYFUNCTION("""COMPUTED_VALUE"""),0)</f>
        <v>0</v>
      </c>
      <c r="D6017" s="12" t="str">
        <f ca="1">IFERROR(__xludf.DUMMYFUNCTION("""COMPUTED_VALUE"""),"大木 優香")</f>
        <v>大木 優香</v>
      </c>
    </row>
    <row r="6018" spans="2:4" ht="13">
      <c r="B6018" s="12">
        <f ca="1">IFERROR(__xludf.DUMMYFUNCTION("""COMPUTED_VALUE"""),132990)</f>
        <v>132990</v>
      </c>
      <c r="C6018" s="14">
        <f ca="1">IFERROR(__xludf.DUMMYFUNCTION("""COMPUTED_VALUE"""),18)</f>
        <v>18</v>
      </c>
      <c r="D6018" s="12" t="str">
        <f ca="1">IFERROR(__xludf.DUMMYFUNCTION("""COMPUTED_VALUE"""),"老田 純輝")</f>
        <v>老田 純輝</v>
      </c>
    </row>
    <row r="6019" spans="2:4" ht="13">
      <c r="B6019" s="12">
        <f ca="1">IFERROR(__xludf.DUMMYFUNCTION("""COMPUTED_VALUE"""),132992)</f>
        <v>132992</v>
      </c>
      <c r="C6019" s="14">
        <f ca="1">IFERROR(__xludf.DUMMYFUNCTION("""COMPUTED_VALUE"""),2)</f>
        <v>2</v>
      </c>
      <c r="D6019" s="12" t="str">
        <f ca="1">IFERROR(__xludf.DUMMYFUNCTION("""COMPUTED_VALUE"""),"老田 純輝")</f>
        <v>老田 純輝</v>
      </c>
    </row>
    <row r="6020" spans="2:4" ht="13">
      <c r="B6020" s="12">
        <f ca="1">IFERROR(__xludf.DUMMYFUNCTION("""COMPUTED_VALUE"""),132999)</f>
        <v>132999</v>
      </c>
      <c r="C6020" s="14">
        <f ca="1">IFERROR(__xludf.DUMMYFUNCTION("""COMPUTED_VALUE"""),1)</f>
        <v>1</v>
      </c>
      <c r="D6020" s="12" t="str">
        <f ca="1">IFERROR(__xludf.DUMMYFUNCTION("""COMPUTED_VALUE"""),"成嶋 夏未")</f>
        <v>成嶋 夏未</v>
      </c>
    </row>
    <row r="6021" spans="2:4" ht="13">
      <c r="B6021" s="12">
        <f ca="1">IFERROR(__xludf.DUMMYFUNCTION("""COMPUTED_VALUE"""),133002)</f>
        <v>133002</v>
      </c>
      <c r="C6021" s="14">
        <f ca="1">IFERROR(__xludf.DUMMYFUNCTION("""COMPUTED_VALUE"""),0)</f>
        <v>0</v>
      </c>
      <c r="D6021" s="12" t="str">
        <f ca="1">IFERROR(__xludf.DUMMYFUNCTION("""COMPUTED_VALUE"""),"大木 優香")</f>
        <v>大木 優香</v>
      </c>
    </row>
    <row r="6022" spans="2:4" ht="13">
      <c r="B6022" s="12">
        <f ca="1">IFERROR(__xludf.DUMMYFUNCTION("""COMPUTED_VALUE"""),133003)</f>
        <v>133003</v>
      </c>
      <c r="C6022" s="14">
        <f ca="1">IFERROR(__xludf.DUMMYFUNCTION("""COMPUTED_VALUE"""),0)</f>
        <v>0</v>
      </c>
      <c r="D6022" s="12" t="str">
        <f ca="1">IFERROR(__xludf.DUMMYFUNCTION("""COMPUTED_VALUE"""),"大木 優香")</f>
        <v>大木 優香</v>
      </c>
    </row>
    <row r="6023" spans="2:4" ht="13">
      <c r="B6023" s="12">
        <f ca="1">IFERROR(__xludf.DUMMYFUNCTION("""COMPUTED_VALUE"""),133004)</f>
        <v>133004</v>
      </c>
      <c r="C6023" s="14">
        <f ca="1">IFERROR(__xludf.DUMMYFUNCTION("""COMPUTED_VALUE"""),0)</f>
        <v>0</v>
      </c>
      <c r="D6023" s="12" t="str">
        <f ca="1">IFERROR(__xludf.DUMMYFUNCTION("""COMPUTED_VALUE"""),"大木 優香")</f>
        <v>大木 優香</v>
      </c>
    </row>
    <row r="6024" spans="2:4" ht="13">
      <c r="B6024" s="12">
        <f ca="1">IFERROR(__xludf.DUMMYFUNCTION("""COMPUTED_VALUE"""),133005)</f>
        <v>133005</v>
      </c>
      <c r="C6024" s="14">
        <f ca="1">IFERROR(__xludf.DUMMYFUNCTION("""COMPUTED_VALUE"""),0)</f>
        <v>0</v>
      </c>
      <c r="D6024" s="12" t="str">
        <f ca="1">IFERROR(__xludf.DUMMYFUNCTION("""COMPUTED_VALUE"""),"大木 優香")</f>
        <v>大木 優香</v>
      </c>
    </row>
    <row r="6025" spans="2:4" ht="13">
      <c r="B6025" s="12">
        <f ca="1">IFERROR(__xludf.DUMMYFUNCTION("""COMPUTED_VALUE"""),133006)</f>
        <v>133006</v>
      </c>
      <c r="C6025" s="14">
        <f ca="1">IFERROR(__xludf.DUMMYFUNCTION("""COMPUTED_VALUE"""),0)</f>
        <v>0</v>
      </c>
      <c r="D6025" s="12" t="str">
        <f ca="1">IFERROR(__xludf.DUMMYFUNCTION("""COMPUTED_VALUE"""),"大木 優香")</f>
        <v>大木 優香</v>
      </c>
    </row>
    <row r="6026" spans="2:4" ht="13">
      <c r="B6026" s="12">
        <f ca="1">IFERROR(__xludf.DUMMYFUNCTION("""COMPUTED_VALUE"""),133007)</f>
        <v>133007</v>
      </c>
      <c r="C6026" s="14">
        <f ca="1">IFERROR(__xludf.DUMMYFUNCTION("""COMPUTED_VALUE"""),0)</f>
        <v>0</v>
      </c>
      <c r="D6026" s="12" t="str">
        <f ca="1">IFERROR(__xludf.DUMMYFUNCTION("""COMPUTED_VALUE"""),"大木 優香")</f>
        <v>大木 優香</v>
      </c>
    </row>
    <row r="6027" spans="2:4" ht="13">
      <c r="B6027" s="12">
        <f ca="1">IFERROR(__xludf.DUMMYFUNCTION("""COMPUTED_VALUE"""),133008)</f>
        <v>133008</v>
      </c>
      <c r="C6027" s="14">
        <f ca="1">IFERROR(__xludf.DUMMYFUNCTION("""COMPUTED_VALUE"""),0)</f>
        <v>0</v>
      </c>
      <c r="D6027" s="12" t="str">
        <f ca="1">IFERROR(__xludf.DUMMYFUNCTION("""COMPUTED_VALUE"""),"大木 優香")</f>
        <v>大木 優香</v>
      </c>
    </row>
    <row r="6028" spans="2:4" ht="13">
      <c r="B6028" s="12">
        <f ca="1">IFERROR(__xludf.DUMMYFUNCTION("""COMPUTED_VALUE"""),133009)</f>
        <v>133009</v>
      </c>
      <c r="C6028" s="14">
        <f ca="1">IFERROR(__xludf.DUMMYFUNCTION("""COMPUTED_VALUE"""),0)</f>
        <v>0</v>
      </c>
      <c r="D6028" s="12" t="str">
        <f ca="1">IFERROR(__xludf.DUMMYFUNCTION("""COMPUTED_VALUE"""),"大木 優香")</f>
        <v>大木 優香</v>
      </c>
    </row>
    <row r="6029" spans="2:4" ht="13">
      <c r="B6029" s="12">
        <f ca="1">IFERROR(__xludf.DUMMYFUNCTION("""COMPUTED_VALUE"""),133010)</f>
        <v>133010</v>
      </c>
      <c r="C6029" s="14">
        <f ca="1">IFERROR(__xludf.DUMMYFUNCTION("""COMPUTED_VALUE"""),0)</f>
        <v>0</v>
      </c>
      <c r="D6029" s="12" t="str">
        <f ca="1">IFERROR(__xludf.DUMMYFUNCTION("""COMPUTED_VALUE"""),"大木 優香")</f>
        <v>大木 優香</v>
      </c>
    </row>
    <row r="6030" spans="2:4" ht="13">
      <c r="B6030" s="12">
        <f ca="1">IFERROR(__xludf.DUMMYFUNCTION("""COMPUTED_VALUE"""),133011)</f>
        <v>133011</v>
      </c>
      <c r="C6030" s="14">
        <f ca="1">IFERROR(__xludf.DUMMYFUNCTION("""COMPUTED_VALUE"""),0)</f>
        <v>0</v>
      </c>
      <c r="D6030" s="12" t="str">
        <f ca="1">IFERROR(__xludf.DUMMYFUNCTION("""COMPUTED_VALUE"""),"大木 優香")</f>
        <v>大木 優香</v>
      </c>
    </row>
    <row r="6031" spans="2:4" ht="13">
      <c r="B6031" s="12">
        <f ca="1">IFERROR(__xludf.DUMMYFUNCTION("""COMPUTED_VALUE"""),133012)</f>
        <v>133012</v>
      </c>
      <c r="C6031" s="14">
        <f ca="1">IFERROR(__xludf.DUMMYFUNCTION("""COMPUTED_VALUE"""),0)</f>
        <v>0</v>
      </c>
      <c r="D6031" s="12" t="str">
        <f ca="1">IFERROR(__xludf.DUMMYFUNCTION("""COMPUTED_VALUE"""),"大木 優香")</f>
        <v>大木 優香</v>
      </c>
    </row>
    <row r="6032" spans="2:4" ht="13">
      <c r="B6032" s="12">
        <f ca="1">IFERROR(__xludf.DUMMYFUNCTION("""COMPUTED_VALUE"""),133014)</f>
        <v>133014</v>
      </c>
      <c r="C6032" s="14">
        <f ca="1">IFERROR(__xludf.DUMMYFUNCTION("""COMPUTED_VALUE"""),0)</f>
        <v>0</v>
      </c>
      <c r="D6032" s="12" t="str">
        <f ca="1">IFERROR(__xludf.DUMMYFUNCTION("""COMPUTED_VALUE"""),"大木 優香")</f>
        <v>大木 優香</v>
      </c>
    </row>
    <row r="6033" spans="2:4" ht="13">
      <c r="B6033" s="12">
        <f ca="1">IFERROR(__xludf.DUMMYFUNCTION("""COMPUTED_VALUE"""),133016)</f>
        <v>133016</v>
      </c>
      <c r="C6033" s="14">
        <f ca="1">IFERROR(__xludf.DUMMYFUNCTION("""COMPUTED_VALUE"""),0)</f>
        <v>0</v>
      </c>
      <c r="D6033" s="12" t="str">
        <f ca="1">IFERROR(__xludf.DUMMYFUNCTION("""COMPUTED_VALUE"""),"大木 優香")</f>
        <v>大木 優香</v>
      </c>
    </row>
    <row r="6034" spans="2:4" ht="13">
      <c r="B6034" s="12">
        <f ca="1">IFERROR(__xludf.DUMMYFUNCTION("""COMPUTED_VALUE"""),133023)</f>
        <v>133023</v>
      </c>
      <c r="C6034" s="14">
        <f ca="1">IFERROR(__xludf.DUMMYFUNCTION("""COMPUTED_VALUE"""),0)</f>
        <v>0</v>
      </c>
      <c r="D6034" s="12" t="str">
        <f ca="1">IFERROR(__xludf.DUMMYFUNCTION("""COMPUTED_VALUE"""),"辻村 将大")</f>
        <v>辻村 将大</v>
      </c>
    </row>
    <row r="6035" spans="2:4" ht="13">
      <c r="B6035" s="12">
        <f ca="1">IFERROR(__xludf.DUMMYFUNCTION("""COMPUTED_VALUE"""),133027)</f>
        <v>133027</v>
      </c>
      <c r="C6035" s="14">
        <f ca="1">IFERROR(__xludf.DUMMYFUNCTION("""COMPUTED_VALUE"""),0)</f>
        <v>0</v>
      </c>
      <c r="D6035" s="12" t="str">
        <f ca="1">IFERROR(__xludf.DUMMYFUNCTION("""COMPUTED_VALUE"""),"大木 優香")</f>
        <v>大木 優香</v>
      </c>
    </row>
    <row r="6036" spans="2:4" ht="13">
      <c r="B6036" s="12">
        <f ca="1">IFERROR(__xludf.DUMMYFUNCTION("""COMPUTED_VALUE"""),133028)</f>
        <v>133028</v>
      </c>
      <c r="C6036" s="14">
        <f ca="1">IFERROR(__xludf.DUMMYFUNCTION("""COMPUTED_VALUE"""),0)</f>
        <v>0</v>
      </c>
      <c r="D6036" s="12" t="str">
        <f ca="1">IFERROR(__xludf.DUMMYFUNCTION("""COMPUTED_VALUE"""),"大木 優香")</f>
        <v>大木 優香</v>
      </c>
    </row>
    <row r="6037" spans="2:4" ht="13">
      <c r="B6037" s="12">
        <f ca="1">IFERROR(__xludf.DUMMYFUNCTION("""COMPUTED_VALUE"""),133029)</f>
        <v>133029</v>
      </c>
      <c r="C6037" s="14">
        <f ca="1">IFERROR(__xludf.DUMMYFUNCTION("""COMPUTED_VALUE"""),0)</f>
        <v>0</v>
      </c>
      <c r="D6037" s="12" t="str">
        <f ca="1">IFERROR(__xludf.DUMMYFUNCTION("""COMPUTED_VALUE"""),"大木 優香")</f>
        <v>大木 優香</v>
      </c>
    </row>
    <row r="6038" spans="2:4" ht="13">
      <c r="B6038" s="12">
        <f ca="1">IFERROR(__xludf.DUMMYFUNCTION("""COMPUTED_VALUE"""),133035)</f>
        <v>133035</v>
      </c>
      <c r="C6038" s="14">
        <f ca="1">IFERROR(__xludf.DUMMYFUNCTION("""COMPUTED_VALUE"""),13)</f>
        <v>13</v>
      </c>
      <c r="D6038" s="12" t="str">
        <f ca="1">IFERROR(__xludf.DUMMYFUNCTION("""COMPUTED_VALUE"""),"稲場 勇介")</f>
        <v>稲場 勇介</v>
      </c>
    </row>
    <row r="6039" spans="2:4" ht="13">
      <c r="B6039" s="12">
        <f ca="1">IFERROR(__xludf.DUMMYFUNCTION("""COMPUTED_VALUE"""),133036)</f>
        <v>133036</v>
      </c>
      <c r="C6039" s="14">
        <f ca="1">IFERROR(__xludf.DUMMYFUNCTION("""COMPUTED_VALUE"""),3)</f>
        <v>3</v>
      </c>
      <c r="D6039" s="12" t="str">
        <f ca="1">IFERROR(__xludf.DUMMYFUNCTION("""COMPUTED_VALUE"""),"大木 優香")</f>
        <v>大木 優香</v>
      </c>
    </row>
    <row r="6040" spans="2:4" ht="13">
      <c r="B6040" s="12">
        <f ca="1">IFERROR(__xludf.DUMMYFUNCTION("""COMPUTED_VALUE"""),133040)</f>
        <v>133040</v>
      </c>
      <c r="C6040" s="14">
        <f ca="1">IFERROR(__xludf.DUMMYFUNCTION("""COMPUTED_VALUE"""),19)</f>
        <v>19</v>
      </c>
      <c r="D6040" s="12" t="str">
        <f ca="1">IFERROR(__xludf.DUMMYFUNCTION("""COMPUTED_VALUE"""),"小川 純")</f>
        <v>小川 純</v>
      </c>
    </row>
    <row r="6041" spans="2:4" ht="13">
      <c r="B6041" s="12">
        <f ca="1">IFERROR(__xludf.DUMMYFUNCTION("""COMPUTED_VALUE"""),133042)</f>
        <v>133042</v>
      </c>
      <c r="C6041" s="14">
        <f ca="1">IFERROR(__xludf.DUMMYFUNCTION("""COMPUTED_VALUE"""),6)</f>
        <v>6</v>
      </c>
      <c r="D6041" s="12" t="str">
        <f ca="1">IFERROR(__xludf.DUMMYFUNCTION("""COMPUTED_VALUE"""),"小川 純")</f>
        <v>小川 純</v>
      </c>
    </row>
    <row r="6042" spans="2:4" ht="13">
      <c r="B6042" s="12">
        <f ca="1">IFERROR(__xludf.DUMMYFUNCTION("""COMPUTED_VALUE"""),133047)</f>
        <v>133047</v>
      </c>
      <c r="C6042" s="14">
        <f ca="1">IFERROR(__xludf.DUMMYFUNCTION("""COMPUTED_VALUE"""),50)</f>
        <v>50</v>
      </c>
      <c r="D6042" s="12" t="str">
        <f ca="1">IFERROR(__xludf.DUMMYFUNCTION("""COMPUTED_VALUE"""),"菅野 ぎんが")</f>
        <v>菅野 ぎんが</v>
      </c>
    </row>
    <row r="6043" spans="2:4" ht="13">
      <c r="B6043" s="12">
        <f ca="1">IFERROR(__xludf.DUMMYFUNCTION("""COMPUTED_VALUE"""),133050)</f>
        <v>133050</v>
      </c>
      <c r="C6043" s="14">
        <f ca="1">IFERROR(__xludf.DUMMYFUNCTION("""COMPUTED_VALUE"""),0)</f>
        <v>0</v>
      </c>
      <c r="D6043" s="12" t="str">
        <f ca="1">IFERROR(__xludf.DUMMYFUNCTION("""COMPUTED_VALUE"""),"松尾 尚樹")</f>
        <v>松尾 尚樹</v>
      </c>
    </row>
    <row r="6044" spans="2:4" ht="13">
      <c r="B6044" s="12">
        <f ca="1">IFERROR(__xludf.DUMMYFUNCTION("""COMPUTED_VALUE"""),133056)</f>
        <v>133056</v>
      </c>
      <c r="C6044" s="14">
        <f ca="1">IFERROR(__xludf.DUMMYFUNCTION("""COMPUTED_VALUE"""),3)</f>
        <v>3</v>
      </c>
      <c r="D6044" s="12" t="str">
        <f ca="1">IFERROR(__xludf.DUMMYFUNCTION("""COMPUTED_VALUE"""),"小川 純")</f>
        <v>小川 純</v>
      </c>
    </row>
    <row r="6045" spans="2:4" ht="13">
      <c r="B6045" s="12">
        <f ca="1">IFERROR(__xludf.DUMMYFUNCTION("""COMPUTED_VALUE"""),133057)</f>
        <v>133057</v>
      </c>
      <c r="C6045" s="14">
        <f ca="1">IFERROR(__xludf.DUMMYFUNCTION("""COMPUTED_VALUE"""),0)</f>
        <v>0</v>
      </c>
      <c r="D6045" s="12" t="str">
        <f ca="1">IFERROR(__xludf.DUMMYFUNCTION("""COMPUTED_VALUE"""),"村上 浩一朗")</f>
        <v>村上 浩一朗</v>
      </c>
    </row>
    <row r="6046" spans="2:4" ht="13">
      <c r="B6046" s="12">
        <f ca="1">IFERROR(__xludf.DUMMYFUNCTION("""COMPUTED_VALUE"""),133060)</f>
        <v>133060</v>
      </c>
      <c r="C6046" s="14">
        <f ca="1">IFERROR(__xludf.DUMMYFUNCTION("""COMPUTED_VALUE"""),44)</f>
        <v>44</v>
      </c>
      <c r="D6046" s="12" t="str">
        <f ca="1">IFERROR(__xludf.DUMMYFUNCTION("""COMPUTED_VALUE"""),"小川 純")</f>
        <v>小川 純</v>
      </c>
    </row>
    <row r="6047" spans="2:4" ht="13">
      <c r="B6047" s="12">
        <f ca="1">IFERROR(__xludf.DUMMYFUNCTION("""COMPUTED_VALUE"""),133061)</f>
        <v>133061</v>
      </c>
      <c r="C6047" s="14">
        <f ca="1">IFERROR(__xludf.DUMMYFUNCTION("""COMPUTED_VALUE"""),32)</f>
        <v>32</v>
      </c>
      <c r="D6047" s="12" t="str">
        <f ca="1">IFERROR(__xludf.DUMMYFUNCTION("""COMPUTED_VALUE"""),"小川 純")</f>
        <v>小川 純</v>
      </c>
    </row>
    <row r="6048" spans="2:4" ht="13">
      <c r="B6048" s="12">
        <f ca="1">IFERROR(__xludf.DUMMYFUNCTION("""COMPUTED_VALUE"""),133062)</f>
        <v>133062</v>
      </c>
      <c r="C6048" s="14">
        <f ca="1">IFERROR(__xludf.DUMMYFUNCTION("""COMPUTED_VALUE"""),2)</f>
        <v>2</v>
      </c>
      <c r="D6048" s="12" t="str">
        <f ca="1">IFERROR(__xludf.DUMMYFUNCTION("""COMPUTED_VALUE"""),"芳賀 亮輔")</f>
        <v>芳賀 亮輔</v>
      </c>
    </row>
    <row r="6049" spans="2:4" ht="13">
      <c r="B6049" s="12">
        <f ca="1">IFERROR(__xludf.DUMMYFUNCTION("""COMPUTED_VALUE"""),133065)</f>
        <v>133065</v>
      </c>
      <c r="C6049" s="14">
        <f ca="1">IFERROR(__xludf.DUMMYFUNCTION("""COMPUTED_VALUE"""),0)</f>
        <v>0</v>
      </c>
      <c r="D6049" s="12" t="str">
        <f ca="1">IFERROR(__xludf.DUMMYFUNCTION("""COMPUTED_VALUE"""),"成嶋 夏未")</f>
        <v>成嶋 夏未</v>
      </c>
    </row>
    <row r="6050" spans="2:4" ht="13">
      <c r="B6050" s="12">
        <f ca="1">IFERROR(__xludf.DUMMYFUNCTION("""COMPUTED_VALUE"""),133068)</f>
        <v>133068</v>
      </c>
      <c r="C6050" s="14">
        <f ca="1">IFERROR(__xludf.DUMMYFUNCTION("""COMPUTED_VALUE"""),14)</f>
        <v>14</v>
      </c>
      <c r="D6050" s="12" t="str">
        <f ca="1">IFERROR(__xludf.DUMMYFUNCTION("""COMPUTED_VALUE"""),"小川 純")</f>
        <v>小川 純</v>
      </c>
    </row>
    <row r="6051" spans="2:4" ht="13">
      <c r="B6051" s="12">
        <f ca="1">IFERROR(__xludf.DUMMYFUNCTION("""COMPUTED_VALUE"""),133072)</f>
        <v>133072</v>
      </c>
      <c r="C6051" s="14">
        <f ca="1">IFERROR(__xludf.DUMMYFUNCTION("""COMPUTED_VALUE"""),23)</f>
        <v>23</v>
      </c>
      <c r="D6051" s="12" t="str">
        <f ca="1">IFERROR(__xludf.DUMMYFUNCTION("""COMPUTED_VALUE"""),"村上 浩一朗")</f>
        <v>村上 浩一朗</v>
      </c>
    </row>
    <row r="6052" spans="2:4" ht="13">
      <c r="B6052" s="12">
        <f ca="1">IFERROR(__xludf.DUMMYFUNCTION("""COMPUTED_VALUE"""),133076)</f>
        <v>133076</v>
      </c>
      <c r="C6052" s="14">
        <f ca="1">IFERROR(__xludf.DUMMYFUNCTION("""COMPUTED_VALUE"""),0)</f>
        <v>0</v>
      </c>
      <c r="D6052" s="12" t="str">
        <f ca="1">IFERROR(__xludf.DUMMYFUNCTION("""COMPUTED_VALUE"""),"田嶋 将太")</f>
        <v>田嶋 将太</v>
      </c>
    </row>
    <row r="6053" spans="2:4" ht="13">
      <c r="B6053" s="12">
        <f ca="1">IFERROR(__xludf.DUMMYFUNCTION("""COMPUTED_VALUE"""),133078)</f>
        <v>133078</v>
      </c>
      <c r="C6053" s="14">
        <f ca="1">IFERROR(__xludf.DUMMYFUNCTION("""COMPUTED_VALUE"""),1)</f>
        <v>1</v>
      </c>
      <c r="D6053" s="12" t="str">
        <f ca="1">IFERROR(__xludf.DUMMYFUNCTION("""COMPUTED_VALUE"""),"荻曽 克輝")</f>
        <v>荻曽 克輝</v>
      </c>
    </row>
    <row r="6054" spans="2:4" ht="13">
      <c r="B6054" s="12">
        <f ca="1">IFERROR(__xludf.DUMMYFUNCTION("""COMPUTED_VALUE"""),133080)</f>
        <v>133080</v>
      </c>
      <c r="C6054" s="14">
        <f ca="1">IFERROR(__xludf.DUMMYFUNCTION("""COMPUTED_VALUE"""),0)</f>
        <v>0</v>
      </c>
      <c r="D6054" s="12" t="str">
        <f ca="1">IFERROR(__xludf.DUMMYFUNCTION("""COMPUTED_VALUE"""),"菅野 ぎんが")</f>
        <v>菅野 ぎんが</v>
      </c>
    </row>
    <row r="6055" spans="2:4" ht="13">
      <c r="B6055" s="12">
        <f ca="1">IFERROR(__xludf.DUMMYFUNCTION("""COMPUTED_VALUE"""),133083)</f>
        <v>133083</v>
      </c>
      <c r="C6055" s="14">
        <f ca="1">IFERROR(__xludf.DUMMYFUNCTION("""COMPUTED_VALUE"""),0)</f>
        <v>0</v>
      </c>
      <c r="D6055" s="12" t="str">
        <f ca="1">IFERROR(__xludf.DUMMYFUNCTION("""COMPUTED_VALUE"""),"柿崎 晃司")</f>
        <v>柿崎 晃司</v>
      </c>
    </row>
    <row r="6056" spans="2:4" ht="13">
      <c r="B6056" s="12">
        <f ca="1">IFERROR(__xludf.DUMMYFUNCTION("""COMPUTED_VALUE"""),133087)</f>
        <v>133087</v>
      </c>
      <c r="C6056" s="14">
        <f ca="1">IFERROR(__xludf.DUMMYFUNCTION("""COMPUTED_VALUE"""),7)</f>
        <v>7</v>
      </c>
      <c r="D6056" s="12" t="str">
        <f ca="1">IFERROR(__xludf.DUMMYFUNCTION("""COMPUTED_VALUE"""),"小川 純")</f>
        <v>小川 純</v>
      </c>
    </row>
    <row r="6057" spans="2:4" ht="13">
      <c r="B6057" s="12">
        <f ca="1">IFERROR(__xludf.DUMMYFUNCTION("""COMPUTED_VALUE"""),133092)</f>
        <v>133092</v>
      </c>
      <c r="C6057" s="14">
        <f ca="1">IFERROR(__xludf.DUMMYFUNCTION("""COMPUTED_VALUE"""),0)</f>
        <v>0</v>
      </c>
      <c r="D6057" s="12" t="str">
        <f ca="1">IFERROR(__xludf.DUMMYFUNCTION("""COMPUTED_VALUE"""),"菅野 ぎんが")</f>
        <v>菅野 ぎんが</v>
      </c>
    </row>
    <row r="6058" spans="2:4" ht="13">
      <c r="B6058" s="12">
        <f ca="1">IFERROR(__xludf.DUMMYFUNCTION("""COMPUTED_VALUE"""),133096)</f>
        <v>133096</v>
      </c>
      <c r="C6058" s="14">
        <f ca="1">IFERROR(__xludf.DUMMYFUNCTION("""COMPUTED_VALUE"""),1)</f>
        <v>1</v>
      </c>
      <c r="D6058" s="12" t="str">
        <f ca="1">IFERROR(__xludf.DUMMYFUNCTION("""COMPUTED_VALUE"""),"田嶋 将太")</f>
        <v>田嶋 将太</v>
      </c>
    </row>
    <row r="6059" spans="2:4" ht="13">
      <c r="B6059" s="12">
        <f ca="1">IFERROR(__xludf.DUMMYFUNCTION("""COMPUTED_VALUE"""),133097)</f>
        <v>133097</v>
      </c>
      <c r="C6059" s="14">
        <f ca="1">IFERROR(__xludf.DUMMYFUNCTION("""COMPUTED_VALUE"""),37)</f>
        <v>37</v>
      </c>
      <c r="D6059" s="12" t="str">
        <f ca="1">IFERROR(__xludf.DUMMYFUNCTION("""COMPUTED_VALUE"""),"辻村 将大")</f>
        <v>辻村 将大</v>
      </c>
    </row>
    <row r="6060" spans="2:4" ht="13">
      <c r="B6060" s="12">
        <f ca="1">IFERROR(__xludf.DUMMYFUNCTION("""COMPUTED_VALUE"""),133102)</f>
        <v>133102</v>
      </c>
      <c r="C6060" s="14">
        <f ca="1">IFERROR(__xludf.DUMMYFUNCTION("""COMPUTED_VALUE"""),0)</f>
        <v>0</v>
      </c>
      <c r="D6060" s="12" t="str">
        <f ca="1">IFERROR(__xludf.DUMMYFUNCTION("""COMPUTED_VALUE"""),"小関 麻起")</f>
        <v>小関 麻起</v>
      </c>
    </row>
    <row r="6061" spans="2:4" ht="13">
      <c r="B6061" s="12">
        <f ca="1">IFERROR(__xludf.DUMMYFUNCTION("""COMPUTED_VALUE"""),133105)</f>
        <v>133105</v>
      </c>
      <c r="C6061" s="14">
        <f ca="1">IFERROR(__xludf.DUMMYFUNCTION("""COMPUTED_VALUE"""),0)</f>
        <v>0</v>
      </c>
      <c r="D6061" s="12" t="str">
        <f ca="1">IFERROR(__xludf.DUMMYFUNCTION("""COMPUTED_VALUE"""),"稲場 勇介")</f>
        <v>稲場 勇介</v>
      </c>
    </row>
    <row r="6062" spans="2:4" ht="13">
      <c r="B6062" s="12">
        <f ca="1">IFERROR(__xludf.DUMMYFUNCTION("""COMPUTED_VALUE"""),133111)</f>
        <v>133111</v>
      </c>
      <c r="C6062" s="14">
        <f ca="1">IFERROR(__xludf.DUMMYFUNCTION("""COMPUTED_VALUE"""),0)</f>
        <v>0</v>
      </c>
      <c r="D6062" s="12" t="str">
        <f ca="1">IFERROR(__xludf.DUMMYFUNCTION("""COMPUTED_VALUE"""),"奥野 貴大")</f>
        <v>奥野 貴大</v>
      </c>
    </row>
    <row r="6063" spans="2:4" ht="13">
      <c r="B6063" s="12">
        <f ca="1">IFERROR(__xludf.DUMMYFUNCTION("""COMPUTED_VALUE"""),133114)</f>
        <v>133114</v>
      </c>
      <c r="C6063" s="14">
        <f ca="1">IFERROR(__xludf.DUMMYFUNCTION("""COMPUTED_VALUE"""),0)</f>
        <v>0</v>
      </c>
      <c r="D6063" s="12" t="str">
        <f ca="1">IFERROR(__xludf.DUMMYFUNCTION("""COMPUTED_VALUE"""),"桐山 勝気")</f>
        <v>桐山 勝気</v>
      </c>
    </row>
    <row r="6064" spans="2:4" ht="13">
      <c r="B6064" s="12">
        <f ca="1">IFERROR(__xludf.DUMMYFUNCTION("""COMPUTED_VALUE"""),133119)</f>
        <v>133119</v>
      </c>
      <c r="C6064" s="14">
        <f ca="1">IFERROR(__xludf.DUMMYFUNCTION("""COMPUTED_VALUE"""),6)</f>
        <v>6</v>
      </c>
      <c r="D6064" s="12" t="str">
        <f ca="1">IFERROR(__xludf.DUMMYFUNCTION("""COMPUTED_VALUE"""),"栗原 大武")</f>
        <v>栗原 大武</v>
      </c>
    </row>
    <row r="6065" spans="2:4" ht="13">
      <c r="B6065" s="12">
        <f ca="1">IFERROR(__xludf.DUMMYFUNCTION("""COMPUTED_VALUE"""),133121)</f>
        <v>133121</v>
      </c>
      <c r="C6065" s="14">
        <f ca="1">IFERROR(__xludf.DUMMYFUNCTION("""COMPUTED_VALUE"""),0)</f>
        <v>0</v>
      </c>
      <c r="D6065" s="12" t="str">
        <f ca="1">IFERROR(__xludf.DUMMYFUNCTION("""COMPUTED_VALUE"""),"成嶋 夏未")</f>
        <v>成嶋 夏未</v>
      </c>
    </row>
    <row r="6066" spans="2:4" ht="13">
      <c r="B6066" s="12">
        <f ca="1">IFERROR(__xludf.DUMMYFUNCTION("""COMPUTED_VALUE"""),133132)</f>
        <v>133132</v>
      </c>
      <c r="C6066" s="14">
        <f ca="1">IFERROR(__xludf.DUMMYFUNCTION("""COMPUTED_VALUE"""),0)</f>
        <v>0</v>
      </c>
      <c r="D6066" s="12" t="str">
        <f ca="1">IFERROR(__xludf.DUMMYFUNCTION("""COMPUTED_VALUE"""),"栗原 大武")</f>
        <v>栗原 大武</v>
      </c>
    </row>
    <row r="6067" spans="2:4" ht="13">
      <c r="B6067" s="12">
        <f ca="1">IFERROR(__xludf.DUMMYFUNCTION("""COMPUTED_VALUE"""),133134)</f>
        <v>133134</v>
      </c>
      <c r="C6067" s="14">
        <f ca="1">IFERROR(__xludf.DUMMYFUNCTION("""COMPUTED_VALUE"""),0)</f>
        <v>0</v>
      </c>
      <c r="D6067" s="12" t="str">
        <f ca="1">IFERROR(__xludf.DUMMYFUNCTION("""COMPUTED_VALUE"""),"辻村 将大")</f>
        <v>辻村 将大</v>
      </c>
    </row>
    <row r="6068" spans="2:4" ht="13">
      <c r="B6068" s="12">
        <f ca="1">IFERROR(__xludf.DUMMYFUNCTION("""COMPUTED_VALUE"""),133142)</f>
        <v>133142</v>
      </c>
      <c r="C6068" s="14">
        <f ca="1">IFERROR(__xludf.DUMMYFUNCTION("""COMPUTED_VALUE"""),0)</f>
        <v>0</v>
      </c>
      <c r="D6068" s="12" t="str">
        <f ca="1">IFERROR(__xludf.DUMMYFUNCTION("""COMPUTED_VALUE"""),"松尾 尚樹")</f>
        <v>松尾 尚樹</v>
      </c>
    </row>
    <row r="6069" spans="2:4" ht="13">
      <c r="B6069" s="12">
        <f ca="1">IFERROR(__xludf.DUMMYFUNCTION("""COMPUTED_VALUE"""),133146)</f>
        <v>133146</v>
      </c>
      <c r="C6069" s="14">
        <f ca="1">IFERROR(__xludf.DUMMYFUNCTION("""COMPUTED_VALUE"""),0)</f>
        <v>0</v>
      </c>
      <c r="D6069" s="12" t="str">
        <f ca="1">IFERROR(__xludf.DUMMYFUNCTION("""COMPUTED_VALUE"""),"成嶋 夏未")</f>
        <v>成嶋 夏未</v>
      </c>
    </row>
    <row r="6070" spans="2:4" ht="13">
      <c r="B6070" s="12">
        <f ca="1">IFERROR(__xludf.DUMMYFUNCTION("""COMPUTED_VALUE"""),133147)</f>
        <v>133147</v>
      </c>
      <c r="C6070" s="14">
        <f ca="1">IFERROR(__xludf.DUMMYFUNCTION("""COMPUTED_VALUE"""),1)</f>
        <v>1</v>
      </c>
      <c r="D6070" s="12" t="str">
        <f ca="1">IFERROR(__xludf.DUMMYFUNCTION("""COMPUTED_VALUE"""),"成嶋 夏未")</f>
        <v>成嶋 夏未</v>
      </c>
    </row>
    <row r="6071" spans="2:4" ht="13">
      <c r="B6071" s="12">
        <f ca="1">IFERROR(__xludf.DUMMYFUNCTION("""COMPUTED_VALUE"""),133149)</f>
        <v>133149</v>
      </c>
      <c r="C6071" s="14">
        <f ca="1">IFERROR(__xludf.DUMMYFUNCTION("""COMPUTED_VALUE"""),2)</f>
        <v>2</v>
      </c>
      <c r="D6071" s="12" t="str">
        <f ca="1">IFERROR(__xludf.DUMMYFUNCTION("""COMPUTED_VALUE"""),"栗原 大武")</f>
        <v>栗原 大武</v>
      </c>
    </row>
    <row r="6072" spans="2:4" ht="13">
      <c r="B6072" s="12">
        <f ca="1">IFERROR(__xludf.DUMMYFUNCTION("""COMPUTED_VALUE"""),133150)</f>
        <v>133150</v>
      </c>
      <c r="C6072" s="14">
        <f ca="1">IFERROR(__xludf.DUMMYFUNCTION("""COMPUTED_VALUE"""),0)</f>
        <v>0</v>
      </c>
      <c r="D6072" s="12" t="str">
        <f ca="1">IFERROR(__xludf.DUMMYFUNCTION("""COMPUTED_VALUE"""),"栗原 大武")</f>
        <v>栗原 大武</v>
      </c>
    </row>
    <row r="6073" spans="2:4" ht="13">
      <c r="B6073" s="12">
        <f ca="1">IFERROR(__xludf.DUMMYFUNCTION("""COMPUTED_VALUE"""),133155)</f>
        <v>133155</v>
      </c>
      <c r="C6073" s="14">
        <f ca="1">IFERROR(__xludf.DUMMYFUNCTION("""COMPUTED_VALUE"""),0)</f>
        <v>0</v>
      </c>
      <c r="D6073" s="12" t="str">
        <f ca="1">IFERROR(__xludf.DUMMYFUNCTION("""COMPUTED_VALUE"""),"柿崎 晃司")</f>
        <v>柿崎 晃司</v>
      </c>
    </row>
    <row r="6074" spans="2:4" ht="13">
      <c r="B6074" s="12">
        <f ca="1">IFERROR(__xludf.DUMMYFUNCTION("""COMPUTED_VALUE"""),133156)</f>
        <v>133156</v>
      </c>
      <c r="C6074" s="14">
        <f ca="1">IFERROR(__xludf.DUMMYFUNCTION("""COMPUTED_VALUE"""),1)</f>
        <v>1</v>
      </c>
      <c r="D6074" s="12" t="str">
        <f ca="1">IFERROR(__xludf.DUMMYFUNCTION("""COMPUTED_VALUE"""),"稲場 勇介")</f>
        <v>稲場 勇介</v>
      </c>
    </row>
    <row r="6075" spans="2:4" ht="13">
      <c r="B6075" s="12">
        <f ca="1">IFERROR(__xludf.DUMMYFUNCTION("""COMPUTED_VALUE"""),133167)</f>
        <v>133167</v>
      </c>
      <c r="C6075" s="14">
        <f ca="1">IFERROR(__xludf.DUMMYFUNCTION("""COMPUTED_VALUE"""),0)</f>
        <v>0</v>
      </c>
      <c r="D6075" s="12" t="str">
        <f ca="1">IFERROR(__xludf.DUMMYFUNCTION("""COMPUTED_VALUE"""),"松尾 尚樹")</f>
        <v>松尾 尚樹</v>
      </c>
    </row>
    <row r="6076" spans="2:4" ht="13">
      <c r="B6076" s="12">
        <f ca="1">IFERROR(__xludf.DUMMYFUNCTION("""COMPUTED_VALUE"""),133169)</f>
        <v>133169</v>
      </c>
      <c r="C6076" s="14">
        <f ca="1">IFERROR(__xludf.DUMMYFUNCTION("""COMPUTED_VALUE"""),0)</f>
        <v>0</v>
      </c>
      <c r="D6076" s="12" t="str">
        <f ca="1">IFERROR(__xludf.DUMMYFUNCTION("""COMPUTED_VALUE"""),"成嶋 夏未")</f>
        <v>成嶋 夏未</v>
      </c>
    </row>
    <row r="6077" spans="2:4" ht="13">
      <c r="B6077" s="12">
        <f ca="1">IFERROR(__xludf.DUMMYFUNCTION("""COMPUTED_VALUE"""),133172)</f>
        <v>133172</v>
      </c>
      <c r="C6077" s="14">
        <f ca="1">IFERROR(__xludf.DUMMYFUNCTION("""COMPUTED_VALUE"""),0)</f>
        <v>0</v>
      </c>
      <c r="D6077" s="12" t="str">
        <f ca="1">IFERROR(__xludf.DUMMYFUNCTION("""COMPUTED_VALUE"""),"辻村 将大")</f>
        <v>辻村 将大</v>
      </c>
    </row>
    <row r="6078" spans="2:4" ht="13">
      <c r="B6078" s="12">
        <f ca="1">IFERROR(__xludf.DUMMYFUNCTION("""COMPUTED_VALUE"""),133183)</f>
        <v>133183</v>
      </c>
      <c r="C6078" s="14">
        <f ca="1">IFERROR(__xludf.DUMMYFUNCTION("""COMPUTED_VALUE"""),0)</f>
        <v>0</v>
      </c>
      <c r="D6078" s="12" t="str">
        <f ca="1">IFERROR(__xludf.DUMMYFUNCTION("""COMPUTED_VALUE"""),"成嶋 夏未")</f>
        <v>成嶋 夏未</v>
      </c>
    </row>
    <row r="6079" spans="2:4" ht="13">
      <c r="B6079" s="12">
        <f ca="1">IFERROR(__xludf.DUMMYFUNCTION("""COMPUTED_VALUE"""),133189)</f>
        <v>133189</v>
      </c>
      <c r="C6079" s="14">
        <f ca="1">IFERROR(__xludf.DUMMYFUNCTION("""COMPUTED_VALUE"""),0)</f>
        <v>0</v>
      </c>
      <c r="D6079" s="12" t="str">
        <f ca="1">IFERROR(__xludf.DUMMYFUNCTION("""COMPUTED_VALUE"""),"芳賀 亮輔")</f>
        <v>芳賀 亮輔</v>
      </c>
    </row>
    <row r="6080" spans="2:4" ht="13">
      <c r="B6080" s="12">
        <f ca="1">IFERROR(__xludf.DUMMYFUNCTION("""COMPUTED_VALUE"""),133192)</f>
        <v>133192</v>
      </c>
      <c r="C6080" s="14">
        <f ca="1">IFERROR(__xludf.DUMMYFUNCTION("""COMPUTED_VALUE"""),0)</f>
        <v>0</v>
      </c>
      <c r="D6080" s="12" t="str">
        <f ca="1">IFERROR(__xludf.DUMMYFUNCTION("""COMPUTED_VALUE"""),"稲場 勇介")</f>
        <v>稲場 勇介</v>
      </c>
    </row>
    <row r="6081" spans="2:4" ht="13">
      <c r="B6081" s="12">
        <f ca="1">IFERROR(__xludf.DUMMYFUNCTION("""COMPUTED_VALUE"""),133193)</f>
        <v>133193</v>
      </c>
      <c r="C6081" s="14">
        <f ca="1">IFERROR(__xludf.DUMMYFUNCTION("""COMPUTED_VALUE"""),0)</f>
        <v>0</v>
      </c>
      <c r="D6081" s="12" t="str">
        <f ca="1">IFERROR(__xludf.DUMMYFUNCTION("""COMPUTED_VALUE"""),"成嶋 夏未")</f>
        <v>成嶋 夏未</v>
      </c>
    </row>
    <row r="6082" spans="2:4" ht="13">
      <c r="B6082" s="12">
        <f ca="1">IFERROR(__xludf.DUMMYFUNCTION("""COMPUTED_VALUE"""),133198)</f>
        <v>133198</v>
      </c>
      <c r="C6082" s="14">
        <f ca="1">IFERROR(__xludf.DUMMYFUNCTION("""COMPUTED_VALUE"""),0)</f>
        <v>0</v>
      </c>
      <c r="D6082" s="12" t="str">
        <f ca="1">IFERROR(__xludf.DUMMYFUNCTION("""COMPUTED_VALUE"""),"荻曽 克輝")</f>
        <v>荻曽 克輝</v>
      </c>
    </row>
    <row r="6083" spans="2:4" ht="13">
      <c r="B6083" s="12">
        <f ca="1">IFERROR(__xludf.DUMMYFUNCTION("""COMPUTED_VALUE"""),133201)</f>
        <v>133201</v>
      </c>
      <c r="C6083" s="14">
        <f ca="1">IFERROR(__xludf.DUMMYFUNCTION("""COMPUTED_VALUE"""),3)</f>
        <v>3</v>
      </c>
      <c r="D6083" s="12" t="str">
        <f ca="1">IFERROR(__xludf.DUMMYFUNCTION("""COMPUTED_VALUE"""),"稲場 勇介")</f>
        <v>稲場 勇介</v>
      </c>
    </row>
    <row r="6084" spans="2:4" ht="13">
      <c r="B6084" s="12">
        <f ca="1">IFERROR(__xludf.DUMMYFUNCTION("""COMPUTED_VALUE"""),133203)</f>
        <v>133203</v>
      </c>
      <c r="C6084" s="14">
        <f ca="1">IFERROR(__xludf.DUMMYFUNCTION("""COMPUTED_VALUE"""),0)</f>
        <v>0</v>
      </c>
      <c r="D6084" s="12" t="str">
        <f ca="1">IFERROR(__xludf.DUMMYFUNCTION("""COMPUTED_VALUE"""),"小川 純")</f>
        <v>小川 純</v>
      </c>
    </row>
    <row r="6085" spans="2:4" ht="13">
      <c r="B6085" s="12">
        <f ca="1">IFERROR(__xludf.DUMMYFUNCTION("""COMPUTED_VALUE"""),133211)</f>
        <v>133211</v>
      </c>
      <c r="C6085" s="14">
        <f ca="1">IFERROR(__xludf.DUMMYFUNCTION("""COMPUTED_VALUE"""),3)</f>
        <v>3</v>
      </c>
      <c r="D6085" s="12" t="str">
        <f ca="1">IFERROR(__xludf.DUMMYFUNCTION("""COMPUTED_VALUE"""),"成嶋 夏未")</f>
        <v>成嶋 夏未</v>
      </c>
    </row>
    <row r="6086" spans="2:4" ht="13">
      <c r="B6086" s="12">
        <f ca="1">IFERROR(__xludf.DUMMYFUNCTION("""COMPUTED_VALUE"""),133213)</f>
        <v>133213</v>
      </c>
      <c r="C6086" s="14">
        <f ca="1">IFERROR(__xludf.DUMMYFUNCTION("""COMPUTED_VALUE"""),0)</f>
        <v>0</v>
      </c>
      <c r="D6086" s="12" t="str">
        <f ca="1">IFERROR(__xludf.DUMMYFUNCTION("""COMPUTED_VALUE"""),"田嶋 将太")</f>
        <v>田嶋 将太</v>
      </c>
    </row>
    <row r="6087" spans="2:4" ht="13">
      <c r="B6087" s="12">
        <f ca="1">IFERROR(__xludf.DUMMYFUNCTION("""COMPUTED_VALUE"""),133214)</f>
        <v>133214</v>
      </c>
      <c r="C6087" s="14">
        <f ca="1">IFERROR(__xludf.DUMMYFUNCTION("""COMPUTED_VALUE"""),0)</f>
        <v>0</v>
      </c>
      <c r="D6087" s="12" t="str">
        <f ca="1">IFERROR(__xludf.DUMMYFUNCTION("""COMPUTED_VALUE"""),"大木 優香")</f>
        <v>大木 優香</v>
      </c>
    </row>
    <row r="6088" spans="2:4" ht="13">
      <c r="B6088" s="12">
        <f ca="1">IFERROR(__xludf.DUMMYFUNCTION("""COMPUTED_VALUE"""),133227)</f>
        <v>133227</v>
      </c>
      <c r="C6088" s="14">
        <f ca="1">IFERROR(__xludf.DUMMYFUNCTION("""COMPUTED_VALUE"""),0)</f>
        <v>0</v>
      </c>
      <c r="D6088" s="12" t="str">
        <f ca="1">IFERROR(__xludf.DUMMYFUNCTION("""COMPUTED_VALUE"""),"川島 幹也")</f>
        <v>川島 幹也</v>
      </c>
    </row>
    <row r="6089" spans="2:4" ht="13">
      <c r="B6089" s="12">
        <f ca="1">IFERROR(__xludf.DUMMYFUNCTION("""COMPUTED_VALUE"""),133229)</f>
        <v>133229</v>
      </c>
      <c r="C6089" s="14">
        <f ca="1">IFERROR(__xludf.DUMMYFUNCTION("""COMPUTED_VALUE"""),0)</f>
        <v>0</v>
      </c>
      <c r="D6089" s="12" t="str">
        <f ca="1">IFERROR(__xludf.DUMMYFUNCTION("""COMPUTED_VALUE"""),"菅野 ぎんが")</f>
        <v>菅野 ぎんが</v>
      </c>
    </row>
    <row r="6090" spans="2:4" ht="13">
      <c r="B6090" s="12">
        <f ca="1">IFERROR(__xludf.DUMMYFUNCTION("""COMPUTED_VALUE"""),133232)</f>
        <v>133232</v>
      </c>
      <c r="C6090" s="14">
        <f ca="1">IFERROR(__xludf.DUMMYFUNCTION("""COMPUTED_VALUE"""),0)</f>
        <v>0</v>
      </c>
      <c r="D6090" s="12" t="str">
        <f ca="1">IFERROR(__xludf.DUMMYFUNCTION("""COMPUTED_VALUE"""),"松尾 尚樹")</f>
        <v>松尾 尚樹</v>
      </c>
    </row>
    <row r="6091" spans="2:4" ht="13">
      <c r="B6091" s="12">
        <f ca="1">IFERROR(__xludf.DUMMYFUNCTION("""COMPUTED_VALUE"""),133234)</f>
        <v>133234</v>
      </c>
      <c r="C6091" s="14">
        <f ca="1">IFERROR(__xludf.DUMMYFUNCTION("""COMPUTED_VALUE"""),63)</f>
        <v>63</v>
      </c>
      <c r="D6091" s="12" t="str">
        <f ca="1">IFERROR(__xludf.DUMMYFUNCTION("""COMPUTED_VALUE"""),"菅野 ぎんが")</f>
        <v>菅野 ぎんが</v>
      </c>
    </row>
    <row r="6092" spans="2:4" ht="13">
      <c r="B6092" s="12">
        <f ca="1">IFERROR(__xludf.DUMMYFUNCTION("""COMPUTED_VALUE"""),133238)</f>
        <v>133238</v>
      </c>
      <c r="C6092" s="14">
        <f ca="1">IFERROR(__xludf.DUMMYFUNCTION("""COMPUTED_VALUE"""),0)</f>
        <v>0</v>
      </c>
      <c r="D6092" s="12" t="str">
        <f ca="1">IFERROR(__xludf.DUMMYFUNCTION("""COMPUTED_VALUE"""),"稲場 勇介")</f>
        <v>稲場 勇介</v>
      </c>
    </row>
    <row r="6093" spans="2:4" ht="13">
      <c r="B6093" s="12">
        <f ca="1">IFERROR(__xludf.DUMMYFUNCTION("""COMPUTED_VALUE"""),133243)</f>
        <v>133243</v>
      </c>
      <c r="C6093" s="14">
        <f ca="1">IFERROR(__xludf.DUMMYFUNCTION("""COMPUTED_VALUE"""),14)</f>
        <v>14</v>
      </c>
      <c r="D6093" s="12" t="str">
        <f ca="1">IFERROR(__xludf.DUMMYFUNCTION("""COMPUTED_VALUE"""),"村上 浩一朗")</f>
        <v>村上 浩一朗</v>
      </c>
    </row>
    <row r="6094" spans="2:4" ht="13">
      <c r="B6094" s="12">
        <f ca="1">IFERROR(__xludf.DUMMYFUNCTION("""COMPUTED_VALUE"""),133246)</f>
        <v>133246</v>
      </c>
      <c r="C6094" s="14">
        <f ca="1">IFERROR(__xludf.DUMMYFUNCTION("""COMPUTED_VALUE"""),0)</f>
        <v>0</v>
      </c>
      <c r="D6094" s="12" t="str">
        <f ca="1">IFERROR(__xludf.DUMMYFUNCTION("""COMPUTED_VALUE"""),"小関 麻起")</f>
        <v>小関 麻起</v>
      </c>
    </row>
    <row r="6095" spans="2:4" ht="13">
      <c r="B6095" s="12">
        <f ca="1">IFERROR(__xludf.DUMMYFUNCTION("""COMPUTED_VALUE"""),133248)</f>
        <v>133248</v>
      </c>
      <c r="C6095" s="14">
        <f ca="1">IFERROR(__xludf.DUMMYFUNCTION("""COMPUTED_VALUE"""),43)</f>
        <v>43</v>
      </c>
      <c r="D6095" s="12" t="str">
        <f ca="1">IFERROR(__xludf.DUMMYFUNCTION("""COMPUTED_VALUE"""),"桐山 勝気")</f>
        <v>桐山 勝気</v>
      </c>
    </row>
    <row r="6096" spans="2:4" ht="13">
      <c r="B6096" s="12">
        <f ca="1">IFERROR(__xludf.DUMMYFUNCTION("""COMPUTED_VALUE"""),133253)</f>
        <v>133253</v>
      </c>
      <c r="C6096" s="14">
        <f ca="1">IFERROR(__xludf.DUMMYFUNCTION("""COMPUTED_VALUE"""),1)</f>
        <v>1</v>
      </c>
      <c r="D6096" s="12" t="str">
        <f ca="1">IFERROR(__xludf.DUMMYFUNCTION("""COMPUTED_VALUE"""),"老田 純輝")</f>
        <v>老田 純輝</v>
      </c>
    </row>
    <row r="6097" spans="2:4" ht="13">
      <c r="B6097" s="12">
        <f ca="1">IFERROR(__xludf.DUMMYFUNCTION("""COMPUTED_VALUE"""),133254)</f>
        <v>133254</v>
      </c>
      <c r="C6097" s="14">
        <f ca="1">IFERROR(__xludf.DUMMYFUNCTION("""COMPUTED_VALUE"""),1)</f>
        <v>1</v>
      </c>
      <c r="D6097" s="12" t="str">
        <f ca="1">IFERROR(__xludf.DUMMYFUNCTION("""COMPUTED_VALUE"""),"内丸 裕子")</f>
        <v>内丸 裕子</v>
      </c>
    </row>
    <row r="6098" spans="2:4" ht="13">
      <c r="B6098" s="12">
        <f ca="1">IFERROR(__xludf.DUMMYFUNCTION("""COMPUTED_VALUE"""),133255)</f>
        <v>133255</v>
      </c>
      <c r="C6098" s="14">
        <f ca="1">IFERROR(__xludf.DUMMYFUNCTION("""COMPUTED_VALUE"""),0)</f>
        <v>0</v>
      </c>
      <c r="D6098" s="12" t="str">
        <f ca="1">IFERROR(__xludf.DUMMYFUNCTION("""COMPUTED_VALUE"""),"成嶋 夏未")</f>
        <v>成嶋 夏未</v>
      </c>
    </row>
    <row r="6099" spans="2:4" ht="13">
      <c r="B6099" s="12">
        <f ca="1">IFERROR(__xludf.DUMMYFUNCTION("""COMPUTED_VALUE"""),133258)</f>
        <v>133258</v>
      </c>
      <c r="C6099" s="14">
        <f ca="1">IFERROR(__xludf.DUMMYFUNCTION("""COMPUTED_VALUE"""),0)</f>
        <v>0</v>
      </c>
      <c r="D6099" s="12" t="str">
        <f ca="1">IFERROR(__xludf.DUMMYFUNCTION("""COMPUTED_VALUE"""),"辻村 将大")</f>
        <v>辻村 将大</v>
      </c>
    </row>
    <row r="6100" spans="2:4" ht="13">
      <c r="B6100" s="12">
        <f ca="1">IFERROR(__xludf.DUMMYFUNCTION("""COMPUTED_VALUE"""),133268)</f>
        <v>133268</v>
      </c>
      <c r="C6100" s="14">
        <f ca="1">IFERROR(__xludf.DUMMYFUNCTION("""COMPUTED_VALUE"""),13)</f>
        <v>13</v>
      </c>
      <c r="D6100" s="12" t="str">
        <f ca="1">IFERROR(__xludf.DUMMYFUNCTION("""COMPUTED_VALUE"""),"森 光智")</f>
        <v>森 光智</v>
      </c>
    </row>
    <row r="6101" spans="2:4" ht="13">
      <c r="B6101" s="12">
        <f ca="1">IFERROR(__xludf.DUMMYFUNCTION("""COMPUTED_VALUE"""),133269)</f>
        <v>133269</v>
      </c>
      <c r="C6101" s="14">
        <f ca="1">IFERROR(__xludf.DUMMYFUNCTION("""COMPUTED_VALUE"""),96)</f>
        <v>96</v>
      </c>
      <c r="D6101" s="12" t="str">
        <f ca="1">IFERROR(__xludf.DUMMYFUNCTION("""COMPUTED_VALUE"""),"芳賀 亮輔")</f>
        <v>芳賀 亮輔</v>
      </c>
    </row>
    <row r="6102" spans="2:4" ht="13">
      <c r="B6102" s="12">
        <f ca="1">IFERROR(__xludf.DUMMYFUNCTION("""COMPUTED_VALUE"""),133270)</f>
        <v>133270</v>
      </c>
      <c r="C6102" s="14">
        <f ca="1">IFERROR(__xludf.DUMMYFUNCTION("""COMPUTED_VALUE"""),124)</f>
        <v>124</v>
      </c>
      <c r="D6102" s="12" t="str">
        <f ca="1">IFERROR(__xludf.DUMMYFUNCTION("""COMPUTED_VALUE"""),"内丸 裕子")</f>
        <v>内丸 裕子</v>
      </c>
    </row>
    <row r="6103" spans="2:4" ht="13">
      <c r="B6103" s="12">
        <f ca="1">IFERROR(__xludf.DUMMYFUNCTION("""COMPUTED_VALUE"""),133271)</f>
        <v>133271</v>
      </c>
      <c r="C6103" s="14">
        <f ca="1">IFERROR(__xludf.DUMMYFUNCTION("""COMPUTED_VALUE"""),42)</f>
        <v>42</v>
      </c>
      <c r="D6103" s="12" t="str">
        <f ca="1">IFERROR(__xludf.DUMMYFUNCTION("""COMPUTED_VALUE"""),"荻曽 克輝")</f>
        <v>荻曽 克輝</v>
      </c>
    </row>
    <row r="6104" spans="2:4" ht="13">
      <c r="B6104" s="12">
        <f ca="1">IFERROR(__xludf.DUMMYFUNCTION("""COMPUTED_VALUE"""),133284)</f>
        <v>133284</v>
      </c>
      <c r="C6104" s="14">
        <f ca="1">IFERROR(__xludf.DUMMYFUNCTION("""COMPUTED_VALUE"""),0)</f>
        <v>0</v>
      </c>
      <c r="D6104" s="12" t="str">
        <f ca="1">IFERROR(__xludf.DUMMYFUNCTION("""COMPUTED_VALUE"""),"荻曽 克輝")</f>
        <v>荻曽 克輝</v>
      </c>
    </row>
    <row r="6105" spans="2:4" ht="13">
      <c r="B6105" s="12">
        <f ca="1">IFERROR(__xludf.DUMMYFUNCTION("""COMPUTED_VALUE"""),133294)</f>
        <v>133294</v>
      </c>
      <c r="C6105" s="14">
        <f ca="1">IFERROR(__xludf.DUMMYFUNCTION("""COMPUTED_VALUE"""),15)</f>
        <v>15</v>
      </c>
      <c r="D6105" s="12" t="str">
        <f ca="1">IFERROR(__xludf.DUMMYFUNCTION("""COMPUTED_VALUE"""),"内丸 裕子")</f>
        <v>内丸 裕子</v>
      </c>
    </row>
    <row r="6106" spans="2:4" ht="13">
      <c r="B6106" s="12">
        <f ca="1">IFERROR(__xludf.DUMMYFUNCTION("""COMPUTED_VALUE"""),133296)</f>
        <v>133296</v>
      </c>
      <c r="C6106" s="14">
        <f ca="1">IFERROR(__xludf.DUMMYFUNCTION("""COMPUTED_VALUE"""),0)</f>
        <v>0</v>
      </c>
      <c r="D6106" s="12" t="str">
        <f ca="1">IFERROR(__xludf.DUMMYFUNCTION("""COMPUTED_VALUE"""),"田嶋 将太")</f>
        <v>田嶋 将太</v>
      </c>
    </row>
    <row r="6107" spans="2:4" ht="13">
      <c r="B6107" s="12">
        <f ca="1">IFERROR(__xludf.DUMMYFUNCTION("""COMPUTED_VALUE"""),133299)</f>
        <v>133299</v>
      </c>
      <c r="C6107" s="14">
        <f ca="1">IFERROR(__xludf.DUMMYFUNCTION("""COMPUTED_VALUE"""),4)</f>
        <v>4</v>
      </c>
      <c r="D6107" s="12" t="str">
        <f ca="1">IFERROR(__xludf.DUMMYFUNCTION("""COMPUTED_VALUE"""),"成嶋 夏未")</f>
        <v>成嶋 夏未</v>
      </c>
    </row>
    <row r="6108" spans="2:4" ht="13">
      <c r="B6108" s="12">
        <f ca="1">IFERROR(__xludf.DUMMYFUNCTION("""COMPUTED_VALUE"""),133303)</f>
        <v>133303</v>
      </c>
      <c r="C6108" s="14">
        <f ca="1">IFERROR(__xludf.DUMMYFUNCTION("""COMPUTED_VALUE"""),0)</f>
        <v>0</v>
      </c>
      <c r="D6108" s="12" t="str">
        <f ca="1">IFERROR(__xludf.DUMMYFUNCTION("""COMPUTED_VALUE"""),"村上 浩一朗")</f>
        <v>村上 浩一朗</v>
      </c>
    </row>
    <row r="6109" spans="2:4" ht="13">
      <c r="B6109" s="12">
        <f ca="1">IFERROR(__xludf.DUMMYFUNCTION("""COMPUTED_VALUE"""),133305)</f>
        <v>133305</v>
      </c>
      <c r="C6109" s="14">
        <f ca="1">IFERROR(__xludf.DUMMYFUNCTION("""COMPUTED_VALUE"""),0)</f>
        <v>0</v>
      </c>
      <c r="D6109" s="12" t="str">
        <f ca="1">IFERROR(__xludf.DUMMYFUNCTION("""COMPUTED_VALUE"""),"荻曽 克輝")</f>
        <v>荻曽 克輝</v>
      </c>
    </row>
    <row r="6110" spans="2:4" ht="13">
      <c r="B6110" s="12">
        <f ca="1">IFERROR(__xludf.DUMMYFUNCTION("""COMPUTED_VALUE"""),133306)</f>
        <v>133306</v>
      </c>
      <c r="C6110" s="14">
        <f ca="1">IFERROR(__xludf.DUMMYFUNCTION("""COMPUTED_VALUE"""),6)</f>
        <v>6</v>
      </c>
      <c r="D6110" s="12" t="str">
        <f ca="1">IFERROR(__xludf.DUMMYFUNCTION("""COMPUTED_VALUE"""),"桑原 明子")</f>
        <v>桑原 明子</v>
      </c>
    </row>
    <row r="6111" spans="2:4" ht="13">
      <c r="B6111" s="12">
        <f ca="1">IFERROR(__xludf.DUMMYFUNCTION("""COMPUTED_VALUE"""),133312)</f>
        <v>133312</v>
      </c>
      <c r="C6111" s="14">
        <f ca="1">IFERROR(__xludf.DUMMYFUNCTION("""COMPUTED_VALUE"""),0)</f>
        <v>0</v>
      </c>
      <c r="D6111" s="12" t="str">
        <f ca="1">IFERROR(__xludf.DUMMYFUNCTION("""COMPUTED_VALUE"""),"辻村 将大")</f>
        <v>辻村 将大</v>
      </c>
    </row>
    <row r="6112" spans="2:4" ht="13">
      <c r="B6112" s="12">
        <f ca="1">IFERROR(__xludf.DUMMYFUNCTION("""COMPUTED_VALUE"""),133314)</f>
        <v>133314</v>
      </c>
      <c r="C6112" s="14">
        <f ca="1">IFERROR(__xludf.DUMMYFUNCTION("""COMPUTED_VALUE"""),4)</f>
        <v>4</v>
      </c>
      <c r="D6112" s="12" t="str">
        <f ca="1">IFERROR(__xludf.DUMMYFUNCTION("""COMPUTED_VALUE"""),"堀越 駿")</f>
        <v>堀越 駿</v>
      </c>
    </row>
    <row r="6113" spans="2:4" ht="13">
      <c r="B6113" s="12">
        <f ca="1">IFERROR(__xludf.DUMMYFUNCTION("""COMPUTED_VALUE"""),133327)</f>
        <v>133327</v>
      </c>
      <c r="C6113" s="14">
        <f ca="1">IFERROR(__xludf.DUMMYFUNCTION("""COMPUTED_VALUE"""),0)</f>
        <v>0</v>
      </c>
      <c r="D6113" s="12" t="str">
        <f ca="1">IFERROR(__xludf.DUMMYFUNCTION("""COMPUTED_VALUE"""),"成嶋 夏未")</f>
        <v>成嶋 夏未</v>
      </c>
    </row>
    <row r="6114" spans="2:4" ht="13">
      <c r="B6114" s="12">
        <f ca="1">IFERROR(__xludf.DUMMYFUNCTION("""COMPUTED_VALUE"""),133330)</f>
        <v>133330</v>
      </c>
      <c r="C6114" s="14">
        <f ca="1">IFERROR(__xludf.DUMMYFUNCTION("""COMPUTED_VALUE"""),0)</f>
        <v>0</v>
      </c>
      <c r="D6114" s="12" t="str">
        <f ca="1">IFERROR(__xludf.DUMMYFUNCTION("""COMPUTED_VALUE"""),"小関 麻起")</f>
        <v>小関 麻起</v>
      </c>
    </row>
    <row r="6115" spans="2:4" ht="13">
      <c r="B6115" s="12">
        <f ca="1">IFERROR(__xludf.DUMMYFUNCTION("""COMPUTED_VALUE"""),133341)</f>
        <v>133341</v>
      </c>
      <c r="C6115" s="14">
        <f ca="1">IFERROR(__xludf.DUMMYFUNCTION("""COMPUTED_VALUE"""),37)</f>
        <v>37</v>
      </c>
      <c r="D6115" s="12" t="str">
        <f ca="1">IFERROR(__xludf.DUMMYFUNCTION("""COMPUTED_VALUE"""),"村上 浩一朗")</f>
        <v>村上 浩一朗</v>
      </c>
    </row>
    <row r="6116" spans="2:4" ht="13">
      <c r="B6116" s="12">
        <f ca="1">IFERROR(__xludf.DUMMYFUNCTION("""COMPUTED_VALUE"""),133360)</f>
        <v>133360</v>
      </c>
      <c r="C6116" s="14">
        <f ca="1">IFERROR(__xludf.DUMMYFUNCTION("""COMPUTED_VALUE"""),0)</f>
        <v>0</v>
      </c>
      <c r="D6116" s="12" t="str">
        <f ca="1">IFERROR(__xludf.DUMMYFUNCTION("""COMPUTED_VALUE"""),"菅野 ぎんが")</f>
        <v>菅野 ぎんが</v>
      </c>
    </row>
    <row r="6117" spans="2:4" ht="13">
      <c r="B6117" s="12">
        <f ca="1">IFERROR(__xludf.DUMMYFUNCTION("""COMPUTED_VALUE"""),133362)</f>
        <v>133362</v>
      </c>
      <c r="C6117" s="14">
        <f ca="1">IFERROR(__xludf.DUMMYFUNCTION("""COMPUTED_VALUE"""),0)</f>
        <v>0</v>
      </c>
      <c r="D6117" s="12" t="str">
        <f ca="1">IFERROR(__xludf.DUMMYFUNCTION("""COMPUTED_VALUE"""),"栗原 大武")</f>
        <v>栗原 大武</v>
      </c>
    </row>
    <row r="6118" spans="2:4" ht="13">
      <c r="B6118" s="12">
        <f ca="1">IFERROR(__xludf.DUMMYFUNCTION("""COMPUTED_VALUE"""),133363)</f>
        <v>133363</v>
      </c>
      <c r="C6118" s="14">
        <f ca="1">IFERROR(__xludf.DUMMYFUNCTION("""COMPUTED_VALUE"""),1)</f>
        <v>1</v>
      </c>
      <c r="D6118" s="12" t="str">
        <f ca="1">IFERROR(__xludf.DUMMYFUNCTION("""COMPUTED_VALUE"""),"村上 浩一朗")</f>
        <v>村上 浩一朗</v>
      </c>
    </row>
    <row r="6119" spans="2:4" ht="13">
      <c r="B6119" s="12">
        <f ca="1">IFERROR(__xludf.DUMMYFUNCTION("""COMPUTED_VALUE"""),133369)</f>
        <v>133369</v>
      </c>
      <c r="C6119" s="14">
        <f ca="1">IFERROR(__xludf.DUMMYFUNCTION("""COMPUTED_VALUE"""),8)</f>
        <v>8</v>
      </c>
      <c r="D6119" s="12" t="str">
        <f ca="1">IFERROR(__xludf.DUMMYFUNCTION("""COMPUTED_VALUE"""),"菅野 ぎんが")</f>
        <v>菅野 ぎんが</v>
      </c>
    </row>
    <row r="6120" spans="2:4" ht="13">
      <c r="B6120" s="12">
        <f ca="1">IFERROR(__xludf.DUMMYFUNCTION("""COMPUTED_VALUE"""),133375)</f>
        <v>133375</v>
      </c>
      <c r="C6120" s="14">
        <f ca="1">IFERROR(__xludf.DUMMYFUNCTION("""COMPUTED_VALUE"""),0)</f>
        <v>0</v>
      </c>
      <c r="D6120" s="12" t="str">
        <f ca="1">IFERROR(__xludf.DUMMYFUNCTION("""COMPUTED_VALUE"""),"成嶋 夏未")</f>
        <v>成嶋 夏未</v>
      </c>
    </row>
    <row r="6121" spans="2:4" ht="13">
      <c r="B6121" s="12">
        <f ca="1">IFERROR(__xludf.DUMMYFUNCTION("""COMPUTED_VALUE"""),133376)</f>
        <v>133376</v>
      </c>
      <c r="C6121" s="14">
        <f ca="1">IFERROR(__xludf.DUMMYFUNCTION("""COMPUTED_VALUE"""),0)</f>
        <v>0</v>
      </c>
      <c r="D6121" s="12" t="str">
        <f ca="1">IFERROR(__xludf.DUMMYFUNCTION("""COMPUTED_VALUE"""),"松尾 尚樹")</f>
        <v>松尾 尚樹</v>
      </c>
    </row>
    <row r="6122" spans="2:4" ht="13">
      <c r="B6122" s="12">
        <f ca="1">IFERROR(__xludf.DUMMYFUNCTION("""COMPUTED_VALUE"""),133377)</f>
        <v>133377</v>
      </c>
      <c r="C6122" s="14">
        <f ca="1">IFERROR(__xludf.DUMMYFUNCTION("""COMPUTED_VALUE"""),0)</f>
        <v>0</v>
      </c>
      <c r="D6122" s="12" t="str">
        <f ca="1">IFERROR(__xludf.DUMMYFUNCTION("""COMPUTED_VALUE"""),"稲場 勇介")</f>
        <v>稲場 勇介</v>
      </c>
    </row>
    <row r="6123" spans="2:4" ht="13">
      <c r="B6123" s="12">
        <f ca="1">IFERROR(__xludf.DUMMYFUNCTION("""COMPUTED_VALUE"""),133398)</f>
        <v>133398</v>
      </c>
      <c r="C6123" s="14">
        <f ca="1">IFERROR(__xludf.DUMMYFUNCTION("""COMPUTED_VALUE"""),4)</f>
        <v>4</v>
      </c>
      <c r="D6123" s="12" t="str">
        <f ca="1">IFERROR(__xludf.DUMMYFUNCTION("""COMPUTED_VALUE"""),"荻曽 克輝")</f>
        <v>荻曽 克輝</v>
      </c>
    </row>
    <row r="6124" spans="2:4" ht="13">
      <c r="B6124" s="12">
        <f ca="1">IFERROR(__xludf.DUMMYFUNCTION("""COMPUTED_VALUE"""),133409)</f>
        <v>133409</v>
      </c>
      <c r="C6124" s="14">
        <f ca="1">IFERROR(__xludf.DUMMYFUNCTION("""COMPUTED_VALUE"""),0)</f>
        <v>0</v>
      </c>
      <c r="D6124" s="12" t="str">
        <f ca="1">IFERROR(__xludf.DUMMYFUNCTION("""COMPUTED_VALUE"""),"成嶋 夏未")</f>
        <v>成嶋 夏未</v>
      </c>
    </row>
    <row r="6125" spans="2:4" ht="13">
      <c r="B6125" s="12">
        <f ca="1">IFERROR(__xludf.DUMMYFUNCTION("""COMPUTED_VALUE"""),133412)</f>
        <v>133412</v>
      </c>
      <c r="C6125" s="14">
        <f ca="1">IFERROR(__xludf.DUMMYFUNCTION("""COMPUTED_VALUE"""),0)</f>
        <v>0</v>
      </c>
      <c r="D6125" s="12" t="str">
        <f ca="1">IFERROR(__xludf.DUMMYFUNCTION("""COMPUTED_VALUE"""),"菅野 ぎんが")</f>
        <v>菅野 ぎんが</v>
      </c>
    </row>
    <row r="6126" spans="2:4" ht="13">
      <c r="B6126" s="12">
        <f ca="1">IFERROR(__xludf.DUMMYFUNCTION("""COMPUTED_VALUE"""),133418)</f>
        <v>133418</v>
      </c>
      <c r="C6126" s="14">
        <f ca="1">IFERROR(__xludf.DUMMYFUNCTION("""COMPUTED_VALUE"""),12)</f>
        <v>12</v>
      </c>
      <c r="D6126" s="12" t="str">
        <f ca="1">IFERROR(__xludf.DUMMYFUNCTION("""COMPUTED_VALUE"""),"栗原 大武")</f>
        <v>栗原 大武</v>
      </c>
    </row>
    <row r="6127" spans="2:4" ht="13">
      <c r="B6127" s="12">
        <f ca="1">IFERROR(__xludf.DUMMYFUNCTION("""COMPUTED_VALUE"""),133424)</f>
        <v>133424</v>
      </c>
      <c r="C6127" s="14">
        <f ca="1">IFERROR(__xludf.DUMMYFUNCTION("""COMPUTED_VALUE"""),96)</f>
        <v>96</v>
      </c>
      <c r="D6127" s="12" t="str">
        <f ca="1">IFERROR(__xludf.DUMMYFUNCTION("""COMPUTED_VALUE"""),"栗原 大武")</f>
        <v>栗原 大武</v>
      </c>
    </row>
    <row r="6128" spans="2:4" ht="13">
      <c r="B6128" s="12">
        <f ca="1">IFERROR(__xludf.DUMMYFUNCTION("""COMPUTED_VALUE"""),133426)</f>
        <v>133426</v>
      </c>
      <c r="C6128" s="14">
        <f ca="1">IFERROR(__xludf.DUMMYFUNCTION("""COMPUTED_VALUE"""),0)</f>
        <v>0</v>
      </c>
      <c r="D6128" s="12" t="str">
        <f ca="1">IFERROR(__xludf.DUMMYFUNCTION("""COMPUTED_VALUE"""),"稲場 勇介")</f>
        <v>稲場 勇介</v>
      </c>
    </row>
    <row r="6129" spans="2:4" ht="13">
      <c r="B6129" s="12">
        <f ca="1">IFERROR(__xludf.DUMMYFUNCTION("""COMPUTED_VALUE"""),133429)</f>
        <v>133429</v>
      </c>
      <c r="C6129" s="14">
        <f ca="1">IFERROR(__xludf.DUMMYFUNCTION("""COMPUTED_VALUE"""),0)</f>
        <v>0</v>
      </c>
      <c r="D6129" s="12" t="str">
        <f ca="1">IFERROR(__xludf.DUMMYFUNCTION("""COMPUTED_VALUE"""),"成嶋 夏未")</f>
        <v>成嶋 夏未</v>
      </c>
    </row>
    <row r="6130" spans="2:4" ht="13">
      <c r="B6130" s="12">
        <f ca="1">IFERROR(__xludf.DUMMYFUNCTION("""COMPUTED_VALUE"""),133431)</f>
        <v>133431</v>
      </c>
      <c r="C6130" s="14">
        <f ca="1">IFERROR(__xludf.DUMMYFUNCTION("""COMPUTED_VALUE"""),68)</f>
        <v>68</v>
      </c>
      <c r="D6130" s="12" t="str">
        <f ca="1">IFERROR(__xludf.DUMMYFUNCTION("""COMPUTED_VALUE"""),"菅野 ぎんが")</f>
        <v>菅野 ぎんが</v>
      </c>
    </row>
    <row r="6131" spans="2:4" ht="13">
      <c r="B6131" s="12">
        <f ca="1">IFERROR(__xludf.DUMMYFUNCTION("""COMPUTED_VALUE"""),133451)</f>
        <v>133451</v>
      </c>
      <c r="C6131" s="14">
        <f ca="1">IFERROR(__xludf.DUMMYFUNCTION("""COMPUTED_VALUE"""),0)</f>
        <v>0</v>
      </c>
      <c r="D6131" s="12" t="str">
        <f ca="1">IFERROR(__xludf.DUMMYFUNCTION("""COMPUTED_VALUE"""),"栗原 大武")</f>
        <v>栗原 大武</v>
      </c>
    </row>
    <row r="6132" spans="2:4" ht="13">
      <c r="B6132" s="12">
        <f ca="1">IFERROR(__xludf.DUMMYFUNCTION("""COMPUTED_VALUE"""),133459)</f>
        <v>133459</v>
      </c>
      <c r="C6132" s="14">
        <f ca="1">IFERROR(__xludf.DUMMYFUNCTION("""COMPUTED_VALUE"""),2)</f>
        <v>2</v>
      </c>
      <c r="D6132" s="12" t="str">
        <f ca="1">IFERROR(__xludf.DUMMYFUNCTION("""COMPUTED_VALUE"""),"桐山 勝気")</f>
        <v>桐山 勝気</v>
      </c>
    </row>
    <row r="6133" spans="2:4" ht="13">
      <c r="B6133" s="12">
        <f ca="1">IFERROR(__xludf.DUMMYFUNCTION("""COMPUTED_VALUE"""),133472)</f>
        <v>133472</v>
      </c>
      <c r="C6133" s="14">
        <f ca="1">IFERROR(__xludf.DUMMYFUNCTION("""COMPUTED_VALUE"""),0)</f>
        <v>0</v>
      </c>
      <c r="D6133" s="12" t="str">
        <f ca="1">IFERROR(__xludf.DUMMYFUNCTION("""COMPUTED_VALUE"""),"稲場 勇介")</f>
        <v>稲場 勇介</v>
      </c>
    </row>
    <row r="6134" spans="2:4" ht="13">
      <c r="B6134" s="12">
        <f ca="1">IFERROR(__xludf.DUMMYFUNCTION("""COMPUTED_VALUE"""),133475)</f>
        <v>133475</v>
      </c>
      <c r="C6134" s="14">
        <f ca="1">IFERROR(__xludf.DUMMYFUNCTION("""COMPUTED_VALUE"""),11)</f>
        <v>11</v>
      </c>
      <c r="D6134" s="12" t="str">
        <f ca="1">IFERROR(__xludf.DUMMYFUNCTION("""COMPUTED_VALUE"""),"成嶋 夏未")</f>
        <v>成嶋 夏未</v>
      </c>
    </row>
    <row r="6135" spans="2:4" ht="13">
      <c r="B6135" s="12">
        <f ca="1">IFERROR(__xludf.DUMMYFUNCTION("""COMPUTED_VALUE"""),133476)</f>
        <v>133476</v>
      </c>
      <c r="C6135" s="14">
        <f ca="1">IFERROR(__xludf.DUMMYFUNCTION("""COMPUTED_VALUE"""),1)</f>
        <v>1</v>
      </c>
      <c r="D6135" s="12" t="str">
        <f ca="1">IFERROR(__xludf.DUMMYFUNCTION("""COMPUTED_VALUE"""),"成嶋 夏未")</f>
        <v>成嶋 夏未</v>
      </c>
    </row>
    <row r="6136" spans="2:4" ht="13">
      <c r="B6136" s="12">
        <f ca="1">IFERROR(__xludf.DUMMYFUNCTION("""COMPUTED_VALUE"""),133478)</f>
        <v>133478</v>
      </c>
      <c r="C6136" s="14">
        <f ca="1">IFERROR(__xludf.DUMMYFUNCTION("""COMPUTED_VALUE"""),0)</f>
        <v>0</v>
      </c>
      <c r="D6136" s="12" t="str">
        <f ca="1">IFERROR(__xludf.DUMMYFUNCTION("""COMPUTED_VALUE"""),"松尾 尚樹")</f>
        <v>松尾 尚樹</v>
      </c>
    </row>
    <row r="6137" spans="2:4" ht="13">
      <c r="B6137" s="12">
        <f ca="1">IFERROR(__xludf.DUMMYFUNCTION("""COMPUTED_VALUE"""),133479)</f>
        <v>133479</v>
      </c>
      <c r="C6137" s="14">
        <f ca="1">IFERROR(__xludf.DUMMYFUNCTION("""COMPUTED_VALUE"""),15)</f>
        <v>15</v>
      </c>
      <c r="D6137" s="12" t="str">
        <f ca="1">IFERROR(__xludf.DUMMYFUNCTION("""COMPUTED_VALUE"""),"小関 麻起")</f>
        <v>小関 麻起</v>
      </c>
    </row>
    <row r="6138" spans="2:4" ht="13">
      <c r="B6138" s="12">
        <f ca="1">IFERROR(__xludf.DUMMYFUNCTION("""COMPUTED_VALUE"""),133481)</f>
        <v>133481</v>
      </c>
      <c r="C6138" s="14">
        <f ca="1">IFERROR(__xludf.DUMMYFUNCTION("""COMPUTED_VALUE"""),2)</f>
        <v>2</v>
      </c>
      <c r="D6138" s="12" t="str">
        <f ca="1">IFERROR(__xludf.DUMMYFUNCTION("""COMPUTED_VALUE"""),"大木 優香")</f>
        <v>大木 優香</v>
      </c>
    </row>
    <row r="6139" spans="2:4" ht="13">
      <c r="B6139" s="12">
        <f ca="1">IFERROR(__xludf.DUMMYFUNCTION("""COMPUTED_VALUE"""),133482)</f>
        <v>133482</v>
      </c>
      <c r="C6139" s="14">
        <f ca="1">IFERROR(__xludf.DUMMYFUNCTION("""COMPUTED_VALUE"""),7)</f>
        <v>7</v>
      </c>
      <c r="D6139" s="12" t="str">
        <f ca="1">IFERROR(__xludf.DUMMYFUNCTION("""COMPUTED_VALUE"""),"栗原 大武")</f>
        <v>栗原 大武</v>
      </c>
    </row>
    <row r="6140" spans="2:4" ht="13">
      <c r="B6140" s="12">
        <f ca="1">IFERROR(__xludf.DUMMYFUNCTION("""COMPUTED_VALUE"""),133500)</f>
        <v>133500</v>
      </c>
      <c r="C6140" s="14">
        <f ca="1">IFERROR(__xludf.DUMMYFUNCTION("""COMPUTED_VALUE"""),6)</f>
        <v>6</v>
      </c>
      <c r="D6140" s="12" t="str">
        <f ca="1">IFERROR(__xludf.DUMMYFUNCTION("""COMPUTED_VALUE"""),"長谷川 陸朗")</f>
        <v>長谷川 陸朗</v>
      </c>
    </row>
    <row r="6141" spans="2:4" ht="13">
      <c r="B6141" s="12">
        <f ca="1">IFERROR(__xludf.DUMMYFUNCTION("""COMPUTED_VALUE"""),133501)</f>
        <v>133501</v>
      </c>
      <c r="C6141" s="14">
        <f ca="1">IFERROR(__xludf.DUMMYFUNCTION("""COMPUTED_VALUE"""),1)</f>
        <v>1</v>
      </c>
      <c r="D6141" s="12" t="str">
        <f ca="1">IFERROR(__xludf.DUMMYFUNCTION("""COMPUTED_VALUE"""),"長谷川 陸朗")</f>
        <v>長谷川 陸朗</v>
      </c>
    </row>
    <row r="6142" spans="2:4" ht="13">
      <c r="B6142" s="12">
        <f ca="1">IFERROR(__xludf.DUMMYFUNCTION("""COMPUTED_VALUE"""),133502)</f>
        <v>133502</v>
      </c>
      <c r="C6142" s="14">
        <f ca="1">IFERROR(__xludf.DUMMYFUNCTION("""COMPUTED_VALUE"""),10)</f>
        <v>10</v>
      </c>
      <c r="D6142" s="12" t="str">
        <f ca="1">IFERROR(__xludf.DUMMYFUNCTION("""COMPUTED_VALUE"""),"菅野 ぎんが")</f>
        <v>菅野 ぎんが</v>
      </c>
    </row>
    <row r="6143" spans="2:4" ht="13">
      <c r="B6143" s="12">
        <f ca="1">IFERROR(__xludf.DUMMYFUNCTION("""COMPUTED_VALUE"""),133511)</f>
        <v>133511</v>
      </c>
      <c r="C6143" s="14">
        <f ca="1">IFERROR(__xludf.DUMMYFUNCTION("""COMPUTED_VALUE"""),1)</f>
        <v>1</v>
      </c>
      <c r="D6143" s="12" t="str">
        <f ca="1">IFERROR(__xludf.DUMMYFUNCTION("""COMPUTED_VALUE"""),"芳賀 亮輔")</f>
        <v>芳賀 亮輔</v>
      </c>
    </row>
    <row r="6144" spans="2:4" ht="13">
      <c r="B6144" s="12">
        <f ca="1">IFERROR(__xludf.DUMMYFUNCTION("""COMPUTED_VALUE"""),133515)</f>
        <v>133515</v>
      </c>
      <c r="C6144" s="14">
        <f ca="1">IFERROR(__xludf.DUMMYFUNCTION("""COMPUTED_VALUE"""),0)</f>
        <v>0</v>
      </c>
      <c r="D6144" s="12" t="str">
        <f ca="1">IFERROR(__xludf.DUMMYFUNCTION("""COMPUTED_VALUE"""),"成嶋 夏未")</f>
        <v>成嶋 夏未</v>
      </c>
    </row>
    <row r="6145" spans="2:4" ht="13">
      <c r="B6145" s="12">
        <f ca="1">IFERROR(__xludf.DUMMYFUNCTION("""COMPUTED_VALUE"""),133516)</f>
        <v>133516</v>
      </c>
      <c r="C6145" s="14">
        <f ca="1">IFERROR(__xludf.DUMMYFUNCTION("""COMPUTED_VALUE"""),0)</f>
        <v>0</v>
      </c>
      <c r="D6145" s="12" t="str">
        <f ca="1">IFERROR(__xludf.DUMMYFUNCTION("""COMPUTED_VALUE"""),"田嶋 将太")</f>
        <v>田嶋 将太</v>
      </c>
    </row>
    <row r="6146" spans="2:4" ht="13">
      <c r="B6146" s="12">
        <f ca="1">IFERROR(__xludf.DUMMYFUNCTION("""COMPUTED_VALUE"""),133518)</f>
        <v>133518</v>
      </c>
      <c r="C6146" s="14">
        <f ca="1">IFERROR(__xludf.DUMMYFUNCTION("""COMPUTED_VALUE"""),7)</f>
        <v>7</v>
      </c>
      <c r="D6146" s="12" t="str">
        <f ca="1">IFERROR(__xludf.DUMMYFUNCTION("""COMPUTED_VALUE"""),"堀越 駿")</f>
        <v>堀越 駿</v>
      </c>
    </row>
    <row r="6147" spans="2:4" ht="13">
      <c r="B6147" s="12">
        <f ca="1">IFERROR(__xludf.DUMMYFUNCTION("""COMPUTED_VALUE"""),133519)</f>
        <v>133519</v>
      </c>
      <c r="C6147" s="14">
        <f ca="1">IFERROR(__xludf.DUMMYFUNCTION("""COMPUTED_VALUE"""),0)</f>
        <v>0</v>
      </c>
      <c r="D6147" s="12" t="str">
        <f ca="1">IFERROR(__xludf.DUMMYFUNCTION("""COMPUTED_VALUE"""),"桐山 勝気")</f>
        <v>桐山 勝気</v>
      </c>
    </row>
    <row r="6148" spans="2:4" ht="13">
      <c r="B6148" s="12">
        <f ca="1">IFERROR(__xludf.DUMMYFUNCTION("""COMPUTED_VALUE"""),133526)</f>
        <v>133526</v>
      </c>
      <c r="C6148" s="14">
        <f ca="1">IFERROR(__xludf.DUMMYFUNCTION("""COMPUTED_VALUE"""),0)</f>
        <v>0</v>
      </c>
      <c r="D6148" s="12" t="str">
        <f ca="1">IFERROR(__xludf.DUMMYFUNCTION("""COMPUTED_VALUE"""),"成嶋 夏未")</f>
        <v>成嶋 夏未</v>
      </c>
    </row>
    <row r="6149" spans="2:4" ht="13">
      <c r="B6149" s="12">
        <f ca="1">IFERROR(__xludf.DUMMYFUNCTION("""COMPUTED_VALUE"""),133532)</f>
        <v>133532</v>
      </c>
      <c r="C6149" s="14">
        <f ca="1">IFERROR(__xludf.DUMMYFUNCTION("""COMPUTED_VALUE"""),0)</f>
        <v>0</v>
      </c>
      <c r="D6149" s="12" t="str">
        <f ca="1">IFERROR(__xludf.DUMMYFUNCTION("""COMPUTED_VALUE"""),"小関 麻起")</f>
        <v>小関 麻起</v>
      </c>
    </row>
    <row r="6150" spans="2:4" ht="13">
      <c r="B6150" s="12">
        <f ca="1">IFERROR(__xludf.DUMMYFUNCTION("""COMPUTED_VALUE"""),133533)</f>
        <v>133533</v>
      </c>
      <c r="C6150" s="14">
        <f ca="1">IFERROR(__xludf.DUMMYFUNCTION("""COMPUTED_VALUE"""),0)</f>
        <v>0</v>
      </c>
      <c r="D6150" s="12" t="str">
        <f ca="1">IFERROR(__xludf.DUMMYFUNCTION("""COMPUTED_VALUE"""),"老田 純輝")</f>
        <v>老田 純輝</v>
      </c>
    </row>
    <row r="6151" spans="2:4" ht="13">
      <c r="B6151" s="12">
        <f ca="1">IFERROR(__xludf.DUMMYFUNCTION("""COMPUTED_VALUE"""),133534)</f>
        <v>133534</v>
      </c>
      <c r="C6151" s="14">
        <f ca="1">IFERROR(__xludf.DUMMYFUNCTION("""COMPUTED_VALUE"""),0)</f>
        <v>0</v>
      </c>
      <c r="D6151" s="12" t="str">
        <f ca="1">IFERROR(__xludf.DUMMYFUNCTION("""COMPUTED_VALUE"""),"老田 純輝")</f>
        <v>老田 純輝</v>
      </c>
    </row>
    <row r="6152" spans="2:4" ht="13">
      <c r="B6152" s="12">
        <f ca="1">IFERROR(__xludf.DUMMYFUNCTION("""COMPUTED_VALUE"""),133537)</f>
        <v>133537</v>
      </c>
      <c r="C6152" s="14">
        <f ca="1">IFERROR(__xludf.DUMMYFUNCTION("""COMPUTED_VALUE"""),36)</f>
        <v>36</v>
      </c>
      <c r="D6152" s="12" t="str">
        <f ca="1">IFERROR(__xludf.DUMMYFUNCTION("""COMPUTED_VALUE"""),"松尾 尚樹")</f>
        <v>松尾 尚樹</v>
      </c>
    </row>
    <row r="6153" spans="2:4" ht="13">
      <c r="B6153" s="12">
        <f ca="1">IFERROR(__xludf.DUMMYFUNCTION("""COMPUTED_VALUE"""),133538)</f>
        <v>133538</v>
      </c>
      <c r="C6153" s="14">
        <f ca="1">IFERROR(__xludf.DUMMYFUNCTION("""COMPUTED_VALUE"""),0)</f>
        <v>0</v>
      </c>
      <c r="D6153" s="12" t="str">
        <f ca="1">IFERROR(__xludf.DUMMYFUNCTION("""COMPUTED_VALUE"""),"成嶋 夏未")</f>
        <v>成嶋 夏未</v>
      </c>
    </row>
    <row r="6154" spans="2:4" ht="13">
      <c r="B6154" s="12">
        <f ca="1">IFERROR(__xludf.DUMMYFUNCTION("""COMPUTED_VALUE"""),133539)</f>
        <v>133539</v>
      </c>
      <c r="C6154" s="14">
        <f ca="1">IFERROR(__xludf.DUMMYFUNCTION("""COMPUTED_VALUE"""),2)</f>
        <v>2</v>
      </c>
      <c r="D6154" s="12" t="str">
        <f ca="1">IFERROR(__xludf.DUMMYFUNCTION("""COMPUTED_VALUE"""),"内丸 裕子")</f>
        <v>内丸 裕子</v>
      </c>
    </row>
    <row r="6155" spans="2:4" ht="13">
      <c r="B6155" s="12">
        <f ca="1">IFERROR(__xludf.DUMMYFUNCTION("""COMPUTED_VALUE"""),133540)</f>
        <v>133540</v>
      </c>
      <c r="C6155" s="14">
        <f ca="1">IFERROR(__xludf.DUMMYFUNCTION("""COMPUTED_VALUE"""),0)</f>
        <v>0</v>
      </c>
      <c r="D6155" s="12" t="str">
        <f ca="1">IFERROR(__xludf.DUMMYFUNCTION("""COMPUTED_VALUE"""),"内丸 裕子")</f>
        <v>内丸 裕子</v>
      </c>
    </row>
    <row r="6156" spans="2:4" ht="13">
      <c r="B6156" s="12">
        <f ca="1">IFERROR(__xludf.DUMMYFUNCTION("""COMPUTED_VALUE"""),133542)</f>
        <v>133542</v>
      </c>
      <c r="C6156" s="14">
        <f ca="1">IFERROR(__xludf.DUMMYFUNCTION("""COMPUTED_VALUE"""),4)</f>
        <v>4</v>
      </c>
      <c r="D6156" s="12" t="str">
        <f ca="1">IFERROR(__xludf.DUMMYFUNCTION("""COMPUTED_VALUE"""),"森 光智")</f>
        <v>森 光智</v>
      </c>
    </row>
    <row r="6157" spans="2:4" ht="13">
      <c r="B6157" s="12">
        <f ca="1">IFERROR(__xludf.DUMMYFUNCTION("""COMPUTED_VALUE"""),133560)</f>
        <v>133560</v>
      </c>
      <c r="C6157" s="14">
        <f ca="1">IFERROR(__xludf.DUMMYFUNCTION("""COMPUTED_VALUE"""),3)</f>
        <v>3</v>
      </c>
      <c r="D6157" s="12" t="str">
        <f ca="1">IFERROR(__xludf.DUMMYFUNCTION("""COMPUTED_VALUE"""),"小川 純")</f>
        <v>小川 純</v>
      </c>
    </row>
    <row r="6158" spans="2:4" ht="13">
      <c r="B6158" s="12">
        <f ca="1">IFERROR(__xludf.DUMMYFUNCTION("""COMPUTED_VALUE"""),133562)</f>
        <v>133562</v>
      </c>
      <c r="C6158" s="14">
        <f ca="1">IFERROR(__xludf.DUMMYFUNCTION("""COMPUTED_VALUE"""),0)</f>
        <v>0</v>
      </c>
      <c r="D6158" s="12" t="str">
        <f ca="1">IFERROR(__xludf.DUMMYFUNCTION("""COMPUTED_VALUE"""),"小川 純")</f>
        <v>小川 純</v>
      </c>
    </row>
    <row r="6159" spans="2:4" ht="13">
      <c r="B6159" s="12">
        <f ca="1">IFERROR(__xludf.DUMMYFUNCTION("""COMPUTED_VALUE"""),133566)</f>
        <v>133566</v>
      </c>
      <c r="C6159" s="14">
        <f ca="1">IFERROR(__xludf.DUMMYFUNCTION("""COMPUTED_VALUE"""),0)</f>
        <v>0</v>
      </c>
      <c r="D6159" s="12" t="str">
        <f ca="1">IFERROR(__xludf.DUMMYFUNCTION("""COMPUTED_VALUE"""),"辻村 将大")</f>
        <v>辻村 将大</v>
      </c>
    </row>
    <row r="6160" spans="2:4" ht="13">
      <c r="B6160" s="12">
        <f ca="1">IFERROR(__xludf.DUMMYFUNCTION("""COMPUTED_VALUE"""),133569)</f>
        <v>133569</v>
      </c>
      <c r="C6160" s="14">
        <f ca="1">IFERROR(__xludf.DUMMYFUNCTION("""COMPUTED_VALUE"""),0)</f>
        <v>0</v>
      </c>
      <c r="D6160" s="12" t="str">
        <f ca="1">IFERROR(__xludf.DUMMYFUNCTION("""COMPUTED_VALUE"""),"辻村 将大")</f>
        <v>辻村 将大</v>
      </c>
    </row>
    <row r="6161" spans="2:4" ht="13">
      <c r="B6161" s="12">
        <f ca="1">IFERROR(__xludf.DUMMYFUNCTION("""COMPUTED_VALUE"""),133572)</f>
        <v>133572</v>
      </c>
      <c r="C6161" s="14">
        <f ca="1">IFERROR(__xludf.DUMMYFUNCTION("""COMPUTED_VALUE"""),0)</f>
        <v>0</v>
      </c>
      <c r="D6161" s="12" t="str">
        <f ca="1">IFERROR(__xludf.DUMMYFUNCTION("""COMPUTED_VALUE"""),"辻村 将大")</f>
        <v>辻村 将大</v>
      </c>
    </row>
    <row r="6162" spans="2:4" ht="13">
      <c r="B6162" s="12">
        <f ca="1">IFERROR(__xludf.DUMMYFUNCTION("""COMPUTED_VALUE"""),133584)</f>
        <v>133584</v>
      </c>
      <c r="C6162" s="14">
        <f ca="1">IFERROR(__xludf.DUMMYFUNCTION("""COMPUTED_VALUE"""),0)</f>
        <v>0</v>
      </c>
      <c r="D6162" s="12" t="str">
        <f ca="1">IFERROR(__xludf.DUMMYFUNCTION("""COMPUTED_VALUE"""),"辻村 将大")</f>
        <v>辻村 将大</v>
      </c>
    </row>
    <row r="6163" spans="2:4" ht="13">
      <c r="B6163" s="12">
        <f ca="1">IFERROR(__xludf.DUMMYFUNCTION("""COMPUTED_VALUE"""),133589)</f>
        <v>133589</v>
      </c>
      <c r="C6163" s="14">
        <f ca="1">IFERROR(__xludf.DUMMYFUNCTION("""COMPUTED_VALUE"""),15)</f>
        <v>15</v>
      </c>
      <c r="D6163" s="12" t="str">
        <f ca="1">IFERROR(__xludf.DUMMYFUNCTION("""COMPUTED_VALUE"""),"稲場 勇介")</f>
        <v>稲場 勇介</v>
      </c>
    </row>
    <row r="6164" spans="2:4" ht="13">
      <c r="B6164" s="12">
        <f ca="1">IFERROR(__xludf.DUMMYFUNCTION("""COMPUTED_VALUE"""),133599)</f>
        <v>133599</v>
      </c>
      <c r="C6164" s="14">
        <f ca="1">IFERROR(__xludf.DUMMYFUNCTION("""COMPUTED_VALUE"""),33)</f>
        <v>33</v>
      </c>
      <c r="D6164" s="12" t="str">
        <f ca="1">IFERROR(__xludf.DUMMYFUNCTION("""COMPUTED_VALUE"""),"芳賀 亮輔")</f>
        <v>芳賀 亮輔</v>
      </c>
    </row>
    <row r="6165" spans="2:4" ht="13">
      <c r="B6165" s="12">
        <f ca="1">IFERROR(__xludf.DUMMYFUNCTION("""COMPUTED_VALUE"""),133602)</f>
        <v>133602</v>
      </c>
      <c r="C6165" s="14">
        <f ca="1">IFERROR(__xludf.DUMMYFUNCTION("""COMPUTED_VALUE"""),13)</f>
        <v>13</v>
      </c>
      <c r="D6165" s="12" t="str">
        <f ca="1">IFERROR(__xludf.DUMMYFUNCTION("""COMPUTED_VALUE"""),"芳賀 亮輔")</f>
        <v>芳賀 亮輔</v>
      </c>
    </row>
    <row r="6166" spans="2:4" ht="13">
      <c r="B6166" s="12">
        <f ca="1">IFERROR(__xludf.DUMMYFUNCTION("""COMPUTED_VALUE"""),133604)</f>
        <v>133604</v>
      </c>
      <c r="C6166" s="14">
        <f ca="1">IFERROR(__xludf.DUMMYFUNCTION("""COMPUTED_VALUE"""),0)</f>
        <v>0</v>
      </c>
      <c r="D6166" s="12" t="str">
        <f ca="1">IFERROR(__xludf.DUMMYFUNCTION("""COMPUTED_VALUE"""),"栗原 大武")</f>
        <v>栗原 大武</v>
      </c>
    </row>
    <row r="6167" spans="2:4" ht="13">
      <c r="B6167" s="12">
        <f ca="1">IFERROR(__xludf.DUMMYFUNCTION("""COMPUTED_VALUE"""),133605)</f>
        <v>133605</v>
      </c>
      <c r="C6167" s="14">
        <f ca="1">IFERROR(__xludf.DUMMYFUNCTION("""COMPUTED_VALUE"""),7)</f>
        <v>7</v>
      </c>
      <c r="D6167" s="12" t="str">
        <f ca="1">IFERROR(__xludf.DUMMYFUNCTION("""COMPUTED_VALUE"""),"芳賀 亮輔")</f>
        <v>芳賀 亮輔</v>
      </c>
    </row>
    <row r="6168" spans="2:4" ht="13">
      <c r="B6168" s="12">
        <f ca="1">IFERROR(__xludf.DUMMYFUNCTION("""COMPUTED_VALUE"""),133606)</f>
        <v>133606</v>
      </c>
      <c r="C6168" s="14">
        <f ca="1">IFERROR(__xludf.DUMMYFUNCTION("""COMPUTED_VALUE"""),33)</f>
        <v>33</v>
      </c>
      <c r="D6168" s="12" t="str">
        <f ca="1">IFERROR(__xludf.DUMMYFUNCTION("""COMPUTED_VALUE"""),"芳賀 亮輔")</f>
        <v>芳賀 亮輔</v>
      </c>
    </row>
    <row r="6169" spans="2:4" ht="13">
      <c r="B6169" s="12">
        <f ca="1">IFERROR(__xludf.DUMMYFUNCTION("""COMPUTED_VALUE"""),133608)</f>
        <v>133608</v>
      </c>
      <c r="C6169" s="14">
        <f ca="1">IFERROR(__xludf.DUMMYFUNCTION("""COMPUTED_VALUE"""),3)</f>
        <v>3</v>
      </c>
      <c r="D6169" s="12" t="str">
        <f ca="1">IFERROR(__xludf.DUMMYFUNCTION("""COMPUTED_VALUE"""),"小川 純")</f>
        <v>小川 純</v>
      </c>
    </row>
    <row r="6170" spans="2:4" ht="13">
      <c r="B6170" s="12">
        <f ca="1">IFERROR(__xludf.DUMMYFUNCTION("""COMPUTED_VALUE"""),133609)</f>
        <v>133609</v>
      </c>
      <c r="C6170" s="14">
        <f ca="1">IFERROR(__xludf.DUMMYFUNCTION("""COMPUTED_VALUE"""),0)</f>
        <v>0</v>
      </c>
      <c r="D6170" s="12" t="str">
        <f ca="1">IFERROR(__xludf.DUMMYFUNCTION("""COMPUTED_VALUE"""),"小関 麻起")</f>
        <v>小関 麻起</v>
      </c>
    </row>
    <row r="6171" spans="2:4" ht="13">
      <c r="B6171" s="12">
        <f ca="1">IFERROR(__xludf.DUMMYFUNCTION("""COMPUTED_VALUE"""),133610)</f>
        <v>133610</v>
      </c>
      <c r="C6171" s="14">
        <f ca="1">IFERROR(__xludf.DUMMYFUNCTION("""COMPUTED_VALUE"""),66)</f>
        <v>66</v>
      </c>
      <c r="D6171" s="12" t="str">
        <f ca="1">IFERROR(__xludf.DUMMYFUNCTION("""COMPUTED_VALUE"""),"小関 麻起")</f>
        <v>小関 麻起</v>
      </c>
    </row>
    <row r="6172" spans="2:4" ht="13">
      <c r="B6172" s="12">
        <f ca="1">IFERROR(__xludf.DUMMYFUNCTION("""COMPUTED_VALUE"""),133611)</f>
        <v>133611</v>
      </c>
      <c r="C6172" s="14">
        <f ca="1">IFERROR(__xludf.DUMMYFUNCTION("""COMPUTED_VALUE"""),2)</f>
        <v>2</v>
      </c>
      <c r="D6172" s="12" t="str">
        <f ca="1">IFERROR(__xludf.DUMMYFUNCTION("""COMPUTED_VALUE"""),"稲場 勇介")</f>
        <v>稲場 勇介</v>
      </c>
    </row>
    <row r="6173" spans="2:4" ht="13">
      <c r="B6173" s="12">
        <f ca="1">IFERROR(__xludf.DUMMYFUNCTION("""COMPUTED_VALUE"""),133613)</f>
        <v>133613</v>
      </c>
      <c r="C6173" s="14">
        <f ca="1">IFERROR(__xludf.DUMMYFUNCTION("""COMPUTED_VALUE"""),0)</f>
        <v>0</v>
      </c>
      <c r="D6173" s="12" t="str">
        <f ca="1">IFERROR(__xludf.DUMMYFUNCTION("""COMPUTED_VALUE"""),"荻曽 克輝")</f>
        <v>荻曽 克輝</v>
      </c>
    </row>
    <row r="6174" spans="2:4" ht="13">
      <c r="B6174" s="12">
        <f ca="1">IFERROR(__xludf.DUMMYFUNCTION("""COMPUTED_VALUE"""),133614)</f>
        <v>133614</v>
      </c>
      <c r="C6174" s="14">
        <f ca="1">IFERROR(__xludf.DUMMYFUNCTION("""COMPUTED_VALUE"""),0)</f>
        <v>0</v>
      </c>
      <c r="D6174" s="12" t="str">
        <f ca="1">IFERROR(__xludf.DUMMYFUNCTION("""COMPUTED_VALUE"""),"村上 浩一朗")</f>
        <v>村上 浩一朗</v>
      </c>
    </row>
    <row r="6175" spans="2:4" ht="13">
      <c r="B6175" s="12">
        <f ca="1">IFERROR(__xludf.DUMMYFUNCTION("""COMPUTED_VALUE"""),133621)</f>
        <v>133621</v>
      </c>
      <c r="C6175" s="14">
        <f ca="1">IFERROR(__xludf.DUMMYFUNCTION("""COMPUTED_VALUE"""),1)</f>
        <v>1</v>
      </c>
      <c r="D6175" s="12" t="str">
        <f ca="1">IFERROR(__xludf.DUMMYFUNCTION("""COMPUTED_VALUE"""),"小関 麻起")</f>
        <v>小関 麻起</v>
      </c>
    </row>
    <row r="6176" spans="2:4" ht="13">
      <c r="B6176" s="12">
        <f ca="1">IFERROR(__xludf.DUMMYFUNCTION("""COMPUTED_VALUE"""),133625)</f>
        <v>133625</v>
      </c>
      <c r="C6176" s="14">
        <f ca="1">IFERROR(__xludf.DUMMYFUNCTION("""COMPUTED_VALUE"""),3)</f>
        <v>3</v>
      </c>
      <c r="D6176" s="12" t="str">
        <f ca="1">IFERROR(__xludf.DUMMYFUNCTION("""COMPUTED_VALUE"""),"小関 麻起")</f>
        <v>小関 麻起</v>
      </c>
    </row>
    <row r="6177" spans="2:4" ht="13">
      <c r="B6177" s="12">
        <f ca="1">IFERROR(__xludf.DUMMYFUNCTION("""COMPUTED_VALUE"""),133626)</f>
        <v>133626</v>
      </c>
      <c r="C6177" s="14">
        <f ca="1">IFERROR(__xludf.DUMMYFUNCTION("""COMPUTED_VALUE"""),0)</f>
        <v>0</v>
      </c>
      <c r="D6177" s="12" t="str">
        <f ca="1">IFERROR(__xludf.DUMMYFUNCTION("""COMPUTED_VALUE"""),"稲場 勇介")</f>
        <v>稲場 勇介</v>
      </c>
    </row>
    <row r="6178" spans="2:4" ht="13">
      <c r="B6178" s="12">
        <f ca="1">IFERROR(__xludf.DUMMYFUNCTION("""COMPUTED_VALUE"""),133628)</f>
        <v>133628</v>
      </c>
      <c r="C6178" s="14">
        <f ca="1">IFERROR(__xludf.DUMMYFUNCTION("""COMPUTED_VALUE"""),166)</f>
        <v>166</v>
      </c>
      <c r="D6178" s="12" t="str">
        <f ca="1">IFERROR(__xludf.DUMMYFUNCTION("""COMPUTED_VALUE"""),"柿崎 晃司")</f>
        <v>柿崎 晃司</v>
      </c>
    </row>
    <row r="6179" spans="2:4" ht="13">
      <c r="B6179" s="12">
        <f ca="1">IFERROR(__xludf.DUMMYFUNCTION("""COMPUTED_VALUE"""),133631)</f>
        <v>133631</v>
      </c>
      <c r="C6179" s="14">
        <f ca="1">IFERROR(__xludf.DUMMYFUNCTION("""COMPUTED_VALUE"""),2)</f>
        <v>2</v>
      </c>
      <c r="D6179" s="12" t="str">
        <f ca="1">IFERROR(__xludf.DUMMYFUNCTION("""COMPUTED_VALUE"""),"長谷川 陸朗")</f>
        <v>長谷川 陸朗</v>
      </c>
    </row>
    <row r="6180" spans="2:4" ht="13">
      <c r="B6180" s="12">
        <f ca="1">IFERROR(__xludf.DUMMYFUNCTION("""COMPUTED_VALUE"""),133639)</f>
        <v>133639</v>
      </c>
      <c r="C6180" s="14">
        <f ca="1">IFERROR(__xludf.DUMMYFUNCTION("""COMPUTED_VALUE"""),0)</f>
        <v>0</v>
      </c>
      <c r="D6180" s="12" t="str">
        <f ca="1">IFERROR(__xludf.DUMMYFUNCTION("""COMPUTED_VALUE"""),"小川 純")</f>
        <v>小川 純</v>
      </c>
    </row>
    <row r="6181" spans="2:4" ht="13">
      <c r="B6181" s="12">
        <f ca="1">IFERROR(__xludf.DUMMYFUNCTION("""COMPUTED_VALUE"""),133641)</f>
        <v>133641</v>
      </c>
      <c r="C6181" s="14">
        <f ca="1">IFERROR(__xludf.DUMMYFUNCTION("""COMPUTED_VALUE"""),11)</f>
        <v>11</v>
      </c>
      <c r="D6181" s="12" t="str">
        <f ca="1">IFERROR(__xludf.DUMMYFUNCTION("""COMPUTED_VALUE"""),"成嶋 夏未")</f>
        <v>成嶋 夏未</v>
      </c>
    </row>
    <row r="6182" spans="2:4" ht="13">
      <c r="B6182" s="12">
        <f ca="1">IFERROR(__xludf.DUMMYFUNCTION("""COMPUTED_VALUE"""),133648)</f>
        <v>133648</v>
      </c>
      <c r="C6182" s="14">
        <f ca="1">IFERROR(__xludf.DUMMYFUNCTION("""COMPUTED_VALUE"""),0)</f>
        <v>0</v>
      </c>
      <c r="D6182" s="12" t="str">
        <f ca="1">IFERROR(__xludf.DUMMYFUNCTION("""COMPUTED_VALUE"""),"栗原 大武")</f>
        <v>栗原 大武</v>
      </c>
    </row>
    <row r="6183" spans="2:4" ht="13">
      <c r="B6183" s="12">
        <f ca="1">IFERROR(__xludf.DUMMYFUNCTION("""COMPUTED_VALUE"""),133652)</f>
        <v>133652</v>
      </c>
      <c r="C6183" s="14">
        <f ca="1">IFERROR(__xludf.DUMMYFUNCTION("""COMPUTED_VALUE"""),11)</f>
        <v>11</v>
      </c>
      <c r="D6183" s="12" t="str">
        <f ca="1">IFERROR(__xludf.DUMMYFUNCTION("""COMPUTED_VALUE"""),"菅野 ぎんが")</f>
        <v>菅野 ぎんが</v>
      </c>
    </row>
    <row r="6184" spans="2:4" ht="13">
      <c r="B6184" s="12">
        <f ca="1">IFERROR(__xludf.DUMMYFUNCTION("""COMPUTED_VALUE"""),133656)</f>
        <v>133656</v>
      </c>
      <c r="C6184" s="14">
        <f ca="1">IFERROR(__xludf.DUMMYFUNCTION("""COMPUTED_VALUE"""),0)</f>
        <v>0</v>
      </c>
      <c r="D6184" s="12" t="str">
        <f ca="1">IFERROR(__xludf.DUMMYFUNCTION("""COMPUTED_VALUE"""),"稲場 勇介")</f>
        <v>稲場 勇介</v>
      </c>
    </row>
    <row r="6185" spans="2:4" ht="13">
      <c r="B6185" s="12">
        <f ca="1">IFERROR(__xludf.DUMMYFUNCTION("""COMPUTED_VALUE"""),133662)</f>
        <v>133662</v>
      </c>
      <c r="C6185" s="14">
        <f ca="1">IFERROR(__xludf.DUMMYFUNCTION("""COMPUTED_VALUE"""),0)</f>
        <v>0</v>
      </c>
      <c r="D6185" s="12" t="str">
        <f ca="1">IFERROR(__xludf.DUMMYFUNCTION("""COMPUTED_VALUE"""),"小関 麻起")</f>
        <v>小関 麻起</v>
      </c>
    </row>
    <row r="6186" spans="2:4" ht="13">
      <c r="B6186" s="12">
        <f ca="1">IFERROR(__xludf.DUMMYFUNCTION("""COMPUTED_VALUE"""),133669)</f>
        <v>133669</v>
      </c>
      <c r="C6186" s="14">
        <f ca="1">IFERROR(__xludf.DUMMYFUNCTION("""COMPUTED_VALUE"""),0)</f>
        <v>0</v>
      </c>
      <c r="D6186" s="12" t="str">
        <f ca="1">IFERROR(__xludf.DUMMYFUNCTION("""COMPUTED_VALUE"""),"菅野 ぎんが")</f>
        <v>菅野 ぎんが</v>
      </c>
    </row>
    <row r="6187" spans="2:4" ht="13">
      <c r="B6187" s="12">
        <f ca="1">IFERROR(__xludf.DUMMYFUNCTION("""COMPUTED_VALUE"""),133676)</f>
        <v>133676</v>
      </c>
      <c r="C6187" s="14">
        <f ca="1">IFERROR(__xludf.DUMMYFUNCTION("""COMPUTED_VALUE"""),13)</f>
        <v>13</v>
      </c>
      <c r="D6187" s="12" t="str">
        <f ca="1">IFERROR(__xludf.DUMMYFUNCTION("""COMPUTED_VALUE"""),"小関 麻起")</f>
        <v>小関 麻起</v>
      </c>
    </row>
    <row r="6188" spans="2:4" ht="13">
      <c r="B6188" s="12">
        <f ca="1">IFERROR(__xludf.DUMMYFUNCTION("""COMPUTED_VALUE"""),133677)</f>
        <v>133677</v>
      </c>
      <c r="C6188" s="14">
        <f ca="1">IFERROR(__xludf.DUMMYFUNCTION("""COMPUTED_VALUE"""),88)</f>
        <v>88</v>
      </c>
      <c r="D6188" s="12" t="str">
        <f ca="1">IFERROR(__xludf.DUMMYFUNCTION("""COMPUTED_VALUE"""),"芳賀 亮輔")</f>
        <v>芳賀 亮輔</v>
      </c>
    </row>
    <row r="6189" spans="2:4" ht="13">
      <c r="B6189" s="12">
        <f ca="1">IFERROR(__xludf.DUMMYFUNCTION("""COMPUTED_VALUE"""),133678)</f>
        <v>133678</v>
      </c>
      <c r="C6189" s="14">
        <f ca="1">IFERROR(__xludf.DUMMYFUNCTION("""COMPUTED_VALUE"""),86)</f>
        <v>86</v>
      </c>
      <c r="D6189" s="12" t="str">
        <f ca="1">IFERROR(__xludf.DUMMYFUNCTION("""COMPUTED_VALUE"""),"芳賀 亮輔")</f>
        <v>芳賀 亮輔</v>
      </c>
    </row>
    <row r="6190" spans="2:4" ht="13">
      <c r="B6190" s="12">
        <f ca="1">IFERROR(__xludf.DUMMYFUNCTION("""COMPUTED_VALUE"""),133680)</f>
        <v>133680</v>
      </c>
      <c r="C6190" s="14">
        <f ca="1">IFERROR(__xludf.DUMMYFUNCTION("""COMPUTED_VALUE"""),0)</f>
        <v>0</v>
      </c>
      <c r="D6190" s="12" t="str">
        <f ca="1">IFERROR(__xludf.DUMMYFUNCTION("""COMPUTED_VALUE"""),"稲場 勇介")</f>
        <v>稲場 勇介</v>
      </c>
    </row>
    <row r="6191" spans="2:4" ht="13">
      <c r="B6191" s="12">
        <f ca="1">IFERROR(__xludf.DUMMYFUNCTION("""COMPUTED_VALUE"""),133687)</f>
        <v>133687</v>
      </c>
      <c r="C6191" s="14">
        <f ca="1">IFERROR(__xludf.DUMMYFUNCTION("""COMPUTED_VALUE"""),0)</f>
        <v>0</v>
      </c>
      <c r="D6191" s="12" t="str">
        <f ca="1">IFERROR(__xludf.DUMMYFUNCTION("""COMPUTED_VALUE"""),"辻村 将大")</f>
        <v>辻村 将大</v>
      </c>
    </row>
    <row r="6192" spans="2:4" ht="13">
      <c r="B6192" s="12">
        <f ca="1">IFERROR(__xludf.DUMMYFUNCTION("""COMPUTED_VALUE"""),133692)</f>
        <v>133692</v>
      </c>
      <c r="C6192" s="14">
        <f ca="1">IFERROR(__xludf.DUMMYFUNCTION("""COMPUTED_VALUE"""),0)</f>
        <v>0</v>
      </c>
      <c r="D6192" s="12" t="str">
        <f ca="1">IFERROR(__xludf.DUMMYFUNCTION("""COMPUTED_VALUE"""),"桐山 勝気")</f>
        <v>桐山 勝気</v>
      </c>
    </row>
    <row r="6193" spans="2:4" ht="13">
      <c r="B6193" s="12">
        <f ca="1">IFERROR(__xludf.DUMMYFUNCTION("""COMPUTED_VALUE"""),133696)</f>
        <v>133696</v>
      </c>
      <c r="C6193" s="14">
        <f ca="1">IFERROR(__xludf.DUMMYFUNCTION("""COMPUTED_VALUE"""),2)</f>
        <v>2</v>
      </c>
      <c r="D6193" s="12" t="str">
        <f ca="1">IFERROR(__xludf.DUMMYFUNCTION("""COMPUTED_VALUE"""),"村上 浩一朗")</f>
        <v>村上 浩一朗</v>
      </c>
    </row>
    <row r="6194" spans="2:4" ht="13">
      <c r="B6194" s="12">
        <f ca="1">IFERROR(__xludf.DUMMYFUNCTION("""COMPUTED_VALUE"""),133703)</f>
        <v>133703</v>
      </c>
      <c r="C6194" s="14">
        <f ca="1">IFERROR(__xludf.DUMMYFUNCTION("""COMPUTED_VALUE"""),38)</f>
        <v>38</v>
      </c>
      <c r="D6194" s="12" t="str">
        <f ca="1">IFERROR(__xludf.DUMMYFUNCTION("""COMPUTED_VALUE"""),"内丸 裕子")</f>
        <v>内丸 裕子</v>
      </c>
    </row>
    <row r="6195" spans="2:4" ht="13">
      <c r="B6195" s="12">
        <f ca="1">IFERROR(__xludf.DUMMYFUNCTION("""COMPUTED_VALUE"""),133711)</f>
        <v>133711</v>
      </c>
      <c r="C6195" s="14">
        <f ca="1">IFERROR(__xludf.DUMMYFUNCTION("""COMPUTED_VALUE"""),15)</f>
        <v>15</v>
      </c>
      <c r="D6195" s="12" t="str">
        <f ca="1">IFERROR(__xludf.DUMMYFUNCTION("""COMPUTED_VALUE"""),"成嶋 夏未")</f>
        <v>成嶋 夏未</v>
      </c>
    </row>
    <row r="6196" spans="2:4" ht="13">
      <c r="B6196" s="12">
        <f ca="1">IFERROR(__xludf.DUMMYFUNCTION("""COMPUTED_VALUE"""),133716)</f>
        <v>133716</v>
      </c>
      <c r="C6196" s="14">
        <f ca="1">IFERROR(__xludf.DUMMYFUNCTION("""COMPUTED_VALUE"""),0)</f>
        <v>0</v>
      </c>
      <c r="D6196" s="12" t="str">
        <f ca="1">IFERROR(__xludf.DUMMYFUNCTION("""COMPUTED_VALUE"""),"田嶋 将太")</f>
        <v>田嶋 将太</v>
      </c>
    </row>
    <row r="6197" spans="2:4" ht="13">
      <c r="B6197" s="12">
        <f ca="1">IFERROR(__xludf.DUMMYFUNCTION("""COMPUTED_VALUE"""),133720)</f>
        <v>133720</v>
      </c>
      <c r="C6197" s="14">
        <f ca="1">IFERROR(__xludf.DUMMYFUNCTION("""COMPUTED_VALUE"""),1)</f>
        <v>1</v>
      </c>
      <c r="D6197" s="12" t="str">
        <f ca="1">IFERROR(__xludf.DUMMYFUNCTION("""COMPUTED_VALUE"""),"栗原 大武")</f>
        <v>栗原 大武</v>
      </c>
    </row>
    <row r="6198" spans="2:4" ht="13">
      <c r="B6198" s="12">
        <f ca="1">IFERROR(__xludf.DUMMYFUNCTION("""COMPUTED_VALUE"""),133722)</f>
        <v>133722</v>
      </c>
      <c r="C6198" s="14">
        <f ca="1">IFERROR(__xludf.DUMMYFUNCTION("""COMPUTED_VALUE"""),0)</f>
        <v>0</v>
      </c>
      <c r="D6198" s="12" t="str">
        <f ca="1">IFERROR(__xludf.DUMMYFUNCTION("""COMPUTED_VALUE"""),"栗原 大武")</f>
        <v>栗原 大武</v>
      </c>
    </row>
    <row r="6199" spans="2:4" ht="13">
      <c r="B6199" s="12">
        <f ca="1">IFERROR(__xludf.DUMMYFUNCTION("""COMPUTED_VALUE"""),133725)</f>
        <v>133725</v>
      </c>
      <c r="C6199" s="14">
        <f ca="1">IFERROR(__xludf.DUMMYFUNCTION("""COMPUTED_VALUE"""),6)</f>
        <v>6</v>
      </c>
      <c r="D6199" s="12" t="str">
        <f ca="1">IFERROR(__xludf.DUMMYFUNCTION("""COMPUTED_VALUE"""),"川島 幹也")</f>
        <v>川島 幹也</v>
      </c>
    </row>
    <row r="6200" spans="2:4" ht="13">
      <c r="B6200" s="12">
        <f ca="1">IFERROR(__xludf.DUMMYFUNCTION("""COMPUTED_VALUE"""),133726)</f>
        <v>133726</v>
      </c>
      <c r="C6200" s="14">
        <f ca="1">IFERROR(__xludf.DUMMYFUNCTION("""COMPUTED_VALUE"""),6)</f>
        <v>6</v>
      </c>
      <c r="D6200" s="12" t="str">
        <f ca="1">IFERROR(__xludf.DUMMYFUNCTION("""COMPUTED_VALUE"""),"川島 幹也")</f>
        <v>川島 幹也</v>
      </c>
    </row>
    <row r="6201" spans="2:4" ht="13">
      <c r="B6201" s="12">
        <f ca="1">IFERROR(__xludf.DUMMYFUNCTION("""COMPUTED_VALUE"""),133730)</f>
        <v>133730</v>
      </c>
      <c r="C6201" s="14">
        <f ca="1">IFERROR(__xludf.DUMMYFUNCTION("""COMPUTED_VALUE"""),0)</f>
        <v>0</v>
      </c>
      <c r="D6201" s="12" t="str">
        <f ca="1">IFERROR(__xludf.DUMMYFUNCTION("""COMPUTED_VALUE"""),"大木 優香")</f>
        <v>大木 優香</v>
      </c>
    </row>
    <row r="6202" spans="2:4" ht="13">
      <c r="B6202" s="12">
        <f ca="1">IFERROR(__xludf.DUMMYFUNCTION("""COMPUTED_VALUE"""),133739)</f>
        <v>133739</v>
      </c>
      <c r="C6202" s="14">
        <f ca="1">IFERROR(__xludf.DUMMYFUNCTION("""COMPUTED_VALUE"""),0)</f>
        <v>0</v>
      </c>
      <c r="D6202" s="12" t="str">
        <f ca="1">IFERROR(__xludf.DUMMYFUNCTION("""COMPUTED_VALUE"""),"村上 浩一朗")</f>
        <v>村上 浩一朗</v>
      </c>
    </row>
    <row r="6203" spans="2:4" ht="13">
      <c r="B6203" s="12">
        <f ca="1">IFERROR(__xludf.DUMMYFUNCTION("""COMPUTED_VALUE"""),133750)</f>
        <v>133750</v>
      </c>
      <c r="C6203" s="14">
        <f ca="1">IFERROR(__xludf.DUMMYFUNCTION("""COMPUTED_VALUE"""),0)</f>
        <v>0</v>
      </c>
      <c r="D6203" s="12" t="str">
        <f ca="1">IFERROR(__xludf.DUMMYFUNCTION("""COMPUTED_VALUE"""),"桐山 勝気")</f>
        <v>桐山 勝気</v>
      </c>
    </row>
    <row r="6204" spans="2:4" ht="13">
      <c r="B6204" s="12">
        <f ca="1">IFERROR(__xludf.DUMMYFUNCTION("""COMPUTED_VALUE"""),133754)</f>
        <v>133754</v>
      </c>
      <c r="C6204" s="14">
        <f ca="1">IFERROR(__xludf.DUMMYFUNCTION("""COMPUTED_VALUE"""),6)</f>
        <v>6</v>
      </c>
      <c r="D6204" s="12" t="str">
        <f ca="1">IFERROR(__xludf.DUMMYFUNCTION("""COMPUTED_VALUE"""),"栗原 大武")</f>
        <v>栗原 大武</v>
      </c>
    </row>
    <row r="6205" spans="2:4" ht="13">
      <c r="B6205" s="12">
        <f ca="1">IFERROR(__xludf.DUMMYFUNCTION("""COMPUTED_VALUE"""),133760)</f>
        <v>133760</v>
      </c>
      <c r="C6205" s="14">
        <f ca="1">IFERROR(__xludf.DUMMYFUNCTION("""COMPUTED_VALUE"""),0)</f>
        <v>0</v>
      </c>
      <c r="D6205" s="12" t="str">
        <f ca="1">IFERROR(__xludf.DUMMYFUNCTION("""COMPUTED_VALUE"""),"荻曽 克輝")</f>
        <v>荻曽 克輝</v>
      </c>
    </row>
    <row r="6206" spans="2:4" ht="13">
      <c r="B6206" s="12">
        <f ca="1">IFERROR(__xludf.DUMMYFUNCTION("""COMPUTED_VALUE"""),133763)</f>
        <v>133763</v>
      </c>
      <c r="C6206" s="14">
        <f ca="1">IFERROR(__xludf.DUMMYFUNCTION("""COMPUTED_VALUE"""),0)</f>
        <v>0</v>
      </c>
      <c r="D6206" s="12" t="str">
        <f ca="1">IFERROR(__xludf.DUMMYFUNCTION("""COMPUTED_VALUE"""),"小関 麻起")</f>
        <v>小関 麻起</v>
      </c>
    </row>
    <row r="6207" spans="2:4" ht="13">
      <c r="B6207" s="12">
        <f ca="1">IFERROR(__xludf.DUMMYFUNCTION("""COMPUTED_VALUE"""),133764)</f>
        <v>133764</v>
      </c>
      <c r="C6207" s="14">
        <f ca="1">IFERROR(__xludf.DUMMYFUNCTION("""COMPUTED_VALUE"""),28)</f>
        <v>28</v>
      </c>
      <c r="D6207" s="12" t="str">
        <f ca="1">IFERROR(__xludf.DUMMYFUNCTION("""COMPUTED_VALUE"""),"成嶋 夏未")</f>
        <v>成嶋 夏未</v>
      </c>
    </row>
    <row r="6208" spans="2:4" ht="13">
      <c r="B6208" s="12">
        <f ca="1">IFERROR(__xludf.DUMMYFUNCTION("""COMPUTED_VALUE"""),133772)</f>
        <v>133772</v>
      </c>
      <c r="C6208" s="14">
        <f ca="1">IFERROR(__xludf.DUMMYFUNCTION("""COMPUTED_VALUE"""),0)</f>
        <v>0</v>
      </c>
      <c r="D6208" s="12" t="str">
        <f ca="1">IFERROR(__xludf.DUMMYFUNCTION("""COMPUTED_VALUE"""),"稲場 勇介")</f>
        <v>稲場 勇介</v>
      </c>
    </row>
    <row r="6209" spans="2:4" ht="13">
      <c r="B6209" s="12">
        <f ca="1">IFERROR(__xludf.DUMMYFUNCTION("""COMPUTED_VALUE"""),133778)</f>
        <v>133778</v>
      </c>
      <c r="C6209" s="14">
        <f ca="1">IFERROR(__xludf.DUMMYFUNCTION("""COMPUTED_VALUE"""),8)</f>
        <v>8</v>
      </c>
      <c r="D6209" s="12" t="str">
        <f ca="1">IFERROR(__xludf.DUMMYFUNCTION("""COMPUTED_VALUE"""),"成嶋 夏未")</f>
        <v>成嶋 夏未</v>
      </c>
    </row>
    <row r="6210" spans="2:4" ht="13">
      <c r="B6210" s="12">
        <f ca="1">IFERROR(__xludf.DUMMYFUNCTION("""COMPUTED_VALUE"""),133781)</f>
        <v>133781</v>
      </c>
      <c r="C6210" s="14">
        <f ca="1">IFERROR(__xludf.DUMMYFUNCTION("""COMPUTED_VALUE"""),5)</f>
        <v>5</v>
      </c>
      <c r="D6210" s="12" t="str">
        <f ca="1">IFERROR(__xludf.DUMMYFUNCTION("""COMPUTED_VALUE"""),"小川 純")</f>
        <v>小川 純</v>
      </c>
    </row>
    <row r="6211" spans="2:4" ht="13">
      <c r="B6211" s="12">
        <f ca="1">IFERROR(__xludf.DUMMYFUNCTION("""COMPUTED_VALUE"""),133783)</f>
        <v>133783</v>
      </c>
      <c r="C6211" s="14">
        <f ca="1">IFERROR(__xludf.DUMMYFUNCTION("""COMPUTED_VALUE"""),0)</f>
        <v>0</v>
      </c>
      <c r="D6211" s="12" t="str">
        <f ca="1">IFERROR(__xludf.DUMMYFUNCTION("""COMPUTED_VALUE"""),"荻曽 克輝")</f>
        <v>荻曽 克輝</v>
      </c>
    </row>
    <row r="6212" spans="2:4" ht="13">
      <c r="B6212" s="12">
        <f ca="1">IFERROR(__xludf.DUMMYFUNCTION("""COMPUTED_VALUE"""),133784)</f>
        <v>133784</v>
      </c>
      <c r="C6212" s="14">
        <f ca="1">IFERROR(__xludf.DUMMYFUNCTION("""COMPUTED_VALUE"""),17)</f>
        <v>17</v>
      </c>
      <c r="D6212" s="12" t="str">
        <f ca="1">IFERROR(__xludf.DUMMYFUNCTION("""COMPUTED_VALUE"""),"老田 純輝")</f>
        <v>老田 純輝</v>
      </c>
    </row>
    <row r="6213" spans="2:4" ht="13">
      <c r="B6213" s="12">
        <f ca="1">IFERROR(__xludf.DUMMYFUNCTION("""COMPUTED_VALUE"""),133785)</f>
        <v>133785</v>
      </c>
      <c r="C6213" s="14">
        <f ca="1">IFERROR(__xludf.DUMMYFUNCTION("""COMPUTED_VALUE"""),1)</f>
        <v>1</v>
      </c>
      <c r="D6213" s="12" t="str">
        <f ca="1">IFERROR(__xludf.DUMMYFUNCTION("""COMPUTED_VALUE"""),"老田 純輝")</f>
        <v>老田 純輝</v>
      </c>
    </row>
    <row r="6214" spans="2:4" ht="13">
      <c r="B6214" s="12">
        <f ca="1">IFERROR(__xludf.DUMMYFUNCTION("""COMPUTED_VALUE"""),133790)</f>
        <v>133790</v>
      </c>
      <c r="C6214" s="14">
        <f ca="1">IFERROR(__xludf.DUMMYFUNCTION("""COMPUTED_VALUE"""),70)</f>
        <v>70</v>
      </c>
      <c r="D6214" s="12" t="str">
        <f ca="1">IFERROR(__xludf.DUMMYFUNCTION("""COMPUTED_VALUE"""),"栗原 大武")</f>
        <v>栗原 大武</v>
      </c>
    </row>
    <row r="6215" spans="2:4" ht="13">
      <c r="B6215" s="12">
        <f ca="1">IFERROR(__xludf.DUMMYFUNCTION("""COMPUTED_VALUE"""),133792)</f>
        <v>133792</v>
      </c>
      <c r="C6215" s="14">
        <f ca="1">IFERROR(__xludf.DUMMYFUNCTION("""COMPUTED_VALUE"""),0)</f>
        <v>0</v>
      </c>
      <c r="D6215" s="12" t="str">
        <f ca="1">IFERROR(__xludf.DUMMYFUNCTION("""COMPUTED_VALUE"""),"村上 浩一朗")</f>
        <v>村上 浩一朗</v>
      </c>
    </row>
    <row r="6216" spans="2:4" ht="13">
      <c r="B6216" s="12">
        <f ca="1">IFERROR(__xludf.DUMMYFUNCTION("""COMPUTED_VALUE"""),133804)</f>
        <v>133804</v>
      </c>
      <c r="C6216" s="14">
        <f ca="1">IFERROR(__xludf.DUMMYFUNCTION("""COMPUTED_VALUE"""),0)</f>
        <v>0</v>
      </c>
      <c r="D6216" s="12" t="str">
        <f ca="1">IFERROR(__xludf.DUMMYFUNCTION("""COMPUTED_VALUE"""),"長谷川 陸朗")</f>
        <v>長谷川 陸朗</v>
      </c>
    </row>
    <row r="6217" spans="2:4" ht="13">
      <c r="B6217" s="12">
        <f ca="1">IFERROR(__xludf.DUMMYFUNCTION("""COMPUTED_VALUE"""),133805)</f>
        <v>133805</v>
      </c>
      <c r="C6217" s="14">
        <f ca="1">IFERROR(__xludf.DUMMYFUNCTION("""COMPUTED_VALUE"""),0)</f>
        <v>0</v>
      </c>
      <c r="D6217" s="12" t="str">
        <f ca="1">IFERROR(__xludf.DUMMYFUNCTION("""COMPUTED_VALUE"""),"小関 麻起")</f>
        <v>小関 麻起</v>
      </c>
    </row>
    <row r="6218" spans="2:4" ht="13">
      <c r="B6218" s="12">
        <f ca="1">IFERROR(__xludf.DUMMYFUNCTION("""COMPUTED_VALUE"""),133806)</f>
        <v>133806</v>
      </c>
      <c r="C6218" s="14">
        <f ca="1">IFERROR(__xludf.DUMMYFUNCTION("""COMPUTED_VALUE"""),2)</f>
        <v>2</v>
      </c>
      <c r="D6218" s="12" t="str">
        <f ca="1">IFERROR(__xludf.DUMMYFUNCTION("""COMPUTED_VALUE"""),"稲場 勇介")</f>
        <v>稲場 勇介</v>
      </c>
    </row>
    <row r="6219" spans="2:4" ht="13">
      <c r="B6219" s="12">
        <f ca="1">IFERROR(__xludf.DUMMYFUNCTION("""COMPUTED_VALUE"""),133807)</f>
        <v>133807</v>
      </c>
      <c r="C6219" s="14">
        <f ca="1">IFERROR(__xludf.DUMMYFUNCTION("""COMPUTED_VALUE"""),0)</f>
        <v>0</v>
      </c>
      <c r="D6219" s="12" t="str">
        <f ca="1">IFERROR(__xludf.DUMMYFUNCTION("""COMPUTED_VALUE"""),"稲場 勇介")</f>
        <v>稲場 勇介</v>
      </c>
    </row>
    <row r="6220" spans="2:4" ht="13">
      <c r="B6220" s="12">
        <f ca="1">IFERROR(__xludf.DUMMYFUNCTION("""COMPUTED_VALUE"""),133809)</f>
        <v>133809</v>
      </c>
      <c r="C6220" s="14">
        <f ca="1">IFERROR(__xludf.DUMMYFUNCTION("""COMPUTED_VALUE"""),8)</f>
        <v>8</v>
      </c>
      <c r="D6220" s="12" t="str">
        <f ca="1">IFERROR(__xludf.DUMMYFUNCTION("""COMPUTED_VALUE"""),"成嶋 夏未")</f>
        <v>成嶋 夏未</v>
      </c>
    </row>
    <row r="6221" spans="2:4" ht="13">
      <c r="B6221" s="12">
        <f ca="1">IFERROR(__xludf.DUMMYFUNCTION("""COMPUTED_VALUE"""),133817)</f>
        <v>133817</v>
      </c>
      <c r="C6221" s="14">
        <f ca="1">IFERROR(__xludf.DUMMYFUNCTION("""COMPUTED_VALUE"""),0)</f>
        <v>0</v>
      </c>
      <c r="D6221" s="12" t="str">
        <f ca="1">IFERROR(__xludf.DUMMYFUNCTION("""COMPUTED_VALUE"""),"桐山 勝気")</f>
        <v>桐山 勝気</v>
      </c>
    </row>
    <row r="6222" spans="2:4" ht="13">
      <c r="B6222" s="12">
        <f ca="1">IFERROR(__xludf.DUMMYFUNCTION("""COMPUTED_VALUE"""),133818)</f>
        <v>133818</v>
      </c>
      <c r="C6222" s="14">
        <f ca="1">IFERROR(__xludf.DUMMYFUNCTION("""COMPUTED_VALUE"""),0)</f>
        <v>0</v>
      </c>
      <c r="D6222" s="12" t="str">
        <f ca="1">IFERROR(__xludf.DUMMYFUNCTION("""COMPUTED_VALUE"""),"栗原 大武")</f>
        <v>栗原 大武</v>
      </c>
    </row>
    <row r="6223" spans="2:4" ht="13">
      <c r="B6223" s="12">
        <f ca="1">IFERROR(__xludf.DUMMYFUNCTION("""COMPUTED_VALUE"""),133819)</f>
        <v>133819</v>
      </c>
      <c r="C6223" s="14">
        <f ca="1">IFERROR(__xludf.DUMMYFUNCTION("""COMPUTED_VALUE"""),0)</f>
        <v>0</v>
      </c>
      <c r="D6223" s="12" t="str">
        <f ca="1">IFERROR(__xludf.DUMMYFUNCTION("""COMPUTED_VALUE"""),"桐山 勝気")</f>
        <v>桐山 勝気</v>
      </c>
    </row>
    <row r="6224" spans="2:4" ht="13">
      <c r="B6224" s="12">
        <f ca="1">IFERROR(__xludf.DUMMYFUNCTION("""COMPUTED_VALUE"""),133821)</f>
        <v>133821</v>
      </c>
      <c r="C6224" s="14">
        <f ca="1">IFERROR(__xludf.DUMMYFUNCTION("""COMPUTED_VALUE"""),0)</f>
        <v>0</v>
      </c>
      <c r="D6224" s="12" t="str">
        <f ca="1">IFERROR(__xludf.DUMMYFUNCTION("""COMPUTED_VALUE"""),"辻村 将大")</f>
        <v>辻村 将大</v>
      </c>
    </row>
    <row r="6225" spans="2:4" ht="13">
      <c r="B6225" s="12">
        <f ca="1">IFERROR(__xludf.DUMMYFUNCTION("""COMPUTED_VALUE"""),133831)</f>
        <v>133831</v>
      </c>
      <c r="C6225" s="14">
        <f ca="1">IFERROR(__xludf.DUMMYFUNCTION("""COMPUTED_VALUE"""),0)</f>
        <v>0</v>
      </c>
      <c r="D6225" s="12" t="str">
        <f ca="1">IFERROR(__xludf.DUMMYFUNCTION("""COMPUTED_VALUE"""),"菅野 ぎんが")</f>
        <v>菅野 ぎんが</v>
      </c>
    </row>
    <row r="6226" spans="2:4" ht="13">
      <c r="B6226" s="12">
        <f ca="1">IFERROR(__xludf.DUMMYFUNCTION("""COMPUTED_VALUE"""),133832)</f>
        <v>133832</v>
      </c>
      <c r="C6226" s="14">
        <f ca="1">IFERROR(__xludf.DUMMYFUNCTION("""COMPUTED_VALUE"""),0)</f>
        <v>0</v>
      </c>
      <c r="D6226" s="12" t="str">
        <f ca="1">IFERROR(__xludf.DUMMYFUNCTION("""COMPUTED_VALUE"""),"菅野 ぎんが")</f>
        <v>菅野 ぎんが</v>
      </c>
    </row>
    <row r="6227" spans="2:4" ht="13">
      <c r="B6227" s="12">
        <f ca="1">IFERROR(__xludf.DUMMYFUNCTION("""COMPUTED_VALUE"""),133833)</f>
        <v>133833</v>
      </c>
      <c r="C6227" s="14">
        <f ca="1">IFERROR(__xludf.DUMMYFUNCTION("""COMPUTED_VALUE"""),0)</f>
        <v>0</v>
      </c>
      <c r="D6227" s="12" t="str">
        <f ca="1">IFERROR(__xludf.DUMMYFUNCTION("""COMPUTED_VALUE"""),"小関 麻起")</f>
        <v>小関 麻起</v>
      </c>
    </row>
    <row r="6228" spans="2:4" ht="13">
      <c r="B6228" s="12">
        <f ca="1">IFERROR(__xludf.DUMMYFUNCTION("""COMPUTED_VALUE"""),133842)</f>
        <v>133842</v>
      </c>
      <c r="C6228" s="14">
        <f ca="1">IFERROR(__xludf.DUMMYFUNCTION("""COMPUTED_VALUE"""),0)</f>
        <v>0</v>
      </c>
      <c r="D6228" s="12" t="str">
        <f ca="1">IFERROR(__xludf.DUMMYFUNCTION("""COMPUTED_VALUE"""),"成嶋 夏未")</f>
        <v>成嶋 夏未</v>
      </c>
    </row>
    <row r="6229" spans="2:4" ht="13">
      <c r="B6229" s="12">
        <f ca="1">IFERROR(__xludf.DUMMYFUNCTION("""COMPUTED_VALUE"""),133843)</f>
        <v>133843</v>
      </c>
      <c r="C6229" s="14">
        <f ca="1">IFERROR(__xludf.DUMMYFUNCTION("""COMPUTED_VALUE"""),0)</f>
        <v>0</v>
      </c>
      <c r="D6229" s="12" t="str">
        <f ca="1">IFERROR(__xludf.DUMMYFUNCTION("""COMPUTED_VALUE"""),"松尾 尚樹")</f>
        <v>松尾 尚樹</v>
      </c>
    </row>
    <row r="6230" spans="2:4" ht="13">
      <c r="B6230" s="12">
        <f ca="1">IFERROR(__xludf.DUMMYFUNCTION("""COMPUTED_VALUE"""),133850)</f>
        <v>133850</v>
      </c>
      <c r="C6230" s="14">
        <f ca="1">IFERROR(__xludf.DUMMYFUNCTION("""COMPUTED_VALUE"""),1)</f>
        <v>1</v>
      </c>
      <c r="D6230" s="12" t="str">
        <f ca="1">IFERROR(__xludf.DUMMYFUNCTION("""COMPUTED_VALUE"""),"田嶋 将太")</f>
        <v>田嶋 将太</v>
      </c>
    </row>
    <row r="6231" spans="2:4" ht="13">
      <c r="B6231" s="12">
        <f ca="1">IFERROR(__xludf.DUMMYFUNCTION("""COMPUTED_VALUE"""),133853)</f>
        <v>133853</v>
      </c>
      <c r="C6231" s="14">
        <f ca="1">IFERROR(__xludf.DUMMYFUNCTION("""COMPUTED_VALUE"""),0)</f>
        <v>0</v>
      </c>
      <c r="D6231" s="12" t="str">
        <f ca="1">IFERROR(__xludf.DUMMYFUNCTION("""COMPUTED_VALUE"""),"芳賀 亮輔")</f>
        <v>芳賀 亮輔</v>
      </c>
    </row>
    <row r="6232" spans="2:4" ht="13">
      <c r="B6232" s="12">
        <f ca="1">IFERROR(__xludf.DUMMYFUNCTION("""COMPUTED_VALUE"""),133855)</f>
        <v>133855</v>
      </c>
      <c r="C6232" s="14">
        <f ca="1">IFERROR(__xludf.DUMMYFUNCTION("""COMPUTED_VALUE"""),6)</f>
        <v>6</v>
      </c>
      <c r="D6232" s="12" t="str">
        <f ca="1">IFERROR(__xludf.DUMMYFUNCTION("""COMPUTED_VALUE"""),"小関 麻起")</f>
        <v>小関 麻起</v>
      </c>
    </row>
    <row r="6233" spans="2:4" ht="13">
      <c r="B6233" s="12">
        <f ca="1">IFERROR(__xludf.DUMMYFUNCTION("""COMPUTED_VALUE"""),133872)</f>
        <v>133872</v>
      </c>
      <c r="C6233" s="14">
        <f ca="1">IFERROR(__xludf.DUMMYFUNCTION("""COMPUTED_VALUE"""),0)</f>
        <v>0</v>
      </c>
      <c r="D6233" s="12" t="str">
        <f ca="1">IFERROR(__xludf.DUMMYFUNCTION("""COMPUTED_VALUE"""),"村上 浩一朗")</f>
        <v>村上 浩一朗</v>
      </c>
    </row>
    <row r="6234" spans="2:4" ht="13">
      <c r="B6234" s="12">
        <f ca="1">IFERROR(__xludf.DUMMYFUNCTION("""COMPUTED_VALUE"""),133873)</f>
        <v>133873</v>
      </c>
      <c r="C6234" s="14">
        <f ca="1">IFERROR(__xludf.DUMMYFUNCTION("""COMPUTED_VALUE"""),0)</f>
        <v>0</v>
      </c>
      <c r="D6234" s="12" t="str">
        <f ca="1">IFERROR(__xludf.DUMMYFUNCTION("""COMPUTED_VALUE"""),"芳賀 亮輔")</f>
        <v>芳賀 亮輔</v>
      </c>
    </row>
    <row r="6235" spans="2:4" ht="13">
      <c r="B6235" s="12">
        <f ca="1">IFERROR(__xludf.DUMMYFUNCTION("""COMPUTED_VALUE"""),133874)</f>
        <v>133874</v>
      </c>
      <c r="C6235" s="14">
        <f ca="1">IFERROR(__xludf.DUMMYFUNCTION("""COMPUTED_VALUE"""),0)</f>
        <v>0</v>
      </c>
      <c r="D6235" s="12" t="str">
        <f ca="1">IFERROR(__xludf.DUMMYFUNCTION("""COMPUTED_VALUE"""),"辻村 将大")</f>
        <v>辻村 将大</v>
      </c>
    </row>
    <row r="6236" spans="2:4" ht="13">
      <c r="B6236" s="12">
        <f ca="1">IFERROR(__xludf.DUMMYFUNCTION("""COMPUTED_VALUE"""),133875)</f>
        <v>133875</v>
      </c>
      <c r="C6236" s="14">
        <f ca="1">IFERROR(__xludf.DUMMYFUNCTION("""COMPUTED_VALUE"""),0)</f>
        <v>0</v>
      </c>
      <c r="D6236" s="12" t="str">
        <f ca="1">IFERROR(__xludf.DUMMYFUNCTION("""COMPUTED_VALUE"""),"荻曽 克輝")</f>
        <v>荻曽 克輝</v>
      </c>
    </row>
    <row r="6237" spans="2:4" ht="13">
      <c r="B6237" s="12">
        <f ca="1">IFERROR(__xludf.DUMMYFUNCTION("""COMPUTED_VALUE"""),133883)</f>
        <v>133883</v>
      </c>
      <c r="C6237" s="14">
        <f ca="1">IFERROR(__xludf.DUMMYFUNCTION("""COMPUTED_VALUE"""),0)</f>
        <v>0</v>
      </c>
      <c r="D6237" s="12" t="str">
        <f ca="1">IFERROR(__xludf.DUMMYFUNCTION("""COMPUTED_VALUE"""),"成嶋 夏未")</f>
        <v>成嶋 夏未</v>
      </c>
    </row>
    <row r="6238" spans="2:4" ht="13">
      <c r="B6238" s="12">
        <f ca="1">IFERROR(__xludf.DUMMYFUNCTION("""COMPUTED_VALUE"""),133884)</f>
        <v>133884</v>
      </c>
      <c r="C6238" s="14">
        <f ca="1">IFERROR(__xludf.DUMMYFUNCTION("""COMPUTED_VALUE"""),0)</f>
        <v>0</v>
      </c>
      <c r="D6238" s="12" t="str">
        <f ca="1">IFERROR(__xludf.DUMMYFUNCTION("""COMPUTED_VALUE"""),"桐山 勝気")</f>
        <v>桐山 勝気</v>
      </c>
    </row>
    <row r="6239" spans="2:4" ht="13">
      <c r="B6239" s="12">
        <f ca="1">IFERROR(__xludf.DUMMYFUNCTION("""COMPUTED_VALUE"""),133886)</f>
        <v>133886</v>
      </c>
      <c r="C6239" s="14">
        <f ca="1">IFERROR(__xludf.DUMMYFUNCTION("""COMPUTED_VALUE"""),0)</f>
        <v>0</v>
      </c>
      <c r="D6239" s="12" t="str">
        <f ca="1">IFERROR(__xludf.DUMMYFUNCTION("""COMPUTED_VALUE"""),"松尾 尚樹")</f>
        <v>松尾 尚樹</v>
      </c>
    </row>
    <row r="6240" spans="2:4" ht="13">
      <c r="B6240" s="12">
        <f ca="1">IFERROR(__xludf.DUMMYFUNCTION("""COMPUTED_VALUE"""),133893)</f>
        <v>133893</v>
      </c>
      <c r="C6240" s="14">
        <f ca="1">IFERROR(__xludf.DUMMYFUNCTION("""COMPUTED_VALUE"""),0)</f>
        <v>0</v>
      </c>
      <c r="D6240" s="12" t="str">
        <f ca="1">IFERROR(__xludf.DUMMYFUNCTION("""COMPUTED_VALUE"""),"荻曽 克輝")</f>
        <v>荻曽 克輝</v>
      </c>
    </row>
    <row r="6241" spans="2:4" ht="13">
      <c r="B6241" s="12">
        <f ca="1">IFERROR(__xludf.DUMMYFUNCTION("""COMPUTED_VALUE"""),133895)</f>
        <v>133895</v>
      </c>
      <c r="C6241" s="14">
        <f ca="1">IFERROR(__xludf.DUMMYFUNCTION("""COMPUTED_VALUE"""),2)</f>
        <v>2</v>
      </c>
      <c r="D6241" s="12" t="str">
        <f ca="1">IFERROR(__xludf.DUMMYFUNCTION("""COMPUTED_VALUE"""),"桑原 明子")</f>
        <v>桑原 明子</v>
      </c>
    </row>
    <row r="6242" spans="2:4" ht="13">
      <c r="B6242" s="12">
        <f ca="1">IFERROR(__xludf.DUMMYFUNCTION("""COMPUTED_VALUE"""),133896)</f>
        <v>133896</v>
      </c>
      <c r="C6242" s="14">
        <f ca="1">IFERROR(__xludf.DUMMYFUNCTION("""COMPUTED_VALUE"""),10)</f>
        <v>10</v>
      </c>
      <c r="D6242" s="12" t="str">
        <f ca="1">IFERROR(__xludf.DUMMYFUNCTION("""COMPUTED_VALUE"""),"荻曽 克輝")</f>
        <v>荻曽 克輝</v>
      </c>
    </row>
    <row r="6243" spans="2:4" ht="13">
      <c r="B6243" s="12">
        <f ca="1">IFERROR(__xludf.DUMMYFUNCTION("""COMPUTED_VALUE"""),133898)</f>
        <v>133898</v>
      </c>
      <c r="C6243" s="14">
        <f ca="1">IFERROR(__xludf.DUMMYFUNCTION("""COMPUTED_VALUE"""),0)</f>
        <v>0</v>
      </c>
      <c r="D6243" s="12" t="str">
        <f ca="1">IFERROR(__xludf.DUMMYFUNCTION("""COMPUTED_VALUE"""),"松尾 尚樹")</f>
        <v>松尾 尚樹</v>
      </c>
    </row>
    <row r="6244" spans="2:4" ht="13">
      <c r="B6244" s="12">
        <f ca="1">IFERROR(__xludf.DUMMYFUNCTION("""COMPUTED_VALUE"""),133900)</f>
        <v>133900</v>
      </c>
      <c r="C6244" s="14">
        <f ca="1">IFERROR(__xludf.DUMMYFUNCTION("""COMPUTED_VALUE"""),3)</f>
        <v>3</v>
      </c>
      <c r="D6244" s="12" t="str">
        <f ca="1">IFERROR(__xludf.DUMMYFUNCTION("""COMPUTED_VALUE"""),"松尾 尚樹")</f>
        <v>松尾 尚樹</v>
      </c>
    </row>
    <row r="6245" spans="2:4" ht="13">
      <c r="B6245" s="12">
        <f ca="1">IFERROR(__xludf.DUMMYFUNCTION("""COMPUTED_VALUE"""),133901)</f>
        <v>133901</v>
      </c>
      <c r="C6245" s="14">
        <f ca="1">IFERROR(__xludf.DUMMYFUNCTION("""COMPUTED_VALUE"""),13)</f>
        <v>13</v>
      </c>
      <c r="D6245" s="12" t="str">
        <f ca="1">IFERROR(__xludf.DUMMYFUNCTION("""COMPUTED_VALUE"""),"稲場 勇介")</f>
        <v>稲場 勇介</v>
      </c>
    </row>
    <row r="6246" spans="2:4" ht="13">
      <c r="B6246" s="12">
        <f ca="1">IFERROR(__xludf.DUMMYFUNCTION("""COMPUTED_VALUE"""),133905)</f>
        <v>133905</v>
      </c>
      <c r="C6246" s="14">
        <f ca="1">IFERROR(__xludf.DUMMYFUNCTION("""COMPUTED_VALUE"""),0)</f>
        <v>0</v>
      </c>
      <c r="D6246" s="12" t="str">
        <f ca="1">IFERROR(__xludf.DUMMYFUNCTION("""COMPUTED_VALUE"""),"村上 浩一朗")</f>
        <v>村上 浩一朗</v>
      </c>
    </row>
    <row r="6247" spans="2:4" ht="13">
      <c r="B6247" s="12">
        <f ca="1">IFERROR(__xludf.DUMMYFUNCTION("""COMPUTED_VALUE"""),133912)</f>
        <v>133912</v>
      </c>
      <c r="C6247" s="14">
        <f ca="1">IFERROR(__xludf.DUMMYFUNCTION("""COMPUTED_VALUE"""),0)</f>
        <v>0</v>
      </c>
      <c r="D6247" s="12" t="str">
        <f ca="1">IFERROR(__xludf.DUMMYFUNCTION("""COMPUTED_VALUE"""),"堀越 駿")</f>
        <v>堀越 駿</v>
      </c>
    </row>
    <row r="6248" spans="2:4" ht="13">
      <c r="B6248" s="12">
        <f ca="1">IFERROR(__xludf.DUMMYFUNCTION("""COMPUTED_VALUE"""),133913)</f>
        <v>133913</v>
      </c>
      <c r="C6248" s="14">
        <f ca="1">IFERROR(__xludf.DUMMYFUNCTION("""COMPUTED_VALUE"""),0)</f>
        <v>0</v>
      </c>
      <c r="D6248" s="12" t="str">
        <f ca="1">IFERROR(__xludf.DUMMYFUNCTION("""COMPUTED_VALUE"""),"芳賀 亮輔")</f>
        <v>芳賀 亮輔</v>
      </c>
    </row>
    <row r="6249" spans="2:4" ht="13">
      <c r="B6249" s="12">
        <f ca="1">IFERROR(__xludf.DUMMYFUNCTION("""COMPUTED_VALUE"""),133914)</f>
        <v>133914</v>
      </c>
      <c r="C6249" s="14">
        <f ca="1">IFERROR(__xludf.DUMMYFUNCTION("""COMPUTED_VALUE"""),0)</f>
        <v>0</v>
      </c>
      <c r="D6249" s="12" t="str">
        <f ca="1">IFERROR(__xludf.DUMMYFUNCTION("""COMPUTED_VALUE"""),"芳賀 亮輔")</f>
        <v>芳賀 亮輔</v>
      </c>
    </row>
    <row r="6250" spans="2:4" ht="13">
      <c r="B6250" s="12">
        <f ca="1">IFERROR(__xludf.DUMMYFUNCTION("""COMPUTED_VALUE"""),133919)</f>
        <v>133919</v>
      </c>
      <c r="C6250" s="14">
        <f ca="1">IFERROR(__xludf.DUMMYFUNCTION("""COMPUTED_VALUE"""),0)</f>
        <v>0</v>
      </c>
      <c r="D6250" s="12" t="str">
        <f ca="1">IFERROR(__xludf.DUMMYFUNCTION("""COMPUTED_VALUE"""),"内丸 裕子")</f>
        <v>内丸 裕子</v>
      </c>
    </row>
    <row r="6251" spans="2:4" ht="13">
      <c r="B6251" s="12">
        <f ca="1">IFERROR(__xludf.DUMMYFUNCTION("""COMPUTED_VALUE"""),133925)</f>
        <v>133925</v>
      </c>
      <c r="C6251" s="14">
        <f ca="1">IFERROR(__xludf.DUMMYFUNCTION("""COMPUTED_VALUE"""),0)</f>
        <v>0</v>
      </c>
      <c r="D6251" s="12" t="str">
        <f ca="1">IFERROR(__xludf.DUMMYFUNCTION("""COMPUTED_VALUE"""),"桐山 勝気")</f>
        <v>桐山 勝気</v>
      </c>
    </row>
    <row r="6252" spans="2:4" ht="13">
      <c r="B6252" s="12">
        <f ca="1">IFERROR(__xludf.DUMMYFUNCTION("""COMPUTED_VALUE"""),133927)</f>
        <v>133927</v>
      </c>
      <c r="C6252" s="14">
        <f ca="1">IFERROR(__xludf.DUMMYFUNCTION("""COMPUTED_VALUE"""),0)</f>
        <v>0</v>
      </c>
      <c r="D6252" s="12" t="str">
        <f ca="1">IFERROR(__xludf.DUMMYFUNCTION("""COMPUTED_VALUE"""),"松尾 尚樹")</f>
        <v>松尾 尚樹</v>
      </c>
    </row>
    <row r="6253" spans="2:4" ht="13">
      <c r="B6253" s="12">
        <f ca="1">IFERROR(__xludf.DUMMYFUNCTION("""COMPUTED_VALUE"""),133930)</f>
        <v>133930</v>
      </c>
      <c r="C6253" s="14">
        <f ca="1">IFERROR(__xludf.DUMMYFUNCTION("""COMPUTED_VALUE"""),8)</f>
        <v>8</v>
      </c>
      <c r="D6253" s="12" t="str">
        <f ca="1">IFERROR(__xludf.DUMMYFUNCTION("""COMPUTED_VALUE"""),"松尾 尚樹")</f>
        <v>松尾 尚樹</v>
      </c>
    </row>
    <row r="6254" spans="2:4" ht="13">
      <c r="B6254" s="12">
        <f ca="1">IFERROR(__xludf.DUMMYFUNCTION("""COMPUTED_VALUE"""),133932)</f>
        <v>133932</v>
      </c>
      <c r="C6254" s="14">
        <f ca="1">IFERROR(__xludf.DUMMYFUNCTION("""COMPUTED_VALUE"""),0)</f>
        <v>0</v>
      </c>
      <c r="D6254" s="12" t="str">
        <f ca="1">IFERROR(__xludf.DUMMYFUNCTION("""COMPUTED_VALUE"""),"辻村 将大")</f>
        <v>辻村 将大</v>
      </c>
    </row>
    <row r="6255" spans="2:4" ht="13">
      <c r="B6255" s="12">
        <f ca="1">IFERROR(__xludf.DUMMYFUNCTION("""COMPUTED_VALUE"""),133934)</f>
        <v>133934</v>
      </c>
      <c r="C6255" s="14">
        <f ca="1">IFERROR(__xludf.DUMMYFUNCTION("""COMPUTED_VALUE"""),5)</f>
        <v>5</v>
      </c>
      <c r="D6255" s="12" t="str">
        <f ca="1">IFERROR(__xludf.DUMMYFUNCTION("""COMPUTED_VALUE"""),"芳賀 亮輔")</f>
        <v>芳賀 亮輔</v>
      </c>
    </row>
    <row r="6256" spans="2:4" ht="13">
      <c r="B6256" s="12">
        <f ca="1">IFERROR(__xludf.DUMMYFUNCTION("""COMPUTED_VALUE"""),133936)</f>
        <v>133936</v>
      </c>
      <c r="C6256" s="14">
        <f ca="1">IFERROR(__xludf.DUMMYFUNCTION("""COMPUTED_VALUE"""),48)</f>
        <v>48</v>
      </c>
      <c r="D6256" s="12" t="str">
        <f ca="1">IFERROR(__xludf.DUMMYFUNCTION("""COMPUTED_VALUE"""),"老田 純輝")</f>
        <v>老田 純輝</v>
      </c>
    </row>
    <row r="6257" spans="2:4" ht="13">
      <c r="B6257" s="12">
        <f ca="1">IFERROR(__xludf.DUMMYFUNCTION("""COMPUTED_VALUE"""),133937)</f>
        <v>133937</v>
      </c>
      <c r="C6257" s="14">
        <f ca="1">IFERROR(__xludf.DUMMYFUNCTION("""COMPUTED_VALUE"""),18)</f>
        <v>18</v>
      </c>
      <c r="D6257" s="12" t="str">
        <f ca="1">IFERROR(__xludf.DUMMYFUNCTION("""COMPUTED_VALUE"""),"老田 純輝")</f>
        <v>老田 純輝</v>
      </c>
    </row>
    <row r="6258" spans="2:4" ht="13">
      <c r="B6258" s="12">
        <f ca="1">IFERROR(__xludf.DUMMYFUNCTION("""COMPUTED_VALUE"""),133944)</f>
        <v>133944</v>
      </c>
      <c r="C6258" s="14">
        <f ca="1">IFERROR(__xludf.DUMMYFUNCTION("""COMPUTED_VALUE"""),4)</f>
        <v>4</v>
      </c>
      <c r="D6258" s="12" t="str">
        <f ca="1">IFERROR(__xludf.DUMMYFUNCTION("""COMPUTED_VALUE"""),"川島 幹也")</f>
        <v>川島 幹也</v>
      </c>
    </row>
    <row r="6259" spans="2:4" ht="13">
      <c r="B6259" s="12">
        <f ca="1">IFERROR(__xludf.DUMMYFUNCTION("""COMPUTED_VALUE"""),133945)</f>
        <v>133945</v>
      </c>
      <c r="C6259" s="14">
        <f ca="1">IFERROR(__xludf.DUMMYFUNCTION("""COMPUTED_VALUE"""),4)</f>
        <v>4</v>
      </c>
      <c r="D6259" s="12" t="str">
        <f ca="1">IFERROR(__xludf.DUMMYFUNCTION("""COMPUTED_VALUE"""),"川島 幹也")</f>
        <v>川島 幹也</v>
      </c>
    </row>
    <row r="6260" spans="2:4" ht="13">
      <c r="B6260" s="12">
        <f ca="1">IFERROR(__xludf.DUMMYFUNCTION("""COMPUTED_VALUE"""),133946)</f>
        <v>133946</v>
      </c>
      <c r="C6260" s="14">
        <f ca="1">IFERROR(__xludf.DUMMYFUNCTION("""COMPUTED_VALUE"""),0)</f>
        <v>0</v>
      </c>
      <c r="D6260" s="12" t="str">
        <f ca="1">IFERROR(__xludf.DUMMYFUNCTION("""COMPUTED_VALUE"""),"川島 幹也")</f>
        <v>川島 幹也</v>
      </c>
    </row>
    <row r="6261" spans="2:4" ht="13">
      <c r="B6261" s="12">
        <f ca="1">IFERROR(__xludf.DUMMYFUNCTION("""COMPUTED_VALUE"""),133947)</f>
        <v>133947</v>
      </c>
      <c r="C6261" s="14">
        <f ca="1">IFERROR(__xludf.DUMMYFUNCTION("""COMPUTED_VALUE"""),0)</f>
        <v>0</v>
      </c>
      <c r="D6261" s="12" t="str">
        <f ca="1">IFERROR(__xludf.DUMMYFUNCTION("""COMPUTED_VALUE"""),"川島 幹也")</f>
        <v>川島 幹也</v>
      </c>
    </row>
    <row r="6262" spans="2:4" ht="13">
      <c r="B6262" s="12">
        <f ca="1">IFERROR(__xludf.DUMMYFUNCTION("""COMPUTED_VALUE"""),133948)</f>
        <v>133948</v>
      </c>
      <c r="C6262" s="14">
        <f ca="1">IFERROR(__xludf.DUMMYFUNCTION("""COMPUTED_VALUE"""),0)</f>
        <v>0</v>
      </c>
      <c r="D6262" s="12" t="str">
        <f ca="1">IFERROR(__xludf.DUMMYFUNCTION("""COMPUTED_VALUE"""),"川島 幹也")</f>
        <v>川島 幹也</v>
      </c>
    </row>
    <row r="6263" spans="2:4" ht="13">
      <c r="B6263" s="12">
        <f ca="1">IFERROR(__xludf.DUMMYFUNCTION("""COMPUTED_VALUE"""),133949)</f>
        <v>133949</v>
      </c>
      <c r="C6263" s="14">
        <f ca="1">IFERROR(__xludf.DUMMYFUNCTION("""COMPUTED_VALUE"""),0)</f>
        <v>0</v>
      </c>
      <c r="D6263" s="12" t="str">
        <f ca="1">IFERROR(__xludf.DUMMYFUNCTION("""COMPUTED_VALUE"""),"川島 幹也")</f>
        <v>川島 幹也</v>
      </c>
    </row>
    <row r="6264" spans="2:4" ht="13">
      <c r="B6264" s="12">
        <f ca="1">IFERROR(__xludf.DUMMYFUNCTION("""COMPUTED_VALUE"""),133950)</f>
        <v>133950</v>
      </c>
      <c r="C6264" s="14">
        <f ca="1">IFERROR(__xludf.DUMMYFUNCTION("""COMPUTED_VALUE"""),5)</f>
        <v>5</v>
      </c>
      <c r="D6264" s="12" t="str">
        <f ca="1">IFERROR(__xludf.DUMMYFUNCTION("""COMPUTED_VALUE"""),"川島 幹也")</f>
        <v>川島 幹也</v>
      </c>
    </row>
    <row r="6265" spans="2:4" ht="13">
      <c r="B6265" s="12">
        <f ca="1">IFERROR(__xludf.DUMMYFUNCTION("""COMPUTED_VALUE"""),133951)</f>
        <v>133951</v>
      </c>
      <c r="C6265" s="14">
        <f ca="1">IFERROR(__xludf.DUMMYFUNCTION("""COMPUTED_VALUE"""),0)</f>
        <v>0</v>
      </c>
      <c r="D6265" s="12" t="str">
        <f ca="1">IFERROR(__xludf.DUMMYFUNCTION("""COMPUTED_VALUE"""),"川島 幹也")</f>
        <v>川島 幹也</v>
      </c>
    </row>
    <row r="6266" spans="2:4" ht="13">
      <c r="B6266" s="12">
        <f ca="1">IFERROR(__xludf.DUMMYFUNCTION("""COMPUTED_VALUE"""),133952)</f>
        <v>133952</v>
      </c>
      <c r="C6266" s="14">
        <f ca="1">IFERROR(__xludf.DUMMYFUNCTION("""COMPUTED_VALUE"""),0)</f>
        <v>0</v>
      </c>
      <c r="D6266" s="12" t="str">
        <f ca="1">IFERROR(__xludf.DUMMYFUNCTION("""COMPUTED_VALUE"""),"川島 幹也")</f>
        <v>川島 幹也</v>
      </c>
    </row>
    <row r="6267" spans="2:4" ht="13">
      <c r="B6267" s="12">
        <f ca="1">IFERROR(__xludf.DUMMYFUNCTION("""COMPUTED_VALUE"""),133953)</f>
        <v>133953</v>
      </c>
      <c r="C6267" s="14">
        <f ca="1">IFERROR(__xludf.DUMMYFUNCTION("""COMPUTED_VALUE"""),0)</f>
        <v>0</v>
      </c>
      <c r="D6267" s="12" t="str">
        <f ca="1">IFERROR(__xludf.DUMMYFUNCTION("""COMPUTED_VALUE"""),"川島 幹也")</f>
        <v>川島 幹也</v>
      </c>
    </row>
    <row r="6268" spans="2:4" ht="13">
      <c r="B6268" s="12">
        <f ca="1">IFERROR(__xludf.DUMMYFUNCTION("""COMPUTED_VALUE"""),133954)</f>
        <v>133954</v>
      </c>
      <c r="C6268" s="14">
        <f ca="1">IFERROR(__xludf.DUMMYFUNCTION("""COMPUTED_VALUE"""),5)</f>
        <v>5</v>
      </c>
      <c r="D6268" s="12" t="str">
        <f ca="1">IFERROR(__xludf.DUMMYFUNCTION("""COMPUTED_VALUE"""),"川島 幹也")</f>
        <v>川島 幹也</v>
      </c>
    </row>
    <row r="6269" spans="2:4" ht="13">
      <c r="B6269" s="12">
        <f ca="1">IFERROR(__xludf.DUMMYFUNCTION("""COMPUTED_VALUE"""),133955)</f>
        <v>133955</v>
      </c>
      <c r="C6269" s="14">
        <f ca="1">IFERROR(__xludf.DUMMYFUNCTION("""COMPUTED_VALUE"""),0)</f>
        <v>0</v>
      </c>
      <c r="D6269" s="12" t="str">
        <f ca="1">IFERROR(__xludf.DUMMYFUNCTION("""COMPUTED_VALUE"""),"川島 幹也")</f>
        <v>川島 幹也</v>
      </c>
    </row>
    <row r="6270" spans="2:4" ht="13">
      <c r="B6270" s="12">
        <f ca="1">IFERROR(__xludf.DUMMYFUNCTION("""COMPUTED_VALUE"""),133956)</f>
        <v>133956</v>
      </c>
      <c r="C6270" s="14">
        <f ca="1">IFERROR(__xludf.DUMMYFUNCTION("""COMPUTED_VALUE"""),0)</f>
        <v>0</v>
      </c>
      <c r="D6270" s="12" t="str">
        <f ca="1">IFERROR(__xludf.DUMMYFUNCTION("""COMPUTED_VALUE"""),"川島 幹也")</f>
        <v>川島 幹也</v>
      </c>
    </row>
    <row r="6271" spans="2:4" ht="13">
      <c r="B6271" s="12">
        <f ca="1">IFERROR(__xludf.DUMMYFUNCTION("""COMPUTED_VALUE"""),133957)</f>
        <v>133957</v>
      </c>
      <c r="C6271" s="14">
        <f ca="1">IFERROR(__xludf.DUMMYFUNCTION("""COMPUTED_VALUE"""),5)</f>
        <v>5</v>
      </c>
      <c r="D6271" s="12" t="str">
        <f ca="1">IFERROR(__xludf.DUMMYFUNCTION("""COMPUTED_VALUE"""),"川島 幹也")</f>
        <v>川島 幹也</v>
      </c>
    </row>
    <row r="6272" spans="2:4" ht="13">
      <c r="B6272" s="12">
        <f ca="1">IFERROR(__xludf.DUMMYFUNCTION("""COMPUTED_VALUE"""),133958)</f>
        <v>133958</v>
      </c>
      <c r="C6272" s="14">
        <f ca="1">IFERROR(__xludf.DUMMYFUNCTION("""COMPUTED_VALUE"""),0)</f>
        <v>0</v>
      </c>
      <c r="D6272" s="12" t="str">
        <f ca="1">IFERROR(__xludf.DUMMYFUNCTION("""COMPUTED_VALUE"""),"川島 幹也")</f>
        <v>川島 幹也</v>
      </c>
    </row>
    <row r="6273" spans="2:4" ht="13">
      <c r="B6273" s="12">
        <f ca="1">IFERROR(__xludf.DUMMYFUNCTION("""COMPUTED_VALUE"""),133959)</f>
        <v>133959</v>
      </c>
      <c r="C6273" s="14">
        <f ca="1">IFERROR(__xludf.DUMMYFUNCTION("""COMPUTED_VALUE"""),3)</f>
        <v>3</v>
      </c>
      <c r="D6273" s="12" t="str">
        <f ca="1">IFERROR(__xludf.DUMMYFUNCTION("""COMPUTED_VALUE"""),"川島 幹也")</f>
        <v>川島 幹也</v>
      </c>
    </row>
    <row r="6274" spans="2:4" ht="13">
      <c r="B6274" s="12">
        <f ca="1">IFERROR(__xludf.DUMMYFUNCTION("""COMPUTED_VALUE"""),133960)</f>
        <v>133960</v>
      </c>
      <c r="C6274" s="14">
        <f ca="1">IFERROR(__xludf.DUMMYFUNCTION("""COMPUTED_VALUE"""),3)</f>
        <v>3</v>
      </c>
      <c r="D6274" s="12" t="str">
        <f ca="1">IFERROR(__xludf.DUMMYFUNCTION("""COMPUTED_VALUE"""),"川島 幹也")</f>
        <v>川島 幹也</v>
      </c>
    </row>
    <row r="6275" spans="2:4" ht="13">
      <c r="B6275" s="12">
        <f ca="1">IFERROR(__xludf.DUMMYFUNCTION("""COMPUTED_VALUE"""),133961)</f>
        <v>133961</v>
      </c>
      <c r="C6275" s="14">
        <f ca="1">IFERROR(__xludf.DUMMYFUNCTION("""COMPUTED_VALUE"""),0)</f>
        <v>0</v>
      </c>
      <c r="D6275" s="12" t="str">
        <f ca="1">IFERROR(__xludf.DUMMYFUNCTION("""COMPUTED_VALUE"""),"川島 幹也")</f>
        <v>川島 幹也</v>
      </c>
    </row>
    <row r="6276" spans="2:4" ht="13">
      <c r="B6276" s="12">
        <f ca="1">IFERROR(__xludf.DUMMYFUNCTION("""COMPUTED_VALUE"""),133962)</f>
        <v>133962</v>
      </c>
      <c r="C6276" s="14">
        <f ca="1">IFERROR(__xludf.DUMMYFUNCTION("""COMPUTED_VALUE"""),0)</f>
        <v>0</v>
      </c>
      <c r="D6276" s="12" t="str">
        <f ca="1">IFERROR(__xludf.DUMMYFUNCTION("""COMPUTED_VALUE"""),"川島 幹也")</f>
        <v>川島 幹也</v>
      </c>
    </row>
    <row r="6277" spans="2:4" ht="13">
      <c r="B6277" s="12">
        <f ca="1">IFERROR(__xludf.DUMMYFUNCTION("""COMPUTED_VALUE"""),133963)</f>
        <v>133963</v>
      </c>
      <c r="C6277" s="14">
        <f ca="1">IFERROR(__xludf.DUMMYFUNCTION("""COMPUTED_VALUE"""),0)</f>
        <v>0</v>
      </c>
      <c r="D6277" s="12" t="str">
        <f ca="1">IFERROR(__xludf.DUMMYFUNCTION("""COMPUTED_VALUE"""),"菅野 ぎんが")</f>
        <v>菅野 ぎんが</v>
      </c>
    </row>
    <row r="6278" spans="2:4" ht="13">
      <c r="B6278" s="12">
        <f ca="1">IFERROR(__xludf.DUMMYFUNCTION("""COMPUTED_VALUE"""),133974)</f>
        <v>133974</v>
      </c>
      <c r="C6278" s="14">
        <f ca="1">IFERROR(__xludf.DUMMYFUNCTION("""COMPUTED_VALUE"""),6)</f>
        <v>6</v>
      </c>
      <c r="D6278" s="12" t="str">
        <f ca="1">IFERROR(__xludf.DUMMYFUNCTION("""COMPUTED_VALUE"""),"小川 純")</f>
        <v>小川 純</v>
      </c>
    </row>
    <row r="6279" spans="2:4" ht="13">
      <c r="B6279" s="12">
        <f ca="1">IFERROR(__xludf.DUMMYFUNCTION("""COMPUTED_VALUE"""),133983)</f>
        <v>133983</v>
      </c>
      <c r="C6279" s="14">
        <f ca="1">IFERROR(__xludf.DUMMYFUNCTION("""COMPUTED_VALUE"""),38)</f>
        <v>38</v>
      </c>
      <c r="D6279" s="12" t="str">
        <f ca="1">IFERROR(__xludf.DUMMYFUNCTION("""COMPUTED_VALUE"""),"村上 浩一朗")</f>
        <v>村上 浩一朗</v>
      </c>
    </row>
    <row r="6280" spans="2:4" ht="13">
      <c r="B6280" s="12">
        <f ca="1">IFERROR(__xludf.DUMMYFUNCTION("""COMPUTED_VALUE"""),133986)</f>
        <v>133986</v>
      </c>
      <c r="C6280" s="14">
        <f ca="1">IFERROR(__xludf.DUMMYFUNCTION("""COMPUTED_VALUE"""),1)</f>
        <v>1</v>
      </c>
      <c r="D6280" s="12" t="str">
        <f ca="1">IFERROR(__xludf.DUMMYFUNCTION("""COMPUTED_VALUE"""),"堀越 駿")</f>
        <v>堀越 駿</v>
      </c>
    </row>
    <row r="6281" spans="2:4" ht="13">
      <c r="B6281" s="12">
        <f ca="1">IFERROR(__xludf.DUMMYFUNCTION("""COMPUTED_VALUE"""),133993)</f>
        <v>133993</v>
      </c>
      <c r="C6281" s="14">
        <f ca="1">IFERROR(__xludf.DUMMYFUNCTION("""COMPUTED_VALUE"""),0)</f>
        <v>0</v>
      </c>
      <c r="D6281" s="12" t="str">
        <f ca="1">IFERROR(__xludf.DUMMYFUNCTION("""COMPUTED_VALUE"""),"桐山 勝気")</f>
        <v>桐山 勝気</v>
      </c>
    </row>
    <row r="6282" spans="2:4" ht="13">
      <c r="B6282" s="12">
        <f ca="1">IFERROR(__xludf.DUMMYFUNCTION("""COMPUTED_VALUE"""),134000)</f>
        <v>134000</v>
      </c>
      <c r="C6282" s="14">
        <f ca="1">IFERROR(__xludf.DUMMYFUNCTION("""COMPUTED_VALUE"""),0)</f>
        <v>0</v>
      </c>
      <c r="D6282" s="12" t="str">
        <f ca="1">IFERROR(__xludf.DUMMYFUNCTION("""COMPUTED_VALUE"""),"荻曽 克輝")</f>
        <v>荻曽 克輝</v>
      </c>
    </row>
    <row r="6283" spans="2:4" ht="13">
      <c r="B6283" s="12">
        <f ca="1">IFERROR(__xludf.DUMMYFUNCTION("""COMPUTED_VALUE"""),134006)</f>
        <v>134006</v>
      </c>
      <c r="C6283" s="14">
        <f ca="1">IFERROR(__xludf.DUMMYFUNCTION("""COMPUTED_VALUE"""),0)</f>
        <v>0</v>
      </c>
      <c r="D6283" s="12" t="str">
        <f ca="1">IFERROR(__xludf.DUMMYFUNCTION("""COMPUTED_VALUE"""),"川島 幹也")</f>
        <v>川島 幹也</v>
      </c>
    </row>
    <row r="6284" spans="2:4" ht="13">
      <c r="B6284" s="12">
        <f ca="1">IFERROR(__xludf.DUMMYFUNCTION("""COMPUTED_VALUE"""),134009)</f>
        <v>134009</v>
      </c>
      <c r="C6284" s="14">
        <f ca="1">IFERROR(__xludf.DUMMYFUNCTION("""COMPUTED_VALUE"""),0)</f>
        <v>0</v>
      </c>
      <c r="D6284" s="12" t="str">
        <f ca="1">IFERROR(__xludf.DUMMYFUNCTION("""COMPUTED_VALUE"""),"森 光智")</f>
        <v>森 光智</v>
      </c>
    </row>
    <row r="6285" spans="2:4" ht="13">
      <c r="B6285" s="12">
        <f ca="1">IFERROR(__xludf.DUMMYFUNCTION("""COMPUTED_VALUE"""),134012)</f>
        <v>134012</v>
      </c>
      <c r="C6285" s="14">
        <f ca="1">IFERROR(__xludf.DUMMYFUNCTION("""COMPUTED_VALUE"""),10)</f>
        <v>10</v>
      </c>
      <c r="D6285" s="12" t="str">
        <f ca="1">IFERROR(__xludf.DUMMYFUNCTION("""COMPUTED_VALUE"""),"大木 優香")</f>
        <v>大木 優香</v>
      </c>
    </row>
    <row r="6286" spans="2:4" ht="13">
      <c r="B6286" s="12">
        <f ca="1">IFERROR(__xludf.DUMMYFUNCTION("""COMPUTED_VALUE"""),134013)</f>
        <v>134013</v>
      </c>
      <c r="C6286" s="14">
        <f ca="1">IFERROR(__xludf.DUMMYFUNCTION("""COMPUTED_VALUE"""),0)</f>
        <v>0</v>
      </c>
      <c r="D6286" s="12" t="str">
        <f ca="1">IFERROR(__xludf.DUMMYFUNCTION("""COMPUTED_VALUE"""),"大木 優香")</f>
        <v>大木 優香</v>
      </c>
    </row>
    <row r="6287" spans="2:4" ht="13">
      <c r="B6287" s="12">
        <f ca="1">IFERROR(__xludf.DUMMYFUNCTION("""COMPUTED_VALUE"""),134017)</f>
        <v>134017</v>
      </c>
      <c r="C6287" s="14">
        <f ca="1">IFERROR(__xludf.DUMMYFUNCTION("""COMPUTED_VALUE"""),0)</f>
        <v>0</v>
      </c>
      <c r="D6287" s="12" t="str">
        <f ca="1">IFERROR(__xludf.DUMMYFUNCTION("""COMPUTED_VALUE"""),"稲場 勇介")</f>
        <v>稲場 勇介</v>
      </c>
    </row>
    <row r="6288" spans="2:4" ht="13">
      <c r="B6288" s="12">
        <f ca="1">IFERROR(__xludf.DUMMYFUNCTION("""COMPUTED_VALUE"""),134019)</f>
        <v>134019</v>
      </c>
      <c r="C6288" s="14">
        <f ca="1">IFERROR(__xludf.DUMMYFUNCTION("""COMPUTED_VALUE"""),0)</f>
        <v>0</v>
      </c>
      <c r="D6288" s="12" t="str">
        <f ca="1">IFERROR(__xludf.DUMMYFUNCTION("""COMPUTED_VALUE"""),"小関 麻起")</f>
        <v>小関 麻起</v>
      </c>
    </row>
    <row r="6289" spans="2:4" ht="13">
      <c r="B6289" s="12">
        <f ca="1">IFERROR(__xludf.DUMMYFUNCTION("""COMPUTED_VALUE"""),134023)</f>
        <v>134023</v>
      </c>
      <c r="C6289" s="14">
        <f ca="1">IFERROR(__xludf.DUMMYFUNCTION("""COMPUTED_VALUE"""),0)</f>
        <v>0</v>
      </c>
      <c r="D6289" s="12" t="str">
        <f ca="1">IFERROR(__xludf.DUMMYFUNCTION("""COMPUTED_VALUE"""),"芳賀 亮輔")</f>
        <v>芳賀 亮輔</v>
      </c>
    </row>
    <row r="6290" spans="2:4" ht="13">
      <c r="B6290" s="12">
        <f ca="1">IFERROR(__xludf.DUMMYFUNCTION("""COMPUTED_VALUE"""),134024)</f>
        <v>134024</v>
      </c>
      <c r="C6290" s="14">
        <f ca="1">IFERROR(__xludf.DUMMYFUNCTION("""COMPUTED_VALUE"""),0)</f>
        <v>0</v>
      </c>
      <c r="D6290" s="12" t="str">
        <f ca="1">IFERROR(__xludf.DUMMYFUNCTION("""COMPUTED_VALUE"""),"成嶋 夏未")</f>
        <v>成嶋 夏未</v>
      </c>
    </row>
    <row r="6291" spans="2:4" ht="13">
      <c r="B6291" s="12">
        <f ca="1">IFERROR(__xludf.DUMMYFUNCTION("""COMPUTED_VALUE"""),134033)</f>
        <v>134033</v>
      </c>
      <c r="C6291" s="14">
        <f ca="1">IFERROR(__xludf.DUMMYFUNCTION("""COMPUTED_VALUE"""),0)</f>
        <v>0</v>
      </c>
      <c r="D6291" s="12" t="str">
        <f ca="1">IFERROR(__xludf.DUMMYFUNCTION("""COMPUTED_VALUE"""),"柿崎 晃司")</f>
        <v>柿崎 晃司</v>
      </c>
    </row>
    <row r="6292" spans="2:4" ht="13">
      <c r="B6292" s="12">
        <f ca="1">IFERROR(__xludf.DUMMYFUNCTION("""COMPUTED_VALUE"""),134062)</f>
        <v>134062</v>
      </c>
      <c r="C6292" s="14">
        <f ca="1">IFERROR(__xludf.DUMMYFUNCTION("""COMPUTED_VALUE"""),0)</f>
        <v>0</v>
      </c>
      <c r="D6292" s="12" t="str">
        <f ca="1">IFERROR(__xludf.DUMMYFUNCTION("""COMPUTED_VALUE"""),"長谷川 陸朗")</f>
        <v>長谷川 陸朗</v>
      </c>
    </row>
    <row r="6293" spans="2:4" ht="13">
      <c r="B6293" s="12">
        <f ca="1">IFERROR(__xludf.DUMMYFUNCTION("""COMPUTED_VALUE"""),134071)</f>
        <v>134071</v>
      </c>
      <c r="C6293" s="14">
        <f ca="1">IFERROR(__xludf.DUMMYFUNCTION("""COMPUTED_VALUE"""),0)</f>
        <v>0</v>
      </c>
      <c r="D6293" s="12" t="str">
        <f ca="1">IFERROR(__xludf.DUMMYFUNCTION("""COMPUTED_VALUE"""),"栗原 大武")</f>
        <v>栗原 大武</v>
      </c>
    </row>
    <row r="6294" spans="2:4" ht="13">
      <c r="B6294" s="12">
        <f ca="1">IFERROR(__xludf.DUMMYFUNCTION("""COMPUTED_VALUE"""),134074)</f>
        <v>134074</v>
      </c>
      <c r="C6294" s="14">
        <f ca="1">IFERROR(__xludf.DUMMYFUNCTION("""COMPUTED_VALUE"""),0)</f>
        <v>0</v>
      </c>
      <c r="D6294" s="12" t="str">
        <f ca="1">IFERROR(__xludf.DUMMYFUNCTION("""COMPUTED_VALUE"""),"内丸 裕子")</f>
        <v>内丸 裕子</v>
      </c>
    </row>
    <row r="6295" spans="2:4" ht="13">
      <c r="B6295" s="12">
        <f ca="1">IFERROR(__xludf.DUMMYFUNCTION("""COMPUTED_VALUE"""),134079)</f>
        <v>134079</v>
      </c>
      <c r="C6295" s="14">
        <f ca="1">IFERROR(__xludf.DUMMYFUNCTION("""COMPUTED_VALUE"""),0)</f>
        <v>0</v>
      </c>
      <c r="D6295" s="12" t="str">
        <f ca="1">IFERROR(__xludf.DUMMYFUNCTION("""COMPUTED_VALUE"""),"長谷川 陸朗")</f>
        <v>長谷川 陸朗</v>
      </c>
    </row>
    <row r="6296" spans="2:4" ht="13">
      <c r="B6296" s="12">
        <f ca="1">IFERROR(__xludf.DUMMYFUNCTION("""COMPUTED_VALUE"""),134080)</f>
        <v>134080</v>
      </c>
      <c r="C6296" s="14">
        <f ca="1">IFERROR(__xludf.DUMMYFUNCTION("""COMPUTED_VALUE"""),0)</f>
        <v>0</v>
      </c>
      <c r="D6296" s="12" t="str">
        <f ca="1">IFERROR(__xludf.DUMMYFUNCTION("""COMPUTED_VALUE"""),"菅野 ぎんが")</f>
        <v>菅野 ぎんが</v>
      </c>
    </row>
    <row r="6297" spans="2:4" ht="13">
      <c r="B6297" s="12">
        <f ca="1">IFERROR(__xludf.DUMMYFUNCTION("""COMPUTED_VALUE"""),134081)</f>
        <v>134081</v>
      </c>
      <c r="C6297" s="14">
        <f ca="1">IFERROR(__xludf.DUMMYFUNCTION("""COMPUTED_VALUE"""),0)</f>
        <v>0</v>
      </c>
      <c r="D6297" s="12" t="str">
        <f ca="1">IFERROR(__xludf.DUMMYFUNCTION("""COMPUTED_VALUE"""),"稲場 勇介")</f>
        <v>稲場 勇介</v>
      </c>
    </row>
    <row r="6298" spans="2:4" ht="13">
      <c r="B6298" s="12">
        <f ca="1">IFERROR(__xludf.DUMMYFUNCTION("""COMPUTED_VALUE"""),134098)</f>
        <v>134098</v>
      </c>
      <c r="C6298" s="14">
        <f ca="1">IFERROR(__xludf.DUMMYFUNCTION("""COMPUTED_VALUE"""),4)</f>
        <v>4</v>
      </c>
      <c r="D6298" s="12" t="str">
        <f ca="1">IFERROR(__xludf.DUMMYFUNCTION("""COMPUTED_VALUE"""),"堀越 駿")</f>
        <v>堀越 駿</v>
      </c>
    </row>
    <row r="6299" spans="2:4" ht="13">
      <c r="B6299" s="12">
        <f ca="1">IFERROR(__xludf.DUMMYFUNCTION("""COMPUTED_VALUE"""),134099)</f>
        <v>134099</v>
      </c>
      <c r="C6299" s="14">
        <f ca="1">IFERROR(__xludf.DUMMYFUNCTION("""COMPUTED_VALUE"""),0)</f>
        <v>0</v>
      </c>
      <c r="D6299" s="12" t="str">
        <f ca="1">IFERROR(__xludf.DUMMYFUNCTION("""COMPUTED_VALUE"""),"村上 浩一朗")</f>
        <v>村上 浩一朗</v>
      </c>
    </row>
    <row r="6300" spans="2:4" ht="13">
      <c r="B6300" s="12">
        <f ca="1">IFERROR(__xludf.DUMMYFUNCTION("""COMPUTED_VALUE"""),134109)</f>
        <v>134109</v>
      </c>
      <c r="C6300" s="14">
        <f ca="1">IFERROR(__xludf.DUMMYFUNCTION("""COMPUTED_VALUE"""),0)</f>
        <v>0</v>
      </c>
      <c r="D6300" s="12" t="str">
        <f ca="1">IFERROR(__xludf.DUMMYFUNCTION("""COMPUTED_VALUE"""),"長谷川 陸朗")</f>
        <v>長谷川 陸朗</v>
      </c>
    </row>
    <row r="6301" spans="2:4" ht="13">
      <c r="B6301" s="12">
        <f ca="1">IFERROR(__xludf.DUMMYFUNCTION("""COMPUTED_VALUE"""),134117)</f>
        <v>134117</v>
      </c>
      <c r="C6301" s="14">
        <f ca="1">IFERROR(__xludf.DUMMYFUNCTION("""COMPUTED_VALUE"""),0)</f>
        <v>0</v>
      </c>
      <c r="D6301" s="12" t="str">
        <f ca="1">IFERROR(__xludf.DUMMYFUNCTION("""COMPUTED_VALUE"""),"成嶋 夏未")</f>
        <v>成嶋 夏未</v>
      </c>
    </row>
    <row r="6302" spans="2:4" ht="13">
      <c r="B6302" s="12">
        <f ca="1">IFERROR(__xludf.DUMMYFUNCTION("""COMPUTED_VALUE"""),134118)</f>
        <v>134118</v>
      </c>
      <c r="C6302" s="14">
        <f ca="1">IFERROR(__xludf.DUMMYFUNCTION("""COMPUTED_VALUE"""),9)</f>
        <v>9</v>
      </c>
      <c r="D6302" s="12" t="str">
        <f ca="1">IFERROR(__xludf.DUMMYFUNCTION("""COMPUTED_VALUE"""),"村上 浩一朗")</f>
        <v>村上 浩一朗</v>
      </c>
    </row>
    <row r="6303" spans="2:4" ht="13">
      <c r="B6303" s="12">
        <f ca="1">IFERROR(__xludf.DUMMYFUNCTION("""COMPUTED_VALUE"""),134121)</f>
        <v>134121</v>
      </c>
      <c r="C6303" s="14">
        <f ca="1">IFERROR(__xludf.DUMMYFUNCTION("""COMPUTED_VALUE"""),46)</f>
        <v>46</v>
      </c>
      <c r="D6303" s="12" t="str">
        <f ca="1">IFERROR(__xludf.DUMMYFUNCTION("""COMPUTED_VALUE"""),"村上 浩一朗")</f>
        <v>村上 浩一朗</v>
      </c>
    </row>
    <row r="6304" spans="2:4" ht="13">
      <c r="B6304" s="12">
        <f ca="1">IFERROR(__xludf.DUMMYFUNCTION("""COMPUTED_VALUE"""),134126)</f>
        <v>134126</v>
      </c>
      <c r="C6304" s="14">
        <f ca="1">IFERROR(__xludf.DUMMYFUNCTION("""COMPUTED_VALUE"""),0)</f>
        <v>0</v>
      </c>
      <c r="D6304" s="12" t="str">
        <f ca="1">IFERROR(__xludf.DUMMYFUNCTION("""COMPUTED_VALUE"""),"内丸 裕子")</f>
        <v>内丸 裕子</v>
      </c>
    </row>
    <row r="6305" spans="2:4" ht="13">
      <c r="B6305" s="12">
        <f ca="1">IFERROR(__xludf.DUMMYFUNCTION("""COMPUTED_VALUE"""),134143)</f>
        <v>134143</v>
      </c>
      <c r="C6305" s="14">
        <f ca="1">IFERROR(__xludf.DUMMYFUNCTION("""COMPUTED_VALUE"""),0)</f>
        <v>0</v>
      </c>
      <c r="D6305" s="12" t="str">
        <f ca="1">IFERROR(__xludf.DUMMYFUNCTION("""COMPUTED_VALUE"""),"長谷川 陸朗")</f>
        <v>長谷川 陸朗</v>
      </c>
    </row>
    <row r="6306" spans="2:4" ht="13">
      <c r="B6306" s="12">
        <f ca="1">IFERROR(__xludf.DUMMYFUNCTION("""COMPUTED_VALUE"""),134145)</f>
        <v>134145</v>
      </c>
      <c r="C6306" s="14">
        <f ca="1">IFERROR(__xludf.DUMMYFUNCTION("""COMPUTED_VALUE"""),4)</f>
        <v>4</v>
      </c>
      <c r="D6306" s="12" t="str">
        <f ca="1">IFERROR(__xludf.DUMMYFUNCTION("""COMPUTED_VALUE"""),"堀越 駿")</f>
        <v>堀越 駿</v>
      </c>
    </row>
    <row r="6307" spans="2:4" ht="13">
      <c r="B6307" s="12">
        <f ca="1">IFERROR(__xludf.DUMMYFUNCTION("""COMPUTED_VALUE"""),134154)</f>
        <v>134154</v>
      </c>
      <c r="C6307" s="14">
        <f ca="1">IFERROR(__xludf.DUMMYFUNCTION("""COMPUTED_VALUE"""),1)</f>
        <v>1</v>
      </c>
      <c r="D6307" s="12" t="str">
        <f ca="1">IFERROR(__xludf.DUMMYFUNCTION("""COMPUTED_VALUE"""),"長谷川 陸朗")</f>
        <v>長谷川 陸朗</v>
      </c>
    </row>
    <row r="6308" spans="2:4" ht="13">
      <c r="B6308" s="12">
        <f ca="1">IFERROR(__xludf.DUMMYFUNCTION("""COMPUTED_VALUE"""),134166)</f>
        <v>134166</v>
      </c>
      <c r="C6308" s="14">
        <f ca="1">IFERROR(__xludf.DUMMYFUNCTION("""COMPUTED_VALUE"""),2)</f>
        <v>2</v>
      </c>
      <c r="D6308" s="12" t="str">
        <f ca="1">IFERROR(__xludf.DUMMYFUNCTION("""COMPUTED_VALUE"""),"老田 純輝")</f>
        <v>老田 純輝</v>
      </c>
    </row>
    <row r="6309" spans="2:4" ht="13">
      <c r="B6309" s="12">
        <f ca="1">IFERROR(__xludf.DUMMYFUNCTION("""COMPUTED_VALUE"""),134167)</f>
        <v>134167</v>
      </c>
      <c r="C6309" s="14">
        <f ca="1">IFERROR(__xludf.DUMMYFUNCTION("""COMPUTED_VALUE"""),0)</f>
        <v>0</v>
      </c>
      <c r="D6309" s="12" t="str">
        <f ca="1">IFERROR(__xludf.DUMMYFUNCTION("""COMPUTED_VALUE"""),"森 光智")</f>
        <v>森 光智</v>
      </c>
    </row>
    <row r="6310" spans="2:4" ht="13">
      <c r="B6310" s="12">
        <f ca="1">IFERROR(__xludf.DUMMYFUNCTION("""COMPUTED_VALUE"""),134180)</f>
        <v>134180</v>
      </c>
      <c r="C6310" s="14">
        <f ca="1">IFERROR(__xludf.DUMMYFUNCTION("""COMPUTED_VALUE"""),0)</f>
        <v>0</v>
      </c>
      <c r="D6310" s="12" t="str">
        <f ca="1">IFERROR(__xludf.DUMMYFUNCTION("""COMPUTED_VALUE"""),"稲場 勇介")</f>
        <v>稲場 勇介</v>
      </c>
    </row>
    <row r="6311" spans="2:4" ht="13">
      <c r="B6311" s="12">
        <f ca="1">IFERROR(__xludf.DUMMYFUNCTION("""COMPUTED_VALUE"""),134184)</f>
        <v>134184</v>
      </c>
      <c r="C6311" s="14">
        <f ca="1">IFERROR(__xludf.DUMMYFUNCTION("""COMPUTED_VALUE"""),0)</f>
        <v>0</v>
      </c>
      <c r="D6311" s="12" t="str">
        <f ca="1">IFERROR(__xludf.DUMMYFUNCTION("""COMPUTED_VALUE"""),"栗原 大武")</f>
        <v>栗原 大武</v>
      </c>
    </row>
    <row r="6312" spans="2:4" ht="13">
      <c r="B6312" s="12">
        <f ca="1">IFERROR(__xludf.DUMMYFUNCTION("""COMPUTED_VALUE"""),134186)</f>
        <v>134186</v>
      </c>
      <c r="C6312" s="14">
        <f ca="1">IFERROR(__xludf.DUMMYFUNCTION("""COMPUTED_VALUE"""),0)</f>
        <v>0</v>
      </c>
      <c r="D6312" s="12" t="str">
        <f ca="1">IFERROR(__xludf.DUMMYFUNCTION("""COMPUTED_VALUE"""),"小川 純")</f>
        <v>小川 純</v>
      </c>
    </row>
    <row r="6313" spans="2:4" ht="13">
      <c r="B6313" s="12">
        <f ca="1">IFERROR(__xludf.DUMMYFUNCTION("""COMPUTED_VALUE"""),134190)</f>
        <v>134190</v>
      </c>
      <c r="C6313" s="14">
        <f ca="1">IFERROR(__xludf.DUMMYFUNCTION("""COMPUTED_VALUE"""),0)</f>
        <v>0</v>
      </c>
      <c r="D6313" s="12" t="str">
        <f ca="1">IFERROR(__xludf.DUMMYFUNCTION("""COMPUTED_VALUE"""),"荻曽 克輝")</f>
        <v>荻曽 克輝</v>
      </c>
    </row>
    <row r="6314" spans="2:4" ht="13">
      <c r="B6314" s="12">
        <f ca="1">IFERROR(__xludf.DUMMYFUNCTION("""COMPUTED_VALUE"""),134201)</f>
        <v>134201</v>
      </c>
      <c r="C6314" s="14">
        <f ca="1">IFERROR(__xludf.DUMMYFUNCTION("""COMPUTED_VALUE"""),2)</f>
        <v>2</v>
      </c>
      <c r="D6314" s="12" t="str">
        <f ca="1">IFERROR(__xludf.DUMMYFUNCTION("""COMPUTED_VALUE"""),"小川 純")</f>
        <v>小川 純</v>
      </c>
    </row>
    <row r="6315" spans="2:4" ht="13">
      <c r="B6315" s="12">
        <f ca="1">IFERROR(__xludf.DUMMYFUNCTION("""COMPUTED_VALUE"""),134205)</f>
        <v>134205</v>
      </c>
      <c r="C6315" s="14">
        <f ca="1">IFERROR(__xludf.DUMMYFUNCTION("""COMPUTED_VALUE"""),13)</f>
        <v>13</v>
      </c>
      <c r="D6315" s="12" t="str">
        <f ca="1">IFERROR(__xludf.DUMMYFUNCTION("""COMPUTED_VALUE"""),"稲場 勇介")</f>
        <v>稲場 勇介</v>
      </c>
    </row>
    <row r="6316" spans="2:4" ht="13">
      <c r="B6316" s="12">
        <f ca="1">IFERROR(__xludf.DUMMYFUNCTION("""COMPUTED_VALUE"""),134207)</f>
        <v>134207</v>
      </c>
      <c r="C6316" s="14">
        <f ca="1">IFERROR(__xludf.DUMMYFUNCTION("""COMPUTED_VALUE"""),0)</f>
        <v>0</v>
      </c>
      <c r="D6316" s="12" t="str">
        <f ca="1">IFERROR(__xludf.DUMMYFUNCTION("""COMPUTED_VALUE"""),"村上 浩一朗")</f>
        <v>村上 浩一朗</v>
      </c>
    </row>
    <row r="6317" spans="2:4" ht="13">
      <c r="B6317" s="12">
        <f ca="1">IFERROR(__xludf.DUMMYFUNCTION("""COMPUTED_VALUE"""),134208)</f>
        <v>134208</v>
      </c>
      <c r="C6317" s="14">
        <f ca="1">IFERROR(__xludf.DUMMYFUNCTION("""COMPUTED_VALUE"""),0)</f>
        <v>0</v>
      </c>
      <c r="D6317" s="12" t="str">
        <f ca="1">IFERROR(__xludf.DUMMYFUNCTION("""COMPUTED_VALUE"""),"菅野 ぎんが")</f>
        <v>菅野 ぎんが</v>
      </c>
    </row>
    <row r="6318" spans="2:4" ht="13">
      <c r="B6318" s="12">
        <f ca="1">IFERROR(__xludf.DUMMYFUNCTION("""COMPUTED_VALUE"""),134216)</f>
        <v>134216</v>
      </c>
      <c r="C6318" s="14">
        <f ca="1">IFERROR(__xludf.DUMMYFUNCTION("""COMPUTED_VALUE"""),0)</f>
        <v>0</v>
      </c>
      <c r="D6318" s="12" t="str">
        <f ca="1">IFERROR(__xludf.DUMMYFUNCTION("""COMPUTED_VALUE"""),"菅野 ぎんが")</f>
        <v>菅野 ぎんが</v>
      </c>
    </row>
    <row r="6319" spans="2:4" ht="13">
      <c r="B6319" s="12">
        <f ca="1">IFERROR(__xludf.DUMMYFUNCTION("""COMPUTED_VALUE"""),134217)</f>
        <v>134217</v>
      </c>
      <c r="C6319" s="14">
        <f ca="1">IFERROR(__xludf.DUMMYFUNCTION("""COMPUTED_VALUE"""),0)</f>
        <v>0</v>
      </c>
      <c r="D6319" s="12" t="str">
        <f ca="1">IFERROR(__xludf.DUMMYFUNCTION("""COMPUTED_VALUE"""),"松尾 尚樹")</f>
        <v>松尾 尚樹</v>
      </c>
    </row>
    <row r="6320" spans="2:4" ht="13">
      <c r="B6320" s="12">
        <f ca="1">IFERROR(__xludf.DUMMYFUNCTION("""COMPUTED_VALUE"""),134220)</f>
        <v>134220</v>
      </c>
      <c r="C6320" s="14">
        <f ca="1">IFERROR(__xludf.DUMMYFUNCTION("""COMPUTED_VALUE"""),0)</f>
        <v>0</v>
      </c>
      <c r="D6320" s="12" t="str">
        <f ca="1">IFERROR(__xludf.DUMMYFUNCTION("""COMPUTED_VALUE"""),"菅野 ぎんが")</f>
        <v>菅野 ぎんが</v>
      </c>
    </row>
    <row r="6321" spans="2:4" ht="13">
      <c r="B6321" s="12">
        <f ca="1">IFERROR(__xludf.DUMMYFUNCTION("""COMPUTED_VALUE"""),134251)</f>
        <v>134251</v>
      </c>
      <c r="C6321" s="14">
        <f ca="1">IFERROR(__xludf.DUMMYFUNCTION("""COMPUTED_VALUE"""),0)</f>
        <v>0</v>
      </c>
      <c r="D6321" s="12" t="str">
        <f ca="1">IFERROR(__xludf.DUMMYFUNCTION("""COMPUTED_VALUE"""),"内丸 裕子")</f>
        <v>内丸 裕子</v>
      </c>
    </row>
    <row r="6322" spans="2:4" ht="13">
      <c r="B6322" s="12">
        <f ca="1">IFERROR(__xludf.DUMMYFUNCTION("""COMPUTED_VALUE"""),134257)</f>
        <v>134257</v>
      </c>
      <c r="C6322" s="14">
        <f ca="1">IFERROR(__xludf.DUMMYFUNCTION("""COMPUTED_VALUE"""),4)</f>
        <v>4</v>
      </c>
      <c r="D6322" s="12" t="str">
        <f ca="1">IFERROR(__xludf.DUMMYFUNCTION("""COMPUTED_VALUE"""),"長谷川 陸朗")</f>
        <v>長谷川 陸朗</v>
      </c>
    </row>
    <row r="6323" spans="2:4" ht="13">
      <c r="B6323" s="12">
        <f ca="1">IFERROR(__xludf.DUMMYFUNCTION("""COMPUTED_VALUE"""),134258)</f>
        <v>134258</v>
      </c>
      <c r="C6323" s="14">
        <f ca="1">IFERROR(__xludf.DUMMYFUNCTION("""COMPUTED_VALUE"""),29)</f>
        <v>29</v>
      </c>
      <c r="D6323" s="12" t="str">
        <f ca="1">IFERROR(__xludf.DUMMYFUNCTION("""COMPUTED_VALUE"""),"成嶋 夏未")</f>
        <v>成嶋 夏未</v>
      </c>
    </row>
    <row r="6324" spans="2:4" ht="13">
      <c r="B6324" s="12">
        <f ca="1">IFERROR(__xludf.DUMMYFUNCTION("""COMPUTED_VALUE"""),134265)</f>
        <v>134265</v>
      </c>
      <c r="C6324" s="14">
        <f ca="1">IFERROR(__xludf.DUMMYFUNCTION("""COMPUTED_VALUE"""),0)</f>
        <v>0</v>
      </c>
      <c r="D6324" s="12" t="str">
        <f ca="1">IFERROR(__xludf.DUMMYFUNCTION("""COMPUTED_VALUE"""),"成嶋 夏未")</f>
        <v>成嶋 夏未</v>
      </c>
    </row>
    <row r="6325" spans="2:4" ht="13">
      <c r="B6325" s="12">
        <f ca="1">IFERROR(__xludf.DUMMYFUNCTION("""COMPUTED_VALUE"""),134271)</f>
        <v>134271</v>
      </c>
      <c r="C6325" s="14">
        <f ca="1">IFERROR(__xludf.DUMMYFUNCTION("""COMPUTED_VALUE"""),0)</f>
        <v>0</v>
      </c>
      <c r="D6325" s="12" t="str">
        <f ca="1">IFERROR(__xludf.DUMMYFUNCTION("""COMPUTED_VALUE"""),"松尾 尚樹")</f>
        <v>松尾 尚樹</v>
      </c>
    </row>
    <row r="6326" spans="2:4" ht="13">
      <c r="B6326" s="12">
        <f ca="1">IFERROR(__xludf.DUMMYFUNCTION("""COMPUTED_VALUE"""),134272)</f>
        <v>134272</v>
      </c>
      <c r="C6326" s="14">
        <f ca="1">IFERROR(__xludf.DUMMYFUNCTION("""COMPUTED_VALUE"""),0)</f>
        <v>0</v>
      </c>
      <c r="D6326" s="12" t="str">
        <f ca="1">IFERROR(__xludf.DUMMYFUNCTION("""COMPUTED_VALUE"""),"長谷川 陸朗")</f>
        <v>長谷川 陸朗</v>
      </c>
    </row>
    <row r="6327" spans="2:4" ht="13">
      <c r="B6327" s="12">
        <f ca="1">IFERROR(__xludf.DUMMYFUNCTION("""COMPUTED_VALUE"""),134277)</f>
        <v>134277</v>
      </c>
      <c r="C6327" s="14">
        <f ca="1">IFERROR(__xludf.DUMMYFUNCTION("""COMPUTED_VALUE"""),0)</f>
        <v>0</v>
      </c>
      <c r="D6327" s="12" t="str">
        <f ca="1">IFERROR(__xludf.DUMMYFUNCTION("""COMPUTED_VALUE"""),"田嶋 将太")</f>
        <v>田嶋 将太</v>
      </c>
    </row>
    <row r="6328" spans="2:4" ht="13">
      <c r="B6328" s="12">
        <f ca="1">IFERROR(__xludf.DUMMYFUNCTION("""COMPUTED_VALUE"""),134281)</f>
        <v>134281</v>
      </c>
      <c r="C6328" s="14">
        <f ca="1">IFERROR(__xludf.DUMMYFUNCTION("""COMPUTED_VALUE"""),0)</f>
        <v>0</v>
      </c>
      <c r="D6328" s="12" t="str">
        <f ca="1">IFERROR(__xludf.DUMMYFUNCTION("""COMPUTED_VALUE"""),"小関 麻起")</f>
        <v>小関 麻起</v>
      </c>
    </row>
    <row r="6329" spans="2:4" ht="13">
      <c r="B6329" s="12">
        <f ca="1">IFERROR(__xludf.DUMMYFUNCTION("""COMPUTED_VALUE"""),134288)</f>
        <v>134288</v>
      </c>
      <c r="C6329" s="14">
        <f ca="1">IFERROR(__xludf.DUMMYFUNCTION("""COMPUTED_VALUE"""),0)</f>
        <v>0</v>
      </c>
      <c r="D6329" s="12" t="str">
        <f ca="1">IFERROR(__xludf.DUMMYFUNCTION("""COMPUTED_VALUE"""),"田嶋 将太")</f>
        <v>田嶋 将太</v>
      </c>
    </row>
    <row r="6330" spans="2:4" ht="13">
      <c r="B6330" s="12">
        <f ca="1">IFERROR(__xludf.DUMMYFUNCTION("""COMPUTED_VALUE"""),134295)</f>
        <v>134295</v>
      </c>
      <c r="C6330" s="14">
        <f ca="1">IFERROR(__xludf.DUMMYFUNCTION("""COMPUTED_VALUE"""),0)</f>
        <v>0</v>
      </c>
      <c r="D6330" s="12" t="str">
        <f ca="1">IFERROR(__xludf.DUMMYFUNCTION("""COMPUTED_VALUE"""),"辻村 将大")</f>
        <v>辻村 将大</v>
      </c>
    </row>
    <row r="6331" spans="2:4" ht="13">
      <c r="B6331" s="12">
        <f ca="1">IFERROR(__xludf.DUMMYFUNCTION("""COMPUTED_VALUE"""),134299)</f>
        <v>134299</v>
      </c>
      <c r="C6331" s="14">
        <f ca="1">IFERROR(__xludf.DUMMYFUNCTION("""COMPUTED_VALUE"""),0)</f>
        <v>0</v>
      </c>
      <c r="D6331" s="12" t="str">
        <f ca="1">IFERROR(__xludf.DUMMYFUNCTION("""COMPUTED_VALUE"""),"長谷川 陸朗")</f>
        <v>長谷川 陸朗</v>
      </c>
    </row>
    <row r="6332" spans="2:4" ht="13">
      <c r="B6332" s="12">
        <f ca="1">IFERROR(__xludf.DUMMYFUNCTION("""COMPUTED_VALUE"""),134303)</f>
        <v>134303</v>
      </c>
      <c r="C6332" s="14">
        <f ca="1">IFERROR(__xludf.DUMMYFUNCTION("""COMPUTED_VALUE"""),0)</f>
        <v>0</v>
      </c>
      <c r="D6332" s="12" t="str">
        <f ca="1">IFERROR(__xludf.DUMMYFUNCTION("""COMPUTED_VALUE"""),"稲場 勇介")</f>
        <v>稲場 勇介</v>
      </c>
    </row>
    <row r="6333" spans="2:4" ht="13">
      <c r="B6333" s="12">
        <f ca="1">IFERROR(__xludf.DUMMYFUNCTION("""COMPUTED_VALUE"""),134305)</f>
        <v>134305</v>
      </c>
      <c r="C6333" s="14">
        <f ca="1">IFERROR(__xludf.DUMMYFUNCTION("""COMPUTED_VALUE"""),3)</f>
        <v>3</v>
      </c>
      <c r="D6333" s="12" t="str">
        <f ca="1">IFERROR(__xludf.DUMMYFUNCTION("""COMPUTED_VALUE"""),"小川 純")</f>
        <v>小川 純</v>
      </c>
    </row>
    <row r="6334" spans="2:4" ht="13">
      <c r="B6334" s="12">
        <f ca="1">IFERROR(__xludf.DUMMYFUNCTION("""COMPUTED_VALUE"""),134306)</f>
        <v>134306</v>
      </c>
      <c r="C6334" s="14">
        <f ca="1">IFERROR(__xludf.DUMMYFUNCTION("""COMPUTED_VALUE"""),2)</f>
        <v>2</v>
      </c>
      <c r="D6334" s="12" t="str">
        <f ca="1">IFERROR(__xludf.DUMMYFUNCTION("""COMPUTED_VALUE"""),"小川 純")</f>
        <v>小川 純</v>
      </c>
    </row>
    <row r="6335" spans="2:4" ht="13">
      <c r="B6335" s="12">
        <f ca="1">IFERROR(__xludf.DUMMYFUNCTION("""COMPUTED_VALUE"""),134307)</f>
        <v>134307</v>
      </c>
      <c r="C6335" s="14">
        <f ca="1">IFERROR(__xludf.DUMMYFUNCTION("""COMPUTED_VALUE"""),1)</f>
        <v>1</v>
      </c>
      <c r="D6335" s="12" t="str">
        <f ca="1">IFERROR(__xludf.DUMMYFUNCTION("""COMPUTED_VALUE"""),"小川 純")</f>
        <v>小川 純</v>
      </c>
    </row>
    <row r="6336" spans="2:4" ht="13">
      <c r="B6336" s="12">
        <f ca="1">IFERROR(__xludf.DUMMYFUNCTION("""COMPUTED_VALUE"""),134308)</f>
        <v>134308</v>
      </c>
      <c r="C6336" s="14">
        <f ca="1">IFERROR(__xludf.DUMMYFUNCTION("""COMPUTED_VALUE"""),3)</f>
        <v>3</v>
      </c>
      <c r="D6336" s="12" t="str">
        <f ca="1">IFERROR(__xludf.DUMMYFUNCTION("""COMPUTED_VALUE"""),"小川 純")</f>
        <v>小川 純</v>
      </c>
    </row>
    <row r="6337" spans="2:4" ht="13">
      <c r="B6337" s="12">
        <f ca="1">IFERROR(__xludf.DUMMYFUNCTION("""COMPUTED_VALUE"""),134309)</f>
        <v>134309</v>
      </c>
      <c r="C6337" s="14">
        <f ca="1">IFERROR(__xludf.DUMMYFUNCTION("""COMPUTED_VALUE"""),1)</f>
        <v>1</v>
      </c>
      <c r="D6337" s="12" t="str">
        <f ca="1">IFERROR(__xludf.DUMMYFUNCTION("""COMPUTED_VALUE"""),"小川 純")</f>
        <v>小川 純</v>
      </c>
    </row>
    <row r="6338" spans="2:4" ht="13">
      <c r="B6338" s="12">
        <f ca="1">IFERROR(__xludf.DUMMYFUNCTION("""COMPUTED_VALUE"""),134310)</f>
        <v>134310</v>
      </c>
      <c r="C6338" s="14">
        <f ca="1">IFERROR(__xludf.DUMMYFUNCTION("""COMPUTED_VALUE"""),0)</f>
        <v>0</v>
      </c>
      <c r="D6338" s="12" t="str">
        <f ca="1">IFERROR(__xludf.DUMMYFUNCTION("""COMPUTED_VALUE"""),"小川 純")</f>
        <v>小川 純</v>
      </c>
    </row>
    <row r="6339" spans="2:4" ht="13">
      <c r="B6339" s="12">
        <f ca="1">IFERROR(__xludf.DUMMYFUNCTION("""COMPUTED_VALUE"""),134311)</f>
        <v>134311</v>
      </c>
      <c r="C6339" s="14">
        <f ca="1">IFERROR(__xludf.DUMMYFUNCTION("""COMPUTED_VALUE"""),1)</f>
        <v>1</v>
      </c>
      <c r="D6339" s="12" t="str">
        <f ca="1">IFERROR(__xludf.DUMMYFUNCTION("""COMPUTED_VALUE"""),"小川 純")</f>
        <v>小川 純</v>
      </c>
    </row>
    <row r="6340" spans="2:4" ht="13">
      <c r="B6340" s="12">
        <f ca="1">IFERROR(__xludf.DUMMYFUNCTION("""COMPUTED_VALUE"""),134312)</f>
        <v>134312</v>
      </c>
      <c r="C6340" s="14">
        <f ca="1">IFERROR(__xludf.DUMMYFUNCTION("""COMPUTED_VALUE"""),5)</f>
        <v>5</v>
      </c>
      <c r="D6340" s="12" t="str">
        <f ca="1">IFERROR(__xludf.DUMMYFUNCTION("""COMPUTED_VALUE"""),"小川 純")</f>
        <v>小川 純</v>
      </c>
    </row>
    <row r="6341" spans="2:4" ht="13">
      <c r="B6341" s="12">
        <f ca="1">IFERROR(__xludf.DUMMYFUNCTION("""COMPUTED_VALUE"""),134313)</f>
        <v>134313</v>
      </c>
      <c r="C6341" s="14">
        <f ca="1">IFERROR(__xludf.DUMMYFUNCTION("""COMPUTED_VALUE"""),1)</f>
        <v>1</v>
      </c>
      <c r="D6341" s="12" t="str">
        <f ca="1">IFERROR(__xludf.DUMMYFUNCTION("""COMPUTED_VALUE"""),"小川 純")</f>
        <v>小川 純</v>
      </c>
    </row>
    <row r="6342" spans="2:4" ht="13">
      <c r="B6342" s="12">
        <f ca="1">IFERROR(__xludf.DUMMYFUNCTION("""COMPUTED_VALUE"""),134314)</f>
        <v>134314</v>
      </c>
      <c r="C6342" s="14">
        <f ca="1">IFERROR(__xludf.DUMMYFUNCTION("""COMPUTED_VALUE"""),2)</f>
        <v>2</v>
      </c>
      <c r="D6342" s="12" t="str">
        <f ca="1">IFERROR(__xludf.DUMMYFUNCTION("""COMPUTED_VALUE"""),"小川 純")</f>
        <v>小川 純</v>
      </c>
    </row>
    <row r="6343" spans="2:4" ht="13">
      <c r="B6343" s="12">
        <f ca="1">IFERROR(__xludf.DUMMYFUNCTION("""COMPUTED_VALUE"""),134317)</f>
        <v>134317</v>
      </c>
      <c r="C6343" s="14">
        <f ca="1">IFERROR(__xludf.DUMMYFUNCTION("""COMPUTED_VALUE"""),1)</f>
        <v>1</v>
      </c>
      <c r="D6343" s="12" t="str">
        <f ca="1">IFERROR(__xludf.DUMMYFUNCTION("""COMPUTED_VALUE"""),"成嶋 夏未")</f>
        <v>成嶋 夏未</v>
      </c>
    </row>
    <row r="6344" spans="2:4" ht="13">
      <c r="B6344" s="12">
        <f ca="1">IFERROR(__xludf.DUMMYFUNCTION("""COMPUTED_VALUE"""),134318)</f>
        <v>134318</v>
      </c>
      <c r="C6344" s="14">
        <f ca="1">IFERROR(__xludf.DUMMYFUNCTION("""COMPUTED_VALUE"""),0)</f>
        <v>0</v>
      </c>
      <c r="D6344" s="12" t="str">
        <f ca="1">IFERROR(__xludf.DUMMYFUNCTION("""COMPUTED_VALUE"""),"成嶋 夏未")</f>
        <v>成嶋 夏未</v>
      </c>
    </row>
    <row r="6345" spans="2:4" ht="13">
      <c r="B6345" s="12">
        <f ca="1">IFERROR(__xludf.DUMMYFUNCTION("""COMPUTED_VALUE"""),134326)</f>
        <v>134326</v>
      </c>
      <c r="C6345" s="14">
        <f ca="1">IFERROR(__xludf.DUMMYFUNCTION("""COMPUTED_VALUE"""),3)</f>
        <v>3</v>
      </c>
      <c r="D6345" s="12" t="str">
        <f ca="1">IFERROR(__xludf.DUMMYFUNCTION("""COMPUTED_VALUE"""),"長谷川 陸朗")</f>
        <v>長谷川 陸朗</v>
      </c>
    </row>
    <row r="6346" spans="2:4" ht="13">
      <c r="B6346" s="12">
        <f ca="1">IFERROR(__xludf.DUMMYFUNCTION("""COMPUTED_VALUE"""),134327)</f>
        <v>134327</v>
      </c>
      <c r="C6346" s="14">
        <f ca="1">IFERROR(__xludf.DUMMYFUNCTION("""COMPUTED_VALUE"""),0)</f>
        <v>0</v>
      </c>
      <c r="D6346" s="12" t="str">
        <f ca="1">IFERROR(__xludf.DUMMYFUNCTION("""COMPUTED_VALUE"""),"芳賀 亮輔")</f>
        <v>芳賀 亮輔</v>
      </c>
    </row>
    <row r="6347" spans="2:4" ht="13">
      <c r="B6347" s="12">
        <f ca="1">IFERROR(__xludf.DUMMYFUNCTION("""COMPUTED_VALUE"""),134331)</f>
        <v>134331</v>
      </c>
      <c r="C6347" s="14">
        <f ca="1">IFERROR(__xludf.DUMMYFUNCTION("""COMPUTED_VALUE"""),24)</f>
        <v>24</v>
      </c>
      <c r="D6347" s="12" t="str">
        <f ca="1">IFERROR(__xludf.DUMMYFUNCTION("""COMPUTED_VALUE"""),"長谷川 陸朗")</f>
        <v>長谷川 陸朗</v>
      </c>
    </row>
    <row r="6348" spans="2:4" ht="13">
      <c r="B6348" s="12">
        <f ca="1">IFERROR(__xludf.DUMMYFUNCTION("""COMPUTED_VALUE"""),134347)</f>
        <v>134347</v>
      </c>
      <c r="C6348" s="14">
        <f ca="1">IFERROR(__xludf.DUMMYFUNCTION("""COMPUTED_VALUE"""),0)</f>
        <v>0</v>
      </c>
      <c r="D6348" s="12" t="str">
        <f ca="1">IFERROR(__xludf.DUMMYFUNCTION("""COMPUTED_VALUE"""),"小川 純")</f>
        <v>小川 純</v>
      </c>
    </row>
    <row r="6349" spans="2:4" ht="13">
      <c r="B6349" s="12">
        <f ca="1">IFERROR(__xludf.DUMMYFUNCTION("""COMPUTED_VALUE"""),134351)</f>
        <v>134351</v>
      </c>
      <c r="C6349" s="14">
        <f ca="1">IFERROR(__xludf.DUMMYFUNCTION("""COMPUTED_VALUE"""),3)</f>
        <v>3</v>
      </c>
      <c r="D6349" s="12" t="str">
        <f ca="1">IFERROR(__xludf.DUMMYFUNCTION("""COMPUTED_VALUE"""),"荻曽 克輝")</f>
        <v>荻曽 克輝</v>
      </c>
    </row>
    <row r="6350" spans="2:4" ht="13">
      <c r="B6350" s="12">
        <f ca="1">IFERROR(__xludf.DUMMYFUNCTION("""COMPUTED_VALUE"""),134354)</f>
        <v>134354</v>
      </c>
      <c r="C6350" s="14">
        <f ca="1">IFERROR(__xludf.DUMMYFUNCTION("""COMPUTED_VALUE"""),0)</f>
        <v>0</v>
      </c>
      <c r="D6350" s="12" t="str">
        <f ca="1">IFERROR(__xludf.DUMMYFUNCTION("""COMPUTED_VALUE"""),"荻曽 克輝")</f>
        <v>荻曽 克輝</v>
      </c>
    </row>
    <row r="6351" spans="2:4" ht="13">
      <c r="B6351" s="12">
        <f ca="1">IFERROR(__xludf.DUMMYFUNCTION("""COMPUTED_VALUE"""),134356)</f>
        <v>134356</v>
      </c>
      <c r="C6351" s="14">
        <f ca="1">IFERROR(__xludf.DUMMYFUNCTION("""COMPUTED_VALUE"""),6)</f>
        <v>6</v>
      </c>
      <c r="D6351" s="12" t="str">
        <f ca="1">IFERROR(__xludf.DUMMYFUNCTION("""COMPUTED_VALUE"""),"小川 純")</f>
        <v>小川 純</v>
      </c>
    </row>
    <row r="6352" spans="2:4" ht="13">
      <c r="B6352" s="12">
        <f ca="1">IFERROR(__xludf.DUMMYFUNCTION("""COMPUTED_VALUE"""),134359)</f>
        <v>134359</v>
      </c>
      <c r="C6352" s="14">
        <f ca="1">IFERROR(__xludf.DUMMYFUNCTION("""COMPUTED_VALUE"""),3)</f>
        <v>3</v>
      </c>
      <c r="D6352" s="12" t="str">
        <f ca="1">IFERROR(__xludf.DUMMYFUNCTION("""COMPUTED_VALUE"""),"大木 優香")</f>
        <v>大木 優香</v>
      </c>
    </row>
    <row r="6353" spans="2:4" ht="13">
      <c r="B6353" s="12">
        <f ca="1">IFERROR(__xludf.DUMMYFUNCTION("""COMPUTED_VALUE"""),134363)</f>
        <v>134363</v>
      </c>
      <c r="C6353" s="14">
        <f ca="1">IFERROR(__xludf.DUMMYFUNCTION("""COMPUTED_VALUE"""),0)</f>
        <v>0</v>
      </c>
      <c r="D6353" s="12" t="str">
        <f ca="1">IFERROR(__xludf.DUMMYFUNCTION("""COMPUTED_VALUE"""),"辻村 将大")</f>
        <v>辻村 将大</v>
      </c>
    </row>
    <row r="6354" spans="2:4" ht="13">
      <c r="B6354" s="12">
        <f ca="1">IFERROR(__xludf.DUMMYFUNCTION("""COMPUTED_VALUE"""),134369)</f>
        <v>134369</v>
      </c>
      <c r="C6354" s="14">
        <f ca="1">IFERROR(__xludf.DUMMYFUNCTION("""COMPUTED_VALUE"""),0)</f>
        <v>0</v>
      </c>
      <c r="D6354" s="12" t="str">
        <f ca="1">IFERROR(__xludf.DUMMYFUNCTION("""COMPUTED_VALUE"""),"桐山 勝気")</f>
        <v>桐山 勝気</v>
      </c>
    </row>
    <row r="6355" spans="2:4" ht="13">
      <c r="B6355" s="12">
        <f ca="1">IFERROR(__xludf.DUMMYFUNCTION("""COMPUTED_VALUE"""),134373)</f>
        <v>134373</v>
      </c>
      <c r="C6355" s="14">
        <f ca="1">IFERROR(__xludf.DUMMYFUNCTION("""COMPUTED_VALUE"""),0)</f>
        <v>0</v>
      </c>
      <c r="D6355" s="12" t="str">
        <f ca="1">IFERROR(__xludf.DUMMYFUNCTION("""COMPUTED_VALUE"""),"菅野 ぎんが")</f>
        <v>菅野 ぎんが</v>
      </c>
    </row>
    <row r="6356" spans="2:4" ht="13">
      <c r="B6356" s="12">
        <f ca="1">IFERROR(__xludf.DUMMYFUNCTION("""COMPUTED_VALUE"""),134376)</f>
        <v>134376</v>
      </c>
      <c r="C6356" s="14">
        <f ca="1">IFERROR(__xludf.DUMMYFUNCTION("""COMPUTED_VALUE"""),0)</f>
        <v>0</v>
      </c>
      <c r="D6356" s="12" t="str">
        <f ca="1">IFERROR(__xludf.DUMMYFUNCTION("""COMPUTED_VALUE"""),"村上 浩一朗")</f>
        <v>村上 浩一朗</v>
      </c>
    </row>
    <row r="6357" spans="2:4" ht="13">
      <c r="B6357" s="12">
        <f ca="1">IFERROR(__xludf.DUMMYFUNCTION("""COMPUTED_VALUE"""),134384)</f>
        <v>134384</v>
      </c>
      <c r="C6357" s="14">
        <f ca="1">IFERROR(__xludf.DUMMYFUNCTION("""COMPUTED_VALUE"""),0)</f>
        <v>0</v>
      </c>
      <c r="D6357" s="12" t="str">
        <f ca="1">IFERROR(__xludf.DUMMYFUNCTION("""COMPUTED_VALUE"""),"荻曽 克輝")</f>
        <v>荻曽 克輝</v>
      </c>
    </row>
    <row r="6358" spans="2:4" ht="13">
      <c r="B6358" s="12">
        <f ca="1">IFERROR(__xludf.DUMMYFUNCTION("""COMPUTED_VALUE"""),134385)</f>
        <v>134385</v>
      </c>
      <c r="C6358" s="14">
        <f ca="1">IFERROR(__xludf.DUMMYFUNCTION("""COMPUTED_VALUE"""),0)</f>
        <v>0</v>
      </c>
      <c r="D6358" s="12" t="str">
        <f ca="1">IFERROR(__xludf.DUMMYFUNCTION("""COMPUTED_VALUE"""),"栗原 大武")</f>
        <v>栗原 大武</v>
      </c>
    </row>
    <row r="6359" spans="2:4" ht="13">
      <c r="B6359" s="12">
        <f ca="1">IFERROR(__xludf.DUMMYFUNCTION("""COMPUTED_VALUE"""),134386)</f>
        <v>134386</v>
      </c>
      <c r="C6359" s="14">
        <f ca="1">IFERROR(__xludf.DUMMYFUNCTION("""COMPUTED_VALUE"""),0)</f>
        <v>0</v>
      </c>
      <c r="D6359" s="12" t="str">
        <f ca="1">IFERROR(__xludf.DUMMYFUNCTION("""COMPUTED_VALUE"""),"桐山 勝気")</f>
        <v>桐山 勝気</v>
      </c>
    </row>
    <row r="6360" spans="2:4" ht="13">
      <c r="B6360" s="12">
        <f ca="1">IFERROR(__xludf.DUMMYFUNCTION("""COMPUTED_VALUE"""),134407)</f>
        <v>134407</v>
      </c>
      <c r="C6360" s="14">
        <f ca="1">IFERROR(__xludf.DUMMYFUNCTION("""COMPUTED_VALUE"""),0)</f>
        <v>0</v>
      </c>
      <c r="D6360" s="12" t="str">
        <f ca="1">IFERROR(__xludf.DUMMYFUNCTION("""COMPUTED_VALUE"""),"田嶋 将太")</f>
        <v>田嶋 将太</v>
      </c>
    </row>
    <row r="6361" spans="2:4" ht="13">
      <c r="B6361" s="12">
        <f ca="1">IFERROR(__xludf.DUMMYFUNCTION("""COMPUTED_VALUE"""),134408)</f>
        <v>134408</v>
      </c>
      <c r="C6361" s="14">
        <f ca="1">IFERROR(__xludf.DUMMYFUNCTION("""COMPUTED_VALUE"""),0)</f>
        <v>0</v>
      </c>
      <c r="D6361" s="12" t="str">
        <f ca="1">IFERROR(__xludf.DUMMYFUNCTION("""COMPUTED_VALUE"""),"桐山 勝気")</f>
        <v>桐山 勝気</v>
      </c>
    </row>
    <row r="6362" spans="2:4" ht="13">
      <c r="B6362" s="12">
        <f ca="1">IFERROR(__xludf.DUMMYFUNCTION("""COMPUTED_VALUE"""),134411)</f>
        <v>134411</v>
      </c>
      <c r="C6362" s="14">
        <f ca="1">IFERROR(__xludf.DUMMYFUNCTION("""COMPUTED_VALUE"""),0)</f>
        <v>0</v>
      </c>
      <c r="D6362" s="12" t="str">
        <f ca="1">IFERROR(__xludf.DUMMYFUNCTION("""COMPUTED_VALUE"""),"稲場 勇介")</f>
        <v>稲場 勇介</v>
      </c>
    </row>
    <row r="6363" spans="2:4" ht="13">
      <c r="B6363" s="12">
        <f ca="1">IFERROR(__xludf.DUMMYFUNCTION("""COMPUTED_VALUE"""),134416)</f>
        <v>134416</v>
      </c>
      <c r="C6363" s="14">
        <f ca="1">IFERROR(__xludf.DUMMYFUNCTION("""COMPUTED_VALUE"""),0)</f>
        <v>0</v>
      </c>
      <c r="D6363" s="12" t="str">
        <f ca="1">IFERROR(__xludf.DUMMYFUNCTION("""COMPUTED_VALUE"""),"松尾 尚樹")</f>
        <v>松尾 尚樹</v>
      </c>
    </row>
    <row r="6364" spans="2:4" ht="13">
      <c r="B6364" s="12">
        <f ca="1">IFERROR(__xludf.DUMMYFUNCTION("""COMPUTED_VALUE"""),134422)</f>
        <v>134422</v>
      </c>
      <c r="C6364" s="14">
        <f ca="1">IFERROR(__xludf.DUMMYFUNCTION("""COMPUTED_VALUE"""),5)</f>
        <v>5</v>
      </c>
      <c r="D6364" s="12" t="str">
        <f ca="1">IFERROR(__xludf.DUMMYFUNCTION("""COMPUTED_VALUE"""),"荻曽 克輝")</f>
        <v>荻曽 克輝</v>
      </c>
    </row>
    <row r="6365" spans="2:4" ht="13">
      <c r="B6365" s="12">
        <f ca="1">IFERROR(__xludf.DUMMYFUNCTION("""COMPUTED_VALUE"""),134424)</f>
        <v>134424</v>
      </c>
      <c r="C6365" s="14">
        <f ca="1">IFERROR(__xludf.DUMMYFUNCTION("""COMPUTED_VALUE"""),15)</f>
        <v>15</v>
      </c>
      <c r="D6365" s="12" t="str">
        <f ca="1">IFERROR(__xludf.DUMMYFUNCTION("""COMPUTED_VALUE"""),"稲場 勇介")</f>
        <v>稲場 勇介</v>
      </c>
    </row>
    <row r="6366" spans="2:4" ht="13">
      <c r="B6366" s="12">
        <f ca="1">IFERROR(__xludf.DUMMYFUNCTION("""COMPUTED_VALUE"""),134425)</f>
        <v>134425</v>
      </c>
      <c r="C6366" s="14">
        <f ca="1">IFERROR(__xludf.DUMMYFUNCTION("""COMPUTED_VALUE"""),15)</f>
        <v>15</v>
      </c>
      <c r="D6366" s="12" t="str">
        <f ca="1">IFERROR(__xludf.DUMMYFUNCTION("""COMPUTED_VALUE"""),"稲場 勇介")</f>
        <v>稲場 勇介</v>
      </c>
    </row>
    <row r="6367" spans="2:4" ht="13">
      <c r="B6367" s="12">
        <f ca="1">IFERROR(__xludf.DUMMYFUNCTION("""COMPUTED_VALUE"""),134426)</f>
        <v>134426</v>
      </c>
      <c r="C6367" s="14">
        <f ca="1">IFERROR(__xludf.DUMMYFUNCTION("""COMPUTED_VALUE"""),15)</f>
        <v>15</v>
      </c>
      <c r="D6367" s="12" t="str">
        <f ca="1">IFERROR(__xludf.DUMMYFUNCTION("""COMPUTED_VALUE"""),"稲場 勇介")</f>
        <v>稲場 勇介</v>
      </c>
    </row>
    <row r="6368" spans="2:4" ht="13">
      <c r="B6368" s="12">
        <f ca="1">IFERROR(__xludf.DUMMYFUNCTION("""COMPUTED_VALUE"""),134427)</f>
        <v>134427</v>
      </c>
      <c r="C6368" s="14">
        <f ca="1">IFERROR(__xludf.DUMMYFUNCTION("""COMPUTED_VALUE"""),15)</f>
        <v>15</v>
      </c>
      <c r="D6368" s="12" t="str">
        <f ca="1">IFERROR(__xludf.DUMMYFUNCTION("""COMPUTED_VALUE"""),"稲場 勇介")</f>
        <v>稲場 勇介</v>
      </c>
    </row>
    <row r="6369" spans="2:4" ht="13">
      <c r="B6369" s="12">
        <f ca="1">IFERROR(__xludf.DUMMYFUNCTION("""COMPUTED_VALUE"""),134428)</f>
        <v>134428</v>
      </c>
      <c r="C6369" s="14">
        <f ca="1">IFERROR(__xludf.DUMMYFUNCTION("""COMPUTED_VALUE"""),15)</f>
        <v>15</v>
      </c>
      <c r="D6369" s="12" t="str">
        <f ca="1">IFERROR(__xludf.DUMMYFUNCTION("""COMPUTED_VALUE"""),"稲場 勇介")</f>
        <v>稲場 勇介</v>
      </c>
    </row>
    <row r="6370" spans="2:4" ht="13">
      <c r="B6370" s="12">
        <f ca="1">IFERROR(__xludf.DUMMYFUNCTION("""COMPUTED_VALUE"""),134429)</f>
        <v>134429</v>
      </c>
      <c r="C6370" s="14">
        <f ca="1">IFERROR(__xludf.DUMMYFUNCTION("""COMPUTED_VALUE"""),7)</f>
        <v>7</v>
      </c>
      <c r="D6370" s="12" t="str">
        <f ca="1">IFERROR(__xludf.DUMMYFUNCTION("""COMPUTED_VALUE"""),"稲場 勇介")</f>
        <v>稲場 勇介</v>
      </c>
    </row>
    <row r="6371" spans="2:4" ht="13">
      <c r="B6371" s="12">
        <f ca="1">IFERROR(__xludf.DUMMYFUNCTION("""COMPUTED_VALUE"""),134430)</f>
        <v>134430</v>
      </c>
      <c r="C6371" s="14">
        <f ca="1">IFERROR(__xludf.DUMMYFUNCTION("""COMPUTED_VALUE"""),3)</f>
        <v>3</v>
      </c>
      <c r="D6371" s="12" t="str">
        <f ca="1">IFERROR(__xludf.DUMMYFUNCTION("""COMPUTED_VALUE"""),"稲場 勇介")</f>
        <v>稲場 勇介</v>
      </c>
    </row>
    <row r="6372" spans="2:4" ht="13">
      <c r="B6372" s="12">
        <f ca="1">IFERROR(__xludf.DUMMYFUNCTION("""COMPUTED_VALUE"""),134435)</f>
        <v>134435</v>
      </c>
      <c r="C6372" s="14">
        <f ca="1">IFERROR(__xludf.DUMMYFUNCTION("""COMPUTED_VALUE"""),0)</f>
        <v>0</v>
      </c>
      <c r="D6372" s="12" t="str">
        <f ca="1">IFERROR(__xludf.DUMMYFUNCTION("""COMPUTED_VALUE"""),"内丸 裕子")</f>
        <v>内丸 裕子</v>
      </c>
    </row>
    <row r="6373" spans="2:4" ht="13">
      <c r="B6373" s="12">
        <f ca="1">IFERROR(__xludf.DUMMYFUNCTION("""COMPUTED_VALUE"""),134451)</f>
        <v>134451</v>
      </c>
      <c r="C6373" s="14">
        <f ca="1">IFERROR(__xludf.DUMMYFUNCTION("""COMPUTED_VALUE"""),0)</f>
        <v>0</v>
      </c>
      <c r="D6373" s="12" t="str">
        <f ca="1">IFERROR(__xludf.DUMMYFUNCTION("""COMPUTED_VALUE"""),"老田 純輝")</f>
        <v>老田 純輝</v>
      </c>
    </row>
    <row r="6374" spans="2:4" ht="13">
      <c r="B6374" s="12">
        <f ca="1">IFERROR(__xludf.DUMMYFUNCTION("""COMPUTED_VALUE"""),134452)</f>
        <v>134452</v>
      </c>
      <c r="C6374" s="14">
        <f ca="1">IFERROR(__xludf.DUMMYFUNCTION("""COMPUTED_VALUE"""),21)</f>
        <v>21</v>
      </c>
      <c r="D6374" s="12" t="str">
        <f ca="1">IFERROR(__xludf.DUMMYFUNCTION("""COMPUTED_VALUE"""),"小川 純")</f>
        <v>小川 純</v>
      </c>
    </row>
    <row r="6375" spans="2:4" ht="13">
      <c r="B6375" s="12">
        <f ca="1">IFERROR(__xludf.DUMMYFUNCTION("""COMPUTED_VALUE"""),134460)</f>
        <v>134460</v>
      </c>
      <c r="C6375" s="14">
        <f ca="1">IFERROR(__xludf.DUMMYFUNCTION("""COMPUTED_VALUE"""),0)</f>
        <v>0</v>
      </c>
      <c r="D6375" s="12" t="str">
        <f ca="1">IFERROR(__xludf.DUMMYFUNCTION("""COMPUTED_VALUE"""),"成嶋 夏未")</f>
        <v>成嶋 夏未</v>
      </c>
    </row>
    <row r="6376" spans="2:4" ht="13">
      <c r="B6376" s="12">
        <f ca="1">IFERROR(__xludf.DUMMYFUNCTION("""COMPUTED_VALUE"""),134466)</f>
        <v>134466</v>
      </c>
      <c r="C6376" s="14">
        <f ca="1">IFERROR(__xludf.DUMMYFUNCTION("""COMPUTED_VALUE"""),0)</f>
        <v>0</v>
      </c>
      <c r="D6376" s="12" t="str">
        <f ca="1">IFERROR(__xludf.DUMMYFUNCTION("""COMPUTED_VALUE"""),"辻村 将大")</f>
        <v>辻村 将大</v>
      </c>
    </row>
    <row r="6377" spans="2:4" ht="13">
      <c r="B6377" s="12">
        <f ca="1">IFERROR(__xludf.DUMMYFUNCTION("""COMPUTED_VALUE"""),134467)</f>
        <v>134467</v>
      </c>
      <c r="C6377" s="14">
        <f ca="1">IFERROR(__xludf.DUMMYFUNCTION("""COMPUTED_VALUE"""),4)</f>
        <v>4</v>
      </c>
      <c r="D6377" s="12" t="str">
        <f ca="1">IFERROR(__xludf.DUMMYFUNCTION("""COMPUTED_VALUE"""),"老田 純輝")</f>
        <v>老田 純輝</v>
      </c>
    </row>
    <row r="6378" spans="2:4" ht="13">
      <c r="B6378" s="12">
        <f ca="1">IFERROR(__xludf.DUMMYFUNCTION("""COMPUTED_VALUE"""),134470)</f>
        <v>134470</v>
      </c>
      <c r="C6378" s="14">
        <f ca="1">IFERROR(__xludf.DUMMYFUNCTION("""COMPUTED_VALUE"""),0)</f>
        <v>0</v>
      </c>
      <c r="D6378" s="12" t="str">
        <f ca="1">IFERROR(__xludf.DUMMYFUNCTION("""COMPUTED_VALUE"""),"成嶋 夏未")</f>
        <v>成嶋 夏未</v>
      </c>
    </row>
    <row r="6379" spans="2:4" ht="13">
      <c r="B6379" s="12">
        <f ca="1">IFERROR(__xludf.DUMMYFUNCTION("""COMPUTED_VALUE"""),134478)</f>
        <v>134478</v>
      </c>
      <c r="C6379" s="14">
        <f ca="1">IFERROR(__xludf.DUMMYFUNCTION("""COMPUTED_VALUE"""),0)</f>
        <v>0</v>
      </c>
      <c r="D6379" s="12" t="str">
        <f ca="1">IFERROR(__xludf.DUMMYFUNCTION("""COMPUTED_VALUE"""),"長谷川 陸朗")</f>
        <v>長谷川 陸朗</v>
      </c>
    </row>
    <row r="6380" spans="2:4" ht="13">
      <c r="B6380" s="12">
        <f ca="1">IFERROR(__xludf.DUMMYFUNCTION("""COMPUTED_VALUE"""),134481)</f>
        <v>134481</v>
      </c>
      <c r="C6380" s="14">
        <f ca="1">IFERROR(__xludf.DUMMYFUNCTION("""COMPUTED_VALUE"""),0)</f>
        <v>0</v>
      </c>
      <c r="D6380" s="12" t="str">
        <f ca="1">IFERROR(__xludf.DUMMYFUNCTION("""COMPUTED_VALUE"""),"川島 幹也")</f>
        <v>川島 幹也</v>
      </c>
    </row>
    <row r="6381" spans="2:4" ht="13">
      <c r="B6381" s="12">
        <f ca="1">IFERROR(__xludf.DUMMYFUNCTION("""COMPUTED_VALUE"""),134486)</f>
        <v>134486</v>
      </c>
      <c r="C6381" s="14">
        <f ca="1">IFERROR(__xludf.DUMMYFUNCTION("""COMPUTED_VALUE"""),17)</f>
        <v>17</v>
      </c>
      <c r="D6381" s="12" t="str">
        <f ca="1">IFERROR(__xludf.DUMMYFUNCTION("""COMPUTED_VALUE"""),"内丸 裕子")</f>
        <v>内丸 裕子</v>
      </c>
    </row>
    <row r="6382" spans="2:4" ht="13">
      <c r="B6382" s="12">
        <f ca="1">IFERROR(__xludf.DUMMYFUNCTION("""COMPUTED_VALUE"""),134491)</f>
        <v>134491</v>
      </c>
      <c r="C6382" s="14">
        <f ca="1">IFERROR(__xludf.DUMMYFUNCTION("""COMPUTED_VALUE"""),0)</f>
        <v>0</v>
      </c>
      <c r="D6382" s="12" t="str">
        <f ca="1">IFERROR(__xludf.DUMMYFUNCTION("""COMPUTED_VALUE"""),"荻曽 克輝")</f>
        <v>荻曽 克輝</v>
      </c>
    </row>
    <row r="6383" spans="2:4" ht="13">
      <c r="B6383" s="12">
        <f ca="1">IFERROR(__xludf.DUMMYFUNCTION("""COMPUTED_VALUE"""),134494)</f>
        <v>134494</v>
      </c>
      <c r="C6383" s="14">
        <f ca="1">IFERROR(__xludf.DUMMYFUNCTION("""COMPUTED_VALUE"""),0)</f>
        <v>0</v>
      </c>
      <c r="D6383" s="12" t="str">
        <f ca="1">IFERROR(__xludf.DUMMYFUNCTION("""COMPUTED_VALUE"""),"老田 純輝")</f>
        <v>老田 純輝</v>
      </c>
    </row>
    <row r="6384" spans="2:4" ht="13">
      <c r="B6384" s="12">
        <f ca="1">IFERROR(__xludf.DUMMYFUNCTION("""COMPUTED_VALUE"""),134496)</f>
        <v>134496</v>
      </c>
      <c r="C6384" s="14">
        <f ca="1">IFERROR(__xludf.DUMMYFUNCTION("""COMPUTED_VALUE"""),2)</f>
        <v>2</v>
      </c>
      <c r="D6384" s="12" t="str">
        <f ca="1">IFERROR(__xludf.DUMMYFUNCTION("""COMPUTED_VALUE"""),"稲場 勇介")</f>
        <v>稲場 勇介</v>
      </c>
    </row>
    <row r="6385" spans="2:4" ht="13">
      <c r="B6385" s="12">
        <f ca="1">IFERROR(__xludf.DUMMYFUNCTION("""COMPUTED_VALUE"""),134505)</f>
        <v>134505</v>
      </c>
      <c r="C6385" s="14">
        <f ca="1">IFERROR(__xludf.DUMMYFUNCTION("""COMPUTED_VALUE"""),4)</f>
        <v>4</v>
      </c>
      <c r="D6385" s="12" t="str">
        <f ca="1">IFERROR(__xludf.DUMMYFUNCTION("""COMPUTED_VALUE"""),"内丸 裕子")</f>
        <v>内丸 裕子</v>
      </c>
    </row>
    <row r="6386" spans="2:4" ht="13">
      <c r="B6386" s="12">
        <f ca="1">IFERROR(__xludf.DUMMYFUNCTION("""COMPUTED_VALUE"""),134513)</f>
        <v>134513</v>
      </c>
      <c r="C6386" s="14">
        <f ca="1">IFERROR(__xludf.DUMMYFUNCTION("""COMPUTED_VALUE"""),0)</f>
        <v>0</v>
      </c>
      <c r="D6386" s="12" t="str">
        <f ca="1">IFERROR(__xludf.DUMMYFUNCTION("""COMPUTED_VALUE"""),"森 光智")</f>
        <v>森 光智</v>
      </c>
    </row>
    <row r="6387" spans="2:4" ht="13">
      <c r="B6387" s="12">
        <f ca="1">IFERROR(__xludf.DUMMYFUNCTION("""COMPUTED_VALUE"""),134517)</f>
        <v>134517</v>
      </c>
      <c r="C6387" s="14">
        <f ca="1">IFERROR(__xludf.DUMMYFUNCTION("""COMPUTED_VALUE"""),0)</f>
        <v>0</v>
      </c>
      <c r="D6387" s="12" t="str">
        <f ca="1">IFERROR(__xludf.DUMMYFUNCTION("""COMPUTED_VALUE"""),"長谷川 陸朗")</f>
        <v>長谷川 陸朗</v>
      </c>
    </row>
    <row r="6388" spans="2:4" ht="13">
      <c r="B6388" s="12">
        <f ca="1">IFERROR(__xludf.DUMMYFUNCTION("""COMPUTED_VALUE"""),134521)</f>
        <v>134521</v>
      </c>
      <c r="C6388" s="14">
        <f ca="1">IFERROR(__xludf.DUMMYFUNCTION("""COMPUTED_VALUE"""),0)</f>
        <v>0</v>
      </c>
      <c r="D6388" s="12" t="str">
        <f ca="1">IFERROR(__xludf.DUMMYFUNCTION("""COMPUTED_VALUE"""),"小関 麻起")</f>
        <v>小関 麻起</v>
      </c>
    </row>
    <row r="6389" spans="2:4" ht="13">
      <c r="B6389" s="12">
        <f ca="1">IFERROR(__xludf.DUMMYFUNCTION("""COMPUTED_VALUE"""),134522)</f>
        <v>134522</v>
      </c>
      <c r="C6389" s="14">
        <f ca="1">IFERROR(__xludf.DUMMYFUNCTION("""COMPUTED_VALUE"""),4)</f>
        <v>4</v>
      </c>
      <c r="D6389" s="12" t="str">
        <f ca="1">IFERROR(__xludf.DUMMYFUNCTION("""COMPUTED_VALUE"""),"稲場 勇介")</f>
        <v>稲場 勇介</v>
      </c>
    </row>
    <row r="6390" spans="2:4" ht="13">
      <c r="B6390" s="12">
        <f ca="1">IFERROR(__xludf.DUMMYFUNCTION("""COMPUTED_VALUE"""),134527)</f>
        <v>134527</v>
      </c>
      <c r="C6390" s="14">
        <f ca="1">IFERROR(__xludf.DUMMYFUNCTION("""COMPUTED_VALUE"""),0)</f>
        <v>0</v>
      </c>
      <c r="D6390" s="12" t="str">
        <f ca="1">IFERROR(__xludf.DUMMYFUNCTION("""COMPUTED_VALUE"""),"稲場 勇介")</f>
        <v>稲場 勇介</v>
      </c>
    </row>
    <row r="6391" spans="2:4" ht="13">
      <c r="B6391" s="12">
        <f ca="1">IFERROR(__xludf.DUMMYFUNCTION("""COMPUTED_VALUE"""),134530)</f>
        <v>134530</v>
      </c>
      <c r="C6391" s="14">
        <f ca="1">IFERROR(__xludf.DUMMYFUNCTION("""COMPUTED_VALUE"""),0)</f>
        <v>0</v>
      </c>
      <c r="D6391" s="12" t="str">
        <f ca="1">IFERROR(__xludf.DUMMYFUNCTION("""COMPUTED_VALUE"""),"菅野 ぎんが")</f>
        <v>菅野 ぎんが</v>
      </c>
    </row>
    <row r="6392" spans="2:4" ht="13">
      <c r="B6392" s="12">
        <f ca="1">IFERROR(__xludf.DUMMYFUNCTION("""COMPUTED_VALUE"""),134532)</f>
        <v>134532</v>
      </c>
      <c r="C6392" s="14">
        <f ca="1">IFERROR(__xludf.DUMMYFUNCTION("""COMPUTED_VALUE"""),2)</f>
        <v>2</v>
      </c>
      <c r="D6392" s="12" t="str">
        <f ca="1">IFERROR(__xludf.DUMMYFUNCTION("""COMPUTED_VALUE"""),"老田 純輝")</f>
        <v>老田 純輝</v>
      </c>
    </row>
    <row r="6393" spans="2:4" ht="13">
      <c r="B6393" s="12">
        <f ca="1">IFERROR(__xludf.DUMMYFUNCTION("""COMPUTED_VALUE"""),134533)</f>
        <v>134533</v>
      </c>
      <c r="C6393" s="14">
        <f ca="1">IFERROR(__xludf.DUMMYFUNCTION("""COMPUTED_VALUE"""),0)</f>
        <v>0</v>
      </c>
      <c r="D6393" s="12" t="str">
        <f ca="1">IFERROR(__xludf.DUMMYFUNCTION("""COMPUTED_VALUE"""),"内丸 裕子")</f>
        <v>内丸 裕子</v>
      </c>
    </row>
    <row r="6394" spans="2:4" ht="13">
      <c r="B6394" s="12">
        <f ca="1">IFERROR(__xludf.DUMMYFUNCTION("""COMPUTED_VALUE"""),134535)</f>
        <v>134535</v>
      </c>
      <c r="C6394" s="14">
        <f ca="1">IFERROR(__xludf.DUMMYFUNCTION("""COMPUTED_VALUE"""),14)</f>
        <v>14</v>
      </c>
      <c r="D6394" s="12" t="str">
        <f ca="1">IFERROR(__xludf.DUMMYFUNCTION("""COMPUTED_VALUE"""),"桐山 勝気")</f>
        <v>桐山 勝気</v>
      </c>
    </row>
    <row r="6395" spans="2:4" ht="13">
      <c r="B6395" s="12">
        <f ca="1">IFERROR(__xludf.DUMMYFUNCTION("""COMPUTED_VALUE"""),134537)</f>
        <v>134537</v>
      </c>
      <c r="C6395" s="14">
        <f ca="1">IFERROR(__xludf.DUMMYFUNCTION("""COMPUTED_VALUE"""),10)</f>
        <v>10</v>
      </c>
      <c r="D6395" s="12" t="str">
        <f ca="1">IFERROR(__xludf.DUMMYFUNCTION("""COMPUTED_VALUE"""),"栗原 大武")</f>
        <v>栗原 大武</v>
      </c>
    </row>
    <row r="6396" spans="2:4" ht="13">
      <c r="B6396" s="12">
        <f ca="1">IFERROR(__xludf.DUMMYFUNCTION("""COMPUTED_VALUE"""),134544)</f>
        <v>134544</v>
      </c>
      <c r="C6396" s="14">
        <f ca="1">IFERROR(__xludf.DUMMYFUNCTION("""COMPUTED_VALUE"""),0)</f>
        <v>0</v>
      </c>
      <c r="D6396" s="12" t="str">
        <f ca="1">IFERROR(__xludf.DUMMYFUNCTION("""COMPUTED_VALUE"""),"小関 麻起")</f>
        <v>小関 麻起</v>
      </c>
    </row>
    <row r="6397" spans="2:4" ht="13">
      <c r="B6397" s="12">
        <f ca="1">IFERROR(__xludf.DUMMYFUNCTION("""COMPUTED_VALUE"""),134552)</f>
        <v>134552</v>
      </c>
      <c r="C6397" s="14">
        <f ca="1">IFERROR(__xludf.DUMMYFUNCTION("""COMPUTED_VALUE"""),3)</f>
        <v>3</v>
      </c>
      <c r="D6397" s="12" t="str">
        <f ca="1">IFERROR(__xludf.DUMMYFUNCTION("""COMPUTED_VALUE"""),"桑原 明子")</f>
        <v>桑原 明子</v>
      </c>
    </row>
    <row r="6398" spans="2:4" ht="13">
      <c r="B6398" s="12">
        <f ca="1">IFERROR(__xludf.DUMMYFUNCTION("""COMPUTED_VALUE"""),134553)</f>
        <v>134553</v>
      </c>
      <c r="C6398" s="14">
        <f ca="1">IFERROR(__xludf.DUMMYFUNCTION("""COMPUTED_VALUE"""),2)</f>
        <v>2</v>
      </c>
      <c r="D6398" s="12" t="str">
        <f ca="1">IFERROR(__xludf.DUMMYFUNCTION("""COMPUTED_VALUE"""),"長谷川 陸朗")</f>
        <v>長谷川 陸朗</v>
      </c>
    </row>
    <row r="6399" spans="2:4" ht="13">
      <c r="B6399" s="12">
        <f ca="1">IFERROR(__xludf.DUMMYFUNCTION("""COMPUTED_VALUE"""),134559)</f>
        <v>134559</v>
      </c>
      <c r="C6399" s="14">
        <f ca="1">IFERROR(__xludf.DUMMYFUNCTION("""COMPUTED_VALUE"""),0)</f>
        <v>0</v>
      </c>
      <c r="D6399" s="12" t="str">
        <f ca="1">IFERROR(__xludf.DUMMYFUNCTION("""COMPUTED_VALUE"""),"稲場 勇介")</f>
        <v>稲場 勇介</v>
      </c>
    </row>
    <row r="6400" spans="2:4" ht="13">
      <c r="B6400" s="12">
        <f ca="1">IFERROR(__xludf.DUMMYFUNCTION("""COMPUTED_VALUE"""),134561)</f>
        <v>134561</v>
      </c>
      <c r="C6400" s="14">
        <f ca="1">IFERROR(__xludf.DUMMYFUNCTION("""COMPUTED_VALUE"""),0)</f>
        <v>0</v>
      </c>
      <c r="D6400" s="12" t="str">
        <f ca="1">IFERROR(__xludf.DUMMYFUNCTION("""COMPUTED_VALUE"""),"小関 麻起")</f>
        <v>小関 麻起</v>
      </c>
    </row>
    <row r="6401" spans="2:4" ht="13">
      <c r="B6401" s="12">
        <f ca="1">IFERROR(__xludf.DUMMYFUNCTION("""COMPUTED_VALUE"""),134566)</f>
        <v>134566</v>
      </c>
      <c r="C6401" s="14">
        <f ca="1">IFERROR(__xludf.DUMMYFUNCTION("""COMPUTED_VALUE"""),0)</f>
        <v>0</v>
      </c>
      <c r="D6401" s="12" t="str">
        <f ca="1">IFERROR(__xludf.DUMMYFUNCTION("""COMPUTED_VALUE"""),"小関 麻起")</f>
        <v>小関 麻起</v>
      </c>
    </row>
    <row r="6402" spans="2:4" ht="13">
      <c r="B6402" s="12">
        <f ca="1">IFERROR(__xludf.DUMMYFUNCTION("""COMPUTED_VALUE"""),134569)</f>
        <v>134569</v>
      </c>
      <c r="C6402" s="14">
        <f ca="1">IFERROR(__xludf.DUMMYFUNCTION("""COMPUTED_VALUE"""),0)</f>
        <v>0</v>
      </c>
      <c r="D6402" s="12" t="str">
        <f ca="1">IFERROR(__xludf.DUMMYFUNCTION("""COMPUTED_VALUE"""),"長谷川 陸朗")</f>
        <v>長谷川 陸朗</v>
      </c>
    </row>
    <row r="6403" spans="2:4" ht="13">
      <c r="B6403" s="12">
        <f ca="1">IFERROR(__xludf.DUMMYFUNCTION("""COMPUTED_VALUE"""),134570)</f>
        <v>134570</v>
      </c>
      <c r="C6403" s="14">
        <f ca="1">IFERROR(__xludf.DUMMYFUNCTION("""COMPUTED_VALUE"""),0)</f>
        <v>0</v>
      </c>
      <c r="D6403" s="12" t="str">
        <f ca="1">IFERROR(__xludf.DUMMYFUNCTION("""COMPUTED_VALUE"""),"菅野 ぎんが")</f>
        <v>菅野 ぎんが</v>
      </c>
    </row>
    <row r="6404" spans="2:4" ht="13">
      <c r="B6404" s="12">
        <f ca="1">IFERROR(__xludf.DUMMYFUNCTION("""COMPUTED_VALUE"""),134576)</f>
        <v>134576</v>
      </c>
      <c r="C6404" s="14">
        <f ca="1">IFERROR(__xludf.DUMMYFUNCTION("""COMPUTED_VALUE"""),19)</f>
        <v>19</v>
      </c>
      <c r="D6404" s="12" t="str">
        <f ca="1">IFERROR(__xludf.DUMMYFUNCTION("""COMPUTED_VALUE"""),"栗原 大武")</f>
        <v>栗原 大武</v>
      </c>
    </row>
    <row r="6405" spans="2:4" ht="13">
      <c r="B6405" s="12">
        <f ca="1">IFERROR(__xludf.DUMMYFUNCTION("""COMPUTED_VALUE"""),134577)</f>
        <v>134577</v>
      </c>
      <c r="C6405" s="14">
        <f ca="1">IFERROR(__xludf.DUMMYFUNCTION("""COMPUTED_VALUE"""),394)</f>
        <v>394</v>
      </c>
      <c r="D6405" s="12" t="str">
        <f ca="1">IFERROR(__xludf.DUMMYFUNCTION("""COMPUTED_VALUE"""),"栗原 大武")</f>
        <v>栗原 大武</v>
      </c>
    </row>
    <row r="6406" spans="2:4" ht="13">
      <c r="B6406" s="12">
        <f ca="1">IFERROR(__xludf.DUMMYFUNCTION("""COMPUTED_VALUE"""),134582)</f>
        <v>134582</v>
      </c>
      <c r="C6406" s="14">
        <f ca="1">IFERROR(__xludf.DUMMYFUNCTION("""COMPUTED_VALUE"""),0)</f>
        <v>0</v>
      </c>
      <c r="D6406" s="12" t="str">
        <f ca="1">IFERROR(__xludf.DUMMYFUNCTION("""COMPUTED_VALUE"""),"松尾 尚樹")</f>
        <v>松尾 尚樹</v>
      </c>
    </row>
    <row r="6407" spans="2:4" ht="13">
      <c r="B6407" s="12">
        <f ca="1">IFERROR(__xludf.DUMMYFUNCTION("""COMPUTED_VALUE"""),134584)</f>
        <v>134584</v>
      </c>
      <c r="C6407" s="14">
        <f ca="1">IFERROR(__xludf.DUMMYFUNCTION("""COMPUTED_VALUE"""),0)</f>
        <v>0</v>
      </c>
      <c r="D6407" s="12" t="str">
        <f ca="1">IFERROR(__xludf.DUMMYFUNCTION("""COMPUTED_VALUE"""),"村上 浩一朗")</f>
        <v>村上 浩一朗</v>
      </c>
    </row>
    <row r="6408" spans="2:4" ht="13">
      <c r="B6408" s="12">
        <f ca="1">IFERROR(__xludf.DUMMYFUNCTION("""COMPUTED_VALUE"""),134586)</f>
        <v>134586</v>
      </c>
      <c r="C6408" s="14">
        <f ca="1">IFERROR(__xludf.DUMMYFUNCTION("""COMPUTED_VALUE"""),0)</f>
        <v>0</v>
      </c>
      <c r="D6408" s="12" t="str">
        <f ca="1">IFERROR(__xludf.DUMMYFUNCTION("""COMPUTED_VALUE"""),"荻曽 克輝")</f>
        <v>荻曽 克輝</v>
      </c>
    </row>
    <row r="6409" spans="2:4" ht="13">
      <c r="B6409" s="12">
        <f ca="1">IFERROR(__xludf.DUMMYFUNCTION("""COMPUTED_VALUE"""),134587)</f>
        <v>134587</v>
      </c>
      <c r="C6409" s="14">
        <f ca="1">IFERROR(__xludf.DUMMYFUNCTION("""COMPUTED_VALUE"""),91)</f>
        <v>91</v>
      </c>
      <c r="D6409" s="12" t="str">
        <f ca="1">IFERROR(__xludf.DUMMYFUNCTION("""COMPUTED_VALUE"""),"荻曽 克輝")</f>
        <v>荻曽 克輝</v>
      </c>
    </row>
    <row r="6410" spans="2:4" ht="13">
      <c r="B6410" s="12">
        <f ca="1">IFERROR(__xludf.DUMMYFUNCTION("""COMPUTED_VALUE"""),134591)</f>
        <v>134591</v>
      </c>
      <c r="C6410" s="14">
        <f ca="1">IFERROR(__xludf.DUMMYFUNCTION("""COMPUTED_VALUE"""),0)</f>
        <v>0</v>
      </c>
      <c r="D6410" s="12" t="str">
        <f ca="1">IFERROR(__xludf.DUMMYFUNCTION("""COMPUTED_VALUE"""),"成嶋 夏未")</f>
        <v>成嶋 夏未</v>
      </c>
    </row>
    <row r="6411" spans="2:4" ht="13">
      <c r="B6411" s="12">
        <f ca="1">IFERROR(__xludf.DUMMYFUNCTION("""COMPUTED_VALUE"""),134597)</f>
        <v>134597</v>
      </c>
      <c r="C6411" s="14">
        <f ca="1">IFERROR(__xludf.DUMMYFUNCTION("""COMPUTED_VALUE"""),0)</f>
        <v>0</v>
      </c>
      <c r="D6411" s="12" t="str">
        <f ca="1">IFERROR(__xludf.DUMMYFUNCTION("""COMPUTED_VALUE"""),"荻曽 克輝")</f>
        <v>荻曽 克輝</v>
      </c>
    </row>
    <row r="6412" spans="2:4" ht="13">
      <c r="B6412" s="12">
        <f ca="1">IFERROR(__xludf.DUMMYFUNCTION("""COMPUTED_VALUE"""),134600)</f>
        <v>134600</v>
      </c>
      <c r="C6412" s="14">
        <f ca="1">IFERROR(__xludf.DUMMYFUNCTION("""COMPUTED_VALUE"""),0)</f>
        <v>0</v>
      </c>
      <c r="D6412" s="12" t="str">
        <f ca="1">IFERROR(__xludf.DUMMYFUNCTION("""COMPUTED_VALUE"""),"荻曽 克輝")</f>
        <v>荻曽 克輝</v>
      </c>
    </row>
    <row r="6413" spans="2:4" ht="13">
      <c r="B6413" s="12">
        <f ca="1">IFERROR(__xludf.DUMMYFUNCTION("""COMPUTED_VALUE"""),134608)</f>
        <v>134608</v>
      </c>
      <c r="C6413" s="14">
        <f ca="1">IFERROR(__xludf.DUMMYFUNCTION("""COMPUTED_VALUE"""),96)</f>
        <v>96</v>
      </c>
      <c r="D6413" s="12" t="str">
        <f ca="1">IFERROR(__xludf.DUMMYFUNCTION("""COMPUTED_VALUE"""),"芳賀 亮輔")</f>
        <v>芳賀 亮輔</v>
      </c>
    </row>
    <row r="6414" spans="2:4" ht="13">
      <c r="B6414" s="12">
        <f ca="1">IFERROR(__xludf.DUMMYFUNCTION("""COMPUTED_VALUE"""),134612)</f>
        <v>134612</v>
      </c>
      <c r="C6414" s="14">
        <f ca="1">IFERROR(__xludf.DUMMYFUNCTION("""COMPUTED_VALUE"""),91)</f>
        <v>91</v>
      </c>
      <c r="D6414" s="12" t="str">
        <f ca="1">IFERROR(__xludf.DUMMYFUNCTION("""COMPUTED_VALUE"""),"小川 純")</f>
        <v>小川 純</v>
      </c>
    </row>
    <row r="6415" spans="2:4" ht="13">
      <c r="B6415" s="12">
        <f ca="1">IFERROR(__xludf.DUMMYFUNCTION("""COMPUTED_VALUE"""),134613)</f>
        <v>134613</v>
      </c>
      <c r="C6415" s="14">
        <f ca="1">IFERROR(__xludf.DUMMYFUNCTION("""COMPUTED_VALUE"""),69)</f>
        <v>69</v>
      </c>
      <c r="D6415" s="12" t="str">
        <f ca="1">IFERROR(__xludf.DUMMYFUNCTION("""COMPUTED_VALUE"""),"小川 純")</f>
        <v>小川 純</v>
      </c>
    </row>
    <row r="6416" spans="2:4" ht="13">
      <c r="B6416" s="12">
        <f ca="1">IFERROR(__xludf.DUMMYFUNCTION("""COMPUTED_VALUE"""),134614)</f>
        <v>134614</v>
      </c>
      <c r="C6416" s="14">
        <f ca="1">IFERROR(__xludf.DUMMYFUNCTION("""COMPUTED_VALUE"""),91)</f>
        <v>91</v>
      </c>
      <c r="D6416" s="12" t="str">
        <f ca="1">IFERROR(__xludf.DUMMYFUNCTION("""COMPUTED_VALUE"""),"小川 純")</f>
        <v>小川 純</v>
      </c>
    </row>
    <row r="6417" spans="2:4" ht="13">
      <c r="B6417" s="12">
        <f ca="1">IFERROR(__xludf.DUMMYFUNCTION("""COMPUTED_VALUE"""),134615)</f>
        <v>134615</v>
      </c>
      <c r="C6417" s="14">
        <f ca="1">IFERROR(__xludf.DUMMYFUNCTION("""COMPUTED_VALUE"""),91)</f>
        <v>91</v>
      </c>
      <c r="D6417" s="12" t="str">
        <f ca="1">IFERROR(__xludf.DUMMYFUNCTION("""COMPUTED_VALUE"""),"小川 純")</f>
        <v>小川 純</v>
      </c>
    </row>
    <row r="6418" spans="2:4" ht="13">
      <c r="B6418" s="12">
        <f ca="1">IFERROR(__xludf.DUMMYFUNCTION("""COMPUTED_VALUE"""),134616)</f>
        <v>134616</v>
      </c>
      <c r="C6418" s="14">
        <f ca="1">IFERROR(__xludf.DUMMYFUNCTION("""COMPUTED_VALUE"""),0)</f>
        <v>0</v>
      </c>
      <c r="D6418" s="12" t="str">
        <f ca="1">IFERROR(__xludf.DUMMYFUNCTION("""COMPUTED_VALUE"""),"菅野 ぎんが")</f>
        <v>菅野 ぎんが</v>
      </c>
    </row>
    <row r="6419" spans="2:4" ht="13">
      <c r="B6419" s="12">
        <f ca="1">IFERROR(__xludf.DUMMYFUNCTION("""COMPUTED_VALUE"""),134619)</f>
        <v>134619</v>
      </c>
      <c r="C6419" s="14">
        <f ca="1">IFERROR(__xludf.DUMMYFUNCTION("""COMPUTED_VALUE"""),0)</f>
        <v>0</v>
      </c>
      <c r="D6419" s="12" t="str">
        <f ca="1">IFERROR(__xludf.DUMMYFUNCTION("""COMPUTED_VALUE"""),"桐山 勝気")</f>
        <v>桐山 勝気</v>
      </c>
    </row>
    <row r="6420" spans="2:4" ht="13">
      <c r="B6420" s="12">
        <f ca="1">IFERROR(__xludf.DUMMYFUNCTION("""COMPUTED_VALUE"""),134622)</f>
        <v>134622</v>
      </c>
      <c r="C6420" s="14">
        <f ca="1">IFERROR(__xludf.DUMMYFUNCTION("""COMPUTED_VALUE"""),0)</f>
        <v>0</v>
      </c>
      <c r="D6420" s="12" t="str">
        <f ca="1">IFERROR(__xludf.DUMMYFUNCTION("""COMPUTED_VALUE"""),"松尾 尚樹")</f>
        <v>松尾 尚樹</v>
      </c>
    </row>
    <row r="6421" spans="2:4" ht="13">
      <c r="B6421" s="12">
        <f ca="1">IFERROR(__xludf.DUMMYFUNCTION("""COMPUTED_VALUE"""),134626)</f>
        <v>134626</v>
      </c>
      <c r="C6421" s="14">
        <f ca="1">IFERROR(__xludf.DUMMYFUNCTION("""COMPUTED_VALUE"""),0)</f>
        <v>0</v>
      </c>
      <c r="D6421" s="12" t="str">
        <f ca="1">IFERROR(__xludf.DUMMYFUNCTION("""COMPUTED_VALUE"""),"菅野 ぎんが")</f>
        <v>菅野 ぎんが</v>
      </c>
    </row>
    <row r="6422" spans="2:4" ht="13">
      <c r="B6422" s="12">
        <f ca="1">IFERROR(__xludf.DUMMYFUNCTION("""COMPUTED_VALUE"""),134628)</f>
        <v>134628</v>
      </c>
      <c r="C6422" s="14">
        <f ca="1">IFERROR(__xludf.DUMMYFUNCTION("""COMPUTED_VALUE"""),0)</f>
        <v>0</v>
      </c>
      <c r="D6422" s="12" t="str">
        <f ca="1">IFERROR(__xludf.DUMMYFUNCTION("""COMPUTED_VALUE"""),"長谷川 陸朗")</f>
        <v>長谷川 陸朗</v>
      </c>
    </row>
    <row r="6423" spans="2:4" ht="13">
      <c r="B6423" s="12">
        <f ca="1">IFERROR(__xludf.DUMMYFUNCTION("""COMPUTED_VALUE"""),134654)</f>
        <v>134654</v>
      </c>
      <c r="C6423" s="14">
        <f ca="1">IFERROR(__xludf.DUMMYFUNCTION("""COMPUTED_VALUE"""),2)</f>
        <v>2</v>
      </c>
      <c r="D6423" s="12" t="str">
        <f ca="1">IFERROR(__xludf.DUMMYFUNCTION("""COMPUTED_VALUE"""),"菅野 ぎんが")</f>
        <v>菅野 ぎんが</v>
      </c>
    </row>
    <row r="6424" spans="2:4" ht="13">
      <c r="B6424" s="12">
        <f ca="1">IFERROR(__xludf.DUMMYFUNCTION("""COMPUTED_VALUE"""),134657)</f>
        <v>134657</v>
      </c>
      <c r="C6424" s="14">
        <f ca="1">IFERROR(__xludf.DUMMYFUNCTION("""COMPUTED_VALUE"""),0)</f>
        <v>0</v>
      </c>
      <c r="D6424" s="12" t="str">
        <f ca="1">IFERROR(__xludf.DUMMYFUNCTION("""COMPUTED_VALUE"""),"芳賀 亮輔")</f>
        <v>芳賀 亮輔</v>
      </c>
    </row>
    <row r="6425" spans="2:4" ht="13">
      <c r="B6425" s="12">
        <f ca="1">IFERROR(__xludf.DUMMYFUNCTION("""COMPUTED_VALUE"""),134664)</f>
        <v>134664</v>
      </c>
      <c r="C6425" s="14">
        <f ca="1">IFERROR(__xludf.DUMMYFUNCTION("""COMPUTED_VALUE"""),0)</f>
        <v>0</v>
      </c>
      <c r="D6425" s="12" t="str">
        <f ca="1">IFERROR(__xludf.DUMMYFUNCTION("""COMPUTED_VALUE"""),"内丸 裕子")</f>
        <v>内丸 裕子</v>
      </c>
    </row>
    <row r="6426" spans="2:4" ht="13">
      <c r="B6426" s="12">
        <f ca="1">IFERROR(__xludf.DUMMYFUNCTION("""COMPUTED_VALUE"""),134668)</f>
        <v>134668</v>
      </c>
      <c r="C6426" s="14">
        <f ca="1">IFERROR(__xludf.DUMMYFUNCTION("""COMPUTED_VALUE"""),0)</f>
        <v>0</v>
      </c>
      <c r="D6426" s="12" t="str">
        <f ca="1">IFERROR(__xludf.DUMMYFUNCTION("""COMPUTED_VALUE"""),"川島 幹也")</f>
        <v>川島 幹也</v>
      </c>
    </row>
    <row r="6427" spans="2:4" ht="13">
      <c r="B6427" s="12">
        <f ca="1">IFERROR(__xludf.DUMMYFUNCTION("""COMPUTED_VALUE"""),134674)</f>
        <v>134674</v>
      </c>
      <c r="C6427" s="14">
        <f ca="1">IFERROR(__xludf.DUMMYFUNCTION("""COMPUTED_VALUE"""),0)</f>
        <v>0</v>
      </c>
      <c r="D6427" s="12" t="str">
        <f ca="1">IFERROR(__xludf.DUMMYFUNCTION("""COMPUTED_VALUE"""),"森 光智")</f>
        <v>森 光智</v>
      </c>
    </row>
    <row r="6428" spans="2:4" ht="13">
      <c r="B6428" s="12">
        <f ca="1">IFERROR(__xludf.DUMMYFUNCTION("""COMPUTED_VALUE"""),134676)</f>
        <v>134676</v>
      </c>
      <c r="C6428" s="14">
        <f ca="1">IFERROR(__xludf.DUMMYFUNCTION("""COMPUTED_VALUE"""),2)</f>
        <v>2</v>
      </c>
      <c r="D6428" s="12" t="str">
        <f ca="1">IFERROR(__xludf.DUMMYFUNCTION("""COMPUTED_VALUE"""),"成嶋 夏未")</f>
        <v>成嶋 夏未</v>
      </c>
    </row>
    <row r="6429" spans="2:4" ht="13">
      <c r="B6429" s="12">
        <f ca="1">IFERROR(__xludf.DUMMYFUNCTION("""COMPUTED_VALUE"""),134680)</f>
        <v>134680</v>
      </c>
      <c r="C6429" s="14">
        <f ca="1">IFERROR(__xludf.DUMMYFUNCTION("""COMPUTED_VALUE"""),8)</f>
        <v>8</v>
      </c>
      <c r="D6429" s="12" t="str">
        <f ca="1">IFERROR(__xludf.DUMMYFUNCTION("""COMPUTED_VALUE"""),"長谷川 陸朗")</f>
        <v>長谷川 陸朗</v>
      </c>
    </row>
    <row r="6430" spans="2:4" ht="13">
      <c r="B6430" s="12">
        <f ca="1">IFERROR(__xludf.DUMMYFUNCTION("""COMPUTED_VALUE"""),134684)</f>
        <v>134684</v>
      </c>
      <c r="C6430" s="14">
        <f ca="1">IFERROR(__xludf.DUMMYFUNCTION("""COMPUTED_VALUE"""),0)</f>
        <v>0</v>
      </c>
      <c r="D6430" s="12" t="str">
        <f ca="1">IFERROR(__xludf.DUMMYFUNCTION("""COMPUTED_VALUE"""),"小川 純")</f>
        <v>小川 純</v>
      </c>
    </row>
    <row r="6431" spans="2:4" ht="13">
      <c r="B6431" s="12">
        <f ca="1">IFERROR(__xludf.DUMMYFUNCTION("""COMPUTED_VALUE"""),134686)</f>
        <v>134686</v>
      </c>
      <c r="C6431" s="14">
        <f ca="1">IFERROR(__xludf.DUMMYFUNCTION("""COMPUTED_VALUE"""),6)</f>
        <v>6</v>
      </c>
      <c r="D6431" s="12" t="str">
        <f ca="1">IFERROR(__xludf.DUMMYFUNCTION("""COMPUTED_VALUE"""),"成嶋 夏未")</f>
        <v>成嶋 夏未</v>
      </c>
    </row>
    <row r="6432" spans="2:4" ht="13">
      <c r="B6432" s="12">
        <f ca="1">IFERROR(__xludf.DUMMYFUNCTION("""COMPUTED_VALUE"""),134690)</f>
        <v>134690</v>
      </c>
      <c r="C6432" s="14">
        <f ca="1">IFERROR(__xludf.DUMMYFUNCTION("""COMPUTED_VALUE"""),14)</f>
        <v>14</v>
      </c>
      <c r="D6432" s="12" t="str">
        <f ca="1">IFERROR(__xludf.DUMMYFUNCTION("""COMPUTED_VALUE"""),"成嶋 夏未")</f>
        <v>成嶋 夏未</v>
      </c>
    </row>
    <row r="6433" spans="2:4" ht="13">
      <c r="B6433" s="12">
        <f ca="1">IFERROR(__xludf.DUMMYFUNCTION("""COMPUTED_VALUE"""),134699)</f>
        <v>134699</v>
      </c>
      <c r="C6433" s="14">
        <f ca="1">IFERROR(__xludf.DUMMYFUNCTION("""COMPUTED_VALUE"""),1)</f>
        <v>1</v>
      </c>
      <c r="D6433" s="12" t="str">
        <f ca="1">IFERROR(__xludf.DUMMYFUNCTION("""COMPUTED_VALUE"""),"桑原 明子")</f>
        <v>桑原 明子</v>
      </c>
    </row>
    <row r="6434" spans="2:4" ht="13">
      <c r="B6434" s="12">
        <f ca="1">IFERROR(__xludf.DUMMYFUNCTION("""COMPUTED_VALUE"""),134703)</f>
        <v>134703</v>
      </c>
      <c r="C6434" s="14">
        <f ca="1">IFERROR(__xludf.DUMMYFUNCTION("""COMPUTED_VALUE"""),0)</f>
        <v>0</v>
      </c>
      <c r="D6434" s="12" t="str">
        <f ca="1">IFERROR(__xludf.DUMMYFUNCTION("""COMPUTED_VALUE"""),"成嶋 夏未")</f>
        <v>成嶋 夏未</v>
      </c>
    </row>
    <row r="6435" spans="2:4" ht="13">
      <c r="B6435" s="12">
        <f ca="1">IFERROR(__xludf.DUMMYFUNCTION("""COMPUTED_VALUE"""),134710)</f>
        <v>134710</v>
      </c>
      <c r="C6435" s="14">
        <f ca="1">IFERROR(__xludf.DUMMYFUNCTION("""COMPUTED_VALUE"""),0)</f>
        <v>0</v>
      </c>
      <c r="D6435" s="12" t="str">
        <f ca="1">IFERROR(__xludf.DUMMYFUNCTION("""COMPUTED_VALUE"""),"村上 浩一朗")</f>
        <v>村上 浩一朗</v>
      </c>
    </row>
    <row r="6436" spans="2:4" ht="13">
      <c r="B6436" s="12">
        <f ca="1">IFERROR(__xludf.DUMMYFUNCTION("""COMPUTED_VALUE"""),134713)</f>
        <v>134713</v>
      </c>
      <c r="C6436" s="14">
        <f ca="1">IFERROR(__xludf.DUMMYFUNCTION("""COMPUTED_VALUE"""),0)</f>
        <v>0</v>
      </c>
      <c r="D6436" s="12" t="str">
        <f ca="1">IFERROR(__xludf.DUMMYFUNCTION("""COMPUTED_VALUE"""),"小川 純")</f>
        <v>小川 純</v>
      </c>
    </row>
    <row r="6437" spans="2:4" ht="13">
      <c r="B6437" s="12">
        <f ca="1">IFERROR(__xludf.DUMMYFUNCTION("""COMPUTED_VALUE"""),134749)</f>
        <v>134749</v>
      </c>
      <c r="C6437" s="14">
        <f ca="1">IFERROR(__xludf.DUMMYFUNCTION("""COMPUTED_VALUE"""),0)</f>
        <v>0</v>
      </c>
      <c r="D6437" s="12" t="str">
        <f ca="1">IFERROR(__xludf.DUMMYFUNCTION("""COMPUTED_VALUE"""),"菅野 ぎんが")</f>
        <v>菅野 ぎんが</v>
      </c>
    </row>
    <row r="6438" spans="2:4" ht="13">
      <c r="B6438" s="12">
        <f ca="1">IFERROR(__xludf.DUMMYFUNCTION("""COMPUTED_VALUE"""),134754)</f>
        <v>134754</v>
      </c>
      <c r="C6438" s="14">
        <f ca="1">IFERROR(__xludf.DUMMYFUNCTION("""COMPUTED_VALUE"""),0)</f>
        <v>0</v>
      </c>
      <c r="D6438" s="12" t="str">
        <f ca="1">IFERROR(__xludf.DUMMYFUNCTION("""COMPUTED_VALUE"""),"栗原 大武")</f>
        <v>栗原 大武</v>
      </c>
    </row>
    <row r="6439" spans="2:4" ht="13">
      <c r="B6439" s="12">
        <f ca="1">IFERROR(__xludf.DUMMYFUNCTION("""COMPUTED_VALUE"""),134756)</f>
        <v>134756</v>
      </c>
      <c r="C6439" s="14">
        <f ca="1">IFERROR(__xludf.DUMMYFUNCTION("""COMPUTED_VALUE"""),0)</f>
        <v>0</v>
      </c>
      <c r="D6439" s="12" t="str">
        <f ca="1">IFERROR(__xludf.DUMMYFUNCTION("""COMPUTED_VALUE"""),"荻曽 克輝")</f>
        <v>荻曽 克輝</v>
      </c>
    </row>
    <row r="6440" spans="2:4" ht="13">
      <c r="B6440" s="12">
        <f ca="1">IFERROR(__xludf.DUMMYFUNCTION("""COMPUTED_VALUE"""),134759)</f>
        <v>134759</v>
      </c>
      <c r="C6440" s="14">
        <f ca="1">IFERROR(__xludf.DUMMYFUNCTION("""COMPUTED_VALUE"""),1)</f>
        <v>1</v>
      </c>
      <c r="D6440" s="12" t="str">
        <f ca="1">IFERROR(__xludf.DUMMYFUNCTION("""COMPUTED_VALUE"""),"松尾 尚樹")</f>
        <v>松尾 尚樹</v>
      </c>
    </row>
    <row r="6441" spans="2:4" ht="13">
      <c r="B6441" s="12">
        <f ca="1">IFERROR(__xludf.DUMMYFUNCTION("""COMPUTED_VALUE"""),134768)</f>
        <v>134768</v>
      </c>
      <c r="C6441" s="14">
        <f ca="1">IFERROR(__xludf.DUMMYFUNCTION("""COMPUTED_VALUE"""),0)</f>
        <v>0</v>
      </c>
      <c r="D6441" s="12" t="str">
        <f ca="1">IFERROR(__xludf.DUMMYFUNCTION("""COMPUTED_VALUE"""),"老田 純輝")</f>
        <v>老田 純輝</v>
      </c>
    </row>
    <row r="6442" spans="2:4" ht="13">
      <c r="B6442" s="12">
        <f ca="1">IFERROR(__xludf.DUMMYFUNCTION("""COMPUTED_VALUE"""),134773)</f>
        <v>134773</v>
      </c>
      <c r="C6442" s="14">
        <f ca="1">IFERROR(__xludf.DUMMYFUNCTION("""COMPUTED_VALUE"""),0)</f>
        <v>0</v>
      </c>
      <c r="D6442" s="12" t="str">
        <f ca="1">IFERROR(__xludf.DUMMYFUNCTION("""COMPUTED_VALUE"""),"荻曽 克輝")</f>
        <v>荻曽 克輝</v>
      </c>
    </row>
    <row r="6443" spans="2:4" ht="13">
      <c r="B6443" s="12">
        <f ca="1">IFERROR(__xludf.DUMMYFUNCTION("""COMPUTED_VALUE"""),134777)</f>
        <v>134777</v>
      </c>
      <c r="C6443" s="14">
        <f ca="1">IFERROR(__xludf.DUMMYFUNCTION("""COMPUTED_VALUE"""),4)</f>
        <v>4</v>
      </c>
      <c r="D6443" s="12" t="str">
        <f ca="1">IFERROR(__xludf.DUMMYFUNCTION("""COMPUTED_VALUE"""),"栗原 大武")</f>
        <v>栗原 大武</v>
      </c>
    </row>
    <row r="6444" spans="2:4" ht="13">
      <c r="B6444" s="12">
        <f ca="1">IFERROR(__xludf.DUMMYFUNCTION("""COMPUTED_VALUE"""),134780)</f>
        <v>134780</v>
      </c>
      <c r="C6444" s="14">
        <f ca="1">IFERROR(__xludf.DUMMYFUNCTION("""COMPUTED_VALUE"""),0)</f>
        <v>0</v>
      </c>
      <c r="D6444" s="12" t="str">
        <f ca="1">IFERROR(__xludf.DUMMYFUNCTION("""COMPUTED_VALUE"""),"小関 麻起")</f>
        <v>小関 麻起</v>
      </c>
    </row>
    <row r="6445" spans="2:4" ht="13">
      <c r="B6445" s="12">
        <f ca="1">IFERROR(__xludf.DUMMYFUNCTION("""COMPUTED_VALUE"""),134781)</f>
        <v>134781</v>
      </c>
      <c r="C6445" s="14">
        <f ca="1">IFERROR(__xludf.DUMMYFUNCTION("""COMPUTED_VALUE"""),0)</f>
        <v>0</v>
      </c>
      <c r="D6445" s="12" t="str">
        <f ca="1">IFERROR(__xludf.DUMMYFUNCTION("""COMPUTED_VALUE"""),"辻村 将大")</f>
        <v>辻村 将大</v>
      </c>
    </row>
    <row r="6446" spans="2:4" ht="13">
      <c r="B6446" s="12">
        <f ca="1">IFERROR(__xludf.DUMMYFUNCTION("""COMPUTED_VALUE"""),134783)</f>
        <v>134783</v>
      </c>
      <c r="C6446" s="14">
        <f ca="1">IFERROR(__xludf.DUMMYFUNCTION("""COMPUTED_VALUE"""),39)</f>
        <v>39</v>
      </c>
      <c r="D6446" s="12" t="str">
        <f ca="1">IFERROR(__xludf.DUMMYFUNCTION("""COMPUTED_VALUE"""),"菅野 ぎんが")</f>
        <v>菅野 ぎんが</v>
      </c>
    </row>
    <row r="6447" spans="2:4" ht="13">
      <c r="B6447" s="12">
        <f ca="1">IFERROR(__xludf.DUMMYFUNCTION("""COMPUTED_VALUE"""),134784)</f>
        <v>134784</v>
      </c>
      <c r="C6447" s="14">
        <f ca="1">IFERROR(__xludf.DUMMYFUNCTION("""COMPUTED_VALUE"""),0)</f>
        <v>0</v>
      </c>
      <c r="D6447" s="12" t="str">
        <f ca="1">IFERROR(__xludf.DUMMYFUNCTION("""COMPUTED_VALUE"""),"辻村 将大")</f>
        <v>辻村 将大</v>
      </c>
    </row>
    <row r="6448" spans="2:4" ht="13">
      <c r="B6448" s="12">
        <f ca="1">IFERROR(__xludf.DUMMYFUNCTION("""COMPUTED_VALUE"""),134789)</f>
        <v>134789</v>
      </c>
      <c r="C6448" s="14">
        <f ca="1">IFERROR(__xludf.DUMMYFUNCTION("""COMPUTED_VALUE"""),0)</f>
        <v>0</v>
      </c>
      <c r="D6448" s="12" t="str">
        <f ca="1">IFERROR(__xludf.DUMMYFUNCTION("""COMPUTED_VALUE"""),"菅野 ぎんが")</f>
        <v>菅野 ぎんが</v>
      </c>
    </row>
    <row r="6449" spans="2:4" ht="13">
      <c r="B6449" s="12">
        <f ca="1">IFERROR(__xludf.DUMMYFUNCTION("""COMPUTED_VALUE"""),134809)</f>
        <v>134809</v>
      </c>
      <c r="C6449" s="14">
        <f ca="1">IFERROR(__xludf.DUMMYFUNCTION("""COMPUTED_VALUE"""),0)</f>
        <v>0</v>
      </c>
      <c r="D6449" s="12" t="str">
        <f ca="1">IFERROR(__xludf.DUMMYFUNCTION("""COMPUTED_VALUE"""),"松尾 尚樹")</f>
        <v>松尾 尚樹</v>
      </c>
    </row>
    <row r="6450" spans="2:4" ht="13">
      <c r="B6450" s="12">
        <f ca="1">IFERROR(__xludf.DUMMYFUNCTION("""COMPUTED_VALUE"""),134812)</f>
        <v>134812</v>
      </c>
      <c r="C6450" s="14">
        <f ca="1">IFERROR(__xludf.DUMMYFUNCTION("""COMPUTED_VALUE"""),0)</f>
        <v>0</v>
      </c>
      <c r="D6450" s="12" t="str">
        <f ca="1">IFERROR(__xludf.DUMMYFUNCTION("""COMPUTED_VALUE"""),"小関 麻起")</f>
        <v>小関 麻起</v>
      </c>
    </row>
    <row r="6451" spans="2:4" ht="13">
      <c r="B6451" s="12">
        <f ca="1">IFERROR(__xludf.DUMMYFUNCTION("""COMPUTED_VALUE"""),134815)</f>
        <v>134815</v>
      </c>
      <c r="C6451" s="14">
        <f ca="1">IFERROR(__xludf.DUMMYFUNCTION("""COMPUTED_VALUE"""),0)</f>
        <v>0</v>
      </c>
      <c r="D6451" s="12" t="str">
        <f ca="1">IFERROR(__xludf.DUMMYFUNCTION("""COMPUTED_VALUE"""),"成嶋 夏未")</f>
        <v>成嶋 夏未</v>
      </c>
    </row>
    <row r="6452" spans="2:4" ht="13">
      <c r="B6452" s="12">
        <f ca="1">IFERROR(__xludf.DUMMYFUNCTION("""COMPUTED_VALUE"""),134817)</f>
        <v>134817</v>
      </c>
      <c r="C6452" s="14">
        <f ca="1">IFERROR(__xludf.DUMMYFUNCTION("""COMPUTED_VALUE"""),0)</f>
        <v>0</v>
      </c>
      <c r="D6452" s="12" t="str">
        <f ca="1">IFERROR(__xludf.DUMMYFUNCTION("""COMPUTED_VALUE"""),"松尾 尚樹")</f>
        <v>松尾 尚樹</v>
      </c>
    </row>
    <row r="6453" spans="2:4" ht="13">
      <c r="B6453" s="12">
        <f ca="1">IFERROR(__xludf.DUMMYFUNCTION("""COMPUTED_VALUE"""),134843)</f>
        <v>134843</v>
      </c>
      <c r="C6453" s="14">
        <f ca="1">IFERROR(__xludf.DUMMYFUNCTION("""COMPUTED_VALUE"""),0)</f>
        <v>0</v>
      </c>
      <c r="D6453" s="12" t="str">
        <f ca="1">IFERROR(__xludf.DUMMYFUNCTION("""COMPUTED_VALUE"""),"長谷川 陸朗")</f>
        <v>長谷川 陸朗</v>
      </c>
    </row>
    <row r="6454" spans="2:4" ht="13">
      <c r="B6454" s="12">
        <f ca="1">IFERROR(__xludf.DUMMYFUNCTION("""COMPUTED_VALUE"""),134850)</f>
        <v>134850</v>
      </c>
      <c r="C6454" s="14">
        <f ca="1">IFERROR(__xludf.DUMMYFUNCTION("""COMPUTED_VALUE"""),28)</f>
        <v>28</v>
      </c>
      <c r="D6454" s="12" t="str">
        <f ca="1">IFERROR(__xludf.DUMMYFUNCTION("""COMPUTED_VALUE"""),"内丸 裕子")</f>
        <v>内丸 裕子</v>
      </c>
    </row>
    <row r="6455" spans="2:4" ht="13">
      <c r="B6455" s="12">
        <f ca="1">IFERROR(__xludf.DUMMYFUNCTION("""COMPUTED_VALUE"""),134851)</f>
        <v>134851</v>
      </c>
      <c r="C6455" s="14">
        <f ca="1">IFERROR(__xludf.DUMMYFUNCTION("""COMPUTED_VALUE"""),0)</f>
        <v>0</v>
      </c>
      <c r="D6455" s="12" t="str">
        <f ca="1">IFERROR(__xludf.DUMMYFUNCTION("""COMPUTED_VALUE"""),"稲場 勇介")</f>
        <v>稲場 勇介</v>
      </c>
    </row>
    <row r="6456" spans="2:4" ht="13">
      <c r="B6456" s="12">
        <f ca="1">IFERROR(__xludf.DUMMYFUNCTION("""COMPUTED_VALUE"""),134852)</f>
        <v>134852</v>
      </c>
      <c r="C6456" s="14">
        <f ca="1">IFERROR(__xludf.DUMMYFUNCTION("""COMPUTED_VALUE"""),1)</f>
        <v>1</v>
      </c>
      <c r="D6456" s="12" t="str">
        <f ca="1">IFERROR(__xludf.DUMMYFUNCTION("""COMPUTED_VALUE"""),"松尾 尚樹")</f>
        <v>松尾 尚樹</v>
      </c>
    </row>
    <row r="6457" spans="2:4" ht="13">
      <c r="B6457" s="12">
        <f ca="1">IFERROR(__xludf.DUMMYFUNCTION("""COMPUTED_VALUE"""),134856)</f>
        <v>134856</v>
      </c>
      <c r="C6457" s="14">
        <f ca="1">IFERROR(__xludf.DUMMYFUNCTION("""COMPUTED_VALUE"""),0)</f>
        <v>0</v>
      </c>
      <c r="D6457" s="12" t="str">
        <f ca="1">IFERROR(__xludf.DUMMYFUNCTION("""COMPUTED_VALUE"""),"老田 純輝")</f>
        <v>老田 純輝</v>
      </c>
    </row>
    <row r="6458" spans="2:4" ht="13">
      <c r="B6458" s="12">
        <f ca="1">IFERROR(__xludf.DUMMYFUNCTION("""COMPUTED_VALUE"""),134864)</f>
        <v>134864</v>
      </c>
      <c r="C6458" s="14">
        <f ca="1">IFERROR(__xludf.DUMMYFUNCTION("""COMPUTED_VALUE"""),48)</f>
        <v>48</v>
      </c>
      <c r="D6458" s="12" t="str">
        <f ca="1">IFERROR(__xludf.DUMMYFUNCTION("""COMPUTED_VALUE"""),"村上 浩一朗")</f>
        <v>村上 浩一朗</v>
      </c>
    </row>
    <row r="6459" spans="2:4" ht="13">
      <c r="B6459" s="12">
        <f ca="1">IFERROR(__xludf.DUMMYFUNCTION("""COMPUTED_VALUE"""),134872)</f>
        <v>134872</v>
      </c>
      <c r="C6459" s="14">
        <f ca="1">IFERROR(__xludf.DUMMYFUNCTION("""COMPUTED_VALUE"""),0)</f>
        <v>0</v>
      </c>
      <c r="D6459" s="12" t="str">
        <f ca="1">IFERROR(__xludf.DUMMYFUNCTION("""COMPUTED_VALUE"""),"松尾 尚樹")</f>
        <v>松尾 尚樹</v>
      </c>
    </row>
    <row r="6460" spans="2:4" ht="13">
      <c r="B6460" s="12">
        <f ca="1">IFERROR(__xludf.DUMMYFUNCTION("""COMPUTED_VALUE"""),134891)</f>
        <v>134891</v>
      </c>
      <c r="C6460" s="14">
        <f ca="1">IFERROR(__xludf.DUMMYFUNCTION("""COMPUTED_VALUE"""),28)</f>
        <v>28</v>
      </c>
      <c r="D6460" s="12" t="str">
        <f ca="1">IFERROR(__xludf.DUMMYFUNCTION("""COMPUTED_VALUE"""),"荻曽 克輝")</f>
        <v>荻曽 克輝</v>
      </c>
    </row>
    <row r="6461" spans="2:4" ht="13">
      <c r="B6461" s="12">
        <f ca="1">IFERROR(__xludf.DUMMYFUNCTION("""COMPUTED_VALUE"""),134893)</f>
        <v>134893</v>
      </c>
      <c r="C6461" s="14">
        <f ca="1">IFERROR(__xludf.DUMMYFUNCTION("""COMPUTED_VALUE"""),1)</f>
        <v>1</v>
      </c>
      <c r="D6461" s="12" t="str">
        <f ca="1">IFERROR(__xludf.DUMMYFUNCTION("""COMPUTED_VALUE"""),"内丸 裕子")</f>
        <v>内丸 裕子</v>
      </c>
    </row>
    <row r="6462" spans="2:4" ht="13">
      <c r="B6462" s="12">
        <f ca="1">IFERROR(__xludf.DUMMYFUNCTION("""COMPUTED_VALUE"""),134894)</f>
        <v>134894</v>
      </c>
      <c r="C6462" s="14">
        <f ca="1">IFERROR(__xludf.DUMMYFUNCTION("""COMPUTED_VALUE"""),23)</f>
        <v>23</v>
      </c>
      <c r="D6462" s="12" t="str">
        <f ca="1">IFERROR(__xludf.DUMMYFUNCTION("""COMPUTED_VALUE"""),"村上 浩一朗")</f>
        <v>村上 浩一朗</v>
      </c>
    </row>
    <row r="6463" spans="2:4" ht="13">
      <c r="B6463" s="12">
        <f ca="1">IFERROR(__xludf.DUMMYFUNCTION("""COMPUTED_VALUE"""),134895)</f>
        <v>134895</v>
      </c>
      <c r="C6463" s="14">
        <f ca="1">IFERROR(__xludf.DUMMYFUNCTION("""COMPUTED_VALUE"""),24)</f>
        <v>24</v>
      </c>
      <c r="D6463" s="12" t="str">
        <f ca="1">IFERROR(__xludf.DUMMYFUNCTION("""COMPUTED_VALUE"""),"村上 浩一朗")</f>
        <v>村上 浩一朗</v>
      </c>
    </row>
    <row r="6464" spans="2:4" ht="13">
      <c r="B6464" s="12">
        <f ca="1">IFERROR(__xludf.DUMMYFUNCTION("""COMPUTED_VALUE"""),134896)</f>
        <v>134896</v>
      </c>
      <c r="C6464" s="14">
        <f ca="1">IFERROR(__xludf.DUMMYFUNCTION("""COMPUTED_VALUE"""),21)</f>
        <v>21</v>
      </c>
      <c r="D6464" s="12" t="str">
        <f ca="1">IFERROR(__xludf.DUMMYFUNCTION("""COMPUTED_VALUE"""),"村上 浩一朗")</f>
        <v>村上 浩一朗</v>
      </c>
    </row>
    <row r="6465" spans="2:4" ht="13">
      <c r="B6465" s="12">
        <f ca="1">IFERROR(__xludf.DUMMYFUNCTION("""COMPUTED_VALUE"""),134897)</f>
        <v>134897</v>
      </c>
      <c r="C6465" s="14">
        <f ca="1">IFERROR(__xludf.DUMMYFUNCTION("""COMPUTED_VALUE"""),17)</f>
        <v>17</v>
      </c>
      <c r="D6465" s="12" t="str">
        <f ca="1">IFERROR(__xludf.DUMMYFUNCTION("""COMPUTED_VALUE"""),"村上 浩一朗")</f>
        <v>村上 浩一朗</v>
      </c>
    </row>
    <row r="6466" spans="2:4" ht="13">
      <c r="B6466" s="12">
        <f ca="1">IFERROR(__xludf.DUMMYFUNCTION("""COMPUTED_VALUE"""),134898)</f>
        <v>134898</v>
      </c>
      <c r="C6466" s="14">
        <f ca="1">IFERROR(__xludf.DUMMYFUNCTION("""COMPUTED_VALUE"""),28)</f>
        <v>28</v>
      </c>
      <c r="D6466" s="12" t="str">
        <f ca="1">IFERROR(__xludf.DUMMYFUNCTION("""COMPUTED_VALUE"""),"村上 浩一朗")</f>
        <v>村上 浩一朗</v>
      </c>
    </row>
    <row r="6467" spans="2:4" ht="13">
      <c r="B6467" s="12">
        <f ca="1">IFERROR(__xludf.DUMMYFUNCTION("""COMPUTED_VALUE"""),134900)</f>
        <v>134900</v>
      </c>
      <c r="C6467" s="14">
        <f ca="1">IFERROR(__xludf.DUMMYFUNCTION("""COMPUTED_VALUE"""),37)</f>
        <v>37</v>
      </c>
      <c r="D6467" s="12" t="str">
        <f ca="1">IFERROR(__xludf.DUMMYFUNCTION("""COMPUTED_VALUE"""),"芳賀 亮輔")</f>
        <v>芳賀 亮輔</v>
      </c>
    </row>
    <row r="6468" spans="2:4" ht="13">
      <c r="B6468" s="12">
        <f ca="1">IFERROR(__xludf.DUMMYFUNCTION("""COMPUTED_VALUE"""),134904)</f>
        <v>134904</v>
      </c>
      <c r="C6468" s="14">
        <f ca="1">IFERROR(__xludf.DUMMYFUNCTION("""COMPUTED_VALUE"""),0)</f>
        <v>0</v>
      </c>
      <c r="D6468" s="12" t="str">
        <f ca="1">IFERROR(__xludf.DUMMYFUNCTION("""COMPUTED_VALUE"""),"荻曽 克輝")</f>
        <v>荻曽 克輝</v>
      </c>
    </row>
    <row r="6469" spans="2:4" ht="13">
      <c r="B6469" s="12">
        <f ca="1">IFERROR(__xludf.DUMMYFUNCTION("""COMPUTED_VALUE"""),134905)</f>
        <v>134905</v>
      </c>
      <c r="C6469" s="14">
        <f ca="1">IFERROR(__xludf.DUMMYFUNCTION("""COMPUTED_VALUE"""),0)</f>
        <v>0</v>
      </c>
      <c r="D6469" s="12" t="str">
        <f ca="1">IFERROR(__xludf.DUMMYFUNCTION("""COMPUTED_VALUE"""),"荻曽 克輝")</f>
        <v>荻曽 克輝</v>
      </c>
    </row>
    <row r="6470" spans="2:4" ht="13">
      <c r="B6470" s="12">
        <f ca="1">IFERROR(__xludf.DUMMYFUNCTION("""COMPUTED_VALUE"""),134908)</f>
        <v>134908</v>
      </c>
      <c r="C6470" s="14">
        <f ca="1">IFERROR(__xludf.DUMMYFUNCTION("""COMPUTED_VALUE"""),19)</f>
        <v>19</v>
      </c>
      <c r="D6470" s="12" t="str">
        <f ca="1">IFERROR(__xludf.DUMMYFUNCTION("""COMPUTED_VALUE"""),"小川 純")</f>
        <v>小川 純</v>
      </c>
    </row>
    <row r="6471" spans="2:4" ht="13">
      <c r="B6471" s="12">
        <f ca="1">IFERROR(__xludf.DUMMYFUNCTION("""COMPUTED_VALUE"""),134912)</f>
        <v>134912</v>
      </c>
      <c r="C6471" s="14">
        <f ca="1">IFERROR(__xludf.DUMMYFUNCTION("""COMPUTED_VALUE"""),2)</f>
        <v>2</v>
      </c>
      <c r="D6471" s="12" t="str">
        <f ca="1">IFERROR(__xludf.DUMMYFUNCTION("""COMPUTED_VALUE"""),"老田 純輝")</f>
        <v>老田 純輝</v>
      </c>
    </row>
    <row r="6472" spans="2:4" ht="13">
      <c r="B6472" s="12">
        <f ca="1">IFERROR(__xludf.DUMMYFUNCTION("""COMPUTED_VALUE"""),134915)</f>
        <v>134915</v>
      </c>
      <c r="C6472" s="14">
        <f ca="1">IFERROR(__xludf.DUMMYFUNCTION("""COMPUTED_VALUE"""),0)</f>
        <v>0</v>
      </c>
      <c r="D6472" s="12" t="str">
        <f ca="1">IFERROR(__xludf.DUMMYFUNCTION("""COMPUTED_VALUE"""),"川島 幹也")</f>
        <v>川島 幹也</v>
      </c>
    </row>
    <row r="6473" spans="2:4" ht="13">
      <c r="B6473" s="12">
        <f ca="1">IFERROR(__xludf.DUMMYFUNCTION("""COMPUTED_VALUE"""),134917)</f>
        <v>134917</v>
      </c>
      <c r="C6473" s="14">
        <f ca="1">IFERROR(__xludf.DUMMYFUNCTION("""COMPUTED_VALUE"""),13)</f>
        <v>13</v>
      </c>
      <c r="D6473" s="12" t="str">
        <f ca="1">IFERROR(__xludf.DUMMYFUNCTION("""COMPUTED_VALUE"""),"稲場 勇介")</f>
        <v>稲場 勇介</v>
      </c>
    </row>
    <row r="6474" spans="2:4" ht="13">
      <c r="B6474" s="12">
        <f ca="1">IFERROR(__xludf.DUMMYFUNCTION("""COMPUTED_VALUE"""),134922)</f>
        <v>134922</v>
      </c>
      <c r="C6474" s="14">
        <f ca="1">IFERROR(__xludf.DUMMYFUNCTION("""COMPUTED_VALUE"""),10)</f>
        <v>10</v>
      </c>
      <c r="D6474" s="12" t="str">
        <f ca="1">IFERROR(__xludf.DUMMYFUNCTION("""COMPUTED_VALUE"""),"小川 純")</f>
        <v>小川 純</v>
      </c>
    </row>
    <row r="6475" spans="2:4" ht="13">
      <c r="B6475" s="12">
        <f ca="1">IFERROR(__xludf.DUMMYFUNCTION("""COMPUTED_VALUE"""),134926)</f>
        <v>134926</v>
      </c>
      <c r="C6475" s="14">
        <f ca="1">IFERROR(__xludf.DUMMYFUNCTION("""COMPUTED_VALUE"""),0)</f>
        <v>0</v>
      </c>
      <c r="D6475" s="12" t="str">
        <f ca="1">IFERROR(__xludf.DUMMYFUNCTION("""COMPUTED_VALUE"""),"荻曽 克輝")</f>
        <v>荻曽 克輝</v>
      </c>
    </row>
    <row r="6476" spans="2:4" ht="13">
      <c r="B6476" s="12">
        <f ca="1">IFERROR(__xludf.DUMMYFUNCTION("""COMPUTED_VALUE"""),134934)</f>
        <v>134934</v>
      </c>
      <c r="C6476" s="14">
        <f ca="1">IFERROR(__xludf.DUMMYFUNCTION("""COMPUTED_VALUE"""),1)</f>
        <v>1</v>
      </c>
      <c r="D6476" s="12" t="str">
        <f ca="1">IFERROR(__xludf.DUMMYFUNCTION("""COMPUTED_VALUE"""),"菅野 ぎんが")</f>
        <v>菅野 ぎんが</v>
      </c>
    </row>
    <row r="6477" spans="2:4" ht="13">
      <c r="B6477" s="12">
        <f ca="1">IFERROR(__xludf.DUMMYFUNCTION("""COMPUTED_VALUE"""),134935)</f>
        <v>134935</v>
      </c>
      <c r="C6477" s="14">
        <f ca="1">IFERROR(__xludf.DUMMYFUNCTION("""COMPUTED_VALUE"""),6)</f>
        <v>6</v>
      </c>
      <c r="D6477" s="12" t="str">
        <f ca="1">IFERROR(__xludf.DUMMYFUNCTION("""COMPUTED_VALUE"""),"桐山 勝気")</f>
        <v>桐山 勝気</v>
      </c>
    </row>
    <row r="6478" spans="2:4" ht="13">
      <c r="B6478" s="12">
        <f ca="1">IFERROR(__xludf.DUMMYFUNCTION("""COMPUTED_VALUE"""),134941)</f>
        <v>134941</v>
      </c>
      <c r="C6478" s="14">
        <f ca="1">IFERROR(__xludf.DUMMYFUNCTION("""COMPUTED_VALUE"""),2)</f>
        <v>2</v>
      </c>
      <c r="D6478" s="12" t="str">
        <f ca="1">IFERROR(__xludf.DUMMYFUNCTION("""COMPUTED_VALUE"""),"菅野 ぎんが")</f>
        <v>菅野 ぎんが</v>
      </c>
    </row>
    <row r="6479" spans="2:4" ht="13">
      <c r="B6479" s="12">
        <f ca="1">IFERROR(__xludf.DUMMYFUNCTION("""COMPUTED_VALUE"""),134945)</f>
        <v>134945</v>
      </c>
      <c r="C6479" s="14">
        <f ca="1">IFERROR(__xludf.DUMMYFUNCTION("""COMPUTED_VALUE"""),1)</f>
        <v>1</v>
      </c>
      <c r="D6479" s="12" t="str">
        <f ca="1">IFERROR(__xludf.DUMMYFUNCTION("""COMPUTED_VALUE"""),"辻村 将大")</f>
        <v>辻村 将大</v>
      </c>
    </row>
    <row r="6480" spans="2:4" ht="13">
      <c r="B6480" s="12">
        <f ca="1">IFERROR(__xludf.DUMMYFUNCTION("""COMPUTED_VALUE"""),134947)</f>
        <v>134947</v>
      </c>
      <c r="C6480" s="14">
        <f ca="1">IFERROR(__xludf.DUMMYFUNCTION("""COMPUTED_VALUE"""),0)</f>
        <v>0</v>
      </c>
      <c r="D6480" s="12" t="str">
        <f ca="1">IFERROR(__xludf.DUMMYFUNCTION("""COMPUTED_VALUE"""),"小川 純")</f>
        <v>小川 純</v>
      </c>
    </row>
    <row r="6481" spans="2:4" ht="13">
      <c r="B6481" s="12">
        <f ca="1">IFERROR(__xludf.DUMMYFUNCTION("""COMPUTED_VALUE"""),134953)</f>
        <v>134953</v>
      </c>
      <c r="C6481" s="14">
        <f ca="1">IFERROR(__xludf.DUMMYFUNCTION("""COMPUTED_VALUE"""),7)</f>
        <v>7</v>
      </c>
      <c r="D6481" s="12" t="str">
        <f ca="1">IFERROR(__xludf.DUMMYFUNCTION("""COMPUTED_VALUE"""),"小関 麻起")</f>
        <v>小関 麻起</v>
      </c>
    </row>
    <row r="6482" spans="2:4" ht="13">
      <c r="B6482" s="12">
        <f ca="1">IFERROR(__xludf.DUMMYFUNCTION("""COMPUTED_VALUE"""),134954)</f>
        <v>134954</v>
      </c>
      <c r="C6482" s="14">
        <f ca="1">IFERROR(__xludf.DUMMYFUNCTION("""COMPUTED_VALUE"""),0)</f>
        <v>0</v>
      </c>
      <c r="D6482" s="12" t="str">
        <f ca="1">IFERROR(__xludf.DUMMYFUNCTION("""COMPUTED_VALUE"""),"菅野 ぎんが")</f>
        <v>菅野 ぎんが</v>
      </c>
    </row>
    <row r="6483" spans="2:4" ht="13">
      <c r="B6483" s="12">
        <f ca="1">IFERROR(__xludf.DUMMYFUNCTION("""COMPUTED_VALUE"""),134958)</f>
        <v>134958</v>
      </c>
      <c r="C6483" s="14">
        <f ca="1">IFERROR(__xludf.DUMMYFUNCTION("""COMPUTED_VALUE"""),0)</f>
        <v>0</v>
      </c>
      <c r="D6483" s="12" t="str">
        <f ca="1">IFERROR(__xludf.DUMMYFUNCTION("""COMPUTED_VALUE"""),"奥野 貴大")</f>
        <v>奥野 貴大</v>
      </c>
    </row>
    <row r="6484" spans="2:4" ht="13">
      <c r="B6484" s="12">
        <f ca="1">IFERROR(__xludf.DUMMYFUNCTION("""COMPUTED_VALUE"""),134964)</f>
        <v>134964</v>
      </c>
      <c r="C6484" s="14">
        <f ca="1">IFERROR(__xludf.DUMMYFUNCTION("""COMPUTED_VALUE"""),2)</f>
        <v>2</v>
      </c>
      <c r="D6484" s="12" t="str">
        <f ca="1">IFERROR(__xludf.DUMMYFUNCTION("""COMPUTED_VALUE"""),"堀越 駿")</f>
        <v>堀越 駿</v>
      </c>
    </row>
    <row r="6485" spans="2:4" ht="13">
      <c r="B6485" s="12">
        <f ca="1">IFERROR(__xludf.DUMMYFUNCTION("""COMPUTED_VALUE"""),134973)</f>
        <v>134973</v>
      </c>
      <c r="C6485" s="14">
        <f ca="1">IFERROR(__xludf.DUMMYFUNCTION("""COMPUTED_VALUE"""),0)</f>
        <v>0</v>
      </c>
      <c r="D6485" s="12" t="str">
        <f ca="1">IFERROR(__xludf.DUMMYFUNCTION("""COMPUTED_VALUE"""),"老田 純輝")</f>
        <v>老田 純輝</v>
      </c>
    </row>
    <row r="6486" spans="2:4" ht="13">
      <c r="B6486" s="12">
        <f ca="1">IFERROR(__xludf.DUMMYFUNCTION("""COMPUTED_VALUE"""),134981)</f>
        <v>134981</v>
      </c>
      <c r="C6486" s="14">
        <f ca="1">IFERROR(__xludf.DUMMYFUNCTION("""COMPUTED_VALUE"""),0)</f>
        <v>0</v>
      </c>
      <c r="D6486" s="12" t="str">
        <f ca="1">IFERROR(__xludf.DUMMYFUNCTION("""COMPUTED_VALUE"""),"辻村 将大")</f>
        <v>辻村 将大</v>
      </c>
    </row>
    <row r="6487" spans="2:4" ht="13">
      <c r="B6487" s="12">
        <f ca="1">IFERROR(__xludf.DUMMYFUNCTION("""COMPUTED_VALUE"""),134987)</f>
        <v>134987</v>
      </c>
      <c r="C6487" s="14">
        <f ca="1">IFERROR(__xludf.DUMMYFUNCTION("""COMPUTED_VALUE"""),0)</f>
        <v>0</v>
      </c>
      <c r="D6487" s="12" t="str">
        <f ca="1">IFERROR(__xludf.DUMMYFUNCTION("""COMPUTED_VALUE"""),"大木 優香")</f>
        <v>大木 優香</v>
      </c>
    </row>
    <row r="6488" spans="2:4" ht="13">
      <c r="B6488" s="12">
        <f ca="1">IFERROR(__xludf.DUMMYFUNCTION("""COMPUTED_VALUE"""),134990)</f>
        <v>134990</v>
      </c>
      <c r="C6488" s="14">
        <f ca="1">IFERROR(__xludf.DUMMYFUNCTION("""COMPUTED_VALUE"""),0)</f>
        <v>0</v>
      </c>
      <c r="D6488" s="12" t="str">
        <f ca="1">IFERROR(__xludf.DUMMYFUNCTION("""COMPUTED_VALUE"""),"成嶋 夏未")</f>
        <v>成嶋 夏未</v>
      </c>
    </row>
    <row r="6489" spans="2:4" ht="13">
      <c r="B6489" s="12">
        <f ca="1">IFERROR(__xludf.DUMMYFUNCTION("""COMPUTED_VALUE"""),134992)</f>
        <v>134992</v>
      </c>
      <c r="C6489" s="14">
        <f ca="1">IFERROR(__xludf.DUMMYFUNCTION("""COMPUTED_VALUE"""),20)</f>
        <v>20</v>
      </c>
      <c r="D6489" s="12" t="str">
        <f ca="1">IFERROR(__xludf.DUMMYFUNCTION("""COMPUTED_VALUE"""),"桑原 明子")</f>
        <v>桑原 明子</v>
      </c>
    </row>
    <row r="6490" spans="2:4" ht="13">
      <c r="B6490" s="12">
        <f ca="1">IFERROR(__xludf.DUMMYFUNCTION("""COMPUTED_VALUE"""),134996)</f>
        <v>134996</v>
      </c>
      <c r="C6490" s="14">
        <f ca="1">IFERROR(__xludf.DUMMYFUNCTION("""COMPUTED_VALUE"""),0)</f>
        <v>0</v>
      </c>
      <c r="D6490" s="12" t="str">
        <f ca="1">IFERROR(__xludf.DUMMYFUNCTION("""COMPUTED_VALUE"""),"稲場 勇介")</f>
        <v>稲場 勇介</v>
      </c>
    </row>
    <row r="6491" spans="2:4" ht="13">
      <c r="B6491" s="12">
        <f ca="1">IFERROR(__xludf.DUMMYFUNCTION("""COMPUTED_VALUE"""),134998)</f>
        <v>134998</v>
      </c>
      <c r="C6491" s="14">
        <f ca="1">IFERROR(__xludf.DUMMYFUNCTION("""COMPUTED_VALUE"""),0)</f>
        <v>0</v>
      </c>
      <c r="D6491" s="12" t="str">
        <f ca="1">IFERROR(__xludf.DUMMYFUNCTION("""COMPUTED_VALUE"""),"小関 麻起")</f>
        <v>小関 麻起</v>
      </c>
    </row>
    <row r="6492" spans="2:4" ht="13">
      <c r="B6492" s="12">
        <f ca="1">IFERROR(__xludf.DUMMYFUNCTION("""COMPUTED_VALUE"""),135011)</f>
        <v>135011</v>
      </c>
      <c r="C6492" s="14">
        <f ca="1">IFERROR(__xludf.DUMMYFUNCTION("""COMPUTED_VALUE"""),0)</f>
        <v>0</v>
      </c>
      <c r="D6492" s="12" t="str">
        <f ca="1">IFERROR(__xludf.DUMMYFUNCTION("""COMPUTED_VALUE"""),"菅野 ぎんが")</f>
        <v>菅野 ぎんが</v>
      </c>
    </row>
    <row r="6493" spans="2:4" ht="13">
      <c r="B6493" s="12">
        <f ca="1">IFERROR(__xludf.DUMMYFUNCTION("""COMPUTED_VALUE"""),135012)</f>
        <v>135012</v>
      </c>
      <c r="C6493" s="14">
        <f ca="1">IFERROR(__xludf.DUMMYFUNCTION("""COMPUTED_VALUE"""),0)</f>
        <v>0</v>
      </c>
      <c r="D6493" s="12" t="str">
        <f ca="1">IFERROR(__xludf.DUMMYFUNCTION("""COMPUTED_VALUE"""),"菅野 ぎんが")</f>
        <v>菅野 ぎんが</v>
      </c>
    </row>
    <row r="6494" spans="2:4" ht="13">
      <c r="B6494" s="12">
        <f ca="1">IFERROR(__xludf.DUMMYFUNCTION("""COMPUTED_VALUE"""),135014)</f>
        <v>135014</v>
      </c>
      <c r="C6494" s="14">
        <f ca="1">IFERROR(__xludf.DUMMYFUNCTION("""COMPUTED_VALUE"""),0)</f>
        <v>0</v>
      </c>
      <c r="D6494" s="12" t="str">
        <f ca="1">IFERROR(__xludf.DUMMYFUNCTION("""COMPUTED_VALUE"""),"小関 麻起")</f>
        <v>小関 麻起</v>
      </c>
    </row>
    <row r="6495" spans="2:4" ht="13">
      <c r="B6495" s="12">
        <f ca="1">IFERROR(__xludf.DUMMYFUNCTION("""COMPUTED_VALUE"""),135032)</f>
        <v>135032</v>
      </c>
      <c r="C6495" s="14">
        <f ca="1">IFERROR(__xludf.DUMMYFUNCTION("""COMPUTED_VALUE"""),10)</f>
        <v>10</v>
      </c>
      <c r="D6495" s="12" t="str">
        <f ca="1">IFERROR(__xludf.DUMMYFUNCTION("""COMPUTED_VALUE"""),"荻曽 克輝")</f>
        <v>荻曽 克輝</v>
      </c>
    </row>
    <row r="6496" spans="2:4" ht="13">
      <c r="B6496" s="12">
        <f ca="1">IFERROR(__xludf.DUMMYFUNCTION("""COMPUTED_VALUE"""),135033)</f>
        <v>135033</v>
      </c>
      <c r="C6496" s="14">
        <f ca="1">IFERROR(__xludf.DUMMYFUNCTION("""COMPUTED_VALUE"""),0)</f>
        <v>0</v>
      </c>
      <c r="D6496" s="12" t="str">
        <f ca="1">IFERROR(__xludf.DUMMYFUNCTION("""COMPUTED_VALUE"""),"桐山 勝気")</f>
        <v>桐山 勝気</v>
      </c>
    </row>
    <row r="6497" spans="2:4" ht="13">
      <c r="B6497" s="12">
        <f ca="1">IFERROR(__xludf.DUMMYFUNCTION("""COMPUTED_VALUE"""),135040)</f>
        <v>135040</v>
      </c>
      <c r="C6497" s="14">
        <f ca="1">IFERROR(__xludf.DUMMYFUNCTION("""COMPUTED_VALUE"""),0)</f>
        <v>0</v>
      </c>
      <c r="D6497" s="12" t="str">
        <f ca="1">IFERROR(__xludf.DUMMYFUNCTION("""COMPUTED_VALUE"""),"栗原 大武")</f>
        <v>栗原 大武</v>
      </c>
    </row>
    <row r="6498" spans="2:4" ht="13">
      <c r="B6498" s="12">
        <f ca="1">IFERROR(__xludf.DUMMYFUNCTION("""COMPUTED_VALUE"""),135043)</f>
        <v>135043</v>
      </c>
      <c r="C6498" s="14">
        <f ca="1">IFERROR(__xludf.DUMMYFUNCTION("""COMPUTED_VALUE"""),0)</f>
        <v>0</v>
      </c>
      <c r="D6498" s="12" t="str">
        <f ca="1">IFERROR(__xludf.DUMMYFUNCTION("""COMPUTED_VALUE"""),"老田 純輝")</f>
        <v>老田 純輝</v>
      </c>
    </row>
    <row r="6499" spans="2:4" ht="13">
      <c r="B6499" s="12">
        <f ca="1">IFERROR(__xludf.DUMMYFUNCTION("""COMPUTED_VALUE"""),135045)</f>
        <v>135045</v>
      </c>
      <c r="C6499" s="14">
        <f ca="1">IFERROR(__xludf.DUMMYFUNCTION("""COMPUTED_VALUE"""),0)</f>
        <v>0</v>
      </c>
      <c r="D6499" s="12" t="str">
        <f ca="1">IFERROR(__xludf.DUMMYFUNCTION("""COMPUTED_VALUE"""),"森 光智")</f>
        <v>森 光智</v>
      </c>
    </row>
    <row r="6500" spans="2:4" ht="13">
      <c r="B6500" s="12">
        <f ca="1">IFERROR(__xludf.DUMMYFUNCTION("""COMPUTED_VALUE"""),135046)</f>
        <v>135046</v>
      </c>
      <c r="C6500" s="14">
        <f ca="1">IFERROR(__xludf.DUMMYFUNCTION("""COMPUTED_VALUE"""),0)</f>
        <v>0</v>
      </c>
      <c r="D6500" s="12" t="str">
        <f ca="1">IFERROR(__xludf.DUMMYFUNCTION("""COMPUTED_VALUE"""),"成嶋 夏未")</f>
        <v>成嶋 夏未</v>
      </c>
    </row>
    <row r="6501" spans="2:4" ht="13">
      <c r="B6501" s="12">
        <f ca="1">IFERROR(__xludf.DUMMYFUNCTION("""COMPUTED_VALUE"""),135049)</f>
        <v>135049</v>
      </c>
      <c r="C6501" s="14">
        <f ca="1">IFERROR(__xludf.DUMMYFUNCTION("""COMPUTED_VALUE"""),0)</f>
        <v>0</v>
      </c>
      <c r="D6501" s="12" t="str">
        <f ca="1">IFERROR(__xludf.DUMMYFUNCTION("""COMPUTED_VALUE"""),"稲場 勇介")</f>
        <v>稲場 勇介</v>
      </c>
    </row>
    <row r="6502" spans="2:4" ht="13">
      <c r="B6502" s="12">
        <f ca="1">IFERROR(__xludf.DUMMYFUNCTION("""COMPUTED_VALUE"""),135051)</f>
        <v>135051</v>
      </c>
      <c r="C6502" s="14">
        <f ca="1">IFERROR(__xludf.DUMMYFUNCTION("""COMPUTED_VALUE"""),24)</f>
        <v>24</v>
      </c>
      <c r="D6502" s="12" t="str">
        <f ca="1">IFERROR(__xludf.DUMMYFUNCTION("""COMPUTED_VALUE"""),"荻曽 克輝")</f>
        <v>荻曽 克輝</v>
      </c>
    </row>
    <row r="6503" spans="2:4" ht="13">
      <c r="B6503" s="12">
        <f ca="1">IFERROR(__xludf.DUMMYFUNCTION("""COMPUTED_VALUE"""),135052)</f>
        <v>135052</v>
      </c>
      <c r="C6503" s="14">
        <f ca="1">IFERROR(__xludf.DUMMYFUNCTION("""COMPUTED_VALUE"""),9)</f>
        <v>9</v>
      </c>
      <c r="D6503" s="12" t="str">
        <f ca="1">IFERROR(__xludf.DUMMYFUNCTION("""COMPUTED_VALUE"""),"小関 麻起")</f>
        <v>小関 麻起</v>
      </c>
    </row>
    <row r="6504" spans="2:4" ht="13">
      <c r="B6504" s="12">
        <f ca="1">IFERROR(__xludf.DUMMYFUNCTION("""COMPUTED_VALUE"""),135056)</f>
        <v>135056</v>
      </c>
      <c r="C6504" s="14">
        <f ca="1">IFERROR(__xludf.DUMMYFUNCTION("""COMPUTED_VALUE"""),3)</f>
        <v>3</v>
      </c>
      <c r="D6504" s="12" t="str">
        <f ca="1">IFERROR(__xludf.DUMMYFUNCTION("""COMPUTED_VALUE"""),"堀越 駿")</f>
        <v>堀越 駿</v>
      </c>
    </row>
    <row r="6505" spans="2:4" ht="13">
      <c r="B6505" s="12">
        <f ca="1">IFERROR(__xludf.DUMMYFUNCTION("""COMPUTED_VALUE"""),135057)</f>
        <v>135057</v>
      </c>
      <c r="C6505" s="14">
        <f ca="1">IFERROR(__xludf.DUMMYFUNCTION("""COMPUTED_VALUE"""),22)</f>
        <v>22</v>
      </c>
      <c r="D6505" s="12" t="str">
        <f ca="1">IFERROR(__xludf.DUMMYFUNCTION("""COMPUTED_VALUE"""),"菅野 ぎんが")</f>
        <v>菅野 ぎんが</v>
      </c>
    </row>
    <row r="6506" spans="2:4" ht="13">
      <c r="B6506" s="12">
        <f ca="1">IFERROR(__xludf.DUMMYFUNCTION("""COMPUTED_VALUE"""),135060)</f>
        <v>135060</v>
      </c>
      <c r="C6506" s="14">
        <f ca="1">IFERROR(__xludf.DUMMYFUNCTION("""COMPUTED_VALUE"""),0)</f>
        <v>0</v>
      </c>
      <c r="D6506" s="12" t="str">
        <f ca="1">IFERROR(__xludf.DUMMYFUNCTION("""COMPUTED_VALUE"""),"長谷川 陸朗")</f>
        <v>長谷川 陸朗</v>
      </c>
    </row>
    <row r="6507" spans="2:4" ht="13">
      <c r="B6507" s="12">
        <f ca="1">IFERROR(__xludf.DUMMYFUNCTION("""COMPUTED_VALUE"""),135061)</f>
        <v>135061</v>
      </c>
      <c r="C6507" s="14">
        <f ca="1">IFERROR(__xludf.DUMMYFUNCTION("""COMPUTED_VALUE"""),0)</f>
        <v>0</v>
      </c>
      <c r="D6507" s="12" t="str">
        <f ca="1">IFERROR(__xludf.DUMMYFUNCTION("""COMPUTED_VALUE"""),"荻曽 克輝")</f>
        <v>荻曽 克輝</v>
      </c>
    </row>
    <row r="6508" spans="2:4" ht="13">
      <c r="B6508" s="12">
        <f ca="1">IFERROR(__xludf.DUMMYFUNCTION("""COMPUTED_VALUE"""),135064)</f>
        <v>135064</v>
      </c>
      <c r="C6508" s="14">
        <f ca="1">IFERROR(__xludf.DUMMYFUNCTION("""COMPUTED_VALUE"""),0)</f>
        <v>0</v>
      </c>
      <c r="D6508" s="12" t="str">
        <f ca="1">IFERROR(__xludf.DUMMYFUNCTION("""COMPUTED_VALUE"""),"栗原 大武")</f>
        <v>栗原 大武</v>
      </c>
    </row>
    <row r="6509" spans="2:4" ht="13">
      <c r="B6509" s="12">
        <f ca="1">IFERROR(__xludf.DUMMYFUNCTION("""COMPUTED_VALUE"""),135066)</f>
        <v>135066</v>
      </c>
      <c r="C6509" s="14">
        <f ca="1">IFERROR(__xludf.DUMMYFUNCTION("""COMPUTED_VALUE"""),4)</f>
        <v>4</v>
      </c>
      <c r="D6509" s="12" t="str">
        <f ca="1">IFERROR(__xludf.DUMMYFUNCTION("""COMPUTED_VALUE"""),"芳賀 亮輔")</f>
        <v>芳賀 亮輔</v>
      </c>
    </row>
    <row r="6510" spans="2:4" ht="13">
      <c r="B6510" s="12">
        <f ca="1">IFERROR(__xludf.DUMMYFUNCTION("""COMPUTED_VALUE"""),135080)</f>
        <v>135080</v>
      </c>
      <c r="C6510" s="14">
        <f ca="1">IFERROR(__xludf.DUMMYFUNCTION("""COMPUTED_VALUE"""),3)</f>
        <v>3</v>
      </c>
      <c r="D6510" s="12" t="str">
        <f ca="1">IFERROR(__xludf.DUMMYFUNCTION("""COMPUTED_VALUE"""),"松尾 尚樹")</f>
        <v>松尾 尚樹</v>
      </c>
    </row>
    <row r="6511" spans="2:4" ht="13">
      <c r="B6511" s="12">
        <f ca="1">IFERROR(__xludf.DUMMYFUNCTION("""COMPUTED_VALUE"""),135081)</f>
        <v>135081</v>
      </c>
      <c r="C6511" s="14">
        <f ca="1">IFERROR(__xludf.DUMMYFUNCTION("""COMPUTED_VALUE"""),2)</f>
        <v>2</v>
      </c>
      <c r="D6511" s="12" t="str">
        <f ca="1">IFERROR(__xludf.DUMMYFUNCTION("""COMPUTED_VALUE"""),"松尾 尚樹")</f>
        <v>松尾 尚樹</v>
      </c>
    </row>
    <row r="6512" spans="2:4" ht="13">
      <c r="B6512" s="12">
        <f ca="1">IFERROR(__xludf.DUMMYFUNCTION("""COMPUTED_VALUE"""),135086)</f>
        <v>135086</v>
      </c>
      <c r="C6512" s="14">
        <f ca="1">IFERROR(__xludf.DUMMYFUNCTION("""COMPUTED_VALUE"""),4)</f>
        <v>4</v>
      </c>
      <c r="D6512" s="12" t="str">
        <f ca="1">IFERROR(__xludf.DUMMYFUNCTION("""COMPUTED_VALUE"""),"柿崎 晃司")</f>
        <v>柿崎 晃司</v>
      </c>
    </row>
    <row r="6513" spans="2:4" ht="13">
      <c r="B6513" s="12">
        <f ca="1">IFERROR(__xludf.DUMMYFUNCTION("""COMPUTED_VALUE"""),135089)</f>
        <v>135089</v>
      </c>
      <c r="C6513" s="14">
        <f ca="1">IFERROR(__xludf.DUMMYFUNCTION("""COMPUTED_VALUE"""),0)</f>
        <v>0</v>
      </c>
      <c r="D6513" s="12" t="str">
        <f ca="1">IFERROR(__xludf.DUMMYFUNCTION("""COMPUTED_VALUE"""),"菅野 ぎんが")</f>
        <v>菅野 ぎんが</v>
      </c>
    </row>
    <row r="6514" spans="2:4" ht="13">
      <c r="B6514" s="12">
        <f ca="1">IFERROR(__xludf.DUMMYFUNCTION("""COMPUTED_VALUE"""),135090)</f>
        <v>135090</v>
      </c>
      <c r="C6514" s="14">
        <f ca="1">IFERROR(__xludf.DUMMYFUNCTION("""COMPUTED_VALUE"""),0)</f>
        <v>0</v>
      </c>
      <c r="D6514" s="12" t="str">
        <f ca="1">IFERROR(__xludf.DUMMYFUNCTION("""COMPUTED_VALUE"""),"川島 幹也")</f>
        <v>川島 幹也</v>
      </c>
    </row>
    <row r="6515" spans="2:4" ht="13">
      <c r="B6515" s="12">
        <f ca="1">IFERROR(__xludf.DUMMYFUNCTION("""COMPUTED_VALUE"""),135091)</f>
        <v>135091</v>
      </c>
      <c r="C6515" s="14">
        <f ca="1">IFERROR(__xludf.DUMMYFUNCTION("""COMPUTED_VALUE"""),0)</f>
        <v>0</v>
      </c>
      <c r="D6515" s="12" t="str">
        <f ca="1">IFERROR(__xludf.DUMMYFUNCTION("""COMPUTED_VALUE"""),"荻曽 克輝")</f>
        <v>荻曽 克輝</v>
      </c>
    </row>
    <row r="6516" spans="2:4" ht="13">
      <c r="B6516" s="12">
        <f ca="1">IFERROR(__xludf.DUMMYFUNCTION("""COMPUTED_VALUE"""),135111)</f>
        <v>135111</v>
      </c>
      <c r="C6516" s="14">
        <f ca="1">IFERROR(__xludf.DUMMYFUNCTION("""COMPUTED_VALUE"""),0)</f>
        <v>0</v>
      </c>
      <c r="D6516" s="12" t="str">
        <f ca="1">IFERROR(__xludf.DUMMYFUNCTION("""COMPUTED_VALUE"""),"桐山 勝気")</f>
        <v>桐山 勝気</v>
      </c>
    </row>
    <row r="6517" spans="2:4" ht="13">
      <c r="B6517" s="12">
        <f ca="1">IFERROR(__xludf.DUMMYFUNCTION("""COMPUTED_VALUE"""),135115)</f>
        <v>135115</v>
      </c>
      <c r="C6517" s="14">
        <f ca="1">IFERROR(__xludf.DUMMYFUNCTION("""COMPUTED_VALUE"""),25)</f>
        <v>25</v>
      </c>
      <c r="D6517" s="12" t="str">
        <f ca="1">IFERROR(__xludf.DUMMYFUNCTION("""COMPUTED_VALUE"""),"荻曽 克輝")</f>
        <v>荻曽 克輝</v>
      </c>
    </row>
    <row r="6518" spans="2:4" ht="13">
      <c r="B6518" s="12">
        <f ca="1">IFERROR(__xludf.DUMMYFUNCTION("""COMPUTED_VALUE"""),135117)</f>
        <v>135117</v>
      </c>
      <c r="C6518" s="14">
        <f ca="1">IFERROR(__xludf.DUMMYFUNCTION("""COMPUTED_VALUE"""),222)</f>
        <v>222</v>
      </c>
      <c r="D6518" s="12" t="str">
        <f ca="1">IFERROR(__xludf.DUMMYFUNCTION("""COMPUTED_VALUE"""),"柿崎 晃司")</f>
        <v>柿崎 晃司</v>
      </c>
    </row>
    <row r="6519" spans="2:4" ht="13">
      <c r="B6519" s="12">
        <f ca="1">IFERROR(__xludf.DUMMYFUNCTION("""COMPUTED_VALUE"""),135118)</f>
        <v>135118</v>
      </c>
      <c r="C6519" s="14">
        <f ca="1">IFERROR(__xludf.DUMMYFUNCTION("""COMPUTED_VALUE"""),0)</f>
        <v>0</v>
      </c>
      <c r="D6519" s="12" t="str">
        <f ca="1">IFERROR(__xludf.DUMMYFUNCTION("""COMPUTED_VALUE"""),"成嶋 夏未")</f>
        <v>成嶋 夏未</v>
      </c>
    </row>
    <row r="6520" spans="2:4" ht="13">
      <c r="B6520" s="12">
        <f ca="1">IFERROR(__xludf.DUMMYFUNCTION("""COMPUTED_VALUE"""),135121)</f>
        <v>135121</v>
      </c>
      <c r="C6520" s="14">
        <f ca="1">IFERROR(__xludf.DUMMYFUNCTION("""COMPUTED_VALUE"""),17)</f>
        <v>17</v>
      </c>
      <c r="D6520" s="12" t="str">
        <f ca="1">IFERROR(__xludf.DUMMYFUNCTION("""COMPUTED_VALUE"""),"成嶋 夏未")</f>
        <v>成嶋 夏未</v>
      </c>
    </row>
    <row r="6521" spans="2:4" ht="13">
      <c r="B6521" s="12">
        <f ca="1">IFERROR(__xludf.DUMMYFUNCTION("""COMPUTED_VALUE"""),135123)</f>
        <v>135123</v>
      </c>
      <c r="C6521" s="14">
        <f ca="1">IFERROR(__xludf.DUMMYFUNCTION("""COMPUTED_VALUE"""),0)</f>
        <v>0</v>
      </c>
      <c r="D6521" s="12" t="str">
        <f ca="1">IFERROR(__xludf.DUMMYFUNCTION("""COMPUTED_VALUE"""),"荻曽 克輝")</f>
        <v>荻曽 克輝</v>
      </c>
    </row>
    <row r="6522" spans="2:4" ht="13">
      <c r="B6522" s="12">
        <f ca="1">IFERROR(__xludf.DUMMYFUNCTION("""COMPUTED_VALUE"""),135135)</f>
        <v>135135</v>
      </c>
      <c r="C6522" s="14">
        <f ca="1">IFERROR(__xludf.DUMMYFUNCTION("""COMPUTED_VALUE"""),2)</f>
        <v>2</v>
      </c>
      <c r="D6522" s="12" t="str">
        <f ca="1">IFERROR(__xludf.DUMMYFUNCTION("""COMPUTED_VALUE"""),"老田 純輝")</f>
        <v>老田 純輝</v>
      </c>
    </row>
    <row r="6523" spans="2:4" ht="13">
      <c r="B6523" s="12">
        <f ca="1">IFERROR(__xludf.DUMMYFUNCTION("""COMPUTED_VALUE"""),135143)</f>
        <v>135143</v>
      </c>
      <c r="C6523" s="14">
        <f ca="1">IFERROR(__xludf.DUMMYFUNCTION("""COMPUTED_VALUE"""),0)</f>
        <v>0</v>
      </c>
      <c r="D6523" s="12" t="str">
        <f ca="1">IFERROR(__xludf.DUMMYFUNCTION("""COMPUTED_VALUE"""),"辻村 将大")</f>
        <v>辻村 将大</v>
      </c>
    </row>
    <row r="6524" spans="2:4" ht="13">
      <c r="B6524" s="12">
        <f ca="1">IFERROR(__xludf.DUMMYFUNCTION("""COMPUTED_VALUE"""),135145)</f>
        <v>135145</v>
      </c>
      <c r="C6524" s="14">
        <f ca="1">IFERROR(__xludf.DUMMYFUNCTION("""COMPUTED_VALUE"""),0)</f>
        <v>0</v>
      </c>
      <c r="D6524" s="12" t="str">
        <f ca="1">IFERROR(__xludf.DUMMYFUNCTION("""COMPUTED_VALUE"""),"長谷川 陸朗")</f>
        <v>長谷川 陸朗</v>
      </c>
    </row>
    <row r="6525" spans="2:4" ht="13">
      <c r="B6525" s="12">
        <f ca="1">IFERROR(__xludf.DUMMYFUNCTION("""COMPUTED_VALUE"""),135146)</f>
        <v>135146</v>
      </c>
      <c r="C6525" s="14">
        <f ca="1">IFERROR(__xludf.DUMMYFUNCTION("""COMPUTED_VALUE"""),7)</f>
        <v>7</v>
      </c>
      <c r="D6525" s="12" t="str">
        <f ca="1">IFERROR(__xludf.DUMMYFUNCTION("""COMPUTED_VALUE"""),"小関 麻起")</f>
        <v>小関 麻起</v>
      </c>
    </row>
    <row r="6526" spans="2:4" ht="13">
      <c r="B6526" s="12">
        <f ca="1">IFERROR(__xludf.DUMMYFUNCTION("""COMPUTED_VALUE"""),135148)</f>
        <v>135148</v>
      </c>
      <c r="C6526" s="14">
        <f ca="1">IFERROR(__xludf.DUMMYFUNCTION("""COMPUTED_VALUE"""),0)</f>
        <v>0</v>
      </c>
      <c r="D6526" s="12" t="str">
        <f ca="1">IFERROR(__xludf.DUMMYFUNCTION("""COMPUTED_VALUE"""),"菅野 ぎんが")</f>
        <v>菅野 ぎんが</v>
      </c>
    </row>
    <row r="6527" spans="2:4" ht="13">
      <c r="B6527" s="12">
        <f ca="1">IFERROR(__xludf.DUMMYFUNCTION("""COMPUTED_VALUE"""),135161)</f>
        <v>135161</v>
      </c>
      <c r="C6527" s="14">
        <f ca="1">IFERROR(__xludf.DUMMYFUNCTION("""COMPUTED_VALUE"""),0)</f>
        <v>0</v>
      </c>
      <c r="D6527" s="12" t="str">
        <f ca="1">IFERROR(__xludf.DUMMYFUNCTION("""COMPUTED_VALUE"""),"堀越 駿")</f>
        <v>堀越 駿</v>
      </c>
    </row>
    <row r="6528" spans="2:4" ht="13">
      <c r="B6528" s="12">
        <f ca="1">IFERROR(__xludf.DUMMYFUNCTION("""COMPUTED_VALUE"""),135165)</f>
        <v>135165</v>
      </c>
      <c r="C6528" s="14">
        <f ca="1">IFERROR(__xludf.DUMMYFUNCTION("""COMPUTED_VALUE"""),1)</f>
        <v>1</v>
      </c>
      <c r="D6528" s="12" t="str">
        <f ca="1">IFERROR(__xludf.DUMMYFUNCTION("""COMPUTED_VALUE"""),"長谷川 陸朗")</f>
        <v>長谷川 陸朗</v>
      </c>
    </row>
    <row r="6529" spans="2:4" ht="13">
      <c r="B6529" s="12">
        <f ca="1">IFERROR(__xludf.DUMMYFUNCTION("""COMPUTED_VALUE"""),135167)</f>
        <v>135167</v>
      </c>
      <c r="C6529" s="14">
        <f ca="1">IFERROR(__xludf.DUMMYFUNCTION("""COMPUTED_VALUE"""),0)</f>
        <v>0</v>
      </c>
      <c r="D6529" s="12" t="str">
        <f ca="1">IFERROR(__xludf.DUMMYFUNCTION("""COMPUTED_VALUE"""),"栗原 大武")</f>
        <v>栗原 大武</v>
      </c>
    </row>
    <row r="6530" spans="2:4" ht="13">
      <c r="B6530" s="12">
        <f ca="1">IFERROR(__xludf.DUMMYFUNCTION("""COMPUTED_VALUE"""),135175)</f>
        <v>135175</v>
      </c>
      <c r="C6530" s="14">
        <f ca="1">IFERROR(__xludf.DUMMYFUNCTION("""COMPUTED_VALUE"""),0)</f>
        <v>0</v>
      </c>
      <c r="D6530" s="12" t="str">
        <f ca="1">IFERROR(__xludf.DUMMYFUNCTION("""COMPUTED_VALUE"""),"成嶋 夏未")</f>
        <v>成嶋 夏未</v>
      </c>
    </row>
    <row r="6531" spans="2:4" ht="13">
      <c r="B6531" s="12">
        <f ca="1">IFERROR(__xludf.DUMMYFUNCTION("""COMPUTED_VALUE"""),135176)</f>
        <v>135176</v>
      </c>
      <c r="C6531" s="14">
        <f ca="1">IFERROR(__xludf.DUMMYFUNCTION("""COMPUTED_VALUE"""),0)</f>
        <v>0</v>
      </c>
      <c r="D6531" s="12" t="str">
        <f ca="1">IFERROR(__xludf.DUMMYFUNCTION("""COMPUTED_VALUE"""),"荻曽 克輝")</f>
        <v>荻曽 克輝</v>
      </c>
    </row>
    <row r="6532" spans="2:4" ht="13">
      <c r="B6532" s="12">
        <f ca="1">IFERROR(__xludf.DUMMYFUNCTION("""COMPUTED_VALUE"""),135183)</f>
        <v>135183</v>
      </c>
      <c r="C6532" s="14">
        <f ca="1">IFERROR(__xludf.DUMMYFUNCTION("""COMPUTED_VALUE"""),9)</f>
        <v>9</v>
      </c>
      <c r="D6532" s="12" t="str">
        <f ca="1">IFERROR(__xludf.DUMMYFUNCTION("""COMPUTED_VALUE"""),"荻曽 克輝")</f>
        <v>荻曽 克輝</v>
      </c>
    </row>
    <row r="6533" spans="2:4" ht="13">
      <c r="B6533" s="12">
        <f ca="1">IFERROR(__xludf.DUMMYFUNCTION("""COMPUTED_VALUE"""),135186)</f>
        <v>135186</v>
      </c>
      <c r="C6533" s="14">
        <f ca="1">IFERROR(__xludf.DUMMYFUNCTION("""COMPUTED_VALUE"""),0)</f>
        <v>0</v>
      </c>
      <c r="D6533" s="12" t="str">
        <f ca="1">IFERROR(__xludf.DUMMYFUNCTION("""COMPUTED_VALUE"""),"荻曽 克輝")</f>
        <v>荻曽 克輝</v>
      </c>
    </row>
    <row r="6534" spans="2:4" ht="13">
      <c r="B6534" s="12">
        <f ca="1">IFERROR(__xludf.DUMMYFUNCTION("""COMPUTED_VALUE"""),135189)</f>
        <v>135189</v>
      </c>
      <c r="C6534" s="14">
        <f ca="1">IFERROR(__xludf.DUMMYFUNCTION("""COMPUTED_VALUE"""),6)</f>
        <v>6</v>
      </c>
      <c r="D6534" s="12" t="str">
        <f ca="1">IFERROR(__xludf.DUMMYFUNCTION("""COMPUTED_VALUE"""),"村上 浩一朗")</f>
        <v>村上 浩一朗</v>
      </c>
    </row>
    <row r="6535" spans="2:4" ht="13">
      <c r="B6535" s="12">
        <f ca="1">IFERROR(__xludf.DUMMYFUNCTION("""COMPUTED_VALUE"""),135192)</f>
        <v>135192</v>
      </c>
      <c r="C6535" s="14">
        <f ca="1">IFERROR(__xludf.DUMMYFUNCTION("""COMPUTED_VALUE"""),0)</f>
        <v>0</v>
      </c>
      <c r="D6535" s="12" t="str">
        <f ca="1">IFERROR(__xludf.DUMMYFUNCTION("""COMPUTED_VALUE"""),"村上 浩一朗")</f>
        <v>村上 浩一朗</v>
      </c>
    </row>
    <row r="6536" spans="2:4" ht="13">
      <c r="B6536" s="12">
        <f ca="1">IFERROR(__xludf.DUMMYFUNCTION("""COMPUTED_VALUE"""),135196)</f>
        <v>135196</v>
      </c>
      <c r="C6536" s="14">
        <f ca="1">IFERROR(__xludf.DUMMYFUNCTION("""COMPUTED_VALUE"""),0)</f>
        <v>0</v>
      </c>
      <c r="D6536" s="12" t="str">
        <f ca="1">IFERROR(__xludf.DUMMYFUNCTION("""COMPUTED_VALUE"""),"長谷川 陸朗")</f>
        <v>長谷川 陸朗</v>
      </c>
    </row>
    <row r="6537" spans="2:4" ht="13">
      <c r="B6537" s="12">
        <f ca="1">IFERROR(__xludf.DUMMYFUNCTION("""COMPUTED_VALUE"""),135211)</f>
        <v>135211</v>
      </c>
      <c r="C6537" s="14">
        <f ca="1">IFERROR(__xludf.DUMMYFUNCTION("""COMPUTED_VALUE"""),0)</f>
        <v>0</v>
      </c>
      <c r="D6537" s="12" t="str">
        <f ca="1">IFERROR(__xludf.DUMMYFUNCTION("""COMPUTED_VALUE"""),"稲場 勇介")</f>
        <v>稲場 勇介</v>
      </c>
    </row>
    <row r="6538" spans="2:4" ht="13">
      <c r="B6538" s="12">
        <f ca="1">IFERROR(__xludf.DUMMYFUNCTION("""COMPUTED_VALUE"""),135212)</f>
        <v>135212</v>
      </c>
      <c r="C6538" s="14">
        <f ca="1">IFERROR(__xludf.DUMMYFUNCTION("""COMPUTED_VALUE"""),0)</f>
        <v>0</v>
      </c>
      <c r="D6538" s="12" t="str">
        <f ca="1">IFERROR(__xludf.DUMMYFUNCTION("""COMPUTED_VALUE"""),"稲場 勇介")</f>
        <v>稲場 勇介</v>
      </c>
    </row>
    <row r="6539" spans="2:4" ht="13">
      <c r="B6539" s="12">
        <f ca="1">IFERROR(__xludf.DUMMYFUNCTION("""COMPUTED_VALUE"""),135215)</f>
        <v>135215</v>
      </c>
      <c r="C6539" s="14">
        <f ca="1">IFERROR(__xludf.DUMMYFUNCTION("""COMPUTED_VALUE"""),0)</f>
        <v>0</v>
      </c>
      <c r="D6539" s="12" t="str">
        <f ca="1">IFERROR(__xludf.DUMMYFUNCTION("""COMPUTED_VALUE"""),"芳賀 亮輔")</f>
        <v>芳賀 亮輔</v>
      </c>
    </row>
    <row r="6540" spans="2:4" ht="13">
      <c r="B6540" s="12">
        <f ca="1">IFERROR(__xludf.DUMMYFUNCTION("""COMPUTED_VALUE"""),135219)</f>
        <v>135219</v>
      </c>
      <c r="C6540" s="14">
        <f ca="1">IFERROR(__xludf.DUMMYFUNCTION("""COMPUTED_VALUE"""),15)</f>
        <v>15</v>
      </c>
      <c r="D6540" s="12" t="str">
        <f ca="1">IFERROR(__xludf.DUMMYFUNCTION("""COMPUTED_VALUE"""),"菅野 ぎんが")</f>
        <v>菅野 ぎんが</v>
      </c>
    </row>
    <row r="6541" spans="2:4" ht="13">
      <c r="B6541" s="12">
        <f ca="1">IFERROR(__xludf.DUMMYFUNCTION("""COMPUTED_VALUE"""),135226)</f>
        <v>135226</v>
      </c>
      <c r="C6541" s="14">
        <f ca="1">IFERROR(__xludf.DUMMYFUNCTION("""COMPUTED_VALUE"""),0)</f>
        <v>0</v>
      </c>
      <c r="D6541" s="12" t="str">
        <f ca="1">IFERROR(__xludf.DUMMYFUNCTION("""COMPUTED_VALUE"""),"小関 麻起")</f>
        <v>小関 麻起</v>
      </c>
    </row>
    <row r="6542" spans="2:4" ht="13">
      <c r="B6542" s="12">
        <f ca="1">IFERROR(__xludf.DUMMYFUNCTION("""COMPUTED_VALUE"""),135228)</f>
        <v>135228</v>
      </c>
      <c r="C6542" s="14">
        <f ca="1">IFERROR(__xludf.DUMMYFUNCTION("""COMPUTED_VALUE"""),0)</f>
        <v>0</v>
      </c>
      <c r="D6542" s="12" t="str">
        <f ca="1">IFERROR(__xludf.DUMMYFUNCTION("""COMPUTED_VALUE"""),"辻村 将大")</f>
        <v>辻村 将大</v>
      </c>
    </row>
    <row r="6543" spans="2:4" ht="13">
      <c r="B6543" s="12">
        <f ca="1">IFERROR(__xludf.DUMMYFUNCTION("""COMPUTED_VALUE"""),135239)</f>
        <v>135239</v>
      </c>
      <c r="C6543" s="14">
        <f ca="1">IFERROR(__xludf.DUMMYFUNCTION("""COMPUTED_VALUE"""),0)</f>
        <v>0</v>
      </c>
      <c r="D6543" s="12" t="str">
        <f ca="1">IFERROR(__xludf.DUMMYFUNCTION("""COMPUTED_VALUE"""),"成嶋 夏未")</f>
        <v>成嶋 夏未</v>
      </c>
    </row>
    <row r="6544" spans="2:4" ht="13">
      <c r="B6544" s="12">
        <f ca="1">IFERROR(__xludf.DUMMYFUNCTION("""COMPUTED_VALUE"""),135240)</f>
        <v>135240</v>
      </c>
      <c r="C6544" s="14">
        <f ca="1">IFERROR(__xludf.DUMMYFUNCTION("""COMPUTED_VALUE"""),0)</f>
        <v>0</v>
      </c>
      <c r="D6544" s="12" t="str">
        <f ca="1">IFERROR(__xludf.DUMMYFUNCTION("""COMPUTED_VALUE"""),"長谷川 陸朗")</f>
        <v>長谷川 陸朗</v>
      </c>
    </row>
    <row r="6545" spans="2:4" ht="13">
      <c r="B6545" s="12">
        <f ca="1">IFERROR(__xludf.DUMMYFUNCTION("""COMPUTED_VALUE"""),135242)</f>
        <v>135242</v>
      </c>
      <c r="C6545" s="14">
        <f ca="1">IFERROR(__xludf.DUMMYFUNCTION("""COMPUTED_VALUE"""),0)</f>
        <v>0</v>
      </c>
      <c r="D6545" s="12" t="str">
        <f ca="1">IFERROR(__xludf.DUMMYFUNCTION("""COMPUTED_VALUE"""),"成嶋 夏未")</f>
        <v>成嶋 夏未</v>
      </c>
    </row>
    <row r="6546" spans="2:4" ht="13">
      <c r="B6546" s="12">
        <f ca="1">IFERROR(__xludf.DUMMYFUNCTION("""COMPUTED_VALUE"""),135254)</f>
        <v>135254</v>
      </c>
      <c r="C6546" s="14">
        <f ca="1">IFERROR(__xludf.DUMMYFUNCTION("""COMPUTED_VALUE"""),10)</f>
        <v>10</v>
      </c>
      <c r="D6546" s="12" t="str">
        <f ca="1">IFERROR(__xludf.DUMMYFUNCTION("""COMPUTED_VALUE"""),"小関 麻起")</f>
        <v>小関 麻起</v>
      </c>
    </row>
    <row r="6547" spans="2:4" ht="13">
      <c r="B6547" s="12">
        <f ca="1">IFERROR(__xludf.DUMMYFUNCTION("""COMPUTED_VALUE"""),135255)</f>
        <v>135255</v>
      </c>
      <c r="C6547" s="14">
        <f ca="1">IFERROR(__xludf.DUMMYFUNCTION("""COMPUTED_VALUE"""),0)</f>
        <v>0</v>
      </c>
      <c r="D6547" s="12" t="str">
        <f ca="1">IFERROR(__xludf.DUMMYFUNCTION("""COMPUTED_VALUE"""),"小関 麻起")</f>
        <v>小関 麻起</v>
      </c>
    </row>
    <row r="6548" spans="2:4" ht="13">
      <c r="B6548" s="12">
        <f ca="1">IFERROR(__xludf.DUMMYFUNCTION("""COMPUTED_VALUE"""),135256)</f>
        <v>135256</v>
      </c>
      <c r="C6548" s="14">
        <f ca="1">IFERROR(__xludf.DUMMYFUNCTION("""COMPUTED_VALUE"""),0)</f>
        <v>0</v>
      </c>
      <c r="D6548" s="12" t="str">
        <f ca="1">IFERROR(__xludf.DUMMYFUNCTION("""COMPUTED_VALUE"""),"老田 純輝")</f>
        <v>老田 純輝</v>
      </c>
    </row>
    <row r="6549" spans="2:4" ht="13">
      <c r="B6549" s="12">
        <f ca="1">IFERROR(__xludf.DUMMYFUNCTION("""COMPUTED_VALUE"""),135260)</f>
        <v>135260</v>
      </c>
      <c r="C6549" s="14">
        <f ca="1">IFERROR(__xludf.DUMMYFUNCTION("""COMPUTED_VALUE"""),0)</f>
        <v>0</v>
      </c>
      <c r="D6549" s="12" t="str">
        <f ca="1">IFERROR(__xludf.DUMMYFUNCTION("""COMPUTED_VALUE"""),"辻村 将大")</f>
        <v>辻村 将大</v>
      </c>
    </row>
    <row r="6550" spans="2:4" ht="13">
      <c r="B6550" s="12">
        <f ca="1">IFERROR(__xludf.DUMMYFUNCTION("""COMPUTED_VALUE"""),135269)</f>
        <v>135269</v>
      </c>
      <c r="C6550" s="14">
        <f ca="1">IFERROR(__xludf.DUMMYFUNCTION("""COMPUTED_VALUE"""),3)</f>
        <v>3</v>
      </c>
      <c r="D6550" s="12" t="str">
        <f ca="1">IFERROR(__xludf.DUMMYFUNCTION("""COMPUTED_VALUE"""),"老田 純輝")</f>
        <v>老田 純輝</v>
      </c>
    </row>
    <row r="6551" spans="2:4" ht="13">
      <c r="B6551" s="12">
        <f ca="1">IFERROR(__xludf.DUMMYFUNCTION("""COMPUTED_VALUE"""),135270)</f>
        <v>135270</v>
      </c>
      <c r="C6551" s="14">
        <f ca="1">IFERROR(__xludf.DUMMYFUNCTION("""COMPUTED_VALUE"""),0)</f>
        <v>0</v>
      </c>
      <c r="D6551" s="12" t="str">
        <f ca="1">IFERROR(__xludf.DUMMYFUNCTION("""COMPUTED_VALUE"""),"松尾 尚樹")</f>
        <v>松尾 尚樹</v>
      </c>
    </row>
    <row r="6552" spans="2:4" ht="13">
      <c r="B6552" s="12">
        <f ca="1">IFERROR(__xludf.DUMMYFUNCTION("""COMPUTED_VALUE"""),135272)</f>
        <v>135272</v>
      </c>
      <c r="C6552" s="14">
        <f ca="1">IFERROR(__xludf.DUMMYFUNCTION("""COMPUTED_VALUE"""),0)</f>
        <v>0</v>
      </c>
      <c r="D6552" s="12" t="str">
        <f ca="1">IFERROR(__xludf.DUMMYFUNCTION("""COMPUTED_VALUE"""),"小関 麻起")</f>
        <v>小関 麻起</v>
      </c>
    </row>
    <row r="6553" spans="2:4" ht="13">
      <c r="B6553" s="12">
        <f ca="1">IFERROR(__xludf.DUMMYFUNCTION("""COMPUTED_VALUE"""),135274)</f>
        <v>135274</v>
      </c>
      <c r="C6553" s="14">
        <f ca="1">IFERROR(__xludf.DUMMYFUNCTION("""COMPUTED_VALUE"""),0)</f>
        <v>0</v>
      </c>
      <c r="D6553" s="12" t="str">
        <f ca="1">IFERROR(__xludf.DUMMYFUNCTION("""COMPUTED_VALUE"""),"小関 麻起")</f>
        <v>小関 麻起</v>
      </c>
    </row>
    <row r="6554" spans="2:4" ht="13">
      <c r="B6554" s="12">
        <f ca="1">IFERROR(__xludf.DUMMYFUNCTION("""COMPUTED_VALUE"""),135275)</f>
        <v>135275</v>
      </c>
      <c r="C6554" s="14">
        <f ca="1">IFERROR(__xludf.DUMMYFUNCTION("""COMPUTED_VALUE"""),0)</f>
        <v>0</v>
      </c>
      <c r="D6554" s="12" t="str">
        <f ca="1">IFERROR(__xludf.DUMMYFUNCTION("""COMPUTED_VALUE"""),"成嶋 夏未")</f>
        <v>成嶋 夏未</v>
      </c>
    </row>
    <row r="6555" spans="2:4" ht="13">
      <c r="B6555" s="12">
        <f ca="1">IFERROR(__xludf.DUMMYFUNCTION("""COMPUTED_VALUE"""),135277)</f>
        <v>135277</v>
      </c>
      <c r="C6555" s="14">
        <f ca="1">IFERROR(__xludf.DUMMYFUNCTION("""COMPUTED_VALUE"""),0)</f>
        <v>0</v>
      </c>
      <c r="D6555" s="12" t="str">
        <f ca="1">IFERROR(__xludf.DUMMYFUNCTION("""COMPUTED_VALUE"""),"内丸 裕子")</f>
        <v>内丸 裕子</v>
      </c>
    </row>
    <row r="6556" spans="2:4" ht="13">
      <c r="B6556" s="12">
        <f ca="1">IFERROR(__xludf.DUMMYFUNCTION("""COMPUTED_VALUE"""),135279)</f>
        <v>135279</v>
      </c>
      <c r="C6556" s="14">
        <f ca="1">IFERROR(__xludf.DUMMYFUNCTION("""COMPUTED_VALUE"""),27)</f>
        <v>27</v>
      </c>
      <c r="D6556" s="12" t="str">
        <f ca="1">IFERROR(__xludf.DUMMYFUNCTION("""COMPUTED_VALUE"""),"稲場 勇介")</f>
        <v>稲場 勇介</v>
      </c>
    </row>
    <row r="6557" spans="2:4" ht="13">
      <c r="B6557" s="12">
        <f ca="1">IFERROR(__xludf.DUMMYFUNCTION("""COMPUTED_VALUE"""),135281)</f>
        <v>135281</v>
      </c>
      <c r="C6557" s="14">
        <f ca="1">IFERROR(__xludf.DUMMYFUNCTION("""COMPUTED_VALUE"""),12)</f>
        <v>12</v>
      </c>
      <c r="D6557" s="12" t="str">
        <f ca="1">IFERROR(__xludf.DUMMYFUNCTION("""COMPUTED_VALUE"""),"荻曽 克輝")</f>
        <v>荻曽 克輝</v>
      </c>
    </row>
    <row r="6558" spans="2:4" ht="13">
      <c r="B6558" s="12">
        <f ca="1">IFERROR(__xludf.DUMMYFUNCTION("""COMPUTED_VALUE"""),135282)</f>
        <v>135282</v>
      </c>
      <c r="C6558" s="14">
        <f ca="1">IFERROR(__xludf.DUMMYFUNCTION("""COMPUTED_VALUE"""),0)</f>
        <v>0</v>
      </c>
      <c r="D6558" s="12" t="str">
        <f ca="1">IFERROR(__xludf.DUMMYFUNCTION("""COMPUTED_VALUE"""),"稲場 勇介")</f>
        <v>稲場 勇介</v>
      </c>
    </row>
    <row r="6559" spans="2:4" ht="13">
      <c r="B6559" s="12">
        <f ca="1">IFERROR(__xludf.DUMMYFUNCTION("""COMPUTED_VALUE"""),135285)</f>
        <v>135285</v>
      </c>
      <c r="C6559" s="14">
        <f ca="1">IFERROR(__xludf.DUMMYFUNCTION("""COMPUTED_VALUE"""),0)</f>
        <v>0</v>
      </c>
      <c r="D6559" s="12" t="str">
        <f ca="1">IFERROR(__xludf.DUMMYFUNCTION("""COMPUTED_VALUE"""),"荻曽 克輝")</f>
        <v>荻曽 克輝</v>
      </c>
    </row>
    <row r="6560" spans="2:4" ht="13">
      <c r="B6560" s="12">
        <f ca="1">IFERROR(__xludf.DUMMYFUNCTION("""COMPUTED_VALUE"""),135290)</f>
        <v>135290</v>
      </c>
      <c r="C6560" s="14">
        <f ca="1">IFERROR(__xludf.DUMMYFUNCTION("""COMPUTED_VALUE"""),1)</f>
        <v>1</v>
      </c>
      <c r="D6560" s="12" t="str">
        <f ca="1">IFERROR(__xludf.DUMMYFUNCTION("""COMPUTED_VALUE"""),"栗原 大武")</f>
        <v>栗原 大武</v>
      </c>
    </row>
    <row r="6561" spans="2:4" ht="13">
      <c r="B6561" s="12">
        <f ca="1">IFERROR(__xludf.DUMMYFUNCTION("""COMPUTED_VALUE"""),135292)</f>
        <v>135292</v>
      </c>
      <c r="C6561" s="14">
        <f ca="1">IFERROR(__xludf.DUMMYFUNCTION("""COMPUTED_VALUE"""),3)</f>
        <v>3</v>
      </c>
      <c r="D6561" s="12" t="str">
        <f ca="1">IFERROR(__xludf.DUMMYFUNCTION("""COMPUTED_VALUE"""),"辻村 将大")</f>
        <v>辻村 将大</v>
      </c>
    </row>
    <row r="6562" spans="2:4" ht="13">
      <c r="B6562" s="12">
        <f ca="1">IFERROR(__xludf.DUMMYFUNCTION("""COMPUTED_VALUE"""),135294)</f>
        <v>135294</v>
      </c>
      <c r="C6562" s="14">
        <f ca="1">IFERROR(__xludf.DUMMYFUNCTION("""COMPUTED_VALUE"""),0)</f>
        <v>0</v>
      </c>
      <c r="D6562" s="12" t="str">
        <f ca="1">IFERROR(__xludf.DUMMYFUNCTION("""COMPUTED_VALUE"""),"小川 純")</f>
        <v>小川 純</v>
      </c>
    </row>
    <row r="6563" spans="2:4" ht="13">
      <c r="B6563" s="12">
        <f ca="1">IFERROR(__xludf.DUMMYFUNCTION("""COMPUTED_VALUE"""),135295)</f>
        <v>135295</v>
      </c>
      <c r="C6563" s="14">
        <f ca="1">IFERROR(__xludf.DUMMYFUNCTION("""COMPUTED_VALUE"""),1)</f>
        <v>1</v>
      </c>
      <c r="D6563" s="12" t="str">
        <f ca="1">IFERROR(__xludf.DUMMYFUNCTION("""COMPUTED_VALUE"""),"堀越 駿")</f>
        <v>堀越 駿</v>
      </c>
    </row>
    <row r="6564" spans="2:4" ht="13">
      <c r="B6564" s="12">
        <f ca="1">IFERROR(__xludf.DUMMYFUNCTION("""COMPUTED_VALUE"""),135297)</f>
        <v>135297</v>
      </c>
      <c r="C6564" s="14">
        <f ca="1">IFERROR(__xludf.DUMMYFUNCTION("""COMPUTED_VALUE"""),0)</f>
        <v>0</v>
      </c>
      <c r="D6564" s="12" t="str">
        <f ca="1">IFERROR(__xludf.DUMMYFUNCTION("""COMPUTED_VALUE"""),"栗原 大武")</f>
        <v>栗原 大武</v>
      </c>
    </row>
    <row r="6565" spans="2:4" ht="13">
      <c r="B6565" s="12">
        <f ca="1">IFERROR(__xludf.DUMMYFUNCTION("""COMPUTED_VALUE"""),135298)</f>
        <v>135298</v>
      </c>
      <c r="C6565" s="14">
        <f ca="1">IFERROR(__xludf.DUMMYFUNCTION("""COMPUTED_VALUE"""),0)</f>
        <v>0</v>
      </c>
      <c r="D6565" s="12" t="str">
        <f ca="1">IFERROR(__xludf.DUMMYFUNCTION("""COMPUTED_VALUE"""),"成嶋 夏未")</f>
        <v>成嶋 夏未</v>
      </c>
    </row>
    <row r="6566" spans="2:4" ht="13">
      <c r="B6566" s="12">
        <f ca="1">IFERROR(__xludf.DUMMYFUNCTION("""COMPUTED_VALUE"""),135311)</f>
        <v>135311</v>
      </c>
      <c r="C6566" s="14">
        <f ca="1">IFERROR(__xludf.DUMMYFUNCTION("""COMPUTED_VALUE"""),0)</f>
        <v>0</v>
      </c>
      <c r="D6566" s="12" t="str">
        <f ca="1">IFERROR(__xludf.DUMMYFUNCTION("""COMPUTED_VALUE"""),"小川 純")</f>
        <v>小川 純</v>
      </c>
    </row>
    <row r="6567" spans="2:4" ht="13">
      <c r="B6567" s="12">
        <f ca="1">IFERROR(__xludf.DUMMYFUNCTION("""COMPUTED_VALUE"""),135315)</f>
        <v>135315</v>
      </c>
      <c r="C6567" s="14">
        <f ca="1">IFERROR(__xludf.DUMMYFUNCTION("""COMPUTED_VALUE"""),0)</f>
        <v>0</v>
      </c>
      <c r="D6567" s="12" t="str">
        <f ca="1">IFERROR(__xludf.DUMMYFUNCTION("""COMPUTED_VALUE"""),"奥野 貴大")</f>
        <v>奥野 貴大</v>
      </c>
    </row>
    <row r="6568" spans="2:4" ht="13">
      <c r="B6568" s="12">
        <f ca="1">IFERROR(__xludf.DUMMYFUNCTION("""COMPUTED_VALUE"""),135322)</f>
        <v>135322</v>
      </c>
      <c r="C6568" s="14">
        <f ca="1">IFERROR(__xludf.DUMMYFUNCTION("""COMPUTED_VALUE"""),5)</f>
        <v>5</v>
      </c>
      <c r="D6568" s="12" t="str">
        <f ca="1">IFERROR(__xludf.DUMMYFUNCTION("""COMPUTED_VALUE"""),"堀越 駿")</f>
        <v>堀越 駿</v>
      </c>
    </row>
    <row r="6569" spans="2:4" ht="13">
      <c r="B6569" s="12">
        <f ca="1">IFERROR(__xludf.DUMMYFUNCTION("""COMPUTED_VALUE"""),135324)</f>
        <v>135324</v>
      </c>
      <c r="C6569" s="14">
        <f ca="1">IFERROR(__xludf.DUMMYFUNCTION("""COMPUTED_VALUE"""),0)</f>
        <v>0</v>
      </c>
      <c r="D6569" s="12" t="str">
        <f ca="1">IFERROR(__xludf.DUMMYFUNCTION("""COMPUTED_VALUE"""),"稲場 勇介")</f>
        <v>稲場 勇介</v>
      </c>
    </row>
    <row r="6570" spans="2:4" ht="13">
      <c r="B6570" s="12">
        <f ca="1">IFERROR(__xludf.DUMMYFUNCTION("""COMPUTED_VALUE"""),135333)</f>
        <v>135333</v>
      </c>
      <c r="C6570" s="14">
        <f ca="1">IFERROR(__xludf.DUMMYFUNCTION("""COMPUTED_VALUE"""),2)</f>
        <v>2</v>
      </c>
      <c r="D6570" s="12" t="str">
        <f ca="1">IFERROR(__xludf.DUMMYFUNCTION("""COMPUTED_VALUE"""),"小関 麻起")</f>
        <v>小関 麻起</v>
      </c>
    </row>
    <row r="6571" spans="2:4" ht="13">
      <c r="B6571" s="12">
        <f ca="1">IFERROR(__xludf.DUMMYFUNCTION("""COMPUTED_VALUE"""),135336)</f>
        <v>135336</v>
      </c>
      <c r="C6571" s="14">
        <f ca="1">IFERROR(__xludf.DUMMYFUNCTION("""COMPUTED_VALUE"""),0)</f>
        <v>0</v>
      </c>
      <c r="D6571" s="12" t="str">
        <f ca="1">IFERROR(__xludf.DUMMYFUNCTION("""COMPUTED_VALUE"""),"長谷川 陸朗")</f>
        <v>長谷川 陸朗</v>
      </c>
    </row>
    <row r="6572" spans="2:4" ht="13">
      <c r="B6572" s="12">
        <f ca="1">IFERROR(__xludf.DUMMYFUNCTION("""COMPUTED_VALUE"""),135339)</f>
        <v>135339</v>
      </c>
      <c r="C6572" s="14">
        <f ca="1">IFERROR(__xludf.DUMMYFUNCTION("""COMPUTED_VALUE"""),9)</f>
        <v>9</v>
      </c>
      <c r="D6572" s="12" t="str">
        <f ca="1">IFERROR(__xludf.DUMMYFUNCTION("""COMPUTED_VALUE"""),"老田 純輝")</f>
        <v>老田 純輝</v>
      </c>
    </row>
    <row r="6573" spans="2:4" ht="13">
      <c r="B6573" s="12">
        <f ca="1">IFERROR(__xludf.DUMMYFUNCTION("""COMPUTED_VALUE"""),135345)</f>
        <v>135345</v>
      </c>
      <c r="C6573" s="14">
        <f ca="1">IFERROR(__xludf.DUMMYFUNCTION("""COMPUTED_VALUE"""),0)</f>
        <v>0</v>
      </c>
      <c r="D6573" s="12" t="str">
        <f ca="1">IFERROR(__xludf.DUMMYFUNCTION("""COMPUTED_VALUE"""),"森 光智")</f>
        <v>森 光智</v>
      </c>
    </row>
    <row r="6574" spans="2:4" ht="13">
      <c r="B6574" s="12">
        <f ca="1">IFERROR(__xludf.DUMMYFUNCTION("""COMPUTED_VALUE"""),135350)</f>
        <v>135350</v>
      </c>
      <c r="C6574" s="14">
        <f ca="1">IFERROR(__xludf.DUMMYFUNCTION("""COMPUTED_VALUE"""),0)</f>
        <v>0</v>
      </c>
      <c r="D6574" s="12" t="str">
        <f ca="1">IFERROR(__xludf.DUMMYFUNCTION("""COMPUTED_VALUE"""),"内丸 裕子")</f>
        <v>内丸 裕子</v>
      </c>
    </row>
    <row r="6575" spans="2:4" ht="13">
      <c r="B6575" s="12">
        <f ca="1">IFERROR(__xludf.DUMMYFUNCTION("""COMPUTED_VALUE"""),135358)</f>
        <v>135358</v>
      </c>
      <c r="C6575" s="14">
        <f ca="1">IFERROR(__xludf.DUMMYFUNCTION("""COMPUTED_VALUE"""),0)</f>
        <v>0</v>
      </c>
      <c r="D6575" s="12" t="str">
        <f ca="1">IFERROR(__xludf.DUMMYFUNCTION("""COMPUTED_VALUE"""),"柿崎 晃司")</f>
        <v>柿崎 晃司</v>
      </c>
    </row>
    <row r="6576" spans="2:4" ht="13">
      <c r="B6576" s="12">
        <f ca="1">IFERROR(__xludf.DUMMYFUNCTION("""COMPUTED_VALUE"""),135359)</f>
        <v>135359</v>
      </c>
      <c r="C6576" s="14">
        <f ca="1">IFERROR(__xludf.DUMMYFUNCTION("""COMPUTED_VALUE"""),70)</f>
        <v>70</v>
      </c>
      <c r="D6576" s="12" t="str">
        <f ca="1">IFERROR(__xludf.DUMMYFUNCTION("""COMPUTED_VALUE"""),"柿崎 晃司")</f>
        <v>柿崎 晃司</v>
      </c>
    </row>
    <row r="6577" spans="2:4" ht="13">
      <c r="B6577" s="12">
        <f ca="1">IFERROR(__xludf.DUMMYFUNCTION("""COMPUTED_VALUE"""),135369)</f>
        <v>135369</v>
      </c>
      <c r="C6577" s="14">
        <f ca="1">IFERROR(__xludf.DUMMYFUNCTION("""COMPUTED_VALUE"""),0)</f>
        <v>0</v>
      </c>
      <c r="D6577" s="12" t="str">
        <f ca="1">IFERROR(__xludf.DUMMYFUNCTION("""COMPUTED_VALUE"""),"荻曽 克輝")</f>
        <v>荻曽 克輝</v>
      </c>
    </row>
    <row r="6578" spans="2:4" ht="13">
      <c r="B6578" s="12">
        <f ca="1">IFERROR(__xludf.DUMMYFUNCTION("""COMPUTED_VALUE"""),135374)</f>
        <v>135374</v>
      </c>
      <c r="C6578" s="14">
        <f ca="1">IFERROR(__xludf.DUMMYFUNCTION("""COMPUTED_VALUE"""),0)</f>
        <v>0</v>
      </c>
      <c r="D6578" s="12" t="str">
        <f ca="1">IFERROR(__xludf.DUMMYFUNCTION("""COMPUTED_VALUE"""),"長谷川 陸朗")</f>
        <v>長谷川 陸朗</v>
      </c>
    </row>
    <row r="6579" spans="2:4" ht="13">
      <c r="B6579" s="12">
        <f ca="1">IFERROR(__xludf.DUMMYFUNCTION("""COMPUTED_VALUE"""),135379)</f>
        <v>135379</v>
      </c>
      <c r="C6579" s="14">
        <f ca="1">IFERROR(__xludf.DUMMYFUNCTION("""COMPUTED_VALUE"""),0)</f>
        <v>0</v>
      </c>
      <c r="D6579" s="12" t="str">
        <f ca="1">IFERROR(__xludf.DUMMYFUNCTION("""COMPUTED_VALUE"""),"老田 純輝")</f>
        <v>老田 純輝</v>
      </c>
    </row>
    <row r="6580" spans="2:4" ht="13">
      <c r="B6580" s="12">
        <f ca="1">IFERROR(__xludf.DUMMYFUNCTION("""COMPUTED_VALUE"""),135388)</f>
        <v>135388</v>
      </c>
      <c r="C6580" s="14">
        <f ca="1">IFERROR(__xludf.DUMMYFUNCTION("""COMPUTED_VALUE"""),0)</f>
        <v>0</v>
      </c>
      <c r="D6580" s="12" t="str">
        <f ca="1">IFERROR(__xludf.DUMMYFUNCTION("""COMPUTED_VALUE"""),"堀越 駿")</f>
        <v>堀越 駿</v>
      </c>
    </row>
    <row r="6581" spans="2:4" ht="13">
      <c r="B6581" s="12">
        <f ca="1">IFERROR(__xludf.DUMMYFUNCTION("""COMPUTED_VALUE"""),135390)</f>
        <v>135390</v>
      </c>
      <c r="C6581" s="14">
        <f ca="1">IFERROR(__xludf.DUMMYFUNCTION("""COMPUTED_VALUE"""),31)</f>
        <v>31</v>
      </c>
      <c r="D6581" s="12" t="str">
        <f ca="1">IFERROR(__xludf.DUMMYFUNCTION("""COMPUTED_VALUE"""),"成嶋 夏未")</f>
        <v>成嶋 夏未</v>
      </c>
    </row>
    <row r="6582" spans="2:4" ht="13">
      <c r="B6582" s="12">
        <f ca="1">IFERROR(__xludf.DUMMYFUNCTION("""COMPUTED_VALUE"""),135391)</f>
        <v>135391</v>
      </c>
      <c r="C6582" s="14">
        <f ca="1">IFERROR(__xludf.DUMMYFUNCTION("""COMPUTED_VALUE"""),1)</f>
        <v>1</v>
      </c>
      <c r="D6582" s="12" t="str">
        <f ca="1">IFERROR(__xludf.DUMMYFUNCTION("""COMPUTED_VALUE"""),"森 光智")</f>
        <v>森 光智</v>
      </c>
    </row>
    <row r="6583" spans="2:4" ht="13">
      <c r="B6583" s="12">
        <f ca="1">IFERROR(__xludf.DUMMYFUNCTION("""COMPUTED_VALUE"""),135409)</f>
        <v>135409</v>
      </c>
      <c r="C6583" s="14">
        <f ca="1">IFERROR(__xludf.DUMMYFUNCTION("""COMPUTED_VALUE"""),0)</f>
        <v>0</v>
      </c>
      <c r="D6583" s="12" t="str">
        <f ca="1">IFERROR(__xludf.DUMMYFUNCTION("""COMPUTED_VALUE"""),"大木 優香")</f>
        <v>大木 優香</v>
      </c>
    </row>
    <row r="6584" spans="2:4" ht="13">
      <c r="B6584" s="12">
        <f ca="1">IFERROR(__xludf.DUMMYFUNCTION("""COMPUTED_VALUE"""),135420)</f>
        <v>135420</v>
      </c>
      <c r="C6584" s="14">
        <f ca="1">IFERROR(__xludf.DUMMYFUNCTION("""COMPUTED_VALUE"""),0)</f>
        <v>0</v>
      </c>
      <c r="D6584" s="12" t="str">
        <f ca="1">IFERROR(__xludf.DUMMYFUNCTION("""COMPUTED_VALUE"""),"稲場 勇介")</f>
        <v>稲場 勇介</v>
      </c>
    </row>
    <row r="6585" spans="2:4" ht="13">
      <c r="B6585" s="12">
        <f ca="1">IFERROR(__xludf.DUMMYFUNCTION("""COMPUTED_VALUE"""),135426)</f>
        <v>135426</v>
      </c>
      <c r="C6585" s="14">
        <f ca="1">IFERROR(__xludf.DUMMYFUNCTION("""COMPUTED_VALUE"""),2)</f>
        <v>2</v>
      </c>
      <c r="D6585" s="12" t="str">
        <f ca="1">IFERROR(__xludf.DUMMYFUNCTION("""COMPUTED_VALUE"""),"稲場 勇介")</f>
        <v>稲場 勇介</v>
      </c>
    </row>
    <row r="6586" spans="2:4" ht="13">
      <c r="B6586" s="12">
        <f ca="1">IFERROR(__xludf.DUMMYFUNCTION("""COMPUTED_VALUE"""),135427)</f>
        <v>135427</v>
      </c>
      <c r="C6586" s="14">
        <f ca="1">IFERROR(__xludf.DUMMYFUNCTION("""COMPUTED_VALUE"""),0)</f>
        <v>0</v>
      </c>
      <c r="D6586" s="12" t="str">
        <f ca="1">IFERROR(__xludf.DUMMYFUNCTION("""COMPUTED_VALUE"""),"菅野 ぎんが")</f>
        <v>菅野 ぎんが</v>
      </c>
    </row>
    <row r="6587" spans="2:4" ht="13">
      <c r="B6587" s="12">
        <f ca="1">IFERROR(__xludf.DUMMYFUNCTION("""COMPUTED_VALUE"""),135431)</f>
        <v>135431</v>
      </c>
      <c r="C6587" s="14">
        <f ca="1">IFERROR(__xludf.DUMMYFUNCTION("""COMPUTED_VALUE"""),1)</f>
        <v>1</v>
      </c>
      <c r="D6587" s="12" t="str">
        <f ca="1">IFERROR(__xludf.DUMMYFUNCTION("""COMPUTED_VALUE"""),"村上 浩一朗")</f>
        <v>村上 浩一朗</v>
      </c>
    </row>
    <row r="6588" spans="2:4" ht="13">
      <c r="B6588" s="12">
        <f ca="1">IFERROR(__xludf.DUMMYFUNCTION("""COMPUTED_VALUE"""),135432)</f>
        <v>135432</v>
      </c>
      <c r="C6588" s="14">
        <f ca="1">IFERROR(__xludf.DUMMYFUNCTION("""COMPUTED_VALUE"""),0)</f>
        <v>0</v>
      </c>
      <c r="D6588" s="12" t="str">
        <f ca="1">IFERROR(__xludf.DUMMYFUNCTION("""COMPUTED_VALUE"""),"村上 浩一朗")</f>
        <v>村上 浩一朗</v>
      </c>
    </row>
    <row r="6589" spans="2:4" ht="13">
      <c r="B6589" s="12">
        <f ca="1">IFERROR(__xludf.DUMMYFUNCTION("""COMPUTED_VALUE"""),135446)</f>
        <v>135446</v>
      </c>
      <c r="C6589" s="14">
        <f ca="1">IFERROR(__xludf.DUMMYFUNCTION("""COMPUTED_VALUE"""),1)</f>
        <v>1</v>
      </c>
      <c r="D6589" s="12" t="str">
        <f ca="1">IFERROR(__xludf.DUMMYFUNCTION("""COMPUTED_VALUE"""),"成嶋 夏未")</f>
        <v>成嶋 夏未</v>
      </c>
    </row>
    <row r="6590" spans="2:4" ht="13">
      <c r="B6590" s="12">
        <f ca="1">IFERROR(__xludf.DUMMYFUNCTION("""COMPUTED_VALUE"""),135450)</f>
        <v>135450</v>
      </c>
      <c r="C6590" s="14">
        <f ca="1">IFERROR(__xludf.DUMMYFUNCTION("""COMPUTED_VALUE"""),7)</f>
        <v>7</v>
      </c>
      <c r="D6590" s="12" t="str">
        <f ca="1">IFERROR(__xludf.DUMMYFUNCTION("""COMPUTED_VALUE"""),"荻曽 克輝")</f>
        <v>荻曽 克輝</v>
      </c>
    </row>
    <row r="6591" spans="2:4" ht="13">
      <c r="B6591" s="12">
        <f ca="1">IFERROR(__xludf.DUMMYFUNCTION("""COMPUTED_VALUE"""),135451)</f>
        <v>135451</v>
      </c>
      <c r="C6591" s="14">
        <f ca="1">IFERROR(__xludf.DUMMYFUNCTION("""COMPUTED_VALUE"""),4)</f>
        <v>4</v>
      </c>
      <c r="D6591" s="12" t="str">
        <f ca="1">IFERROR(__xludf.DUMMYFUNCTION("""COMPUTED_VALUE"""),"桐山 勝気")</f>
        <v>桐山 勝気</v>
      </c>
    </row>
    <row r="6592" spans="2:4" ht="13">
      <c r="B6592" s="12">
        <f ca="1">IFERROR(__xludf.DUMMYFUNCTION("""COMPUTED_VALUE"""),135456)</f>
        <v>135456</v>
      </c>
      <c r="C6592" s="14">
        <f ca="1">IFERROR(__xludf.DUMMYFUNCTION("""COMPUTED_VALUE"""),0)</f>
        <v>0</v>
      </c>
      <c r="D6592" s="12" t="str">
        <f ca="1">IFERROR(__xludf.DUMMYFUNCTION("""COMPUTED_VALUE"""),"桐山 勝気")</f>
        <v>桐山 勝気</v>
      </c>
    </row>
    <row r="6593" spans="2:4" ht="13">
      <c r="B6593" s="12">
        <f ca="1">IFERROR(__xludf.DUMMYFUNCTION("""COMPUTED_VALUE"""),135458)</f>
        <v>135458</v>
      </c>
      <c r="C6593" s="14">
        <f ca="1">IFERROR(__xludf.DUMMYFUNCTION("""COMPUTED_VALUE"""),1)</f>
        <v>1</v>
      </c>
      <c r="D6593" s="12" t="str">
        <f ca="1">IFERROR(__xludf.DUMMYFUNCTION("""COMPUTED_VALUE"""),"菅野 ぎんが")</f>
        <v>菅野 ぎんが</v>
      </c>
    </row>
    <row r="6594" spans="2:4" ht="13">
      <c r="B6594" s="12">
        <f ca="1">IFERROR(__xludf.DUMMYFUNCTION("""COMPUTED_VALUE"""),135469)</f>
        <v>135469</v>
      </c>
      <c r="C6594" s="14">
        <f ca="1">IFERROR(__xludf.DUMMYFUNCTION("""COMPUTED_VALUE"""),0)</f>
        <v>0</v>
      </c>
      <c r="D6594" s="12" t="str">
        <f ca="1">IFERROR(__xludf.DUMMYFUNCTION("""COMPUTED_VALUE"""),"荻曽 克輝")</f>
        <v>荻曽 克輝</v>
      </c>
    </row>
    <row r="6595" spans="2:4" ht="13">
      <c r="B6595" s="12">
        <f ca="1">IFERROR(__xludf.DUMMYFUNCTION("""COMPUTED_VALUE"""),135470)</f>
        <v>135470</v>
      </c>
      <c r="C6595" s="14">
        <f ca="1">IFERROR(__xludf.DUMMYFUNCTION("""COMPUTED_VALUE"""),0)</f>
        <v>0</v>
      </c>
      <c r="D6595" s="12" t="str">
        <f ca="1">IFERROR(__xludf.DUMMYFUNCTION("""COMPUTED_VALUE"""),"大木 優香")</f>
        <v>大木 優香</v>
      </c>
    </row>
    <row r="6596" spans="2:4" ht="13">
      <c r="B6596" s="12">
        <f ca="1">IFERROR(__xludf.DUMMYFUNCTION("""COMPUTED_VALUE"""),135471)</f>
        <v>135471</v>
      </c>
      <c r="C6596" s="14">
        <f ca="1">IFERROR(__xludf.DUMMYFUNCTION("""COMPUTED_VALUE"""),0)</f>
        <v>0</v>
      </c>
      <c r="D6596" s="12" t="str">
        <f ca="1">IFERROR(__xludf.DUMMYFUNCTION("""COMPUTED_VALUE"""),"小川 純")</f>
        <v>小川 純</v>
      </c>
    </row>
    <row r="6597" spans="2:4" ht="13">
      <c r="B6597" s="12">
        <f ca="1">IFERROR(__xludf.DUMMYFUNCTION("""COMPUTED_VALUE"""),135483)</f>
        <v>135483</v>
      </c>
      <c r="C6597" s="14">
        <f ca="1">IFERROR(__xludf.DUMMYFUNCTION("""COMPUTED_VALUE"""),15)</f>
        <v>15</v>
      </c>
      <c r="D6597" s="12" t="str">
        <f ca="1">IFERROR(__xludf.DUMMYFUNCTION("""COMPUTED_VALUE"""),"菅野 ぎんが")</f>
        <v>菅野 ぎんが</v>
      </c>
    </row>
    <row r="6598" spans="2:4" ht="13">
      <c r="B6598" s="12">
        <f ca="1">IFERROR(__xludf.DUMMYFUNCTION("""COMPUTED_VALUE"""),135484)</f>
        <v>135484</v>
      </c>
      <c r="C6598" s="14">
        <f ca="1">IFERROR(__xludf.DUMMYFUNCTION("""COMPUTED_VALUE"""),28)</f>
        <v>28</v>
      </c>
      <c r="D6598" s="12" t="str">
        <f ca="1">IFERROR(__xludf.DUMMYFUNCTION("""COMPUTED_VALUE"""),"桐山 勝気")</f>
        <v>桐山 勝気</v>
      </c>
    </row>
    <row r="6599" spans="2:4" ht="13">
      <c r="B6599" s="12">
        <f ca="1">IFERROR(__xludf.DUMMYFUNCTION("""COMPUTED_VALUE"""),135486)</f>
        <v>135486</v>
      </c>
      <c r="C6599" s="14">
        <f ca="1">IFERROR(__xludf.DUMMYFUNCTION("""COMPUTED_VALUE"""),0)</f>
        <v>0</v>
      </c>
      <c r="D6599" s="12" t="str">
        <f ca="1">IFERROR(__xludf.DUMMYFUNCTION("""COMPUTED_VALUE"""),"小関 麻起")</f>
        <v>小関 麻起</v>
      </c>
    </row>
    <row r="6600" spans="2:4" ht="13">
      <c r="B6600" s="12">
        <f ca="1">IFERROR(__xludf.DUMMYFUNCTION("""COMPUTED_VALUE"""),135489)</f>
        <v>135489</v>
      </c>
      <c r="C6600" s="14">
        <f ca="1">IFERROR(__xludf.DUMMYFUNCTION("""COMPUTED_VALUE"""),33)</f>
        <v>33</v>
      </c>
      <c r="D6600" s="12" t="str">
        <f ca="1">IFERROR(__xludf.DUMMYFUNCTION("""COMPUTED_VALUE"""),"稲場 勇介")</f>
        <v>稲場 勇介</v>
      </c>
    </row>
    <row r="6601" spans="2:4" ht="13">
      <c r="B6601" s="12">
        <f ca="1">IFERROR(__xludf.DUMMYFUNCTION("""COMPUTED_VALUE"""),135490)</f>
        <v>135490</v>
      </c>
      <c r="C6601" s="14">
        <f ca="1">IFERROR(__xludf.DUMMYFUNCTION("""COMPUTED_VALUE"""),1)</f>
        <v>1</v>
      </c>
      <c r="D6601" s="12" t="str">
        <f ca="1">IFERROR(__xludf.DUMMYFUNCTION("""COMPUTED_VALUE"""),"栗原 大武")</f>
        <v>栗原 大武</v>
      </c>
    </row>
    <row r="6602" spans="2:4" ht="13">
      <c r="B6602" s="12">
        <f ca="1">IFERROR(__xludf.DUMMYFUNCTION("""COMPUTED_VALUE"""),135492)</f>
        <v>135492</v>
      </c>
      <c r="C6602" s="14">
        <f ca="1">IFERROR(__xludf.DUMMYFUNCTION("""COMPUTED_VALUE"""),1)</f>
        <v>1</v>
      </c>
      <c r="D6602" s="12" t="str">
        <f ca="1">IFERROR(__xludf.DUMMYFUNCTION("""COMPUTED_VALUE"""),"田嶋 将太")</f>
        <v>田嶋 将太</v>
      </c>
    </row>
    <row r="6603" spans="2:4" ht="13">
      <c r="B6603" s="12">
        <f ca="1">IFERROR(__xludf.DUMMYFUNCTION("""COMPUTED_VALUE"""),135497)</f>
        <v>135497</v>
      </c>
      <c r="C6603" s="14">
        <f ca="1">IFERROR(__xludf.DUMMYFUNCTION("""COMPUTED_VALUE"""),1)</f>
        <v>1</v>
      </c>
      <c r="D6603" s="12" t="str">
        <f ca="1">IFERROR(__xludf.DUMMYFUNCTION("""COMPUTED_VALUE"""),"長谷川 陸朗")</f>
        <v>長谷川 陸朗</v>
      </c>
    </row>
    <row r="6604" spans="2:4" ht="13">
      <c r="B6604" s="12">
        <f ca="1">IFERROR(__xludf.DUMMYFUNCTION("""COMPUTED_VALUE"""),135500)</f>
        <v>135500</v>
      </c>
      <c r="C6604" s="14">
        <f ca="1">IFERROR(__xludf.DUMMYFUNCTION("""COMPUTED_VALUE"""),0)</f>
        <v>0</v>
      </c>
      <c r="D6604" s="12" t="str">
        <f ca="1">IFERROR(__xludf.DUMMYFUNCTION("""COMPUTED_VALUE"""),"小川 純")</f>
        <v>小川 純</v>
      </c>
    </row>
    <row r="6605" spans="2:4" ht="13">
      <c r="B6605" s="12">
        <f ca="1">IFERROR(__xludf.DUMMYFUNCTION("""COMPUTED_VALUE"""),135503)</f>
        <v>135503</v>
      </c>
      <c r="C6605" s="14">
        <f ca="1">IFERROR(__xludf.DUMMYFUNCTION("""COMPUTED_VALUE"""),1)</f>
        <v>1</v>
      </c>
      <c r="D6605" s="12" t="str">
        <f ca="1">IFERROR(__xludf.DUMMYFUNCTION("""COMPUTED_VALUE"""),"老田 純輝")</f>
        <v>老田 純輝</v>
      </c>
    </row>
    <row r="6606" spans="2:4" ht="13">
      <c r="B6606" s="12">
        <f ca="1">IFERROR(__xludf.DUMMYFUNCTION("""COMPUTED_VALUE"""),135504)</f>
        <v>135504</v>
      </c>
      <c r="C6606" s="14">
        <f ca="1">IFERROR(__xludf.DUMMYFUNCTION("""COMPUTED_VALUE"""),0)</f>
        <v>0</v>
      </c>
      <c r="D6606" s="12" t="str">
        <f ca="1">IFERROR(__xludf.DUMMYFUNCTION("""COMPUTED_VALUE"""),"老田 純輝")</f>
        <v>老田 純輝</v>
      </c>
    </row>
    <row r="6607" spans="2:4" ht="13">
      <c r="B6607" s="12">
        <f ca="1">IFERROR(__xludf.DUMMYFUNCTION("""COMPUTED_VALUE"""),135506)</f>
        <v>135506</v>
      </c>
      <c r="C6607" s="14">
        <f ca="1">IFERROR(__xludf.DUMMYFUNCTION("""COMPUTED_VALUE"""),0)</f>
        <v>0</v>
      </c>
      <c r="D6607" s="12" t="str">
        <f ca="1">IFERROR(__xludf.DUMMYFUNCTION("""COMPUTED_VALUE"""),"辻村 将大")</f>
        <v>辻村 将大</v>
      </c>
    </row>
    <row r="6608" spans="2:4" ht="13">
      <c r="B6608" s="12">
        <f ca="1">IFERROR(__xludf.DUMMYFUNCTION("""COMPUTED_VALUE"""),135509)</f>
        <v>135509</v>
      </c>
      <c r="C6608" s="14">
        <f ca="1">IFERROR(__xludf.DUMMYFUNCTION("""COMPUTED_VALUE"""),0)</f>
        <v>0</v>
      </c>
      <c r="D6608" s="12" t="str">
        <f ca="1">IFERROR(__xludf.DUMMYFUNCTION("""COMPUTED_VALUE"""),"辻村 将大")</f>
        <v>辻村 将大</v>
      </c>
    </row>
    <row r="6609" spans="2:4" ht="13">
      <c r="B6609" s="12">
        <f ca="1">IFERROR(__xludf.DUMMYFUNCTION("""COMPUTED_VALUE"""),135514)</f>
        <v>135514</v>
      </c>
      <c r="C6609" s="14">
        <f ca="1">IFERROR(__xludf.DUMMYFUNCTION("""COMPUTED_VALUE"""),0)</f>
        <v>0</v>
      </c>
      <c r="D6609" s="12" t="str">
        <f ca="1">IFERROR(__xludf.DUMMYFUNCTION("""COMPUTED_VALUE"""),"田嶋 将太")</f>
        <v>田嶋 将太</v>
      </c>
    </row>
    <row r="6610" spans="2:4" ht="13">
      <c r="B6610" s="12">
        <f ca="1">IFERROR(__xludf.DUMMYFUNCTION("""COMPUTED_VALUE"""),135532)</f>
        <v>135532</v>
      </c>
      <c r="C6610" s="14">
        <f ca="1">IFERROR(__xludf.DUMMYFUNCTION("""COMPUTED_VALUE"""),1)</f>
        <v>1</v>
      </c>
      <c r="D6610" s="12" t="str">
        <f ca="1">IFERROR(__xludf.DUMMYFUNCTION("""COMPUTED_VALUE"""),"小川 純")</f>
        <v>小川 純</v>
      </c>
    </row>
    <row r="6611" spans="2:4" ht="13">
      <c r="B6611" s="12">
        <f ca="1">IFERROR(__xludf.DUMMYFUNCTION("""COMPUTED_VALUE"""),135533)</f>
        <v>135533</v>
      </c>
      <c r="C6611" s="14">
        <f ca="1">IFERROR(__xludf.DUMMYFUNCTION("""COMPUTED_VALUE"""),0)</f>
        <v>0</v>
      </c>
      <c r="D6611" s="12" t="str">
        <f ca="1">IFERROR(__xludf.DUMMYFUNCTION("""COMPUTED_VALUE"""),"辻村 将大")</f>
        <v>辻村 将大</v>
      </c>
    </row>
    <row r="6612" spans="2:4" ht="13">
      <c r="B6612" s="12">
        <f ca="1">IFERROR(__xludf.DUMMYFUNCTION("""COMPUTED_VALUE"""),135539)</f>
        <v>135539</v>
      </c>
      <c r="C6612" s="14">
        <f ca="1">IFERROR(__xludf.DUMMYFUNCTION("""COMPUTED_VALUE"""),0)</f>
        <v>0</v>
      </c>
      <c r="D6612" s="12" t="str">
        <f ca="1">IFERROR(__xludf.DUMMYFUNCTION("""COMPUTED_VALUE"""),"菅野 ぎんが")</f>
        <v>菅野 ぎんが</v>
      </c>
    </row>
    <row r="6613" spans="2:4" ht="13">
      <c r="B6613" s="12">
        <f ca="1">IFERROR(__xludf.DUMMYFUNCTION("""COMPUTED_VALUE"""),135543)</f>
        <v>135543</v>
      </c>
      <c r="C6613" s="14">
        <f ca="1">IFERROR(__xludf.DUMMYFUNCTION("""COMPUTED_VALUE"""),0)</f>
        <v>0</v>
      </c>
      <c r="D6613" s="12" t="str">
        <f ca="1">IFERROR(__xludf.DUMMYFUNCTION("""COMPUTED_VALUE"""),"小川 純")</f>
        <v>小川 純</v>
      </c>
    </row>
    <row r="6614" spans="2:4" ht="13">
      <c r="B6614" s="12">
        <f ca="1">IFERROR(__xludf.DUMMYFUNCTION("""COMPUTED_VALUE"""),135544)</f>
        <v>135544</v>
      </c>
      <c r="C6614" s="14">
        <f ca="1">IFERROR(__xludf.DUMMYFUNCTION("""COMPUTED_VALUE"""),0)</f>
        <v>0</v>
      </c>
      <c r="D6614" s="12" t="str">
        <f ca="1">IFERROR(__xludf.DUMMYFUNCTION("""COMPUTED_VALUE"""),"栗原 大武")</f>
        <v>栗原 大武</v>
      </c>
    </row>
    <row r="6615" spans="2:4" ht="13">
      <c r="B6615" s="12">
        <f ca="1">IFERROR(__xludf.DUMMYFUNCTION("""COMPUTED_VALUE"""),135553)</f>
        <v>135553</v>
      </c>
      <c r="C6615" s="14">
        <f ca="1">IFERROR(__xludf.DUMMYFUNCTION("""COMPUTED_VALUE"""),0)</f>
        <v>0</v>
      </c>
      <c r="D6615" s="12" t="str">
        <f ca="1">IFERROR(__xludf.DUMMYFUNCTION("""COMPUTED_VALUE"""),"老田 純輝")</f>
        <v>老田 純輝</v>
      </c>
    </row>
    <row r="6616" spans="2:4" ht="13">
      <c r="B6616" s="12">
        <f ca="1">IFERROR(__xludf.DUMMYFUNCTION("""COMPUTED_VALUE"""),135556)</f>
        <v>135556</v>
      </c>
      <c r="C6616" s="14">
        <f ca="1">IFERROR(__xludf.DUMMYFUNCTION("""COMPUTED_VALUE"""),55)</f>
        <v>55</v>
      </c>
      <c r="D6616" s="12" t="str">
        <f ca="1">IFERROR(__xludf.DUMMYFUNCTION("""COMPUTED_VALUE"""),"桐山 勝気")</f>
        <v>桐山 勝気</v>
      </c>
    </row>
    <row r="6617" spans="2:4" ht="13">
      <c r="B6617" s="12">
        <f ca="1">IFERROR(__xludf.DUMMYFUNCTION("""COMPUTED_VALUE"""),135561)</f>
        <v>135561</v>
      </c>
      <c r="C6617" s="14">
        <f ca="1">IFERROR(__xludf.DUMMYFUNCTION("""COMPUTED_VALUE"""),113)</f>
        <v>113</v>
      </c>
      <c r="D6617" s="12" t="str">
        <f ca="1">IFERROR(__xludf.DUMMYFUNCTION("""COMPUTED_VALUE"""),"柿崎 晃司")</f>
        <v>柿崎 晃司</v>
      </c>
    </row>
    <row r="6618" spans="2:4" ht="13">
      <c r="B6618" s="12">
        <f ca="1">IFERROR(__xludf.DUMMYFUNCTION("""COMPUTED_VALUE"""),135563)</f>
        <v>135563</v>
      </c>
      <c r="C6618" s="14">
        <f ca="1">IFERROR(__xludf.DUMMYFUNCTION("""COMPUTED_VALUE"""),0)</f>
        <v>0</v>
      </c>
      <c r="D6618" s="12" t="str">
        <f ca="1">IFERROR(__xludf.DUMMYFUNCTION("""COMPUTED_VALUE"""),"松尾 尚樹")</f>
        <v>松尾 尚樹</v>
      </c>
    </row>
    <row r="6619" spans="2:4" ht="13">
      <c r="B6619" s="12">
        <f ca="1">IFERROR(__xludf.DUMMYFUNCTION("""COMPUTED_VALUE"""),135565)</f>
        <v>135565</v>
      </c>
      <c r="C6619" s="14">
        <f ca="1">IFERROR(__xludf.DUMMYFUNCTION("""COMPUTED_VALUE"""),5)</f>
        <v>5</v>
      </c>
      <c r="D6619" s="12" t="str">
        <f ca="1">IFERROR(__xludf.DUMMYFUNCTION("""COMPUTED_VALUE"""),"小川 純")</f>
        <v>小川 純</v>
      </c>
    </row>
    <row r="6620" spans="2:4" ht="13">
      <c r="B6620" s="12">
        <f ca="1">IFERROR(__xludf.DUMMYFUNCTION("""COMPUTED_VALUE"""),135566)</f>
        <v>135566</v>
      </c>
      <c r="C6620" s="14">
        <f ca="1">IFERROR(__xludf.DUMMYFUNCTION("""COMPUTED_VALUE"""),0)</f>
        <v>0</v>
      </c>
      <c r="D6620" s="12" t="str">
        <f ca="1">IFERROR(__xludf.DUMMYFUNCTION("""COMPUTED_VALUE"""),"辻村 将大")</f>
        <v>辻村 将大</v>
      </c>
    </row>
    <row r="6621" spans="2:4" ht="13">
      <c r="B6621" s="12">
        <f ca="1">IFERROR(__xludf.DUMMYFUNCTION("""COMPUTED_VALUE"""),135567)</f>
        <v>135567</v>
      </c>
      <c r="C6621" s="14">
        <f ca="1">IFERROR(__xludf.DUMMYFUNCTION("""COMPUTED_VALUE"""),29)</f>
        <v>29</v>
      </c>
      <c r="D6621" s="12" t="str">
        <f ca="1">IFERROR(__xludf.DUMMYFUNCTION("""COMPUTED_VALUE"""),"村上 浩一朗")</f>
        <v>村上 浩一朗</v>
      </c>
    </row>
    <row r="6622" spans="2:4" ht="13">
      <c r="B6622" s="12">
        <f ca="1">IFERROR(__xludf.DUMMYFUNCTION("""COMPUTED_VALUE"""),135575)</f>
        <v>135575</v>
      </c>
      <c r="C6622" s="14">
        <f ca="1">IFERROR(__xludf.DUMMYFUNCTION("""COMPUTED_VALUE"""),0)</f>
        <v>0</v>
      </c>
      <c r="D6622" s="12" t="str">
        <f ca="1">IFERROR(__xludf.DUMMYFUNCTION("""COMPUTED_VALUE"""),"荻曽 克輝")</f>
        <v>荻曽 克輝</v>
      </c>
    </row>
    <row r="6623" spans="2:4" ht="13">
      <c r="B6623" s="12">
        <f ca="1">IFERROR(__xludf.DUMMYFUNCTION("""COMPUTED_VALUE"""),135584)</f>
        <v>135584</v>
      </c>
      <c r="C6623" s="14">
        <f ca="1">IFERROR(__xludf.DUMMYFUNCTION("""COMPUTED_VALUE"""),0)</f>
        <v>0</v>
      </c>
      <c r="D6623" s="12" t="str">
        <f ca="1">IFERROR(__xludf.DUMMYFUNCTION("""COMPUTED_VALUE"""),"村上 浩一朗")</f>
        <v>村上 浩一朗</v>
      </c>
    </row>
    <row r="6624" spans="2:4" ht="13">
      <c r="B6624" s="12">
        <f ca="1">IFERROR(__xludf.DUMMYFUNCTION("""COMPUTED_VALUE"""),135586)</f>
        <v>135586</v>
      </c>
      <c r="C6624" s="14">
        <f ca="1">IFERROR(__xludf.DUMMYFUNCTION("""COMPUTED_VALUE"""),0)</f>
        <v>0</v>
      </c>
      <c r="D6624" s="12" t="str">
        <f ca="1">IFERROR(__xludf.DUMMYFUNCTION("""COMPUTED_VALUE"""),"荻曽 克輝")</f>
        <v>荻曽 克輝</v>
      </c>
    </row>
    <row r="6625" spans="2:4" ht="13">
      <c r="B6625" s="12">
        <f ca="1">IFERROR(__xludf.DUMMYFUNCTION("""COMPUTED_VALUE"""),135591)</f>
        <v>135591</v>
      </c>
      <c r="C6625" s="14">
        <f ca="1">IFERROR(__xludf.DUMMYFUNCTION("""COMPUTED_VALUE"""),0)</f>
        <v>0</v>
      </c>
      <c r="D6625" s="12" t="str">
        <f ca="1">IFERROR(__xludf.DUMMYFUNCTION("""COMPUTED_VALUE"""),"稲場 勇介")</f>
        <v>稲場 勇介</v>
      </c>
    </row>
    <row r="6626" spans="2:4" ht="13">
      <c r="B6626" s="12">
        <f ca="1">IFERROR(__xludf.DUMMYFUNCTION("""COMPUTED_VALUE"""),135594)</f>
        <v>135594</v>
      </c>
      <c r="C6626" s="14">
        <f ca="1">IFERROR(__xludf.DUMMYFUNCTION("""COMPUTED_VALUE"""),0)</f>
        <v>0</v>
      </c>
      <c r="D6626" s="12" t="str">
        <f ca="1">IFERROR(__xludf.DUMMYFUNCTION("""COMPUTED_VALUE"""),"村上 浩一朗")</f>
        <v>村上 浩一朗</v>
      </c>
    </row>
    <row r="6627" spans="2:4" ht="13">
      <c r="B6627" s="12">
        <f ca="1">IFERROR(__xludf.DUMMYFUNCTION("""COMPUTED_VALUE"""),135597)</f>
        <v>135597</v>
      </c>
      <c r="C6627" s="14">
        <f ca="1">IFERROR(__xludf.DUMMYFUNCTION("""COMPUTED_VALUE"""),0)</f>
        <v>0</v>
      </c>
      <c r="D6627" s="12" t="str">
        <f ca="1">IFERROR(__xludf.DUMMYFUNCTION("""COMPUTED_VALUE"""),"松尾 尚樹")</f>
        <v>松尾 尚樹</v>
      </c>
    </row>
    <row r="6628" spans="2:4" ht="13">
      <c r="B6628" s="12">
        <f ca="1">IFERROR(__xludf.DUMMYFUNCTION("""COMPUTED_VALUE"""),135605)</f>
        <v>135605</v>
      </c>
      <c r="C6628" s="14">
        <f ca="1">IFERROR(__xludf.DUMMYFUNCTION("""COMPUTED_VALUE"""),0)</f>
        <v>0</v>
      </c>
      <c r="D6628" s="12" t="str">
        <f ca="1">IFERROR(__xludf.DUMMYFUNCTION("""COMPUTED_VALUE"""),"老田 純輝")</f>
        <v>老田 純輝</v>
      </c>
    </row>
    <row r="6629" spans="2:4" ht="13">
      <c r="B6629" s="12">
        <f ca="1">IFERROR(__xludf.DUMMYFUNCTION("""COMPUTED_VALUE"""),135613)</f>
        <v>135613</v>
      </c>
      <c r="C6629" s="14">
        <f ca="1">IFERROR(__xludf.DUMMYFUNCTION("""COMPUTED_VALUE"""),0)</f>
        <v>0</v>
      </c>
      <c r="D6629" s="12" t="str">
        <f ca="1">IFERROR(__xludf.DUMMYFUNCTION("""COMPUTED_VALUE"""),"辻村 将大")</f>
        <v>辻村 将大</v>
      </c>
    </row>
    <row r="6630" spans="2:4" ht="13">
      <c r="B6630" s="12">
        <f ca="1">IFERROR(__xludf.DUMMYFUNCTION("""COMPUTED_VALUE"""),135629)</f>
        <v>135629</v>
      </c>
      <c r="C6630" s="14">
        <f ca="1">IFERROR(__xludf.DUMMYFUNCTION("""COMPUTED_VALUE"""),5)</f>
        <v>5</v>
      </c>
      <c r="D6630" s="12" t="str">
        <f ca="1">IFERROR(__xludf.DUMMYFUNCTION("""COMPUTED_VALUE"""),"柿崎 晃司")</f>
        <v>柿崎 晃司</v>
      </c>
    </row>
    <row r="6631" spans="2:4" ht="13">
      <c r="B6631" s="12">
        <f ca="1">IFERROR(__xludf.DUMMYFUNCTION("""COMPUTED_VALUE"""),135646)</f>
        <v>135646</v>
      </c>
      <c r="C6631" s="14">
        <f ca="1">IFERROR(__xludf.DUMMYFUNCTION("""COMPUTED_VALUE"""),0)</f>
        <v>0</v>
      </c>
      <c r="D6631" s="12" t="str">
        <f ca="1">IFERROR(__xludf.DUMMYFUNCTION("""COMPUTED_VALUE"""),"村上 浩一朗")</f>
        <v>村上 浩一朗</v>
      </c>
    </row>
    <row r="6632" spans="2:4" ht="13">
      <c r="B6632" s="12">
        <f ca="1">IFERROR(__xludf.DUMMYFUNCTION("""COMPUTED_VALUE"""),135651)</f>
        <v>135651</v>
      </c>
      <c r="C6632" s="14">
        <f ca="1">IFERROR(__xludf.DUMMYFUNCTION("""COMPUTED_VALUE"""),0)</f>
        <v>0</v>
      </c>
      <c r="D6632" s="12" t="str">
        <f ca="1">IFERROR(__xludf.DUMMYFUNCTION("""COMPUTED_VALUE"""),"大木 優香")</f>
        <v>大木 優香</v>
      </c>
    </row>
    <row r="6633" spans="2:4" ht="13">
      <c r="B6633" s="12">
        <f ca="1">IFERROR(__xludf.DUMMYFUNCTION("""COMPUTED_VALUE"""),135653)</f>
        <v>135653</v>
      </c>
      <c r="C6633" s="14">
        <f ca="1">IFERROR(__xludf.DUMMYFUNCTION("""COMPUTED_VALUE"""),0)</f>
        <v>0</v>
      </c>
      <c r="D6633" s="12" t="str">
        <f ca="1">IFERROR(__xludf.DUMMYFUNCTION("""COMPUTED_VALUE"""),"大木 優香")</f>
        <v>大木 優香</v>
      </c>
    </row>
    <row r="6634" spans="2:4" ht="13">
      <c r="B6634" s="12">
        <f ca="1">IFERROR(__xludf.DUMMYFUNCTION("""COMPUTED_VALUE"""),135654)</f>
        <v>135654</v>
      </c>
      <c r="C6634" s="14">
        <f ca="1">IFERROR(__xludf.DUMMYFUNCTION("""COMPUTED_VALUE"""),0)</f>
        <v>0</v>
      </c>
      <c r="D6634" s="12" t="str">
        <f ca="1">IFERROR(__xludf.DUMMYFUNCTION("""COMPUTED_VALUE"""),"大木 優香")</f>
        <v>大木 優香</v>
      </c>
    </row>
    <row r="6635" spans="2:4" ht="13">
      <c r="B6635" s="12">
        <f ca="1">IFERROR(__xludf.DUMMYFUNCTION("""COMPUTED_VALUE"""),135655)</f>
        <v>135655</v>
      </c>
      <c r="C6635" s="14">
        <f ca="1">IFERROR(__xludf.DUMMYFUNCTION("""COMPUTED_VALUE"""),0)</f>
        <v>0</v>
      </c>
      <c r="D6635" s="12" t="str">
        <f ca="1">IFERROR(__xludf.DUMMYFUNCTION("""COMPUTED_VALUE"""),"大木 優香")</f>
        <v>大木 優香</v>
      </c>
    </row>
    <row r="6636" spans="2:4" ht="13">
      <c r="B6636" s="12">
        <f ca="1">IFERROR(__xludf.DUMMYFUNCTION("""COMPUTED_VALUE"""),135656)</f>
        <v>135656</v>
      </c>
      <c r="C6636" s="14">
        <f ca="1">IFERROR(__xludf.DUMMYFUNCTION("""COMPUTED_VALUE"""),0)</f>
        <v>0</v>
      </c>
      <c r="D6636" s="12" t="str">
        <f ca="1">IFERROR(__xludf.DUMMYFUNCTION("""COMPUTED_VALUE"""),"大木 優香")</f>
        <v>大木 優香</v>
      </c>
    </row>
    <row r="6637" spans="2:4" ht="13">
      <c r="B6637" s="12">
        <f ca="1">IFERROR(__xludf.DUMMYFUNCTION("""COMPUTED_VALUE"""),135657)</f>
        <v>135657</v>
      </c>
      <c r="C6637" s="14">
        <f ca="1">IFERROR(__xludf.DUMMYFUNCTION("""COMPUTED_VALUE"""),0)</f>
        <v>0</v>
      </c>
      <c r="D6637" s="12" t="str">
        <f ca="1">IFERROR(__xludf.DUMMYFUNCTION("""COMPUTED_VALUE"""),"大木 優香")</f>
        <v>大木 優香</v>
      </c>
    </row>
    <row r="6638" spans="2:4" ht="13">
      <c r="B6638" s="12">
        <f ca="1">IFERROR(__xludf.DUMMYFUNCTION("""COMPUTED_VALUE"""),135658)</f>
        <v>135658</v>
      </c>
      <c r="C6638" s="14">
        <f ca="1">IFERROR(__xludf.DUMMYFUNCTION("""COMPUTED_VALUE"""),0)</f>
        <v>0</v>
      </c>
      <c r="D6638" s="12" t="str">
        <f ca="1">IFERROR(__xludf.DUMMYFUNCTION("""COMPUTED_VALUE"""),"大木 優香")</f>
        <v>大木 優香</v>
      </c>
    </row>
    <row r="6639" spans="2:4" ht="13">
      <c r="B6639" s="12">
        <f ca="1">IFERROR(__xludf.DUMMYFUNCTION("""COMPUTED_VALUE"""),135659)</f>
        <v>135659</v>
      </c>
      <c r="C6639" s="14">
        <f ca="1">IFERROR(__xludf.DUMMYFUNCTION("""COMPUTED_VALUE"""),0)</f>
        <v>0</v>
      </c>
      <c r="D6639" s="12" t="str">
        <f ca="1">IFERROR(__xludf.DUMMYFUNCTION("""COMPUTED_VALUE"""),"大木 優香")</f>
        <v>大木 優香</v>
      </c>
    </row>
    <row r="6640" spans="2:4" ht="13">
      <c r="B6640" s="12">
        <f ca="1">IFERROR(__xludf.DUMMYFUNCTION("""COMPUTED_VALUE"""),135660)</f>
        <v>135660</v>
      </c>
      <c r="C6640" s="14">
        <f ca="1">IFERROR(__xludf.DUMMYFUNCTION("""COMPUTED_VALUE"""),0)</f>
        <v>0</v>
      </c>
      <c r="D6640" s="12" t="str">
        <f ca="1">IFERROR(__xludf.DUMMYFUNCTION("""COMPUTED_VALUE"""),"大木 優香")</f>
        <v>大木 優香</v>
      </c>
    </row>
    <row r="6641" spans="2:4" ht="13">
      <c r="B6641" s="12">
        <f ca="1">IFERROR(__xludf.DUMMYFUNCTION("""COMPUTED_VALUE"""),135661)</f>
        <v>135661</v>
      </c>
      <c r="C6641" s="14">
        <f ca="1">IFERROR(__xludf.DUMMYFUNCTION("""COMPUTED_VALUE"""),0)</f>
        <v>0</v>
      </c>
      <c r="D6641" s="12" t="str">
        <f ca="1">IFERROR(__xludf.DUMMYFUNCTION("""COMPUTED_VALUE"""),"大木 優香")</f>
        <v>大木 優香</v>
      </c>
    </row>
    <row r="6642" spans="2:4" ht="13">
      <c r="B6642" s="12">
        <f ca="1">IFERROR(__xludf.DUMMYFUNCTION("""COMPUTED_VALUE"""),135662)</f>
        <v>135662</v>
      </c>
      <c r="C6642" s="14">
        <f ca="1">IFERROR(__xludf.DUMMYFUNCTION("""COMPUTED_VALUE"""),0)</f>
        <v>0</v>
      </c>
      <c r="D6642" s="12" t="str">
        <f ca="1">IFERROR(__xludf.DUMMYFUNCTION("""COMPUTED_VALUE"""),"大木 優香")</f>
        <v>大木 優香</v>
      </c>
    </row>
    <row r="6643" spans="2:4" ht="13">
      <c r="B6643" s="12">
        <f ca="1">IFERROR(__xludf.DUMMYFUNCTION("""COMPUTED_VALUE"""),135663)</f>
        <v>135663</v>
      </c>
      <c r="C6643" s="14">
        <f ca="1">IFERROR(__xludf.DUMMYFUNCTION("""COMPUTED_VALUE"""),0)</f>
        <v>0</v>
      </c>
      <c r="D6643" s="12" t="str">
        <f ca="1">IFERROR(__xludf.DUMMYFUNCTION("""COMPUTED_VALUE"""),"大木 優香")</f>
        <v>大木 優香</v>
      </c>
    </row>
    <row r="6644" spans="2:4" ht="13">
      <c r="B6644" s="12">
        <f ca="1">IFERROR(__xludf.DUMMYFUNCTION("""COMPUTED_VALUE"""),135664)</f>
        <v>135664</v>
      </c>
      <c r="C6644" s="14">
        <f ca="1">IFERROR(__xludf.DUMMYFUNCTION("""COMPUTED_VALUE"""),0)</f>
        <v>0</v>
      </c>
      <c r="D6644" s="12" t="str">
        <f ca="1">IFERROR(__xludf.DUMMYFUNCTION("""COMPUTED_VALUE"""),"大木 優香")</f>
        <v>大木 優香</v>
      </c>
    </row>
    <row r="6645" spans="2:4" ht="13">
      <c r="B6645" s="12">
        <f ca="1">IFERROR(__xludf.DUMMYFUNCTION("""COMPUTED_VALUE"""),135665)</f>
        <v>135665</v>
      </c>
      <c r="C6645" s="14">
        <f ca="1">IFERROR(__xludf.DUMMYFUNCTION("""COMPUTED_VALUE"""),12)</f>
        <v>12</v>
      </c>
      <c r="D6645" s="12" t="str">
        <f ca="1">IFERROR(__xludf.DUMMYFUNCTION("""COMPUTED_VALUE"""),"大木 優香")</f>
        <v>大木 優香</v>
      </c>
    </row>
    <row r="6646" spans="2:4" ht="13">
      <c r="B6646" s="12">
        <f ca="1">IFERROR(__xludf.DUMMYFUNCTION("""COMPUTED_VALUE"""),135666)</f>
        <v>135666</v>
      </c>
      <c r="C6646" s="14">
        <f ca="1">IFERROR(__xludf.DUMMYFUNCTION("""COMPUTED_VALUE"""),0)</f>
        <v>0</v>
      </c>
      <c r="D6646" s="12" t="str">
        <f ca="1">IFERROR(__xludf.DUMMYFUNCTION("""COMPUTED_VALUE"""),"大木 優香")</f>
        <v>大木 優香</v>
      </c>
    </row>
    <row r="6647" spans="2:4" ht="13">
      <c r="B6647" s="12">
        <f ca="1">IFERROR(__xludf.DUMMYFUNCTION("""COMPUTED_VALUE"""),135667)</f>
        <v>135667</v>
      </c>
      <c r="C6647" s="14">
        <f ca="1">IFERROR(__xludf.DUMMYFUNCTION("""COMPUTED_VALUE"""),2)</f>
        <v>2</v>
      </c>
      <c r="D6647" s="12" t="str">
        <f ca="1">IFERROR(__xludf.DUMMYFUNCTION("""COMPUTED_VALUE"""),"大木 優香")</f>
        <v>大木 優香</v>
      </c>
    </row>
    <row r="6648" spans="2:4" ht="13">
      <c r="B6648" s="12">
        <f ca="1">IFERROR(__xludf.DUMMYFUNCTION("""COMPUTED_VALUE"""),135668)</f>
        <v>135668</v>
      </c>
      <c r="C6648" s="14">
        <f ca="1">IFERROR(__xludf.DUMMYFUNCTION("""COMPUTED_VALUE"""),0)</f>
        <v>0</v>
      </c>
      <c r="D6648" s="12" t="str">
        <f ca="1">IFERROR(__xludf.DUMMYFUNCTION("""COMPUTED_VALUE"""),"大木 優香")</f>
        <v>大木 優香</v>
      </c>
    </row>
    <row r="6649" spans="2:4" ht="13">
      <c r="B6649" s="12">
        <f ca="1">IFERROR(__xludf.DUMMYFUNCTION("""COMPUTED_VALUE"""),135669)</f>
        <v>135669</v>
      </c>
      <c r="C6649" s="14">
        <f ca="1">IFERROR(__xludf.DUMMYFUNCTION("""COMPUTED_VALUE"""),2)</f>
        <v>2</v>
      </c>
      <c r="D6649" s="12" t="str">
        <f ca="1">IFERROR(__xludf.DUMMYFUNCTION("""COMPUTED_VALUE"""),"大木 優香")</f>
        <v>大木 優香</v>
      </c>
    </row>
    <row r="6650" spans="2:4" ht="13">
      <c r="B6650" s="12">
        <f ca="1">IFERROR(__xludf.DUMMYFUNCTION("""COMPUTED_VALUE"""),135670)</f>
        <v>135670</v>
      </c>
      <c r="C6650" s="14">
        <f ca="1">IFERROR(__xludf.DUMMYFUNCTION("""COMPUTED_VALUE"""),0)</f>
        <v>0</v>
      </c>
      <c r="D6650" s="12" t="str">
        <f ca="1">IFERROR(__xludf.DUMMYFUNCTION("""COMPUTED_VALUE"""),"大木 優香")</f>
        <v>大木 優香</v>
      </c>
    </row>
    <row r="6651" spans="2:4" ht="13">
      <c r="B6651" s="12">
        <f ca="1">IFERROR(__xludf.DUMMYFUNCTION("""COMPUTED_VALUE"""),135671)</f>
        <v>135671</v>
      </c>
      <c r="C6651" s="14">
        <f ca="1">IFERROR(__xludf.DUMMYFUNCTION("""COMPUTED_VALUE"""),0)</f>
        <v>0</v>
      </c>
      <c r="D6651" s="12" t="str">
        <f ca="1">IFERROR(__xludf.DUMMYFUNCTION("""COMPUTED_VALUE"""),"大木 優香")</f>
        <v>大木 優香</v>
      </c>
    </row>
    <row r="6652" spans="2:4" ht="13">
      <c r="B6652" s="12">
        <f ca="1">IFERROR(__xludf.DUMMYFUNCTION("""COMPUTED_VALUE"""),135672)</f>
        <v>135672</v>
      </c>
      <c r="C6652" s="14">
        <f ca="1">IFERROR(__xludf.DUMMYFUNCTION("""COMPUTED_VALUE"""),2)</f>
        <v>2</v>
      </c>
      <c r="D6652" s="12" t="str">
        <f ca="1">IFERROR(__xludf.DUMMYFUNCTION("""COMPUTED_VALUE"""),"大木 優香")</f>
        <v>大木 優香</v>
      </c>
    </row>
    <row r="6653" spans="2:4" ht="13">
      <c r="B6653" s="12">
        <f ca="1">IFERROR(__xludf.DUMMYFUNCTION("""COMPUTED_VALUE"""),135673)</f>
        <v>135673</v>
      </c>
      <c r="C6653" s="14">
        <f ca="1">IFERROR(__xludf.DUMMYFUNCTION("""COMPUTED_VALUE"""),0)</f>
        <v>0</v>
      </c>
      <c r="D6653" s="12" t="str">
        <f ca="1">IFERROR(__xludf.DUMMYFUNCTION("""COMPUTED_VALUE"""),"大木 優香")</f>
        <v>大木 優香</v>
      </c>
    </row>
    <row r="6654" spans="2:4" ht="13">
      <c r="B6654" s="12">
        <f ca="1">IFERROR(__xludf.DUMMYFUNCTION("""COMPUTED_VALUE"""),135674)</f>
        <v>135674</v>
      </c>
      <c r="C6654" s="14">
        <f ca="1">IFERROR(__xludf.DUMMYFUNCTION("""COMPUTED_VALUE"""),0)</f>
        <v>0</v>
      </c>
      <c r="D6654" s="12" t="str">
        <f ca="1">IFERROR(__xludf.DUMMYFUNCTION("""COMPUTED_VALUE"""),"大木 優香")</f>
        <v>大木 優香</v>
      </c>
    </row>
    <row r="6655" spans="2:4" ht="13">
      <c r="B6655" s="12">
        <f ca="1">IFERROR(__xludf.DUMMYFUNCTION("""COMPUTED_VALUE"""),135675)</f>
        <v>135675</v>
      </c>
      <c r="C6655" s="14">
        <f ca="1">IFERROR(__xludf.DUMMYFUNCTION("""COMPUTED_VALUE"""),0)</f>
        <v>0</v>
      </c>
      <c r="D6655" s="12" t="str">
        <f ca="1">IFERROR(__xludf.DUMMYFUNCTION("""COMPUTED_VALUE"""),"大木 優香")</f>
        <v>大木 優香</v>
      </c>
    </row>
    <row r="6656" spans="2:4" ht="13">
      <c r="B6656" s="12">
        <f ca="1">IFERROR(__xludf.DUMMYFUNCTION("""COMPUTED_VALUE"""),135676)</f>
        <v>135676</v>
      </c>
      <c r="C6656" s="14">
        <f ca="1">IFERROR(__xludf.DUMMYFUNCTION("""COMPUTED_VALUE"""),2)</f>
        <v>2</v>
      </c>
      <c r="D6656" s="12" t="str">
        <f ca="1">IFERROR(__xludf.DUMMYFUNCTION("""COMPUTED_VALUE"""),"大木 優香")</f>
        <v>大木 優香</v>
      </c>
    </row>
    <row r="6657" spans="2:4" ht="13">
      <c r="B6657" s="12">
        <f ca="1">IFERROR(__xludf.DUMMYFUNCTION("""COMPUTED_VALUE"""),135677)</f>
        <v>135677</v>
      </c>
      <c r="C6657" s="14">
        <f ca="1">IFERROR(__xludf.DUMMYFUNCTION("""COMPUTED_VALUE"""),0)</f>
        <v>0</v>
      </c>
      <c r="D6657" s="12" t="str">
        <f ca="1">IFERROR(__xludf.DUMMYFUNCTION("""COMPUTED_VALUE"""),"大木 優香")</f>
        <v>大木 優香</v>
      </c>
    </row>
    <row r="6658" spans="2:4" ht="13">
      <c r="B6658" s="12">
        <f ca="1">IFERROR(__xludf.DUMMYFUNCTION("""COMPUTED_VALUE"""),135678)</f>
        <v>135678</v>
      </c>
      <c r="C6658" s="14">
        <f ca="1">IFERROR(__xludf.DUMMYFUNCTION("""COMPUTED_VALUE"""),10)</f>
        <v>10</v>
      </c>
      <c r="D6658" s="12" t="str">
        <f ca="1">IFERROR(__xludf.DUMMYFUNCTION("""COMPUTED_VALUE"""),"大木 優香")</f>
        <v>大木 優香</v>
      </c>
    </row>
    <row r="6659" spans="2:4" ht="13">
      <c r="B6659" s="12">
        <f ca="1">IFERROR(__xludf.DUMMYFUNCTION("""COMPUTED_VALUE"""),135679)</f>
        <v>135679</v>
      </c>
      <c r="C6659" s="14">
        <f ca="1">IFERROR(__xludf.DUMMYFUNCTION("""COMPUTED_VALUE"""),0)</f>
        <v>0</v>
      </c>
      <c r="D6659" s="12" t="str">
        <f ca="1">IFERROR(__xludf.DUMMYFUNCTION("""COMPUTED_VALUE"""),"大木 優香")</f>
        <v>大木 優香</v>
      </c>
    </row>
    <row r="6660" spans="2:4" ht="13">
      <c r="B6660" s="12">
        <f ca="1">IFERROR(__xludf.DUMMYFUNCTION("""COMPUTED_VALUE"""),135680)</f>
        <v>135680</v>
      </c>
      <c r="C6660" s="14">
        <f ca="1">IFERROR(__xludf.DUMMYFUNCTION("""COMPUTED_VALUE"""),0)</f>
        <v>0</v>
      </c>
      <c r="D6660" s="12" t="str">
        <f ca="1">IFERROR(__xludf.DUMMYFUNCTION("""COMPUTED_VALUE"""),"大木 優香")</f>
        <v>大木 優香</v>
      </c>
    </row>
    <row r="6661" spans="2:4" ht="13">
      <c r="B6661" s="12">
        <f ca="1">IFERROR(__xludf.DUMMYFUNCTION("""COMPUTED_VALUE"""),135681)</f>
        <v>135681</v>
      </c>
      <c r="C6661" s="14">
        <f ca="1">IFERROR(__xludf.DUMMYFUNCTION("""COMPUTED_VALUE"""),1)</f>
        <v>1</v>
      </c>
      <c r="D6661" s="12" t="str">
        <f ca="1">IFERROR(__xludf.DUMMYFUNCTION("""COMPUTED_VALUE"""),"大木 優香")</f>
        <v>大木 優香</v>
      </c>
    </row>
    <row r="6662" spans="2:4" ht="13">
      <c r="B6662" s="12">
        <f ca="1">IFERROR(__xludf.DUMMYFUNCTION("""COMPUTED_VALUE"""),135682)</f>
        <v>135682</v>
      </c>
      <c r="C6662" s="14">
        <f ca="1">IFERROR(__xludf.DUMMYFUNCTION("""COMPUTED_VALUE"""),3)</f>
        <v>3</v>
      </c>
      <c r="D6662" s="12" t="str">
        <f ca="1">IFERROR(__xludf.DUMMYFUNCTION("""COMPUTED_VALUE"""),"大木 優香")</f>
        <v>大木 優香</v>
      </c>
    </row>
    <row r="6663" spans="2:4" ht="13">
      <c r="B6663" s="12">
        <f ca="1">IFERROR(__xludf.DUMMYFUNCTION("""COMPUTED_VALUE"""),135683)</f>
        <v>135683</v>
      </c>
      <c r="C6663" s="14">
        <f ca="1">IFERROR(__xludf.DUMMYFUNCTION("""COMPUTED_VALUE"""),0)</f>
        <v>0</v>
      </c>
      <c r="D6663" s="12" t="str">
        <f ca="1">IFERROR(__xludf.DUMMYFUNCTION("""COMPUTED_VALUE"""),"大木 優香")</f>
        <v>大木 優香</v>
      </c>
    </row>
    <row r="6664" spans="2:4" ht="13">
      <c r="B6664" s="12">
        <f ca="1">IFERROR(__xludf.DUMMYFUNCTION("""COMPUTED_VALUE"""),135684)</f>
        <v>135684</v>
      </c>
      <c r="C6664" s="14">
        <f ca="1">IFERROR(__xludf.DUMMYFUNCTION("""COMPUTED_VALUE"""),0)</f>
        <v>0</v>
      </c>
      <c r="D6664" s="12" t="str">
        <f ca="1">IFERROR(__xludf.DUMMYFUNCTION("""COMPUTED_VALUE"""),"大木 優香")</f>
        <v>大木 優香</v>
      </c>
    </row>
    <row r="6665" spans="2:4" ht="13">
      <c r="B6665" s="12">
        <f ca="1">IFERROR(__xludf.DUMMYFUNCTION("""COMPUTED_VALUE"""),135685)</f>
        <v>135685</v>
      </c>
      <c r="C6665" s="14">
        <f ca="1">IFERROR(__xludf.DUMMYFUNCTION("""COMPUTED_VALUE"""),0)</f>
        <v>0</v>
      </c>
      <c r="D6665" s="12" t="str">
        <f ca="1">IFERROR(__xludf.DUMMYFUNCTION("""COMPUTED_VALUE"""),"大木 優香")</f>
        <v>大木 優香</v>
      </c>
    </row>
    <row r="6666" spans="2:4" ht="13">
      <c r="B6666" s="12">
        <f ca="1">IFERROR(__xludf.DUMMYFUNCTION("""COMPUTED_VALUE"""),135686)</f>
        <v>135686</v>
      </c>
      <c r="C6666" s="14">
        <f ca="1">IFERROR(__xludf.DUMMYFUNCTION("""COMPUTED_VALUE"""),0)</f>
        <v>0</v>
      </c>
      <c r="D6666" s="12" t="str">
        <f ca="1">IFERROR(__xludf.DUMMYFUNCTION("""COMPUTED_VALUE"""),"大木 優香")</f>
        <v>大木 優香</v>
      </c>
    </row>
    <row r="6667" spans="2:4" ht="13">
      <c r="B6667" s="12">
        <f ca="1">IFERROR(__xludf.DUMMYFUNCTION("""COMPUTED_VALUE"""),135687)</f>
        <v>135687</v>
      </c>
      <c r="C6667" s="14">
        <f ca="1">IFERROR(__xludf.DUMMYFUNCTION("""COMPUTED_VALUE"""),2)</f>
        <v>2</v>
      </c>
      <c r="D6667" s="12" t="str">
        <f ca="1">IFERROR(__xludf.DUMMYFUNCTION("""COMPUTED_VALUE"""),"大木 優香")</f>
        <v>大木 優香</v>
      </c>
    </row>
    <row r="6668" spans="2:4" ht="13">
      <c r="B6668" s="12">
        <f ca="1">IFERROR(__xludf.DUMMYFUNCTION("""COMPUTED_VALUE"""),135688)</f>
        <v>135688</v>
      </c>
      <c r="C6668" s="14">
        <f ca="1">IFERROR(__xludf.DUMMYFUNCTION("""COMPUTED_VALUE"""),0)</f>
        <v>0</v>
      </c>
      <c r="D6668" s="12" t="str">
        <f ca="1">IFERROR(__xludf.DUMMYFUNCTION("""COMPUTED_VALUE"""),"大木 優香")</f>
        <v>大木 優香</v>
      </c>
    </row>
    <row r="6669" spans="2:4" ht="13">
      <c r="B6669" s="12">
        <f ca="1">IFERROR(__xludf.DUMMYFUNCTION("""COMPUTED_VALUE"""),135689)</f>
        <v>135689</v>
      </c>
      <c r="C6669" s="14">
        <f ca="1">IFERROR(__xludf.DUMMYFUNCTION("""COMPUTED_VALUE"""),0)</f>
        <v>0</v>
      </c>
      <c r="D6669" s="12" t="str">
        <f ca="1">IFERROR(__xludf.DUMMYFUNCTION("""COMPUTED_VALUE"""),"大木 優香")</f>
        <v>大木 優香</v>
      </c>
    </row>
    <row r="6670" spans="2:4" ht="13">
      <c r="B6670" s="12">
        <f ca="1">IFERROR(__xludf.DUMMYFUNCTION("""COMPUTED_VALUE"""),135690)</f>
        <v>135690</v>
      </c>
      <c r="C6670" s="14">
        <f ca="1">IFERROR(__xludf.DUMMYFUNCTION("""COMPUTED_VALUE"""),2)</f>
        <v>2</v>
      </c>
      <c r="D6670" s="12" t="str">
        <f ca="1">IFERROR(__xludf.DUMMYFUNCTION("""COMPUTED_VALUE"""),"大木 優香")</f>
        <v>大木 優香</v>
      </c>
    </row>
    <row r="6671" spans="2:4" ht="13">
      <c r="B6671" s="12">
        <f ca="1">IFERROR(__xludf.DUMMYFUNCTION("""COMPUTED_VALUE"""),135691)</f>
        <v>135691</v>
      </c>
      <c r="C6671" s="14">
        <f ca="1">IFERROR(__xludf.DUMMYFUNCTION("""COMPUTED_VALUE"""),2)</f>
        <v>2</v>
      </c>
      <c r="D6671" s="12" t="str">
        <f ca="1">IFERROR(__xludf.DUMMYFUNCTION("""COMPUTED_VALUE"""),"大木 優香")</f>
        <v>大木 優香</v>
      </c>
    </row>
    <row r="6672" spans="2:4" ht="13">
      <c r="B6672" s="12">
        <f ca="1">IFERROR(__xludf.DUMMYFUNCTION("""COMPUTED_VALUE"""),135692)</f>
        <v>135692</v>
      </c>
      <c r="C6672" s="14">
        <f ca="1">IFERROR(__xludf.DUMMYFUNCTION("""COMPUTED_VALUE"""),0)</f>
        <v>0</v>
      </c>
      <c r="D6672" s="12" t="str">
        <f ca="1">IFERROR(__xludf.DUMMYFUNCTION("""COMPUTED_VALUE"""),"大木 優香")</f>
        <v>大木 優香</v>
      </c>
    </row>
    <row r="6673" spans="2:4" ht="13">
      <c r="B6673" s="12">
        <f ca="1">IFERROR(__xludf.DUMMYFUNCTION("""COMPUTED_VALUE"""),135693)</f>
        <v>135693</v>
      </c>
      <c r="C6673" s="14">
        <f ca="1">IFERROR(__xludf.DUMMYFUNCTION("""COMPUTED_VALUE"""),0)</f>
        <v>0</v>
      </c>
      <c r="D6673" s="12" t="str">
        <f ca="1">IFERROR(__xludf.DUMMYFUNCTION("""COMPUTED_VALUE"""),"大木 優香")</f>
        <v>大木 優香</v>
      </c>
    </row>
    <row r="6674" spans="2:4" ht="13">
      <c r="B6674" s="12">
        <f ca="1">IFERROR(__xludf.DUMMYFUNCTION("""COMPUTED_VALUE"""),135694)</f>
        <v>135694</v>
      </c>
      <c r="C6674" s="14">
        <f ca="1">IFERROR(__xludf.DUMMYFUNCTION("""COMPUTED_VALUE"""),0)</f>
        <v>0</v>
      </c>
      <c r="D6674" s="12" t="str">
        <f ca="1">IFERROR(__xludf.DUMMYFUNCTION("""COMPUTED_VALUE"""),"大木 優香")</f>
        <v>大木 優香</v>
      </c>
    </row>
    <row r="6675" spans="2:4" ht="13">
      <c r="B6675" s="12">
        <f ca="1">IFERROR(__xludf.DUMMYFUNCTION("""COMPUTED_VALUE"""),135695)</f>
        <v>135695</v>
      </c>
      <c r="C6675" s="14">
        <f ca="1">IFERROR(__xludf.DUMMYFUNCTION("""COMPUTED_VALUE"""),1)</f>
        <v>1</v>
      </c>
      <c r="D6675" s="12" t="str">
        <f ca="1">IFERROR(__xludf.DUMMYFUNCTION("""COMPUTED_VALUE"""),"大木 優香")</f>
        <v>大木 優香</v>
      </c>
    </row>
    <row r="6676" spans="2:4" ht="13">
      <c r="B6676" s="12">
        <f ca="1">IFERROR(__xludf.DUMMYFUNCTION("""COMPUTED_VALUE"""),135701)</f>
        <v>135701</v>
      </c>
      <c r="C6676" s="14">
        <f ca="1">IFERROR(__xludf.DUMMYFUNCTION("""COMPUTED_VALUE"""),69)</f>
        <v>69</v>
      </c>
      <c r="D6676" s="12" t="str">
        <f ca="1">IFERROR(__xludf.DUMMYFUNCTION("""COMPUTED_VALUE"""),"辻村 将大")</f>
        <v>辻村 将大</v>
      </c>
    </row>
    <row r="6677" spans="2:4" ht="13">
      <c r="B6677" s="12">
        <f ca="1">IFERROR(__xludf.DUMMYFUNCTION("""COMPUTED_VALUE"""),135702)</f>
        <v>135702</v>
      </c>
      <c r="C6677" s="14">
        <f ca="1">IFERROR(__xludf.DUMMYFUNCTION("""COMPUTED_VALUE"""),18)</f>
        <v>18</v>
      </c>
      <c r="D6677" s="12" t="str">
        <f ca="1">IFERROR(__xludf.DUMMYFUNCTION("""COMPUTED_VALUE"""),"菅野 ぎんが")</f>
        <v>菅野 ぎんが</v>
      </c>
    </row>
    <row r="6678" spans="2:4" ht="13">
      <c r="B6678" s="12">
        <f ca="1">IFERROR(__xludf.DUMMYFUNCTION("""COMPUTED_VALUE"""),135704)</f>
        <v>135704</v>
      </c>
      <c r="C6678" s="14">
        <f ca="1">IFERROR(__xludf.DUMMYFUNCTION("""COMPUTED_VALUE"""),0)</f>
        <v>0</v>
      </c>
      <c r="D6678" s="12" t="str">
        <f ca="1">IFERROR(__xludf.DUMMYFUNCTION("""COMPUTED_VALUE"""),"稲場 勇介")</f>
        <v>稲場 勇介</v>
      </c>
    </row>
    <row r="6679" spans="2:4" ht="13">
      <c r="B6679" s="12">
        <f ca="1">IFERROR(__xludf.DUMMYFUNCTION("""COMPUTED_VALUE"""),135706)</f>
        <v>135706</v>
      </c>
      <c r="C6679" s="14">
        <f ca="1">IFERROR(__xludf.DUMMYFUNCTION("""COMPUTED_VALUE"""),1)</f>
        <v>1</v>
      </c>
      <c r="D6679" s="12" t="str">
        <f ca="1">IFERROR(__xludf.DUMMYFUNCTION("""COMPUTED_VALUE"""),"栗原 大武")</f>
        <v>栗原 大武</v>
      </c>
    </row>
    <row r="6680" spans="2:4" ht="13">
      <c r="B6680" s="12">
        <f ca="1">IFERROR(__xludf.DUMMYFUNCTION("""COMPUTED_VALUE"""),135708)</f>
        <v>135708</v>
      </c>
      <c r="C6680" s="14">
        <f ca="1">IFERROR(__xludf.DUMMYFUNCTION("""COMPUTED_VALUE"""),4)</f>
        <v>4</v>
      </c>
      <c r="D6680" s="12" t="str">
        <f ca="1">IFERROR(__xludf.DUMMYFUNCTION("""COMPUTED_VALUE"""),"小川 純")</f>
        <v>小川 純</v>
      </c>
    </row>
    <row r="6681" spans="2:4" ht="13">
      <c r="B6681" s="12">
        <f ca="1">IFERROR(__xludf.DUMMYFUNCTION("""COMPUTED_VALUE"""),135711)</f>
        <v>135711</v>
      </c>
      <c r="C6681" s="14">
        <f ca="1">IFERROR(__xludf.DUMMYFUNCTION("""COMPUTED_VALUE"""),0)</f>
        <v>0</v>
      </c>
      <c r="D6681" s="12" t="str">
        <f ca="1">IFERROR(__xludf.DUMMYFUNCTION("""COMPUTED_VALUE"""),"長谷川 陸朗")</f>
        <v>長谷川 陸朗</v>
      </c>
    </row>
    <row r="6682" spans="2:4" ht="13">
      <c r="B6682" s="12">
        <f ca="1">IFERROR(__xludf.DUMMYFUNCTION("""COMPUTED_VALUE"""),135714)</f>
        <v>135714</v>
      </c>
      <c r="C6682" s="14">
        <f ca="1">IFERROR(__xludf.DUMMYFUNCTION("""COMPUTED_VALUE"""),0)</f>
        <v>0</v>
      </c>
      <c r="D6682" s="12" t="str">
        <f ca="1">IFERROR(__xludf.DUMMYFUNCTION("""COMPUTED_VALUE"""),"成嶋 夏未")</f>
        <v>成嶋 夏未</v>
      </c>
    </row>
    <row r="6683" spans="2:4" ht="13">
      <c r="B6683" s="12">
        <f ca="1">IFERROR(__xludf.DUMMYFUNCTION("""COMPUTED_VALUE"""),135733)</f>
        <v>135733</v>
      </c>
      <c r="C6683" s="14">
        <f ca="1">IFERROR(__xludf.DUMMYFUNCTION("""COMPUTED_VALUE"""),0)</f>
        <v>0</v>
      </c>
      <c r="D6683" s="12" t="str">
        <f ca="1">IFERROR(__xludf.DUMMYFUNCTION("""COMPUTED_VALUE"""),"田嶋 将太")</f>
        <v>田嶋 将太</v>
      </c>
    </row>
    <row r="6684" spans="2:4" ht="13">
      <c r="B6684" s="12">
        <f ca="1">IFERROR(__xludf.DUMMYFUNCTION("""COMPUTED_VALUE"""),135736)</f>
        <v>135736</v>
      </c>
      <c r="C6684" s="14">
        <f ca="1">IFERROR(__xludf.DUMMYFUNCTION("""COMPUTED_VALUE"""),0)</f>
        <v>0</v>
      </c>
      <c r="D6684" s="12" t="str">
        <f ca="1">IFERROR(__xludf.DUMMYFUNCTION("""COMPUTED_VALUE"""),"菅野 ぎんが")</f>
        <v>菅野 ぎんが</v>
      </c>
    </row>
    <row r="6685" spans="2:4" ht="13">
      <c r="B6685" s="12">
        <f ca="1">IFERROR(__xludf.DUMMYFUNCTION("""COMPUTED_VALUE"""),135738)</f>
        <v>135738</v>
      </c>
      <c r="C6685" s="14">
        <f ca="1">IFERROR(__xludf.DUMMYFUNCTION("""COMPUTED_VALUE"""),2)</f>
        <v>2</v>
      </c>
      <c r="D6685" s="12" t="str">
        <f ca="1">IFERROR(__xludf.DUMMYFUNCTION("""COMPUTED_VALUE"""),"松尾 尚樹")</f>
        <v>松尾 尚樹</v>
      </c>
    </row>
    <row r="6686" spans="2:4" ht="13">
      <c r="B6686" s="12">
        <f ca="1">IFERROR(__xludf.DUMMYFUNCTION("""COMPUTED_VALUE"""),135739)</f>
        <v>135739</v>
      </c>
      <c r="C6686" s="14">
        <f ca="1">IFERROR(__xludf.DUMMYFUNCTION("""COMPUTED_VALUE"""),0)</f>
        <v>0</v>
      </c>
      <c r="D6686" s="12" t="str">
        <f ca="1">IFERROR(__xludf.DUMMYFUNCTION("""COMPUTED_VALUE"""),"小川 純")</f>
        <v>小川 純</v>
      </c>
    </row>
    <row r="6687" spans="2:4" ht="13">
      <c r="B6687" s="12">
        <f ca="1">IFERROR(__xludf.DUMMYFUNCTION("""COMPUTED_VALUE"""),135741)</f>
        <v>135741</v>
      </c>
      <c r="C6687" s="14">
        <f ca="1">IFERROR(__xludf.DUMMYFUNCTION("""COMPUTED_VALUE"""),0)</f>
        <v>0</v>
      </c>
      <c r="D6687" s="12" t="str">
        <f ca="1">IFERROR(__xludf.DUMMYFUNCTION("""COMPUTED_VALUE"""),"村上 浩一朗")</f>
        <v>村上 浩一朗</v>
      </c>
    </row>
    <row r="6688" spans="2:4" ht="13">
      <c r="B6688" s="12">
        <f ca="1">IFERROR(__xludf.DUMMYFUNCTION("""COMPUTED_VALUE"""),135742)</f>
        <v>135742</v>
      </c>
      <c r="C6688" s="14">
        <f ca="1">IFERROR(__xludf.DUMMYFUNCTION("""COMPUTED_VALUE"""),0)</f>
        <v>0</v>
      </c>
      <c r="D6688" s="12" t="str">
        <f ca="1">IFERROR(__xludf.DUMMYFUNCTION("""COMPUTED_VALUE"""),"桐山 勝気")</f>
        <v>桐山 勝気</v>
      </c>
    </row>
    <row r="6689" spans="2:4" ht="13">
      <c r="B6689" s="12">
        <f ca="1">IFERROR(__xludf.DUMMYFUNCTION("""COMPUTED_VALUE"""),135744)</f>
        <v>135744</v>
      </c>
      <c r="C6689" s="14">
        <f ca="1">IFERROR(__xludf.DUMMYFUNCTION("""COMPUTED_VALUE"""),2)</f>
        <v>2</v>
      </c>
      <c r="D6689" s="12" t="str">
        <f ca="1">IFERROR(__xludf.DUMMYFUNCTION("""COMPUTED_VALUE"""),"村上 浩一朗")</f>
        <v>村上 浩一朗</v>
      </c>
    </row>
    <row r="6690" spans="2:4" ht="13">
      <c r="B6690" s="12">
        <f ca="1">IFERROR(__xludf.DUMMYFUNCTION("""COMPUTED_VALUE"""),135768)</f>
        <v>135768</v>
      </c>
      <c r="C6690" s="14">
        <f ca="1">IFERROR(__xludf.DUMMYFUNCTION("""COMPUTED_VALUE"""),0)</f>
        <v>0</v>
      </c>
      <c r="D6690" s="12" t="str">
        <f ca="1">IFERROR(__xludf.DUMMYFUNCTION("""COMPUTED_VALUE"""),"稲場 勇介")</f>
        <v>稲場 勇介</v>
      </c>
    </row>
    <row r="6691" spans="2:4" ht="13">
      <c r="B6691" s="12">
        <f ca="1">IFERROR(__xludf.DUMMYFUNCTION("""COMPUTED_VALUE"""),135772)</f>
        <v>135772</v>
      </c>
      <c r="C6691" s="14">
        <f ca="1">IFERROR(__xludf.DUMMYFUNCTION("""COMPUTED_VALUE"""),0)</f>
        <v>0</v>
      </c>
      <c r="D6691" s="12" t="str">
        <f ca="1">IFERROR(__xludf.DUMMYFUNCTION("""COMPUTED_VALUE"""),"菅野 ぎんが")</f>
        <v>菅野 ぎんが</v>
      </c>
    </row>
    <row r="6692" spans="2:4" ht="13">
      <c r="B6692" s="12">
        <f ca="1">IFERROR(__xludf.DUMMYFUNCTION("""COMPUTED_VALUE"""),135773)</f>
        <v>135773</v>
      </c>
      <c r="C6692" s="14">
        <f ca="1">IFERROR(__xludf.DUMMYFUNCTION("""COMPUTED_VALUE"""),0)</f>
        <v>0</v>
      </c>
      <c r="D6692" s="12" t="str">
        <f ca="1">IFERROR(__xludf.DUMMYFUNCTION("""COMPUTED_VALUE"""),"稲場 勇介")</f>
        <v>稲場 勇介</v>
      </c>
    </row>
    <row r="6693" spans="2:4" ht="13">
      <c r="B6693" s="12">
        <f ca="1">IFERROR(__xludf.DUMMYFUNCTION("""COMPUTED_VALUE"""),135774)</f>
        <v>135774</v>
      </c>
      <c r="C6693" s="14">
        <f ca="1">IFERROR(__xludf.DUMMYFUNCTION("""COMPUTED_VALUE"""),1)</f>
        <v>1</v>
      </c>
      <c r="D6693" s="12" t="str">
        <f ca="1">IFERROR(__xludf.DUMMYFUNCTION("""COMPUTED_VALUE"""),"小関 麻起")</f>
        <v>小関 麻起</v>
      </c>
    </row>
    <row r="6694" spans="2:4" ht="13">
      <c r="B6694" s="12">
        <f ca="1">IFERROR(__xludf.DUMMYFUNCTION("""COMPUTED_VALUE"""),135782)</f>
        <v>135782</v>
      </c>
      <c r="C6694" s="14">
        <f ca="1">IFERROR(__xludf.DUMMYFUNCTION("""COMPUTED_VALUE"""),0)</f>
        <v>0</v>
      </c>
      <c r="D6694" s="12" t="str">
        <f ca="1">IFERROR(__xludf.DUMMYFUNCTION("""COMPUTED_VALUE"""),"荻曽 克輝")</f>
        <v>荻曽 克輝</v>
      </c>
    </row>
    <row r="6695" spans="2:4" ht="13">
      <c r="B6695" s="12">
        <f ca="1">IFERROR(__xludf.DUMMYFUNCTION("""COMPUTED_VALUE"""),135788)</f>
        <v>135788</v>
      </c>
      <c r="C6695" s="14">
        <f ca="1">IFERROR(__xludf.DUMMYFUNCTION("""COMPUTED_VALUE"""),5)</f>
        <v>5</v>
      </c>
      <c r="D6695" s="12" t="str">
        <f ca="1">IFERROR(__xludf.DUMMYFUNCTION("""COMPUTED_VALUE"""),"荻曽 克輝")</f>
        <v>荻曽 克輝</v>
      </c>
    </row>
    <row r="6696" spans="2:4" ht="13">
      <c r="B6696" s="12">
        <f ca="1">IFERROR(__xludf.DUMMYFUNCTION("""COMPUTED_VALUE"""),135795)</f>
        <v>135795</v>
      </c>
      <c r="C6696" s="14">
        <f ca="1">IFERROR(__xludf.DUMMYFUNCTION("""COMPUTED_VALUE"""),0)</f>
        <v>0</v>
      </c>
      <c r="D6696" s="12" t="str">
        <f ca="1">IFERROR(__xludf.DUMMYFUNCTION("""COMPUTED_VALUE"""),"小川 純")</f>
        <v>小川 純</v>
      </c>
    </row>
    <row r="6697" spans="2:4" ht="13">
      <c r="B6697" s="12">
        <f ca="1">IFERROR(__xludf.DUMMYFUNCTION("""COMPUTED_VALUE"""),135796)</f>
        <v>135796</v>
      </c>
      <c r="C6697" s="14">
        <f ca="1">IFERROR(__xludf.DUMMYFUNCTION("""COMPUTED_VALUE"""),0)</f>
        <v>0</v>
      </c>
      <c r="D6697" s="12" t="str">
        <f ca="1">IFERROR(__xludf.DUMMYFUNCTION("""COMPUTED_VALUE"""),"小川 純")</f>
        <v>小川 純</v>
      </c>
    </row>
    <row r="6698" spans="2:4" ht="13">
      <c r="B6698" s="12">
        <f ca="1">IFERROR(__xludf.DUMMYFUNCTION("""COMPUTED_VALUE"""),135799)</f>
        <v>135799</v>
      </c>
      <c r="C6698" s="14">
        <f ca="1">IFERROR(__xludf.DUMMYFUNCTION("""COMPUTED_VALUE"""),0)</f>
        <v>0</v>
      </c>
      <c r="D6698" s="12" t="str">
        <f ca="1">IFERROR(__xludf.DUMMYFUNCTION("""COMPUTED_VALUE"""),"稲場 勇介")</f>
        <v>稲場 勇介</v>
      </c>
    </row>
    <row r="6699" spans="2:4" ht="13">
      <c r="B6699" s="12">
        <f ca="1">IFERROR(__xludf.DUMMYFUNCTION("""COMPUTED_VALUE"""),135800)</f>
        <v>135800</v>
      </c>
      <c r="C6699" s="14">
        <f ca="1">IFERROR(__xludf.DUMMYFUNCTION("""COMPUTED_VALUE"""),20)</f>
        <v>20</v>
      </c>
      <c r="D6699" s="12" t="str">
        <f ca="1">IFERROR(__xludf.DUMMYFUNCTION("""COMPUTED_VALUE"""),"柿崎 晃司")</f>
        <v>柿崎 晃司</v>
      </c>
    </row>
    <row r="6700" spans="2:4" ht="13">
      <c r="B6700" s="12">
        <f ca="1">IFERROR(__xludf.DUMMYFUNCTION("""COMPUTED_VALUE"""),135801)</f>
        <v>135801</v>
      </c>
      <c r="C6700" s="14">
        <f ca="1">IFERROR(__xludf.DUMMYFUNCTION("""COMPUTED_VALUE"""),0)</f>
        <v>0</v>
      </c>
      <c r="D6700" s="12" t="str">
        <f ca="1">IFERROR(__xludf.DUMMYFUNCTION("""COMPUTED_VALUE"""),"田嶋 将太")</f>
        <v>田嶋 将太</v>
      </c>
    </row>
    <row r="6701" spans="2:4" ht="13">
      <c r="B6701" s="12">
        <f ca="1">IFERROR(__xludf.DUMMYFUNCTION("""COMPUTED_VALUE"""),135805)</f>
        <v>135805</v>
      </c>
      <c r="C6701" s="14">
        <f ca="1">IFERROR(__xludf.DUMMYFUNCTION("""COMPUTED_VALUE"""),0)</f>
        <v>0</v>
      </c>
      <c r="D6701" s="12" t="str">
        <f ca="1">IFERROR(__xludf.DUMMYFUNCTION("""COMPUTED_VALUE"""),"長谷川 陸朗")</f>
        <v>長谷川 陸朗</v>
      </c>
    </row>
    <row r="6702" spans="2:4" ht="13">
      <c r="B6702" s="12">
        <f ca="1">IFERROR(__xludf.DUMMYFUNCTION("""COMPUTED_VALUE"""),135820)</f>
        <v>135820</v>
      </c>
      <c r="C6702" s="14">
        <f ca="1">IFERROR(__xludf.DUMMYFUNCTION("""COMPUTED_VALUE"""),8)</f>
        <v>8</v>
      </c>
      <c r="D6702" s="12" t="str">
        <f ca="1">IFERROR(__xludf.DUMMYFUNCTION("""COMPUTED_VALUE"""),"菅野 ぎんが")</f>
        <v>菅野 ぎんが</v>
      </c>
    </row>
    <row r="6703" spans="2:4" ht="13">
      <c r="B6703" s="12">
        <f ca="1">IFERROR(__xludf.DUMMYFUNCTION("""COMPUTED_VALUE"""),135822)</f>
        <v>135822</v>
      </c>
      <c r="C6703" s="14">
        <f ca="1">IFERROR(__xludf.DUMMYFUNCTION("""COMPUTED_VALUE"""),19)</f>
        <v>19</v>
      </c>
      <c r="D6703" s="12" t="str">
        <f ca="1">IFERROR(__xludf.DUMMYFUNCTION("""COMPUTED_VALUE"""),"荻曽 克輝")</f>
        <v>荻曽 克輝</v>
      </c>
    </row>
    <row r="6704" spans="2:4" ht="13">
      <c r="B6704" s="12">
        <f ca="1">IFERROR(__xludf.DUMMYFUNCTION("""COMPUTED_VALUE"""),135824)</f>
        <v>135824</v>
      </c>
      <c r="C6704" s="14">
        <f ca="1">IFERROR(__xludf.DUMMYFUNCTION("""COMPUTED_VALUE"""),21)</f>
        <v>21</v>
      </c>
      <c r="D6704" s="12" t="str">
        <f ca="1">IFERROR(__xludf.DUMMYFUNCTION("""COMPUTED_VALUE"""),"小関 麻起")</f>
        <v>小関 麻起</v>
      </c>
    </row>
    <row r="6705" spans="2:4" ht="13">
      <c r="B6705" s="12">
        <f ca="1">IFERROR(__xludf.DUMMYFUNCTION("""COMPUTED_VALUE"""),135828)</f>
        <v>135828</v>
      </c>
      <c r="C6705" s="14">
        <f ca="1">IFERROR(__xludf.DUMMYFUNCTION("""COMPUTED_VALUE"""),0)</f>
        <v>0</v>
      </c>
      <c r="D6705" s="12" t="str">
        <f ca="1">IFERROR(__xludf.DUMMYFUNCTION("""COMPUTED_VALUE"""),"菅野 ぎんが")</f>
        <v>菅野 ぎんが</v>
      </c>
    </row>
    <row r="6706" spans="2:4" ht="13">
      <c r="B6706" s="12">
        <f ca="1">IFERROR(__xludf.DUMMYFUNCTION("""COMPUTED_VALUE"""),135852)</f>
        <v>135852</v>
      </c>
      <c r="C6706" s="14">
        <f ca="1">IFERROR(__xludf.DUMMYFUNCTION("""COMPUTED_VALUE"""),0)</f>
        <v>0</v>
      </c>
      <c r="D6706" s="12" t="str">
        <f ca="1">IFERROR(__xludf.DUMMYFUNCTION("""COMPUTED_VALUE"""),"長谷川 陸朗")</f>
        <v>長谷川 陸朗</v>
      </c>
    </row>
    <row r="6707" spans="2:4" ht="13">
      <c r="B6707" s="12">
        <f ca="1">IFERROR(__xludf.DUMMYFUNCTION("""COMPUTED_VALUE"""),135859)</f>
        <v>135859</v>
      </c>
      <c r="C6707" s="14">
        <f ca="1">IFERROR(__xludf.DUMMYFUNCTION("""COMPUTED_VALUE"""),0)</f>
        <v>0</v>
      </c>
      <c r="D6707" s="12" t="str">
        <f ca="1">IFERROR(__xludf.DUMMYFUNCTION("""COMPUTED_VALUE"""),"稲場 勇介")</f>
        <v>稲場 勇介</v>
      </c>
    </row>
    <row r="6708" spans="2:4" ht="13">
      <c r="B6708" s="12">
        <f ca="1">IFERROR(__xludf.DUMMYFUNCTION("""COMPUTED_VALUE"""),135862)</f>
        <v>135862</v>
      </c>
      <c r="C6708" s="14">
        <f ca="1">IFERROR(__xludf.DUMMYFUNCTION("""COMPUTED_VALUE"""),0)</f>
        <v>0</v>
      </c>
      <c r="D6708" s="12" t="str">
        <f ca="1">IFERROR(__xludf.DUMMYFUNCTION("""COMPUTED_VALUE"""),"長谷川 陸朗")</f>
        <v>長谷川 陸朗</v>
      </c>
    </row>
    <row r="6709" spans="2:4" ht="13">
      <c r="B6709" s="12">
        <f ca="1">IFERROR(__xludf.DUMMYFUNCTION("""COMPUTED_VALUE"""),135866)</f>
        <v>135866</v>
      </c>
      <c r="C6709" s="14">
        <f ca="1">IFERROR(__xludf.DUMMYFUNCTION("""COMPUTED_VALUE"""),3)</f>
        <v>3</v>
      </c>
      <c r="D6709" s="12" t="str">
        <f ca="1">IFERROR(__xludf.DUMMYFUNCTION("""COMPUTED_VALUE"""),"田嶋 将太")</f>
        <v>田嶋 将太</v>
      </c>
    </row>
    <row r="6710" spans="2:4" ht="13">
      <c r="B6710" s="12">
        <f ca="1">IFERROR(__xludf.DUMMYFUNCTION("""COMPUTED_VALUE"""),135870)</f>
        <v>135870</v>
      </c>
      <c r="C6710" s="14">
        <f ca="1">IFERROR(__xludf.DUMMYFUNCTION("""COMPUTED_VALUE"""),0)</f>
        <v>0</v>
      </c>
      <c r="D6710" s="12" t="str">
        <f ca="1">IFERROR(__xludf.DUMMYFUNCTION("""COMPUTED_VALUE"""),"桐山 勝気")</f>
        <v>桐山 勝気</v>
      </c>
    </row>
    <row r="6711" spans="2:4" ht="13">
      <c r="B6711" s="12">
        <f ca="1">IFERROR(__xludf.DUMMYFUNCTION("""COMPUTED_VALUE"""),135877)</f>
        <v>135877</v>
      </c>
      <c r="C6711" s="14">
        <f ca="1">IFERROR(__xludf.DUMMYFUNCTION("""COMPUTED_VALUE"""),0)</f>
        <v>0</v>
      </c>
      <c r="D6711" s="12" t="str">
        <f ca="1">IFERROR(__xludf.DUMMYFUNCTION("""COMPUTED_VALUE"""),"長谷川 陸朗")</f>
        <v>長谷川 陸朗</v>
      </c>
    </row>
    <row r="6712" spans="2:4" ht="13">
      <c r="B6712" s="12">
        <f ca="1">IFERROR(__xludf.DUMMYFUNCTION("""COMPUTED_VALUE"""),135879)</f>
        <v>135879</v>
      </c>
      <c r="C6712" s="14">
        <f ca="1">IFERROR(__xludf.DUMMYFUNCTION("""COMPUTED_VALUE"""),0)</f>
        <v>0</v>
      </c>
      <c r="D6712" s="12" t="str">
        <f ca="1">IFERROR(__xludf.DUMMYFUNCTION("""COMPUTED_VALUE"""),"成嶋 夏未")</f>
        <v>成嶋 夏未</v>
      </c>
    </row>
    <row r="6713" spans="2:4" ht="13">
      <c r="B6713" s="12">
        <f ca="1">IFERROR(__xludf.DUMMYFUNCTION("""COMPUTED_VALUE"""),135882)</f>
        <v>135882</v>
      </c>
      <c r="C6713" s="14">
        <f ca="1">IFERROR(__xludf.DUMMYFUNCTION("""COMPUTED_VALUE"""),0)</f>
        <v>0</v>
      </c>
      <c r="D6713" s="12" t="str">
        <f ca="1">IFERROR(__xludf.DUMMYFUNCTION("""COMPUTED_VALUE"""),"稲場 勇介")</f>
        <v>稲場 勇介</v>
      </c>
    </row>
    <row r="6714" spans="2:4" ht="13">
      <c r="B6714" s="12">
        <f ca="1">IFERROR(__xludf.DUMMYFUNCTION("""COMPUTED_VALUE"""),135893)</f>
        <v>135893</v>
      </c>
      <c r="C6714" s="14">
        <f ca="1">IFERROR(__xludf.DUMMYFUNCTION("""COMPUTED_VALUE"""),0)</f>
        <v>0</v>
      </c>
      <c r="D6714" s="12" t="str">
        <f ca="1">IFERROR(__xludf.DUMMYFUNCTION("""COMPUTED_VALUE"""),"長谷川 陸朗")</f>
        <v>長谷川 陸朗</v>
      </c>
    </row>
    <row r="6715" spans="2:4" ht="13">
      <c r="B6715" s="12">
        <f ca="1">IFERROR(__xludf.DUMMYFUNCTION("""COMPUTED_VALUE"""),135896)</f>
        <v>135896</v>
      </c>
      <c r="C6715" s="14">
        <f ca="1">IFERROR(__xludf.DUMMYFUNCTION("""COMPUTED_VALUE"""),4)</f>
        <v>4</v>
      </c>
      <c r="D6715" s="12" t="str">
        <f ca="1">IFERROR(__xludf.DUMMYFUNCTION("""COMPUTED_VALUE"""),"小川 純")</f>
        <v>小川 純</v>
      </c>
    </row>
    <row r="6716" spans="2:4" ht="13">
      <c r="B6716" s="12">
        <f ca="1">IFERROR(__xludf.DUMMYFUNCTION("""COMPUTED_VALUE"""),135897)</f>
        <v>135897</v>
      </c>
      <c r="C6716" s="14">
        <f ca="1">IFERROR(__xludf.DUMMYFUNCTION("""COMPUTED_VALUE"""),0)</f>
        <v>0</v>
      </c>
      <c r="D6716" s="12" t="str">
        <f ca="1">IFERROR(__xludf.DUMMYFUNCTION("""COMPUTED_VALUE"""),"芳賀 亮輔")</f>
        <v>芳賀 亮輔</v>
      </c>
    </row>
    <row r="6717" spans="2:4" ht="13">
      <c r="B6717" s="12">
        <f ca="1">IFERROR(__xludf.DUMMYFUNCTION("""COMPUTED_VALUE"""),135911)</f>
        <v>135911</v>
      </c>
      <c r="C6717" s="14">
        <f ca="1">IFERROR(__xludf.DUMMYFUNCTION("""COMPUTED_VALUE"""),2)</f>
        <v>2</v>
      </c>
      <c r="D6717" s="12" t="str">
        <f ca="1">IFERROR(__xludf.DUMMYFUNCTION("""COMPUTED_VALUE"""),"森 光智")</f>
        <v>森 光智</v>
      </c>
    </row>
    <row r="6718" spans="2:4" ht="13">
      <c r="B6718" s="12">
        <f ca="1">IFERROR(__xludf.DUMMYFUNCTION("""COMPUTED_VALUE"""),135913)</f>
        <v>135913</v>
      </c>
      <c r="C6718" s="14">
        <f ca="1">IFERROR(__xludf.DUMMYFUNCTION("""COMPUTED_VALUE"""),1)</f>
        <v>1</v>
      </c>
      <c r="D6718" s="12" t="str">
        <f ca="1">IFERROR(__xludf.DUMMYFUNCTION("""COMPUTED_VALUE"""),"菅野 ぎんが")</f>
        <v>菅野 ぎんが</v>
      </c>
    </row>
    <row r="6719" spans="2:4" ht="13">
      <c r="B6719" s="12">
        <f ca="1">IFERROR(__xludf.DUMMYFUNCTION("""COMPUTED_VALUE"""),135926)</f>
        <v>135926</v>
      </c>
      <c r="C6719" s="14">
        <f ca="1">IFERROR(__xludf.DUMMYFUNCTION("""COMPUTED_VALUE"""),7)</f>
        <v>7</v>
      </c>
      <c r="D6719" s="12" t="str">
        <f ca="1">IFERROR(__xludf.DUMMYFUNCTION("""COMPUTED_VALUE"""),"成嶋 夏未")</f>
        <v>成嶋 夏未</v>
      </c>
    </row>
    <row r="6720" spans="2:4" ht="13">
      <c r="B6720" s="12">
        <f ca="1">IFERROR(__xludf.DUMMYFUNCTION("""COMPUTED_VALUE"""),135932)</f>
        <v>135932</v>
      </c>
      <c r="C6720" s="14">
        <f ca="1">IFERROR(__xludf.DUMMYFUNCTION("""COMPUTED_VALUE"""),0)</f>
        <v>0</v>
      </c>
      <c r="D6720" s="12" t="str">
        <f ca="1">IFERROR(__xludf.DUMMYFUNCTION("""COMPUTED_VALUE"""),"桑原 明子")</f>
        <v>桑原 明子</v>
      </c>
    </row>
    <row r="6721" spans="2:4" ht="13">
      <c r="B6721" s="12">
        <f ca="1">IFERROR(__xludf.DUMMYFUNCTION("""COMPUTED_VALUE"""),135937)</f>
        <v>135937</v>
      </c>
      <c r="C6721" s="14">
        <f ca="1">IFERROR(__xludf.DUMMYFUNCTION("""COMPUTED_VALUE"""),0)</f>
        <v>0</v>
      </c>
      <c r="D6721" s="12" t="str">
        <f ca="1">IFERROR(__xludf.DUMMYFUNCTION("""COMPUTED_VALUE"""),"村上 浩一朗")</f>
        <v>村上 浩一朗</v>
      </c>
    </row>
    <row r="6722" spans="2:4" ht="13">
      <c r="B6722" s="12">
        <f ca="1">IFERROR(__xludf.DUMMYFUNCTION("""COMPUTED_VALUE"""),135940)</f>
        <v>135940</v>
      </c>
      <c r="C6722" s="14">
        <f ca="1">IFERROR(__xludf.DUMMYFUNCTION("""COMPUTED_VALUE"""),0)</f>
        <v>0</v>
      </c>
      <c r="D6722" s="12" t="str">
        <f ca="1">IFERROR(__xludf.DUMMYFUNCTION("""COMPUTED_VALUE"""),"荻曽 克輝")</f>
        <v>荻曽 克輝</v>
      </c>
    </row>
    <row r="6723" spans="2:4" ht="13">
      <c r="B6723" s="12">
        <f ca="1">IFERROR(__xludf.DUMMYFUNCTION("""COMPUTED_VALUE"""),135944)</f>
        <v>135944</v>
      </c>
      <c r="C6723" s="14">
        <f ca="1">IFERROR(__xludf.DUMMYFUNCTION("""COMPUTED_VALUE"""),0)</f>
        <v>0</v>
      </c>
      <c r="D6723" s="12" t="str">
        <f ca="1">IFERROR(__xludf.DUMMYFUNCTION("""COMPUTED_VALUE"""),"小川 純")</f>
        <v>小川 純</v>
      </c>
    </row>
    <row r="6724" spans="2:4" ht="13">
      <c r="B6724" s="12">
        <f ca="1">IFERROR(__xludf.DUMMYFUNCTION("""COMPUTED_VALUE"""),135948)</f>
        <v>135948</v>
      </c>
      <c r="C6724" s="14">
        <f ca="1">IFERROR(__xludf.DUMMYFUNCTION("""COMPUTED_VALUE"""),0)</f>
        <v>0</v>
      </c>
      <c r="D6724" s="12" t="str">
        <f ca="1">IFERROR(__xludf.DUMMYFUNCTION("""COMPUTED_VALUE"""),"村上 浩一朗")</f>
        <v>村上 浩一朗</v>
      </c>
    </row>
    <row r="6725" spans="2:4" ht="13">
      <c r="B6725" s="12">
        <f ca="1">IFERROR(__xludf.DUMMYFUNCTION("""COMPUTED_VALUE"""),135949)</f>
        <v>135949</v>
      </c>
      <c r="C6725" s="14">
        <f ca="1">IFERROR(__xludf.DUMMYFUNCTION("""COMPUTED_VALUE"""),0)</f>
        <v>0</v>
      </c>
      <c r="D6725" s="12" t="str">
        <f ca="1">IFERROR(__xludf.DUMMYFUNCTION("""COMPUTED_VALUE"""),"辻村 将大")</f>
        <v>辻村 将大</v>
      </c>
    </row>
    <row r="6726" spans="2:4" ht="13">
      <c r="B6726" s="12">
        <f ca="1">IFERROR(__xludf.DUMMYFUNCTION("""COMPUTED_VALUE"""),135952)</f>
        <v>135952</v>
      </c>
      <c r="C6726" s="14">
        <f ca="1">IFERROR(__xludf.DUMMYFUNCTION("""COMPUTED_VALUE"""),0)</f>
        <v>0</v>
      </c>
      <c r="D6726" s="12" t="str">
        <f ca="1">IFERROR(__xludf.DUMMYFUNCTION("""COMPUTED_VALUE"""),"稲場 勇介")</f>
        <v>稲場 勇介</v>
      </c>
    </row>
    <row r="6727" spans="2:4" ht="13">
      <c r="B6727" s="12">
        <f ca="1">IFERROR(__xludf.DUMMYFUNCTION("""COMPUTED_VALUE"""),135954)</f>
        <v>135954</v>
      </c>
      <c r="C6727" s="14">
        <f ca="1">IFERROR(__xludf.DUMMYFUNCTION("""COMPUTED_VALUE"""),0)</f>
        <v>0</v>
      </c>
      <c r="D6727" s="12" t="str">
        <f ca="1">IFERROR(__xludf.DUMMYFUNCTION("""COMPUTED_VALUE"""),"小関 麻起")</f>
        <v>小関 麻起</v>
      </c>
    </row>
    <row r="6728" spans="2:4" ht="13">
      <c r="B6728" s="12">
        <f ca="1">IFERROR(__xludf.DUMMYFUNCTION("""COMPUTED_VALUE"""),135958)</f>
        <v>135958</v>
      </c>
      <c r="C6728" s="14">
        <f ca="1">IFERROR(__xludf.DUMMYFUNCTION("""COMPUTED_VALUE"""),0)</f>
        <v>0</v>
      </c>
      <c r="D6728" s="12" t="str">
        <f ca="1">IFERROR(__xludf.DUMMYFUNCTION("""COMPUTED_VALUE"""),"菅野 ぎんが")</f>
        <v>菅野 ぎんが</v>
      </c>
    </row>
    <row r="6729" spans="2:4" ht="13">
      <c r="B6729" s="12">
        <f ca="1">IFERROR(__xludf.DUMMYFUNCTION("""COMPUTED_VALUE"""),135964)</f>
        <v>135964</v>
      </c>
      <c r="C6729" s="14">
        <f ca="1">IFERROR(__xludf.DUMMYFUNCTION("""COMPUTED_VALUE"""),5)</f>
        <v>5</v>
      </c>
      <c r="D6729" s="12" t="str">
        <f ca="1">IFERROR(__xludf.DUMMYFUNCTION("""COMPUTED_VALUE"""),"堀越 駿")</f>
        <v>堀越 駿</v>
      </c>
    </row>
    <row r="6730" spans="2:4" ht="13">
      <c r="B6730" s="12">
        <f ca="1">IFERROR(__xludf.DUMMYFUNCTION("""COMPUTED_VALUE"""),135965)</f>
        <v>135965</v>
      </c>
      <c r="C6730" s="14">
        <f ca="1">IFERROR(__xludf.DUMMYFUNCTION("""COMPUTED_VALUE"""),0)</f>
        <v>0</v>
      </c>
      <c r="D6730" s="12" t="str">
        <f ca="1">IFERROR(__xludf.DUMMYFUNCTION("""COMPUTED_VALUE"""),"奥野 貴大")</f>
        <v>奥野 貴大</v>
      </c>
    </row>
    <row r="6731" spans="2:4" ht="13">
      <c r="B6731" s="12">
        <f ca="1">IFERROR(__xludf.DUMMYFUNCTION("""COMPUTED_VALUE"""),135972)</f>
        <v>135972</v>
      </c>
      <c r="C6731" s="14">
        <f ca="1">IFERROR(__xludf.DUMMYFUNCTION("""COMPUTED_VALUE"""),0)</f>
        <v>0</v>
      </c>
      <c r="D6731" s="12" t="str">
        <f ca="1">IFERROR(__xludf.DUMMYFUNCTION("""COMPUTED_VALUE"""),"栗原 大武")</f>
        <v>栗原 大武</v>
      </c>
    </row>
    <row r="6732" spans="2:4" ht="13">
      <c r="B6732" s="12">
        <f ca="1">IFERROR(__xludf.DUMMYFUNCTION("""COMPUTED_VALUE"""),135973)</f>
        <v>135973</v>
      </c>
      <c r="C6732" s="14">
        <f ca="1">IFERROR(__xludf.DUMMYFUNCTION("""COMPUTED_VALUE"""),0)</f>
        <v>0</v>
      </c>
      <c r="D6732" s="12" t="str">
        <f ca="1">IFERROR(__xludf.DUMMYFUNCTION("""COMPUTED_VALUE"""),"荻曽 克輝")</f>
        <v>荻曽 克輝</v>
      </c>
    </row>
    <row r="6733" spans="2:4" ht="13">
      <c r="B6733" s="12">
        <f ca="1">IFERROR(__xludf.DUMMYFUNCTION("""COMPUTED_VALUE"""),135975)</f>
        <v>135975</v>
      </c>
      <c r="C6733" s="14">
        <f ca="1">IFERROR(__xludf.DUMMYFUNCTION("""COMPUTED_VALUE"""),0)</f>
        <v>0</v>
      </c>
      <c r="D6733" s="12" t="str">
        <f ca="1">IFERROR(__xludf.DUMMYFUNCTION("""COMPUTED_VALUE"""),"川島 幹也")</f>
        <v>川島 幹也</v>
      </c>
    </row>
    <row r="6734" spans="2:4" ht="13">
      <c r="B6734" s="12">
        <f ca="1">IFERROR(__xludf.DUMMYFUNCTION("""COMPUTED_VALUE"""),136002)</f>
        <v>136002</v>
      </c>
      <c r="C6734" s="14">
        <f ca="1">IFERROR(__xludf.DUMMYFUNCTION("""COMPUTED_VALUE"""),1)</f>
        <v>1</v>
      </c>
      <c r="D6734" s="12" t="str">
        <f ca="1">IFERROR(__xludf.DUMMYFUNCTION("""COMPUTED_VALUE"""),"菅野 ぎんが")</f>
        <v>菅野 ぎんが</v>
      </c>
    </row>
    <row r="6735" spans="2:4" ht="13">
      <c r="B6735" s="12">
        <f ca="1">IFERROR(__xludf.DUMMYFUNCTION("""COMPUTED_VALUE"""),136006)</f>
        <v>136006</v>
      </c>
      <c r="C6735" s="14">
        <f ca="1">IFERROR(__xludf.DUMMYFUNCTION("""COMPUTED_VALUE"""),0)</f>
        <v>0</v>
      </c>
      <c r="D6735" s="12" t="str">
        <f ca="1">IFERROR(__xludf.DUMMYFUNCTION("""COMPUTED_VALUE"""),"松尾 尚樹")</f>
        <v>松尾 尚樹</v>
      </c>
    </row>
    <row r="6736" spans="2:4" ht="13">
      <c r="B6736" s="12">
        <f ca="1">IFERROR(__xludf.DUMMYFUNCTION("""COMPUTED_VALUE"""),136009)</f>
        <v>136009</v>
      </c>
      <c r="C6736" s="14">
        <f ca="1">IFERROR(__xludf.DUMMYFUNCTION("""COMPUTED_VALUE"""),0)</f>
        <v>0</v>
      </c>
      <c r="D6736" s="12" t="str">
        <f ca="1">IFERROR(__xludf.DUMMYFUNCTION("""COMPUTED_VALUE"""),"桑原 明子")</f>
        <v>桑原 明子</v>
      </c>
    </row>
    <row r="6737" spans="2:4" ht="13">
      <c r="B6737" s="12">
        <f ca="1">IFERROR(__xludf.DUMMYFUNCTION("""COMPUTED_VALUE"""),136014)</f>
        <v>136014</v>
      </c>
      <c r="C6737" s="14">
        <f ca="1">IFERROR(__xludf.DUMMYFUNCTION("""COMPUTED_VALUE"""),0)</f>
        <v>0</v>
      </c>
      <c r="D6737" s="12" t="str">
        <f ca="1">IFERROR(__xludf.DUMMYFUNCTION("""COMPUTED_VALUE"""),"荻曽 克輝")</f>
        <v>荻曽 克輝</v>
      </c>
    </row>
    <row r="6738" spans="2:4" ht="13">
      <c r="B6738" s="12">
        <f ca="1">IFERROR(__xludf.DUMMYFUNCTION("""COMPUTED_VALUE"""),136020)</f>
        <v>136020</v>
      </c>
      <c r="C6738" s="14">
        <f ca="1">IFERROR(__xludf.DUMMYFUNCTION("""COMPUTED_VALUE"""),0)</f>
        <v>0</v>
      </c>
      <c r="D6738" s="12" t="str">
        <f ca="1">IFERROR(__xludf.DUMMYFUNCTION("""COMPUTED_VALUE"""),"内丸 裕子")</f>
        <v>内丸 裕子</v>
      </c>
    </row>
    <row r="6739" spans="2:4" ht="13">
      <c r="B6739" s="12">
        <f ca="1">IFERROR(__xludf.DUMMYFUNCTION("""COMPUTED_VALUE"""),136022)</f>
        <v>136022</v>
      </c>
      <c r="C6739" s="14">
        <f ca="1">IFERROR(__xludf.DUMMYFUNCTION("""COMPUTED_VALUE"""),0)</f>
        <v>0</v>
      </c>
      <c r="D6739" s="12" t="str">
        <f ca="1">IFERROR(__xludf.DUMMYFUNCTION("""COMPUTED_VALUE"""),"堀越 駿")</f>
        <v>堀越 駿</v>
      </c>
    </row>
    <row r="6740" spans="2:4" ht="13">
      <c r="B6740" s="12">
        <f ca="1">IFERROR(__xludf.DUMMYFUNCTION("""COMPUTED_VALUE"""),136032)</f>
        <v>136032</v>
      </c>
      <c r="C6740" s="14">
        <f ca="1">IFERROR(__xludf.DUMMYFUNCTION("""COMPUTED_VALUE"""),0)</f>
        <v>0</v>
      </c>
      <c r="D6740" s="12" t="str">
        <f ca="1">IFERROR(__xludf.DUMMYFUNCTION("""COMPUTED_VALUE"""),"松尾 尚樹")</f>
        <v>松尾 尚樹</v>
      </c>
    </row>
    <row r="6741" spans="2:4" ht="13">
      <c r="B6741" s="12">
        <f ca="1">IFERROR(__xludf.DUMMYFUNCTION("""COMPUTED_VALUE"""),136035)</f>
        <v>136035</v>
      </c>
      <c r="C6741" s="14">
        <f ca="1">IFERROR(__xludf.DUMMYFUNCTION("""COMPUTED_VALUE"""),0)</f>
        <v>0</v>
      </c>
      <c r="D6741" s="12" t="str">
        <f ca="1">IFERROR(__xludf.DUMMYFUNCTION("""COMPUTED_VALUE"""),"成嶋 夏未")</f>
        <v>成嶋 夏未</v>
      </c>
    </row>
    <row r="6742" spans="2:4" ht="13">
      <c r="B6742" s="12">
        <f ca="1">IFERROR(__xludf.DUMMYFUNCTION("""COMPUTED_VALUE"""),136040)</f>
        <v>136040</v>
      </c>
      <c r="C6742" s="14">
        <f ca="1">IFERROR(__xludf.DUMMYFUNCTION("""COMPUTED_VALUE"""),0)</f>
        <v>0</v>
      </c>
      <c r="D6742" s="12" t="str">
        <f ca="1">IFERROR(__xludf.DUMMYFUNCTION("""COMPUTED_VALUE"""),"長谷川 陸朗")</f>
        <v>長谷川 陸朗</v>
      </c>
    </row>
    <row r="6743" spans="2:4" ht="13">
      <c r="B6743" s="12">
        <f ca="1">IFERROR(__xludf.DUMMYFUNCTION("""COMPUTED_VALUE"""),136043)</f>
        <v>136043</v>
      </c>
      <c r="C6743" s="14">
        <f ca="1">IFERROR(__xludf.DUMMYFUNCTION("""COMPUTED_VALUE"""),12)</f>
        <v>12</v>
      </c>
      <c r="D6743" s="12" t="str">
        <f ca="1">IFERROR(__xludf.DUMMYFUNCTION("""COMPUTED_VALUE"""),"小関 麻起")</f>
        <v>小関 麻起</v>
      </c>
    </row>
    <row r="6744" spans="2:4" ht="13">
      <c r="B6744" s="12">
        <f ca="1">IFERROR(__xludf.DUMMYFUNCTION("""COMPUTED_VALUE"""),136045)</f>
        <v>136045</v>
      </c>
      <c r="C6744" s="14">
        <f ca="1">IFERROR(__xludf.DUMMYFUNCTION("""COMPUTED_VALUE"""),0)</f>
        <v>0</v>
      </c>
      <c r="D6744" s="12" t="str">
        <f ca="1">IFERROR(__xludf.DUMMYFUNCTION("""COMPUTED_VALUE"""),"小関 麻起")</f>
        <v>小関 麻起</v>
      </c>
    </row>
    <row r="6745" spans="2:4" ht="13">
      <c r="B6745" s="12">
        <f ca="1">IFERROR(__xludf.DUMMYFUNCTION("""COMPUTED_VALUE"""),136046)</f>
        <v>136046</v>
      </c>
      <c r="C6745" s="14">
        <f ca="1">IFERROR(__xludf.DUMMYFUNCTION("""COMPUTED_VALUE"""),0)</f>
        <v>0</v>
      </c>
      <c r="D6745" s="12" t="str">
        <f ca="1">IFERROR(__xludf.DUMMYFUNCTION("""COMPUTED_VALUE"""),"稲場 勇介")</f>
        <v>稲場 勇介</v>
      </c>
    </row>
    <row r="6746" spans="2:4" ht="13">
      <c r="B6746" s="12">
        <f ca="1">IFERROR(__xludf.DUMMYFUNCTION("""COMPUTED_VALUE"""),136047)</f>
        <v>136047</v>
      </c>
      <c r="C6746" s="14">
        <f ca="1">IFERROR(__xludf.DUMMYFUNCTION("""COMPUTED_VALUE"""),0)</f>
        <v>0</v>
      </c>
      <c r="D6746" s="12" t="str">
        <f ca="1">IFERROR(__xludf.DUMMYFUNCTION("""COMPUTED_VALUE"""),"成嶋 夏未")</f>
        <v>成嶋 夏未</v>
      </c>
    </row>
    <row r="6747" spans="2:4" ht="13">
      <c r="B6747" s="12">
        <f ca="1">IFERROR(__xludf.DUMMYFUNCTION("""COMPUTED_VALUE"""),136049)</f>
        <v>136049</v>
      </c>
      <c r="C6747" s="14">
        <f ca="1">IFERROR(__xludf.DUMMYFUNCTION("""COMPUTED_VALUE"""),0)</f>
        <v>0</v>
      </c>
      <c r="D6747" s="12" t="str">
        <f ca="1">IFERROR(__xludf.DUMMYFUNCTION("""COMPUTED_VALUE"""),"村上 浩一朗")</f>
        <v>村上 浩一朗</v>
      </c>
    </row>
    <row r="6748" spans="2:4" ht="13">
      <c r="B6748" s="12">
        <f ca="1">IFERROR(__xludf.DUMMYFUNCTION("""COMPUTED_VALUE"""),136058)</f>
        <v>136058</v>
      </c>
      <c r="C6748" s="14">
        <f ca="1">IFERROR(__xludf.DUMMYFUNCTION("""COMPUTED_VALUE"""),1)</f>
        <v>1</v>
      </c>
      <c r="D6748" s="12" t="str">
        <f ca="1">IFERROR(__xludf.DUMMYFUNCTION("""COMPUTED_VALUE"""),"老田 純輝")</f>
        <v>老田 純輝</v>
      </c>
    </row>
    <row r="6749" spans="2:4" ht="13">
      <c r="B6749" s="12">
        <f ca="1">IFERROR(__xludf.DUMMYFUNCTION("""COMPUTED_VALUE"""),136073)</f>
        <v>136073</v>
      </c>
      <c r="C6749" s="14">
        <f ca="1">IFERROR(__xludf.DUMMYFUNCTION("""COMPUTED_VALUE"""),0)</f>
        <v>0</v>
      </c>
      <c r="D6749" s="12" t="str">
        <f ca="1">IFERROR(__xludf.DUMMYFUNCTION("""COMPUTED_VALUE"""),"堀越 駿")</f>
        <v>堀越 駿</v>
      </c>
    </row>
    <row r="6750" spans="2:4" ht="13">
      <c r="B6750" s="12">
        <f ca="1">IFERROR(__xludf.DUMMYFUNCTION("""COMPUTED_VALUE"""),136077)</f>
        <v>136077</v>
      </c>
      <c r="C6750" s="14">
        <f ca="1">IFERROR(__xludf.DUMMYFUNCTION("""COMPUTED_VALUE"""),11)</f>
        <v>11</v>
      </c>
      <c r="D6750" s="12" t="str">
        <f ca="1">IFERROR(__xludf.DUMMYFUNCTION("""COMPUTED_VALUE"""),"桐山 勝気")</f>
        <v>桐山 勝気</v>
      </c>
    </row>
    <row r="6751" spans="2:4" ht="13">
      <c r="B6751" s="12">
        <f ca="1">IFERROR(__xludf.DUMMYFUNCTION("""COMPUTED_VALUE"""),136078)</f>
        <v>136078</v>
      </c>
      <c r="C6751" s="14">
        <f ca="1">IFERROR(__xludf.DUMMYFUNCTION("""COMPUTED_VALUE"""),21)</f>
        <v>21</v>
      </c>
      <c r="D6751" s="12" t="str">
        <f ca="1">IFERROR(__xludf.DUMMYFUNCTION("""COMPUTED_VALUE"""),"桐山 勝気")</f>
        <v>桐山 勝気</v>
      </c>
    </row>
    <row r="6752" spans="2:4" ht="13">
      <c r="B6752" s="12">
        <f ca="1">IFERROR(__xludf.DUMMYFUNCTION("""COMPUTED_VALUE"""),136079)</f>
        <v>136079</v>
      </c>
      <c r="C6752" s="14">
        <f ca="1">IFERROR(__xludf.DUMMYFUNCTION("""COMPUTED_VALUE"""),10)</f>
        <v>10</v>
      </c>
      <c r="D6752" s="12" t="str">
        <f ca="1">IFERROR(__xludf.DUMMYFUNCTION("""COMPUTED_VALUE"""),"松尾 尚樹")</f>
        <v>松尾 尚樹</v>
      </c>
    </row>
    <row r="6753" spans="2:4" ht="13">
      <c r="B6753" s="12">
        <f ca="1">IFERROR(__xludf.DUMMYFUNCTION("""COMPUTED_VALUE"""),136087)</f>
        <v>136087</v>
      </c>
      <c r="C6753" s="14">
        <f ca="1">IFERROR(__xludf.DUMMYFUNCTION("""COMPUTED_VALUE"""),0)</f>
        <v>0</v>
      </c>
      <c r="D6753" s="12" t="str">
        <f ca="1">IFERROR(__xludf.DUMMYFUNCTION("""COMPUTED_VALUE"""),"小関 麻起")</f>
        <v>小関 麻起</v>
      </c>
    </row>
    <row r="6754" spans="2:4" ht="13">
      <c r="B6754" s="12">
        <f ca="1">IFERROR(__xludf.DUMMYFUNCTION("""COMPUTED_VALUE"""),136092)</f>
        <v>136092</v>
      </c>
      <c r="C6754" s="14">
        <f ca="1">IFERROR(__xludf.DUMMYFUNCTION("""COMPUTED_VALUE"""),10)</f>
        <v>10</v>
      </c>
      <c r="D6754" s="12" t="str">
        <f ca="1">IFERROR(__xludf.DUMMYFUNCTION("""COMPUTED_VALUE"""),"松尾 尚樹")</f>
        <v>松尾 尚樹</v>
      </c>
    </row>
    <row r="6755" spans="2:4" ht="13">
      <c r="B6755" s="12">
        <f ca="1">IFERROR(__xludf.DUMMYFUNCTION("""COMPUTED_VALUE"""),136110)</f>
        <v>136110</v>
      </c>
      <c r="C6755" s="14">
        <f ca="1">IFERROR(__xludf.DUMMYFUNCTION("""COMPUTED_VALUE"""),42)</f>
        <v>42</v>
      </c>
      <c r="D6755" s="12" t="str">
        <f ca="1">IFERROR(__xludf.DUMMYFUNCTION("""COMPUTED_VALUE"""),"村上 浩一朗")</f>
        <v>村上 浩一朗</v>
      </c>
    </row>
    <row r="6756" spans="2:4" ht="13">
      <c r="B6756" s="12">
        <f ca="1">IFERROR(__xludf.DUMMYFUNCTION("""COMPUTED_VALUE"""),136111)</f>
        <v>136111</v>
      </c>
      <c r="C6756" s="14">
        <f ca="1">IFERROR(__xludf.DUMMYFUNCTION("""COMPUTED_VALUE"""),25)</f>
        <v>25</v>
      </c>
      <c r="D6756" s="12" t="str">
        <f ca="1">IFERROR(__xludf.DUMMYFUNCTION("""COMPUTED_VALUE"""),"内丸 裕子")</f>
        <v>内丸 裕子</v>
      </c>
    </row>
    <row r="6757" spans="2:4" ht="13">
      <c r="B6757" s="12">
        <f ca="1">IFERROR(__xludf.DUMMYFUNCTION("""COMPUTED_VALUE"""),136116)</f>
        <v>136116</v>
      </c>
      <c r="C6757" s="14">
        <f ca="1">IFERROR(__xludf.DUMMYFUNCTION("""COMPUTED_VALUE"""),0)</f>
        <v>0</v>
      </c>
      <c r="D6757" s="12" t="str">
        <f ca="1">IFERROR(__xludf.DUMMYFUNCTION("""COMPUTED_VALUE"""),"芳賀 亮輔")</f>
        <v>芳賀 亮輔</v>
      </c>
    </row>
    <row r="6758" spans="2:4" ht="13">
      <c r="B6758" s="12">
        <f ca="1">IFERROR(__xludf.DUMMYFUNCTION("""COMPUTED_VALUE"""),136117)</f>
        <v>136117</v>
      </c>
      <c r="C6758" s="14">
        <f ca="1">IFERROR(__xludf.DUMMYFUNCTION("""COMPUTED_VALUE"""),92)</f>
        <v>92</v>
      </c>
      <c r="D6758" s="12" t="str">
        <f ca="1">IFERROR(__xludf.DUMMYFUNCTION("""COMPUTED_VALUE"""),"荻曽 克輝")</f>
        <v>荻曽 克輝</v>
      </c>
    </row>
    <row r="6759" spans="2:4" ht="13">
      <c r="B6759" s="12">
        <f ca="1">IFERROR(__xludf.DUMMYFUNCTION("""COMPUTED_VALUE"""),136122)</f>
        <v>136122</v>
      </c>
      <c r="C6759" s="14">
        <f ca="1">IFERROR(__xludf.DUMMYFUNCTION("""COMPUTED_VALUE"""),0)</f>
        <v>0</v>
      </c>
      <c r="D6759" s="12" t="str">
        <f ca="1">IFERROR(__xludf.DUMMYFUNCTION("""COMPUTED_VALUE"""),"長谷川 陸朗")</f>
        <v>長谷川 陸朗</v>
      </c>
    </row>
    <row r="6760" spans="2:4" ht="13">
      <c r="B6760" s="12">
        <f ca="1">IFERROR(__xludf.DUMMYFUNCTION("""COMPUTED_VALUE"""),136124)</f>
        <v>136124</v>
      </c>
      <c r="C6760" s="14">
        <f ca="1">IFERROR(__xludf.DUMMYFUNCTION("""COMPUTED_VALUE"""),16)</f>
        <v>16</v>
      </c>
      <c r="D6760" s="12" t="str">
        <f ca="1">IFERROR(__xludf.DUMMYFUNCTION("""COMPUTED_VALUE"""),"村上 浩一朗")</f>
        <v>村上 浩一朗</v>
      </c>
    </row>
    <row r="6761" spans="2:4" ht="13">
      <c r="B6761" s="12">
        <f ca="1">IFERROR(__xludf.DUMMYFUNCTION("""COMPUTED_VALUE"""),136125)</f>
        <v>136125</v>
      </c>
      <c r="C6761" s="14">
        <f ca="1">IFERROR(__xludf.DUMMYFUNCTION("""COMPUTED_VALUE"""),12)</f>
        <v>12</v>
      </c>
      <c r="D6761" s="12" t="str">
        <f ca="1">IFERROR(__xludf.DUMMYFUNCTION("""COMPUTED_VALUE"""),"村上 浩一朗")</f>
        <v>村上 浩一朗</v>
      </c>
    </row>
    <row r="6762" spans="2:4" ht="13">
      <c r="B6762" s="12">
        <f ca="1">IFERROR(__xludf.DUMMYFUNCTION("""COMPUTED_VALUE"""),136131)</f>
        <v>136131</v>
      </c>
      <c r="C6762" s="14">
        <f ca="1">IFERROR(__xludf.DUMMYFUNCTION("""COMPUTED_VALUE"""),0)</f>
        <v>0</v>
      </c>
      <c r="D6762" s="12" t="str">
        <f ca="1">IFERROR(__xludf.DUMMYFUNCTION("""COMPUTED_VALUE"""),"老田 純輝")</f>
        <v>老田 純輝</v>
      </c>
    </row>
    <row r="6763" spans="2:4" ht="13">
      <c r="B6763" s="12">
        <f ca="1">IFERROR(__xludf.DUMMYFUNCTION("""COMPUTED_VALUE"""),136138)</f>
        <v>136138</v>
      </c>
      <c r="C6763" s="14">
        <f ca="1">IFERROR(__xludf.DUMMYFUNCTION("""COMPUTED_VALUE"""),2)</f>
        <v>2</v>
      </c>
      <c r="D6763" s="12" t="str">
        <f ca="1">IFERROR(__xludf.DUMMYFUNCTION("""COMPUTED_VALUE"""),"桑原 明子")</f>
        <v>桑原 明子</v>
      </c>
    </row>
    <row r="6764" spans="2:4" ht="13">
      <c r="B6764" s="12">
        <f ca="1">IFERROR(__xludf.DUMMYFUNCTION("""COMPUTED_VALUE"""),136140)</f>
        <v>136140</v>
      </c>
      <c r="C6764" s="14">
        <f ca="1">IFERROR(__xludf.DUMMYFUNCTION("""COMPUTED_VALUE"""),0)</f>
        <v>0</v>
      </c>
      <c r="D6764" s="12" t="str">
        <f ca="1">IFERROR(__xludf.DUMMYFUNCTION("""COMPUTED_VALUE"""),"堀越 駿")</f>
        <v>堀越 駿</v>
      </c>
    </row>
    <row r="6765" spans="2:4" ht="13">
      <c r="B6765" s="12">
        <f ca="1">IFERROR(__xludf.DUMMYFUNCTION("""COMPUTED_VALUE"""),136156)</f>
        <v>136156</v>
      </c>
      <c r="C6765" s="14">
        <f ca="1">IFERROR(__xludf.DUMMYFUNCTION("""COMPUTED_VALUE"""),0)</f>
        <v>0</v>
      </c>
      <c r="D6765" s="12" t="str">
        <f ca="1">IFERROR(__xludf.DUMMYFUNCTION("""COMPUTED_VALUE"""),"栗原 大武")</f>
        <v>栗原 大武</v>
      </c>
    </row>
    <row r="6766" spans="2:4" ht="13">
      <c r="B6766" s="12">
        <f ca="1">IFERROR(__xludf.DUMMYFUNCTION("""COMPUTED_VALUE"""),136157)</f>
        <v>136157</v>
      </c>
      <c r="C6766" s="14">
        <f ca="1">IFERROR(__xludf.DUMMYFUNCTION("""COMPUTED_VALUE"""),0)</f>
        <v>0</v>
      </c>
      <c r="D6766" s="12" t="str">
        <f ca="1">IFERROR(__xludf.DUMMYFUNCTION("""COMPUTED_VALUE"""),"松尾 尚樹")</f>
        <v>松尾 尚樹</v>
      </c>
    </row>
    <row r="6767" spans="2:4" ht="13">
      <c r="B6767" s="12">
        <f ca="1">IFERROR(__xludf.DUMMYFUNCTION("""COMPUTED_VALUE"""),136162)</f>
        <v>136162</v>
      </c>
      <c r="C6767" s="14">
        <f ca="1">IFERROR(__xludf.DUMMYFUNCTION("""COMPUTED_VALUE"""),0)</f>
        <v>0</v>
      </c>
      <c r="D6767" s="12" t="str">
        <f ca="1">IFERROR(__xludf.DUMMYFUNCTION("""COMPUTED_VALUE"""),"小関 麻起")</f>
        <v>小関 麻起</v>
      </c>
    </row>
    <row r="6768" spans="2:4" ht="13">
      <c r="B6768" s="12">
        <f ca="1">IFERROR(__xludf.DUMMYFUNCTION("""COMPUTED_VALUE"""),136163)</f>
        <v>136163</v>
      </c>
      <c r="C6768" s="14">
        <f ca="1">IFERROR(__xludf.DUMMYFUNCTION("""COMPUTED_VALUE"""),0)</f>
        <v>0</v>
      </c>
      <c r="D6768" s="12" t="str">
        <f ca="1">IFERROR(__xludf.DUMMYFUNCTION("""COMPUTED_VALUE"""),"小関 麻起")</f>
        <v>小関 麻起</v>
      </c>
    </row>
    <row r="6769" spans="2:4" ht="13">
      <c r="B6769" s="12">
        <f ca="1">IFERROR(__xludf.DUMMYFUNCTION("""COMPUTED_VALUE"""),136164)</f>
        <v>136164</v>
      </c>
      <c r="C6769" s="14">
        <f ca="1">IFERROR(__xludf.DUMMYFUNCTION("""COMPUTED_VALUE"""),0)</f>
        <v>0</v>
      </c>
      <c r="D6769" s="12" t="str">
        <f ca="1">IFERROR(__xludf.DUMMYFUNCTION("""COMPUTED_VALUE"""),"小関 麻起")</f>
        <v>小関 麻起</v>
      </c>
    </row>
    <row r="6770" spans="2:4" ht="13">
      <c r="B6770" s="12">
        <f ca="1">IFERROR(__xludf.DUMMYFUNCTION("""COMPUTED_VALUE"""),136168)</f>
        <v>136168</v>
      </c>
      <c r="C6770" s="14">
        <f ca="1">IFERROR(__xludf.DUMMYFUNCTION("""COMPUTED_VALUE"""),8)</f>
        <v>8</v>
      </c>
      <c r="D6770" s="12" t="str">
        <f ca="1">IFERROR(__xludf.DUMMYFUNCTION("""COMPUTED_VALUE"""),"菅野 ぎんが")</f>
        <v>菅野 ぎんが</v>
      </c>
    </row>
    <row r="6771" spans="2:4" ht="13">
      <c r="B6771" s="12">
        <f ca="1">IFERROR(__xludf.DUMMYFUNCTION("""COMPUTED_VALUE"""),136177)</f>
        <v>136177</v>
      </c>
      <c r="C6771" s="14">
        <f ca="1">IFERROR(__xludf.DUMMYFUNCTION("""COMPUTED_VALUE"""),0)</f>
        <v>0</v>
      </c>
      <c r="D6771" s="12" t="str">
        <f ca="1">IFERROR(__xludf.DUMMYFUNCTION("""COMPUTED_VALUE"""),"菅野 ぎんが")</f>
        <v>菅野 ぎんが</v>
      </c>
    </row>
    <row r="6772" spans="2:4" ht="13">
      <c r="B6772" s="12">
        <f ca="1">IFERROR(__xludf.DUMMYFUNCTION("""COMPUTED_VALUE"""),136183)</f>
        <v>136183</v>
      </c>
      <c r="C6772" s="14">
        <f ca="1">IFERROR(__xludf.DUMMYFUNCTION("""COMPUTED_VALUE"""),0)</f>
        <v>0</v>
      </c>
      <c r="D6772" s="12" t="str">
        <f ca="1">IFERROR(__xludf.DUMMYFUNCTION("""COMPUTED_VALUE"""),"辻村 将大")</f>
        <v>辻村 将大</v>
      </c>
    </row>
    <row r="6773" spans="2:4" ht="13">
      <c r="B6773" s="12">
        <f ca="1">IFERROR(__xludf.DUMMYFUNCTION("""COMPUTED_VALUE"""),136184)</f>
        <v>136184</v>
      </c>
      <c r="C6773" s="14">
        <f ca="1">IFERROR(__xludf.DUMMYFUNCTION("""COMPUTED_VALUE"""),0)</f>
        <v>0</v>
      </c>
      <c r="D6773" s="12" t="str">
        <f ca="1">IFERROR(__xludf.DUMMYFUNCTION("""COMPUTED_VALUE"""),"老田 純輝")</f>
        <v>老田 純輝</v>
      </c>
    </row>
    <row r="6774" spans="2:4" ht="13">
      <c r="B6774" s="12">
        <f ca="1">IFERROR(__xludf.DUMMYFUNCTION("""COMPUTED_VALUE"""),136185)</f>
        <v>136185</v>
      </c>
      <c r="C6774" s="14">
        <f ca="1">IFERROR(__xludf.DUMMYFUNCTION("""COMPUTED_VALUE"""),0)</f>
        <v>0</v>
      </c>
      <c r="D6774" s="12" t="str">
        <f ca="1">IFERROR(__xludf.DUMMYFUNCTION("""COMPUTED_VALUE"""),"辻村 将大")</f>
        <v>辻村 将大</v>
      </c>
    </row>
    <row r="6775" spans="2:4" ht="13">
      <c r="B6775" s="12">
        <f ca="1">IFERROR(__xludf.DUMMYFUNCTION("""COMPUTED_VALUE"""),136188)</f>
        <v>136188</v>
      </c>
      <c r="C6775" s="14">
        <f ca="1">IFERROR(__xludf.DUMMYFUNCTION("""COMPUTED_VALUE"""),0)</f>
        <v>0</v>
      </c>
      <c r="D6775" s="12" t="str">
        <f ca="1">IFERROR(__xludf.DUMMYFUNCTION("""COMPUTED_VALUE"""),"小川 純")</f>
        <v>小川 純</v>
      </c>
    </row>
    <row r="6776" spans="2:4" ht="13">
      <c r="B6776" s="12">
        <f ca="1">IFERROR(__xludf.DUMMYFUNCTION("""COMPUTED_VALUE"""),136195)</f>
        <v>136195</v>
      </c>
      <c r="C6776" s="14">
        <f ca="1">IFERROR(__xludf.DUMMYFUNCTION("""COMPUTED_VALUE"""),62)</f>
        <v>62</v>
      </c>
      <c r="D6776" s="12" t="str">
        <f ca="1">IFERROR(__xludf.DUMMYFUNCTION("""COMPUTED_VALUE"""),"菅野 ぎんが")</f>
        <v>菅野 ぎんが</v>
      </c>
    </row>
    <row r="6777" spans="2:4" ht="13">
      <c r="B6777" s="12">
        <f ca="1">IFERROR(__xludf.DUMMYFUNCTION("""COMPUTED_VALUE"""),136197)</f>
        <v>136197</v>
      </c>
      <c r="C6777" s="14">
        <f ca="1">IFERROR(__xludf.DUMMYFUNCTION("""COMPUTED_VALUE"""),2)</f>
        <v>2</v>
      </c>
      <c r="D6777" s="12" t="str">
        <f ca="1">IFERROR(__xludf.DUMMYFUNCTION("""COMPUTED_VALUE"""),"芳賀 亮輔")</f>
        <v>芳賀 亮輔</v>
      </c>
    </row>
    <row r="6778" spans="2:4" ht="13">
      <c r="B6778" s="12">
        <f ca="1">IFERROR(__xludf.DUMMYFUNCTION("""COMPUTED_VALUE"""),136200)</f>
        <v>136200</v>
      </c>
      <c r="C6778" s="14">
        <f ca="1">IFERROR(__xludf.DUMMYFUNCTION("""COMPUTED_VALUE"""),12)</f>
        <v>12</v>
      </c>
      <c r="D6778" s="12" t="str">
        <f ca="1">IFERROR(__xludf.DUMMYFUNCTION("""COMPUTED_VALUE"""),"小川 純")</f>
        <v>小川 純</v>
      </c>
    </row>
    <row r="6779" spans="2:4" ht="13">
      <c r="B6779" s="12">
        <f ca="1">IFERROR(__xludf.DUMMYFUNCTION("""COMPUTED_VALUE"""),136207)</f>
        <v>136207</v>
      </c>
      <c r="C6779" s="14">
        <f ca="1">IFERROR(__xludf.DUMMYFUNCTION("""COMPUTED_VALUE"""),1)</f>
        <v>1</v>
      </c>
      <c r="D6779" s="12" t="str">
        <f ca="1">IFERROR(__xludf.DUMMYFUNCTION("""COMPUTED_VALUE"""),"内丸 裕子")</f>
        <v>内丸 裕子</v>
      </c>
    </row>
    <row r="6780" spans="2:4" ht="13">
      <c r="B6780" s="12">
        <f ca="1">IFERROR(__xludf.DUMMYFUNCTION("""COMPUTED_VALUE"""),136217)</f>
        <v>136217</v>
      </c>
      <c r="C6780" s="14">
        <f ca="1">IFERROR(__xludf.DUMMYFUNCTION("""COMPUTED_VALUE"""),0)</f>
        <v>0</v>
      </c>
      <c r="D6780" s="12" t="str">
        <f ca="1">IFERROR(__xludf.DUMMYFUNCTION("""COMPUTED_VALUE"""),"芳賀 亮輔")</f>
        <v>芳賀 亮輔</v>
      </c>
    </row>
    <row r="6781" spans="2:4" ht="13">
      <c r="B6781" s="12">
        <f ca="1">IFERROR(__xludf.DUMMYFUNCTION("""COMPUTED_VALUE"""),136218)</f>
        <v>136218</v>
      </c>
      <c r="C6781" s="14">
        <f ca="1">IFERROR(__xludf.DUMMYFUNCTION("""COMPUTED_VALUE"""),5)</f>
        <v>5</v>
      </c>
      <c r="D6781" s="12" t="str">
        <f ca="1">IFERROR(__xludf.DUMMYFUNCTION("""COMPUTED_VALUE"""),"稲場 勇介")</f>
        <v>稲場 勇介</v>
      </c>
    </row>
    <row r="6782" spans="2:4" ht="13">
      <c r="B6782" s="12">
        <f ca="1">IFERROR(__xludf.DUMMYFUNCTION("""COMPUTED_VALUE"""),136219)</f>
        <v>136219</v>
      </c>
      <c r="C6782" s="14">
        <f ca="1">IFERROR(__xludf.DUMMYFUNCTION("""COMPUTED_VALUE"""),11)</f>
        <v>11</v>
      </c>
      <c r="D6782" s="12" t="str">
        <f ca="1">IFERROR(__xludf.DUMMYFUNCTION("""COMPUTED_VALUE"""),"稲場 勇介")</f>
        <v>稲場 勇介</v>
      </c>
    </row>
    <row r="6783" spans="2:4" ht="13">
      <c r="B6783" s="12">
        <f ca="1">IFERROR(__xludf.DUMMYFUNCTION("""COMPUTED_VALUE"""),136220)</f>
        <v>136220</v>
      </c>
      <c r="C6783" s="14">
        <f ca="1">IFERROR(__xludf.DUMMYFUNCTION("""COMPUTED_VALUE"""),7)</f>
        <v>7</v>
      </c>
      <c r="D6783" s="12" t="str">
        <f ca="1">IFERROR(__xludf.DUMMYFUNCTION("""COMPUTED_VALUE"""),"稲場 勇介")</f>
        <v>稲場 勇介</v>
      </c>
    </row>
    <row r="6784" spans="2:4" ht="13">
      <c r="B6784" s="12">
        <f ca="1">IFERROR(__xludf.DUMMYFUNCTION("""COMPUTED_VALUE"""),136221)</f>
        <v>136221</v>
      </c>
      <c r="C6784" s="14">
        <f ca="1">IFERROR(__xludf.DUMMYFUNCTION("""COMPUTED_VALUE"""),10)</f>
        <v>10</v>
      </c>
      <c r="D6784" s="12" t="str">
        <f ca="1">IFERROR(__xludf.DUMMYFUNCTION("""COMPUTED_VALUE"""),"稲場 勇介")</f>
        <v>稲場 勇介</v>
      </c>
    </row>
    <row r="6785" spans="2:4" ht="13">
      <c r="B6785" s="12">
        <f ca="1">IFERROR(__xludf.DUMMYFUNCTION("""COMPUTED_VALUE"""),136222)</f>
        <v>136222</v>
      </c>
      <c r="C6785" s="14">
        <f ca="1">IFERROR(__xludf.DUMMYFUNCTION("""COMPUTED_VALUE"""),6)</f>
        <v>6</v>
      </c>
      <c r="D6785" s="12" t="str">
        <f ca="1">IFERROR(__xludf.DUMMYFUNCTION("""COMPUTED_VALUE"""),"稲場 勇介")</f>
        <v>稲場 勇介</v>
      </c>
    </row>
    <row r="6786" spans="2:4" ht="13">
      <c r="B6786" s="12">
        <f ca="1">IFERROR(__xludf.DUMMYFUNCTION("""COMPUTED_VALUE"""),136223)</f>
        <v>136223</v>
      </c>
      <c r="C6786" s="14">
        <f ca="1">IFERROR(__xludf.DUMMYFUNCTION("""COMPUTED_VALUE"""),2)</f>
        <v>2</v>
      </c>
      <c r="D6786" s="12" t="str">
        <f ca="1">IFERROR(__xludf.DUMMYFUNCTION("""COMPUTED_VALUE"""),"稲場 勇介")</f>
        <v>稲場 勇介</v>
      </c>
    </row>
    <row r="6787" spans="2:4" ht="13">
      <c r="B6787" s="12">
        <f ca="1">IFERROR(__xludf.DUMMYFUNCTION("""COMPUTED_VALUE"""),136224)</f>
        <v>136224</v>
      </c>
      <c r="C6787" s="14">
        <f ca="1">IFERROR(__xludf.DUMMYFUNCTION("""COMPUTED_VALUE"""),6)</f>
        <v>6</v>
      </c>
      <c r="D6787" s="12" t="str">
        <f ca="1">IFERROR(__xludf.DUMMYFUNCTION("""COMPUTED_VALUE"""),"稲場 勇介")</f>
        <v>稲場 勇介</v>
      </c>
    </row>
    <row r="6788" spans="2:4" ht="13">
      <c r="B6788" s="12">
        <f ca="1">IFERROR(__xludf.DUMMYFUNCTION("""COMPUTED_VALUE"""),136225)</f>
        <v>136225</v>
      </c>
      <c r="C6788" s="14">
        <f ca="1">IFERROR(__xludf.DUMMYFUNCTION("""COMPUTED_VALUE"""),14)</f>
        <v>14</v>
      </c>
      <c r="D6788" s="12" t="str">
        <f ca="1">IFERROR(__xludf.DUMMYFUNCTION("""COMPUTED_VALUE"""),"稲場 勇介")</f>
        <v>稲場 勇介</v>
      </c>
    </row>
    <row r="6789" spans="2:4" ht="13">
      <c r="B6789" s="12">
        <f ca="1">IFERROR(__xludf.DUMMYFUNCTION("""COMPUTED_VALUE"""),136228)</f>
        <v>136228</v>
      </c>
      <c r="C6789" s="14">
        <f ca="1">IFERROR(__xludf.DUMMYFUNCTION("""COMPUTED_VALUE"""),2)</f>
        <v>2</v>
      </c>
      <c r="D6789" s="12" t="str">
        <f ca="1">IFERROR(__xludf.DUMMYFUNCTION("""COMPUTED_VALUE"""),"小関 麻起")</f>
        <v>小関 麻起</v>
      </c>
    </row>
    <row r="6790" spans="2:4" ht="13">
      <c r="B6790" s="12">
        <f ca="1">IFERROR(__xludf.DUMMYFUNCTION("""COMPUTED_VALUE"""),136232)</f>
        <v>136232</v>
      </c>
      <c r="C6790" s="14">
        <f ca="1">IFERROR(__xludf.DUMMYFUNCTION("""COMPUTED_VALUE"""),1)</f>
        <v>1</v>
      </c>
      <c r="D6790" s="12" t="str">
        <f ca="1">IFERROR(__xludf.DUMMYFUNCTION("""COMPUTED_VALUE"""),"松尾 尚樹")</f>
        <v>松尾 尚樹</v>
      </c>
    </row>
    <row r="6791" spans="2:4" ht="13">
      <c r="B6791" s="12">
        <f ca="1">IFERROR(__xludf.DUMMYFUNCTION("""COMPUTED_VALUE"""),136233)</f>
        <v>136233</v>
      </c>
      <c r="C6791" s="14">
        <f ca="1">IFERROR(__xludf.DUMMYFUNCTION("""COMPUTED_VALUE"""),2)</f>
        <v>2</v>
      </c>
      <c r="D6791" s="12" t="str">
        <f ca="1">IFERROR(__xludf.DUMMYFUNCTION("""COMPUTED_VALUE"""),"成嶋 夏未")</f>
        <v>成嶋 夏未</v>
      </c>
    </row>
    <row r="6792" spans="2:4" ht="13">
      <c r="B6792" s="12">
        <f ca="1">IFERROR(__xludf.DUMMYFUNCTION("""COMPUTED_VALUE"""),136235)</f>
        <v>136235</v>
      </c>
      <c r="C6792" s="14">
        <f ca="1">IFERROR(__xludf.DUMMYFUNCTION("""COMPUTED_VALUE"""),1)</f>
        <v>1</v>
      </c>
      <c r="D6792" s="12" t="str">
        <f ca="1">IFERROR(__xludf.DUMMYFUNCTION("""COMPUTED_VALUE"""),"松尾 尚樹")</f>
        <v>松尾 尚樹</v>
      </c>
    </row>
    <row r="6793" spans="2:4" ht="13">
      <c r="B6793" s="12">
        <f ca="1">IFERROR(__xludf.DUMMYFUNCTION("""COMPUTED_VALUE"""),136236)</f>
        <v>136236</v>
      </c>
      <c r="C6793" s="14">
        <f ca="1">IFERROR(__xludf.DUMMYFUNCTION("""COMPUTED_VALUE"""),0)</f>
        <v>0</v>
      </c>
      <c r="D6793" s="12" t="str">
        <f ca="1">IFERROR(__xludf.DUMMYFUNCTION("""COMPUTED_VALUE"""),"稲場 勇介")</f>
        <v>稲場 勇介</v>
      </c>
    </row>
    <row r="6794" spans="2:4" ht="13">
      <c r="B6794" s="12">
        <f ca="1">IFERROR(__xludf.DUMMYFUNCTION("""COMPUTED_VALUE"""),136237)</f>
        <v>136237</v>
      </c>
      <c r="C6794" s="14">
        <f ca="1">IFERROR(__xludf.DUMMYFUNCTION("""COMPUTED_VALUE"""),0)</f>
        <v>0</v>
      </c>
      <c r="D6794" s="12" t="str">
        <f ca="1">IFERROR(__xludf.DUMMYFUNCTION("""COMPUTED_VALUE"""),"老田 純輝")</f>
        <v>老田 純輝</v>
      </c>
    </row>
    <row r="6795" spans="2:4" ht="13">
      <c r="B6795" s="12">
        <f ca="1">IFERROR(__xludf.DUMMYFUNCTION("""COMPUTED_VALUE"""),136241)</f>
        <v>136241</v>
      </c>
      <c r="C6795" s="14">
        <f ca="1">IFERROR(__xludf.DUMMYFUNCTION("""COMPUTED_VALUE"""),5)</f>
        <v>5</v>
      </c>
      <c r="D6795" s="12" t="str">
        <f ca="1">IFERROR(__xludf.DUMMYFUNCTION("""COMPUTED_VALUE"""),"柿崎 晃司")</f>
        <v>柿崎 晃司</v>
      </c>
    </row>
    <row r="6796" spans="2:4" ht="13">
      <c r="B6796" s="12">
        <f ca="1">IFERROR(__xludf.DUMMYFUNCTION("""COMPUTED_VALUE"""),136242)</f>
        <v>136242</v>
      </c>
      <c r="C6796" s="14">
        <f ca="1">IFERROR(__xludf.DUMMYFUNCTION("""COMPUTED_VALUE"""),0)</f>
        <v>0</v>
      </c>
      <c r="D6796" s="12" t="str">
        <f ca="1">IFERROR(__xludf.DUMMYFUNCTION("""COMPUTED_VALUE"""),"村上 浩一朗")</f>
        <v>村上 浩一朗</v>
      </c>
    </row>
    <row r="6797" spans="2:4" ht="13">
      <c r="B6797" s="12">
        <f ca="1">IFERROR(__xludf.DUMMYFUNCTION("""COMPUTED_VALUE"""),136247)</f>
        <v>136247</v>
      </c>
      <c r="C6797" s="14">
        <f ca="1">IFERROR(__xludf.DUMMYFUNCTION("""COMPUTED_VALUE"""),0)</f>
        <v>0</v>
      </c>
      <c r="D6797" s="12" t="str">
        <f ca="1">IFERROR(__xludf.DUMMYFUNCTION("""COMPUTED_VALUE"""),"辻村 将大")</f>
        <v>辻村 将大</v>
      </c>
    </row>
    <row r="6798" spans="2:4" ht="13">
      <c r="B6798" s="12">
        <f ca="1">IFERROR(__xludf.DUMMYFUNCTION("""COMPUTED_VALUE"""),136260)</f>
        <v>136260</v>
      </c>
      <c r="C6798" s="14">
        <f ca="1">IFERROR(__xludf.DUMMYFUNCTION("""COMPUTED_VALUE"""),0)</f>
        <v>0</v>
      </c>
      <c r="D6798" s="12" t="str">
        <f ca="1">IFERROR(__xludf.DUMMYFUNCTION("""COMPUTED_VALUE"""),"荻曽 克輝")</f>
        <v>荻曽 克輝</v>
      </c>
    </row>
    <row r="6799" spans="2:4" ht="13">
      <c r="B6799" s="12">
        <f ca="1">IFERROR(__xludf.DUMMYFUNCTION("""COMPUTED_VALUE"""),136262)</f>
        <v>136262</v>
      </c>
      <c r="C6799" s="14">
        <f ca="1">IFERROR(__xludf.DUMMYFUNCTION("""COMPUTED_VALUE"""),5)</f>
        <v>5</v>
      </c>
      <c r="D6799" s="12" t="str">
        <f ca="1">IFERROR(__xludf.DUMMYFUNCTION("""COMPUTED_VALUE"""),"桐山 勝気")</f>
        <v>桐山 勝気</v>
      </c>
    </row>
    <row r="6800" spans="2:4" ht="13">
      <c r="B6800" s="12">
        <f ca="1">IFERROR(__xludf.DUMMYFUNCTION("""COMPUTED_VALUE"""),136267)</f>
        <v>136267</v>
      </c>
      <c r="C6800" s="14">
        <f ca="1">IFERROR(__xludf.DUMMYFUNCTION("""COMPUTED_VALUE"""),0)</f>
        <v>0</v>
      </c>
      <c r="D6800" s="12" t="str">
        <f ca="1">IFERROR(__xludf.DUMMYFUNCTION("""COMPUTED_VALUE"""),"荻曽 克輝")</f>
        <v>荻曽 克輝</v>
      </c>
    </row>
    <row r="6801" spans="2:4" ht="13">
      <c r="B6801" s="12">
        <f ca="1">IFERROR(__xludf.DUMMYFUNCTION("""COMPUTED_VALUE"""),136281)</f>
        <v>136281</v>
      </c>
      <c r="C6801" s="14">
        <f ca="1">IFERROR(__xludf.DUMMYFUNCTION("""COMPUTED_VALUE"""),0)</f>
        <v>0</v>
      </c>
      <c r="D6801" s="12" t="str">
        <f ca="1">IFERROR(__xludf.DUMMYFUNCTION("""COMPUTED_VALUE"""),"奥野 貴大")</f>
        <v>奥野 貴大</v>
      </c>
    </row>
    <row r="6802" spans="2:4" ht="13">
      <c r="B6802" s="12">
        <f ca="1">IFERROR(__xludf.DUMMYFUNCTION("""COMPUTED_VALUE"""),136283)</f>
        <v>136283</v>
      </c>
      <c r="C6802" s="14">
        <f ca="1">IFERROR(__xludf.DUMMYFUNCTION("""COMPUTED_VALUE"""),0)</f>
        <v>0</v>
      </c>
      <c r="D6802" s="12" t="str">
        <f ca="1">IFERROR(__xludf.DUMMYFUNCTION("""COMPUTED_VALUE"""),"桑原 明子")</f>
        <v>桑原 明子</v>
      </c>
    </row>
    <row r="6803" spans="2:4" ht="13">
      <c r="B6803" s="12">
        <f ca="1">IFERROR(__xludf.DUMMYFUNCTION("""COMPUTED_VALUE"""),136286)</f>
        <v>136286</v>
      </c>
      <c r="C6803" s="14">
        <f ca="1">IFERROR(__xludf.DUMMYFUNCTION("""COMPUTED_VALUE"""),0)</f>
        <v>0</v>
      </c>
      <c r="D6803" s="12" t="str">
        <f ca="1">IFERROR(__xludf.DUMMYFUNCTION("""COMPUTED_VALUE"""),"稲場 勇介")</f>
        <v>稲場 勇介</v>
      </c>
    </row>
    <row r="6804" spans="2:4" ht="13">
      <c r="B6804" s="12">
        <f ca="1">IFERROR(__xludf.DUMMYFUNCTION("""COMPUTED_VALUE"""),136298)</f>
        <v>136298</v>
      </c>
      <c r="C6804" s="14">
        <f ca="1">IFERROR(__xludf.DUMMYFUNCTION("""COMPUTED_VALUE"""),2)</f>
        <v>2</v>
      </c>
      <c r="D6804" s="12" t="str">
        <f ca="1">IFERROR(__xludf.DUMMYFUNCTION("""COMPUTED_VALUE"""),"小川 純")</f>
        <v>小川 純</v>
      </c>
    </row>
    <row r="6805" spans="2:4" ht="13">
      <c r="B6805" s="12">
        <f ca="1">IFERROR(__xludf.DUMMYFUNCTION("""COMPUTED_VALUE"""),136299)</f>
        <v>136299</v>
      </c>
      <c r="C6805" s="14">
        <f ca="1">IFERROR(__xludf.DUMMYFUNCTION("""COMPUTED_VALUE"""),0)</f>
        <v>0</v>
      </c>
      <c r="D6805" s="12" t="str">
        <f ca="1">IFERROR(__xludf.DUMMYFUNCTION("""COMPUTED_VALUE"""),"成嶋 夏未")</f>
        <v>成嶋 夏未</v>
      </c>
    </row>
    <row r="6806" spans="2:4" ht="13">
      <c r="B6806" s="12">
        <f ca="1">IFERROR(__xludf.DUMMYFUNCTION("""COMPUTED_VALUE"""),136305)</f>
        <v>136305</v>
      </c>
      <c r="C6806" s="14">
        <f ca="1">IFERROR(__xludf.DUMMYFUNCTION("""COMPUTED_VALUE"""),7)</f>
        <v>7</v>
      </c>
      <c r="D6806" s="12" t="str">
        <f ca="1">IFERROR(__xludf.DUMMYFUNCTION("""COMPUTED_VALUE"""),"辻村 将大")</f>
        <v>辻村 将大</v>
      </c>
    </row>
    <row r="6807" spans="2:4" ht="13">
      <c r="B6807" s="12">
        <f ca="1">IFERROR(__xludf.DUMMYFUNCTION("""COMPUTED_VALUE"""),136307)</f>
        <v>136307</v>
      </c>
      <c r="C6807" s="14">
        <f ca="1">IFERROR(__xludf.DUMMYFUNCTION("""COMPUTED_VALUE"""),8)</f>
        <v>8</v>
      </c>
      <c r="D6807" s="12" t="str">
        <f ca="1">IFERROR(__xludf.DUMMYFUNCTION("""COMPUTED_VALUE"""),"村上 浩一朗")</f>
        <v>村上 浩一朗</v>
      </c>
    </row>
    <row r="6808" spans="2:4" ht="13">
      <c r="B6808" s="12">
        <f ca="1">IFERROR(__xludf.DUMMYFUNCTION("""COMPUTED_VALUE"""),136312)</f>
        <v>136312</v>
      </c>
      <c r="C6808" s="14">
        <f ca="1">IFERROR(__xludf.DUMMYFUNCTION("""COMPUTED_VALUE"""),0)</f>
        <v>0</v>
      </c>
      <c r="D6808" s="12" t="str">
        <f ca="1">IFERROR(__xludf.DUMMYFUNCTION("""COMPUTED_VALUE"""),"小関 麻起")</f>
        <v>小関 麻起</v>
      </c>
    </row>
    <row r="6809" spans="2:4" ht="13">
      <c r="B6809" s="12">
        <f ca="1">IFERROR(__xludf.DUMMYFUNCTION("""COMPUTED_VALUE"""),136314)</f>
        <v>136314</v>
      </c>
      <c r="C6809" s="14">
        <f ca="1">IFERROR(__xludf.DUMMYFUNCTION("""COMPUTED_VALUE"""),0)</f>
        <v>0</v>
      </c>
      <c r="D6809" s="12" t="str">
        <f ca="1">IFERROR(__xludf.DUMMYFUNCTION("""COMPUTED_VALUE"""),"小関 麻起")</f>
        <v>小関 麻起</v>
      </c>
    </row>
    <row r="6810" spans="2:4" ht="13">
      <c r="B6810" s="12">
        <f ca="1">IFERROR(__xludf.DUMMYFUNCTION("""COMPUTED_VALUE"""),136319)</f>
        <v>136319</v>
      </c>
      <c r="C6810" s="14">
        <f ca="1">IFERROR(__xludf.DUMMYFUNCTION("""COMPUTED_VALUE"""),1)</f>
        <v>1</v>
      </c>
      <c r="D6810" s="12" t="str">
        <f ca="1">IFERROR(__xludf.DUMMYFUNCTION("""COMPUTED_VALUE"""),"芳賀 亮輔")</f>
        <v>芳賀 亮輔</v>
      </c>
    </row>
    <row r="6811" spans="2:4" ht="13">
      <c r="B6811" s="12">
        <f ca="1">IFERROR(__xludf.DUMMYFUNCTION("""COMPUTED_VALUE"""),136322)</f>
        <v>136322</v>
      </c>
      <c r="C6811" s="14">
        <f ca="1">IFERROR(__xludf.DUMMYFUNCTION("""COMPUTED_VALUE"""),14)</f>
        <v>14</v>
      </c>
      <c r="D6811" s="12" t="str">
        <f ca="1">IFERROR(__xludf.DUMMYFUNCTION("""COMPUTED_VALUE"""),"桐山 勝気")</f>
        <v>桐山 勝気</v>
      </c>
    </row>
    <row r="6812" spans="2:4" ht="13">
      <c r="B6812" s="12">
        <f ca="1">IFERROR(__xludf.DUMMYFUNCTION("""COMPUTED_VALUE"""),136324)</f>
        <v>136324</v>
      </c>
      <c r="C6812" s="14">
        <f ca="1">IFERROR(__xludf.DUMMYFUNCTION("""COMPUTED_VALUE"""),1)</f>
        <v>1</v>
      </c>
      <c r="D6812" s="12" t="str">
        <f ca="1">IFERROR(__xludf.DUMMYFUNCTION("""COMPUTED_VALUE"""),"長谷川 陸朗")</f>
        <v>長谷川 陸朗</v>
      </c>
    </row>
    <row r="6813" spans="2:4" ht="13">
      <c r="B6813" s="12">
        <f ca="1">IFERROR(__xludf.DUMMYFUNCTION("""COMPUTED_VALUE"""),136331)</f>
        <v>136331</v>
      </c>
      <c r="C6813" s="14">
        <f ca="1">IFERROR(__xludf.DUMMYFUNCTION("""COMPUTED_VALUE"""),0)</f>
        <v>0</v>
      </c>
      <c r="D6813" s="12" t="str">
        <f ca="1">IFERROR(__xludf.DUMMYFUNCTION("""COMPUTED_VALUE"""),"老田 純輝")</f>
        <v>老田 純輝</v>
      </c>
    </row>
    <row r="6814" spans="2:4" ht="13">
      <c r="B6814" s="12">
        <f ca="1">IFERROR(__xludf.DUMMYFUNCTION("""COMPUTED_VALUE"""),136333)</f>
        <v>136333</v>
      </c>
      <c r="C6814" s="14">
        <f ca="1">IFERROR(__xludf.DUMMYFUNCTION("""COMPUTED_VALUE"""),0)</f>
        <v>0</v>
      </c>
      <c r="D6814" s="12" t="str">
        <f ca="1">IFERROR(__xludf.DUMMYFUNCTION("""COMPUTED_VALUE"""),"桐山 勝気")</f>
        <v>桐山 勝気</v>
      </c>
    </row>
    <row r="6815" spans="2:4" ht="13">
      <c r="B6815" s="12">
        <f ca="1">IFERROR(__xludf.DUMMYFUNCTION("""COMPUTED_VALUE"""),136341)</f>
        <v>136341</v>
      </c>
      <c r="C6815" s="14">
        <f ca="1">IFERROR(__xludf.DUMMYFUNCTION("""COMPUTED_VALUE"""),0)</f>
        <v>0</v>
      </c>
      <c r="D6815" s="12" t="str">
        <f ca="1">IFERROR(__xludf.DUMMYFUNCTION("""COMPUTED_VALUE"""),"老田 純輝")</f>
        <v>老田 純輝</v>
      </c>
    </row>
    <row r="6816" spans="2:4" ht="13">
      <c r="B6816" s="12">
        <f ca="1">IFERROR(__xludf.DUMMYFUNCTION("""COMPUTED_VALUE"""),136342)</f>
        <v>136342</v>
      </c>
      <c r="C6816" s="14">
        <f ca="1">IFERROR(__xludf.DUMMYFUNCTION("""COMPUTED_VALUE"""),0)</f>
        <v>0</v>
      </c>
      <c r="D6816" s="12" t="str">
        <f ca="1">IFERROR(__xludf.DUMMYFUNCTION("""COMPUTED_VALUE"""),"長谷川 陸朗")</f>
        <v>長谷川 陸朗</v>
      </c>
    </row>
    <row r="6817" spans="2:4" ht="13">
      <c r="B6817" s="12">
        <f ca="1">IFERROR(__xludf.DUMMYFUNCTION("""COMPUTED_VALUE"""),136345)</f>
        <v>136345</v>
      </c>
      <c r="C6817" s="14">
        <f ca="1">IFERROR(__xludf.DUMMYFUNCTION("""COMPUTED_VALUE"""),0)</f>
        <v>0</v>
      </c>
      <c r="D6817" s="12" t="str">
        <f ca="1">IFERROR(__xludf.DUMMYFUNCTION("""COMPUTED_VALUE"""),"稲場 勇介")</f>
        <v>稲場 勇介</v>
      </c>
    </row>
    <row r="6818" spans="2:4" ht="13">
      <c r="B6818" s="12">
        <f ca="1">IFERROR(__xludf.DUMMYFUNCTION("""COMPUTED_VALUE"""),136352)</f>
        <v>136352</v>
      </c>
      <c r="C6818" s="14">
        <f ca="1">IFERROR(__xludf.DUMMYFUNCTION("""COMPUTED_VALUE"""),1)</f>
        <v>1</v>
      </c>
      <c r="D6818" s="12" t="str">
        <f ca="1">IFERROR(__xludf.DUMMYFUNCTION("""COMPUTED_VALUE"""),"田嶋 将太")</f>
        <v>田嶋 将太</v>
      </c>
    </row>
    <row r="6819" spans="2:4" ht="13">
      <c r="B6819" s="12">
        <f ca="1">IFERROR(__xludf.DUMMYFUNCTION("""COMPUTED_VALUE"""),136358)</f>
        <v>136358</v>
      </c>
      <c r="C6819" s="14">
        <f ca="1">IFERROR(__xludf.DUMMYFUNCTION("""COMPUTED_VALUE"""),0)</f>
        <v>0</v>
      </c>
      <c r="D6819" s="12" t="str">
        <f ca="1">IFERROR(__xludf.DUMMYFUNCTION("""COMPUTED_VALUE"""),"村上 浩一朗")</f>
        <v>村上 浩一朗</v>
      </c>
    </row>
    <row r="6820" spans="2:4" ht="13">
      <c r="B6820" s="12">
        <f ca="1">IFERROR(__xludf.DUMMYFUNCTION("""COMPUTED_VALUE"""),136363)</f>
        <v>136363</v>
      </c>
      <c r="C6820" s="14">
        <f ca="1">IFERROR(__xludf.DUMMYFUNCTION("""COMPUTED_VALUE"""),0)</f>
        <v>0</v>
      </c>
      <c r="D6820" s="12" t="str">
        <f ca="1">IFERROR(__xludf.DUMMYFUNCTION("""COMPUTED_VALUE"""),"老田 純輝")</f>
        <v>老田 純輝</v>
      </c>
    </row>
    <row r="6821" spans="2:4" ht="13">
      <c r="B6821" s="12">
        <f ca="1">IFERROR(__xludf.DUMMYFUNCTION("""COMPUTED_VALUE"""),136372)</f>
        <v>136372</v>
      </c>
      <c r="C6821" s="14">
        <f ca="1">IFERROR(__xludf.DUMMYFUNCTION("""COMPUTED_VALUE"""),0)</f>
        <v>0</v>
      </c>
      <c r="D6821" s="12" t="str">
        <f ca="1">IFERROR(__xludf.DUMMYFUNCTION("""COMPUTED_VALUE"""),"内丸 裕子")</f>
        <v>内丸 裕子</v>
      </c>
    </row>
    <row r="6822" spans="2:4" ht="13">
      <c r="B6822" s="12">
        <f ca="1">IFERROR(__xludf.DUMMYFUNCTION("""COMPUTED_VALUE"""),136373)</f>
        <v>136373</v>
      </c>
      <c r="C6822" s="14">
        <f ca="1">IFERROR(__xludf.DUMMYFUNCTION("""COMPUTED_VALUE"""),0)</f>
        <v>0</v>
      </c>
      <c r="D6822" s="12" t="str">
        <f ca="1">IFERROR(__xludf.DUMMYFUNCTION("""COMPUTED_VALUE"""),"辻村 将大")</f>
        <v>辻村 将大</v>
      </c>
    </row>
    <row r="6823" spans="2:4" ht="13">
      <c r="B6823" s="12">
        <f ca="1">IFERROR(__xludf.DUMMYFUNCTION("""COMPUTED_VALUE"""),136376)</f>
        <v>136376</v>
      </c>
      <c r="C6823" s="14">
        <f ca="1">IFERROR(__xludf.DUMMYFUNCTION("""COMPUTED_VALUE"""),1)</f>
        <v>1</v>
      </c>
      <c r="D6823" s="12" t="str">
        <f ca="1">IFERROR(__xludf.DUMMYFUNCTION("""COMPUTED_VALUE"""),"小川 純")</f>
        <v>小川 純</v>
      </c>
    </row>
    <row r="6824" spans="2:4" ht="13">
      <c r="B6824" s="12">
        <f ca="1">IFERROR(__xludf.DUMMYFUNCTION("""COMPUTED_VALUE"""),136383)</f>
        <v>136383</v>
      </c>
      <c r="C6824" s="14">
        <f ca="1">IFERROR(__xludf.DUMMYFUNCTION("""COMPUTED_VALUE"""),0)</f>
        <v>0</v>
      </c>
      <c r="D6824" s="12" t="str">
        <f ca="1">IFERROR(__xludf.DUMMYFUNCTION("""COMPUTED_VALUE"""),"稲場 勇介")</f>
        <v>稲場 勇介</v>
      </c>
    </row>
    <row r="6825" spans="2:4" ht="13">
      <c r="B6825" s="12">
        <f ca="1">IFERROR(__xludf.DUMMYFUNCTION("""COMPUTED_VALUE"""),136409)</f>
        <v>136409</v>
      </c>
      <c r="C6825" s="14">
        <f ca="1">IFERROR(__xludf.DUMMYFUNCTION("""COMPUTED_VALUE"""),11)</f>
        <v>11</v>
      </c>
      <c r="D6825" s="12" t="str">
        <f ca="1">IFERROR(__xludf.DUMMYFUNCTION("""COMPUTED_VALUE"""),"稲場 勇介")</f>
        <v>稲場 勇介</v>
      </c>
    </row>
    <row r="6826" spans="2:4" ht="13">
      <c r="B6826" s="12">
        <f ca="1">IFERROR(__xludf.DUMMYFUNCTION("""COMPUTED_VALUE"""),136410)</f>
        <v>136410</v>
      </c>
      <c r="C6826" s="14">
        <f ca="1">IFERROR(__xludf.DUMMYFUNCTION("""COMPUTED_VALUE"""),0)</f>
        <v>0</v>
      </c>
      <c r="D6826" s="12" t="str">
        <f ca="1">IFERROR(__xludf.DUMMYFUNCTION("""COMPUTED_VALUE"""),"堀越 駿")</f>
        <v>堀越 駿</v>
      </c>
    </row>
    <row r="6827" spans="2:4" ht="13">
      <c r="B6827" s="12">
        <f ca="1">IFERROR(__xludf.DUMMYFUNCTION("""COMPUTED_VALUE"""),136411)</f>
        <v>136411</v>
      </c>
      <c r="C6827" s="14">
        <f ca="1">IFERROR(__xludf.DUMMYFUNCTION("""COMPUTED_VALUE"""),0)</f>
        <v>0</v>
      </c>
      <c r="D6827" s="12" t="str">
        <f ca="1">IFERROR(__xludf.DUMMYFUNCTION("""COMPUTED_VALUE"""),"長谷川 陸朗")</f>
        <v>長谷川 陸朗</v>
      </c>
    </row>
    <row r="6828" spans="2:4" ht="13">
      <c r="B6828" s="12">
        <f ca="1">IFERROR(__xludf.DUMMYFUNCTION("""COMPUTED_VALUE"""),136415)</f>
        <v>136415</v>
      </c>
      <c r="C6828" s="14">
        <f ca="1">IFERROR(__xludf.DUMMYFUNCTION("""COMPUTED_VALUE"""),0)</f>
        <v>0</v>
      </c>
      <c r="D6828" s="12" t="str">
        <f ca="1">IFERROR(__xludf.DUMMYFUNCTION("""COMPUTED_VALUE"""),"長谷川 陸朗")</f>
        <v>長谷川 陸朗</v>
      </c>
    </row>
    <row r="6829" spans="2:4" ht="13">
      <c r="B6829" s="12">
        <f ca="1">IFERROR(__xludf.DUMMYFUNCTION("""COMPUTED_VALUE"""),136418)</f>
        <v>136418</v>
      </c>
      <c r="C6829" s="14">
        <f ca="1">IFERROR(__xludf.DUMMYFUNCTION("""COMPUTED_VALUE"""),0)</f>
        <v>0</v>
      </c>
      <c r="D6829" s="12" t="str">
        <f ca="1">IFERROR(__xludf.DUMMYFUNCTION("""COMPUTED_VALUE"""),"小関 麻起")</f>
        <v>小関 麻起</v>
      </c>
    </row>
    <row r="6830" spans="2:4" ht="13">
      <c r="B6830" s="12">
        <f ca="1">IFERROR(__xludf.DUMMYFUNCTION("""COMPUTED_VALUE"""),136419)</f>
        <v>136419</v>
      </c>
      <c r="C6830" s="14">
        <f ca="1">IFERROR(__xludf.DUMMYFUNCTION("""COMPUTED_VALUE"""),1)</f>
        <v>1</v>
      </c>
      <c r="D6830" s="12" t="str">
        <f ca="1">IFERROR(__xludf.DUMMYFUNCTION("""COMPUTED_VALUE"""),"芳賀 亮輔")</f>
        <v>芳賀 亮輔</v>
      </c>
    </row>
    <row r="6831" spans="2:4" ht="13">
      <c r="B6831" s="12">
        <f ca="1">IFERROR(__xludf.DUMMYFUNCTION("""COMPUTED_VALUE"""),136420)</f>
        <v>136420</v>
      </c>
      <c r="C6831" s="14">
        <f ca="1">IFERROR(__xludf.DUMMYFUNCTION("""COMPUTED_VALUE"""),2)</f>
        <v>2</v>
      </c>
      <c r="D6831" s="12" t="str">
        <f ca="1">IFERROR(__xludf.DUMMYFUNCTION("""COMPUTED_VALUE"""),"芳賀 亮輔")</f>
        <v>芳賀 亮輔</v>
      </c>
    </row>
    <row r="6832" spans="2:4" ht="13">
      <c r="B6832" s="12">
        <f ca="1">IFERROR(__xludf.DUMMYFUNCTION("""COMPUTED_VALUE"""),136421)</f>
        <v>136421</v>
      </c>
      <c r="C6832" s="14">
        <f ca="1">IFERROR(__xludf.DUMMYFUNCTION("""COMPUTED_VALUE"""),0)</f>
        <v>0</v>
      </c>
      <c r="D6832" s="12" t="str">
        <f ca="1">IFERROR(__xludf.DUMMYFUNCTION("""COMPUTED_VALUE"""),"森 光智")</f>
        <v>森 光智</v>
      </c>
    </row>
    <row r="6833" spans="2:4" ht="13">
      <c r="B6833" s="12">
        <f ca="1">IFERROR(__xludf.DUMMYFUNCTION("""COMPUTED_VALUE"""),136427)</f>
        <v>136427</v>
      </c>
      <c r="C6833" s="14">
        <f ca="1">IFERROR(__xludf.DUMMYFUNCTION("""COMPUTED_VALUE"""),0)</f>
        <v>0</v>
      </c>
      <c r="D6833" s="12" t="str">
        <f ca="1">IFERROR(__xludf.DUMMYFUNCTION("""COMPUTED_VALUE"""),"芳賀 亮輔")</f>
        <v>芳賀 亮輔</v>
      </c>
    </row>
    <row r="6834" spans="2:4" ht="13">
      <c r="B6834" s="12">
        <f ca="1">IFERROR(__xludf.DUMMYFUNCTION("""COMPUTED_VALUE"""),136432)</f>
        <v>136432</v>
      </c>
      <c r="C6834" s="14">
        <f ca="1">IFERROR(__xludf.DUMMYFUNCTION("""COMPUTED_VALUE"""),0)</f>
        <v>0</v>
      </c>
      <c r="D6834" s="12" t="str">
        <f ca="1">IFERROR(__xludf.DUMMYFUNCTION("""COMPUTED_VALUE"""),"村上 浩一朗")</f>
        <v>村上 浩一朗</v>
      </c>
    </row>
    <row r="6835" spans="2:4" ht="13">
      <c r="B6835" s="12">
        <f ca="1">IFERROR(__xludf.DUMMYFUNCTION("""COMPUTED_VALUE"""),136444)</f>
        <v>136444</v>
      </c>
      <c r="C6835" s="14">
        <f ca="1">IFERROR(__xludf.DUMMYFUNCTION("""COMPUTED_VALUE"""),3)</f>
        <v>3</v>
      </c>
      <c r="D6835" s="12" t="str">
        <f ca="1">IFERROR(__xludf.DUMMYFUNCTION("""COMPUTED_VALUE"""),"川島 幹也")</f>
        <v>川島 幹也</v>
      </c>
    </row>
    <row r="6836" spans="2:4" ht="13">
      <c r="B6836" s="12">
        <f ca="1">IFERROR(__xludf.DUMMYFUNCTION("""COMPUTED_VALUE"""),136453)</f>
        <v>136453</v>
      </c>
      <c r="C6836" s="14">
        <f ca="1">IFERROR(__xludf.DUMMYFUNCTION("""COMPUTED_VALUE"""),5)</f>
        <v>5</v>
      </c>
      <c r="D6836" s="12" t="str">
        <f ca="1">IFERROR(__xludf.DUMMYFUNCTION("""COMPUTED_VALUE"""),"栗原 大武")</f>
        <v>栗原 大武</v>
      </c>
    </row>
    <row r="6837" spans="2:4" ht="13">
      <c r="B6837" s="12">
        <f ca="1">IFERROR(__xludf.DUMMYFUNCTION("""COMPUTED_VALUE"""),136454)</f>
        <v>136454</v>
      </c>
      <c r="C6837" s="14">
        <f ca="1">IFERROR(__xludf.DUMMYFUNCTION("""COMPUTED_VALUE"""),2)</f>
        <v>2</v>
      </c>
      <c r="D6837" s="12" t="str">
        <f ca="1">IFERROR(__xludf.DUMMYFUNCTION("""COMPUTED_VALUE"""),"内丸 裕子")</f>
        <v>内丸 裕子</v>
      </c>
    </row>
    <row r="6838" spans="2:4" ht="13">
      <c r="B6838" s="12">
        <f ca="1">IFERROR(__xludf.DUMMYFUNCTION("""COMPUTED_VALUE"""),136468)</f>
        <v>136468</v>
      </c>
      <c r="C6838" s="14">
        <f ca="1">IFERROR(__xludf.DUMMYFUNCTION("""COMPUTED_VALUE"""),0)</f>
        <v>0</v>
      </c>
      <c r="D6838" s="12" t="str">
        <f ca="1">IFERROR(__xludf.DUMMYFUNCTION("""COMPUTED_VALUE"""),"松尾 尚樹")</f>
        <v>松尾 尚樹</v>
      </c>
    </row>
    <row r="6839" spans="2:4" ht="13">
      <c r="B6839" s="12">
        <f ca="1">IFERROR(__xludf.DUMMYFUNCTION("""COMPUTED_VALUE"""),136470)</f>
        <v>136470</v>
      </c>
      <c r="C6839" s="14">
        <f ca="1">IFERROR(__xludf.DUMMYFUNCTION("""COMPUTED_VALUE"""),0)</f>
        <v>0</v>
      </c>
      <c r="D6839" s="12" t="str">
        <f ca="1">IFERROR(__xludf.DUMMYFUNCTION("""COMPUTED_VALUE"""),"大木 優香")</f>
        <v>大木 優香</v>
      </c>
    </row>
    <row r="6840" spans="2:4" ht="13">
      <c r="B6840" s="12">
        <f ca="1">IFERROR(__xludf.DUMMYFUNCTION("""COMPUTED_VALUE"""),136474)</f>
        <v>136474</v>
      </c>
      <c r="C6840" s="14">
        <f ca="1">IFERROR(__xludf.DUMMYFUNCTION("""COMPUTED_VALUE"""),6)</f>
        <v>6</v>
      </c>
      <c r="D6840" s="12" t="str">
        <f ca="1">IFERROR(__xludf.DUMMYFUNCTION("""COMPUTED_VALUE"""),"栗原 大武")</f>
        <v>栗原 大武</v>
      </c>
    </row>
    <row r="6841" spans="2:4" ht="13">
      <c r="B6841" s="12">
        <f ca="1">IFERROR(__xludf.DUMMYFUNCTION("""COMPUTED_VALUE"""),136476)</f>
        <v>136476</v>
      </c>
      <c r="C6841" s="14">
        <f ca="1">IFERROR(__xludf.DUMMYFUNCTION("""COMPUTED_VALUE"""),22)</f>
        <v>22</v>
      </c>
      <c r="D6841" s="12" t="str">
        <f ca="1">IFERROR(__xludf.DUMMYFUNCTION("""COMPUTED_VALUE"""),"老田 純輝")</f>
        <v>老田 純輝</v>
      </c>
    </row>
    <row r="6842" spans="2:4" ht="13">
      <c r="B6842" s="12">
        <f ca="1">IFERROR(__xludf.DUMMYFUNCTION("""COMPUTED_VALUE"""),136480)</f>
        <v>136480</v>
      </c>
      <c r="C6842" s="14">
        <f ca="1">IFERROR(__xludf.DUMMYFUNCTION("""COMPUTED_VALUE"""),0)</f>
        <v>0</v>
      </c>
      <c r="D6842" s="12" t="str">
        <f ca="1">IFERROR(__xludf.DUMMYFUNCTION("""COMPUTED_VALUE"""),"稲場 勇介")</f>
        <v>稲場 勇介</v>
      </c>
    </row>
    <row r="6843" spans="2:4" ht="13">
      <c r="B6843" s="12">
        <f ca="1">IFERROR(__xludf.DUMMYFUNCTION("""COMPUTED_VALUE"""),136481)</f>
        <v>136481</v>
      </c>
      <c r="C6843" s="14">
        <f ca="1">IFERROR(__xludf.DUMMYFUNCTION("""COMPUTED_VALUE"""),0)</f>
        <v>0</v>
      </c>
      <c r="D6843" s="12" t="str">
        <f ca="1">IFERROR(__xludf.DUMMYFUNCTION("""COMPUTED_VALUE"""),"松尾 尚樹")</f>
        <v>松尾 尚樹</v>
      </c>
    </row>
    <row r="6844" spans="2:4" ht="13">
      <c r="B6844" s="12">
        <f ca="1">IFERROR(__xludf.DUMMYFUNCTION("""COMPUTED_VALUE"""),136483)</f>
        <v>136483</v>
      </c>
      <c r="C6844" s="14">
        <f ca="1">IFERROR(__xludf.DUMMYFUNCTION("""COMPUTED_VALUE"""),0)</f>
        <v>0</v>
      </c>
      <c r="D6844" s="12" t="str">
        <f ca="1">IFERROR(__xludf.DUMMYFUNCTION("""COMPUTED_VALUE"""),"芳賀 亮輔")</f>
        <v>芳賀 亮輔</v>
      </c>
    </row>
    <row r="6845" spans="2:4" ht="13">
      <c r="B6845" s="12">
        <f ca="1">IFERROR(__xludf.DUMMYFUNCTION("""COMPUTED_VALUE"""),136498)</f>
        <v>136498</v>
      </c>
      <c r="C6845" s="14">
        <f ca="1">IFERROR(__xludf.DUMMYFUNCTION("""COMPUTED_VALUE"""),0)</f>
        <v>0</v>
      </c>
      <c r="D6845" s="12" t="str">
        <f ca="1">IFERROR(__xludf.DUMMYFUNCTION("""COMPUTED_VALUE"""),"小川 純")</f>
        <v>小川 純</v>
      </c>
    </row>
    <row r="6846" spans="2:4" ht="13">
      <c r="B6846" s="12">
        <f ca="1">IFERROR(__xludf.DUMMYFUNCTION("""COMPUTED_VALUE"""),136502)</f>
        <v>136502</v>
      </c>
      <c r="C6846" s="14">
        <f ca="1">IFERROR(__xludf.DUMMYFUNCTION("""COMPUTED_VALUE"""),19)</f>
        <v>19</v>
      </c>
      <c r="D6846" s="12" t="str">
        <f ca="1">IFERROR(__xludf.DUMMYFUNCTION("""COMPUTED_VALUE"""),"小川 純")</f>
        <v>小川 純</v>
      </c>
    </row>
    <row r="6847" spans="2:4" ht="13">
      <c r="B6847" s="12">
        <f ca="1">IFERROR(__xludf.DUMMYFUNCTION("""COMPUTED_VALUE"""),136506)</f>
        <v>136506</v>
      </c>
      <c r="C6847" s="14">
        <f ca="1">IFERROR(__xludf.DUMMYFUNCTION("""COMPUTED_VALUE"""),4)</f>
        <v>4</v>
      </c>
      <c r="D6847" s="12" t="str">
        <f ca="1">IFERROR(__xludf.DUMMYFUNCTION("""COMPUTED_VALUE"""),"稲場 勇介")</f>
        <v>稲場 勇介</v>
      </c>
    </row>
    <row r="6848" spans="2:4" ht="13">
      <c r="B6848" s="12">
        <f ca="1">IFERROR(__xludf.DUMMYFUNCTION("""COMPUTED_VALUE"""),136508)</f>
        <v>136508</v>
      </c>
      <c r="C6848" s="14">
        <f ca="1">IFERROR(__xludf.DUMMYFUNCTION("""COMPUTED_VALUE"""),2)</f>
        <v>2</v>
      </c>
      <c r="D6848" s="12" t="str">
        <f ca="1">IFERROR(__xludf.DUMMYFUNCTION("""COMPUTED_VALUE"""),"辻村 将大")</f>
        <v>辻村 将大</v>
      </c>
    </row>
    <row r="6849" spans="2:4" ht="13">
      <c r="B6849" s="12">
        <f ca="1">IFERROR(__xludf.DUMMYFUNCTION("""COMPUTED_VALUE"""),136513)</f>
        <v>136513</v>
      </c>
      <c r="C6849" s="14">
        <f ca="1">IFERROR(__xludf.DUMMYFUNCTION("""COMPUTED_VALUE"""),1)</f>
        <v>1</v>
      </c>
      <c r="D6849" s="12" t="str">
        <f ca="1">IFERROR(__xludf.DUMMYFUNCTION("""COMPUTED_VALUE"""),"菅野 ぎんが")</f>
        <v>菅野 ぎんが</v>
      </c>
    </row>
    <row r="6850" spans="2:4" ht="13">
      <c r="B6850" s="12">
        <f ca="1">IFERROR(__xludf.DUMMYFUNCTION("""COMPUTED_VALUE"""),136515)</f>
        <v>136515</v>
      </c>
      <c r="C6850" s="14">
        <f ca="1">IFERROR(__xludf.DUMMYFUNCTION("""COMPUTED_VALUE"""),0)</f>
        <v>0</v>
      </c>
      <c r="D6850" s="12" t="str">
        <f ca="1">IFERROR(__xludf.DUMMYFUNCTION("""COMPUTED_VALUE"""),"栗原 大武")</f>
        <v>栗原 大武</v>
      </c>
    </row>
    <row r="6851" spans="2:4" ht="13">
      <c r="B6851" s="12">
        <f ca="1">IFERROR(__xludf.DUMMYFUNCTION("""COMPUTED_VALUE"""),136516)</f>
        <v>136516</v>
      </c>
      <c r="C6851" s="14">
        <f ca="1">IFERROR(__xludf.DUMMYFUNCTION("""COMPUTED_VALUE"""),0)</f>
        <v>0</v>
      </c>
      <c r="D6851" s="12" t="str">
        <f ca="1">IFERROR(__xludf.DUMMYFUNCTION("""COMPUTED_VALUE"""),"老田 純輝")</f>
        <v>老田 純輝</v>
      </c>
    </row>
    <row r="6852" spans="2:4" ht="13">
      <c r="B6852" s="12">
        <f ca="1">IFERROR(__xludf.DUMMYFUNCTION("""COMPUTED_VALUE"""),136518)</f>
        <v>136518</v>
      </c>
      <c r="C6852" s="14">
        <f ca="1">IFERROR(__xludf.DUMMYFUNCTION("""COMPUTED_VALUE"""),0)</f>
        <v>0</v>
      </c>
      <c r="D6852" s="12" t="str">
        <f ca="1">IFERROR(__xludf.DUMMYFUNCTION("""COMPUTED_VALUE"""),"森 光智")</f>
        <v>森 光智</v>
      </c>
    </row>
    <row r="6853" spans="2:4" ht="13">
      <c r="B6853" s="12">
        <f ca="1">IFERROR(__xludf.DUMMYFUNCTION("""COMPUTED_VALUE"""),136522)</f>
        <v>136522</v>
      </c>
      <c r="C6853" s="14">
        <f ca="1">IFERROR(__xludf.DUMMYFUNCTION("""COMPUTED_VALUE"""),18)</f>
        <v>18</v>
      </c>
      <c r="D6853" s="12" t="str">
        <f ca="1">IFERROR(__xludf.DUMMYFUNCTION("""COMPUTED_VALUE"""),"荻曽 克輝")</f>
        <v>荻曽 克輝</v>
      </c>
    </row>
    <row r="6854" spans="2:4" ht="13">
      <c r="B6854" s="12">
        <f ca="1">IFERROR(__xludf.DUMMYFUNCTION("""COMPUTED_VALUE"""),136525)</f>
        <v>136525</v>
      </c>
      <c r="C6854" s="14">
        <f ca="1">IFERROR(__xludf.DUMMYFUNCTION("""COMPUTED_VALUE"""),0)</f>
        <v>0</v>
      </c>
      <c r="D6854" s="12" t="str">
        <f ca="1">IFERROR(__xludf.DUMMYFUNCTION("""COMPUTED_VALUE"""),"松尾 尚樹")</f>
        <v>松尾 尚樹</v>
      </c>
    </row>
    <row r="6855" spans="2:4" ht="13">
      <c r="B6855" s="12">
        <f ca="1">IFERROR(__xludf.DUMMYFUNCTION("""COMPUTED_VALUE"""),136527)</f>
        <v>136527</v>
      </c>
      <c r="C6855" s="14">
        <f ca="1">IFERROR(__xludf.DUMMYFUNCTION("""COMPUTED_VALUE"""),0)</f>
        <v>0</v>
      </c>
      <c r="D6855" s="12" t="str">
        <f ca="1">IFERROR(__xludf.DUMMYFUNCTION("""COMPUTED_VALUE"""),"長谷川 陸朗")</f>
        <v>長谷川 陸朗</v>
      </c>
    </row>
    <row r="6856" spans="2:4" ht="13">
      <c r="B6856" s="12">
        <f ca="1">IFERROR(__xludf.DUMMYFUNCTION("""COMPUTED_VALUE"""),136529)</f>
        <v>136529</v>
      </c>
      <c r="C6856" s="14">
        <f ca="1">IFERROR(__xludf.DUMMYFUNCTION("""COMPUTED_VALUE"""),0)</f>
        <v>0</v>
      </c>
      <c r="D6856" s="12" t="str">
        <f ca="1">IFERROR(__xludf.DUMMYFUNCTION("""COMPUTED_VALUE"""),"長谷川 陸朗")</f>
        <v>長谷川 陸朗</v>
      </c>
    </row>
    <row r="6857" spans="2:4" ht="13">
      <c r="B6857" s="12">
        <f ca="1">IFERROR(__xludf.DUMMYFUNCTION("""COMPUTED_VALUE"""),136530)</f>
        <v>136530</v>
      </c>
      <c r="C6857" s="14">
        <f ca="1">IFERROR(__xludf.DUMMYFUNCTION("""COMPUTED_VALUE"""),0)</f>
        <v>0</v>
      </c>
      <c r="D6857" s="12" t="str">
        <f ca="1">IFERROR(__xludf.DUMMYFUNCTION("""COMPUTED_VALUE"""),"長谷川 陸朗")</f>
        <v>長谷川 陸朗</v>
      </c>
    </row>
    <row r="6858" spans="2:4" ht="13">
      <c r="B6858" s="12">
        <f ca="1">IFERROR(__xludf.DUMMYFUNCTION("""COMPUTED_VALUE"""),136538)</f>
        <v>136538</v>
      </c>
      <c r="C6858" s="14">
        <f ca="1">IFERROR(__xludf.DUMMYFUNCTION("""COMPUTED_VALUE"""),0)</f>
        <v>0</v>
      </c>
      <c r="D6858" s="12" t="str">
        <f ca="1">IFERROR(__xludf.DUMMYFUNCTION("""COMPUTED_VALUE"""),"松尾 尚樹")</f>
        <v>松尾 尚樹</v>
      </c>
    </row>
    <row r="6859" spans="2:4" ht="13">
      <c r="B6859" s="12">
        <f ca="1">IFERROR(__xludf.DUMMYFUNCTION("""COMPUTED_VALUE"""),136553)</f>
        <v>136553</v>
      </c>
      <c r="C6859" s="14">
        <f ca="1">IFERROR(__xludf.DUMMYFUNCTION("""COMPUTED_VALUE"""),0)</f>
        <v>0</v>
      </c>
      <c r="D6859" s="12" t="str">
        <f ca="1">IFERROR(__xludf.DUMMYFUNCTION("""COMPUTED_VALUE"""),"荻曽 克輝")</f>
        <v>荻曽 克輝</v>
      </c>
    </row>
    <row r="6860" spans="2:4" ht="13">
      <c r="B6860" s="12">
        <f ca="1">IFERROR(__xludf.DUMMYFUNCTION("""COMPUTED_VALUE"""),136559)</f>
        <v>136559</v>
      </c>
      <c r="C6860" s="14">
        <f ca="1">IFERROR(__xludf.DUMMYFUNCTION("""COMPUTED_VALUE"""),0)</f>
        <v>0</v>
      </c>
      <c r="D6860" s="12" t="str">
        <f ca="1">IFERROR(__xludf.DUMMYFUNCTION("""COMPUTED_VALUE"""),"内丸 裕子")</f>
        <v>内丸 裕子</v>
      </c>
    </row>
    <row r="6861" spans="2:4" ht="13">
      <c r="B6861" s="12">
        <f ca="1">IFERROR(__xludf.DUMMYFUNCTION("""COMPUTED_VALUE"""),136562)</f>
        <v>136562</v>
      </c>
      <c r="C6861" s="14">
        <f ca="1">IFERROR(__xludf.DUMMYFUNCTION("""COMPUTED_VALUE"""),6)</f>
        <v>6</v>
      </c>
      <c r="D6861" s="12" t="str">
        <f ca="1">IFERROR(__xludf.DUMMYFUNCTION("""COMPUTED_VALUE"""),"老田 純輝")</f>
        <v>老田 純輝</v>
      </c>
    </row>
    <row r="6862" spans="2:4" ht="13">
      <c r="B6862" s="12">
        <f ca="1">IFERROR(__xludf.DUMMYFUNCTION("""COMPUTED_VALUE"""),136569)</f>
        <v>136569</v>
      </c>
      <c r="C6862" s="14">
        <f ca="1">IFERROR(__xludf.DUMMYFUNCTION("""COMPUTED_VALUE"""),0)</f>
        <v>0</v>
      </c>
      <c r="D6862" s="12" t="str">
        <f ca="1">IFERROR(__xludf.DUMMYFUNCTION("""COMPUTED_VALUE"""),"桐山 勝気")</f>
        <v>桐山 勝気</v>
      </c>
    </row>
    <row r="6863" spans="2:4" ht="13">
      <c r="B6863" s="12">
        <f ca="1">IFERROR(__xludf.DUMMYFUNCTION("""COMPUTED_VALUE"""),136570)</f>
        <v>136570</v>
      </c>
      <c r="C6863" s="14">
        <f ca="1">IFERROR(__xludf.DUMMYFUNCTION("""COMPUTED_VALUE"""),0)</f>
        <v>0</v>
      </c>
      <c r="D6863" s="12" t="str">
        <f ca="1">IFERROR(__xludf.DUMMYFUNCTION("""COMPUTED_VALUE"""),"栗原 大武")</f>
        <v>栗原 大武</v>
      </c>
    </row>
    <row r="6864" spans="2:4" ht="13">
      <c r="B6864" s="12">
        <f ca="1">IFERROR(__xludf.DUMMYFUNCTION("""COMPUTED_VALUE"""),136572)</f>
        <v>136572</v>
      </c>
      <c r="C6864" s="14">
        <f ca="1">IFERROR(__xludf.DUMMYFUNCTION("""COMPUTED_VALUE"""),7)</f>
        <v>7</v>
      </c>
      <c r="D6864" s="12" t="str">
        <f ca="1">IFERROR(__xludf.DUMMYFUNCTION("""COMPUTED_VALUE"""),"荻曽 克輝")</f>
        <v>荻曽 克輝</v>
      </c>
    </row>
    <row r="6865" spans="2:4" ht="13">
      <c r="B6865" s="12">
        <f ca="1">IFERROR(__xludf.DUMMYFUNCTION("""COMPUTED_VALUE"""),136582)</f>
        <v>136582</v>
      </c>
      <c r="C6865" s="14">
        <f ca="1">IFERROR(__xludf.DUMMYFUNCTION("""COMPUTED_VALUE"""),0)</f>
        <v>0</v>
      </c>
      <c r="D6865" s="12" t="str">
        <f ca="1">IFERROR(__xludf.DUMMYFUNCTION("""COMPUTED_VALUE"""),"菅野 ぎんが")</f>
        <v>菅野 ぎんが</v>
      </c>
    </row>
    <row r="6866" spans="2:4" ht="13">
      <c r="B6866" s="12">
        <f ca="1">IFERROR(__xludf.DUMMYFUNCTION("""COMPUTED_VALUE"""),136584)</f>
        <v>136584</v>
      </c>
      <c r="C6866" s="14">
        <f ca="1">IFERROR(__xludf.DUMMYFUNCTION("""COMPUTED_VALUE"""),0)</f>
        <v>0</v>
      </c>
      <c r="D6866" s="12" t="str">
        <f ca="1">IFERROR(__xludf.DUMMYFUNCTION("""COMPUTED_VALUE"""),"菅野 ぎんが")</f>
        <v>菅野 ぎんが</v>
      </c>
    </row>
    <row r="6867" spans="2:4" ht="13">
      <c r="B6867" s="12">
        <f ca="1">IFERROR(__xludf.DUMMYFUNCTION("""COMPUTED_VALUE"""),136585)</f>
        <v>136585</v>
      </c>
      <c r="C6867" s="14">
        <f ca="1">IFERROR(__xludf.DUMMYFUNCTION("""COMPUTED_VALUE"""),0)</f>
        <v>0</v>
      </c>
      <c r="D6867" s="12" t="str">
        <f ca="1">IFERROR(__xludf.DUMMYFUNCTION("""COMPUTED_VALUE"""),"長谷川 陸朗")</f>
        <v>長谷川 陸朗</v>
      </c>
    </row>
    <row r="6868" spans="2:4" ht="13">
      <c r="B6868" s="12">
        <f ca="1">IFERROR(__xludf.DUMMYFUNCTION("""COMPUTED_VALUE"""),136586)</f>
        <v>136586</v>
      </c>
      <c r="C6868" s="14">
        <f ca="1">IFERROR(__xludf.DUMMYFUNCTION("""COMPUTED_VALUE"""),9)</f>
        <v>9</v>
      </c>
      <c r="D6868" s="12" t="str">
        <f ca="1">IFERROR(__xludf.DUMMYFUNCTION("""COMPUTED_VALUE"""),"桐山 勝気")</f>
        <v>桐山 勝気</v>
      </c>
    </row>
    <row r="6869" spans="2:4" ht="13">
      <c r="B6869" s="12">
        <f ca="1">IFERROR(__xludf.DUMMYFUNCTION("""COMPUTED_VALUE"""),136588)</f>
        <v>136588</v>
      </c>
      <c r="C6869" s="14">
        <f ca="1">IFERROR(__xludf.DUMMYFUNCTION("""COMPUTED_VALUE"""),2)</f>
        <v>2</v>
      </c>
      <c r="D6869" s="12" t="str">
        <f ca="1">IFERROR(__xludf.DUMMYFUNCTION("""COMPUTED_VALUE"""),"小関 麻起")</f>
        <v>小関 麻起</v>
      </c>
    </row>
    <row r="6870" spans="2:4" ht="13">
      <c r="B6870" s="12">
        <f ca="1">IFERROR(__xludf.DUMMYFUNCTION("""COMPUTED_VALUE"""),136590)</f>
        <v>136590</v>
      </c>
      <c r="C6870" s="14">
        <f ca="1">IFERROR(__xludf.DUMMYFUNCTION("""COMPUTED_VALUE"""),4)</f>
        <v>4</v>
      </c>
      <c r="D6870" s="12" t="str">
        <f ca="1">IFERROR(__xludf.DUMMYFUNCTION("""COMPUTED_VALUE"""),"松尾 尚樹")</f>
        <v>松尾 尚樹</v>
      </c>
    </row>
    <row r="6871" spans="2:4" ht="13">
      <c r="B6871" s="12">
        <f ca="1">IFERROR(__xludf.DUMMYFUNCTION("""COMPUTED_VALUE"""),136597)</f>
        <v>136597</v>
      </c>
      <c r="C6871" s="14">
        <f ca="1">IFERROR(__xludf.DUMMYFUNCTION("""COMPUTED_VALUE"""),0)</f>
        <v>0</v>
      </c>
      <c r="D6871" s="12" t="str">
        <f ca="1">IFERROR(__xludf.DUMMYFUNCTION("""COMPUTED_VALUE"""),"田嶋 将太")</f>
        <v>田嶋 将太</v>
      </c>
    </row>
    <row r="6872" spans="2:4" ht="13">
      <c r="B6872" s="12">
        <f ca="1">IFERROR(__xludf.DUMMYFUNCTION("""COMPUTED_VALUE"""),136598)</f>
        <v>136598</v>
      </c>
      <c r="C6872" s="14">
        <f ca="1">IFERROR(__xludf.DUMMYFUNCTION("""COMPUTED_VALUE"""),0)</f>
        <v>0</v>
      </c>
      <c r="D6872" s="12" t="str">
        <f ca="1">IFERROR(__xludf.DUMMYFUNCTION("""COMPUTED_VALUE"""),"栗原 大武")</f>
        <v>栗原 大武</v>
      </c>
    </row>
    <row r="6873" spans="2:4" ht="13">
      <c r="B6873" s="12">
        <f ca="1">IFERROR(__xludf.DUMMYFUNCTION("""COMPUTED_VALUE"""),136599)</f>
        <v>136599</v>
      </c>
      <c r="C6873" s="14">
        <f ca="1">IFERROR(__xludf.DUMMYFUNCTION("""COMPUTED_VALUE"""),2)</f>
        <v>2</v>
      </c>
      <c r="D6873" s="12" t="str">
        <f ca="1">IFERROR(__xludf.DUMMYFUNCTION("""COMPUTED_VALUE"""),"成嶋 夏未")</f>
        <v>成嶋 夏未</v>
      </c>
    </row>
    <row r="6874" spans="2:4" ht="13">
      <c r="B6874" s="12">
        <f ca="1">IFERROR(__xludf.DUMMYFUNCTION("""COMPUTED_VALUE"""),136601)</f>
        <v>136601</v>
      </c>
      <c r="C6874" s="14">
        <f ca="1">IFERROR(__xludf.DUMMYFUNCTION("""COMPUTED_VALUE"""),1)</f>
        <v>1</v>
      </c>
      <c r="D6874" s="12" t="str">
        <f ca="1">IFERROR(__xludf.DUMMYFUNCTION("""COMPUTED_VALUE"""),"荻曽 克輝")</f>
        <v>荻曽 克輝</v>
      </c>
    </row>
    <row r="6875" spans="2:4" ht="13">
      <c r="B6875" s="12">
        <f ca="1">IFERROR(__xludf.DUMMYFUNCTION("""COMPUTED_VALUE"""),136603)</f>
        <v>136603</v>
      </c>
      <c r="C6875" s="14">
        <f ca="1">IFERROR(__xludf.DUMMYFUNCTION("""COMPUTED_VALUE"""),0)</f>
        <v>0</v>
      </c>
      <c r="D6875" s="12" t="str">
        <f ca="1">IFERROR(__xludf.DUMMYFUNCTION("""COMPUTED_VALUE"""),"栗原 大武")</f>
        <v>栗原 大武</v>
      </c>
    </row>
    <row r="6876" spans="2:4" ht="13">
      <c r="B6876" s="12">
        <f ca="1">IFERROR(__xludf.DUMMYFUNCTION("""COMPUTED_VALUE"""),136605)</f>
        <v>136605</v>
      </c>
      <c r="C6876" s="14">
        <f ca="1">IFERROR(__xludf.DUMMYFUNCTION("""COMPUTED_VALUE"""),0)</f>
        <v>0</v>
      </c>
      <c r="D6876" s="12" t="str">
        <f ca="1">IFERROR(__xludf.DUMMYFUNCTION("""COMPUTED_VALUE"""),"桐山 勝気")</f>
        <v>桐山 勝気</v>
      </c>
    </row>
    <row r="6877" spans="2:4" ht="13">
      <c r="B6877" s="12">
        <f ca="1">IFERROR(__xludf.DUMMYFUNCTION("""COMPUTED_VALUE"""),136612)</f>
        <v>136612</v>
      </c>
      <c r="C6877" s="14">
        <f ca="1">IFERROR(__xludf.DUMMYFUNCTION("""COMPUTED_VALUE"""),0)</f>
        <v>0</v>
      </c>
      <c r="D6877" s="12" t="str">
        <f ca="1">IFERROR(__xludf.DUMMYFUNCTION("""COMPUTED_VALUE"""),"桑原 明子")</f>
        <v>桑原 明子</v>
      </c>
    </row>
    <row r="6878" spans="2:4" ht="13">
      <c r="B6878" s="12">
        <f ca="1">IFERROR(__xludf.DUMMYFUNCTION("""COMPUTED_VALUE"""),136616)</f>
        <v>136616</v>
      </c>
      <c r="C6878" s="14">
        <f ca="1">IFERROR(__xludf.DUMMYFUNCTION("""COMPUTED_VALUE"""),8)</f>
        <v>8</v>
      </c>
      <c r="D6878" s="12" t="str">
        <f ca="1">IFERROR(__xludf.DUMMYFUNCTION("""COMPUTED_VALUE"""),"桐山 勝気")</f>
        <v>桐山 勝気</v>
      </c>
    </row>
    <row r="6879" spans="2:4" ht="13">
      <c r="B6879" s="12">
        <f ca="1">IFERROR(__xludf.DUMMYFUNCTION("""COMPUTED_VALUE"""),136617)</f>
        <v>136617</v>
      </c>
      <c r="C6879" s="14">
        <f ca="1">IFERROR(__xludf.DUMMYFUNCTION("""COMPUTED_VALUE"""),0)</f>
        <v>0</v>
      </c>
      <c r="D6879" s="12" t="str">
        <f ca="1">IFERROR(__xludf.DUMMYFUNCTION("""COMPUTED_VALUE"""),"小関 麻起")</f>
        <v>小関 麻起</v>
      </c>
    </row>
    <row r="6880" spans="2:4" ht="13">
      <c r="B6880" s="12">
        <f ca="1">IFERROR(__xludf.DUMMYFUNCTION("""COMPUTED_VALUE"""),136619)</f>
        <v>136619</v>
      </c>
      <c r="C6880" s="14">
        <f ca="1">IFERROR(__xludf.DUMMYFUNCTION("""COMPUTED_VALUE"""),0)</f>
        <v>0</v>
      </c>
      <c r="D6880" s="12" t="str">
        <f ca="1">IFERROR(__xludf.DUMMYFUNCTION("""COMPUTED_VALUE"""),"小川 純")</f>
        <v>小川 純</v>
      </c>
    </row>
    <row r="6881" spans="2:4" ht="13">
      <c r="B6881" s="12">
        <f ca="1">IFERROR(__xludf.DUMMYFUNCTION("""COMPUTED_VALUE"""),136620)</f>
        <v>136620</v>
      </c>
      <c r="C6881" s="14">
        <f ca="1">IFERROR(__xludf.DUMMYFUNCTION("""COMPUTED_VALUE"""),0)</f>
        <v>0</v>
      </c>
      <c r="D6881" s="12" t="str">
        <f ca="1">IFERROR(__xludf.DUMMYFUNCTION("""COMPUTED_VALUE"""),"小川 純")</f>
        <v>小川 純</v>
      </c>
    </row>
    <row r="6882" spans="2:4" ht="13">
      <c r="B6882" s="12">
        <f ca="1">IFERROR(__xludf.DUMMYFUNCTION("""COMPUTED_VALUE"""),136622)</f>
        <v>136622</v>
      </c>
      <c r="C6882" s="14">
        <f ca="1">IFERROR(__xludf.DUMMYFUNCTION("""COMPUTED_VALUE"""),9)</f>
        <v>9</v>
      </c>
      <c r="D6882" s="12" t="str">
        <f ca="1">IFERROR(__xludf.DUMMYFUNCTION("""COMPUTED_VALUE"""),"菅野 ぎんが")</f>
        <v>菅野 ぎんが</v>
      </c>
    </row>
    <row r="6883" spans="2:4" ht="13">
      <c r="B6883" s="12">
        <f ca="1">IFERROR(__xludf.DUMMYFUNCTION("""COMPUTED_VALUE"""),136623)</f>
        <v>136623</v>
      </c>
      <c r="C6883" s="14">
        <f ca="1">IFERROR(__xludf.DUMMYFUNCTION("""COMPUTED_VALUE"""),5)</f>
        <v>5</v>
      </c>
      <c r="D6883" s="12" t="str">
        <f ca="1">IFERROR(__xludf.DUMMYFUNCTION("""COMPUTED_VALUE"""),"成嶋 夏未")</f>
        <v>成嶋 夏未</v>
      </c>
    </row>
    <row r="6884" spans="2:4" ht="13">
      <c r="B6884" s="12">
        <f ca="1">IFERROR(__xludf.DUMMYFUNCTION("""COMPUTED_VALUE"""),136628)</f>
        <v>136628</v>
      </c>
      <c r="C6884" s="14">
        <f ca="1">IFERROR(__xludf.DUMMYFUNCTION("""COMPUTED_VALUE"""),0)</f>
        <v>0</v>
      </c>
      <c r="D6884" s="12" t="str">
        <f ca="1">IFERROR(__xludf.DUMMYFUNCTION("""COMPUTED_VALUE"""),"辻村 将大")</f>
        <v>辻村 将大</v>
      </c>
    </row>
    <row r="6885" spans="2:4" ht="13">
      <c r="B6885" s="12">
        <f ca="1">IFERROR(__xludf.DUMMYFUNCTION("""COMPUTED_VALUE"""),136631)</f>
        <v>136631</v>
      </c>
      <c r="C6885" s="14">
        <f ca="1">IFERROR(__xludf.DUMMYFUNCTION("""COMPUTED_VALUE"""),0)</f>
        <v>0</v>
      </c>
      <c r="D6885" s="12" t="str">
        <f ca="1">IFERROR(__xludf.DUMMYFUNCTION("""COMPUTED_VALUE"""),"川島 幹也")</f>
        <v>川島 幹也</v>
      </c>
    </row>
    <row r="6886" spans="2:4" ht="13">
      <c r="B6886" s="12">
        <f ca="1">IFERROR(__xludf.DUMMYFUNCTION("""COMPUTED_VALUE"""),136634)</f>
        <v>136634</v>
      </c>
      <c r="C6886" s="14">
        <f ca="1">IFERROR(__xludf.DUMMYFUNCTION("""COMPUTED_VALUE"""),10)</f>
        <v>10</v>
      </c>
      <c r="D6886" s="12" t="str">
        <f ca="1">IFERROR(__xludf.DUMMYFUNCTION("""COMPUTED_VALUE"""),"田嶋 将太")</f>
        <v>田嶋 将太</v>
      </c>
    </row>
    <row r="6887" spans="2:4" ht="13">
      <c r="B6887" s="12">
        <f ca="1">IFERROR(__xludf.DUMMYFUNCTION("""COMPUTED_VALUE"""),136635)</f>
        <v>136635</v>
      </c>
      <c r="C6887" s="14">
        <f ca="1">IFERROR(__xludf.DUMMYFUNCTION("""COMPUTED_VALUE"""),0)</f>
        <v>0</v>
      </c>
      <c r="D6887" s="12" t="str">
        <f ca="1">IFERROR(__xludf.DUMMYFUNCTION("""COMPUTED_VALUE"""),"栗原 大武")</f>
        <v>栗原 大武</v>
      </c>
    </row>
    <row r="6888" spans="2:4" ht="13">
      <c r="B6888" s="12">
        <f ca="1">IFERROR(__xludf.DUMMYFUNCTION("""COMPUTED_VALUE"""),136643)</f>
        <v>136643</v>
      </c>
      <c r="C6888" s="14">
        <f ca="1">IFERROR(__xludf.DUMMYFUNCTION("""COMPUTED_VALUE"""),2)</f>
        <v>2</v>
      </c>
      <c r="D6888" s="12" t="str">
        <f ca="1">IFERROR(__xludf.DUMMYFUNCTION("""COMPUTED_VALUE"""),"菅野 ぎんが")</f>
        <v>菅野 ぎんが</v>
      </c>
    </row>
    <row r="6889" spans="2:4" ht="13">
      <c r="B6889" s="12">
        <f ca="1">IFERROR(__xludf.DUMMYFUNCTION("""COMPUTED_VALUE"""),136644)</f>
        <v>136644</v>
      </c>
      <c r="C6889" s="14">
        <f ca="1">IFERROR(__xludf.DUMMYFUNCTION("""COMPUTED_VALUE"""),0)</f>
        <v>0</v>
      </c>
      <c r="D6889" s="12" t="str">
        <f ca="1">IFERROR(__xludf.DUMMYFUNCTION("""COMPUTED_VALUE"""),"小川 純")</f>
        <v>小川 純</v>
      </c>
    </row>
    <row r="6890" spans="2:4" ht="13">
      <c r="B6890" s="12">
        <f ca="1">IFERROR(__xludf.DUMMYFUNCTION("""COMPUTED_VALUE"""),136655)</f>
        <v>136655</v>
      </c>
      <c r="C6890" s="14">
        <f ca="1">IFERROR(__xludf.DUMMYFUNCTION("""COMPUTED_VALUE"""),0)</f>
        <v>0</v>
      </c>
      <c r="D6890" s="12" t="str">
        <f ca="1">IFERROR(__xludf.DUMMYFUNCTION("""COMPUTED_VALUE"""),"内丸 裕子")</f>
        <v>内丸 裕子</v>
      </c>
    </row>
    <row r="6891" spans="2:4" ht="13">
      <c r="B6891" s="12">
        <f ca="1">IFERROR(__xludf.DUMMYFUNCTION("""COMPUTED_VALUE"""),136656)</f>
        <v>136656</v>
      </c>
      <c r="C6891" s="14">
        <f ca="1">IFERROR(__xludf.DUMMYFUNCTION("""COMPUTED_VALUE"""),0)</f>
        <v>0</v>
      </c>
      <c r="D6891" s="12" t="str">
        <f ca="1">IFERROR(__xludf.DUMMYFUNCTION("""COMPUTED_VALUE"""),"辻村 将大")</f>
        <v>辻村 将大</v>
      </c>
    </row>
    <row r="6892" spans="2:4" ht="13">
      <c r="B6892" s="12">
        <f ca="1">IFERROR(__xludf.DUMMYFUNCTION("""COMPUTED_VALUE"""),136663)</f>
        <v>136663</v>
      </c>
      <c r="C6892" s="14">
        <f ca="1">IFERROR(__xludf.DUMMYFUNCTION("""COMPUTED_VALUE"""),0)</f>
        <v>0</v>
      </c>
      <c r="D6892" s="12" t="str">
        <f ca="1">IFERROR(__xludf.DUMMYFUNCTION("""COMPUTED_VALUE"""),"小関 麻起")</f>
        <v>小関 麻起</v>
      </c>
    </row>
    <row r="6893" spans="2:4" ht="13">
      <c r="B6893" s="12">
        <f ca="1">IFERROR(__xludf.DUMMYFUNCTION("""COMPUTED_VALUE"""),136667)</f>
        <v>136667</v>
      </c>
      <c r="C6893" s="14">
        <f ca="1">IFERROR(__xludf.DUMMYFUNCTION("""COMPUTED_VALUE"""),2)</f>
        <v>2</v>
      </c>
      <c r="D6893" s="12" t="str">
        <f ca="1">IFERROR(__xludf.DUMMYFUNCTION("""COMPUTED_VALUE"""),"稲場 勇介")</f>
        <v>稲場 勇介</v>
      </c>
    </row>
    <row r="6894" spans="2:4" ht="13">
      <c r="B6894" s="12">
        <f ca="1">IFERROR(__xludf.DUMMYFUNCTION("""COMPUTED_VALUE"""),136669)</f>
        <v>136669</v>
      </c>
      <c r="C6894" s="14">
        <f ca="1">IFERROR(__xludf.DUMMYFUNCTION("""COMPUTED_VALUE"""),18)</f>
        <v>18</v>
      </c>
      <c r="D6894" s="12" t="str">
        <f ca="1">IFERROR(__xludf.DUMMYFUNCTION("""COMPUTED_VALUE"""),"小関 麻起")</f>
        <v>小関 麻起</v>
      </c>
    </row>
    <row r="6895" spans="2:4" ht="13">
      <c r="B6895" s="12">
        <f ca="1">IFERROR(__xludf.DUMMYFUNCTION("""COMPUTED_VALUE"""),136671)</f>
        <v>136671</v>
      </c>
      <c r="C6895" s="14">
        <f ca="1">IFERROR(__xludf.DUMMYFUNCTION("""COMPUTED_VALUE"""),3)</f>
        <v>3</v>
      </c>
      <c r="D6895" s="12" t="str">
        <f ca="1">IFERROR(__xludf.DUMMYFUNCTION("""COMPUTED_VALUE"""),"松尾 尚樹")</f>
        <v>松尾 尚樹</v>
      </c>
    </row>
    <row r="6896" spans="2:4" ht="13">
      <c r="B6896" s="12">
        <f ca="1">IFERROR(__xludf.DUMMYFUNCTION("""COMPUTED_VALUE"""),136672)</f>
        <v>136672</v>
      </c>
      <c r="C6896" s="14">
        <f ca="1">IFERROR(__xludf.DUMMYFUNCTION("""COMPUTED_VALUE"""),3)</f>
        <v>3</v>
      </c>
      <c r="D6896" s="12" t="str">
        <f ca="1">IFERROR(__xludf.DUMMYFUNCTION("""COMPUTED_VALUE"""),"松尾 尚樹")</f>
        <v>松尾 尚樹</v>
      </c>
    </row>
    <row r="6897" spans="2:4" ht="13">
      <c r="B6897" s="12">
        <f ca="1">IFERROR(__xludf.DUMMYFUNCTION("""COMPUTED_VALUE"""),136676)</f>
        <v>136676</v>
      </c>
      <c r="C6897" s="14">
        <f ca="1">IFERROR(__xludf.DUMMYFUNCTION("""COMPUTED_VALUE"""),4)</f>
        <v>4</v>
      </c>
      <c r="D6897" s="12" t="str">
        <f ca="1">IFERROR(__xludf.DUMMYFUNCTION("""COMPUTED_VALUE"""),"老田 純輝")</f>
        <v>老田 純輝</v>
      </c>
    </row>
    <row r="6898" spans="2:4" ht="13">
      <c r="B6898" s="12">
        <f ca="1">IFERROR(__xludf.DUMMYFUNCTION("""COMPUTED_VALUE"""),136677)</f>
        <v>136677</v>
      </c>
      <c r="C6898" s="14">
        <f ca="1">IFERROR(__xludf.DUMMYFUNCTION("""COMPUTED_VALUE"""),17)</f>
        <v>17</v>
      </c>
      <c r="D6898" s="12" t="str">
        <f ca="1">IFERROR(__xludf.DUMMYFUNCTION("""COMPUTED_VALUE"""),"栗原 大武")</f>
        <v>栗原 大武</v>
      </c>
    </row>
    <row r="6899" spans="2:4" ht="13">
      <c r="B6899" s="12">
        <f ca="1">IFERROR(__xludf.DUMMYFUNCTION("""COMPUTED_VALUE"""),136686)</f>
        <v>136686</v>
      </c>
      <c r="C6899" s="14">
        <f ca="1">IFERROR(__xludf.DUMMYFUNCTION("""COMPUTED_VALUE"""),7)</f>
        <v>7</v>
      </c>
      <c r="D6899" s="12" t="str">
        <f ca="1">IFERROR(__xludf.DUMMYFUNCTION("""COMPUTED_VALUE"""),"長谷川 陸朗")</f>
        <v>長谷川 陸朗</v>
      </c>
    </row>
    <row r="6900" spans="2:4" ht="13">
      <c r="B6900" s="12">
        <f ca="1">IFERROR(__xludf.DUMMYFUNCTION("""COMPUTED_VALUE"""),136694)</f>
        <v>136694</v>
      </c>
      <c r="C6900" s="14">
        <f ca="1">IFERROR(__xludf.DUMMYFUNCTION("""COMPUTED_VALUE"""),0)</f>
        <v>0</v>
      </c>
      <c r="D6900" s="12" t="str">
        <f ca="1">IFERROR(__xludf.DUMMYFUNCTION("""COMPUTED_VALUE"""),"成嶋 夏未")</f>
        <v>成嶋 夏未</v>
      </c>
    </row>
    <row r="6901" spans="2:4" ht="13">
      <c r="B6901" s="12">
        <f ca="1">IFERROR(__xludf.DUMMYFUNCTION("""COMPUTED_VALUE"""),136697)</f>
        <v>136697</v>
      </c>
      <c r="C6901" s="14">
        <f ca="1">IFERROR(__xludf.DUMMYFUNCTION("""COMPUTED_VALUE"""),0)</f>
        <v>0</v>
      </c>
      <c r="D6901" s="12" t="str">
        <f ca="1">IFERROR(__xludf.DUMMYFUNCTION("""COMPUTED_VALUE"""),"松尾 尚樹")</f>
        <v>松尾 尚樹</v>
      </c>
    </row>
    <row r="6902" spans="2:4" ht="13">
      <c r="B6902" s="12">
        <f ca="1">IFERROR(__xludf.DUMMYFUNCTION("""COMPUTED_VALUE"""),136704)</f>
        <v>136704</v>
      </c>
      <c r="C6902" s="14">
        <f ca="1">IFERROR(__xludf.DUMMYFUNCTION("""COMPUTED_VALUE"""),0)</f>
        <v>0</v>
      </c>
      <c r="D6902" s="12" t="str">
        <f ca="1">IFERROR(__xludf.DUMMYFUNCTION("""COMPUTED_VALUE"""),"村上 浩一朗")</f>
        <v>村上 浩一朗</v>
      </c>
    </row>
    <row r="6903" spans="2:4" ht="13">
      <c r="B6903" s="12">
        <f ca="1">IFERROR(__xludf.DUMMYFUNCTION("""COMPUTED_VALUE"""),136706)</f>
        <v>136706</v>
      </c>
      <c r="C6903" s="14">
        <f ca="1">IFERROR(__xludf.DUMMYFUNCTION("""COMPUTED_VALUE"""),0)</f>
        <v>0</v>
      </c>
      <c r="D6903" s="12" t="str">
        <f ca="1">IFERROR(__xludf.DUMMYFUNCTION("""COMPUTED_VALUE"""),"長谷川 陸朗")</f>
        <v>長谷川 陸朗</v>
      </c>
    </row>
    <row r="6904" spans="2:4" ht="13">
      <c r="B6904" s="12">
        <f ca="1">IFERROR(__xludf.DUMMYFUNCTION("""COMPUTED_VALUE"""),136713)</f>
        <v>136713</v>
      </c>
      <c r="C6904" s="14">
        <f ca="1">IFERROR(__xludf.DUMMYFUNCTION("""COMPUTED_VALUE"""),0)</f>
        <v>0</v>
      </c>
      <c r="D6904" s="12" t="str">
        <f ca="1">IFERROR(__xludf.DUMMYFUNCTION("""COMPUTED_VALUE"""),"堀越 駿")</f>
        <v>堀越 駿</v>
      </c>
    </row>
    <row r="6905" spans="2:4" ht="13">
      <c r="B6905" s="12">
        <f ca="1">IFERROR(__xludf.DUMMYFUNCTION("""COMPUTED_VALUE"""),136714)</f>
        <v>136714</v>
      </c>
      <c r="C6905" s="14">
        <f ca="1">IFERROR(__xludf.DUMMYFUNCTION("""COMPUTED_VALUE"""),44)</f>
        <v>44</v>
      </c>
      <c r="D6905" s="12" t="str">
        <f ca="1">IFERROR(__xludf.DUMMYFUNCTION("""COMPUTED_VALUE"""),"村上 浩一朗")</f>
        <v>村上 浩一朗</v>
      </c>
    </row>
    <row r="6906" spans="2:4" ht="13">
      <c r="B6906" s="12">
        <f ca="1">IFERROR(__xludf.DUMMYFUNCTION("""COMPUTED_VALUE"""),136717)</f>
        <v>136717</v>
      </c>
      <c r="C6906" s="14">
        <f ca="1">IFERROR(__xludf.DUMMYFUNCTION("""COMPUTED_VALUE"""),4)</f>
        <v>4</v>
      </c>
      <c r="D6906" s="12" t="str">
        <f ca="1">IFERROR(__xludf.DUMMYFUNCTION("""COMPUTED_VALUE"""),"村上 浩一朗")</f>
        <v>村上 浩一朗</v>
      </c>
    </row>
    <row r="6907" spans="2:4" ht="13">
      <c r="B6907" s="12">
        <f ca="1">IFERROR(__xludf.DUMMYFUNCTION("""COMPUTED_VALUE"""),136729)</f>
        <v>136729</v>
      </c>
      <c r="C6907" s="14">
        <f ca="1">IFERROR(__xludf.DUMMYFUNCTION("""COMPUTED_VALUE"""),0)</f>
        <v>0</v>
      </c>
      <c r="D6907" s="12" t="str">
        <f ca="1">IFERROR(__xludf.DUMMYFUNCTION("""COMPUTED_VALUE"""),"荻曽 克輝")</f>
        <v>荻曽 克輝</v>
      </c>
    </row>
    <row r="6908" spans="2:4" ht="13">
      <c r="B6908" s="12">
        <f ca="1">IFERROR(__xludf.DUMMYFUNCTION("""COMPUTED_VALUE"""),136739)</f>
        <v>136739</v>
      </c>
      <c r="C6908" s="14">
        <f ca="1">IFERROR(__xludf.DUMMYFUNCTION("""COMPUTED_VALUE"""),0)</f>
        <v>0</v>
      </c>
      <c r="D6908" s="12" t="str">
        <f ca="1">IFERROR(__xludf.DUMMYFUNCTION("""COMPUTED_VALUE"""),"芳賀 亮輔")</f>
        <v>芳賀 亮輔</v>
      </c>
    </row>
    <row r="6909" spans="2:4" ht="13">
      <c r="B6909" s="12">
        <f ca="1">IFERROR(__xludf.DUMMYFUNCTION("""COMPUTED_VALUE"""),136740)</f>
        <v>136740</v>
      </c>
      <c r="C6909" s="14">
        <f ca="1">IFERROR(__xludf.DUMMYFUNCTION("""COMPUTED_VALUE"""),13)</f>
        <v>13</v>
      </c>
      <c r="D6909" s="12" t="str">
        <f ca="1">IFERROR(__xludf.DUMMYFUNCTION("""COMPUTED_VALUE"""),"小関 麻起")</f>
        <v>小関 麻起</v>
      </c>
    </row>
    <row r="6910" spans="2:4" ht="13">
      <c r="B6910" s="12">
        <f ca="1">IFERROR(__xludf.DUMMYFUNCTION("""COMPUTED_VALUE"""),136745)</f>
        <v>136745</v>
      </c>
      <c r="C6910" s="14">
        <f ca="1">IFERROR(__xludf.DUMMYFUNCTION("""COMPUTED_VALUE"""),0)</f>
        <v>0</v>
      </c>
      <c r="D6910" s="12" t="str">
        <f ca="1">IFERROR(__xludf.DUMMYFUNCTION("""COMPUTED_VALUE"""),"荻曽 克輝")</f>
        <v>荻曽 克輝</v>
      </c>
    </row>
    <row r="6911" spans="2:4" ht="13">
      <c r="B6911" s="12">
        <f ca="1">IFERROR(__xludf.DUMMYFUNCTION("""COMPUTED_VALUE"""),136748)</f>
        <v>136748</v>
      </c>
      <c r="C6911" s="14">
        <f ca="1">IFERROR(__xludf.DUMMYFUNCTION("""COMPUTED_VALUE"""),0)</f>
        <v>0</v>
      </c>
      <c r="D6911" s="12" t="str">
        <f ca="1">IFERROR(__xludf.DUMMYFUNCTION("""COMPUTED_VALUE"""),"長谷川 陸朗")</f>
        <v>長谷川 陸朗</v>
      </c>
    </row>
    <row r="6912" spans="2:4" ht="13">
      <c r="B6912" s="12">
        <f ca="1">IFERROR(__xludf.DUMMYFUNCTION("""COMPUTED_VALUE"""),136750)</f>
        <v>136750</v>
      </c>
      <c r="C6912" s="14">
        <f ca="1">IFERROR(__xludf.DUMMYFUNCTION("""COMPUTED_VALUE"""),15)</f>
        <v>15</v>
      </c>
      <c r="D6912" s="12" t="str">
        <f ca="1">IFERROR(__xludf.DUMMYFUNCTION("""COMPUTED_VALUE"""),"小川 純")</f>
        <v>小川 純</v>
      </c>
    </row>
    <row r="6913" spans="2:4" ht="13">
      <c r="B6913" s="12">
        <f ca="1">IFERROR(__xludf.DUMMYFUNCTION("""COMPUTED_VALUE"""),136751)</f>
        <v>136751</v>
      </c>
      <c r="C6913" s="14">
        <f ca="1">IFERROR(__xludf.DUMMYFUNCTION("""COMPUTED_VALUE"""),14)</f>
        <v>14</v>
      </c>
      <c r="D6913" s="12" t="str">
        <f ca="1">IFERROR(__xludf.DUMMYFUNCTION("""COMPUTED_VALUE"""),"荻曽 克輝")</f>
        <v>荻曽 克輝</v>
      </c>
    </row>
    <row r="6914" spans="2:4" ht="13">
      <c r="B6914" s="12">
        <f ca="1">IFERROR(__xludf.DUMMYFUNCTION("""COMPUTED_VALUE"""),136752)</f>
        <v>136752</v>
      </c>
      <c r="C6914" s="14">
        <f ca="1">IFERROR(__xludf.DUMMYFUNCTION("""COMPUTED_VALUE"""),0)</f>
        <v>0</v>
      </c>
      <c r="D6914" s="12" t="str">
        <f ca="1">IFERROR(__xludf.DUMMYFUNCTION("""COMPUTED_VALUE"""),"桑原 明子")</f>
        <v>桑原 明子</v>
      </c>
    </row>
    <row r="6915" spans="2:4" ht="13">
      <c r="B6915" s="12">
        <f ca="1">IFERROR(__xludf.DUMMYFUNCTION("""COMPUTED_VALUE"""),136756)</f>
        <v>136756</v>
      </c>
      <c r="C6915" s="14">
        <f ca="1">IFERROR(__xludf.DUMMYFUNCTION("""COMPUTED_VALUE"""),0)</f>
        <v>0</v>
      </c>
      <c r="D6915" s="12" t="str">
        <f ca="1">IFERROR(__xludf.DUMMYFUNCTION("""COMPUTED_VALUE"""),"桐山 勝気")</f>
        <v>桐山 勝気</v>
      </c>
    </row>
    <row r="6916" spans="2:4" ht="13">
      <c r="B6916" s="12">
        <f ca="1">IFERROR(__xludf.DUMMYFUNCTION("""COMPUTED_VALUE"""),136758)</f>
        <v>136758</v>
      </c>
      <c r="C6916" s="14">
        <f ca="1">IFERROR(__xludf.DUMMYFUNCTION("""COMPUTED_VALUE"""),0)</f>
        <v>0</v>
      </c>
      <c r="D6916" s="12" t="str">
        <f ca="1">IFERROR(__xludf.DUMMYFUNCTION("""COMPUTED_VALUE"""),"芳賀 亮輔")</f>
        <v>芳賀 亮輔</v>
      </c>
    </row>
    <row r="6917" spans="2:4" ht="13">
      <c r="B6917" s="12">
        <f ca="1">IFERROR(__xludf.DUMMYFUNCTION("""COMPUTED_VALUE"""),136762)</f>
        <v>136762</v>
      </c>
      <c r="C6917" s="14">
        <f ca="1">IFERROR(__xludf.DUMMYFUNCTION("""COMPUTED_VALUE"""),0)</f>
        <v>0</v>
      </c>
      <c r="D6917" s="12" t="str">
        <f ca="1">IFERROR(__xludf.DUMMYFUNCTION("""COMPUTED_VALUE"""),"成嶋 夏未")</f>
        <v>成嶋 夏未</v>
      </c>
    </row>
    <row r="6918" spans="2:4" ht="13">
      <c r="B6918" s="12">
        <f ca="1">IFERROR(__xludf.DUMMYFUNCTION("""COMPUTED_VALUE"""),136764)</f>
        <v>136764</v>
      </c>
      <c r="C6918" s="14">
        <f ca="1">IFERROR(__xludf.DUMMYFUNCTION("""COMPUTED_VALUE"""),0)</f>
        <v>0</v>
      </c>
      <c r="D6918" s="12" t="str">
        <f ca="1">IFERROR(__xludf.DUMMYFUNCTION("""COMPUTED_VALUE"""),"成嶋 夏未")</f>
        <v>成嶋 夏未</v>
      </c>
    </row>
    <row r="6919" spans="2:4" ht="13">
      <c r="B6919" s="12">
        <f ca="1">IFERROR(__xludf.DUMMYFUNCTION("""COMPUTED_VALUE"""),136768)</f>
        <v>136768</v>
      </c>
      <c r="C6919" s="14">
        <f ca="1">IFERROR(__xludf.DUMMYFUNCTION("""COMPUTED_VALUE"""),0)</f>
        <v>0</v>
      </c>
      <c r="D6919" s="12" t="str">
        <f ca="1">IFERROR(__xludf.DUMMYFUNCTION("""COMPUTED_VALUE"""),"荻曽 克輝")</f>
        <v>荻曽 克輝</v>
      </c>
    </row>
    <row r="6920" spans="2:4" ht="13">
      <c r="B6920" s="12">
        <f ca="1">IFERROR(__xludf.DUMMYFUNCTION("""COMPUTED_VALUE"""),136770)</f>
        <v>136770</v>
      </c>
      <c r="C6920" s="14">
        <f ca="1">IFERROR(__xludf.DUMMYFUNCTION("""COMPUTED_VALUE"""),0)</f>
        <v>0</v>
      </c>
      <c r="D6920" s="12" t="str">
        <f ca="1">IFERROR(__xludf.DUMMYFUNCTION("""COMPUTED_VALUE"""),"荻曽 克輝")</f>
        <v>荻曽 克輝</v>
      </c>
    </row>
    <row r="6921" spans="2:4" ht="13">
      <c r="B6921" s="12">
        <f ca="1">IFERROR(__xludf.DUMMYFUNCTION("""COMPUTED_VALUE"""),136774)</f>
        <v>136774</v>
      </c>
      <c r="C6921" s="14">
        <f ca="1">IFERROR(__xludf.DUMMYFUNCTION("""COMPUTED_VALUE"""),0)</f>
        <v>0</v>
      </c>
      <c r="D6921" s="12" t="str">
        <f ca="1">IFERROR(__xludf.DUMMYFUNCTION("""COMPUTED_VALUE"""),"荻曽 克輝")</f>
        <v>荻曽 克輝</v>
      </c>
    </row>
    <row r="6922" spans="2:4" ht="13">
      <c r="B6922" s="12">
        <f ca="1">IFERROR(__xludf.DUMMYFUNCTION("""COMPUTED_VALUE"""),136778)</f>
        <v>136778</v>
      </c>
      <c r="C6922" s="14">
        <f ca="1">IFERROR(__xludf.DUMMYFUNCTION("""COMPUTED_VALUE"""),0)</f>
        <v>0</v>
      </c>
      <c r="D6922" s="12" t="str">
        <f ca="1">IFERROR(__xludf.DUMMYFUNCTION("""COMPUTED_VALUE"""),"荻曽 克輝")</f>
        <v>荻曽 克輝</v>
      </c>
    </row>
    <row r="6923" spans="2:4" ht="13">
      <c r="B6923" s="12">
        <f ca="1">IFERROR(__xludf.DUMMYFUNCTION("""COMPUTED_VALUE"""),136779)</f>
        <v>136779</v>
      </c>
      <c r="C6923" s="14">
        <f ca="1">IFERROR(__xludf.DUMMYFUNCTION("""COMPUTED_VALUE"""),0)</f>
        <v>0</v>
      </c>
      <c r="D6923" s="12" t="str">
        <f ca="1">IFERROR(__xludf.DUMMYFUNCTION("""COMPUTED_VALUE"""),"芳賀 亮輔")</f>
        <v>芳賀 亮輔</v>
      </c>
    </row>
    <row r="6924" spans="2:4" ht="13">
      <c r="B6924" s="12">
        <f ca="1">IFERROR(__xludf.DUMMYFUNCTION("""COMPUTED_VALUE"""),136783)</f>
        <v>136783</v>
      </c>
      <c r="C6924" s="14">
        <f ca="1">IFERROR(__xludf.DUMMYFUNCTION("""COMPUTED_VALUE"""),0)</f>
        <v>0</v>
      </c>
      <c r="D6924" s="12" t="str">
        <f ca="1">IFERROR(__xludf.DUMMYFUNCTION("""COMPUTED_VALUE"""),"荻曽 克輝")</f>
        <v>荻曽 克輝</v>
      </c>
    </row>
    <row r="6925" spans="2:4" ht="13">
      <c r="B6925" s="12">
        <f ca="1">IFERROR(__xludf.DUMMYFUNCTION("""COMPUTED_VALUE"""),136791)</f>
        <v>136791</v>
      </c>
      <c r="C6925" s="14">
        <f ca="1">IFERROR(__xludf.DUMMYFUNCTION("""COMPUTED_VALUE"""),5)</f>
        <v>5</v>
      </c>
      <c r="D6925" s="12" t="str">
        <f ca="1">IFERROR(__xludf.DUMMYFUNCTION("""COMPUTED_VALUE"""),"田嶋 将太")</f>
        <v>田嶋 将太</v>
      </c>
    </row>
    <row r="6926" spans="2:4" ht="13">
      <c r="B6926" s="12">
        <f ca="1">IFERROR(__xludf.DUMMYFUNCTION("""COMPUTED_VALUE"""),136798)</f>
        <v>136798</v>
      </c>
      <c r="C6926" s="14">
        <f ca="1">IFERROR(__xludf.DUMMYFUNCTION("""COMPUTED_VALUE"""),2)</f>
        <v>2</v>
      </c>
      <c r="D6926" s="12" t="str">
        <f ca="1">IFERROR(__xludf.DUMMYFUNCTION("""COMPUTED_VALUE"""),"長谷川 陸朗")</f>
        <v>長谷川 陸朗</v>
      </c>
    </row>
    <row r="6927" spans="2:4" ht="13">
      <c r="B6927" s="12">
        <f ca="1">IFERROR(__xludf.DUMMYFUNCTION("""COMPUTED_VALUE"""),136799)</f>
        <v>136799</v>
      </c>
      <c r="C6927" s="14">
        <f ca="1">IFERROR(__xludf.DUMMYFUNCTION("""COMPUTED_VALUE"""),44)</f>
        <v>44</v>
      </c>
      <c r="D6927" s="12" t="str">
        <f ca="1">IFERROR(__xludf.DUMMYFUNCTION("""COMPUTED_VALUE"""),"荻曽 克輝")</f>
        <v>荻曽 克輝</v>
      </c>
    </row>
    <row r="6928" spans="2:4" ht="13">
      <c r="B6928" s="12">
        <f ca="1">IFERROR(__xludf.DUMMYFUNCTION("""COMPUTED_VALUE"""),136802)</f>
        <v>136802</v>
      </c>
      <c r="C6928" s="14">
        <f ca="1">IFERROR(__xludf.DUMMYFUNCTION("""COMPUTED_VALUE"""),56)</f>
        <v>56</v>
      </c>
      <c r="D6928" s="12" t="str">
        <f ca="1">IFERROR(__xludf.DUMMYFUNCTION("""COMPUTED_VALUE"""),"小川 純")</f>
        <v>小川 純</v>
      </c>
    </row>
    <row r="6929" spans="2:4" ht="13">
      <c r="B6929" s="12">
        <f ca="1">IFERROR(__xludf.DUMMYFUNCTION("""COMPUTED_VALUE"""),136803)</f>
        <v>136803</v>
      </c>
      <c r="C6929" s="14">
        <f ca="1">IFERROR(__xludf.DUMMYFUNCTION("""COMPUTED_VALUE"""),0)</f>
        <v>0</v>
      </c>
      <c r="D6929" s="12" t="str">
        <f ca="1">IFERROR(__xludf.DUMMYFUNCTION("""COMPUTED_VALUE"""),"菅野 ぎんが")</f>
        <v>菅野 ぎんが</v>
      </c>
    </row>
    <row r="6930" spans="2:4" ht="13">
      <c r="B6930" s="12">
        <f ca="1">IFERROR(__xludf.DUMMYFUNCTION("""COMPUTED_VALUE"""),136807)</f>
        <v>136807</v>
      </c>
      <c r="C6930" s="14">
        <f ca="1">IFERROR(__xludf.DUMMYFUNCTION("""COMPUTED_VALUE"""),7)</f>
        <v>7</v>
      </c>
      <c r="D6930" s="12" t="str">
        <f ca="1">IFERROR(__xludf.DUMMYFUNCTION("""COMPUTED_VALUE"""),"内丸 裕子")</f>
        <v>内丸 裕子</v>
      </c>
    </row>
    <row r="6931" spans="2:4" ht="13">
      <c r="B6931" s="12">
        <f ca="1">IFERROR(__xludf.DUMMYFUNCTION("""COMPUTED_VALUE"""),136808)</f>
        <v>136808</v>
      </c>
      <c r="C6931" s="14">
        <f ca="1">IFERROR(__xludf.DUMMYFUNCTION("""COMPUTED_VALUE"""),1)</f>
        <v>1</v>
      </c>
      <c r="D6931" s="12" t="str">
        <f ca="1">IFERROR(__xludf.DUMMYFUNCTION("""COMPUTED_VALUE"""),"村上 浩一朗")</f>
        <v>村上 浩一朗</v>
      </c>
    </row>
    <row r="6932" spans="2:4" ht="13">
      <c r="B6932" s="12">
        <f ca="1">IFERROR(__xludf.DUMMYFUNCTION("""COMPUTED_VALUE"""),136809)</f>
        <v>136809</v>
      </c>
      <c r="C6932" s="14">
        <f ca="1">IFERROR(__xludf.DUMMYFUNCTION("""COMPUTED_VALUE"""),0)</f>
        <v>0</v>
      </c>
      <c r="D6932" s="12" t="str">
        <f ca="1">IFERROR(__xludf.DUMMYFUNCTION("""COMPUTED_VALUE"""),"荻曽 克輝")</f>
        <v>荻曽 克輝</v>
      </c>
    </row>
    <row r="6933" spans="2:4" ht="13">
      <c r="B6933" s="12">
        <f ca="1">IFERROR(__xludf.DUMMYFUNCTION("""COMPUTED_VALUE"""),136812)</f>
        <v>136812</v>
      </c>
      <c r="C6933" s="14">
        <f ca="1">IFERROR(__xludf.DUMMYFUNCTION("""COMPUTED_VALUE"""),0)</f>
        <v>0</v>
      </c>
      <c r="D6933" s="12" t="str">
        <f ca="1">IFERROR(__xludf.DUMMYFUNCTION("""COMPUTED_VALUE"""),"稲場 勇介")</f>
        <v>稲場 勇介</v>
      </c>
    </row>
    <row r="6934" spans="2:4" ht="13">
      <c r="B6934" s="12">
        <f ca="1">IFERROR(__xludf.DUMMYFUNCTION("""COMPUTED_VALUE"""),136823)</f>
        <v>136823</v>
      </c>
      <c r="C6934" s="14">
        <f ca="1">IFERROR(__xludf.DUMMYFUNCTION("""COMPUTED_VALUE"""),0)</f>
        <v>0</v>
      </c>
      <c r="D6934" s="12" t="str">
        <f ca="1">IFERROR(__xludf.DUMMYFUNCTION("""COMPUTED_VALUE"""),"田嶋 将太")</f>
        <v>田嶋 将太</v>
      </c>
    </row>
    <row r="6935" spans="2:4" ht="13">
      <c r="B6935" s="12">
        <f ca="1">IFERROR(__xludf.DUMMYFUNCTION("""COMPUTED_VALUE"""),136826)</f>
        <v>136826</v>
      </c>
      <c r="C6935" s="14">
        <f ca="1">IFERROR(__xludf.DUMMYFUNCTION("""COMPUTED_VALUE"""),17)</f>
        <v>17</v>
      </c>
      <c r="D6935" s="12" t="str">
        <f ca="1">IFERROR(__xludf.DUMMYFUNCTION("""COMPUTED_VALUE"""),"稲場 勇介")</f>
        <v>稲場 勇介</v>
      </c>
    </row>
    <row r="6936" spans="2:4" ht="13">
      <c r="B6936" s="12">
        <f ca="1">IFERROR(__xludf.DUMMYFUNCTION("""COMPUTED_VALUE"""),136827)</f>
        <v>136827</v>
      </c>
      <c r="C6936" s="14">
        <f ca="1">IFERROR(__xludf.DUMMYFUNCTION("""COMPUTED_VALUE"""),1)</f>
        <v>1</v>
      </c>
      <c r="D6936" s="12" t="str">
        <f ca="1">IFERROR(__xludf.DUMMYFUNCTION("""COMPUTED_VALUE"""),"芳賀 亮輔")</f>
        <v>芳賀 亮輔</v>
      </c>
    </row>
    <row r="6937" spans="2:4" ht="13">
      <c r="B6937" s="12">
        <f ca="1">IFERROR(__xludf.DUMMYFUNCTION("""COMPUTED_VALUE"""),136836)</f>
        <v>136836</v>
      </c>
      <c r="C6937" s="14">
        <f ca="1">IFERROR(__xludf.DUMMYFUNCTION("""COMPUTED_VALUE"""),0)</f>
        <v>0</v>
      </c>
      <c r="D6937" s="12" t="str">
        <f ca="1">IFERROR(__xludf.DUMMYFUNCTION("""COMPUTED_VALUE"""),"荻曽 克輝")</f>
        <v>荻曽 克輝</v>
      </c>
    </row>
    <row r="6938" spans="2:4" ht="13">
      <c r="B6938" s="12">
        <f ca="1">IFERROR(__xludf.DUMMYFUNCTION("""COMPUTED_VALUE"""),136839)</f>
        <v>136839</v>
      </c>
      <c r="C6938" s="14">
        <f ca="1">IFERROR(__xludf.DUMMYFUNCTION("""COMPUTED_VALUE"""),11)</f>
        <v>11</v>
      </c>
      <c r="D6938" s="12" t="str">
        <f ca="1">IFERROR(__xludf.DUMMYFUNCTION("""COMPUTED_VALUE"""),"川島 幹也")</f>
        <v>川島 幹也</v>
      </c>
    </row>
    <row r="6939" spans="2:4" ht="13">
      <c r="B6939" s="12">
        <f ca="1">IFERROR(__xludf.DUMMYFUNCTION("""COMPUTED_VALUE"""),136842)</f>
        <v>136842</v>
      </c>
      <c r="C6939" s="14">
        <f ca="1">IFERROR(__xludf.DUMMYFUNCTION("""COMPUTED_VALUE"""),0)</f>
        <v>0</v>
      </c>
      <c r="D6939" s="12" t="str">
        <f ca="1">IFERROR(__xludf.DUMMYFUNCTION("""COMPUTED_VALUE"""),"桐山 勝気")</f>
        <v>桐山 勝気</v>
      </c>
    </row>
    <row r="6940" spans="2:4" ht="13">
      <c r="B6940" s="12">
        <f ca="1">IFERROR(__xludf.DUMMYFUNCTION("""COMPUTED_VALUE"""),136844)</f>
        <v>136844</v>
      </c>
      <c r="C6940" s="14">
        <f ca="1">IFERROR(__xludf.DUMMYFUNCTION("""COMPUTED_VALUE"""),15)</f>
        <v>15</v>
      </c>
      <c r="D6940" s="12" t="str">
        <f ca="1">IFERROR(__xludf.DUMMYFUNCTION("""COMPUTED_VALUE"""),"村上 浩一朗")</f>
        <v>村上 浩一朗</v>
      </c>
    </row>
    <row r="6941" spans="2:4" ht="13">
      <c r="B6941" s="12">
        <f ca="1">IFERROR(__xludf.DUMMYFUNCTION("""COMPUTED_VALUE"""),136847)</f>
        <v>136847</v>
      </c>
      <c r="C6941" s="14">
        <f ca="1">IFERROR(__xludf.DUMMYFUNCTION("""COMPUTED_VALUE"""),0)</f>
        <v>0</v>
      </c>
      <c r="D6941" s="12" t="str">
        <f ca="1">IFERROR(__xludf.DUMMYFUNCTION("""COMPUTED_VALUE"""),"辻村 将大")</f>
        <v>辻村 将大</v>
      </c>
    </row>
    <row r="6942" spans="2:4" ht="13">
      <c r="B6942" s="12">
        <f ca="1">IFERROR(__xludf.DUMMYFUNCTION("""COMPUTED_VALUE"""),136850)</f>
        <v>136850</v>
      </c>
      <c r="C6942" s="14">
        <f ca="1">IFERROR(__xludf.DUMMYFUNCTION("""COMPUTED_VALUE"""),0)</f>
        <v>0</v>
      </c>
      <c r="D6942" s="12" t="str">
        <f ca="1">IFERROR(__xludf.DUMMYFUNCTION("""COMPUTED_VALUE"""),"稲場 勇介")</f>
        <v>稲場 勇介</v>
      </c>
    </row>
    <row r="6943" spans="2:4" ht="13">
      <c r="B6943" s="12">
        <f ca="1">IFERROR(__xludf.DUMMYFUNCTION("""COMPUTED_VALUE"""),136858)</f>
        <v>136858</v>
      </c>
      <c r="C6943" s="14">
        <f ca="1">IFERROR(__xludf.DUMMYFUNCTION("""COMPUTED_VALUE"""),0)</f>
        <v>0</v>
      </c>
      <c r="D6943" s="12" t="str">
        <f ca="1">IFERROR(__xludf.DUMMYFUNCTION("""COMPUTED_VALUE"""),"村上 浩一朗")</f>
        <v>村上 浩一朗</v>
      </c>
    </row>
    <row r="6944" spans="2:4" ht="13">
      <c r="B6944" s="12">
        <f ca="1">IFERROR(__xludf.DUMMYFUNCTION("""COMPUTED_VALUE"""),136861)</f>
        <v>136861</v>
      </c>
      <c r="C6944" s="14">
        <f ca="1">IFERROR(__xludf.DUMMYFUNCTION("""COMPUTED_VALUE"""),20)</f>
        <v>20</v>
      </c>
      <c r="D6944" s="12" t="str">
        <f ca="1">IFERROR(__xludf.DUMMYFUNCTION("""COMPUTED_VALUE"""),"荻曽 克輝")</f>
        <v>荻曽 克輝</v>
      </c>
    </row>
    <row r="6945" spans="2:4" ht="13">
      <c r="B6945" s="12">
        <f ca="1">IFERROR(__xludf.DUMMYFUNCTION("""COMPUTED_VALUE"""),136864)</f>
        <v>136864</v>
      </c>
      <c r="C6945" s="14">
        <f ca="1">IFERROR(__xludf.DUMMYFUNCTION("""COMPUTED_VALUE"""),0)</f>
        <v>0</v>
      </c>
      <c r="D6945" s="12" t="str">
        <f ca="1">IFERROR(__xludf.DUMMYFUNCTION("""COMPUTED_VALUE"""),"菅野 ぎんが")</f>
        <v>菅野 ぎんが</v>
      </c>
    </row>
    <row r="6946" spans="2:4" ht="13">
      <c r="B6946" s="12">
        <f ca="1">IFERROR(__xludf.DUMMYFUNCTION("""COMPUTED_VALUE"""),136869)</f>
        <v>136869</v>
      </c>
      <c r="C6946" s="14">
        <f ca="1">IFERROR(__xludf.DUMMYFUNCTION("""COMPUTED_VALUE"""),0)</f>
        <v>0</v>
      </c>
      <c r="D6946" s="12" t="str">
        <f ca="1">IFERROR(__xludf.DUMMYFUNCTION("""COMPUTED_VALUE"""),"小関 麻起")</f>
        <v>小関 麻起</v>
      </c>
    </row>
    <row r="6947" spans="2:4" ht="13">
      <c r="B6947" s="12">
        <f ca="1">IFERROR(__xludf.DUMMYFUNCTION("""COMPUTED_VALUE"""),136874)</f>
        <v>136874</v>
      </c>
      <c r="C6947" s="14">
        <f ca="1">IFERROR(__xludf.DUMMYFUNCTION("""COMPUTED_VALUE"""),7)</f>
        <v>7</v>
      </c>
      <c r="D6947" s="12" t="str">
        <f ca="1">IFERROR(__xludf.DUMMYFUNCTION("""COMPUTED_VALUE"""),"松尾 尚樹")</f>
        <v>松尾 尚樹</v>
      </c>
    </row>
    <row r="6948" spans="2:4" ht="13">
      <c r="B6948" s="12">
        <f ca="1">IFERROR(__xludf.DUMMYFUNCTION("""COMPUTED_VALUE"""),136875)</f>
        <v>136875</v>
      </c>
      <c r="C6948" s="14">
        <f ca="1">IFERROR(__xludf.DUMMYFUNCTION("""COMPUTED_VALUE"""),55)</f>
        <v>55</v>
      </c>
      <c r="D6948" s="12" t="str">
        <f ca="1">IFERROR(__xludf.DUMMYFUNCTION("""COMPUTED_VALUE"""),"菅野 ぎんが")</f>
        <v>菅野 ぎんが</v>
      </c>
    </row>
    <row r="6949" spans="2:4" ht="13">
      <c r="B6949" s="12">
        <f ca="1">IFERROR(__xludf.DUMMYFUNCTION("""COMPUTED_VALUE"""),136878)</f>
        <v>136878</v>
      </c>
      <c r="C6949" s="14">
        <f ca="1">IFERROR(__xludf.DUMMYFUNCTION("""COMPUTED_VALUE"""),0)</f>
        <v>0</v>
      </c>
      <c r="D6949" s="12" t="str">
        <f ca="1">IFERROR(__xludf.DUMMYFUNCTION("""COMPUTED_VALUE"""),"稲場 勇介")</f>
        <v>稲場 勇介</v>
      </c>
    </row>
    <row r="6950" spans="2:4" ht="13">
      <c r="B6950" s="12">
        <f ca="1">IFERROR(__xludf.DUMMYFUNCTION("""COMPUTED_VALUE"""),136883)</f>
        <v>136883</v>
      </c>
      <c r="C6950" s="14">
        <f ca="1">IFERROR(__xludf.DUMMYFUNCTION("""COMPUTED_VALUE"""),7)</f>
        <v>7</v>
      </c>
      <c r="D6950" s="12" t="str">
        <f ca="1">IFERROR(__xludf.DUMMYFUNCTION("""COMPUTED_VALUE"""),"成嶋 夏未")</f>
        <v>成嶋 夏未</v>
      </c>
    </row>
    <row r="6951" spans="2:4" ht="13">
      <c r="B6951" s="12">
        <f ca="1">IFERROR(__xludf.DUMMYFUNCTION("""COMPUTED_VALUE"""),136891)</f>
        <v>136891</v>
      </c>
      <c r="C6951" s="14">
        <f ca="1">IFERROR(__xludf.DUMMYFUNCTION("""COMPUTED_VALUE"""),0)</f>
        <v>0</v>
      </c>
      <c r="D6951" s="12" t="str">
        <f ca="1">IFERROR(__xludf.DUMMYFUNCTION("""COMPUTED_VALUE"""),"長谷川 陸朗")</f>
        <v>長谷川 陸朗</v>
      </c>
    </row>
    <row r="6952" spans="2:4" ht="13">
      <c r="B6952" s="12">
        <f ca="1">IFERROR(__xludf.DUMMYFUNCTION("""COMPUTED_VALUE"""),136892)</f>
        <v>136892</v>
      </c>
      <c r="C6952" s="14">
        <f ca="1">IFERROR(__xludf.DUMMYFUNCTION("""COMPUTED_VALUE"""),0)</f>
        <v>0</v>
      </c>
      <c r="D6952" s="12" t="str">
        <f ca="1">IFERROR(__xludf.DUMMYFUNCTION("""COMPUTED_VALUE"""),"村上 浩一朗")</f>
        <v>村上 浩一朗</v>
      </c>
    </row>
    <row r="6953" spans="2:4" ht="13">
      <c r="B6953" s="12">
        <f ca="1">IFERROR(__xludf.DUMMYFUNCTION("""COMPUTED_VALUE"""),136895)</f>
        <v>136895</v>
      </c>
      <c r="C6953" s="14">
        <f ca="1">IFERROR(__xludf.DUMMYFUNCTION("""COMPUTED_VALUE"""),67)</f>
        <v>67</v>
      </c>
      <c r="D6953" s="12" t="str">
        <f ca="1">IFERROR(__xludf.DUMMYFUNCTION("""COMPUTED_VALUE"""),"老田 純輝")</f>
        <v>老田 純輝</v>
      </c>
    </row>
    <row r="6954" spans="2:4" ht="13">
      <c r="B6954" s="12">
        <f ca="1">IFERROR(__xludf.DUMMYFUNCTION("""COMPUTED_VALUE"""),136898)</f>
        <v>136898</v>
      </c>
      <c r="C6954" s="14">
        <f ca="1">IFERROR(__xludf.DUMMYFUNCTION("""COMPUTED_VALUE"""),43)</f>
        <v>43</v>
      </c>
      <c r="D6954" s="12" t="str">
        <f ca="1">IFERROR(__xludf.DUMMYFUNCTION("""COMPUTED_VALUE"""),"菅野 ぎんが")</f>
        <v>菅野 ぎんが</v>
      </c>
    </row>
    <row r="6955" spans="2:4" ht="13">
      <c r="B6955" s="12">
        <f ca="1">IFERROR(__xludf.DUMMYFUNCTION("""COMPUTED_VALUE"""),136902)</f>
        <v>136902</v>
      </c>
      <c r="C6955" s="14">
        <f ca="1">IFERROR(__xludf.DUMMYFUNCTION("""COMPUTED_VALUE"""),0)</f>
        <v>0</v>
      </c>
      <c r="D6955" s="12" t="str">
        <f ca="1">IFERROR(__xludf.DUMMYFUNCTION("""COMPUTED_VALUE"""),"内丸 裕子")</f>
        <v>内丸 裕子</v>
      </c>
    </row>
    <row r="6956" spans="2:4" ht="13">
      <c r="B6956" s="12">
        <f ca="1">IFERROR(__xludf.DUMMYFUNCTION("""COMPUTED_VALUE"""),136904)</f>
        <v>136904</v>
      </c>
      <c r="C6956" s="14">
        <f ca="1">IFERROR(__xludf.DUMMYFUNCTION("""COMPUTED_VALUE"""),0)</f>
        <v>0</v>
      </c>
      <c r="D6956" s="12" t="str">
        <f ca="1">IFERROR(__xludf.DUMMYFUNCTION("""COMPUTED_VALUE"""),"松尾 尚樹")</f>
        <v>松尾 尚樹</v>
      </c>
    </row>
    <row r="6957" spans="2:4" ht="13">
      <c r="B6957" s="12">
        <f ca="1">IFERROR(__xludf.DUMMYFUNCTION("""COMPUTED_VALUE"""),136920)</f>
        <v>136920</v>
      </c>
      <c r="C6957" s="14">
        <f ca="1">IFERROR(__xludf.DUMMYFUNCTION("""COMPUTED_VALUE"""),14)</f>
        <v>14</v>
      </c>
      <c r="D6957" s="12" t="str">
        <f ca="1">IFERROR(__xludf.DUMMYFUNCTION("""COMPUTED_VALUE"""),"松尾 尚樹")</f>
        <v>松尾 尚樹</v>
      </c>
    </row>
    <row r="6958" spans="2:4" ht="13">
      <c r="B6958" s="12">
        <f ca="1">IFERROR(__xludf.DUMMYFUNCTION("""COMPUTED_VALUE"""),136922)</f>
        <v>136922</v>
      </c>
      <c r="C6958" s="14">
        <f ca="1">IFERROR(__xludf.DUMMYFUNCTION("""COMPUTED_VALUE"""),2)</f>
        <v>2</v>
      </c>
      <c r="D6958" s="12" t="str">
        <f ca="1">IFERROR(__xludf.DUMMYFUNCTION("""COMPUTED_VALUE"""),"小関 麻起")</f>
        <v>小関 麻起</v>
      </c>
    </row>
    <row r="6959" spans="2:4" ht="13">
      <c r="B6959" s="12">
        <f ca="1">IFERROR(__xludf.DUMMYFUNCTION("""COMPUTED_VALUE"""),136939)</f>
        <v>136939</v>
      </c>
      <c r="C6959" s="14">
        <f ca="1">IFERROR(__xludf.DUMMYFUNCTION("""COMPUTED_VALUE"""),6)</f>
        <v>6</v>
      </c>
      <c r="D6959" s="12" t="str">
        <f ca="1">IFERROR(__xludf.DUMMYFUNCTION("""COMPUTED_VALUE"""),"松尾 尚樹")</f>
        <v>松尾 尚樹</v>
      </c>
    </row>
    <row r="6960" spans="2:4" ht="13">
      <c r="B6960" s="12">
        <f ca="1">IFERROR(__xludf.DUMMYFUNCTION("""COMPUTED_VALUE"""),136944)</f>
        <v>136944</v>
      </c>
      <c r="C6960" s="14">
        <f ca="1">IFERROR(__xludf.DUMMYFUNCTION("""COMPUTED_VALUE"""),0)</f>
        <v>0</v>
      </c>
      <c r="D6960" s="12" t="str">
        <f ca="1">IFERROR(__xludf.DUMMYFUNCTION("""COMPUTED_VALUE"""),"小関 麻起")</f>
        <v>小関 麻起</v>
      </c>
    </row>
    <row r="6961" spans="2:4" ht="13">
      <c r="B6961" s="12">
        <f ca="1">IFERROR(__xludf.DUMMYFUNCTION("""COMPUTED_VALUE"""),136948)</f>
        <v>136948</v>
      </c>
      <c r="C6961" s="14">
        <f ca="1">IFERROR(__xludf.DUMMYFUNCTION("""COMPUTED_VALUE"""),54)</f>
        <v>54</v>
      </c>
      <c r="D6961" s="12" t="str">
        <f ca="1">IFERROR(__xludf.DUMMYFUNCTION("""COMPUTED_VALUE"""),"荻曽 克輝")</f>
        <v>荻曽 克輝</v>
      </c>
    </row>
    <row r="6962" spans="2:4" ht="13">
      <c r="B6962" s="12">
        <f ca="1">IFERROR(__xludf.DUMMYFUNCTION("""COMPUTED_VALUE"""),136949)</f>
        <v>136949</v>
      </c>
      <c r="C6962" s="14">
        <f ca="1">IFERROR(__xludf.DUMMYFUNCTION("""COMPUTED_VALUE"""),26)</f>
        <v>26</v>
      </c>
      <c r="D6962" s="12" t="str">
        <f ca="1">IFERROR(__xludf.DUMMYFUNCTION("""COMPUTED_VALUE"""),"桐山 勝気")</f>
        <v>桐山 勝気</v>
      </c>
    </row>
    <row r="6963" spans="2:4" ht="13">
      <c r="B6963" s="12">
        <f ca="1">IFERROR(__xludf.DUMMYFUNCTION("""COMPUTED_VALUE"""),136951)</f>
        <v>136951</v>
      </c>
      <c r="C6963" s="14">
        <f ca="1">IFERROR(__xludf.DUMMYFUNCTION("""COMPUTED_VALUE"""),0)</f>
        <v>0</v>
      </c>
      <c r="D6963" s="12" t="str">
        <f ca="1">IFERROR(__xludf.DUMMYFUNCTION("""COMPUTED_VALUE"""),"成嶋 夏未")</f>
        <v>成嶋 夏未</v>
      </c>
    </row>
    <row r="6964" spans="2:4" ht="13">
      <c r="B6964" s="12">
        <f ca="1">IFERROR(__xludf.DUMMYFUNCTION("""COMPUTED_VALUE"""),136952)</f>
        <v>136952</v>
      </c>
      <c r="C6964" s="14">
        <f ca="1">IFERROR(__xludf.DUMMYFUNCTION("""COMPUTED_VALUE"""),4)</f>
        <v>4</v>
      </c>
      <c r="D6964" s="12" t="str">
        <f ca="1">IFERROR(__xludf.DUMMYFUNCTION("""COMPUTED_VALUE"""),"稲場 勇介")</f>
        <v>稲場 勇介</v>
      </c>
    </row>
    <row r="6965" spans="2:4" ht="13">
      <c r="B6965" s="12">
        <f ca="1">IFERROR(__xludf.DUMMYFUNCTION("""COMPUTED_VALUE"""),136953)</f>
        <v>136953</v>
      </c>
      <c r="C6965" s="14">
        <f ca="1">IFERROR(__xludf.DUMMYFUNCTION("""COMPUTED_VALUE"""),0)</f>
        <v>0</v>
      </c>
      <c r="D6965" s="12" t="str">
        <f ca="1">IFERROR(__xludf.DUMMYFUNCTION("""COMPUTED_VALUE"""),"小関 麻起")</f>
        <v>小関 麻起</v>
      </c>
    </row>
    <row r="6966" spans="2:4" ht="13">
      <c r="B6966" s="12">
        <f ca="1">IFERROR(__xludf.DUMMYFUNCTION("""COMPUTED_VALUE"""),136954)</f>
        <v>136954</v>
      </c>
      <c r="C6966" s="14">
        <f ca="1">IFERROR(__xludf.DUMMYFUNCTION("""COMPUTED_VALUE"""),1)</f>
        <v>1</v>
      </c>
      <c r="D6966" s="12" t="str">
        <f ca="1">IFERROR(__xludf.DUMMYFUNCTION("""COMPUTED_VALUE"""),"老田 純輝")</f>
        <v>老田 純輝</v>
      </c>
    </row>
    <row r="6967" spans="2:4" ht="13">
      <c r="B6967" s="12">
        <f ca="1">IFERROR(__xludf.DUMMYFUNCTION("""COMPUTED_VALUE"""),136955)</f>
        <v>136955</v>
      </c>
      <c r="C6967" s="14">
        <f ca="1">IFERROR(__xludf.DUMMYFUNCTION("""COMPUTED_VALUE"""),0)</f>
        <v>0</v>
      </c>
      <c r="D6967" s="12" t="str">
        <f ca="1">IFERROR(__xludf.DUMMYFUNCTION("""COMPUTED_VALUE"""),"小関 麻起")</f>
        <v>小関 麻起</v>
      </c>
    </row>
    <row r="6968" spans="2:4" ht="13">
      <c r="B6968" s="12">
        <f ca="1">IFERROR(__xludf.DUMMYFUNCTION("""COMPUTED_VALUE"""),136956)</f>
        <v>136956</v>
      </c>
      <c r="C6968" s="14">
        <f ca="1">IFERROR(__xludf.DUMMYFUNCTION("""COMPUTED_VALUE"""),0)</f>
        <v>0</v>
      </c>
      <c r="D6968" s="12" t="str">
        <f ca="1">IFERROR(__xludf.DUMMYFUNCTION("""COMPUTED_VALUE"""),"菅野 ぎんが")</f>
        <v>菅野 ぎんが</v>
      </c>
    </row>
    <row r="6969" spans="2:4" ht="13">
      <c r="B6969" s="12">
        <f ca="1">IFERROR(__xludf.DUMMYFUNCTION("""COMPUTED_VALUE"""),136968)</f>
        <v>136968</v>
      </c>
      <c r="C6969" s="14">
        <f ca="1">IFERROR(__xludf.DUMMYFUNCTION("""COMPUTED_VALUE"""),10)</f>
        <v>10</v>
      </c>
      <c r="D6969" s="12" t="str">
        <f ca="1">IFERROR(__xludf.DUMMYFUNCTION("""COMPUTED_VALUE"""),"長谷川 陸朗")</f>
        <v>長谷川 陸朗</v>
      </c>
    </row>
    <row r="6970" spans="2:4" ht="13">
      <c r="B6970" s="12">
        <f ca="1">IFERROR(__xludf.DUMMYFUNCTION("""COMPUTED_VALUE"""),136972)</f>
        <v>136972</v>
      </c>
      <c r="C6970" s="14">
        <f ca="1">IFERROR(__xludf.DUMMYFUNCTION("""COMPUTED_VALUE"""),0)</f>
        <v>0</v>
      </c>
      <c r="D6970" s="12" t="str">
        <f ca="1">IFERROR(__xludf.DUMMYFUNCTION("""COMPUTED_VALUE"""),"森 光智")</f>
        <v>森 光智</v>
      </c>
    </row>
    <row r="6971" spans="2:4" ht="13">
      <c r="B6971" s="12">
        <f ca="1">IFERROR(__xludf.DUMMYFUNCTION("""COMPUTED_VALUE"""),136975)</f>
        <v>136975</v>
      </c>
      <c r="C6971" s="14">
        <f ca="1">IFERROR(__xludf.DUMMYFUNCTION("""COMPUTED_VALUE"""),0)</f>
        <v>0</v>
      </c>
      <c r="D6971" s="12" t="str">
        <f ca="1">IFERROR(__xludf.DUMMYFUNCTION("""COMPUTED_VALUE"""),"田嶋 将太")</f>
        <v>田嶋 将太</v>
      </c>
    </row>
    <row r="6972" spans="2:4" ht="13">
      <c r="B6972" s="12">
        <f ca="1">IFERROR(__xludf.DUMMYFUNCTION("""COMPUTED_VALUE"""),136983)</f>
        <v>136983</v>
      </c>
      <c r="C6972" s="14">
        <f ca="1">IFERROR(__xludf.DUMMYFUNCTION("""COMPUTED_VALUE"""),17)</f>
        <v>17</v>
      </c>
      <c r="D6972" s="12" t="str">
        <f ca="1">IFERROR(__xludf.DUMMYFUNCTION("""COMPUTED_VALUE"""),"長谷川 陸朗")</f>
        <v>長谷川 陸朗</v>
      </c>
    </row>
    <row r="6973" spans="2:4" ht="13">
      <c r="B6973" s="12">
        <f ca="1">IFERROR(__xludf.DUMMYFUNCTION("""COMPUTED_VALUE"""),136987)</f>
        <v>136987</v>
      </c>
      <c r="C6973" s="14">
        <f ca="1">IFERROR(__xludf.DUMMYFUNCTION("""COMPUTED_VALUE"""),21)</f>
        <v>21</v>
      </c>
      <c r="D6973" s="12" t="str">
        <f ca="1">IFERROR(__xludf.DUMMYFUNCTION("""COMPUTED_VALUE"""),"小川 純")</f>
        <v>小川 純</v>
      </c>
    </row>
    <row r="6974" spans="2:4" ht="13">
      <c r="B6974" s="12">
        <f ca="1">IFERROR(__xludf.DUMMYFUNCTION("""COMPUTED_VALUE"""),136988)</f>
        <v>136988</v>
      </c>
      <c r="C6974" s="14">
        <f ca="1">IFERROR(__xludf.DUMMYFUNCTION("""COMPUTED_VALUE"""),2)</f>
        <v>2</v>
      </c>
      <c r="D6974" s="12" t="str">
        <f ca="1">IFERROR(__xludf.DUMMYFUNCTION("""COMPUTED_VALUE"""),"小関 麻起")</f>
        <v>小関 麻起</v>
      </c>
    </row>
    <row r="6975" spans="2:4" ht="13">
      <c r="B6975" s="12">
        <f ca="1">IFERROR(__xludf.DUMMYFUNCTION("""COMPUTED_VALUE"""),136991)</f>
        <v>136991</v>
      </c>
      <c r="C6975" s="14">
        <f ca="1">IFERROR(__xludf.DUMMYFUNCTION("""COMPUTED_VALUE"""),50)</f>
        <v>50</v>
      </c>
      <c r="D6975" s="12" t="str">
        <f ca="1">IFERROR(__xludf.DUMMYFUNCTION("""COMPUTED_VALUE"""),"桐山 勝気")</f>
        <v>桐山 勝気</v>
      </c>
    </row>
    <row r="6976" spans="2:4" ht="13">
      <c r="B6976" s="12">
        <f ca="1">IFERROR(__xludf.DUMMYFUNCTION("""COMPUTED_VALUE"""),136992)</f>
        <v>136992</v>
      </c>
      <c r="C6976" s="14">
        <f ca="1">IFERROR(__xludf.DUMMYFUNCTION("""COMPUTED_VALUE"""),47)</f>
        <v>47</v>
      </c>
      <c r="D6976" s="12" t="str">
        <f ca="1">IFERROR(__xludf.DUMMYFUNCTION("""COMPUTED_VALUE"""),"成嶋 夏未")</f>
        <v>成嶋 夏未</v>
      </c>
    </row>
    <row r="6977" spans="2:4" ht="13">
      <c r="B6977" s="12">
        <f ca="1">IFERROR(__xludf.DUMMYFUNCTION("""COMPUTED_VALUE"""),137001)</f>
        <v>137001</v>
      </c>
      <c r="C6977" s="14">
        <f ca="1">IFERROR(__xludf.DUMMYFUNCTION("""COMPUTED_VALUE"""),1)</f>
        <v>1</v>
      </c>
      <c r="D6977" s="12" t="str">
        <f ca="1">IFERROR(__xludf.DUMMYFUNCTION("""COMPUTED_VALUE"""),"菅野 ぎんが")</f>
        <v>菅野 ぎんが</v>
      </c>
    </row>
    <row r="6978" spans="2:4" ht="13">
      <c r="B6978" s="12">
        <f ca="1">IFERROR(__xludf.DUMMYFUNCTION("""COMPUTED_VALUE"""),137003)</f>
        <v>137003</v>
      </c>
      <c r="C6978" s="14">
        <f ca="1">IFERROR(__xludf.DUMMYFUNCTION("""COMPUTED_VALUE"""),0)</f>
        <v>0</v>
      </c>
      <c r="D6978" s="12" t="str">
        <f ca="1">IFERROR(__xludf.DUMMYFUNCTION("""COMPUTED_VALUE"""),"栗原 大武")</f>
        <v>栗原 大武</v>
      </c>
    </row>
    <row r="6979" spans="2:4" ht="13">
      <c r="B6979" s="12">
        <f ca="1">IFERROR(__xludf.DUMMYFUNCTION("""COMPUTED_VALUE"""),137008)</f>
        <v>137008</v>
      </c>
      <c r="C6979" s="14">
        <f ca="1">IFERROR(__xludf.DUMMYFUNCTION("""COMPUTED_VALUE"""),24)</f>
        <v>24</v>
      </c>
      <c r="D6979" s="12" t="str">
        <f ca="1">IFERROR(__xludf.DUMMYFUNCTION("""COMPUTED_VALUE"""),"桑原 明子")</f>
        <v>桑原 明子</v>
      </c>
    </row>
    <row r="6980" spans="2:4" ht="13">
      <c r="B6980" s="12">
        <f ca="1">IFERROR(__xludf.DUMMYFUNCTION("""COMPUTED_VALUE"""),137019)</f>
        <v>137019</v>
      </c>
      <c r="C6980" s="14">
        <f ca="1">IFERROR(__xludf.DUMMYFUNCTION("""COMPUTED_VALUE"""),0)</f>
        <v>0</v>
      </c>
      <c r="D6980" s="12" t="str">
        <f ca="1">IFERROR(__xludf.DUMMYFUNCTION("""COMPUTED_VALUE"""),"成嶋 夏未")</f>
        <v>成嶋 夏未</v>
      </c>
    </row>
    <row r="6981" spans="2:4" ht="13">
      <c r="B6981" s="12">
        <f ca="1">IFERROR(__xludf.DUMMYFUNCTION("""COMPUTED_VALUE"""),137045)</f>
        <v>137045</v>
      </c>
      <c r="C6981" s="14">
        <f ca="1">IFERROR(__xludf.DUMMYFUNCTION("""COMPUTED_VALUE"""),11)</f>
        <v>11</v>
      </c>
      <c r="D6981" s="12" t="str">
        <f ca="1">IFERROR(__xludf.DUMMYFUNCTION("""COMPUTED_VALUE"""),"成嶋 夏未")</f>
        <v>成嶋 夏未</v>
      </c>
    </row>
    <row r="6982" spans="2:4" ht="13">
      <c r="B6982" s="12">
        <f ca="1">IFERROR(__xludf.DUMMYFUNCTION("""COMPUTED_VALUE"""),137049)</f>
        <v>137049</v>
      </c>
      <c r="C6982" s="14">
        <f ca="1">IFERROR(__xludf.DUMMYFUNCTION("""COMPUTED_VALUE"""),0)</f>
        <v>0</v>
      </c>
      <c r="D6982" s="12" t="str">
        <f ca="1">IFERROR(__xludf.DUMMYFUNCTION("""COMPUTED_VALUE"""),"芳賀 亮輔")</f>
        <v>芳賀 亮輔</v>
      </c>
    </row>
    <row r="6983" spans="2:4" ht="13">
      <c r="B6983" s="12">
        <f ca="1">IFERROR(__xludf.DUMMYFUNCTION("""COMPUTED_VALUE"""),137058)</f>
        <v>137058</v>
      </c>
      <c r="C6983" s="14">
        <f ca="1">IFERROR(__xludf.DUMMYFUNCTION("""COMPUTED_VALUE"""),0)</f>
        <v>0</v>
      </c>
      <c r="D6983" s="12" t="str">
        <f ca="1">IFERROR(__xludf.DUMMYFUNCTION("""COMPUTED_VALUE"""),"荻曽 克輝")</f>
        <v>荻曽 克輝</v>
      </c>
    </row>
    <row r="6984" spans="2:4" ht="13">
      <c r="B6984" s="12">
        <f ca="1">IFERROR(__xludf.DUMMYFUNCTION("""COMPUTED_VALUE"""),137067)</f>
        <v>137067</v>
      </c>
      <c r="C6984" s="14">
        <f ca="1">IFERROR(__xludf.DUMMYFUNCTION("""COMPUTED_VALUE"""),0)</f>
        <v>0</v>
      </c>
      <c r="D6984" s="12" t="str">
        <f ca="1">IFERROR(__xludf.DUMMYFUNCTION("""COMPUTED_VALUE"""),"栗原 大武")</f>
        <v>栗原 大武</v>
      </c>
    </row>
    <row r="6985" spans="2:4" ht="13">
      <c r="B6985" s="12">
        <f ca="1">IFERROR(__xludf.DUMMYFUNCTION("""COMPUTED_VALUE"""),137073)</f>
        <v>137073</v>
      </c>
      <c r="C6985" s="14">
        <f ca="1">IFERROR(__xludf.DUMMYFUNCTION("""COMPUTED_VALUE"""),0)</f>
        <v>0</v>
      </c>
      <c r="D6985" s="12" t="str">
        <f ca="1">IFERROR(__xludf.DUMMYFUNCTION("""COMPUTED_VALUE"""),"成嶋 夏未")</f>
        <v>成嶋 夏未</v>
      </c>
    </row>
    <row r="6986" spans="2:4" ht="13">
      <c r="B6986" s="12">
        <f ca="1">IFERROR(__xludf.DUMMYFUNCTION("""COMPUTED_VALUE"""),137078)</f>
        <v>137078</v>
      </c>
      <c r="C6986" s="14">
        <f ca="1">IFERROR(__xludf.DUMMYFUNCTION("""COMPUTED_VALUE"""),0)</f>
        <v>0</v>
      </c>
      <c r="D6986" s="12" t="str">
        <f ca="1">IFERROR(__xludf.DUMMYFUNCTION("""COMPUTED_VALUE"""),"成嶋 夏未")</f>
        <v>成嶋 夏未</v>
      </c>
    </row>
    <row r="6987" spans="2:4" ht="13">
      <c r="B6987" s="12">
        <f ca="1">IFERROR(__xludf.DUMMYFUNCTION("""COMPUTED_VALUE"""),137082)</f>
        <v>137082</v>
      </c>
      <c r="C6987" s="14">
        <f ca="1">IFERROR(__xludf.DUMMYFUNCTION("""COMPUTED_VALUE"""),27)</f>
        <v>27</v>
      </c>
      <c r="D6987" s="12" t="str">
        <f ca="1">IFERROR(__xludf.DUMMYFUNCTION("""COMPUTED_VALUE"""),"小川 純")</f>
        <v>小川 純</v>
      </c>
    </row>
    <row r="6988" spans="2:4" ht="13">
      <c r="B6988" s="12">
        <f ca="1">IFERROR(__xludf.DUMMYFUNCTION("""COMPUTED_VALUE"""),137091)</f>
        <v>137091</v>
      </c>
      <c r="C6988" s="14">
        <f ca="1">IFERROR(__xludf.DUMMYFUNCTION("""COMPUTED_VALUE"""),0)</f>
        <v>0</v>
      </c>
      <c r="D6988" s="12" t="str">
        <f ca="1">IFERROR(__xludf.DUMMYFUNCTION("""COMPUTED_VALUE"""),"稲場 勇介")</f>
        <v>稲場 勇介</v>
      </c>
    </row>
    <row r="6989" spans="2:4" ht="13">
      <c r="B6989" s="12">
        <f ca="1">IFERROR(__xludf.DUMMYFUNCTION("""COMPUTED_VALUE"""),137093)</f>
        <v>137093</v>
      </c>
      <c r="C6989" s="14">
        <f ca="1">IFERROR(__xludf.DUMMYFUNCTION("""COMPUTED_VALUE"""),0)</f>
        <v>0</v>
      </c>
      <c r="D6989" s="12" t="str">
        <f ca="1">IFERROR(__xludf.DUMMYFUNCTION("""COMPUTED_VALUE"""),"村上 浩一朗")</f>
        <v>村上 浩一朗</v>
      </c>
    </row>
    <row r="6990" spans="2:4" ht="13">
      <c r="B6990" s="12">
        <f ca="1">IFERROR(__xludf.DUMMYFUNCTION("""COMPUTED_VALUE"""),137100)</f>
        <v>137100</v>
      </c>
      <c r="C6990" s="14">
        <f ca="1">IFERROR(__xludf.DUMMYFUNCTION("""COMPUTED_VALUE"""),51)</f>
        <v>51</v>
      </c>
      <c r="D6990" s="12" t="str">
        <f ca="1">IFERROR(__xludf.DUMMYFUNCTION("""COMPUTED_VALUE"""),"松尾 尚樹")</f>
        <v>松尾 尚樹</v>
      </c>
    </row>
    <row r="6991" spans="2:4" ht="13">
      <c r="B6991" s="12">
        <f ca="1">IFERROR(__xludf.DUMMYFUNCTION("""COMPUTED_VALUE"""),137105)</f>
        <v>137105</v>
      </c>
      <c r="C6991" s="14">
        <f ca="1">IFERROR(__xludf.DUMMYFUNCTION("""COMPUTED_VALUE"""),0)</f>
        <v>0</v>
      </c>
      <c r="D6991" s="12" t="str">
        <f ca="1">IFERROR(__xludf.DUMMYFUNCTION("""COMPUTED_VALUE"""),"桐山 勝気")</f>
        <v>桐山 勝気</v>
      </c>
    </row>
    <row r="6992" spans="2:4" ht="13">
      <c r="B6992" s="12">
        <f ca="1">IFERROR(__xludf.DUMMYFUNCTION("""COMPUTED_VALUE"""),137113)</f>
        <v>137113</v>
      </c>
      <c r="C6992" s="14">
        <f ca="1">IFERROR(__xludf.DUMMYFUNCTION("""COMPUTED_VALUE"""),17)</f>
        <v>17</v>
      </c>
      <c r="D6992" s="12" t="str">
        <f ca="1">IFERROR(__xludf.DUMMYFUNCTION("""COMPUTED_VALUE"""),"小関 麻起")</f>
        <v>小関 麻起</v>
      </c>
    </row>
    <row r="6993" spans="2:4" ht="13">
      <c r="B6993" s="12">
        <f ca="1">IFERROR(__xludf.DUMMYFUNCTION("""COMPUTED_VALUE"""),137115)</f>
        <v>137115</v>
      </c>
      <c r="C6993" s="14">
        <f ca="1">IFERROR(__xludf.DUMMYFUNCTION("""COMPUTED_VALUE"""),1)</f>
        <v>1</v>
      </c>
      <c r="D6993" s="12" t="str">
        <f ca="1">IFERROR(__xludf.DUMMYFUNCTION("""COMPUTED_VALUE"""),"長谷川 陸朗")</f>
        <v>長谷川 陸朗</v>
      </c>
    </row>
    <row r="6994" spans="2:4" ht="13">
      <c r="B6994" s="12">
        <f ca="1">IFERROR(__xludf.DUMMYFUNCTION("""COMPUTED_VALUE"""),137117)</f>
        <v>137117</v>
      </c>
      <c r="C6994" s="14">
        <f ca="1">IFERROR(__xludf.DUMMYFUNCTION("""COMPUTED_VALUE"""),0)</f>
        <v>0</v>
      </c>
      <c r="D6994" s="12" t="str">
        <f ca="1">IFERROR(__xludf.DUMMYFUNCTION("""COMPUTED_VALUE"""),"村上 浩一朗")</f>
        <v>村上 浩一朗</v>
      </c>
    </row>
    <row r="6995" spans="2:4" ht="13">
      <c r="B6995" s="12">
        <f ca="1">IFERROR(__xludf.DUMMYFUNCTION("""COMPUTED_VALUE"""),137118)</f>
        <v>137118</v>
      </c>
      <c r="C6995" s="14">
        <f ca="1">IFERROR(__xludf.DUMMYFUNCTION("""COMPUTED_VALUE"""),0)</f>
        <v>0</v>
      </c>
      <c r="D6995" s="12" t="str">
        <f ca="1">IFERROR(__xludf.DUMMYFUNCTION("""COMPUTED_VALUE"""),"菅野 ぎんが")</f>
        <v>菅野 ぎんが</v>
      </c>
    </row>
    <row r="6996" spans="2:4" ht="13">
      <c r="B6996" s="12">
        <f ca="1">IFERROR(__xludf.DUMMYFUNCTION("""COMPUTED_VALUE"""),137120)</f>
        <v>137120</v>
      </c>
      <c r="C6996" s="14">
        <f ca="1">IFERROR(__xludf.DUMMYFUNCTION("""COMPUTED_VALUE"""),0)</f>
        <v>0</v>
      </c>
      <c r="D6996" s="12" t="str">
        <f ca="1">IFERROR(__xludf.DUMMYFUNCTION("""COMPUTED_VALUE"""),"川島 幹也")</f>
        <v>川島 幹也</v>
      </c>
    </row>
    <row r="6997" spans="2:4" ht="13">
      <c r="B6997" s="12">
        <f ca="1">IFERROR(__xludf.DUMMYFUNCTION("""COMPUTED_VALUE"""),137122)</f>
        <v>137122</v>
      </c>
      <c r="C6997" s="14">
        <f ca="1">IFERROR(__xludf.DUMMYFUNCTION("""COMPUTED_VALUE"""),0)</f>
        <v>0</v>
      </c>
      <c r="D6997" s="12" t="str">
        <f ca="1">IFERROR(__xludf.DUMMYFUNCTION("""COMPUTED_VALUE"""),"荻曽 克輝")</f>
        <v>荻曽 克輝</v>
      </c>
    </row>
    <row r="6998" spans="2:4" ht="13">
      <c r="B6998" s="12">
        <f ca="1">IFERROR(__xludf.DUMMYFUNCTION("""COMPUTED_VALUE"""),137131)</f>
        <v>137131</v>
      </c>
      <c r="C6998" s="14">
        <f ca="1">IFERROR(__xludf.DUMMYFUNCTION("""COMPUTED_VALUE"""),32)</f>
        <v>32</v>
      </c>
      <c r="D6998" s="12" t="str">
        <f ca="1">IFERROR(__xludf.DUMMYFUNCTION("""COMPUTED_VALUE"""),"成嶋 夏未")</f>
        <v>成嶋 夏未</v>
      </c>
    </row>
    <row r="6999" spans="2:4" ht="13">
      <c r="B6999" s="12">
        <f ca="1">IFERROR(__xludf.DUMMYFUNCTION("""COMPUTED_VALUE"""),137135)</f>
        <v>137135</v>
      </c>
      <c r="C6999" s="14">
        <f ca="1">IFERROR(__xludf.DUMMYFUNCTION("""COMPUTED_VALUE"""),0)</f>
        <v>0</v>
      </c>
      <c r="D6999" s="12" t="str">
        <f ca="1">IFERROR(__xludf.DUMMYFUNCTION("""COMPUTED_VALUE"""),"老田 純輝")</f>
        <v>老田 純輝</v>
      </c>
    </row>
    <row r="7000" spans="2:4" ht="13">
      <c r="B7000" s="12">
        <f ca="1">IFERROR(__xludf.DUMMYFUNCTION("""COMPUTED_VALUE"""),137142)</f>
        <v>137142</v>
      </c>
      <c r="C7000" s="14">
        <f ca="1">IFERROR(__xludf.DUMMYFUNCTION("""COMPUTED_VALUE"""),34)</f>
        <v>34</v>
      </c>
      <c r="D7000" s="12" t="str">
        <f ca="1">IFERROR(__xludf.DUMMYFUNCTION("""COMPUTED_VALUE"""),"桐山 勝気")</f>
        <v>桐山 勝気</v>
      </c>
    </row>
    <row r="7001" spans="2:4" ht="13">
      <c r="B7001" s="12">
        <f ca="1">IFERROR(__xludf.DUMMYFUNCTION("""COMPUTED_VALUE"""),137153)</f>
        <v>137153</v>
      </c>
      <c r="C7001" s="14">
        <f ca="1">IFERROR(__xludf.DUMMYFUNCTION("""COMPUTED_VALUE"""),0)</f>
        <v>0</v>
      </c>
      <c r="D7001" s="12" t="str">
        <f ca="1">IFERROR(__xludf.DUMMYFUNCTION("""COMPUTED_VALUE"""),"川島 幹也")</f>
        <v>川島 幹也</v>
      </c>
    </row>
    <row r="7002" spans="2:4" ht="13">
      <c r="B7002" s="12">
        <f ca="1">IFERROR(__xludf.DUMMYFUNCTION("""COMPUTED_VALUE"""),137154)</f>
        <v>137154</v>
      </c>
      <c r="C7002" s="14">
        <f ca="1">IFERROR(__xludf.DUMMYFUNCTION("""COMPUTED_VALUE"""),0)</f>
        <v>0</v>
      </c>
      <c r="D7002" s="12" t="str">
        <f ca="1">IFERROR(__xludf.DUMMYFUNCTION("""COMPUTED_VALUE"""),"内丸 裕子")</f>
        <v>内丸 裕子</v>
      </c>
    </row>
    <row r="7003" spans="2:4" ht="13">
      <c r="B7003" s="12">
        <f ca="1">IFERROR(__xludf.DUMMYFUNCTION("""COMPUTED_VALUE"""),137157)</f>
        <v>137157</v>
      </c>
      <c r="C7003" s="14">
        <f ca="1">IFERROR(__xludf.DUMMYFUNCTION("""COMPUTED_VALUE"""),8)</f>
        <v>8</v>
      </c>
      <c r="D7003" s="12" t="str">
        <f ca="1">IFERROR(__xludf.DUMMYFUNCTION("""COMPUTED_VALUE"""),"成嶋 夏未")</f>
        <v>成嶋 夏未</v>
      </c>
    </row>
    <row r="7004" spans="2:4" ht="13">
      <c r="B7004" s="12">
        <f ca="1">IFERROR(__xludf.DUMMYFUNCTION("""COMPUTED_VALUE"""),137162)</f>
        <v>137162</v>
      </c>
      <c r="C7004" s="14">
        <f ca="1">IFERROR(__xludf.DUMMYFUNCTION("""COMPUTED_VALUE"""),63)</f>
        <v>63</v>
      </c>
      <c r="D7004" s="12" t="str">
        <f ca="1">IFERROR(__xludf.DUMMYFUNCTION("""COMPUTED_VALUE"""),"辻村 将大")</f>
        <v>辻村 将大</v>
      </c>
    </row>
    <row r="7005" spans="2:4" ht="13">
      <c r="B7005" s="12">
        <f ca="1">IFERROR(__xludf.DUMMYFUNCTION("""COMPUTED_VALUE"""),137169)</f>
        <v>137169</v>
      </c>
      <c r="C7005" s="14">
        <f ca="1">IFERROR(__xludf.DUMMYFUNCTION("""COMPUTED_VALUE"""),0)</f>
        <v>0</v>
      </c>
      <c r="D7005" s="12" t="str">
        <f ca="1">IFERROR(__xludf.DUMMYFUNCTION("""COMPUTED_VALUE"""),"稲場 勇介")</f>
        <v>稲場 勇介</v>
      </c>
    </row>
    <row r="7006" spans="2:4" ht="13">
      <c r="B7006" s="12">
        <f ca="1">IFERROR(__xludf.DUMMYFUNCTION("""COMPUTED_VALUE"""),137170)</f>
        <v>137170</v>
      </c>
      <c r="C7006" s="14">
        <f ca="1">IFERROR(__xludf.DUMMYFUNCTION("""COMPUTED_VALUE"""),24)</f>
        <v>24</v>
      </c>
      <c r="D7006" s="12" t="str">
        <f ca="1">IFERROR(__xludf.DUMMYFUNCTION("""COMPUTED_VALUE"""),"内丸 裕子")</f>
        <v>内丸 裕子</v>
      </c>
    </row>
    <row r="7007" spans="2:4" ht="13">
      <c r="B7007" s="12">
        <f ca="1">IFERROR(__xludf.DUMMYFUNCTION("""COMPUTED_VALUE"""),137175)</f>
        <v>137175</v>
      </c>
      <c r="C7007" s="14">
        <f ca="1">IFERROR(__xludf.DUMMYFUNCTION("""COMPUTED_VALUE"""),24)</f>
        <v>24</v>
      </c>
      <c r="D7007" s="12" t="str">
        <f ca="1">IFERROR(__xludf.DUMMYFUNCTION("""COMPUTED_VALUE"""),"小川 純")</f>
        <v>小川 純</v>
      </c>
    </row>
    <row r="7008" spans="2:4" ht="13">
      <c r="B7008" s="12">
        <f ca="1">IFERROR(__xludf.DUMMYFUNCTION("""COMPUTED_VALUE"""),137176)</f>
        <v>137176</v>
      </c>
      <c r="C7008" s="14">
        <f ca="1">IFERROR(__xludf.DUMMYFUNCTION("""COMPUTED_VALUE"""),0)</f>
        <v>0</v>
      </c>
      <c r="D7008" s="12" t="str">
        <f ca="1">IFERROR(__xludf.DUMMYFUNCTION("""COMPUTED_VALUE"""),"川島 幹也")</f>
        <v>川島 幹也</v>
      </c>
    </row>
    <row r="7009" spans="2:4" ht="13">
      <c r="B7009" s="12">
        <f ca="1">IFERROR(__xludf.DUMMYFUNCTION("""COMPUTED_VALUE"""),137177)</f>
        <v>137177</v>
      </c>
      <c r="C7009" s="14">
        <f ca="1">IFERROR(__xludf.DUMMYFUNCTION("""COMPUTED_VALUE"""),5)</f>
        <v>5</v>
      </c>
      <c r="D7009" s="12" t="str">
        <f ca="1">IFERROR(__xludf.DUMMYFUNCTION("""COMPUTED_VALUE"""),"荻曽 克輝")</f>
        <v>荻曽 克輝</v>
      </c>
    </row>
    <row r="7010" spans="2:4" ht="13">
      <c r="B7010" s="12">
        <f ca="1">IFERROR(__xludf.DUMMYFUNCTION("""COMPUTED_VALUE"""),137178)</f>
        <v>137178</v>
      </c>
      <c r="C7010" s="14">
        <f ca="1">IFERROR(__xludf.DUMMYFUNCTION("""COMPUTED_VALUE"""),0)</f>
        <v>0</v>
      </c>
      <c r="D7010" s="12" t="str">
        <f ca="1">IFERROR(__xludf.DUMMYFUNCTION("""COMPUTED_VALUE"""),"成嶋 夏未")</f>
        <v>成嶋 夏未</v>
      </c>
    </row>
    <row r="7011" spans="2:4" ht="13">
      <c r="B7011" s="12">
        <f ca="1">IFERROR(__xludf.DUMMYFUNCTION("""COMPUTED_VALUE"""),137179)</f>
        <v>137179</v>
      </c>
      <c r="C7011" s="14">
        <f ca="1">IFERROR(__xludf.DUMMYFUNCTION("""COMPUTED_VALUE"""),0)</f>
        <v>0</v>
      </c>
      <c r="D7011" s="12" t="str">
        <f ca="1">IFERROR(__xludf.DUMMYFUNCTION("""COMPUTED_VALUE"""),"芳賀 亮輔")</f>
        <v>芳賀 亮輔</v>
      </c>
    </row>
    <row r="7012" spans="2:4" ht="13">
      <c r="B7012" s="12">
        <f ca="1">IFERROR(__xludf.DUMMYFUNCTION("""COMPUTED_VALUE"""),137185)</f>
        <v>137185</v>
      </c>
      <c r="C7012" s="14">
        <f ca="1">IFERROR(__xludf.DUMMYFUNCTION("""COMPUTED_VALUE"""),0)</f>
        <v>0</v>
      </c>
      <c r="D7012" s="12" t="str">
        <f ca="1">IFERROR(__xludf.DUMMYFUNCTION("""COMPUTED_VALUE"""),"内丸 裕子")</f>
        <v>内丸 裕子</v>
      </c>
    </row>
    <row r="7013" spans="2:4" ht="13">
      <c r="B7013" s="12">
        <f ca="1">IFERROR(__xludf.DUMMYFUNCTION("""COMPUTED_VALUE"""),137194)</f>
        <v>137194</v>
      </c>
      <c r="C7013" s="14">
        <f ca="1">IFERROR(__xludf.DUMMYFUNCTION("""COMPUTED_VALUE"""),30)</f>
        <v>30</v>
      </c>
      <c r="D7013" s="12" t="str">
        <f ca="1">IFERROR(__xludf.DUMMYFUNCTION("""COMPUTED_VALUE"""),"栗原 大武")</f>
        <v>栗原 大武</v>
      </c>
    </row>
    <row r="7014" spans="2:4" ht="13">
      <c r="B7014" s="12">
        <f ca="1">IFERROR(__xludf.DUMMYFUNCTION("""COMPUTED_VALUE"""),137200)</f>
        <v>137200</v>
      </c>
      <c r="C7014" s="14">
        <f ca="1">IFERROR(__xludf.DUMMYFUNCTION("""COMPUTED_VALUE"""),0)</f>
        <v>0</v>
      </c>
      <c r="D7014" s="12" t="str">
        <f ca="1">IFERROR(__xludf.DUMMYFUNCTION("""COMPUTED_VALUE"""),"芳賀 亮輔")</f>
        <v>芳賀 亮輔</v>
      </c>
    </row>
    <row r="7015" spans="2:4" ht="13">
      <c r="B7015" s="12">
        <f ca="1">IFERROR(__xludf.DUMMYFUNCTION("""COMPUTED_VALUE"""),137203)</f>
        <v>137203</v>
      </c>
      <c r="C7015" s="14">
        <f ca="1">IFERROR(__xludf.DUMMYFUNCTION("""COMPUTED_VALUE"""),2)</f>
        <v>2</v>
      </c>
      <c r="D7015" s="12" t="str">
        <f ca="1">IFERROR(__xludf.DUMMYFUNCTION("""COMPUTED_VALUE"""),"老田 純輝")</f>
        <v>老田 純輝</v>
      </c>
    </row>
    <row r="7016" spans="2:4" ht="13">
      <c r="B7016" s="12">
        <f ca="1">IFERROR(__xludf.DUMMYFUNCTION("""COMPUTED_VALUE"""),137205)</f>
        <v>137205</v>
      </c>
      <c r="C7016" s="14">
        <f ca="1">IFERROR(__xludf.DUMMYFUNCTION("""COMPUTED_VALUE"""),0)</f>
        <v>0</v>
      </c>
      <c r="D7016" s="12" t="str">
        <f ca="1">IFERROR(__xludf.DUMMYFUNCTION("""COMPUTED_VALUE"""),"松尾 尚樹")</f>
        <v>松尾 尚樹</v>
      </c>
    </row>
    <row r="7017" spans="2:4" ht="13">
      <c r="B7017" s="12">
        <f ca="1">IFERROR(__xludf.DUMMYFUNCTION("""COMPUTED_VALUE"""),137209)</f>
        <v>137209</v>
      </c>
      <c r="C7017" s="14">
        <f ca="1">IFERROR(__xludf.DUMMYFUNCTION("""COMPUTED_VALUE"""),0)</f>
        <v>0</v>
      </c>
      <c r="D7017" s="12" t="str">
        <f ca="1">IFERROR(__xludf.DUMMYFUNCTION("""COMPUTED_VALUE"""),"村上 浩一朗")</f>
        <v>村上 浩一朗</v>
      </c>
    </row>
    <row r="7018" spans="2:4" ht="13">
      <c r="B7018" s="12">
        <f ca="1">IFERROR(__xludf.DUMMYFUNCTION("""COMPUTED_VALUE"""),137211)</f>
        <v>137211</v>
      </c>
      <c r="C7018" s="14">
        <f ca="1">IFERROR(__xludf.DUMMYFUNCTION("""COMPUTED_VALUE"""),0)</f>
        <v>0</v>
      </c>
      <c r="D7018" s="12" t="str">
        <f ca="1">IFERROR(__xludf.DUMMYFUNCTION("""COMPUTED_VALUE"""),"村上 浩一朗")</f>
        <v>村上 浩一朗</v>
      </c>
    </row>
    <row r="7019" spans="2:4" ht="13">
      <c r="B7019" s="12">
        <f ca="1">IFERROR(__xludf.DUMMYFUNCTION("""COMPUTED_VALUE"""),137212)</f>
        <v>137212</v>
      </c>
      <c r="C7019" s="14">
        <f ca="1">IFERROR(__xludf.DUMMYFUNCTION("""COMPUTED_VALUE"""),0)</f>
        <v>0</v>
      </c>
      <c r="D7019" s="12" t="str">
        <f ca="1">IFERROR(__xludf.DUMMYFUNCTION("""COMPUTED_VALUE"""),"長谷川 陸朗")</f>
        <v>長谷川 陸朗</v>
      </c>
    </row>
    <row r="7020" spans="2:4" ht="13">
      <c r="B7020" s="12">
        <f ca="1">IFERROR(__xludf.DUMMYFUNCTION("""COMPUTED_VALUE"""),137219)</f>
        <v>137219</v>
      </c>
      <c r="C7020" s="14">
        <f ca="1">IFERROR(__xludf.DUMMYFUNCTION("""COMPUTED_VALUE"""),0)</f>
        <v>0</v>
      </c>
      <c r="D7020" s="12" t="str">
        <f ca="1">IFERROR(__xludf.DUMMYFUNCTION("""COMPUTED_VALUE"""),"松尾 尚樹")</f>
        <v>松尾 尚樹</v>
      </c>
    </row>
    <row r="7021" spans="2:4" ht="13">
      <c r="B7021" s="12">
        <f ca="1">IFERROR(__xludf.DUMMYFUNCTION("""COMPUTED_VALUE"""),137225)</f>
        <v>137225</v>
      </c>
      <c r="C7021" s="14">
        <f ca="1">IFERROR(__xludf.DUMMYFUNCTION("""COMPUTED_VALUE"""),0)</f>
        <v>0</v>
      </c>
      <c r="D7021" s="12" t="str">
        <f ca="1">IFERROR(__xludf.DUMMYFUNCTION("""COMPUTED_VALUE"""),"桐山 勝気")</f>
        <v>桐山 勝気</v>
      </c>
    </row>
    <row r="7022" spans="2:4" ht="13">
      <c r="B7022" s="12">
        <f ca="1">IFERROR(__xludf.DUMMYFUNCTION("""COMPUTED_VALUE"""),137226)</f>
        <v>137226</v>
      </c>
      <c r="C7022" s="14">
        <f ca="1">IFERROR(__xludf.DUMMYFUNCTION("""COMPUTED_VALUE"""),3)</f>
        <v>3</v>
      </c>
      <c r="D7022" s="12" t="str">
        <f ca="1">IFERROR(__xludf.DUMMYFUNCTION("""COMPUTED_VALUE"""),"荻曽 克輝")</f>
        <v>荻曽 克輝</v>
      </c>
    </row>
    <row r="7023" spans="2:4" ht="13">
      <c r="B7023" s="12">
        <f ca="1">IFERROR(__xludf.DUMMYFUNCTION("""COMPUTED_VALUE"""),137227)</f>
        <v>137227</v>
      </c>
      <c r="C7023" s="14">
        <f ca="1">IFERROR(__xludf.DUMMYFUNCTION("""COMPUTED_VALUE"""),10)</f>
        <v>10</v>
      </c>
      <c r="D7023" s="12" t="str">
        <f ca="1">IFERROR(__xludf.DUMMYFUNCTION("""COMPUTED_VALUE"""),"桐山 勝気")</f>
        <v>桐山 勝気</v>
      </c>
    </row>
    <row r="7024" spans="2:4" ht="13">
      <c r="B7024" s="12">
        <f ca="1">IFERROR(__xludf.DUMMYFUNCTION("""COMPUTED_VALUE"""),137235)</f>
        <v>137235</v>
      </c>
      <c r="C7024" s="14">
        <f ca="1">IFERROR(__xludf.DUMMYFUNCTION("""COMPUTED_VALUE"""),0)</f>
        <v>0</v>
      </c>
      <c r="D7024" s="12" t="str">
        <f ca="1">IFERROR(__xludf.DUMMYFUNCTION("""COMPUTED_VALUE"""),"長谷川 陸朗")</f>
        <v>長谷川 陸朗</v>
      </c>
    </row>
    <row r="7025" spans="2:4" ht="13">
      <c r="B7025" s="12">
        <f ca="1">IFERROR(__xludf.DUMMYFUNCTION("""COMPUTED_VALUE"""),137236)</f>
        <v>137236</v>
      </c>
      <c r="C7025" s="14">
        <f ca="1">IFERROR(__xludf.DUMMYFUNCTION("""COMPUTED_VALUE"""),0)</f>
        <v>0</v>
      </c>
      <c r="D7025" s="12" t="str">
        <f ca="1">IFERROR(__xludf.DUMMYFUNCTION("""COMPUTED_VALUE"""),"菅野 ぎんが")</f>
        <v>菅野 ぎんが</v>
      </c>
    </row>
    <row r="7026" spans="2:4" ht="13">
      <c r="B7026" s="12">
        <f ca="1">IFERROR(__xludf.DUMMYFUNCTION("""COMPUTED_VALUE"""),137238)</f>
        <v>137238</v>
      </c>
      <c r="C7026" s="14">
        <f ca="1">IFERROR(__xludf.DUMMYFUNCTION("""COMPUTED_VALUE"""),0)</f>
        <v>0</v>
      </c>
      <c r="D7026" s="12" t="str">
        <f ca="1">IFERROR(__xludf.DUMMYFUNCTION("""COMPUTED_VALUE"""),"成嶋 夏未")</f>
        <v>成嶋 夏未</v>
      </c>
    </row>
    <row r="7027" spans="2:4" ht="13">
      <c r="B7027" s="12">
        <f ca="1">IFERROR(__xludf.DUMMYFUNCTION("""COMPUTED_VALUE"""),137240)</f>
        <v>137240</v>
      </c>
      <c r="C7027" s="14">
        <f ca="1">IFERROR(__xludf.DUMMYFUNCTION("""COMPUTED_VALUE"""),1)</f>
        <v>1</v>
      </c>
      <c r="D7027" s="12" t="str">
        <f ca="1">IFERROR(__xludf.DUMMYFUNCTION("""COMPUTED_VALUE"""),"栗原 大武")</f>
        <v>栗原 大武</v>
      </c>
    </row>
    <row r="7028" spans="2:4" ht="13">
      <c r="B7028" s="12">
        <f ca="1">IFERROR(__xludf.DUMMYFUNCTION("""COMPUTED_VALUE"""),137247)</f>
        <v>137247</v>
      </c>
      <c r="C7028" s="14">
        <f ca="1">IFERROR(__xludf.DUMMYFUNCTION("""COMPUTED_VALUE"""),0)</f>
        <v>0</v>
      </c>
      <c r="D7028" s="12" t="str">
        <f ca="1">IFERROR(__xludf.DUMMYFUNCTION("""COMPUTED_VALUE"""),"荻曽 克輝")</f>
        <v>荻曽 克輝</v>
      </c>
    </row>
    <row r="7029" spans="2:4" ht="13">
      <c r="B7029" s="12">
        <f ca="1">IFERROR(__xludf.DUMMYFUNCTION("""COMPUTED_VALUE"""),137248)</f>
        <v>137248</v>
      </c>
      <c r="C7029" s="14">
        <f ca="1">IFERROR(__xludf.DUMMYFUNCTION("""COMPUTED_VALUE"""),0)</f>
        <v>0</v>
      </c>
      <c r="D7029" s="12" t="str">
        <f ca="1">IFERROR(__xludf.DUMMYFUNCTION("""COMPUTED_VALUE"""),"芳賀 亮輔")</f>
        <v>芳賀 亮輔</v>
      </c>
    </row>
    <row r="7030" spans="2:4" ht="13">
      <c r="B7030" s="12">
        <f ca="1">IFERROR(__xludf.DUMMYFUNCTION("""COMPUTED_VALUE"""),137252)</f>
        <v>137252</v>
      </c>
      <c r="C7030" s="14">
        <f ca="1">IFERROR(__xludf.DUMMYFUNCTION("""COMPUTED_VALUE"""),0)</f>
        <v>0</v>
      </c>
      <c r="D7030" s="12" t="str">
        <f ca="1">IFERROR(__xludf.DUMMYFUNCTION("""COMPUTED_VALUE"""),"小関 麻起")</f>
        <v>小関 麻起</v>
      </c>
    </row>
    <row r="7031" spans="2:4" ht="13">
      <c r="B7031" s="12">
        <f ca="1">IFERROR(__xludf.DUMMYFUNCTION("""COMPUTED_VALUE"""),137255)</f>
        <v>137255</v>
      </c>
      <c r="C7031" s="14">
        <f ca="1">IFERROR(__xludf.DUMMYFUNCTION("""COMPUTED_VALUE"""),67)</f>
        <v>67</v>
      </c>
      <c r="D7031" s="12" t="str">
        <f ca="1">IFERROR(__xludf.DUMMYFUNCTION("""COMPUTED_VALUE"""),"栗原 大武")</f>
        <v>栗原 大武</v>
      </c>
    </row>
    <row r="7032" spans="2:4" ht="13">
      <c r="B7032" s="12">
        <f ca="1">IFERROR(__xludf.DUMMYFUNCTION("""COMPUTED_VALUE"""),137256)</f>
        <v>137256</v>
      </c>
      <c r="C7032" s="14">
        <f ca="1">IFERROR(__xludf.DUMMYFUNCTION("""COMPUTED_VALUE"""),0)</f>
        <v>0</v>
      </c>
      <c r="D7032" s="12" t="str">
        <f ca="1">IFERROR(__xludf.DUMMYFUNCTION("""COMPUTED_VALUE"""),"芳賀 亮輔")</f>
        <v>芳賀 亮輔</v>
      </c>
    </row>
    <row r="7033" spans="2:4" ht="13">
      <c r="B7033" s="12">
        <f ca="1">IFERROR(__xludf.DUMMYFUNCTION("""COMPUTED_VALUE"""),137260)</f>
        <v>137260</v>
      </c>
      <c r="C7033" s="14">
        <f ca="1">IFERROR(__xludf.DUMMYFUNCTION("""COMPUTED_VALUE"""),67)</f>
        <v>67</v>
      </c>
      <c r="D7033" s="12" t="str">
        <f ca="1">IFERROR(__xludf.DUMMYFUNCTION("""COMPUTED_VALUE"""),"荻曽 克輝")</f>
        <v>荻曽 克輝</v>
      </c>
    </row>
    <row r="7034" spans="2:4" ht="13">
      <c r="B7034" s="12">
        <f ca="1">IFERROR(__xludf.DUMMYFUNCTION("""COMPUTED_VALUE"""),137262)</f>
        <v>137262</v>
      </c>
      <c r="C7034" s="14">
        <f ca="1">IFERROR(__xludf.DUMMYFUNCTION("""COMPUTED_VALUE"""),0)</f>
        <v>0</v>
      </c>
      <c r="D7034" s="12" t="str">
        <f ca="1">IFERROR(__xludf.DUMMYFUNCTION("""COMPUTED_VALUE"""),"成嶋 夏未")</f>
        <v>成嶋 夏未</v>
      </c>
    </row>
    <row r="7035" spans="2:4" ht="13">
      <c r="B7035" s="12">
        <f ca="1">IFERROR(__xludf.DUMMYFUNCTION("""COMPUTED_VALUE"""),137264)</f>
        <v>137264</v>
      </c>
      <c r="C7035" s="14">
        <f ca="1">IFERROR(__xludf.DUMMYFUNCTION("""COMPUTED_VALUE"""),0)</f>
        <v>0</v>
      </c>
      <c r="D7035" s="12" t="str">
        <f ca="1">IFERROR(__xludf.DUMMYFUNCTION("""COMPUTED_VALUE"""),"森 光智")</f>
        <v>森 光智</v>
      </c>
    </row>
    <row r="7036" spans="2:4" ht="13">
      <c r="B7036" s="12">
        <f ca="1">IFERROR(__xludf.DUMMYFUNCTION("""COMPUTED_VALUE"""),137275)</f>
        <v>137275</v>
      </c>
      <c r="C7036" s="14">
        <f ca="1">IFERROR(__xludf.DUMMYFUNCTION("""COMPUTED_VALUE"""),33)</f>
        <v>33</v>
      </c>
      <c r="D7036" s="12" t="str">
        <f ca="1">IFERROR(__xludf.DUMMYFUNCTION("""COMPUTED_VALUE"""),"小関 麻起")</f>
        <v>小関 麻起</v>
      </c>
    </row>
    <row r="7037" spans="2:4" ht="13">
      <c r="B7037" s="12">
        <f ca="1">IFERROR(__xludf.DUMMYFUNCTION("""COMPUTED_VALUE"""),137276)</f>
        <v>137276</v>
      </c>
      <c r="C7037" s="14">
        <f ca="1">IFERROR(__xludf.DUMMYFUNCTION("""COMPUTED_VALUE"""),2)</f>
        <v>2</v>
      </c>
      <c r="D7037" s="12" t="str">
        <f ca="1">IFERROR(__xludf.DUMMYFUNCTION("""COMPUTED_VALUE"""),"成嶋 夏未")</f>
        <v>成嶋 夏未</v>
      </c>
    </row>
    <row r="7038" spans="2:4" ht="13">
      <c r="B7038" s="12">
        <f ca="1">IFERROR(__xludf.DUMMYFUNCTION("""COMPUTED_VALUE"""),137279)</f>
        <v>137279</v>
      </c>
      <c r="C7038" s="14">
        <f ca="1">IFERROR(__xludf.DUMMYFUNCTION("""COMPUTED_VALUE"""),0)</f>
        <v>0</v>
      </c>
      <c r="D7038" s="12" t="str">
        <f ca="1">IFERROR(__xludf.DUMMYFUNCTION("""COMPUTED_VALUE"""),"荻曽 克輝")</f>
        <v>荻曽 克輝</v>
      </c>
    </row>
    <row r="7039" spans="2:4" ht="13">
      <c r="B7039" s="12">
        <f ca="1">IFERROR(__xludf.DUMMYFUNCTION("""COMPUTED_VALUE"""),137282)</f>
        <v>137282</v>
      </c>
      <c r="C7039" s="14">
        <f ca="1">IFERROR(__xludf.DUMMYFUNCTION("""COMPUTED_VALUE"""),2)</f>
        <v>2</v>
      </c>
      <c r="D7039" s="12" t="str">
        <f ca="1">IFERROR(__xludf.DUMMYFUNCTION("""COMPUTED_VALUE"""),"田嶋 将太")</f>
        <v>田嶋 将太</v>
      </c>
    </row>
    <row r="7040" spans="2:4" ht="13">
      <c r="B7040" s="12">
        <f ca="1">IFERROR(__xludf.DUMMYFUNCTION("""COMPUTED_VALUE"""),137286)</f>
        <v>137286</v>
      </c>
      <c r="C7040" s="14">
        <f ca="1">IFERROR(__xludf.DUMMYFUNCTION("""COMPUTED_VALUE"""),0)</f>
        <v>0</v>
      </c>
      <c r="D7040" s="12" t="str">
        <f ca="1">IFERROR(__xludf.DUMMYFUNCTION("""COMPUTED_VALUE"""),"松尾 尚樹")</f>
        <v>松尾 尚樹</v>
      </c>
    </row>
    <row r="7041" spans="2:4" ht="13">
      <c r="B7041" s="12">
        <f ca="1">IFERROR(__xludf.DUMMYFUNCTION("""COMPUTED_VALUE"""),137289)</f>
        <v>137289</v>
      </c>
      <c r="C7041" s="14">
        <f ca="1">IFERROR(__xludf.DUMMYFUNCTION("""COMPUTED_VALUE"""),0)</f>
        <v>0</v>
      </c>
      <c r="D7041" s="12" t="str">
        <f ca="1">IFERROR(__xludf.DUMMYFUNCTION("""COMPUTED_VALUE"""),"荻曽 克輝")</f>
        <v>荻曽 克輝</v>
      </c>
    </row>
    <row r="7042" spans="2:4" ht="13">
      <c r="B7042" s="12">
        <f ca="1">IFERROR(__xludf.DUMMYFUNCTION("""COMPUTED_VALUE"""),137294)</f>
        <v>137294</v>
      </c>
      <c r="C7042" s="14">
        <f ca="1">IFERROR(__xludf.DUMMYFUNCTION("""COMPUTED_VALUE"""),0)</f>
        <v>0</v>
      </c>
      <c r="D7042" s="12" t="str">
        <f ca="1">IFERROR(__xludf.DUMMYFUNCTION("""COMPUTED_VALUE"""),"村上 浩一朗")</f>
        <v>村上 浩一朗</v>
      </c>
    </row>
    <row r="7043" spans="2:4" ht="13">
      <c r="B7043" s="12">
        <f ca="1">IFERROR(__xludf.DUMMYFUNCTION("""COMPUTED_VALUE"""),137299)</f>
        <v>137299</v>
      </c>
      <c r="C7043" s="14">
        <f ca="1">IFERROR(__xludf.DUMMYFUNCTION("""COMPUTED_VALUE"""),0)</f>
        <v>0</v>
      </c>
      <c r="D7043" s="12" t="str">
        <f ca="1">IFERROR(__xludf.DUMMYFUNCTION("""COMPUTED_VALUE"""),"大木 優香")</f>
        <v>大木 優香</v>
      </c>
    </row>
    <row r="7044" spans="2:4" ht="13">
      <c r="B7044" s="12">
        <f ca="1">IFERROR(__xludf.DUMMYFUNCTION("""COMPUTED_VALUE"""),137300)</f>
        <v>137300</v>
      </c>
      <c r="C7044" s="14">
        <f ca="1">IFERROR(__xludf.DUMMYFUNCTION("""COMPUTED_VALUE"""),0)</f>
        <v>0</v>
      </c>
      <c r="D7044" s="12" t="str">
        <f ca="1">IFERROR(__xludf.DUMMYFUNCTION("""COMPUTED_VALUE"""),"栗原 大武")</f>
        <v>栗原 大武</v>
      </c>
    </row>
    <row r="7045" spans="2:4" ht="13">
      <c r="B7045" s="12">
        <f ca="1">IFERROR(__xludf.DUMMYFUNCTION("""COMPUTED_VALUE"""),137302)</f>
        <v>137302</v>
      </c>
      <c r="C7045" s="14">
        <f ca="1">IFERROR(__xludf.DUMMYFUNCTION("""COMPUTED_VALUE"""),6)</f>
        <v>6</v>
      </c>
      <c r="D7045" s="12" t="str">
        <f ca="1">IFERROR(__xludf.DUMMYFUNCTION("""COMPUTED_VALUE"""),"芳賀 亮輔")</f>
        <v>芳賀 亮輔</v>
      </c>
    </row>
    <row r="7046" spans="2:4" ht="13">
      <c r="B7046" s="12">
        <f ca="1">IFERROR(__xludf.DUMMYFUNCTION("""COMPUTED_VALUE"""),137303)</f>
        <v>137303</v>
      </c>
      <c r="C7046" s="14">
        <f ca="1">IFERROR(__xludf.DUMMYFUNCTION("""COMPUTED_VALUE"""),1)</f>
        <v>1</v>
      </c>
      <c r="D7046" s="12" t="str">
        <f ca="1">IFERROR(__xludf.DUMMYFUNCTION("""COMPUTED_VALUE"""),"森 光智")</f>
        <v>森 光智</v>
      </c>
    </row>
    <row r="7047" spans="2:4" ht="13">
      <c r="B7047" s="12">
        <f ca="1">IFERROR(__xludf.DUMMYFUNCTION("""COMPUTED_VALUE"""),137313)</f>
        <v>137313</v>
      </c>
      <c r="C7047" s="14">
        <f ca="1">IFERROR(__xludf.DUMMYFUNCTION("""COMPUTED_VALUE"""),5)</f>
        <v>5</v>
      </c>
      <c r="D7047" s="12" t="str">
        <f ca="1">IFERROR(__xludf.DUMMYFUNCTION("""COMPUTED_VALUE"""),"小川 純")</f>
        <v>小川 純</v>
      </c>
    </row>
    <row r="7048" spans="2:4" ht="13">
      <c r="B7048" s="12">
        <f ca="1">IFERROR(__xludf.DUMMYFUNCTION("""COMPUTED_VALUE"""),137318)</f>
        <v>137318</v>
      </c>
      <c r="C7048" s="14">
        <f ca="1">IFERROR(__xludf.DUMMYFUNCTION("""COMPUTED_VALUE"""),0)</f>
        <v>0</v>
      </c>
      <c r="D7048" s="12" t="str">
        <f ca="1">IFERROR(__xludf.DUMMYFUNCTION("""COMPUTED_VALUE"""),"稲場 勇介")</f>
        <v>稲場 勇介</v>
      </c>
    </row>
    <row r="7049" spans="2:4" ht="13">
      <c r="B7049" s="12">
        <f ca="1">IFERROR(__xludf.DUMMYFUNCTION("""COMPUTED_VALUE"""),137320)</f>
        <v>137320</v>
      </c>
      <c r="C7049" s="14">
        <f ca="1">IFERROR(__xludf.DUMMYFUNCTION("""COMPUTED_VALUE"""),0)</f>
        <v>0</v>
      </c>
      <c r="D7049" s="12" t="str">
        <f ca="1">IFERROR(__xludf.DUMMYFUNCTION("""COMPUTED_VALUE"""),"内丸 裕子")</f>
        <v>内丸 裕子</v>
      </c>
    </row>
    <row r="7050" spans="2:4" ht="13">
      <c r="B7050" s="12">
        <f ca="1">IFERROR(__xludf.DUMMYFUNCTION("""COMPUTED_VALUE"""),137323)</f>
        <v>137323</v>
      </c>
      <c r="C7050" s="14">
        <f ca="1">IFERROR(__xludf.DUMMYFUNCTION("""COMPUTED_VALUE"""),2)</f>
        <v>2</v>
      </c>
      <c r="D7050" s="12" t="str">
        <f ca="1">IFERROR(__xludf.DUMMYFUNCTION("""COMPUTED_VALUE"""),"村上 浩一朗")</f>
        <v>村上 浩一朗</v>
      </c>
    </row>
    <row r="7051" spans="2:4" ht="13">
      <c r="B7051" s="12">
        <f ca="1">IFERROR(__xludf.DUMMYFUNCTION("""COMPUTED_VALUE"""),137327)</f>
        <v>137327</v>
      </c>
      <c r="C7051" s="14">
        <f ca="1">IFERROR(__xludf.DUMMYFUNCTION("""COMPUTED_VALUE"""),0)</f>
        <v>0</v>
      </c>
      <c r="D7051" s="12" t="str">
        <f ca="1">IFERROR(__xludf.DUMMYFUNCTION("""COMPUTED_VALUE"""),"奥野 貴大")</f>
        <v>奥野 貴大</v>
      </c>
    </row>
    <row r="7052" spans="2:4" ht="13">
      <c r="B7052" s="12">
        <f ca="1">IFERROR(__xludf.DUMMYFUNCTION("""COMPUTED_VALUE"""),137337)</f>
        <v>137337</v>
      </c>
      <c r="C7052" s="14">
        <f ca="1">IFERROR(__xludf.DUMMYFUNCTION("""COMPUTED_VALUE"""),2)</f>
        <v>2</v>
      </c>
      <c r="D7052" s="12" t="str">
        <f ca="1">IFERROR(__xludf.DUMMYFUNCTION("""COMPUTED_VALUE"""),"堀越 駿")</f>
        <v>堀越 駿</v>
      </c>
    </row>
    <row r="7053" spans="2:4" ht="13">
      <c r="B7053" s="12">
        <f ca="1">IFERROR(__xludf.DUMMYFUNCTION("""COMPUTED_VALUE"""),137366)</f>
        <v>137366</v>
      </c>
      <c r="C7053" s="14">
        <f ca="1">IFERROR(__xludf.DUMMYFUNCTION("""COMPUTED_VALUE"""),1)</f>
        <v>1</v>
      </c>
      <c r="D7053" s="12" t="str">
        <f ca="1">IFERROR(__xludf.DUMMYFUNCTION("""COMPUTED_VALUE"""),"田嶋 将太")</f>
        <v>田嶋 将太</v>
      </c>
    </row>
    <row r="7054" spans="2:4" ht="13">
      <c r="B7054" s="12">
        <f ca="1">IFERROR(__xludf.DUMMYFUNCTION("""COMPUTED_VALUE"""),137369)</f>
        <v>137369</v>
      </c>
      <c r="C7054" s="14">
        <f ca="1">IFERROR(__xludf.DUMMYFUNCTION("""COMPUTED_VALUE"""),0)</f>
        <v>0</v>
      </c>
      <c r="D7054" s="12" t="str">
        <f ca="1">IFERROR(__xludf.DUMMYFUNCTION("""COMPUTED_VALUE"""),"成嶋 夏未")</f>
        <v>成嶋 夏未</v>
      </c>
    </row>
    <row r="7055" spans="2:4" ht="13">
      <c r="B7055" s="12">
        <f ca="1">IFERROR(__xludf.DUMMYFUNCTION("""COMPUTED_VALUE"""),137370)</f>
        <v>137370</v>
      </c>
      <c r="C7055" s="14">
        <f ca="1">IFERROR(__xludf.DUMMYFUNCTION("""COMPUTED_VALUE"""),32)</f>
        <v>32</v>
      </c>
      <c r="D7055" s="12" t="str">
        <f ca="1">IFERROR(__xludf.DUMMYFUNCTION("""COMPUTED_VALUE"""),"荻曽 克輝")</f>
        <v>荻曽 克輝</v>
      </c>
    </row>
    <row r="7056" spans="2:4" ht="13">
      <c r="B7056" s="12">
        <f ca="1">IFERROR(__xludf.DUMMYFUNCTION("""COMPUTED_VALUE"""),137377)</f>
        <v>137377</v>
      </c>
      <c r="C7056" s="14">
        <f ca="1">IFERROR(__xludf.DUMMYFUNCTION("""COMPUTED_VALUE"""),52)</f>
        <v>52</v>
      </c>
      <c r="D7056" s="12" t="str">
        <f ca="1">IFERROR(__xludf.DUMMYFUNCTION("""COMPUTED_VALUE"""),"辻村 将大")</f>
        <v>辻村 将大</v>
      </c>
    </row>
    <row r="7057" spans="2:4" ht="13">
      <c r="B7057" s="12">
        <f ca="1">IFERROR(__xludf.DUMMYFUNCTION("""COMPUTED_VALUE"""),137392)</f>
        <v>137392</v>
      </c>
      <c r="C7057" s="14">
        <f ca="1">IFERROR(__xludf.DUMMYFUNCTION("""COMPUTED_VALUE"""),2)</f>
        <v>2</v>
      </c>
      <c r="D7057" s="12" t="str">
        <f ca="1">IFERROR(__xludf.DUMMYFUNCTION("""COMPUTED_VALUE"""),"小関 麻起")</f>
        <v>小関 麻起</v>
      </c>
    </row>
    <row r="7058" spans="2:4" ht="13">
      <c r="B7058" s="12">
        <f ca="1">IFERROR(__xludf.DUMMYFUNCTION("""COMPUTED_VALUE"""),137393)</f>
        <v>137393</v>
      </c>
      <c r="C7058" s="14">
        <f ca="1">IFERROR(__xludf.DUMMYFUNCTION("""COMPUTED_VALUE"""),4)</f>
        <v>4</v>
      </c>
      <c r="D7058" s="12" t="str">
        <f ca="1">IFERROR(__xludf.DUMMYFUNCTION("""COMPUTED_VALUE"""),"小関 麻起")</f>
        <v>小関 麻起</v>
      </c>
    </row>
    <row r="7059" spans="2:4" ht="13">
      <c r="B7059" s="12">
        <f ca="1">IFERROR(__xludf.DUMMYFUNCTION("""COMPUTED_VALUE"""),137403)</f>
        <v>137403</v>
      </c>
      <c r="C7059" s="14">
        <f ca="1">IFERROR(__xludf.DUMMYFUNCTION("""COMPUTED_VALUE"""),0)</f>
        <v>0</v>
      </c>
      <c r="D7059" s="12" t="str">
        <f ca="1">IFERROR(__xludf.DUMMYFUNCTION("""COMPUTED_VALUE"""),"桐山 勝気")</f>
        <v>桐山 勝気</v>
      </c>
    </row>
    <row r="7060" spans="2:4" ht="13">
      <c r="B7060" s="12">
        <f ca="1">IFERROR(__xludf.DUMMYFUNCTION("""COMPUTED_VALUE"""),137407)</f>
        <v>137407</v>
      </c>
      <c r="C7060" s="14">
        <f ca="1">IFERROR(__xludf.DUMMYFUNCTION("""COMPUTED_VALUE"""),1)</f>
        <v>1</v>
      </c>
      <c r="D7060" s="12" t="str">
        <f ca="1">IFERROR(__xludf.DUMMYFUNCTION("""COMPUTED_VALUE"""),"辻村 将大")</f>
        <v>辻村 将大</v>
      </c>
    </row>
    <row r="7061" spans="2:4" ht="13">
      <c r="B7061" s="12">
        <f ca="1">IFERROR(__xludf.DUMMYFUNCTION("""COMPUTED_VALUE"""),137408)</f>
        <v>137408</v>
      </c>
      <c r="C7061" s="14">
        <f ca="1">IFERROR(__xludf.DUMMYFUNCTION("""COMPUTED_VALUE"""),0)</f>
        <v>0</v>
      </c>
      <c r="D7061" s="12" t="str">
        <f ca="1">IFERROR(__xludf.DUMMYFUNCTION("""COMPUTED_VALUE"""),"森 光智")</f>
        <v>森 光智</v>
      </c>
    </row>
    <row r="7062" spans="2:4" ht="13">
      <c r="B7062" s="12">
        <f ca="1">IFERROR(__xludf.DUMMYFUNCTION("""COMPUTED_VALUE"""),137409)</f>
        <v>137409</v>
      </c>
      <c r="C7062" s="14">
        <f ca="1">IFERROR(__xludf.DUMMYFUNCTION("""COMPUTED_VALUE"""),0)</f>
        <v>0</v>
      </c>
      <c r="D7062" s="12" t="str">
        <f ca="1">IFERROR(__xludf.DUMMYFUNCTION("""COMPUTED_VALUE"""),"菅野 ぎんが")</f>
        <v>菅野 ぎんが</v>
      </c>
    </row>
    <row r="7063" spans="2:4" ht="13">
      <c r="B7063" s="12">
        <f ca="1">IFERROR(__xludf.DUMMYFUNCTION("""COMPUTED_VALUE"""),137417)</f>
        <v>137417</v>
      </c>
      <c r="C7063" s="14">
        <f ca="1">IFERROR(__xludf.DUMMYFUNCTION("""COMPUTED_VALUE"""),0)</f>
        <v>0</v>
      </c>
      <c r="D7063" s="12" t="str">
        <f ca="1">IFERROR(__xludf.DUMMYFUNCTION("""COMPUTED_VALUE"""),"稲場 勇介")</f>
        <v>稲場 勇介</v>
      </c>
    </row>
    <row r="7064" spans="2:4" ht="13">
      <c r="B7064" s="12">
        <f ca="1">IFERROR(__xludf.DUMMYFUNCTION("""COMPUTED_VALUE"""),137422)</f>
        <v>137422</v>
      </c>
      <c r="C7064" s="14">
        <f ca="1">IFERROR(__xludf.DUMMYFUNCTION("""COMPUTED_VALUE"""),0)</f>
        <v>0</v>
      </c>
      <c r="D7064" s="12" t="str">
        <f ca="1">IFERROR(__xludf.DUMMYFUNCTION("""COMPUTED_VALUE"""),"菅野 ぎんが")</f>
        <v>菅野 ぎんが</v>
      </c>
    </row>
    <row r="7065" spans="2:4" ht="13">
      <c r="B7065" s="12">
        <f ca="1">IFERROR(__xludf.DUMMYFUNCTION("""COMPUTED_VALUE"""),137428)</f>
        <v>137428</v>
      </c>
      <c r="C7065" s="14">
        <f ca="1">IFERROR(__xludf.DUMMYFUNCTION("""COMPUTED_VALUE"""),0)</f>
        <v>0</v>
      </c>
      <c r="D7065" s="12" t="str">
        <f ca="1">IFERROR(__xludf.DUMMYFUNCTION("""COMPUTED_VALUE"""),"小関 麻起")</f>
        <v>小関 麻起</v>
      </c>
    </row>
    <row r="7066" spans="2:4" ht="13">
      <c r="B7066" s="12">
        <f ca="1">IFERROR(__xludf.DUMMYFUNCTION("""COMPUTED_VALUE"""),137430)</f>
        <v>137430</v>
      </c>
      <c r="C7066" s="14">
        <f ca="1">IFERROR(__xludf.DUMMYFUNCTION("""COMPUTED_VALUE"""),0)</f>
        <v>0</v>
      </c>
      <c r="D7066" s="12" t="str">
        <f ca="1">IFERROR(__xludf.DUMMYFUNCTION("""COMPUTED_VALUE"""),"菅野 ぎんが")</f>
        <v>菅野 ぎんが</v>
      </c>
    </row>
    <row r="7067" spans="2:4" ht="13">
      <c r="B7067" s="12">
        <f ca="1">IFERROR(__xludf.DUMMYFUNCTION("""COMPUTED_VALUE"""),137433)</f>
        <v>137433</v>
      </c>
      <c r="C7067" s="14">
        <f ca="1">IFERROR(__xludf.DUMMYFUNCTION("""COMPUTED_VALUE"""),14)</f>
        <v>14</v>
      </c>
      <c r="D7067" s="12" t="str">
        <f ca="1">IFERROR(__xludf.DUMMYFUNCTION("""COMPUTED_VALUE"""),"菅野 ぎんが")</f>
        <v>菅野 ぎんが</v>
      </c>
    </row>
    <row r="7068" spans="2:4" ht="13">
      <c r="B7068" s="12">
        <f ca="1">IFERROR(__xludf.DUMMYFUNCTION("""COMPUTED_VALUE"""),137443)</f>
        <v>137443</v>
      </c>
      <c r="C7068" s="14">
        <f ca="1">IFERROR(__xludf.DUMMYFUNCTION("""COMPUTED_VALUE"""),0)</f>
        <v>0</v>
      </c>
      <c r="D7068" s="12" t="str">
        <f ca="1">IFERROR(__xludf.DUMMYFUNCTION("""COMPUTED_VALUE"""),"村上 浩一朗")</f>
        <v>村上 浩一朗</v>
      </c>
    </row>
    <row r="7069" spans="2:4" ht="13">
      <c r="B7069" s="12">
        <f ca="1">IFERROR(__xludf.DUMMYFUNCTION("""COMPUTED_VALUE"""),137445)</f>
        <v>137445</v>
      </c>
      <c r="C7069" s="14">
        <f ca="1">IFERROR(__xludf.DUMMYFUNCTION("""COMPUTED_VALUE"""),9)</f>
        <v>9</v>
      </c>
      <c r="D7069" s="12" t="str">
        <f ca="1">IFERROR(__xludf.DUMMYFUNCTION("""COMPUTED_VALUE"""),"辻村 将大")</f>
        <v>辻村 将大</v>
      </c>
    </row>
    <row r="7070" spans="2:4" ht="13">
      <c r="B7070" s="12">
        <f ca="1">IFERROR(__xludf.DUMMYFUNCTION("""COMPUTED_VALUE"""),137447)</f>
        <v>137447</v>
      </c>
      <c r="C7070" s="14">
        <f ca="1">IFERROR(__xludf.DUMMYFUNCTION("""COMPUTED_VALUE"""),32)</f>
        <v>32</v>
      </c>
      <c r="D7070" s="12" t="str">
        <f ca="1">IFERROR(__xludf.DUMMYFUNCTION("""COMPUTED_VALUE"""),"成嶋 夏未")</f>
        <v>成嶋 夏未</v>
      </c>
    </row>
    <row r="7071" spans="2:4" ht="13">
      <c r="B7071" s="12">
        <f ca="1">IFERROR(__xludf.DUMMYFUNCTION("""COMPUTED_VALUE"""),137455)</f>
        <v>137455</v>
      </c>
      <c r="C7071" s="14">
        <f ca="1">IFERROR(__xludf.DUMMYFUNCTION("""COMPUTED_VALUE"""),0)</f>
        <v>0</v>
      </c>
      <c r="D7071" s="12" t="str">
        <f ca="1">IFERROR(__xludf.DUMMYFUNCTION("""COMPUTED_VALUE"""),"老田 純輝")</f>
        <v>老田 純輝</v>
      </c>
    </row>
    <row r="7072" spans="2:4" ht="13">
      <c r="B7072" s="12">
        <f ca="1">IFERROR(__xludf.DUMMYFUNCTION("""COMPUTED_VALUE"""),137460)</f>
        <v>137460</v>
      </c>
      <c r="C7072" s="14">
        <f ca="1">IFERROR(__xludf.DUMMYFUNCTION("""COMPUTED_VALUE"""),10)</f>
        <v>10</v>
      </c>
      <c r="D7072" s="12" t="str">
        <f ca="1">IFERROR(__xludf.DUMMYFUNCTION("""COMPUTED_VALUE"""),"菅野 ぎんが")</f>
        <v>菅野 ぎんが</v>
      </c>
    </row>
    <row r="7073" spans="2:4" ht="13">
      <c r="B7073" s="12">
        <f ca="1">IFERROR(__xludf.DUMMYFUNCTION("""COMPUTED_VALUE"""),137462)</f>
        <v>137462</v>
      </c>
      <c r="C7073" s="14">
        <f ca="1">IFERROR(__xludf.DUMMYFUNCTION("""COMPUTED_VALUE"""),0)</f>
        <v>0</v>
      </c>
      <c r="D7073" s="12" t="str">
        <f ca="1">IFERROR(__xludf.DUMMYFUNCTION("""COMPUTED_VALUE"""),"長谷川 陸朗")</f>
        <v>長谷川 陸朗</v>
      </c>
    </row>
    <row r="7074" spans="2:4" ht="13">
      <c r="B7074" s="12">
        <f ca="1">IFERROR(__xludf.DUMMYFUNCTION("""COMPUTED_VALUE"""),137463)</f>
        <v>137463</v>
      </c>
      <c r="C7074" s="14">
        <f ca="1">IFERROR(__xludf.DUMMYFUNCTION("""COMPUTED_VALUE"""),0)</f>
        <v>0</v>
      </c>
      <c r="D7074" s="12" t="str">
        <f ca="1">IFERROR(__xludf.DUMMYFUNCTION("""COMPUTED_VALUE"""),"菅野 ぎんが")</f>
        <v>菅野 ぎんが</v>
      </c>
    </row>
    <row r="7075" spans="2:4" ht="13">
      <c r="B7075" s="12">
        <f ca="1">IFERROR(__xludf.DUMMYFUNCTION("""COMPUTED_VALUE"""),137465)</f>
        <v>137465</v>
      </c>
      <c r="C7075" s="14">
        <f ca="1">IFERROR(__xludf.DUMMYFUNCTION("""COMPUTED_VALUE"""),0)</f>
        <v>0</v>
      </c>
      <c r="D7075" s="12" t="str">
        <f ca="1">IFERROR(__xludf.DUMMYFUNCTION("""COMPUTED_VALUE"""),"菅野 ぎんが")</f>
        <v>菅野 ぎんが</v>
      </c>
    </row>
    <row r="7076" spans="2:4" ht="13">
      <c r="B7076" s="12">
        <f ca="1">IFERROR(__xludf.DUMMYFUNCTION("""COMPUTED_VALUE"""),137466)</f>
        <v>137466</v>
      </c>
      <c r="C7076" s="14">
        <f ca="1">IFERROR(__xludf.DUMMYFUNCTION("""COMPUTED_VALUE"""),0)</f>
        <v>0</v>
      </c>
      <c r="D7076" s="12" t="str">
        <f ca="1">IFERROR(__xludf.DUMMYFUNCTION("""COMPUTED_VALUE"""),"菅野 ぎんが")</f>
        <v>菅野 ぎんが</v>
      </c>
    </row>
    <row r="7077" spans="2:4" ht="13">
      <c r="B7077" s="12">
        <f ca="1">IFERROR(__xludf.DUMMYFUNCTION("""COMPUTED_VALUE"""),137468)</f>
        <v>137468</v>
      </c>
      <c r="C7077" s="14">
        <f ca="1">IFERROR(__xludf.DUMMYFUNCTION("""COMPUTED_VALUE"""),0)</f>
        <v>0</v>
      </c>
      <c r="D7077" s="12" t="str">
        <f ca="1">IFERROR(__xludf.DUMMYFUNCTION("""COMPUTED_VALUE"""),"荻曽 克輝")</f>
        <v>荻曽 克輝</v>
      </c>
    </row>
    <row r="7078" spans="2:4" ht="13">
      <c r="B7078" s="12">
        <f ca="1">IFERROR(__xludf.DUMMYFUNCTION("""COMPUTED_VALUE"""),137473)</f>
        <v>137473</v>
      </c>
      <c r="C7078" s="14">
        <f ca="1">IFERROR(__xludf.DUMMYFUNCTION("""COMPUTED_VALUE"""),0)</f>
        <v>0</v>
      </c>
      <c r="D7078" s="12" t="str">
        <f ca="1">IFERROR(__xludf.DUMMYFUNCTION("""COMPUTED_VALUE"""),"桐山 勝気")</f>
        <v>桐山 勝気</v>
      </c>
    </row>
    <row r="7079" spans="2:4" ht="13">
      <c r="B7079" s="12">
        <f ca="1">IFERROR(__xludf.DUMMYFUNCTION("""COMPUTED_VALUE"""),137475)</f>
        <v>137475</v>
      </c>
      <c r="C7079" s="14">
        <f ca="1">IFERROR(__xludf.DUMMYFUNCTION("""COMPUTED_VALUE"""),3)</f>
        <v>3</v>
      </c>
      <c r="D7079" s="12" t="str">
        <f ca="1">IFERROR(__xludf.DUMMYFUNCTION("""COMPUTED_VALUE"""),"小関 麻起")</f>
        <v>小関 麻起</v>
      </c>
    </row>
    <row r="7080" spans="2:4" ht="13">
      <c r="B7080" s="12">
        <f ca="1">IFERROR(__xludf.DUMMYFUNCTION("""COMPUTED_VALUE"""),137476)</f>
        <v>137476</v>
      </c>
      <c r="C7080" s="14">
        <f ca="1">IFERROR(__xludf.DUMMYFUNCTION("""COMPUTED_VALUE"""),0)</f>
        <v>0</v>
      </c>
      <c r="D7080" s="12" t="str">
        <f ca="1">IFERROR(__xludf.DUMMYFUNCTION("""COMPUTED_VALUE"""),"小関 麻起")</f>
        <v>小関 麻起</v>
      </c>
    </row>
    <row r="7081" spans="2:4" ht="13">
      <c r="B7081" s="12">
        <f ca="1">IFERROR(__xludf.DUMMYFUNCTION("""COMPUTED_VALUE"""),137491)</f>
        <v>137491</v>
      </c>
      <c r="C7081" s="14">
        <f ca="1">IFERROR(__xludf.DUMMYFUNCTION("""COMPUTED_VALUE"""),43)</f>
        <v>43</v>
      </c>
      <c r="D7081" s="12" t="str">
        <f ca="1">IFERROR(__xludf.DUMMYFUNCTION("""COMPUTED_VALUE"""),"老田 純輝")</f>
        <v>老田 純輝</v>
      </c>
    </row>
    <row r="7082" spans="2:4" ht="13">
      <c r="B7082" s="12">
        <f ca="1">IFERROR(__xludf.DUMMYFUNCTION("""COMPUTED_VALUE"""),137492)</f>
        <v>137492</v>
      </c>
      <c r="C7082" s="14">
        <f ca="1">IFERROR(__xludf.DUMMYFUNCTION("""COMPUTED_VALUE"""),1)</f>
        <v>1</v>
      </c>
      <c r="D7082" s="12" t="str">
        <f ca="1">IFERROR(__xludf.DUMMYFUNCTION("""COMPUTED_VALUE"""),"内丸 裕子")</f>
        <v>内丸 裕子</v>
      </c>
    </row>
    <row r="7083" spans="2:4" ht="13">
      <c r="B7083" s="12">
        <f ca="1">IFERROR(__xludf.DUMMYFUNCTION("""COMPUTED_VALUE"""),137494)</f>
        <v>137494</v>
      </c>
      <c r="C7083" s="14">
        <f ca="1">IFERROR(__xludf.DUMMYFUNCTION("""COMPUTED_VALUE"""),0)</f>
        <v>0</v>
      </c>
      <c r="D7083" s="12" t="str">
        <f ca="1">IFERROR(__xludf.DUMMYFUNCTION("""COMPUTED_VALUE"""),"菅野 ぎんが")</f>
        <v>菅野 ぎんが</v>
      </c>
    </row>
    <row r="7084" spans="2:4" ht="13">
      <c r="B7084" s="12">
        <f ca="1">IFERROR(__xludf.DUMMYFUNCTION("""COMPUTED_VALUE"""),137499)</f>
        <v>137499</v>
      </c>
      <c r="C7084" s="14">
        <f ca="1">IFERROR(__xludf.DUMMYFUNCTION("""COMPUTED_VALUE"""),0)</f>
        <v>0</v>
      </c>
      <c r="D7084" s="12" t="str">
        <f ca="1">IFERROR(__xludf.DUMMYFUNCTION("""COMPUTED_VALUE"""),"小関 麻起")</f>
        <v>小関 麻起</v>
      </c>
    </row>
    <row r="7085" spans="2:4" ht="13">
      <c r="B7085" s="12">
        <f ca="1">IFERROR(__xludf.DUMMYFUNCTION("""COMPUTED_VALUE"""),137500)</f>
        <v>137500</v>
      </c>
      <c r="C7085" s="14">
        <f ca="1">IFERROR(__xludf.DUMMYFUNCTION("""COMPUTED_VALUE"""),0)</f>
        <v>0</v>
      </c>
      <c r="D7085" s="12" t="str">
        <f ca="1">IFERROR(__xludf.DUMMYFUNCTION("""COMPUTED_VALUE"""),"長谷川 陸朗")</f>
        <v>長谷川 陸朗</v>
      </c>
    </row>
    <row r="7086" spans="2:4" ht="13">
      <c r="B7086" s="12">
        <f ca="1">IFERROR(__xludf.DUMMYFUNCTION("""COMPUTED_VALUE"""),137505)</f>
        <v>137505</v>
      </c>
      <c r="C7086" s="14">
        <f ca="1">IFERROR(__xludf.DUMMYFUNCTION("""COMPUTED_VALUE"""),6)</f>
        <v>6</v>
      </c>
      <c r="D7086" s="12" t="str">
        <f ca="1">IFERROR(__xludf.DUMMYFUNCTION("""COMPUTED_VALUE"""),"荻曽 克輝")</f>
        <v>荻曽 克輝</v>
      </c>
    </row>
    <row r="7087" spans="2:4" ht="13">
      <c r="B7087" s="12">
        <f ca="1">IFERROR(__xludf.DUMMYFUNCTION("""COMPUTED_VALUE"""),137506)</f>
        <v>137506</v>
      </c>
      <c r="C7087" s="14">
        <f ca="1">IFERROR(__xludf.DUMMYFUNCTION("""COMPUTED_VALUE"""),0)</f>
        <v>0</v>
      </c>
      <c r="D7087" s="12" t="str">
        <f ca="1">IFERROR(__xludf.DUMMYFUNCTION("""COMPUTED_VALUE"""),"村上 浩一朗")</f>
        <v>村上 浩一朗</v>
      </c>
    </row>
    <row r="7088" spans="2:4" ht="13">
      <c r="B7088" s="12">
        <f ca="1">IFERROR(__xludf.DUMMYFUNCTION("""COMPUTED_VALUE"""),137507)</f>
        <v>137507</v>
      </c>
      <c r="C7088" s="14">
        <f ca="1">IFERROR(__xludf.DUMMYFUNCTION("""COMPUTED_VALUE"""),0)</f>
        <v>0</v>
      </c>
      <c r="D7088" s="12" t="str">
        <f ca="1">IFERROR(__xludf.DUMMYFUNCTION("""COMPUTED_VALUE"""),"荻曽 克輝")</f>
        <v>荻曽 克輝</v>
      </c>
    </row>
    <row r="7089" spans="2:4" ht="13">
      <c r="B7089" s="12">
        <f ca="1">IFERROR(__xludf.DUMMYFUNCTION("""COMPUTED_VALUE"""),137508)</f>
        <v>137508</v>
      </c>
      <c r="C7089" s="14">
        <f ca="1">IFERROR(__xludf.DUMMYFUNCTION("""COMPUTED_VALUE"""),0)</f>
        <v>0</v>
      </c>
      <c r="D7089" s="12" t="str">
        <f ca="1">IFERROR(__xludf.DUMMYFUNCTION("""COMPUTED_VALUE"""),"桑原 明子")</f>
        <v>桑原 明子</v>
      </c>
    </row>
    <row r="7090" spans="2:4" ht="13">
      <c r="B7090" s="12">
        <f ca="1">IFERROR(__xludf.DUMMYFUNCTION("""COMPUTED_VALUE"""),137514)</f>
        <v>137514</v>
      </c>
      <c r="C7090" s="14">
        <f ca="1">IFERROR(__xludf.DUMMYFUNCTION("""COMPUTED_VALUE"""),4)</f>
        <v>4</v>
      </c>
      <c r="D7090" s="12" t="str">
        <f ca="1">IFERROR(__xludf.DUMMYFUNCTION("""COMPUTED_VALUE"""),"小関 麻起")</f>
        <v>小関 麻起</v>
      </c>
    </row>
    <row r="7091" spans="2:4" ht="13">
      <c r="B7091" s="12">
        <f ca="1">IFERROR(__xludf.DUMMYFUNCTION("""COMPUTED_VALUE"""),137515)</f>
        <v>137515</v>
      </c>
      <c r="C7091" s="14">
        <f ca="1">IFERROR(__xludf.DUMMYFUNCTION("""COMPUTED_VALUE"""),78)</f>
        <v>78</v>
      </c>
      <c r="D7091" s="12" t="str">
        <f ca="1">IFERROR(__xludf.DUMMYFUNCTION("""COMPUTED_VALUE"""),"辻村 将大")</f>
        <v>辻村 将大</v>
      </c>
    </row>
    <row r="7092" spans="2:4" ht="13">
      <c r="B7092" s="12">
        <f ca="1">IFERROR(__xludf.DUMMYFUNCTION("""COMPUTED_VALUE"""),137516)</f>
        <v>137516</v>
      </c>
      <c r="C7092" s="14">
        <f ca="1">IFERROR(__xludf.DUMMYFUNCTION("""COMPUTED_VALUE"""),0)</f>
        <v>0</v>
      </c>
      <c r="D7092" s="12" t="str">
        <f ca="1">IFERROR(__xludf.DUMMYFUNCTION("""COMPUTED_VALUE"""),"稲場 勇介")</f>
        <v>稲場 勇介</v>
      </c>
    </row>
    <row r="7093" spans="2:4" ht="13">
      <c r="B7093" s="12">
        <f ca="1">IFERROR(__xludf.DUMMYFUNCTION("""COMPUTED_VALUE"""),137528)</f>
        <v>137528</v>
      </c>
      <c r="C7093" s="14">
        <f ca="1">IFERROR(__xludf.DUMMYFUNCTION("""COMPUTED_VALUE"""),0)</f>
        <v>0</v>
      </c>
      <c r="D7093" s="12" t="str">
        <f ca="1">IFERROR(__xludf.DUMMYFUNCTION("""COMPUTED_VALUE"""),"松尾 尚樹")</f>
        <v>松尾 尚樹</v>
      </c>
    </row>
    <row r="7094" spans="2:4" ht="13">
      <c r="B7094" s="12">
        <f ca="1">IFERROR(__xludf.DUMMYFUNCTION("""COMPUTED_VALUE"""),137530)</f>
        <v>137530</v>
      </c>
      <c r="C7094" s="14">
        <f ca="1">IFERROR(__xludf.DUMMYFUNCTION("""COMPUTED_VALUE"""),0)</f>
        <v>0</v>
      </c>
      <c r="D7094" s="12" t="str">
        <f ca="1">IFERROR(__xludf.DUMMYFUNCTION("""COMPUTED_VALUE"""),"長谷川 陸朗")</f>
        <v>長谷川 陸朗</v>
      </c>
    </row>
    <row r="7095" spans="2:4" ht="13">
      <c r="B7095" s="12">
        <f ca="1">IFERROR(__xludf.DUMMYFUNCTION("""COMPUTED_VALUE"""),137531)</f>
        <v>137531</v>
      </c>
      <c r="C7095" s="14">
        <f ca="1">IFERROR(__xludf.DUMMYFUNCTION("""COMPUTED_VALUE"""),5)</f>
        <v>5</v>
      </c>
      <c r="D7095" s="12" t="str">
        <f ca="1">IFERROR(__xludf.DUMMYFUNCTION("""COMPUTED_VALUE"""),"稲場 勇介")</f>
        <v>稲場 勇介</v>
      </c>
    </row>
    <row r="7096" spans="2:4" ht="13">
      <c r="B7096" s="12">
        <f ca="1">IFERROR(__xludf.DUMMYFUNCTION("""COMPUTED_VALUE"""),137538)</f>
        <v>137538</v>
      </c>
      <c r="C7096" s="14">
        <f ca="1">IFERROR(__xludf.DUMMYFUNCTION("""COMPUTED_VALUE"""),31)</f>
        <v>31</v>
      </c>
      <c r="D7096" s="12" t="str">
        <f ca="1">IFERROR(__xludf.DUMMYFUNCTION("""COMPUTED_VALUE"""),"成嶋 夏未")</f>
        <v>成嶋 夏未</v>
      </c>
    </row>
    <row r="7097" spans="2:4" ht="13">
      <c r="B7097" s="12">
        <f ca="1">IFERROR(__xludf.DUMMYFUNCTION("""COMPUTED_VALUE"""),137541)</f>
        <v>137541</v>
      </c>
      <c r="C7097" s="14">
        <f ca="1">IFERROR(__xludf.DUMMYFUNCTION("""COMPUTED_VALUE"""),0)</f>
        <v>0</v>
      </c>
      <c r="D7097" s="12" t="str">
        <f ca="1">IFERROR(__xludf.DUMMYFUNCTION("""COMPUTED_VALUE"""),"荻曽 克輝")</f>
        <v>荻曽 克輝</v>
      </c>
    </row>
    <row r="7098" spans="2:4" ht="13">
      <c r="B7098" s="12">
        <f ca="1">IFERROR(__xludf.DUMMYFUNCTION("""COMPUTED_VALUE"""),137543)</f>
        <v>137543</v>
      </c>
      <c r="C7098" s="14">
        <f ca="1">IFERROR(__xludf.DUMMYFUNCTION("""COMPUTED_VALUE"""),0)</f>
        <v>0</v>
      </c>
      <c r="D7098" s="12" t="str">
        <f ca="1">IFERROR(__xludf.DUMMYFUNCTION("""COMPUTED_VALUE"""),"渋谷 雄大")</f>
        <v>渋谷 雄大</v>
      </c>
    </row>
    <row r="7099" spans="2:4" ht="13">
      <c r="B7099" s="12">
        <f ca="1">IFERROR(__xludf.DUMMYFUNCTION("""COMPUTED_VALUE"""),137547)</f>
        <v>137547</v>
      </c>
      <c r="C7099" s="14">
        <f ca="1">IFERROR(__xludf.DUMMYFUNCTION("""COMPUTED_VALUE"""),1)</f>
        <v>1</v>
      </c>
      <c r="D7099" s="12" t="str">
        <f ca="1">IFERROR(__xludf.DUMMYFUNCTION("""COMPUTED_VALUE"""),"長谷川 陸朗")</f>
        <v>長谷川 陸朗</v>
      </c>
    </row>
    <row r="7100" spans="2:4" ht="13">
      <c r="B7100" s="12">
        <f ca="1">IFERROR(__xludf.DUMMYFUNCTION("""COMPUTED_VALUE"""),137548)</f>
        <v>137548</v>
      </c>
      <c r="C7100" s="14">
        <f ca="1">IFERROR(__xludf.DUMMYFUNCTION("""COMPUTED_VALUE"""),0)</f>
        <v>0</v>
      </c>
      <c r="D7100" s="12" t="str">
        <f ca="1">IFERROR(__xludf.DUMMYFUNCTION("""COMPUTED_VALUE"""),"老田 純輝")</f>
        <v>老田 純輝</v>
      </c>
    </row>
    <row r="7101" spans="2:4" ht="13">
      <c r="B7101" s="12">
        <f ca="1">IFERROR(__xludf.DUMMYFUNCTION("""COMPUTED_VALUE"""),137553)</f>
        <v>137553</v>
      </c>
      <c r="C7101" s="14">
        <f ca="1">IFERROR(__xludf.DUMMYFUNCTION("""COMPUTED_VALUE"""),1)</f>
        <v>1</v>
      </c>
      <c r="D7101" s="12" t="str">
        <f ca="1">IFERROR(__xludf.DUMMYFUNCTION("""COMPUTED_VALUE"""),"老田 純輝")</f>
        <v>老田 純輝</v>
      </c>
    </row>
    <row r="7102" spans="2:4" ht="13">
      <c r="B7102" s="12">
        <f ca="1">IFERROR(__xludf.DUMMYFUNCTION("""COMPUTED_VALUE"""),137554)</f>
        <v>137554</v>
      </c>
      <c r="C7102" s="14">
        <f ca="1">IFERROR(__xludf.DUMMYFUNCTION("""COMPUTED_VALUE"""),0)</f>
        <v>0</v>
      </c>
      <c r="D7102" s="12" t="str">
        <f ca="1">IFERROR(__xludf.DUMMYFUNCTION("""COMPUTED_VALUE"""),"長谷川 陸朗")</f>
        <v>長谷川 陸朗</v>
      </c>
    </row>
    <row r="7103" spans="2:4" ht="13">
      <c r="B7103" s="12">
        <f ca="1">IFERROR(__xludf.DUMMYFUNCTION("""COMPUTED_VALUE"""),137557)</f>
        <v>137557</v>
      </c>
      <c r="C7103" s="14">
        <f ca="1">IFERROR(__xludf.DUMMYFUNCTION("""COMPUTED_VALUE"""),0)</f>
        <v>0</v>
      </c>
      <c r="D7103" s="12" t="str">
        <f ca="1">IFERROR(__xludf.DUMMYFUNCTION("""COMPUTED_VALUE"""),"桐山 勝気")</f>
        <v>桐山 勝気</v>
      </c>
    </row>
    <row r="7104" spans="2:4" ht="13">
      <c r="B7104" s="12">
        <f ca="1">IFERROR(__xludf.DUMMYFUNCTION("""COMPUTED_VALUE"""),137559)</f>
        <v>137559</v>
      </c>
      <c r="C7104" s="14">
        <f ca="1">IFERROR(__xludf.DUMMYFUNCTION("""COMPUTED_VALUE"""),0)</f>
        <v>0</v>
      </c>
      <c r="D7104" s="12" t="str">
        <f ca="1">IFERROR(__xludf.DUMMYFUNCTION("""COMPUTED_VALUE"""),"成嶋 夏未")</f>
        <v>成嶋 夏未</v>
      </c>
    </row>
    <row r="7105" spans="2:4" ht="13">
      <c r="B7105" s="12">
        <f ca="1">IFERROR(__xludf.DUMMYFUNCTION("""COMPUTED_VALUE"""),137569)</f>
        <v>137569</v>
      </c>
      <c r="C7105" s="14">
        <f ca="1">IFERROR(__xludf.DUMMYFUNCTION("""COMPUTED_VALUE"""),0)</f>
        <v>0</v>
      </c>
      <c r="D7105" s="12" t="str">
        <f ca="1">IFERROR(__xludf.DUMMYFUNCTION("""COMPUTED_VALUE"""),"成嶋 夏未")</f>
        <v>成嶋 夏未</v>
      </c>
    </row>
    <row r="7106" spans="2:4" ht="13">
      <c r="B7106" s="12">
        <f ca="1">IFERROR(__xludf.DUMMYFUNCTION("""COMPUTED_VALUE"""),137573)</f>
        <v>137573</v>
      </c>
      <c r="C7106" s="14">
        <f ca="1">IFERROR(__xludf.DUMMYFUNCTION("""COMPUTED_VALUE"""),0)</f>
        <v>0</v>
      </c>
      <c r="D7106" s="12" t="str">
        <f ca="1">IFERROR(__xludf.DUMMYFUNCTION("""COMPUTED_VALUE"""),"小関 麻起")</f>
        <v>小関 麻起</v>
      </c>
    </row>
    <row r="7107" spans="2:4" ht="13">
      <c r="B7107" s="12">
        <f ca="1">IFERROR(__xludf.DUMMYFUNCTION("""COMPUTED_VALUE"""),137576)</f>
        <v>137576</v>
      </c>
      <c r="C7107" s="14">
        <f ca="1">IFERROR(__xludf.DUMMYFUNCTION("""COMPUTED_VALUE"""),0)</f>
        <v>0</v>
      </c>
      <c r="D7107" s="12" t="str">
        <f ca="1">IFERROR(__xludf.DUMMYFUNCTION("""COMPUTED_VALUE"""),"稲場 勇介")</f>
        <v>稲場 勇介</v>
      </c>
    </row>
    <row r="7108" spans="2:4" ht="13">
      <c r="B7108" s="12">
        <f ca="1">IFERROR(__xludf.DUMMYFUNCTION("""COMPUTED_VALUE"""),137582)</f>
        <v>137582</v>
      </c>
      <c r="C7108" s="14">
        <f ca="1">IFERROR(__xludf.DUMMYFUNCTION("""COMPUTED_VALUE"""),0)</f>
        <v>0</v>
      </c>
      <c r="D7108" s="12" t="str">
        <f ca="1">IFERROR(__xludf.DUMMYFUNCTION("""COMPUTED_VALUE"""),"芳賀 亮輔")</f>
        <v>芳賀 亮輔</v>
      </c>
    </row>
    <row r="7109" spans="2:4" ht="13">
      <c r="B7109" s="12">
        <f ca="1">IFERROR(__xludf.DUMMYFUNCTION("""COMPUTED_VALUE"""),137583)</f>
        <v>137583</v>
      </c>
      <c r="C7109" s="14">
        <f ca="1">IFERROR(__xludf.DUMMYFUNCTION("""COMPUTED_VALUE"""),0)</f>
        <v>0</v>
      </c>
      <c r="D7109" s="12" t="str">
        <f ca="1">IFERROR(__xludf.DUMMYFUNCTION("""COMPUTED_VALUE"""),"芳賀 亮輔")</f>
        <v>芳賀 亮輔</v>
      </c>
    </row>
    <row r="7110" spans="2:4" ht="13">
      <c r="B7110" s="12">
        <f ca="1">IFERROR(__xludf.DUMMYFUNCTION("""COMPUTED_VALUE"""),137595)</f>
        <v>137595</v>
      </c>
      <c r="C7110" s="14">
        <f ca="1">IFERROR(__xludf.DUMMYFUNCTION("""COMPUTED_VALUE"""),11)</f>
        <v>11</v>
      </c>
      <c r="D7110" s="12" t="str">
        <f ca="1">IFERROR(__xludf.DUMMYFUNCTION("""COMPUTED_VALUE"""),"小川 純")</f>
        <v>小川 純</v>
      </c>
    </row>
    <row r="7111" spans="2:4" ht="13">
      <c r="B7111" s="12">
        <f ca="1">IFERROR(__xludf.DUMMYFUNCTION("""COMPUTED_VALUE"""),137601)</f>
        <v>137601</v>
      </c>
      <c r="C7111" s="14">
        <f ca="1">IFERROR(__xludf.DUMMYFUNCTION("""COMPUTED_VALUE"""),0)</f>
        <v>0</v>
      </c>
      <c r="D7111" s="12" t="str">
        <f ca="1">IFERROR(__xludf.DUMMYFUNCTION("""COMPUTED_VALUE"""),"長谷川 陸朗")</f>
        <v>長谷川 陸朗</v>
      </c>
    </row>
    <row r="7112" spans="2:4" ht="13">
      <c r="B7112" s="12">
        <f ca="1">IFERROR(__xludf.DUMMYFUNCTION("""COMPUTED_VALUE"""),137604)</f>
        <v>137604</v>
      </c>
      <c r="C7112" s="14">
        <f ca="1">IFERROR(__xludf.DUMMYFUNCTION("""COMPUTED_VALUE"""),0)</f>
        <v>0</v>
      </c>
      <c r="D7112" s="12" t="str">
        <f ca="1">IFERROR(__xludf.DUMMYFUNCTION("""COMPUTED_VALUE"""),"荻曽 克輝")</f>
        <v>荻曽 克輝</v>
      </c>
    </row>
    <row r="7113" spans="2:4" ht="13">
      <c r="B7113" s="12">
        <f ca="1">IFERROR(__xludf.DUMMYFUNCTION("""COMPUTED_VALUE"""),137608)</f>
        <v>137608</v>
      </c>
      <c r="C7113" s="14">
        <f ca="1">IFERROR(__xludf.DUMMYFUNCTION("""COMPUTED_VALUE"""),0)</f>
        <v>0</v>
      </c>
      <c r="D7113" s="12" t="str">
        <f ca="1">IFERROR(__xludf.DUMMYFUNCTION("""COMPUTED_VALUE"""),"荻曽 克輝")</f>
        <v>荻曽 克輝</v>
      </c>
    </row>
    <row r="7114" spans="2:4" ht="13">
      <c r="B7114" s="12">
        <f ca="1">IFERROR(__xludf.DUMMYFUNCTION("""COMPUTED_VALUE"""),137610)</f>
        <v>137610</v>
      </c>
      <c r="C7114" s="14">
        <f ca="1">IFERROR(__xludf.DUMMYFUNCTION("""COMPUTED_VALUE"""),0)</f>
        <v>0</v>
      </c>
      <c r="D7114" s="12" t="str">
        <f ca="1">IFERROR(__xludf.DUMMYFUNCTION("""COMPUTED_VALUE"""),"桐山 勝気")</f>
        <v>桐山 勝気</v>
      </c>
    </row>
    <row r="7115" spans="2:4" ht="13">
      <c r="B7115" s="12">
        <f ca="1">IFERROR(__xludf.DUMMYFUNCTION("""COMPUTED_VALUE"""),137614)</f>
        <v>137614</v>
      </c>
      <c r="C7115" s="14">
        <f ca="1">IFERROR(__xludf.DUMMYFUNCTION("""COMPUTED_VALUE"""),0)</f>
        <v>0</v>
      </c>
      <c r="D7115" s="12" t="str">
        <f ca="1">IFERROR(__xludf.DUMMYFUNCTION("""COMPUTED_VALUE"""),"菅野 ぎんが")</f>
        <v>菅野 ぎんが</v>
      </c>
    </row>
    <row r="7116" spans="2:4" ht="13">
      <c r="B7116" s="12">
        <f ca="1">IFERROR(__xludf.DUMMYFUNCTION("""COMPUTED_VALUE"""),137620)</f>
        <v>137620</v>
      </c>
      <c r="C7116" s="14">
        <f ca="1">IFERROR(__xludf.DUMMYFUNCTION("""COMPUTED_VALUE"""),0)</f>
        <v>0</v>
      </c>
      <c r="D7116" s="12" t="str">
        <f ca="1">IFERROR(__xludf.DUMMYFUNCTION("""COMPUTED_VALUE"""),"内丸 裕子")</f>
        <v>内丸 裕子</v>
      </c>
    </row>
    <row r="7117" spans="2:4" ht="13">
      <c r="B7117" s="12">
        <f ca="1">IFERROR(__xludf.DUMMYFUNCTION("""COMPUTED_VALUE"""),137621)</f>
        <v>137621</v>
      </c>
      <c r="C7117" s="14">
        <f ca="1">IFERROR(__xludf.DUMMYFUNCTION("""COMPUTED_VALUE"""),0)</f>
        <v>0</v>
      </c>
      <c r="D7117" s="12" t="str">
        <f ca="1">IFERROR(__xludf.DUMMYFUNCTION("""COMPUTED_VALUE"""),"小川 純")</f>
        <v>小川 純</v>
      </c>
    </row>
    <row r="7118" spans="2:4" ht="13">
      <c r="B7118" s="12">
        <f ca="1">IFERROR(__xludf.DUMMYFUNCTION("""COMPUTED_VALUE"""),137622)</f>
        <v>137622</v>
      </c>
      <c r="C7118" s="14">
        <f ca="1">IFERROR(__xludf.DUMMYFUNCTION("""COMPUTED_VALUE"""),0)</f>
        <v>0</v>
      </c>
      <c r="D7118" s="12" t="str">
        <f ca="1">IFERROR(__xludf.DUMMYFUNCTION("""COMPUTED_VALUE"""),"村上 浩一朗")</f>
        <v>村上 浩一朗</v>
      </c>
    </row>
    <row r="7119" spans="2:4" ht="13">
      <c r="B7119" s="12">
        <f ca="1">IFERROR(__xludf.DUMMYFUNCTION("""COMPUTED_VALUE"""),137625)</f>
        <v>137625</v>
      </c>
      <c r="C7119" s="14">
        <f ca="1">IFERROR(__xludf.DUMMYFUNCTION("""COMPUTED_VALUE"""),0)</f>
        <v>0</v>
      </c>
      <c r="D7119" s="12" t="str">
        <f ca="1">IFERROR(__xludf.DUMMYFUNCTION("""COMPUTED_VALUE"""),"荻曽 克輝")</f>
        <v>荻曽 克輝</v>
      </c>
    </row>
    <row r="7120" spans="2:4" ht="13">
      <c r="B7120" s="12">
        <f ca="1">IFERROR(__xludf.DUMMYFUNCTION("""COMPUTED_VALUE"""),137629)</f>
        <v>137629</v>
      </c>
      <c r="C7120" s="14">
        <f ca="1">IFERROR(__xludf.DUMMYFUNCTION("""COMPUTED_VALUE"""),0)</f>
        <v>0</v>
      </c>
      <c r="D7120" s="12" t="str">
        <f ca="1">IFERROR(__xludf.DUMMYFUNCTION("""COMPUTED_VALUE"""),"稲場 勇介")</f>
        <v>稲場 勇介</v>
      </c>
    </row>
    <row r="7121" spans="2:4" ht="13">
      <c r="B7121" s="12">
        <f ca="1">IFERROR(__xludf.DUMMYFUNCTION("""COMPUTED_VALUE"""),137639)</f>
        <v>137639</v>
      </c>
      <c r="C7121" s="14">
        <f ca="1">IFERROR(__xludf.DUMMYFUNCTION("""COMPUTED_VALUE"""),0)</f>
        <v>0</v>
      </c>
      <c r="D7121" s="12" t="str">
        <f ca="1">IFERROR(__xludf.DUMMYFUNCTION("""COMPUTED_VALUE"""),"菅野 ぎんが")</f>
        <v>菅野 ぎんが</v>
      </c>
    </row>
    <row r="7122" spans="2:4" ht="13">
      <c r="B7122" s="12">
        <f ca="1">IFERROR(__xludf.DUMMYFUNCTION("""COMPUTED_VALUE"""),137642)</f>
        <v>137642</v>
      </c>
      <c r="C7122" s="14">
        <f ca="1">IFERROR(__xludf.DUMMYFUNCTION("""COMPUTED_VALUE"""),0)</f>
        <v>0</v>
      </c>
      <c r="D7122" s="12" t="str">
        <f ca="1">IFERROR(__xludf.DUMMYFUNCTION("""COMPUTED_VALUE"""),"長谷川 陸朗")</f>
        <v>長谷川 陸朗</v>
      </c>
    </row>
    <row r="7123" spans="2:4" ht="13">
      <c r="B7123" s="12">
        <f ca="1">IFERROR(__xludf.DUMMYFUNCTION("""COMPUTED_VALUE"""),137643)</f>
        <v>137643</v>
      </c>
      <c r="C7123" s="14">
        <f ca="1">IFERROR(__xludf.DUMMYFUNCTION("""COMPUTED_VALUE"""),0)</f>
        <v>0</v>
      </c>
      <c r="D7123" s="12" t="str">
        <f ca="1">IFERROR(__xludf.DUMMYFUNCTION("""COMPUTED_VALUE"""),"長谷川 陸朗")</f>
        <v>長谷川 陸朗</v>
      </c>
    </row>
    <row r="7124" spans="2:4" ht="13">
      <c r="B7124" s="12">
        <f ca="1">IFERROR(__xludf.DUMMYFUNCTION("""COMPUTED_VALUE"""),137644)</f>
        <v>137644</v>
      </c>
      <c r="C7124" s="14">
        <f ca="1">IFERROR(__xludf.DUMMYFUNCTION("""COMPUTED_VALUE"""),0)</f>
        <v>0</v>
      </c>
      <c r="D7124" s="12" t="str">
        <f ca="1">IFERROR(__xludf.DUMMYFUNCTION("""COMPUTED_VALUE"""),"成嶋 夏未")</f>
        <v>成嶋 夏未</v>
      </c>
    </row>
    <row r="7125" spans="2:4" ht="13">
      <c r="B7125" s="12">
        <f ca="1">IFERROR(__xludf.DUMMYFUNCTION("""COMPUTED_VALUE"""),137646)</f>
        <v>137646</v>
      </c>
      <c r="C7125" s="14">
        <f ca="1">IFERROR(__xludf.DUMMYFUNCTION("""COMPUTED_VALUE"""),0)</f>
        <v>0</v>
      </c>
      <c r="D7125" s="12" t="str">
        <f ca="1">IFERROR(__xludf.DUMMYFUNCTION("""COMPUTED_VALUE"""),"稲場 勇介")</f>
        <v>稲場 勇介</v>
      </c>
    </row>
    <row r="7126" spans="2:4" ht="13">
      <c r="B7126" s="12">
        <f ca="1">IFERROR(__xludf.DUMMYFUNCTION("""COMPUTED_VALUE"""),137654)</f>
        <v>137654</v>
      </c>
      <c r="C7126" s="14">
        <f ca="1">IFERROR(__xludf.DUMMYFUNCTION("""COMPUTED_VALUE"""),26)</f>
        <v>26</v>
      </c>
      <c r="D7126" s="12" t="str">
        <f ca="1">IFERROR(__xludf.DUMMYFUNCTION("""COMPUTED_VALUE"""),"村上 浩一朗")</f>
        <v>村上 浩一朗</v>
      </c>
    </row>
    <row r="7127" spans="2:4" ht="13">
      <c r="B7127" s="12">
        <f ca="1">IFERROR(__xludf.DUMMYFUNCTION("""COMPUTED_VALUE"""),137655)</f>
        <v>137655</v>
      </c>
      <c r="C7127" s="14">
        <f ca="1">IFERROR(__xludf.DUMMYFUNCTION("""COMPUTED_VALUE"""),0)</f>
        <v>0</v>
      </c>
      <c r="D7127" s="12" t="str">
        <f ca="1">IFERROR(__xludf.DUMMYFUNCTION("""COMPUTED_VALUE"""),"菅野 ぎんが")</f>
        <v>菅野 ぎんが</v>
      </c>
    </row>
    <row r="7128" spans="2:4" ht="13">
      <c r="B7128" s="12">
        <f ca="1">IFERROR(__xludf.DUMMYFUNCTION("""COMPUTED_VALUE"""),137658)</f>
        <v>137658</v>
      </c>
      <c r="C7128" s="14">
        <f ca="1">IFERROR(__xludf.DUMMYFUNCTION("""COMPUTED_VALUE"""),1)</f>
        <v>1</v>
      </c>
      <c r="D7128" s="12" t="str">
        <f ca="1">IFERROR(__xludf.DUMMYFUNCTION("""COMPUTED_VALUE"""),"大木 優香")</f>
        <v>大木 優香</v>
      </c>
    </row>
    <row r="7129" spans="2:4" ht="13">
      <c r="B7129" s="12">
        <f ca="1">IFERROR(__xludf.DUMMYFUNCTION("""COMPUTED_VALUE"""),137660)</f>
        <v>137660</v>
      </c>
      <c r="C7129" s="14">
        <f ca="1">IFERROR(__xludf.DUMMYFUNCTION("""COMPUTED_VALUE"""),1)</f>
        <v>1</v>
      </c>
      <c r="D7129" s="12" t="str">
        <f ca="1">IFERROR(__xludf.DUMMYFUNCTION("""COMPUTED_VALUE"""),"荻曽 克輝")</f>
        <v>荻曽 克輝</v>
      </c>
    </row>
    <row r="7130" spans="2:4" ht="13">
      <c r="B7130" s="12">
        <f ca="1">IFERROR(__xludf.DUMMYFUNCTION("""COMPUTED_VALUE"""),137661)</f>
        <v>137661</v>
      </c>
      <c r="C7130" s="14">
        <f ca="1">IFERROR(__xludf.DUMMYFUNCTION("""COMPUTED_VALUE"""),4)</f>
        <v>4</v>
      </c>
      <c r="D7130" s="12" t="str">
        <f ca="1">IFERROR(__xludf.DUMMYFUNCTION("""COMPUTED_VALUE"""),"桐山 勝気")</f>
        <v>桐山 勝気</v>
      </c>
    </row>
    <row r="7131" spans="2:4" ht="13">
      <c r="B7131" s="12">
        <f ca="1">IFERROR(__xludf.DUMMYFUNCTION("""COMPUTED_VALUE"""),137664)</f>
        <v>137664</v>
      </c>
      <c r="C7131" s="14">
        <f ca="1">IFERROR(__xludf.DUMMYFUNCTION("""COMPUTED_VALUE"""),0)</f>
        <v>0</v>
      </c>
      <c r="D7131" s="12" t="str">
        <f ca="1">IFERROR(__xludf.DUMMYFUNCTION("""COMPUTED_VALUE"""),"稲場 勇介")</f>
        <v>稲場 勇介</v>
      </c>
    </row>
    <row r="7132" spans="2:4" ht="13">
      <c r="B7132" s="12">
        <f ca="1">IFERROR(__xludf.DUMMYFUNCTION("""COMPUTED_VALUE"""),137672)</f>
        <v>137672</v>
      </c>
      <c r="C7132" s="14">
        <f ca="1">IFERROR(__xludf.DUMMYFUNCTION("""COMPUTED_VALUE"""),0)</f>
        <v>0</v>
      </c>
      <c r="D7132" s="12" t="str">
        <f ca="1">IFERROR(__xludf.DUMMYFUNCTION("""COMPUTED_VALUE"""),"成嶋 夏未")</f>
        <v>成嶋 夏未</v>
      </c>
    </row>
    <row r="7133" spans="2:4" ht="13">
      <c r="B7133" s="12">
        <f ca="1">IFERROR(__xludf.DUMMYFUNCTION("""COMPUTED_VALUE"""),137675)</f>
        <v>137675</v>
      </c>
      <c r="C7133" s="14">
        <f ca="1">IFERROR(__xludf.DUMMYFUNCTION("""COMPUTED_VALUE"""),0)</f>
        <v>0</v>
      </c>
      <c r="D7133" s="12" t="str">
        <f ca="1">IFERROR(__xludf.DUMMYFUNCTION("""COMPUTED_VALUE"""),"栗原 大武")</f>
        <v>栗原 大武</v>
      </c>
    </row>
    <row r="7134" spans="2:4" ht="13">
      <c r="B7134" s="12">
        <f ca="1">IFERROR(__xludf.DUMMYFUNCTION("""COMPUTED_VALUE"""),137680)</f>
        <v>137680</v>
      </c>
      <c r="C7134" s="14">
        <f ca="1">IFERROR(__xludf.DUMMYFUNCTION("""COMPUTED_VALUE"""),5)</f>
        <v>5</v>
      </c>
      <c r="D7134" s="12" t="str">
        <f ca="1">IFERROR(__xludf.DUMMYFUNCTION("""COMPUTED_VALUE"""),"稲場 勇介")</f>
        <v>稲場 勇介</v>
      </c>
    </row>
    <row r="7135" spans="2:4" ht="13">
      <c r="B7135" s="12">
        <f ca="1">IFERROR(__xludf.DUMMYFUNCTION("""COMPUTED_VALUE"""),137681)</f>
        <v>137681</v>
      </c>
      <c r="C7135" s="14">
        <f ca="1">IFERROR(__xludf.DUMMYFUNCTION("""COMPUTED_VALUE"""),0)</f>
        <v>0</v>
      </c>
      <c r="D7135" s="12" t="str">
        <f ca="1">IFERROR(__xludf.DUMMYFUNCTION("""COMPUTED_VALUE"""),"荻曽 克輝")</f>
        <v>荻曽 克輝</v>
      </c>
    </row>
    <row r="7136" spans="2:4" ht="13">
      <c r="B7136" s="12">
        <f ca="1">IFERROR(__xludf.DUMMYFUNCTION("""COMPUTED_VALUE"""),137682)</f>
        <v>137682</v>
      </c>
      <c r="C7136" s="14">
        <f ca="1">IFERROR(__xludf.DUMMYFUNCTION("""COMPUTED_VALUE"""),0)</f>
        <v>0</v>
      </c>
      <c r="D7136" s="12" t="str">
        <f ca="1">IFERROR(__xludf.DUMMYFUNCTION("""COMPUTED_VALUE"""),"荻曽 克輝")</f>
        <v>荻曽 克輝</v>
      </c>
    </row>
    <row r="7137" spans="2:4" ht="13">
      <c r="B7137" s="12">
        <f ca="1">IFERROR(__xludf.DUMMYFUNCTION("""COMPUTED_VALUE"""),137689)</f>
        <v>137689</v>
      </c>
      <c r="C7137" s="14">
        <f ca="1">IFERROR(__xludf.DUMMYFUNCTION("""COMPUTED_VALUE"""),40)</f>
        <v>40</v>
      </c>
      <c r="D7137" s="12" t="str">
        <f ca="1">IFERROR(__xludf.DUMMYFUNCTION("""COMPUTED_VALUE"""),"栗原 大武")</f>
        <v>栗原 大武</v>
      </c>
    </row>
    <row r="7138" spans="2:4" ht="13">
      <c r="B7138" s="12">
        <f ca="1">IFERROR(__xludf.DUMMYFUNCTION("""COMPUTED_VALUE"""),137691)</f>
        <v>137691</v>
      </c>
      <c r="C7138" s="14">
        <f ca="1">IFERROR(__xludf.DUMMYFUNCTION("""COMPUTED_VALUE"""),0)</f>
        <v>0</v>
      </c>
      <c r="D7138" s="12" t="str">
        <f ca="1">IFERROR(__xludf.DUMMYFUNCTION("""COMPUTED_VALUE"""),"長谷川 陸朗")</f>
        <v>長谷川 陸朗</v>
      </c>
    </row>
    <row r="7139" spans="2:4" ht="13">
      <c r="B7139" s="12">
        <f ca="1">IFERROR(__xludf.DUMMYFUNCTION("""COMPUTED_VALUE"""),137692)</f>
        <v>137692</v>
      </c>
      <c r="C7139" s="14">
        <f ca="1">IFERROR(__xludf.DUMMYFUNCTION("""COMPUTED_VALUE"""),0)</f>
        <v>0</v>
      </c>
      <c r="D7139" s="12" t="str">
        <f ca="1">IFERROR(__xludf.DUMMYFUNCTION("""COMPUTED_VALUE"""),"長谷川 陸朗")</f>
        <v>長谷川 陸朗</v>
      </c>
    </row>
    <row r="7140" spans="2:4" ht="13">
      <c r="B7140" s="12">
        <f ca="1">IFERROR(__xludf.DUMMYFUNCTION("""COMPUTED_VALUE"""),137694)</f>
        <v>137694</v>
      </c>
      <c r="C7140" s="14">
        <f ca="1">IFERROR(__xludf.DUMMYFUNCTION("""COMPUTED_VALUE"""),0)</f>
        <v>0</v>
      </c>
      <c r="D7140" s="12" t="str">
        <f ca="1">IFERROR(__xludf.DUMMYFUNCTION("""COMPUTED_VALUE"""),"松尾 尚樹")</f>
        <v>松尾 尚樹</v>
      </c>
    </row>
    <row r="7141" spans="2:4" ht="13">
      <c r="B7141" s="12">
        <f ca="1">IFERROR(__xludf.DUMMYFUNCTION("""COMPUTED_VALUE"""),137695)</f>
        <v>137695</v>
      </c>
      <c r="C7141" s="14">
        <f ca="1">IFERROR(__xludf.DUMMYFUNCTION("""COMPUTED_VALUE"""),0)</f>
        <v>0</v>
      </c>
      <c r="D7141" s="12" t="str">
        <f ca="1">IFERROR(__xludf.DUMMYFUNCTION("""COMPUTED_VALUE"""),"芳賀 亮輔")</f>
        <v>芳賀 亮輔</v>
      </c>
    </row>
    <row r="7142" spans="2:4" ht="13">
      <c r="B7142" s="12">
        <f ca="1">IFERROR(__xludf.DUMMYFUNCTION("""COMPUTED_VALUE"""),137700)</f>
        <v>137700</v>
      </c>
      <c r="C7142" s="14">
        <f ca="1">IFERROR(__xludf.DUMMYFUNCTION("""COMPUTED_VALUE"""),0)</f>
        <v>0</v>
      </c>
      <c r="D7142" s="12" t="str">
        <f ca="1">IFERROR(__xludf.DUMMYFUNCTION("""COMPUTED_VALUE"""),"荻曽 克輝")</f>
        <v>荻曽 克輝</v>
      </c>
    </row>
    <row r="7143" spans="2:4" ht="13">
      <c r="B7143" s="12">
        <f ca="1">IFERROR(__xludf.DUMMYFUNCTION("""COMPUTED_VALUE"""),137715)</f>
        <v>137715</v>
      </c>
      <c r="C7143" s="14">
        <f ca="1">IFERROR(__xludf.DUMMYFUNCTION("""COMPUTED_VALUE"""),0)</f>
        <v>0</v>
      </c>
      <c r="D7143" s="12" t="str">
        <f ca="1">IFERROR(__xludf.DUMMYFUNCTION("""COMPUTED_VALUE"""),"松尾 尚樹")</f>
        <v>松尾 尚樹</v>
      </c>
    </row>
    <row r="7144" spans="2:4" ht="13">
      <c r="B7144" s="12">
        <f ca="1">IFERROR(__xludf.DUMMYFUNCTION("""COMPUTED_VALUE"""),137724)</f>
        <v>137724</v>
      </c>
      <c r="C7144" s="14">
        <f ca="1">IFERROR(__xludf.DUMMYFUNCTION("""COMPUTED_VALUE"""),0)</f>
        <v>0</v>
      </c>
      <c r="D7144" s="12" t="str">
        <f ca="1">IFERROR(__xludf.DUMMYFUNCTION("""COMPUTED_VALUE"""),"荻曽 克輝")</f>
        <v>荻曽 克輝</v>
      </c>
    </row>
    <row r="7145" spans="2:4" ht="13">
      <c r="B7145" s="12">
        <f ca="1">IFERROR(__xludf.DUMMYFUNCTION("""COMPUTED_VALUE"""),137725)</f>
        <v>137725</v>
      </c>
      <c r="C7145" s="14">
        <f ca="1">IFERROR(__xludf.DUMMYFUNCTION("""COMPUTED_VALUE"""),0)</f>
        <v>0</v>
      </c>
      <c r="D7145" s="12" t="str">
        <f ca="1">IFERROR(__xludf.DUMMYFUNCTION("""COMPUTED_VALUE"""),"桐山 勝気")</f>
        <v>桐山 勝気</v>
      </c>
    </row>
    <row r="7146" spans="2:4" ht="13">
      <c r="B7146" s="12">
        <f ca="1">IFERROR(__xludf.DUMMYFUNCTION("""COMPUTED_VALUE"""),137728)</f>
        <v>137728</v>
      </c>
      <c r="C7146" s="14">
        <f ca="1">IFERROR(__xludf.DUMMYFUNCTION("""COMPUTED_VALUE"""),0)</f>
        <v>0</v>
      </c>
      <c r="D7146" s="12" t="str">
        <f ca="1">IFERROR(__xludf.DUMMYFUNCTION("""COMPUTED_VALUE"""),"栗原 大武")</f>
        <v>栗原 大武</v>
      </c>
    </row>
    <row r="7147" spans="2:4" ht="13">
      <c r="B7147" s="12">
        <f ca="1">IFERROR(__xludf.DUMMYFUNCTION("""COMPUTED_VALUE"""),137731)</f>
        <v>137731</v>
      </c>
      <c r="C7147" s="14">
        <f ca="1">IFERROR(__xludf.DUMMYFUNCTION("""COMPUTED_VALUE"""),3)</f>
        <v>3</v>
      </c>
      <c r="D7147" s="12" t="str">
        <f ca="1">IFERROR(__xludf.DUMMYFUNCTION("""COMPUTED_VALUE"""),"稲場 勇介")</f>
        <v>稲場 勇介</v>
      </c>
    </row>
    <row r="7148" spans="2:4" ht="13">
      <c r="B7148" s="12">
        <f ca="1">IFERROR(__xludf.DUMMYFUNCTION("""COMPUTED_VALUE"""),137732)</f>
        <v>137732</v>
      </c>
      <c r="C7148" s="14">
        <f ca="1">IFERROR(__xludf.DUMMYFUNCTION("""COMPUTED_VALUE"""),0)</f>
        <v>0</v>
      </c>
      <c r="D7148" s="12" t="str">
        <f ca="1">IFERROR(__xludf.DUMMYFUNCTION("""COMPUTED_VALUE"""),"田嶋 将太")</f>
        <v>田嶋 将太</v>
      </c>
    </row>
    <row r="7149" spans="2:4" ht="13">
      <c r="B7149" s="12">
        <f ca="1">IFERROR(__xludf.DUMMYFUNCTION("""COMPUTED_VALUE"""),137740)</f>
        <v>137740</v>
      </c>
      <c r="C7149" s="14">
        <f ca="1">IFERROR(__xludf.DUMMYFUNCTION("""COMPUTED_VALUE"""),0)</f>
        <v>0</v>
      </c>
      <c r="D7149" s="12" t="str">
        <f ca="1">IFERROR(__xludf.DUMMYFUNCTION("""COMPUTED_VALUE"""),"長谷川 陸朗")</f>
        <v>長谷川 陸朗</v>
      </c>
    </row>
    <row r="7150" spans="2:4" ht="13">
      <c r="B7150" s="12">
        <f ca="1">IFERROR(__xludf.DUMMYFUNCTION("""COMPUTED_VALUE"""),137741)</f>
        <v>137741</v>
      </c>
      <c r="C7150" s="14">
        <f ca="1">IFERROR(__xludf.DUMMYFUNCTION("""COMPUTED_VALUE"""),0)</f>
        <v>0</v>
      </c>
      <c r="D7150" s="12" t="str">
        <f ca="1">IFERROR(__xludf.DUMMYFUNCTION("""COMPUTED_VALUE"""),"松尾 尚樹")</f>
        <v>松尾 尚樹</v>
      </c>
    </row>
    <row r="7151" spans="2:4" ht="13">
      <c r="B7151" s="12">
        <f ca="1">IFERROR(__xludf.DUMMYFUNCTION("""COMPUTED_VALUE"""),137744)</f>
        <v>137744</v>
      </c>
      <c r="C7151" s="14">
        <f ca="1">IFERROR(__xludf.DUMMYFUNCTION("""COMPUTED_VALUE"""),0)</f>
        <v>0</v>
      </c>
      <c r="D7151" s="12" t="str">
        <f ca="1">IFERROR(__xludf.DUMMYFUNCTION("""COMPUTED_VALUE"""),"荻曽 克輝")</f>
        <v>荻曽 克輝</v>
      </c>
    </row>
    <row r="7152" spans="2:4" ht="13">
      <c r="B7152" s="12">
        <f ca="1">IFERROR(__xludf.DUMMYFUNCTION("""COMPUTED_VALUE"""),137747)</f>
        <v>137747</v>
      </c>
      <c r="C7152" s="14">
        <f ca="1">IFERROR(__xludf.DUMMYFUNCTION("""COMPUTED_VALUE"""),0)</f>
        <v>0</v>
      </c>
      <c r="D7152" s="12" t="str">
        <f ca="1">IFERROR(__xludf.DUMMYFUNCTION("""COMPUTED_VALUE"""),"稲場 勇介")</f>
        <v>稲場 勇介</v>
      </c>
    </row>
    <row r="7153" spans="2:4" ht="13">
      <c r="B7153" s="12">
        <f ca="1">IFERROR(__xludf.DUMMYFUNCTION("""COMPUTED_VALUE"""),137749)</f>
        <v>137749</v>
      </c>
      <c r="C7153" s="14">
        <f ca="1">IFERROR(__xludf.DUMMYFUNCTION("""COMPUTED_VALUE"""),68)</f>
        <v>68</v>
      </c>
      <c r="D7153" s="12" t="str">
        <f ca="1">IFERROR(__xludf.DUMMYFUNCTION("""COMPUTED_VALUE"""),"辻村 将大")</f>
        <v>辻村 将大</v>
      </c>
    </row>
    <row r="7154" spans="2:4" ht="13">
      <c r="B7154" s="12">
        <f ca="1">IFERROR(__xludf.DUMMYFUNCTION("""COMPUTED_VALUE"""),137754)</f>
        <v>137754</v>
      </c>
      <c r="C7154" s="14">
        <f ca="1">IFERROR(__xludf.DUMMYFUNCTION("""COMPUTED_VALUE"""),0)</f>
        <v>0</v>
      </c>
      <c r="D7154" s="12" t="str">
        <f ca="1">IFERROR(__xludf.DUMMYFUNCTION("""COMPUTED_VALUE"""),"稲場 勇介")</f>
        <v>稲場 勇介</v>
      </c>
    </row>
    <row r="7155" spans="2:4" ht="13">
      <c r="B7155" s="12">
        <f ca="1">IFERROR(__xludf.DUMMYFUNCTION("""COMPUTED_VALUE"""),137760)</f>
        <v>137760</v>
      </c>
      <c r="C7155" s="14">
        <f ca="1">IFERROR(__xludf.DUMMYFUNCTION("""COMPUTED_VALUE"""),0)</f>
        <v>0</v>
      </c>
      <c r="D7155" s="12" t="str">
        <f ca="1">IFERROR(__xludf.DUMMYFUNCTION("""COMPUTED_VALUE"""),"堀越 駿")</f>
        <v>堀越 駿</v>
      </c>
    </row>
    <row r="7156" spans="2:4" ht="13">
      <c r="B7156" s="12">
        <f ca="1">IFERROR(__xludf.DUMMYFUNCTION("""COMPUTED_VALUE"""),137772)</f>
        <v>137772</v>
      </c>
      <c r="C7156" s="14">
        <f ca="1">IFERROR(__xludf.DUMMYFUNCTION("""COMPUTED_VALUE"""),0)</f>
        <v>0</v>
      </c>
      <c r="D7156" s="12" t="str">
        <f ca="1">IFERROR(__xludf.DUMMYFUNCTION("""COMPUTED_VALUE"""),"稲場 勇介")</f>
        <v>稲場 勇介</v>
      </c>
    </row>
    <row r="7157" spans="2:4" ht="13">
      <c r="B7157" s="12">
        <f ca="1">IFERROR(__xludf.DUMMYFUNCTION("""COMPUTED_VALUE"""),137780)</f>
        <v>137780</v>
      </c>
      <c r="C7157" s="14">
        <f ca="1">IFERROR(__xludf.DUMMYFUNCTION("""COMPUTED_VALUE"""),0)</f>
        <v>0</v>
      </c>
      <c r="D7157" s="12" t="str">
        <f ca="1">IFERROR(__xludf.DUMMYFUNCTION("""COMPUTED_VALUE"""),"長谷川 陸朗")</f>
        <v>長谷川 陸朗</v>
      </c>
    </row>
    <row r="7158" spans="2:4" ht="13">
      <c r="B7158" s="12">
        <f ca="1">IFERROR(__xludf.DUMMYFUNCTION("""COMPUTED_VALUE"""),137781)</f>
        <v>137781</v>
      </c>
      <c r="C7158" s="14">
        <f ca="1">IFERROR(__xludf.DUMMYFUNCTION("""COMPUTED_VALUE"""),0)</f>
        <v>0</v>
      </c>
      <c r="D7158" s="12" t="str">
        <f ca="1">IFERROR(__xludf.DUMMYFUNCTION("""COMPUTED_VALUE"""),"菅野 ぎんが")</f>
        <v>菅野 ぎんが</v>
      </c>
    </row>
    <row r="7159" spans="2:4" ht="13">
      <c r="B7159" s="12">
        <f ca="1">IFERROR(__xludf.DUMMYFUNCTION("""COMPUTED_VALUE"""),137786)</f>
        <v>137786</v>
      </c>
      <c r="C7159" s="14">
        <f ca="1">IFERROR(__xludf.DUMMYFUNCTION("""COMPUTED_VALUE"""),0)</f>
        <v>0</v>
      </c>
      <c r="D7159" s="12" t="str">
        <f ca="1">IFERROR(__xludf.DUMMYFUNCTION("""COMPUTED_VALUE"""),"田嶋 将太")</f>
        <v>田嶋 将太</v>
      </c>
    </row>
    <row r="7160" spans="2:4" ht="13">
      <c r="B7160" s="12">
        <f ca="1">IFERROR(__xludf.DUMMYFUNCTION("""COMPUTED_VALUE"""),137793)</f>
        <v>137793</v>
      </c>
      <c r="C7160" s="14">
        <f ca="1">IFERROR(__xludf.DUMMYFUNCTION("""COMPUTED_VALUE"""),2)</f>
        <v>2</v>
      </c>
      <c r="D7160" s="12" t="str">
        <f ca="1">IFERROR(__xludf.DUMMYFUNCTION("""COMPUTED_VALUE"""),"成嶋 夏未")</f>
        <v>成嶋 夏未</v>
      </c>
    </row>
    <row r="7161" spans="2:4" ht="13">
      <c r="B7161" s="12">
        <f ca="1">IFERROR(__xludf.DUMMYFUNCTION("""COMPUTED_VALUE"""),137794)</f>
        <v>137794</v>
      </c>
      <c r="C7161" s="14">
        <f ca="1">IFERROR(__xludf.DUMMYFUNCTION("""COMPUTED_VALUE"""),0)</f>
        <v>0</v>
      </c>
      <c r="D7161" s="12" t="str">
        <f ca="1">IFERROR(__xludf.DUMMYFUNCTION("""COMPUTED_VALUE"""),"小関 麻起")</f>
        <v>小関 麻起</v>
      </c>
    </row>
    <row r="7162" spans="2:4" ht="13">
      <c r="B7162" s="12">
        <f ca="1">IFERROR(__xludf.DUMMYFUNCTION("""COMPUTED_VALUE"""),137795)</f>
        <v>137795</v>
      </c>
      <c r="C7162" s="14">
        <f ca="1">IFERROR(__xludf.DUMMYFUNCTION("""COMPUTED_VALUE"""),1)</f>
        <v>1</v>
      </c>
      <c r="D7162" s="12" t="str">
        <f ca="1">IFERROR(__xludf.DUMMYFUNCTION("""COMPUTED_VALUE"""),"荻曽 克輝")</f>
        <v>荻曽 克輝</v>
      </c>
    </row>
    <row r="7163" spans="2:4" ht="13">
      <c r="B7163" s="12">
        <f ca="1">IFERROR(__xludf.DUMMYFUNCTION("""COMPUTED_VALUE"""),137799)</f>
        <v>137799</v>
      </c>
      <c r="C7163" s="14">
        <f ca="1">IFERROR(__xludf.DUMMYFUNCTION("""COMPUTED_VALUE"""),19)</f>
        <v>19</v>
      </c>
      <c r="D7163" s="12" t="str">
        <f ca="1">IFERROR(__xludf.DUMMYFUNCTION("""COMPUTED_VALUE"""),"菅野 ぎんが")</f>
        <v>菅野 ぎんが</v>
      </c>
    </row>
    <row r="7164" spans="2:4" ht="13">
      <c r="B7164" s="12">
        <f ca="1">IFERROR(__xludf.DUMMYFUNCTION("""COMPUTED_VALUE"""),137801)</f>
        <v>137801</v>
      </c>
      <c r="C7164" s="14">
        <f ca="1">IFERROR(__xludf.DUMMYFUNCTION("""COMPUTED_VALUE"""),0)</f>
        <v>0</v>
      </c>
      <c r="D7164" s="12" t="str">
        <f ca="1">IFERROR(__xludf.DUMMYFUNCTION("""COMPUTED_VALUE"""),"長谷川 陸朗")</f>
        <v>長谷川 陸朗</v>
      </c>
    </row>
    <row r="7165" spans="2:4" ht="13">
      <c r="B7165" s="12">
        <f ca="1">IFERROR(__xludf.DUMMYFUNCTION("""COMPUTED_VALUE"""),137805)</f>
        <v>137805</v>
      </c>
      <c r="C7165" s="14">
        <f ca="1">IFERROR(__xludf.DUMMYFUNCTION("""COMPUTED_VALUE"""),5)</f>
        <v>5</v>
      </c>
      <c r="D7165" s="12" t="str">
        <f ca="1">IFERROR(__xludf.DUMMYFUNCTION("""COMPUTED_VALUE"""),"稲場 勇介")</f>
        <v>稲場 勇介</v>
      </c>
    </row>
    <row r="7166" spans="2:4" ht="13">
      <c r="B7166" s="12">
        <f ca="1">IFERROR(__xludf.DUMMYFUNCTION("""COMPUTED_VALUE"""),137807)</f>
        <v>137807</v>
      </c>
      <c r="C7166" s="14">
        <f ca="1">IFERROR(__xludf.DUMMYFUNCTION("""COMPUTED_VALUE"""),0)</f>
        <v>0</v>
      </c>
      <c r="D7166" s="12" t="str">
        <f ca="1">IFERROR(__xludf.DUMMYFUNCTION("""COMPUTED_VALUE"""),"桐山 勝気")</f>
        <v>桐山 勝気</v>
      </c>
    </row>
    <row r="7167" spans="2:4" ht="13">
      <c r="B7167" s="12">
        <f ca="1">IFERROR(__xludf.DUMMYFUNCTION("""COMPUTED_VALUE"""),137810)</f>
        <v>137810</v>
      </c>
      <c r="C7167" s="14">
        <f ca="1">IFERROR(__xludf.DUMMYFUNCTION("""COMPUTED_VALUE"""),0)</f>
        <v>0</v>
      </c>
      <c r="D7167" s="12" t="str">
        <f ca="1">IFERROR(__xludf.DUMMYFUNCTION("""COMPUTED_VALUE"""),"小関 麻起")</f>
        <v>小関 麻起</v>
      </c>
    </row>
    <row r="7168" spans="2:4" ht="13">
      <c r="B7168" s="12">
        <f ca="1">IFERROR(__xludf.DUMMYFUNCTION("""COMPUTED_VALUE"""),137818)</f>
        <v>137818</v>
      </c>
      <c r="C7168" s="14">
        <f ca="1">IFERROR(__xludf.DUMMYFUNCTION("""COMPUTED_VALUE"""),0)</f>
        <v>0</v>
      </c>
      <c r="D7168" s="12" t="str">
        <f ca="1">IFERROR(__xludf.DUMMYFUNCTION("""COMPUTED_VALUE"""),"堀越 駿")</f>
        <v>堀越 駿</v>
      </c>
    </row>
    <row r="7169" spans="2:4" ht="13">
      <c r="B7169" s="12">
        <f ca="1">IFERROR(__xludf.DUMMYFUNCTION("""COMPUTED_VALUE"""),137826)</f>
        <v>137826</v>
      </c>
      <c r="C7169" s="14">
        <f ca="1">IFERROR(__xludf.DUMMYFUNCTION("""COMPUTED_VALUE"""),0)</f>
        <v>0</v>
      </c>
      <c r="D7169" s="12" t="str">
        <f ca="1">IFERROR(__xludf.DUMMYFUNCTION("""COMPUTED_VALUE"""),"老田 純輝")</f>
        <v>老田 純輝</v>
      </c>
    </row>
    <row r="7170" spans="2:4" ht="13">
      <c r="B7170" s="12">
        <f ca="1">IFERROR(__xludf.DUMMYFUNCTION("""COMPUTED_VALUE"""),137832)</f>
        <v>137832</v>
      </c>
      <c r="C7170" s="14">
        <f ca="1">IFERROR(__xludf.DUMMYFUNCTION("""COMPUTED_VALUE"""),0)</f>
        <v>0</v>
      </c>
      <c r="D7170" s="12" t="str">
        <f ca="1">IFERROR(__xludf.DUMMYFUNCTION("""COMPUTED_VALUE"""),"芳賀 亮輔")</f>
        <v>芳賀 亮輔</v>
      </c>
    </row>
    <row r="7171" spans="2:4" ht="13">
      <c r="B7171" s="12">
        <f ca="1">IFERROR(__xludf.DUMMYFUNCTION("""COMPUTED_VALUE"""),137833)</f>
        <v>137833</v>
      </c>
      <c r="C7171" s="14">
        <f ca="1">IFERROR(__xludf.DUMMYFUNCTION("""COMPUTED_VALUE"""),33)</f>
        <v>33</v>
      </c>
      <c r="D7171" s="12" t="str">
        <f ca="1">IFERROR(__xludf.DUMMYFUNCTION("""COMPUTED_VALUE"""),"内丸 裕子")</f>
        <v>内丸 裕子</v>
      </c>
    </row>
    <row r="7172" spans="2:4" ht="13">
      <c r="B7172" s="12">
        <f ca="1">IFERROR(__xludf.DUMMYFUNCTION("""COMPUTED_VALUE"""),137834)</f>
        <v>137834</v>
      </c>
      <c r="C7172" s="14">
        <f ca="1">IFERROR(__xludf.DUMMYFUNCTION("""COMPUTED_VALUE"""),53)</f>
        <v>53</v>
      </c>
      <c r="D7172" s="12" t="str">
        <f ca="1">IFERROR(__xludf.DUMMYFUNCTION("""COMPUTED_VALUE"""),"桑原 明子")</f>
        <v>桑原 明子</v>
      </c>
    </row>
    <row r="7173" spans="2:4" ht="13">
      <c r="B7173" s="12">
        <f ca="1">IFERROR(__xludf.DUMMYFUNCTION("""COMPUTED_VALUE"""),137836)</f>
        <v>137836</v>
      </c>
      <c r="C7173" s="14">
        <f ca="1">IFERROR(__xludf.DUMMYFUNCTION("""COMPUTED_VALUE"""),0)</f>
        <v>0</v>
      </c>
      <c r="D7173" s="12" t="str">
        <f ca="1">IFERROR(__xludf.DUMMYFUNCTION("""COMPUTED_VALUE"""),"老田 純輝")</f>
        <v>老田 純輝</v>
      </c>
    </row>
    <row r="7174" spans="2:4" ht="13">
      <c r="B7174" s="12">
        <f ca="1">IFERROR(__xludf.DUMMYFUNCTION("""COMPUTED_VALUE"""),137843)</f>
        <v>137843</v>
      </c>
      <c r="C7174" s="14">
        <f ca="1">IFERROR(__xludf.DUMMYFUNCTION("""COMPUTED_VALUE"""),0)</f>
        <v>0</v>
      </c>
      <c r="D7174" s="12" t="str">
        <f ca="1">IFERROR(__xludf.DUMMYFUNCTION("""COMPUTED_VALUE"""),"長谷川 陸朗")</f>
        <v>長谷川 陸朗</v>
      </c>
    </row>
    <row r="7175" spans="2:4" ht="13">
      <c r="B7175" s="12">
        <f ca="1">IFERROR(__xludf.DUMMYFUNCTION("""COMPUTED_VALUE"""),137846)</f>
        <v>137846</v>
      </c>
      <c r="C7175" s="14">
        <f ca="1">IFERROR(__xludf.DUMMYFUNCTION("""COMPUTED_VALUE"""),0)</f>
        <v>0</v>
      </c>
      <c r="D7175" s="12" t="str">
        <f ca="1">IFERROR(__xludf.DUMMYFUNCTION("""COMPUTED_VALUE"""),"成嶋 夏未")</f>
        <v>成嶋 夏未</v>
      </c>
    </row>
    <row r="7176" spans="2:4" ht="13">
      <c r="B7176" s="12">
        <f ca="1">IFERROR(__xludf.DUMMYFUNCTION("""COMPUTED_VALUE"""),137848)</f>
        <v>137848</v>
      </c>
      <c r="C7176" s="14">
        <f ca="1">IFERROR(__xludf.DUMMYFUNCTION("""COMPUTED_VALUE"""),0)</f>
        <v>0</v>
      </c>
      <c r="D7176" s="12" t="str">
        <f ca="1">IFERROR(__xludf.DUMMYFUNCTION("""COMPUTED_VALUE"""),"栗原 大武")</f>
        <v>栗原 大武</v>
      </c>
    </row>
    <row r="7177" spans="2:4" ht="13">
      <c r="B7177" s="12">
        <f ca="1">IFERROR(__xludf.DUMMYFUNCTION("""COMPUTED_VALUE"""),137857)</f>
        <v>137857</v>
      </c>
      <c r="C7177" s="14">
        <f ca="1">IFERROR(__xludf.DUMMYFUNCTION("""COMPUTED_VALUE"""),0)</f>
        <v>0</v>
      </c>
      <c r="D7177" s="12" t="str">
        <f ca="1">IFERROR(__xludf.DUMMYFUNCTION("""COMPUTED_VALUE"""),"長谷川 陸朗")</f>
        <v>長谷川 陸朗</v>
      </c>
    </row>
    <row r="7178" spans="2:4" ht="13">
      <c r="B7178" s="12">
        <f ca="1">IFERROR(__xludf.DUMMYFUNCTION("""COMPUTED_VALUE"""),137859)</f>
        <v>137859</v>
      </c>
      <c r="C7178" s="14">
        <f ca="1">IFERROR(__xludf.DUMMYFUNCTION("""COMPUTED_VALUE"""),0)</f>
        <v>0</v>
      </c>
      <c r="D7178" s="12" t="str">
        <f ca="1">IFERROR(__xludf.DUMMYFUNCTION("""COMPUTED_VALUE"""),"村上 浩一朗")</f>
        <v>村上 浩一朗</v>
      </c>
    </row>
    <row r="7179" spans="2:4" ht="13">
      <c r="B7179" s="12">
        <f ca="1">IFERROR(__xludf.DUMMYFUNCTION("""COMPUTED_VALUE"""),137866)</f>
        <v>137866</v>
      </c>
      <c r="C7179" s="14">
        <f ca="1">IFERROR(__xludf.DUMMYFUNCTION("""COMPUTED_VALUE"""),0)</f>
        <v>0</v>
      </c>
      <c r="D7179" s="12" t="str">
        <f ca="1">IFERROR(__xludf.DUMMYFUNCTION("""COMPUTED_VALUE"""),"桐山 勝気")</f>
        <v>桐山 勝気</v>
      </c>
    </row>
    <row r="7180" spans="2:4" ht="13">
      <c r="B7180" s="12">
        <f ca="1">IFERROR(__xludf.DUMMYFUNCTION("""COMPUTED_VALUE"""),137870)</f>
        <v>137870</v>
      </c>
      <c r="C7180" s="14">
        <f ca="1">IFERROR(__xludf.DUMMYFUNCTION("""COMPUTED_VALUE"""),5)</f>
        <v>5</v>
      </c>
      <c r="D7180" s="12" t="str">
        <f ca="1">IFERROR(__xludf.DUMMYFUNCTION("""COMPUTED_VALUE"""),"稲場 勇介")</f>
        <v>稲場 勇介</v>
      </c>
    </row>
    <row r="7181" spans="2:4" ht="13">
      <c r="B7181" s="12">
        <f ca="1">IFERROR(__xludf.DUMMYFUNCTION("""COMPUTED_VALUE"""),137872)</f>
        <v>137872</v>
      </c>
      <c r="C7181" s="14">
        <f ca="1">IFERROR(__xludf.DUMMYFUNCTION("""COMPUTED_VALUE"""),0)</f>
        <v>0</v>
      </c>
      <c r="D7181" s="12" t="str">
        <f ca="1">IFERROR(__xludf.DUMMYFUNCTION("""COMPUTED_VALUE"""),"小関 麻起")</f>
        <v>小関 麻起</v>
      </c>
    </row>
    <row r="7182" spans="2:4" ht="13">
      <c r="B7182" s="12">
        <f ca="1">IFERROR(__xludf.DUMMYFUNCTION("""COMPUTED_VALUE"""),137880)</f>
        <v>137880</v>
      </c>
      <c r="C7182" s="14">
        <f ca="1">IFERROR(__xludf.DUMMYFUNCTION("""COMPUTED_VALUE"""),3)</f>
        <v>3</v>
      </c>
      <c r="D7182" s="12" t="str">
        <f ca="1">IFERROR(__xludf.DUMMYFUNCTION("""COMPUTED_VALUE"""),"小関 麻起")</f>
        <v>小関 麻起</v>
      </c>
    </row>
    <row r="7183" spans="2:4" ht="13">
      <c r="B7183" s="12">
        <f ca="1">IFERROR(__xludf.DUMMYFUNCTION("""COMPUTED_VALUE"""),137881)</f>
        <v>137881</v>
      </c>
      <c r="C7183" s="14">
        <f ca="1">IFERROR(__xludf.DUMMYFUNCTION("""COMPUTED_VALUE"""),0)</f>
        <v>0</v>
      </c>
      <c r="D7183" s="12" t="str">
        <f ca="1">IFERROR(__xludf.DUMMYFUNCTION("""COMPUTED_VALUE"""),"松尾 尚樹")</f>
        <v>松尾 尚樹</v>
      </c>
    </row>
    <row r="7184" spans="2:4" ht="13">
      <c r="B7184" s="12">
        <f ca="1">IFERROR(__xludf.DUMMYFUNCTION("""COMPUTED_VALUE"""),137882)</f>
        <v>137882</v>
      </c>
      <c r="C7184" s="14">
        <f ca="1">IFERROR(__xludf.DUMMYFUNCTION("""COMPUTED_VALUE"""),0)</f>
        <v>0</v>
      </c>
      <c r="D7184" s="12" t="str">
        <f ca="1">IFERROR(__xludf.DUMMYFUNCTION("""COMPUTED_VALUE"""),"芳賀 亮輔")</f>
        <v>芳賀 亮輔</v>
      </c>
    </row>
    <row r="7185" spans="2:4" ht="13">
      <c r="B7185" s="12">
        <f ca="1">IFERROR(__xludf.DUMMYFUNCTION("""COMPUTED_VALUE"""),137883)</f>
        <v>137883</v>
      </c>
      <c r="C7185" s="14">
        <f ca="1">IFERROR(__xludf.DUMMYFUNCTION("""COMPUTED_VALUE"""),0)</f>
        <v>0</v>
      </c>
      <c r="D7185" s="12" t="str">
        <f ca="1">IFERROR(__xludf.DUMMYFUNCTION("""COMPUTED_VALUE"""),"芳賀 亮輔")</f>
        <v>芳賀 亮輔</v>
      </c>
    </row>
    <row r="7186" spans="2:4" ht="13">
      <c r="B7186" s="12">
        <f ca="1">IFERROR(__xludf.DUMMYFUNCTION("""COMPUTED_VALUE"""),137884)</f>
        <v>137884</v>
      </c>
      <c r="C7186" s="14">
        <f ca="1">IFERROR(__xludf.DUMMYFUNCTION("""COMPUTED_VALUE"""),0)</f>
        <v>0</v>
      </c>
      <c r="D7186" s="12" t="str">
        <f ca="1">IFERROR(__xludf.DUMMYFUNCTION("""COMPUTED_VALUE"""),"芳賀 亮輔")</f>
        <v>芳賀 亮輔</v>
      </c>
    </row>
    <row r="7187" spans="2:4" ht="13">
      <c r="B7187" s="12">
        <f ca="1">IFERROR(__xludf.DUMMYFUNCTION("""COMPUTED_VALUE"""),137885)</f>
        <v>137885</v>
      </c>
      <c r="C7187" s="14">
        <f ca="1">IFERROR(__xludf.DUMMYFUNCTION("""COMPUTED_VALUE"""),0)</f>
        <v>0</v>
      </c>
      <c r="D7187" s="12" t="str">
        <f ca="1">IFERROR(__xludf.DUMMYFUNCTION("""COMPUTED_VALUE"""),"芳賀 亮輔")</f>
        <v>芳賀 亮輔</v>
      </c>
    </row>
    <row r="7188" spans="2:4" ht="13">
      <c r="B7188" s="12">
        <f ca="1">IFERROR(__xludf.DUMMYFUNCTION("""COMPUTED_VALUE"""),137886)</f>
        <v>137886</v>
      </c>
      <c r="C7188" s="14">
        <f ca="1">IFERROR(__xludf.DUMMYFUNCTION("""COMPUTED_VALUE"""),6)</f>
        <v>6</v>
      </c>
      <c r="D7188" s="12" t="str">
        <f ca="1">IFERROR(__xludf.DUMMYFUNCTION("""COMPUTED_VALUE"""),"桐山 勝気")</f>
        <v>桐山 勝気</v>
      </c>
    </row>
    <row r="7189" spans="2:4" ht="13">
      <c r="B7189" s="12">
        <f ca="1">IFERROR(__xludf.DUMMYFUNCTION("""COMPUTED_VALUE"""),137887)</f>
        <v>137887</v>
      </c>
      <c r="C7189" s="14">
        <f ca="1">IFERROR(__xludf.DUMMYFUNCTION("""COMPUTED_VALUE"""),0)</f>
        <v>0</v>
      </c>
      <c r="D7189" s="12" t="str">
        <f ca="1">IFERROR(__xludf.DUMMYFUNCTION("""COMPUTED_VALUE"""),"芳賀 亮輔")</f>
        <v>芳賀 亮輔</v>
      </c>
    </row>
    <row r="7190" spans="2:4" ht="13">
      <c r="B7190" s="12">
        <f ca="1">IFERROR(__xludf.DUMMYFUNCTION("""COMPUTED_VALUE"""),137890)</f>
        <v>137890</v>
      </c>
      <c r="C7190" s="14">
        <f ca="1">IFERROR(__xludf.DUMMYFUNCTION("""COMPUTED_VALUE"""),0)</f>
        <v>0</v>
      </c>
      <c r="D7190" s="12" t="str">
        <f ca="1">IFERROR(__xludf.DUMMYFUNCTION("""COMPUTED_VALUE"""),"荻曽 克輝")</f>
        <v>荻曽 克輝</v>
      </c>
    </row>
    <row r="7191" spans="2:4" ht="13">
      <c r="B7191" s="12">
        <f ca="1">IFERROR(__xludf.DUMMYFUNCTION("""COMPUTED_VALUE"""),137895)</f>
        <v>137895</v>
      </c>
      <c r="C7191" s="14">
        <f ca="1">IFERROR(__xludf.DUMMYFUNCTION("""COMPUTED_VALUE"""),0)</f>
        <v>0</v>
      </c>
      <c r="D7191" s="12" t="str">
        <f ca="1">IFERROR(__xludf.DUMMYFUNCTION("""COMPUTED_VALUE"""),"荻曽 克輝")</f>
        <v>荻曽 克輝</v>
      </c>
    </row>
    <row r="7192" spans="2:4" ht="13">
      <c r="B7192" s="12">
        <f ca="1">IFERROR(__xludf.DUMMYFUNCTION("""COMPUTED_VALUE"""),137905)</f>
        <v>137905</v>
      </c>
      <c r="C7192" s="14">
        <f ca="1">IFERROR(__xludf.DUMMYFUNCTION("""COMPUTED_VALUE"""),0)</f>
        <v>0</v>
      </c>
      <c r="D7192" s="12" t="str">
        <f ca="1">IFERROR(__xludf.DUMMYFUNCTION("""COMPUTED_VALUE"""),"芳賀 亮輔")</f>
        <v>芳賀 亮輔</v>
      </c>
    </row>
    <row r="7193" spans="2:4" ht="13">
      <c r="B7193" s="12">
        <f ca="1">IFERROR(__xludf.DUMMYFUNCTION("""COMPUTED_VALUE"""),137909)</f>
        <v>137909</v>
      </c>
      <c r="C7193" s="14">
        <f ca="1">IFERROR(__xludf.DUMMYFUNCTION("""COMPUTED_VALUE"""),0)</f>
        <v>0</v>
      </c>
      <c r="D7193" s="12" t="str">
        <f ca="1">IFERROR(__xludf.DUMMYFUNCTION("""COMPUTED_VALUE"""),"栗原 大武")</f>
        <v>栗原 大武</v>
      </c>
    </row>
    <row r="7194" spans="2:4" ht="13">
      <c r="B7194" s="12">
        <f ca="1">IFERROR(__xludf.DUMMYFUNCTION("""COMPUTED_VALUE"""),137912)</f>
        <v>137912</v>
      </c>
      <c r="C7194" s="14">
        <f ca="1">IFERROR(__xludf.DUMMYFUNCTION("""COMPUTED_VALUE"""),0)</f>
        <v>0</v>
      </c>
      <c r="D7194" s="12" t="str">
        <f ca="1">IFERROR(__xludf.DUMMYFUNCTION("""COMPUTED_VALUE"""),"荻曽 克輝")</f>
        <v>荻曽 克輝</v>
      </c>
    </row>
    <row r="7195" spans="2:4" ht="13">
      <c r="B7195" s="12">
        <f ca="1">IFERROR(__xludf.DUMMYFUNCTION("""COMPUTED_VALUE"""),137917)</f>
        <v>137917</v>
      </c>
      <c r="C7195" s="14">
        <f ca="1">IFERROR(__xludf.DUMMYFUNCTION("""COMPUTED_VALUE"""),34)</f>
        <v>34</v>
      </c>
      <c r="D7195" s="12" t="str">
        <f ca="1">IFERROR(__xludf.DUMMYFUNCTION("""COMPUTED_VALUE"""),"桐山 勝気")</f>
        <v>桐山 勝気</v>
      </c>
    </row>
    <row r="7196" spans="2:4" ht="13">
      <c r="B7196" s="12">
        <f ca="1">IFERROR(__xludf.DUMMYFUNCTION("""COMPUTED_VALUE"""),137919)</f>
        <v>137919</v>
      </c>
      <c r="C7196" s="14">
        <f ca="1">IFERROR(__xludf.DUMMYFUNCTION("""COMPUTED_VALUE"""),0)</f>
        <v>0</v>
      </c>
      <c r="D7196" s="12" t="str">
        <f ca="1">IFERROR(__xludf.DUMMYFUNCTION("""COMPUTED_VALUE"""),"長谷川 陸朗")</f>
        <v>長谷川 陸朗</v>
      </c>
    </row>
    <row r="7197" spans="2:4" ht="13">
      <c r="B7197" s="12">
        <f ca="1">IFERROR(__xludf.DUMMYFUNCTION("""COMPUTED_VALUE"""),137922)</f>
        <v>137922</v>
      </c>
      <c r="C7197" s="14">
        <f ca="1">IFERROR(__xludf.DUMMYFUNCTION("""COMPUTED_VALUE"""),0)</f>
        <v>0</v>
      </c>
      <c r="D7197" s="12" t="str">
        <f ca="1">IFERROR(__xludf.DUMMYFUNCTION("""COMPUTED_VALUE"""),"桐山 勝気")</f>
        <v>桐山 勝気</v>
      </c>
    </row>
    <row r="7198" spans="2:4" ht="13">
      <c r="B7198" s="12">
        <f ca="1">IFERROR(__xludf.DUMMYFUNCTION("""COMPUTED_VALUE"""),137923)</f>
        <v>137923</v>
      </c>
      <c r="C7198" s="14">
        <f ca="1">IFERROR(__xludf.DUMMYFUNCTION("""COMPUTED_VALUE"""),0)</f>
        <v>0</v>
      </c>
      <c r="D7198" s="12" t="str">
        <f ca="1">IFERROR(__xludf.DUMMYFUNCTION("""COMPUTED_VALUE"""),"荻曽 克輝")</f>
        <v>荻曽 克輝</v>
      </c>
    </row>
    <row r="7199" spans="2:4" ht="13">
      <c r="B7199" s="12">
        <f ca="1">IFERROR(__xludf.DUMMYFUNCTION("""COMPUTED_VALUE"""),137925)</f>
        <v>137925</v>
      </c>
      <c r="C7199" s="14">
        <f ca="1">IFERROR(__xludf.DUMMYFUNCTION("""COMPUTED_VALUE"""),16)</f>
        <v>16</v>
      </c>
      <c r="D7199" s="12" t="str">
        <f ca="1">IFERROR(__xludf.DUMMYFUNCTION("""COMPUTED_VALUE"""),"川島 幹也")</f>
        <v>川島 幹也</v>
      </c>
    </row>
    <row r="7200" spans="2:4" ht="13">
      <c r="B7200" s="12">
        <f ca="1">IFERROR(__xludf.DUMMYFUNCTION("""COMPUTED_VALUE"""),137927)</f>
        <v>137927</v>
      </c>
      <c r="C7200" s="14">
        <f ca="1">IFERROR(__xludf.DUMMYFUNCTION("""COMPUTED_VALUE"""),0)</f>
        <v>0</v>
      </c>
      <c r="D7200" s="12" t="str">
        <f ca="1">IFERROR(__xludf.DUMMYFUNCTION("""COMPUTED_VALUE"""),"栗原 大武")</f>
        <v>栗原 大武</v>
      </c>
    </row>
    <row r="7201" spans="2:4" ht="13">
      <c r="B7201" s="12">
        <f ca="1">IFERROR(__xludf.DUMMYFUNCTION("""COMPUTED_VALUE"""),137928)</f>
        <v>137928</v>
      </c>
      <c r="C7201" s="14">
        <f ca="1">IFERROR(__xludf.DUMMYFUNCTION("""COMPUTED_VALUE"""),17)</f>
        <v>17</v>
      </c>
      <c r="D7201" s="12" t="str">
        <f ca="1">IFERROR(__xludf.DUMMYFUNCTION("""COMPUTED_VALUE"""),"栗原 大武")</f>
        <v>栗原 大武</v>
      </c>
    </row>
    <row r="7202" spans="2:4" ht="13">
      <c r="B7202" s="12">
        <f ca="1">IFERROR(__xludf.DUMMYFUNCTION("""COMPUTED_VALUE"""),137930)</f>
        <v>137930</v>
      </c>
      <c r="C7202" s="14">
        <f ca="1">IFERROR(__xludf.DUMMYFUNCTION("""COMPUTED_VALUE"""),2)</f>
        <v>2</v>
      </c>
      <c r="D7202" s="12" t="str">
        <f ca="1">IFERROR(__xludf.DUMMYFUNCTION("""COMPUTED_VALUE"""),"桐山 勝気")</f>
        <v>桐山 勝気</v>
      </c>
    </row>
    <row r="7203" spans="2:4" ht="13">
      <c r="B7203" s="12">
        <f ca="1">IFERROR(__xludf.DUMMYFUNCTION("""COMPUTED_VALUE"""),137931)</f>
        <v>137931</v>
      </c>
      <c r="C7203" s="14">
        <f ca="1">IFERROR(__xludf.DUMMYFUNCTION("""COMPUTED_VALUE"""),20)</f>
        <v>20</v>
      </c>
      <c r="D7203" s="12" t="str">
        <f ca="1">IFERROR(__xludf.DUMMYFUNCTION("""COMPUTED_VALUE"""),"荻曽 克輝")</f>
        <v>荻曽 克輝</v>
      </c>
    </row>
    <row r="7204" spans="2:4" ht="13">
      <c r="B7204" s="12">
        <f ca="1">IFERROR(__xludf.DUMMYFUNCTION("""COMPUTED_VALUE"""),137933)</f>
        <v>137933</v>
      </c>
      <c r="C7204" s="14">
        <f ca="1">IFERROR(__xludf.DUMMYFUNCTION("""COMPUTED_VALUE"""),2)</f>
        <v>2</v>
      </c>
      <c r="D7204" s="12" t="str">
        <f ca="1">IFERROR(__xludf.DUMMYFUNCTION("""COMPUTED_VALUE"""),"内丸 裕子")</f>
        <v>内丸 裕子</v>
      </c>
    </row>
    <row r="7205" spans="2:4" ht="13">
      <c r="B7205" s="12">
        <f ca="1">IFERROR(__xludf.DUMMYFUNCTION("""COMPUTED_VALUE"""),137934)</f>
        <v>137934</v>
      </c>
      <c r="C7205" s="14">
        <f ca="1">IFERROR(__xludf.DUMMYFUNCTION("""COMPUTED_VALUE"""),0)</f>
        <v>0</v>
      </c>
      <c r="D7205" s="12" t="str">
        <f ca="1">IFERROR(__xludf.DUMMYFUNCTION("""COMPUTED_VALUE"""),"森 光智")</f>
        <v>森 光智</v>
      </c>
    </row>
    <row r="7206" spans="2:4" ht="13">
      <c r="B7206" s="12">
        <f ca="1">IFERROR(__xludf.DUMMYFUNCTION("""COMPUTED_VALUE"""),137942)</f>
        <v>137942</v>
      </c>
      <c r="C7206" s="14">
        <f ca="1">IFERROR(__xludf.DUMMYFUNCTION("""COMPUTED_VALUE"""),3)</f>
        <v>3</v>
      </c>
      <c r="D7206" s="12" t="str">
        <f ca="1">IFERROR(__xludf.DUMMYFUNCTION("""COMPUTED_VALUE"""),"大木 優香")</f>
        <v>大木 優香</v>
      </c>
    </row>
    <row r="7207" spans="2:4" ht="13">
      <c r="B7207" s="12">
        <f ca="1">IFERROR(__xludf.DUMMYFUNCTION("""COMPUTED_VALUE"""),137943)</f>
        <v>137943</v>
      </c>
      <c r="C7207" s="14">
        <f ca="1">IFERROR(__xludf.DUMMYFUNCTION("""COMPUTED_VALUE"""),1)</f>
        <v>1</v>
      </c>
      <c r="D7207" s="12" t="str">
        <f ca="1">IFERROR(__xludf.DUMMYFUNCTION("""COMPUTED_VALUE"""),"大木 優香")</f>
        <v>大木 優香</v>
      </c>
    </row>
    <row r="7208" spans="2:4" ht="13">
      <c r="B7208" s="12">
        <f ca="1">IFERROR(__xludf.DUMMYFUNCTION("""COMPUTED_VALUE"""),137944)</f>
        <v>137944</v>
      </c>
      <c r="C7208" s="14">
        <f ca="1">IFERROR(__xludf.DUMMYFUNCTION("""COMPUTED_VALUE"""),0)</f>
        <v>0</v>
      </c>
      <c r="D7208" s="12" t="str">
        <f ca="1">IFERROR(__xludf.DUMMYFUNCTION("""COMPUTED_VALUE"""),"松尾 尚樹")</f>
        <v>松尾 尚樹</v>
      </c>
    </row>
    <row r="7209" spans="2:4" ht="13">
      <c r="B7209" s="12">
        <f ca="1">IFERROR(__xludf.DUMMYFUNCTION("""COMPUTED_VALUE"""),137948)</f>
        <v>137948</v>
      </c>
      <c r="C7209" s="14">
        <f ca="1">IFERROR(__xludf.DUMMYFUNCTION("""COMPUTED_VALUE"""),0)</f>
        <v>0</v>
      </c>
      <c r="D7209" s="12" t="str">
        <f ca="1">IFERROR(__xludf.DUMMYFUNCTION("""COMPUTED_VALUE"""),"成嶋 夏未")</f>
        <v>成嶋 夏未</v>
      </c>
    </row>
    <row r="7210" spans="2:4" ht="13">
      <c r="B7210" s="12">
        <f ca="1">IFERROR(__xludf.DUMMYFUNCTION("""COMPUTED_VALUE"""),137949)</f>
        <v>137949</v>
      </c>
      <c r="C7210" s="14">
        <f ca="1">IFERROR(__xludf.DUMMYFUNCTION("""COMPUTED_VALUE"""),0)</f>
        <v>0</v>
      </c>
      <c r="D7210" s="12" t="str">
        <f ca="1">IFERROR(__xludf.DUMMYFUNCTION("""COMPUTED_VALUE"""),"堀越 駿")</f>
        <v>堀越 駿</v>
      </c>
    </row>
    <row r="7211" spans="2:4" ht="13">
      <c r="B7211" s="12">
        <f ca="1">IFERROR(__xludf.DUMMYFUNCTION("""COMPUTED_VALUE"""),137954)</f>
        <v>137954</v>
      </c>
      <c r="C7211" s="14">
        <f ca="1">IFERROR(__xludf.DUMMYFUNCTION("""COMPUTED_VALUE"""),1)</f>
        <v>1</v>
      </c>
      <c r="D7211" s="12" t="str">
        <f ca="1">IFERROR(__xludf.DUMMYFUNCTION("""COMPUTED_VALUE"""),"堀越 駿")</f>
        <v>堀越 駿</v>
      </c>
    </row>
    <row r="7212" spans="2:4" ht="13">
      <c r="B7212" s="12">
        <f ca="1">IFERROR(__xludf.DUMMYFUNCTION("""COMPUTED_VALUE"""),137962)</f>
        <v>137962</v>
      </c>
      <c r="C7212" s="14">
        <f ca="1">IFERROR(__xludf.DUMMYFUNCTION("""COMPUTED_VALUE"""),0)</f>
        <v>0</v>
      </c>
      <c r="D7212" s="12" t="str">
        <f ca="1">IFERROR(__xludf.DUMMYFUNCTION("""COMPUTED_VALUE"""),"栗原 大武")</f>
        <v>栗原 大武</v>
      </c>
    </row>
    <row r="7213" spans="2:4" ht="13">
      <c r="B7213" s="12">
        <f ca="1">IFERROR(__xludf.DUMMYFUNCTION("""COMPUTED_VALUE"""),137964)</f>
        <v>137964</v>
      </c>
      <c r="C7213" s="14">
        <f ca="1">IFERROR(__xludf.DUMMYFUNCTION("""COMPUTED_VALUE"""),0)</f>
        <v>0</v>
      </c>
      <c r="D7213" s="12" t="str">
        <f ca="1">IFERROR(__xludf.DUMMYFUNCTION("""COMPUTED_VALUE"""),"川島 幹也")</f>
        <v>川島 幹也</v>
      </c>
    </row>
    <row r="7214" spans="2:4" ht="13">
      <c r="B7214" s="12">
        <f ca="1">IFERROR(__xludf.DUMMYFUNCTION("""COMPUTED_VALUE"""),137966)</f>
        <v>137966</v>
      </c>
      <c r="C7214" s="14">
        <f ca="1">IFERROR(__xludf.DUMMYFUNCTION("""COMPUTED_VALUE"""),0)</f>
        <v>0</v>
      </c>
      <c r="D7214" s="12" t="str">
        <f ca="1">IFERROR(__xludf.DUMMYFUNCTION("""COMPUTED_VALUE"""),"村上 浩一朗")</f>
        <v>村上 浩一朗</v>
      </c>
    </row>
    <row r="7215" spans="2:4" ht="13">
      <c r="B7215" s="12">
        <f ca="1">IFERROR(__xludf.DUMMYFUNCTION("""COMPUTED_VALUE"""),137973)</f>
        <v>137973</v>
      </c>
      <c r="C7215" s="14">
        <f ca="1">IFERROR(__xludf.DUMMYFUNCTION("""COMPUTED_VALUE"""),8)</f>
        <v>8</v>
      </c>
      <c r="D7215" s="12" t="str">
        <f ca="1">IFERROR(__xludf.DUMMYFUNCTION("""COMPUTED_VALUE"""),"内丸 裕子")</f>
        <v>内丸 裕子</v>
      </c>
    </row>
    <row r="7216" spans="2:4" ht="13">
      <c r="B7216" s="12">
        <f ca="1">IFERROR(__xludf.DUMMYFUNCTION("""COMPUTED_VALUE"""),137981)</f>
        <v>137981</v>
      </c>
      <c r="C7216" s="14">
        <f ca="1">IFERROR(__xludf.DUMMYFUNCTION("""COMPUTED_VALUE"""),11)</f>
        <v>11</v>
      </c>
      <c r="D7216" s="12" t="str">
        <f ca="1">IFERROR(__xludf.DUMMYFUNCTION("""COMPUTED_VALUE"""),"成嶋 夏未")</f>
        <v>成嶋 夏未</v>
      </c>
    </row>
    <row r="7217" spans="2:4" ht="13">
      <c r="B7217" s="12">
        <f ca="1">IFERROR(__xludf.DUMMYFUNCTION("""COMPUTED_VALUE"""),137985)</f>
        <v>137985</v>
      </c>
      <c r="C7217" s="14">
        <f ca="1">IFERROR(__xludf.DUMMYFUNCTION("""COMPUTED_VALUE"""),4)</f>
        <v>4</v>
      </c>
      <c r="D7217" s="12" t="str">
        <f ca="1">IFERROR(__xludf.DUMMYFUNCTION("""COMPUTED_VALUE"""),"老田 純輝")</f>
        <v>老田 純輝</v>
      </c>
    </row>
    <row r="7218" spans="2:4" ht="13">
      <c r="B7218" s="12">
        <f ca="1">IFERROR(__xludf.DUMMYFUNCTION("""COMPUTED_VALUE"""),137989)</f>
        <v>137989</v>
      </c>
      <c r="C7218" s="14">
        <f ca="1">IFERROR(__xludf.DUMMYFUNCTION("""COMPUTED_VALUE"""),0)</f>
        <v>0</v>
      </c>
      <c r="D7218" s="12" t="str">
        <f ca="1">IFERROR(__xludf.DUMMYFUNCTION("""COMPUTED_VALUE"""),"松尾 尚樹")</f>
        <v>松尾 尚樹</v>
      </c>
    </row>
    <row r="7219" spans="2:4" ht="13">
      <c r="B7219" s="12">
        <f ca="1">IFERROR(__xludf.DUMMYFUNCTION("""COMPUTED_VALUE"""),137999)</f>
        <v>137999</v>
      </c>
      <c r="C7219" s="14">
        <f ca="1">IFERROR(__xludf.DUMMYFUNCTION("""COMPUTED_VALUE"""),1)</f>
        <v>1</v>
      </c>
      <c r="D7219" s="12" t="str">
        <f ca="1">IFERROR(__xludf.DUMMYFUNCTION("""COMPUTED_VALUE"""),"桑原 明子")</f>
        <v>桑原 明子</v>
      </c>
    </row>
    <row r="7220" spans="2:4" ht="13">
      <c r="B7220" s="12">
        <f ca="1">IFERROR(__xludf.DUMMYFUNCTION("""COMPUTED_VALUE"""),138000)</f>
        <v>138000</v>
      </c>
      <c r="C7220" s="14">
        <f ca="1">IFERROR(__xludf.DUMMYFUNCTION("""COMPUTED_VALUE"""),32)</f>
        <v>32</v>
      </c>
      <c r="D7220" s="12" t="str">
        <f ca="1">IFERROR(__xludf.DUMMYFUNCTION("""COMPUTED_VALUE"""),"小関 麻起")</f>
        <v>小関 麻起</v>
      </c>
    </row>
    <row r="7221" spans="2:4" ht="13">
      <c r="B7221" s="12">
        <f ca="1">IFERROR(__xludf.DUMMYFUNCTION("""COMPUTED_VALUE"""),138001)</f>
        <v>138001</v>
      </c>
      <c r="C7221" s="14">
        <f ca="1">IFERROR(__xludf.DUMMYFUNCTION("""COMPUTED_VALUE"""),36)</f>
        <v>36</v>
      </c>
      <c r="D7221" s="12" t="str">
        <f ca="1">IFERROR(__xludf.DUMMYFUNCTION("""COMPUTED_VALUE"""),"小関 麻起")</f>
        <v>小関 麻起</v>
      </c>
    </row>
    <row r="7222" spans="2:4" ht="13">
      <c r="B7222" s="12">
        <f ca="1">IFERROR(__xludf.DUMMYFUNCTION("""COMPUTED_VALUE"""),138002)</f>
        <v>138002</v>
      </c>
      <c r="C7222" s="14">
        <f ca="1">IFERROR(__xludf.DUMMYFUNCTION("""COMPUTED_VALUE"""),41)</f>
        <v>41</v>
      </c>
      <c r="D7222" s="12" t="str">
        <f ca="1">IFERROR(__xludf.DUMMYFUNCTION("""COMPUTED_VALUE"""),"小関 麻起")</f>
        <v>小関 麻起</v>
      </c>
    </row>
    <row r="7223" spans="2:4" ht="13">
      <c r="B7223" s="12">
        <f ca="1">IFERROR(__xludf.DUMMYFUNCTION("""COMPUTED_VALUE"""),138006)</f>
        <v>138006</v>
      </c>
      <c r="C7223" s="14">
        <f ca="1">IFERROR(__xludf.DUMMYFUNCTION("""COMPUTED_VALUE"""),0)</f>
        <v>0</v>
      </c>
      <c r="D7223" s="12" t="str">
        <f ca="1">IFERROR(__xludf.DUMMYFUNCTION("""COMPUTED_VALUE"""),"老田 純輝")</f>
        <v>老田 純輝</v>
      </c>
    </row>
    <row r="7224" spans="2:4" ht="13">
      <c r="B7224" s="12">
        <f ca="1">IFERROR(__xludf.DUMMYFUNCTION("""COMPUTED_VALUE"""),138009)</f>
        <v>138009</v>
      </c>
      <c r="C7224" s="14">
        <f ca="1">IFERROR(__xludf.DUMMYFUNCTION("""COMPUTED_VALUE"""),0)</f>
        <v>0</v>
      </c>
      <c r="D7224" s="12" t="str">
        <f ca="1">IFERROR(__xludf.DUMMYFUNCTION("""COMPUTED_VALUE"""),"小関 麻起")</f>
        <v>小関 麻起</v>
      </c>
    </row>
    <row r="7225" spans="2:4" ht="13">
      <c r="B7225" s="12">
        <f ca="1">IFERROR(__xludf.DUMMYFUNCTION("""COMPUTED_VALUE"""),138019)</f>
        <v>138019</v>
      </c>
      <c r="C7225" s="14">
        <f ca="1">IFERROR(__xludf.DUMMYFUNCTION("""COMPUTED_VALUE"""),1)</f>
        <v>1</v>
      </c>
      <c r="D7225" s="12" t="str">
        <f ca="1">IFERROR(__xludf.DUMMYFUNCTION("""COMPUTED_VALUE"""),"稲場 勇介")</f>
        <v>稲場 勇介</v>
      </c>
    </row>
    <row r="7226" spans="2:4" ht="13">
      <c r="B7226" s="12">
        <f ca="1">IFERROR(__xludf.DUMMYFUNCTION("""COMPUTED_VALUE"""),138022)</f>
        <v>138022</v>
      </c>
      <c r="C7226" s="14">
        <f ca="1">IFERROR(__xludf.DUMMYFUNCTION("""COMPUTED_VALUE"""),28)</f>
        <v>28</v>
      </c>
      <c r="D7226" s="12" t="str">
        <f ca="1">IFERROR(__xludf.DUMMYFUNCTION("""COMPUTED_VALUE"""),"奥野 貴大")</f>
        <v>奥野 貴大</v>
      </c>
    </row>
    <row r="7227" spans="2:4" ht="13">
      <c r="B7227" s="12">
        <f ca="1">IFERROR(__xludf.DUMMYFUNCTION("""COMPUTED_VALUE"""),138023)</f>
        <v>138023</v>
      </c>
      <c r="C7227" s="14">
        <f ca="1">IFERROR(__xludf.DUMMYFUNCTION("""COMPUTED_VALUE"""),19)</f>
        <v>19</v>
      </c>
      <c r="D7227" s="12" t="str">
        <f ca="1">IFERROR(__xludf.DUMMYFUNCTION("""COMPUTED_VALUE"""),"栗原 大武")</f>
        <v>栗原 大武</v>
      </c>
    </row>
    <row r="7228" spans="2:4" ht="13">
      <c r="B7228" s="12">
        <f ca="1">IFERROR(__xludf.DUMMYFUNCTION("""COMPUTED_VALUE"""),138024)</f>
        <v>138024</v>
      </c>
      <c r="C7228" s="14">
        <f ca="1">IFERROR(__xludf.DUMMYFUNCTION("""COMPUTED_VALUE"""),21)</f>
        <v>21</v>
      </c>
      <c r="D7228" s="12" t="str">
        <f ca="1">IFERROR(__xludf.DUMMYFUNCTION("""COMPUTED_VALUE"""),"栗原 大武")</f>
        <v>栗原 大武</v>
      </c>
    </row>
    <row r="7229" spans="2:4" ht="13">
      <c r="B7229" s="12">
        <f ca="1">IFERROR(__xludf.DUMMYFUNCTION("""COMPUTED_VALUE"""),138026)</f>
        <v>138026</v>
      </c>
      <c r="C7229" s="14">
        <f ca="1">IFERROR(__xludf.DUMMYFUNCTION("""COMPUTED_VALUE"""),9)</f>
        <v>9</v>
      </c>
      <c r="D7229" s="12" t="str">
        <f ca="1">IFERROR(__xludf.DUMMYFUNCTION("""COMPUTED_VALUE"""),"稲場 勇介")</f>
        <v>稲場 勇介</v>
      </c>
    </row>
    <row r="7230" spans="2:4" ht="13">
      <c r="B7230" s="12">
        <f ca="1">IFERROR(__xludf.DUMMYFUNCTION("""COMPUTED_VALUE"""),138040)</f>
        <v>138040</v>
      </c>
      <c r="C7230" s="14">
        <f ca="1">IFERROR(__xludf.DUMMYFUNCTION("""COMPUTED_VALUE"""),5)</f>
        <v>5</v>
      </c>
      <c r="D7230" s="12" t="str">
        <f ca="1">IFERROR(__xludf.DUMMYFUNCTION("""COMPUTED_VALUE"""),"栗原 大武")</f>
        <v>栗原 大武</v>
      </c>
    </row>
    <row r="7231" spans="2:4" ht="13">
      <c r="B7231" s="12">
        <f ca="1">IFERROR(__xludf.DUMMYFUNCTION("""COMPUTED_VALUE"""),138050)</f>
        <v>138050</v>
      </c>
      <c r="C7231" s="14">
        <f ca="1">IFERROR(__xludf.DUMMYFUNCTION("""COMPUTED_VALUE"""),0)</f>
        <v>0</v>
      </c>
      <c r="D7231" s="12" t="str">
        <f ca="1">IFERROR(__xludf.DUMMYFUNCTION("""COMPUTED_VALUE"""),"小川 純")</f>
        <v>小川 純</v>
      </c>
    </row>
    <row r="7232" spans="2:4" ht="13">
      <c r="B7232" s="12">
        <f ca="1">IFERROR(__xludf.DUMMYFUNCTION("""COMPUTED_VALUE"""),138055)</f>
        <v>138055</v>
      </c>
      <c r="C7232" s="14">
        <f ca="1">IFERROR(__xludf.DUMMYFUNCTION("""COMPUTED_VALUE"""),0)</f>
        <v>0</v>
      </c>
      <c r="D7232" s="12" t="str">
        <f ca="1">IFERROR(__xludf.DUMMYFUNCTION("""COMPUTED_VALUE"""),"小川 純")</f>
        <v>小川 純</v>
      </c>
    </row>
    <row r="7233" spans="2:4" ht="13">
      <c r="B7233" s="12">
        <f ca="1">IFERROR(__xludf.DUMMYFUNCTION("""COMPUTED_VALUE"""),138056)</f>
        <v>138056</v>
      </c>
      <c r="C7233" s="14">
        <f ca="1">IFERROR(__xludf.DUMMYFUNCTION("""COMPUTED_VALUE"""),0)</f>
        <v>0</v>
      </c>
      <c r="D7233" s="12" t="str">
        <f ca="1">IFERROR(__xludf.DUMMYFUNCTION("""COMPUTED_VALUE"""),"小関 麻起")</f>
        <v>小関 麻起</v>
      </c>
    </row>
    <row r="7234" spans="2:4" ht="13">
      <c r="B7234" s="12">
        <f ca="1">IFERROR(__xludf.DUMMYFUNCTION("""COMPUTED_VALUE"""),138070)</f>
        <v>138070</v>
      </c>
      <c r="C7234" s="14">
        <f ca="1">IFERROR(__xludf.DUMMYFUNCTION("""COMPUTED_VALUE"""),13)</f>
        <v>13</v>
      </c>
      <c r="D7234" s="12" t="str">
        <f ca="1">IFERROR(__xludf.DUMMYFUNCTION("""COMPUTED_VALUE"""),"成嶋 夏未")</f>
        <v>成嶋 夏未</v>
      </c>
    </row>
    <row r="7235" spans="2:4" ht="13">
      <c r="B7235" s="12">
        <f ca="1">IFERROR(__xludf.DUMMYFUNCTION("""COMPUTED_VALUE"""),138084)</f>
        <v>138084</v>
      </c>
      <c r="C7235" s="14">
        <f ca="1">IFERROR(__xludf.DUMMYFUNCTION("""COMPUTED_VALUE"""),0)</f>
        <v>0</v>
      </c>
      <c r="D7235" s="12" t="str">
        <f ca="1">IFERROR(__xludf.DUMMYFUNCTION("""COMPUTED_VALUE"""),"菅野 ぎんが")</f>
        <v>菅野 ぎんが</v>
      </c>
    </row>
    <row r="7236" spans="2:4" ht="13">
      <c r="B7236" s="12">
        <f ca="1">IFERROR(__xludf.DUMMYFUNCTION("""COMPUTED_VALUE"""),138092)</f>
        <v>138092</v>
      </c>
      <c r="C7236" s="14">
        <f ca="1">IFERROR(__xludf.DUMMYFUNCTION("""COMPUTED_VALUE"""),3)</f>
        <v>3</v>
      </c>
      <c r="D7236" s="12" t="str">
        <f ca="1">IFERROR(__xludf.DUMMYFUNCTION("""COMPUTED_VALUE"""),"老田 純輝")</f>
        <v>老田 純輝</v>
      </c>
    </row>
    <row r="7237" spans="2:4" ht="13">
      <c r="B7237" s="12">
        <f ca="1">IFERROR(__xludf.DUMMYFUNCTION("""COMPUTED_VALUE"""),138101)</f>
        <v>138101</v>
      </c>
      <c r="C7237" s="14">
        <f ca="1">IFERROR(__xludf.DUMMYFUNCTION("""COMPUTED_VALUE"""),0)</f>
        <v>0</v>
      </c>
      <c r="D7237" s="12" t="str">
        <f ca="1">IFERROR(__xludf.DUMMYFUNCTION("""COMPUTED_VALUE"""),"川島 幹也")</f>
        <v>川島 幹也</v>
      </c>
    </row>
    <row r="7238" spans="2:4" ht="13">
      <c r="B7238" s="12">
        <f ca="1">IFERROR(__xludf.DUMMYFUNCTION("""COMPUTED_VALUE"""),138105)</f>
        <v>138105</v>
      </c>
      <c r="C7238" s="14">
        <f ca="1">IFERROR(__xludf.DUMMYFUNCTION("""COMPUTED_VALUE"""),53)</f>
        <v>53</v>
      </c>
      <c r="D7238" s="12" t="str">
        <f ca="1">IFERROR(__xludf.DUMMYFUNCTION("""COMPUTED_VALUE"""),"荻曽 克輝")</f>
        <v>荻曽 克輝</v>
      </c>
    </row>
    <row r="7239" spans="2:4" ht="13">
      <c r="B7239" s="12">
        <f ca="1">IFERROR(__xludf.DUMMYFUNCTION("""COMPUTED_VALUE"""),138110)</f>
        <v>138110</v>
      </c>
      <c r="C7239" s="14">
        <f ca="1">IFERROR(__xludf.DUMMYFUNCTION("""COMPUTED_VALUE"""),0)</f>
        <v>0</v>
      </c>
      <c r="D7239" s="12" t="str">
        <f ca="1">IFERROR(__xludf.DUMMYFUNCTION("""COMPUTED_VALUE"""),"桑原 明子")</f>
        <v>桑原 明子</v>
      </c>
    </row>
    <row r="7240" spans="2:4" ht="13">
      <c r="B7240" s="12">
        <f ca="1">IFERROR(__xludf.DUMMYFUNCTION("""COMPUTED_VALUE"""),138111)</f>
        <v>138111</v>
      </c>
      <c r="C7240" s="14">
        <f ca="1">IFERROR(__xludf.DUMMYFUNCTION("""COMPUTED_VALUE"""),56)</f>
        <v>56</v>
      </c>
      <c r="D7240" s="12" t="str">
        <f ca="1">IFERROR(__xludf.DUMMYFUNCTION("""COMPUTED_VALUE"""),"桐山 勝気")</f>
        <v>桐山 勝気</v>
      </c>
    </row>
    <row r="7241" spans="2:4" ht="13">
      <c r="B7241" s="12">
        <f ca="1">IFERROR(__xludf.DUMMYFUNCTION("""COMPUTED_VALUE"""),138121)</f>
        <v>138121</v>
      </c>
      <c r="C7241" s="14">
        <f ca="1">IFERROR(__xludf.DUMMYFUNCTION("""COMPUTED_VALUE"""),0)</f>
        <v>0</v>
      </c>
      <c r="D7241" s="12" t="str">
        <f ca="1">IFERROR(__xludf.DUMMYFUNCTION("""COMPUTED_VALUE"""),"稲場 勇介")</f>
        <v>稲場 勇介</v>
      </c>
    </row>
    <row r="7242" spans="2:4" ht="13">
      <c r="B7242" s="12">
        <f ca="1">IFERROR(__xludf.DUMMYFUNCTION("""COMPUTED_VALUE"""),138123)</f>
        <v>138123</v>
      </c>
      <c r="C7242" s="14">
        <f ca="1">IFERROR(__xludf.DUMMYFUNCTION("""COMPUTED_VALUE"""),0)</f>
        <v>0</v>
      </c>
      <c r="D7242" s="12" t="str">
        <f ca="1">IFERROR(__xludf.DUMMYFUNCTION("""COMPUTED_VALUE"""),"菅野 ぎんが")</f>
        <v>菅野 ぎんが</v>
      </c>
    </row>
    <row r="7243" spans="2:4" ht="13">
      <c r="B7243" s="12">
        <f ca="1">IFERROR(__xludf.DUMMYFUNCTION("""COMPUTED_VALUE"""),138125)</f>
        <v>138125</v>
      </c>
      <c r="C7243" s="14">
        <f ca="1">IFERROR(__xludf.DUMMYFUNCTION("""COMPUTED_VALUE"""),0)</f>
        <v>0</v>
      </c>
      <c r="D7243" s="12" t="str">
        <f ca="1">IFERROR(__xludf.DUMMYFUNCTION("""COMPUTED_VALUE"""),"芳賀 亮輔")</f>
        <v>芳賀 亮輔</v>
      </c>
    </row>
    <row r="7244" spans="2:4" ht="13">
      <c r="B7244" s="12">
        <f ca="1">IFERROR(__xludf.DUMMYFUNCTION("""COMPUTED_VALUE"""),138128)</f>
        <v>138128</v>
      </c>
      <c r="C7244" s="14">
        <f ca="1">IFERROR(__xludf.DUMMYFUNCTION("""COMPUTED_VALUE"""),16)</f>
        <v>16</v>
      </c>
      <c r="D7244" s="12" t="str">
        <f ca="1">IFERROR(__xludf.DUMMYFUNCTION("""COMPUTED_VALUE"""),"老田 純輝")</f>
        <v>老田 純輝</v>
      </c>
    </row>
    <row r="7245" spans="2:4" ht="13">
      <c r="B7245" s="12">
        <f ca="1">IFERROR(__xludf.DUMMYFUNCTION("""COMPUTED_VALUE"""),138136)</f>
        <v>138136</v>
      </c>
      <c r="C7245" s="14">
        <f ca="1">IFERROR(__xludf.DUMMYFUNCTION("""COMPUTED_VALUE"""),0)</f>
        <v>0</v>
      </c>
      <c r="D7245" s="12" t="str">
        <f ca="1">IFERROR(__xludf.DUMMYFUNCTION("""COMPUTED_VALUE"""),"小川 純")</f>
        <v>小川 純</v>
      </c>
    </row>
    <row r="7246" spans="2:4" ht="13">
      <c r="B7246" s="12">
        <f ca="1">IFERROR(__xludf.DUMMYFUNCTION("""COMPUTED_VALUE"""),138138)</f>
        <v>138138</v>
      </c>
      <c r="C7246" s="14">
        <f ca="1">IFERROR(__xludf.DUMMYFUNCTION("""COMPUTED_VALUE"""),0)</f>
        <v>0</v>
      </c>
      <c r="D7246" s="12" t="str">
        <f ca="1">IFERROR(__xludf.DUMMYFUNCTION("""COMPUTED_VALUE"""),"栗原 大武")</f>
        <v>栗原 大武</v>
      </c>
    </row>
    <row r="7247" spans="2:4" ht="13">
      <c r="B7247" s="12">
        <f ca="1">IFERROR(__xludf.DUMMYFUNCTION("""COMPUTED_VALUE"""),138141)</f>
        <v>138141</v>
      </c>
      <c r="C7247" s="14">
        <f ca="1">IFERROR(__xludf.DUMMYFUNCTION("""COMPUTED_VALUE"""),98)</f>
        <v>98</v>
      </c>
      <c r="D7247" s="12" t="str">
        <f ca="1">IFERROR(__xludf.DUMMYFUNCTION("""COMPUTED_VALUE"""),"辻村 将大")</f>
        <v>辻村 将大</v>
      </c>
    </row>
    <row r="7248" spans="2:4" ht="13">
      <c r="B7248" s="12">
        <f ca="1">IFERROR(__xludf.DUMMYFUNCTION("""COMPUTED_VALUE"""),138145)</f>
        <v>138145</v>
      </c>
      <c r="C7248" s="14">
        <f ca="1">IFERROR(__xludf.DUMMYFUNCTION("""COMPUTED_VALUE"""),0)</f>
        <v>0</v>
      </c>
      <c r="D7248" s="12" t="str">
        <f ca="1">IFERROR(__xludf.DUMMYFUNCTION("""COMPUTED_VALUE"""),"奥野 貴大")</f>
        <v>奥野 貴大</v>
      </c>
    </row>
    <row r="7249" spans="2:4" ht="13">
      <c r="B7249" s="12">
        <f ca="1">IFERROR(__xludf.DUMMYFUNCTION("""COMPUTED_VALUE"""),138155)</f>
        <v>138155</v>
      </c>
      <c r="C7249" s="14">
        <f ca="1">IFERROR(__xludf.DUMMYFUNCTION("""COMPUTED_VALUE"""),0)</f>
        <v>0</v>
      </c>
      <c r="D7249" s="12" t="str">
        <f ca="1">IFERROR(__xludf.DUMMYFUNCTION("""COMPUTED_VALUE"""),"内丸 裕子")</f>
        <v>内丸 裕子</v>
      </c>
    </row>
    <row r="7250" spans="2:4" ht="13">
      <c r="B7250" s="12">
        <f ca="1">IFERROR(__xludf.DUMMYFUNCTION("""COMPUTED_VALUE"""),138157)</f>
        <v>138157</v>
      </c>
      <c r="C7250" s="14">
        <f ca="1">IFERROR(__xludf.DUMMYFUNCTION("""COMPUTED_VALUE"""),21)</f>
        <v>21</v>
      </c>
      <c r="D7250" s="12" t="str">
        <f ca="1">IFERROR(__xludf.DUMMYFUNCTION("""COMPUTED_VALUE"""),"稲場 勇介")</f>
        <v>稲場 勇介</v>
      </c>
    </row>
    <row r="7251" spans="2:4" ht="13">
      <c r="B7251" s="12">
        <f ca="1">IFERROR(__xludf.DUMMYFUNCTION("""COMPUTED_VALUE"""),138159)</f>
        <v>138159</v>
      </c>
      <c r="C7251" s="14">
        <f ca="1">IFERROR(__xludf.DUMMYFUNCTION("""COMPUTED_VALUE"""),0)</f>
        <v>0</v>
      </c>
      <c r="D7251" s="12" t="str">
        <f ca="1">IFERROR(__xludf.DUMMYFUNCTION("""COMPUTED_VALUE"""),"稲場 勇介")</f>
        <v>稲場 勇介</v>
      </c>
    </row>
    <row r="7252" spans="2:4" ht="13">
      <c r="B7252" s="12">
        <f ca="1">IFERROR(__xludf.DUMMYFUNCTION("""COMPUTED_VALUE"""),138163)</f>
        <v>138163</v>
      </c>
      <c r="C7252" s="14">
        <f ca="1">IFERROR(__xludf.DUMMYFUNCTION("""COMPUTED_VALUE"""),0)</f>
        <v>0</v>
      </c>
      <c r="D7252" s="12" t="str">
        <f ca="1">IFERROR(__xludf.DUMMYFUNCTION("""COMPUTED_VALUE"""),"柿崎 晃司")</f>
        <v>柿崎 晃司</v>
      </c>
    </row>
    <row r="7253" spans="2:4" ht="13">
      <c r="B7253" s="12">
        <f ca="1">IFERROR(__xludf.DUMMYFUNCTION("""COMPUTED_VALUE"""),138165)</f>
        <v>138165</v>
      </c>
      <c r="C7253" s="14">
        <f ca="1">IFERROR(__xludf.DUMMYFUNCTION("""COMPUTED_VALUE"""),0)</f>
        <v>0</v>
      </c>
      <c r="D7253" s="12" t="str">
        <f ca="1">IFERROR(__xludf.DUMMYFUNCTION("""COMPUTED_VALUE"""),"柿崎 晃司")</f>
        <v>柿崎 晃司</v>
      </c>
    </row>
    <row r="7254" spans="2:4" ht="13">
      <c r="B7254" s="12">
        <f ca="1">IFERROR(__xludf.DUMMYFUNCTION("""COMPUTED_VALUE"""),138167)</f>
        <v>138167</v>
      </c>
      <c r="C7254" s="14">
        <f ca="1">IFERROR(__xludf.DUMMYFUNCTION("""COMPUTED_VALUE"""),0)</f>
        <v>0</v>
      </c>
      <c r="D7254" s="12" t="str">
        <f ca="1">IFERROR(__xludf.DUMMYFUNCTION("""COMPUTED_VALUE"""),"荻曽 克輝")</f>
        <v>荻曽 克輝</v>
      </c>
    </row>
    <row r="7255" spans="2:4" ht="13">
      <c r="B7255" s="12">
        <f ca="1">IFERROR(__xludf.DUMMYFUNCTION("""COMPUTED_VALUE"""),138169)</f>
        <v>138169</v>
      </c>
      <c r="C7255" s="14">
        <f ca="1">IFERROR(__xludf.DUMMYFUNCTION("""COMPUTED_VALUE"""),0)</f>
        <v>0</v>
      </c>
      <c r="D7255" s="12" t="str">
        <f ca="1">IFERROR(__xludf.DUMMYFUNCTION("""COMPUTED_VALUE"""),"成嶋 夏未")</f>
        <v>成嶋 夏未</v>
      </c>
    </row>
    <row r="7256" spans="2:4" ht="13">
      <c r="B7256" s="12">
        <f ca="1">IFERROR(__xludf.DUMMYFUNCTION("""COMPUTED_VALUE"""),138173)</f>
        <v>138173</v>
      </c>
      <c r="C7256" s="14">
        <f ca="1">IFERROR(__xludf.DUMMYFUNCTION("""COMPUTED_VALUE"""),0)</f>
        <v>0</v>
      </c>
      <c r="D7256" s="12" t="str">
        <f ca="1">IFERROR(__xludf.DUMMYFUNCTION("""COMPUTED_VALUE"""),"荻曽 克輝")</f>
        <v>荻曽 克輝</v>
      </c>
    </row>
    <row r="7257" spans="2:4" ht="13">
      <c r="B7257" s="12">
        <f ca="1">IFERROR(__xludf.DUMMYFUNCTION("""COMPUTED_VALUE"""),138175)</f>
        <v>138175</v>
      </c>
      <c r="C7257" s="14">
        <f ca="1">IFERROR(__xludf.DUMMYFUNCTION("""COMPUTED_VALUE"""),5)</f>
        <v>5</v>
      </c>
      <c r="D7257" s="12" t="str">
        <f ca="1">IFERROR(__xludf.DUMMYFUNCTION("""COMPUTED_VALUE"""),"菅野 ぎんが")</f>
        <v>菅野 ぎんが</v>
      </c>
    </row>
    <row r="7258" spans="2:4" ht="13">
      <c r="B7258" s="12">
        <f ca="1">IFERROR(__xludf.DUMMYFUNCTION("""COMPUTED_VALUE"""),138185)</f>
        <v>138185</v>
      </c>
      <c r="C7258" s="14">
        <f ca="1">IFERROR(__xludf.DUMMYFUNCTION("""COMPUTED_VALUE"""),0)</f>
        <v>0</v>
      </c>
      <c r="D7258" s="12" t="str">
        <f ca="1">IFERROR(__xludf.DUMMYFUNCTION("""COMPUTED_VALUE"""),"小川 純")</f>
        <v>小川 純</v>
      </c>
    </row>
    <row r="7259" spans="2:4" ht="13">
      <c r="B7259" s="12">
        <f ca="1">IFERROR(__xludf.DUMMYFUNCTION("""COMPUTED_VALUE"""),138187)</f>
        <v>138187</v>
      </c>
      <c r="C7259" s="14">
        <f ca="1">IFERROR(__xludf.DUMMYFUNCTION("""COMPUTED_VALUE"""),29)</f>
        <v>29</v>
      </c>
      <c r="D7259" s="12" t="str">
        <f ca="1">IFERROR(__xludf.DUMMYFUNCTION("""COMPUTED_VALUE"""),"荻曽 克輝")</f>
        <v>荻曽 克輝</v>
      </c>
    </row>
    <row r="7260" spans="2:4" ht="13">
      <c r="B7260" s="12">
        <f ca="1">IFERROR(__xludf.DUMMYFUNCTION("""COMPUTED_VALUE"""),138188)</f>
        <v>138188</v>
      </c>
      <c r="C7260" s="14">
        <f ca="1">IFERROR(__xludf.DUMMYFUNCTION("""COMPUTED_VALUE"""),69)</f>
        <v>69</v>
      </c>
      <c r="D7260" s="12" t="str">
        <f ca="1">IFERROR(__xludf.DUMMYFUNCTION("""COMPUTED_VALUE"""),"菅野 ぎんが")</f>
        <v>菅野 ぎんが</v>
      </c>
    </row>
    <row r="7261" spans="2:4" ht="13">
      <c r="B7261" s="12">
        <f ca="1">IFERROR(__xludf.DUMMYFUNCTION("""COMPUTED_VALUE"""),138191)</f>
        <v>138191</v>
      </c>
      <c r="C7261" s="14">
        <f ca="1">IFERROR(__xludf.DUMMYFUNCTION("""COMPUTED_VALUE"""),11)</f>
        <v>11</v>
      </c>
      <c r="D7261" s="12" t="str">
        <f ca="1">IFERROR(__xludf.DUMMYFUNCTION("""COMPUTED_VALUE"""),"老田 純輝")</f>
        <v>老田 純輝</v>
      </c>
    </row>
    <row r="7262" spans="2:4" ht="13">
      <c r="B7262" s="12">
        <f ca="1">IFERROR(__xludf.DUMMYFUNCTION("""COMPUTED_VALUE"""),138196)</f>
        <v>138196</v>
      </c>
      <c r="C7262" s="14">
        <f ca="1">IFERROR(__xludf.DUMMYFUNCTION("""COMPUTED_VALUE"""),0)</f>
        <v>0</v>
      </c>
      <c r="D7262" s="12" t="str">
        <f ca="1">IFERROR(__xludf.DUMMYFUNCTION("""COMPUTED_VALUE"""),"桑原 明子")</f>
        <v>桑原 明子</v>
      </c>
    </row>
    <row r="7263" spans="2:4" ht="13">
      <c r="B7263" s="12">
        <f ca="1">IFERROR(__xludf.DUMMYFUNCTION("""COMPUTED_VALUE"""),138199)</f>
        <v>138199</v>
      </c>
      <c r="C7263" s="14">
        <f ca="1">IFERROR(__xludf.DUMMYFUNCTION("""COMPUTED_VALUE"""),16)</f>
        <v>16</v>
      </c>
      <c r="D7263" s="12" t="str">
        <f ca="1">IFERROR(__xludf.DUMMYFUNCTION("""COMPUTED_VALUE"""),"成嶋 夏未")</f>
        <v>成嶋 夏未</v>
      </c>
    </row>
    <row r="7264" spans="2:4" ht="13">
      <c r="B7264" s="12">
        <f ca="1">IFERROR(__xludf.DUMMYFUNCTION("""COMPUTED_VALUE"""),138202)</f>
        <v>138202</v>
      </c>
      <c r="C7264" s="14">
        <f ca="1">IFERROR(__xludf.DUMMYFUNCTION("""COMPUTED_VALUE"""),0)</f>
        <v>0</v>
      </c>
      <c r="D7264" s="12" t="str">
        <f ca="1">IFERROR(__xludf.DUMMYFUNCTION("""COMPUTED_VALUE"""),"荻曽 克輝")</f>
        <v>荻曽 克輝</v>
      </c>
    </row>
    <row r="7265" spans="2:4" ht="13">
      <c r="B7265" s="12">
        <f ca="1">IFERROR(__xludf.DUMMYFUNCTION("""COMPUTED_VALUE"""),138205)</f>
        <v>138205</v>
      </c>
      <c r="C7265" s="14">
        <f ca="1">IFERROR(__xludf.DUMMYFUNCTION("""COMPUTED_VALUE"""),0)</f>
        <v>0</v>
      </c>
      <c r="D7265" s="12" t="str">
        <f ca="1">IFERROR(__xludf.DUMMYFUNCTION("""COMPUTED_VALUE"""),"小関 麻起")</f>
        <v>小関 麻起</v>
      </c>
    </row>
    <row r="7266" spans="2:4" ht="13">
      <c r="B7266" s="12">
        <f ca="1">IFERROR(__xludf.DUMMYFUNCTION("""COMPUTED_VALUE"""),138214)</f>
        <v>138214</v>
      </c>
      <c r="C7266" s="14">
        <f ca="1">IFERROR(__xludf.DUMMYFUNCTION("""COMPUTED_VALUE"""),10)</f>
        <v>10</v>
      </c>
      <c r="D7266" s="12" t="str">
        <f ca="1">IFERROR(__xludf.DUMMYFUNCTION("""COMPUTED_VALUE"""),"川島 幹也")</f>
        <v>川島 幹也</v>
      </c>
    </row>
    <row r="7267" spans="2:4" ht="13">
      <c r="B7267" s="12">
        <f ca="1">IFERROR(__xludf.DUMMYFUNCTION("""COMPUTED_VALUE"""),138218)</f>
        <v>138218</v>
      </c>
      <c r="C7267" s="14">
        <f ca="1">IFERROR(__xludf.DUMMYFUNCTION("""COMPUTED_VALUE"""),8)</f>
        <v>8</v>
      </c>
      <c r="D7267" s="12" t="str">
        <f ca="1">IFERROR(__xludf.DUMMYFUNCTION("""COMPUTED_VALUE"""),"桑原 明子")</f>
        <v>桑原 明子</v>
      </c>
    </row>
    <row r="7268" spans="2:4" ht="13">
      <c r="B7268" s="12">
        <f ca="1">IFERROR(__xludf.DUMMYFUNCTION("""COMPUTED_VALUE"""),138220)</f>
        <v>138220</v>
      </c>
      <c r="C7268" s="14">
        <f ca="1">IFERROR(__xludf.DUMMYFUNCTION("""COMPUTED_VALUE"""),1)</f>
        <v>1</v>
      </c>
      <c r="D7268" s="12" t="str">
        <f ca="1">IFERROR(__xludf.DUMMYFUNCTION("""COMPUTED_VALUE"""),"栗原 大武")</f>
        <v>栗原 大武</v>
      </c>
    </row>
    <row r="7269" spans="2:4" ht="13">
      <c r="B7269" s="12">
        <f ca="1">IFERROR(__xludf.DUMMYFUNCTION("""COMPUTED_VALUE"""),138224)</f>
        <v>138224</v>
      </c>
      <c r="C7269" s="14">
        <f ca="1">IFERROR(__xludf.DUMMYFUNCTION("""COMPUTED_VALUE"""),0)</f>
        <v>0</v>
      </c>
      <c r="D7269" s="12" t="str">
        <f ca="1">IFERROR(__xludf.DUMMYFUNCTION("""COMPUTED_VALUE"""),"成嶋 夏未")</f>
        <v>成嶋 夏未</v>
      </c>
    </row>
    <row r="7270" spans="2:4" ht="13">
      <c r="B7270" s="12">
        <f ca="1">IFERROR(__xludf.DUMMYFUNCTION("""COMPUTED_VALUE"""),138225)</f>
        <v>138225</v>
      </c>
      <c r="C7270" s="14">
        <f ca="1">IFERROR(__xludf.DUMMYFUNCTION("""COMPUTED_VALUE"""),25)</f>
        <v>25</v>
      </c>
      <c r="D7270" s="12" t="str">
        <f ca="1">IFERROR(__xludf.DUMMYFUNCTION("""COMPUTED_VALUE"""),"稲場 勇介")</f>
        <v>稲場 勇介</v>
      </c>
    </row>
    <row r="7271" spans="2:4" ht="13">
      <c r="B7271" s="12">
        <f ca="1">IFERROR(__xludf.DUMMYFUNCTION("""COMPUTED_VALUE"""),138226)</f>
        <v>138226</v>
      </c>
      <c r="C7271" s="14">
        <f ca="1">IFERROR(__xludf.DUMMYFUNCTION("""COMPUTED_VALUE"""),0)</f>
        <v>0</v>
      </c>
      <c r="D7271" s="12" t="str">
        <f ca="1">IFERROR(__xludf.DUMMYFUNCTION("""COMPUTED_VALUE"""),"川島 幹也")</f>
        <v>川島 幹也</v>
      </c>
    </row>
    <row r="7272" spans="2:4" ht="13">
      <c r="B7272" s="12">
        <f ca="1">IFERROR(__xludf.DUMMYFUNCTION("""COMPUTED_VALUE"""),138227)</f>
        <v>138227</v>
      </c>
      <c r="C7272" s="14">
        <f ca="1">IFERROR(__xludf.DUMMYFUNCTION("""COMPUTED_VALUE"""),1)</f>
        <v>1</v>
      </c>
      <c r="D7272" s="12" t="str">
        <f ca="1">IFERROR(__xludf.DUMMYFUNCTION("""COMPUTED_VALUE"""),"小関 麻起")</f>
        <v>小関 麻起</v>
      </c>
    </row>
    <row r="7273" spans="2:4" ht="13">
      <c r="B7273" s="12">
        <f ca="1">IFERROR(__xludf.DUMMYFUNCTION("""COMPUTED_VALUE"""),138228)</f>
        <v>138228</v>
      </c>
      <c r="C7273" s="14">
        <f ca="1">IFERROR(__xludf.DUMMYFUNCTION("""COMPUTED_VALUE"""),0)</f>
        <v>0</v>
      </c>
      <c r="D7273" s="12" t="str">
        <f ca="1">IFERROR(__xludf.DUMMYFUNCTION("""COMPUTED_VALUE"""),"成嶋 夏未")</f>
        <v>成嶋 夏未</v>
      </c>
    </row>
    <row r="7274" spans="2:4" ht="13">
      <c r="B7274" s="12">
        <f ca="1">IFERROR(__xludf.DUMMYFUNCTION("""COMPUTED_VALUE"""),138230)</f>
        <v>138230</v>
      </c>
      <c r="C7274" s="14">
        <f ca="1">IFERROR(__xludf.DUMMYFUNCTION("""COMPUTED_VALUE"""),0)</f>
        <v>0</v>
      </c>
      <c r="D7274" s="12" t="str">
        <f ca="1">IFERROR(__xludf.DUMMYFUNCTION("""COMPUTED_VALUE"""),"芳賀 亮輔")</f>
        <v>芳賀 亮輔</v>
      </c>
    </row>
    <row r="7275" spans="2:4" ht="13">
      <c r="B7275" s="12">
        <f ca="1">IFERROR(__xludf.DUMMYFUNCTION("""COMPUTED_VALUE"""),138231)</f>
        <v>138231</v>
      </c>
      <c r="C7275" s="14">
        <f ca="1">IFERROR(__xludf.DUMMYFUNCTION("""COMPUTED_VALUE"""),1)</f>
        <v>1</v>
      </c>
      <c r="D7275" s="12" t="str">
        <f ca="1">IFERROR(__xludf.DUMMYFUNCTION("""COMPUTED_VALUE"""),"柿崎 晃司")</f>
        <v>柿崎 晃司</v>
      </c>
    </row>
    <row r="7276" spans="2:4" ht="13">
      <c r="B7276" s="12">
        <f ca="1">IFERROR(__xludf.DUMMYFUNCTION("""COMPUTED_VALUE"""),138240)</f>
        <v>138240</v>
      </c>
      <c r="C7276" s="14">
        <f ca="1">IFERROR(__xludf.DUMMYFUNCTION("""COMPUTED_VALUE"""),10)</f>
        <v>10</v>
      </c>
      <c r="D7276" s="12" t="str">
        <f ca="1">IFERROR(__xludf.DUMMYFUNCTION("""COMPUTED_VALUE"""),"荻曽 克輝")</f>
        <v>荻曽 克輝</v>
      </c>
    </row>
    <row r="7277" spans="2:4" ht="13">
      <c r="B7277" s="12">
        <f ca="1">IFERROR(__xludf.DUMMYFUNCTION("""COMPUTED_VALUE"""),138242)</f>
        <v>138242</v>
      </c>
      <c r="C7277" s="14">
        <f ca="1">IFERROR(__xludf.DUMMYFUNCTION("""COMPUTED_VALUE"""),0)</f>
        <v>0</v>
      </c>
      <c r="D7277" s="12" t="str">
        <f ca="1">IFERROR(__xludf.DUMMYFUNCTION("""COMPUTED_VALUE"""),"小川 純")</f>
        <v>小川 純</v>
      </c>
    </row>
    <row r="7278" spans="2:4" ht="13">
      <c r="B7278" s="12">
        <f ca="1">IFERROR(__xludf.DUMMYFUNCTION("""COMPUTED_VALUE"""),138243)</f>
        <v>138243</v>
      </c>
      <c r="C7278" s="14">
        <f ca="1">IFERROR(__xludf.DUMMYFUNCTION("""COMPUTED_VALUE"""),10)</f>
        <v>10</v>
      </c>
      <c r="D7278" s="12" t="str">
        <f ca="1">IFERROR(__xludf.DUMMYFUNCTION("""COMPUTED_VALUE"""),"森 光智")</f>
        <v>森 光智</v>
      </c>
    </row>
    <row r="7279" spans="2:4" ht="13">
      <c r="B7279" s="12">
        <f ca="1">IFERROR(__xludf.DUMMYFUNCTION("""COMPUTED_VALUE"""),138247)</f>
        <v>138247</v>
      </c>
      <c r="C7279" s="14">
        <f ca="1">IFERROR(__xludf.DUMMYFUNCTION("""COMPUTED_VALUE"""),0)</f>
        <v>0</v>
      </c>
      <c r="D7279" s="12" t="str">
        <f ca="1">IFERROR(__xludf.DUMMYFUNCTION("""COMPUTED_VALUE"""),"稲場 勇介")</f>
        <v>稲場 勇介</v>
      </c>
    </row>
    <row r="7280" spans="2:4" ht="13">
      <c r="B7280" s="12">
        <f ca="1">IFERROR(__xludf.DUMMYFUNCTION("""COMPUTED_VALUE"""),138249)</f>
        <v>138249</v>
      </c>
      <c r="C7280" s="14">
        <f ca="1">IFERROR(__xludf.DUMMYFUNCTION("""COMPUTED_VALUE"""),1)</f>
        <v>1</v>
      </c>
      <c r="D7280" s="12" t="str">
        <f ca="1">IFERROR(__xludf.DUMMYFUNCTION("""COMPUTED_VALUE"""),"森 光智")</f>
        <v>森 光智</v>
      </c>
    </row>
    <row r="7281" spans="2:4" ht="13">
      <c r="B7281" s="12">
        <f ca="1">IFERROR(__xludf.DUMMYFUNCTION("""COMPUTED_VALUE"""),138250)</f>
        <v>138250</v>
      </c>
      <c r="C7281" s="14">
        <f ca="1">IFERROR(__xludf.DUMMYFUNCTION("""COMPUTED_VALUE"""),22)</f>
        <v>22</v>
      </c>
      <c r="D7281" s="12" t="str">
        <f ca="1">IFERROR(__xludf.DUMMYFUNCTION("""COMPUTED_VALUE"""),"小関 麻起")</f>
        <v>小関 麻起</v>
      </c>
    </row>
    <row r="7282" spans="2:4" ht="13">
      <c r="B7282" s="12">
        <f ca="1">IFERROR(__xludf.DUMMYFUNCTION("""COMPUTED_VALUE"""),138252)</f>
        <v>138252</v>
      </c>
      <c r="C7282" s="14">
        <f ca="1">IFERROR(__xludf.DUMMYFUNCTION("""COMPUTED_VALUE"""),6)</f>
        <v>6</v>
      </c>
      <c r="D7282" s="12" t="str">
        <f ca="1">IFERROR(__xludf.DUMMYFUNCTION("""COMPUTED_VALUE"""),"松尾 尚樹")</f>
        <v>松尾 尚樹</v>
      </c>
    </row>
    <row r="7283" spans="2:4" ht="13">
      <c r="B7283" s="12">
        <f ca="1">IFERROR(__xludf.DUMMYFUNCTION("""COMPUTED_VALUE"""),138253)</f>
        <v>138253</v>
      </c>
      <c r="C7283" s="14">
        <f ca="1">IFERROR(__xludf.DUMMYFUNCTION("""COMPUTED_VALUE"""),0)</f>
        <v>0</v>
      </c>
      <c r="D7283" s="12" t="str">
        <f ca="1">IFERROR(__xludf.DUMMYFUNCTION("""COMPUTED_VALUE"""),"小関 麻起")</f>
        <v>小関 麻起</v>
      </c>
    </row>
    <row r="7284" spans="2:4" ht="13">
      <c r="B7284" s="12">
        <f ca="1">IFERROR(__xludf.DUMMYFUNCTION("""COMPUTED_VALUE"""),138255)</f>
        <v>138255</v>
      </c>
      <c r="C7284" s="14">
        <f ca="1">IFERROR(__xludf.DUMMYFUNCTION("""COMPUTED_VALUE"""),62)</f>
        <v>62</v>
      </c>
      <c r="D7284" s="12" t="str">
        <f ca="1">IFERROR(__xludf.DUMMYFUNCTION("""COMPUTED_VALUE"""),"栗原 大武")</f>
        <v>栗原 大武</v>
      </c>
    </row>
    <row r="7285" spans="2:4" ht="13">
      <c r="B7285" s="12">
        <f ca="1">IFERROR(__xludf.DUMMYFUNCTION("""COMPUTED_VALUE"""),138256)</f>
        <v>138256</v>
      </c>
      <c r="C7285" s="14">
        <f ca="1">IFERROR(__xludf.DUMMYFUNCTION("""COMPUTED_VALUE"""),3)</f>
        <v>3</v>
      </c>
      <c r="D7285" s="12" t="str">
        <f ca="1">IFERROR(__xludf.DUMMYFUNCTION("""COMPUTED_VALUE"""),"森 光智")</f>
        <v>森 光智</v>
      </c>
    </row>
    <row r="7286" spans="2:4" ht="13">
      <c r="B7286" s="12">
        <f ca="1">IFERROR(__xludf.DUMMYFUNCTION("""COMPUTED_VALUE"""),138257)</f>
        <v>138257</v>
      </c>
      <c r="C7286" s="14">
        <f ca="1">IFERROR(__xludf.DUMMYFUNCTION("""COMPUTED_VALUE"""),2)</f>
        <v>2</v>
      </c>
      <c r="D7286" s="12" t="str">
        <f ca="1">IFERROR(__xludf.DUMMYFUNCTION("""COMPUTED_VALUE"""),"森 光智")</f>
        <v>森 光智</v>
      </c>
    </row>
    <row r="7287" spans="2:4" ht="13">
      <c r="B7287" s="12">
        <f ca="1">IFERROR(__xludf.DUMMYFUNCTION("""COMPUTED_VALUE"""),138258)</f>
        <v>138258</v>
      </c>
      <c r="C7287" s="14">
        <f ca="1">IFERROR(__xludf.DUMMYFUNCTION("""COMPUTED_VALUE"""),2)</f>
        <v>2</v>
      </c>
      <c r="D7287" s="12" t="str">
        <f ca="1">IFERROR(__xludf.DUMMYFUNCTION("""COMPUTED_VALUE"""),"森 光智")</f>
        <v>森 光智</v>
      </c>
    </row>
    <row r="7288" spans="2:4" ht="13">
      <c r="B7288" s="12">
        <f ca="1">IFERROR(__xludf.DUMMYFUNCTION("""COMPUTED_VALUE"""),138267)</f>
        <v>138267</v>
      </c>
      <c r="C7288" s="14">
        <f ca="1">IFERROR(__xludf.DUMMYFUNCTION("""COMPUTED_VALUE"""),22)</f>
        <v>22</v>
      </c>
      <c r="D7288" s="12" t="str">
        <f ca="1">IFERROR(__xludf.DUMMYFUNCTION("""COMPUTED_VALUE"""),"荻曽 克輝")</f>
        <v>荻曽 克輝</v>
      </c>
    </row>
    <row r="7289" spans="2:4" ht="13">
      <c r="B7289" s="12">
        <f ca="1">IFERROR(__xludf.DUMMYFUNCTION("""COMPUTED_VALUE"""),138268)</f>
        <v>138268</v>
      </c>
      <c r="C7289" s="14">
        <f ca="1">IFERROR(__xludf.DUMMYFUNCTION("""COMPUTED_VALUE"""),0)</f>
        <v>0</v>
      </c>
      <c r="D7289" s="12" t="str">
        <f ca="1">IFERROR(__xludf.DUMMYFUNCTION("""COMPUTED_VALUE"""),"荻曽 克輝")</f>
        <v>荻曽 克輝</v>
      </c>
    </row>
    <row r="7290" spans="2:4" ht="13">
      <c r="B7290" s="12">
        <f ca="1">IFERROR(__xludf.DUMMYFUNCTION("""COMPUTED_VALUE"""),138272)</f>
        <v>138272</v>
      </c>
      <c r="C7290" s="14">
        <f ca="1">IFERROR(__xludf.DUMMYFUNCTION("""COMPUTED_VALUE"""),34)</f>
        <v>34</v>
      </c>
      <c r="D7290" s="12" t="str">
        <f ca="1">IFERROR(__xludf.DUMMYFUNCTION("""COMPUTED_VALUE"""),"村上 浩一朗")</f>
        <v>村上 浩一朗</v>
      </c>
    </row>
    <row r="7291" spans="2:4" ht="13">
      <c r="B7291" s="12">
        <f ca="1">IFERROR(__xludf.DUMMYFUNCTION("""COMPUTED_VALUE"""),138273)</f>
        <v>138273</v>
      </c>
      <c r="C7291" s="14">
        <f ca="1">IFERROR(__xludf.DUMMYFUNCTION("""COMPUTED_VALUE"""),2)</f>
        <v>2</v>
      </c>
      <c r="D7291" s="12" t="str">
        <f ca="1">IFERROR(__xludf.DUMMYFUNCTION("""COMPUTED_VALUE"""),"栗原 大武")</f>
        <v>栗原 大武</v>
      </c>
    </row>
    <row r="7292" spans="2:4" ht="13">
      <c r="B7292" s="12">
        <f ca="1">IFERROR(__xludf.DUMMYFUNCTION("""COMPUTED_VALUE"""),138297)</f>
        <v>138297</v>
      </c>
      <c r="C7292" s="14">
        <f ca="1">IFERROR(__xludf.DUMMYFUNCTION("""COMPUTED_VALUE"""),2)</f>
        <v>2</v>
      </c>
      <c r="D7292" s="12" t="str">
        <f ca="1">IFERROR(__xludf.DUMMYFUNCTION("""COMPUTED_VALUE"""),"稲場 勇介")</f>
        <v>稲場 勇介</v>
      </c>
    </row>
    <row r="7293" spans="2:4" ht="13">
      <c r="B7293" s="12">
        <f ca="1">IFERROR(__xludf.DUMMYFUNCTION("""COMPUTED_VALUE"""),138300)</f>
        <v>138300</v>
      </c>
      <c r="C7293" s="14">
        <f ca="1">IFERROR(__xludf.DUMMYFUNCTION("""COMPUTED_VALUE"""),0)</f>
        <v>0</v>
      </c>
      <c r="D7293" s="12" t="str">
        <f ca="1">IFERROR(__xludf.DUMMYFUNCTION("""COMPUTED_VALUE"""),"成嶋 夏未")</f>
        <v>成嶋 夏未</v>
      </c>
    </row>
    <row r="7294" spans="2:4" ht="13">
      <c r="B7294" s="12">
        <f ca="1">IFERROR(__xludf.DUMMYFUNCTION("""COMPUTED_VALUE"""),138303)</f>
        <v>138303</v>
      </c>
      <c r="C7294" s="14">
        <f ca="1">IFERROR(__xludf.DUMMYFUNCTION("""COMPUTED_VALUE"""),3)</f>
        <v>3</v>
      </c>
      <c r="D7294" s="12" t="str">
        <f ca="1">IFERROR(__xludf.DUMMYFUNCTION("""COMPUTED_VALUE"""),"松尾 尚樹")</f>
        <v>松尾 尚樹</v>
      </c>
    </row>
    <row r="7295" spans="2:4" ht="13">
      <c r="B7295" s="12">
        <f ca="1">IFERROR(__xludf.DUMMYFUNCTION("""COMPUTED_VALUE"""),138304)</f>
        <v>138304</v>
      </c>
      <c r="C7295" s="14">
        <f ca="1">IFERROR(__xludf.DUMMYFUNCTION("""COMPUTED_VALUE"""),0)</f>
        <v>0</v>
      </c>
      <c r="D7295" s="12" t="str">
        <f ca="1">IFERROR(__xludf.DUMMYFUNCTION("""COMPUTED_VALUE"""),"松尾 尚樹")</f>
        <v>松尾 尚樹</v>
      </c>
    </row>
    <row r="7296" spans="2:4" ht="13">
      <c r="B7296" s="12">
        <f ca="1">IFERROR(__xludf.DUMMYFUNCTION("""COMPUTED_VALUE"""),138305)</f>
        <v>138305</v>
      </c>
      <c r="C7296" s="14">
        <f ca="1">IFERROR(__xludf.DUMMYFUNCTION("""COMPUTED_VALUE"""),4)</f>
        <v>4</v>
      </c>
      <c r="D7296" s="12" t="str">
        <f ca="1">IFERROR(__xludf.DUMMYFUNCTION("""COMPUTED_VALUE"""),"長谷川 陸朗")</f>
        <v>長谷川 陸朗</v>
      </c>
    </row>
    <row r="7297" spans="2:4" ht="13">
      <c r="B7297" s="12">
        <f ca="1">IFERROR(__xludf.DUMMYFUNCTION("""COMPUTED_VALUE"""),138310)</f>
        <v>138310</v>
      </c>
      <c r="C7297" s="14">
        <f ca="1">IFERROR(__xludf.DUMMYFUNCTION("""COMPUTED_VALUE"""),0)</f>
        <v>0</v>
      </c>
      <c r="D7297" s="12" t="str">
        <f ca="1">IFERROR(__xludf.DUMMYFUNCTION("""COMPUTED_VALUE"""),"芳賀 亮輔")</f>
        <v>芳賀 亮輔</v>
      </c>
    </row>
    <row r="7298" spans="2:4" ht="13">
      <c r="B7298" s="12">
        <f ca="1">IFERROR(__xludf.DUMMYFUNCTION("""COMPUTED_VALUE"""),138311)</f>
        <v>138311</v>
      </c>
      <c r="C7298" s="14">
        <f ca="1">IFERROR(__xludf.DUMMYFUNCTION("""COMPUTED_VALUE"""),14)</f>
        <v>14</v>
      </c>
      <c r="D7298" s="12" t="str">
        <f ca="1">IFERROR(__xludf.DUMMYFUNCTION("""COMPUTED_VALUE"""),"成嶋 夏未")</f>
        <v>成嶋 夏未</v>
      </c>
    </row>
    <row r="7299" spans="2:4" ht="13">
      <c r="B7299" s="12">
        <f ca="1">IFERROR(__xludf.DUMMYFUNCTION("""COMPUTED_VALUE"""),138312)</f>
        <v>138312</v>
      </c>
      <c r="C7299" s="14">
        <f ca="1">IFERROR(__xludf.DUMMYFUNCTION("""COMPUTED_VALUE"""),0)</f>
        <v>0</v>
      </c>
      <c r="D7299" s="12" t="str">
        <f ca="1">IFERROR(__xludf.DUMMYFUNCTION("""COMPUTED_VALUE"""),"辻村 将大")</f>
        <v>辻村 将大</v>
      </c>
    </row>
    <row r="7300" spans="2:4" ht="13">
      <c r="B7300" s="12">
        <f ca="1">IFERROR(__xludf.DUMMYFUNCTION("""COMPUTED_VALUE"""),138315)</f>
        <v>138315</v>
      </c>
      <c r="C7300" s="14">
        <f ca="1">IFERROR(__xludf.DUMMYFUNCTION("""COMPUTED_VALUE"""),0)</f>
        <v>0</v>
      </c>
      <c r="D7300" s="12" t="str">
        <f ca="1">IFERROR(__xludf.DUMMYFUNCTION("""COMPUTED_VALUE"""),"内丸 裕子")</f>
        <v>内丸 裕子</v>
      </c>
    </row>
    <row r="7301" spans="2:4" ht="13">
      <c r="B7301" s="12">
        <f ca="1">IFERROR(__xludf.DUMMYFUNCTION("""COMPUTED_VALUE"""),138318)</f>
        <v>138318</v>
      </c>
      <c r="C7301" s="14">
        <f ca="1">IFERROR(__xludf.DUMMYFUNCTION("""COMPUTED_VALUE"""),1)</f>
        <v>1</v>
      </c>
      <c r="D7301" s="12" t="str">
        <f ca="1">IFERROR(__xludf.DUMMYFUNCTION("""COMPUTED_VALUE"""),"松尾 尚樹")</f>
        <v>松尾 尚樹</v>
      </c>
    </row>
    <row r="7302" spans="2:4" ht="13">
      <c r="B7302" s="12">
        <f ca="1">IFERROR(__xludf.DUMMYFUNCTION("""COMPUTED_VALUE"""),138319)</f>
        <v>138319</v>
      </c>
      <c r="C7302" s="14">
        <f ca="1">IFERROR(__xludf.DUMMYFUNCTION("""COMPUTED_VALUE"""),3)</f>
        <v>3</v>
      </c>
      <c r="D7302" s="12" t="str">
        <f ca="1">IFERROR(__xludf.DUMMYFUNCTION("""COMPUTED_VALUE"""),"成嶋 夏未")</f>
        <v>成嶋 夏未</v>
      </c>
    </row>
    <row r="7303" spans="2:4" ht="13">
      <c r="B7303" s="12">
        <f ca="1">IFERROR(__xludf.DUMMYFUNCTION("""COMPUTED_VALUE"""),138323)</f>
        <v>138323</v>
      </c>
      <c r="C7303" s="14">
        <f ca="1">IFERROR(__xludf.DUMMYFUNCTION("""COMPUTED_VALUE"""),0)</f>
        <v>0</v>
      </c>
      <c r="D7303" s="12" t="str">
        <f ca="1">IFERROR(__xludf.DUMMYFUNCTION("""COMPUTED_VALUE"""),"小川 純")</f>
        <v>小川 純</v>
      </c>
    </row>
    <row r="7304" spans="2:4" ht="13">
      <c r="B7304" s="12">
        <f ca="1">IFERROR(__xludf.DUMMYFUNCTION("""COMPUTED_VALUE"""),138329)</f>
        <v>138329</v>
      </c>
      <c r="C7304" s="14">
        <f ca="1">IFERROR(__xludf.DUMMYFUNCTION("""COMPUTED_VALUE"""),2)</f>
        <v>2</v>
      </c>
      <c r="D7304" s="12" t="str">
        <f ca="1">IFERROR(__xludf.DUMMYFUNCTION("""COMPUTED_VALUE"""),"桐山 勝気")</f>
        <v>桐山 勝気</v>
      </c>
    </row>
    <row r="7305" spans="2:4" ht="13">
      <c r="B7305" s="12">
        <f ca="1">IFERROR(__xludf.DUMMYFUNCTION("""COMPUTED_VALUE"""),138332)</f>
        <v>138332</v>
      </c>
      <c r="C7305" s="14">
        <f ca="1">IFERROR(__xludf.DUMMYFUNCTION("""COMPUTED_VALUE"""),0)</f>
        <v>0</v>
      </c>
      <c r="D7305" s="12" t="str">
        <f ca="1">IFERROR(__xludf.DUMMYFUNCTION("""COMPUTED_VALUE"""),"村上 浩一朗")</f>
        <v>村上 浩一朗</v>
      </c>
    </row>
    <row r="7306" spans="2:4" ht="13">
      <c r="B7306" s="12">
        <f ca="1">IFERROR(__xludf.DUMMYFUNCTION("""COMPUTED_VALUE"""),138333)</f>
        <v>138333</v>
      </c>
      <c r="C7306" s="14">
        <f ca="1">IFERROR(__xludf.DUMMYFUNCTION("""COMPUTED_VALUE"""),0)</f>
        <v>0</v>
      </c>
      <c r="D7306" s="12" t="str">
        <f ca="1">IFERROR(__xludf.DUMMYFUNCTION("""COMPUTED_VALUE"""),"村上 浩一朗")</f>
        <v>村上 浩一朗</v>
      </c>
    </row>
    <row r="7307" spans="2:4" ht="13">
      <c r="B7307" s="12">
        <f ca="1">IFERROR(__xludf.DUMMYFUNCTION("""COMPUTED_VALUE"""),138334)</f>
        <v>138334</v>
      </c>
      <c r="C7307" s="14">
        <f ca="1">IFERROR(__xludf.DUMMYFUNCTION("""COMPUTED_VALUE"""),0)</f>
        <v>0</v>
      </c>
      <c r="D7307" s="12" t="str">
        <f ca="1">IFERROR(__xludf.DUMMYFUNCTION("""COMPUTED_VALUE"""),"村上 浩一朗")</f>
        <v>村上 浩一朗</v>
      </c>
    </row>
    <row r="7308" spans="2:4" ht="13">
      <c r="B7308" s="12">
        <f ca="1">IFERROR(__xludf.DUMMYFUNCTION("""COMPUTED_VALUE"""),138335)</f>
        <v>138335</v>
      </c>
      <c r="C7308" s="14">
        <f ca="1">IFERROR(__xludf.DUMMYFUNCTION("""COMPUTED_VALUE"""),0)</f>
        <v>0</v>
      </c>
      <c r="D7308" s="12" t="str">
        <f ca="1">IFERROR(__xludf.DUMMYFUNCTION("""COMPUTED_VALUE"""),"村上 浩一朗")</f>
        <v>村上 浩一朗</v>
      </c>
    </row>
    <row r="7309" spans="2:4" ht="13">
      <c r="B7309" s="12">
        <f ca="1">IFERROR(__xludf.DUMMYFUNCTION("""COMPUTED_VALUE"""),138336)</f>
        <v>138336</v>
      </c>
      <c r="C7309" s="14">
        <f ca="1">IFERROR(__xludf.DUMMYFUNCTION("""COMPUTED_VALUE"""),0)</f>
        <v>0</v>
      </c>
      <c r="D7309" s="12" t="str">
        <f ca="1">IFERROR(__xludf.DUMMYFUNCTION("""COMPUTED_VALUE"""),"村上 浩一朗")</f>
        <v>村上 浩一朗</v>
      </c>
    </row>
    <row r="7310" spans="2:4" ht="13">
      <c r="B7310" s="12">
        <f ca="1">IFERROR(__xludf.DUMMYFUNCTION("""COMPUTED_VALUE"""),138337)</f>
        <v>138337</v>
      </c>
      <c r="C7310" s="14">
        <f ca="1">IFERROR(__xludf.DUMMYFUNCTION("""COMPUTED_VALUE"""),0)</f>
        <v>0</v>
      </c>
      <c r="D7310" s="12" t="str">
        <f ca="1">IFERROR(__xludf.DUMMYFUNCTION("""COMPUTED_VALUE"""),"村上 浩一朗")</f>
        <v>村上 浩一朗</v>
      </c>
    </row>
    <row r="7311" spans="2:4" ht="13">
      <c r="B7311" s="12">
        <f ca="1">IFERROR(__xludf.DUMMYFUNCTION("""COMPUTED_VALUE"""),138338)</f>
        <v>138338</v>
      </c>
      <c r="C7311" s="14">
        <f ca="1">IFERROR(__xludf.DUMMYFUNCTION("""COMPUTED_VALUE"""),0)</f>
        <v>0</v>
      </c>
      <c r="D7311" s="12" t="str">
        <f ca="1">IFERROR(__xludf.DUMMYFUNCTION("""COMPUTED_VALUE"""),"栗原 大武")</f>
        <v>栗原 大武</v>
      </c>
    </row>
    <row r="7312" spans="2:4" ht="13">
      <c r="B7312" s="12">
        <f ca="1">IFERROR(__xludf.DUMMYFUNCTION("""COMPUTED_VALUE"""),138340)</f>
        <v>138340</v>
      </c>
      <c r="C7312" s="14">
        <f ca="1">IFERROR(__xludf.DUMMYFUNCTION("""COMPUTED_VALUE"""),89)</f>
        <v>89</v>
      </c>
      <c r="D7312" s="12" t="str">
        <f ca="1">IFERROR(__xludf.DUMMYFUNCTION("""COMPUTED_VALUE"""),"栗原 大武")</f>
        <v>栗原 大武</v>
      </c>
    </row>
    <row r="7313" spans="2:4" ht="13">
      <c r="B7313" s="12">
        <f ca="1">IFERROR(__xludf.DUMMYFUNCTION("""COMPUTED_VALUE"""),138342)</f>
        <v>138342</v>
      </c>
      <c r="C7313" s="14">
        <f ca="1">IFERROR(__xludf.DUMMYFUNCTION("""COMPUTED_VALUE"""),134)</f>
        <v>134</v>
      </c>
      <c r="D7313" s="12" t="str">
        <f ca="1">IFERROR(__xludf.DUMMYFUNCTION("""COMPUTED_VALUE"""),"栗原 大武")</f>
        <v>栗原 大武</v>
      </c>
    </row>
    <row r="7314" spans="2:4" ht="13">
      <c r="B7314" s="12">
        <f ca="1">IFERROR(__xludf.DUMMYFUNCTION("""COMPUTED_VALUE"""),138344)</f>
        <v>138344</v>
      </c>
      <c r="C7314" s="14">
        <f ca="1">IFERROR(__xludf.DUMMYFUNCTION("""COMPUTED_VALUE"""),0)</f>
        <v>0</v>
      </c>
      <c r="D7314" s="12" t="str">
        <f ca="1">IFERROR(__xludf.DUMMYFUNCTION("""COMPUTED_VALUE"""),"森 光智")</f>
        <v>森 光智</v>
      </c>
    </row>
    <row r="7315" spans="2:4" ht="13">
      <c r="B7315" s="12">
        <f ca="1">IFERROR(__xludf.DUMMYFUNCTION("""COMPUTED_VALUE"""),138346)</f>
        <v>138346</v>
      </c>
      <c r="C7315" s="14">
        <f ca="1">IFERROR(__xludf.DUMMYFUNCTION("""COMPUTED_VALUE"""),25)</f>
        <v>25</v>
      </c>
      <c r="D7315" s="12" t="str">
        <f ca="1">IFERROR(__xludf.DUMMYFUNCTION("""COMPUTED_VALUE"""),"小関 麻起")</f>
        <v>小関 麻起</v>
      </c>
    </row>
    <row r="7316" spans="2:4" ht="13">
      <c r="B7316" s="12">
        <f ca="1">IFERROR(__xludf.DUMMYFUNCTION("""COMPUTED_VALUE"""),138347)</f>
        <v>138347</v>
      </c>
      <c r="C7316" s="14">
        <f ca="1">IFERROR(__xludf.DUMMYFUNCTION("""COMPUTED_VALUE"""),3)</f>
        <v>3</v>
      </c>
      <c r="D7316" s="12" t="str">
        <f ca="1">IFERROR(__xludf.DUMMYFUNCTION("""COMPUTED_VALUE"""),"菅野 ぎんが")</f>
        <v>菅野 ぎんが</v>
      </c>
    </row>
    <row r="7317" spans="2:4" ht="13">
      <c r="B7317" s="12">
        <f ca="1">IFERROR(__xludf.DUMMYFUNCTION("""COMPUTED_VALUE"""),138351)</f>
        <v>138351</v>
      </c>
      <c r="C7317" s="14">
        <f ca="1">IFERROR(__xludf.DUMMYFUNCTION("""COMPUTED_VALUE"""),0)</f>
        <v>0</v>
      </c>
      <c r="D7317" s="12" t="str">
        <f ca="1">IFERROR(__xludf.DUMMYFUNCTION("""COMPUTED_VALUE"""),"村上 浩一朗")</f>
        <v>村上 浩一朗</v>
      </c>
    </row>
    <row r="7318" spans="2:4" ht="13">
      <c r="B7318" s="12">
        <f ca="1">IFERROR(__xludf.DUMMYFUNCTION("""COMPUTED_VALUE"""),138352)</f>
        <v>138352</v>
      </c>
      <c r="C7318" s="14">
        <f ca="1">IFERROR(__xludf.DUMMYFUNCTION("""COMPUTED_VALUE"""),0)</f>
        <v>0</v>
      </c>
      <c r="D7318" s="12" t="str">
        <f ca="1">IFERROR(__xludf.DUMMYFUNCTION("""COMPUTED_VALUE"""),"村上 浩一朗")</f>
        <v>村上 浩一朗</v>
      </c>
    </row>
    <row r="7319" spans="2:4" ht="13">
      <c r="B7319" s="12">
        <f ca="1">IFERROR(__xludf.DUMMYFUNCTION("""COMPUTED_VALUE"""),138353)</f>
        <v>138353</v>
      </c>
      <c r="C7319" s="14">
        <f ca="1">IFERROR(__xludf.DUMMYFUNCTION("""COMPUTED_VALUE"""),0)</f>
        <v>0</v>
      </c>
      <c r="D7319" s="12" t="str">
        <f ca="1">IFERROR(__xludf.DUMMYFUNCTION("""COMPUTED_VALUE"""),"村上 浩一朗")</f>
        <v>村上 浩一朗</v>
      </c>
    </row>
    <row r="7320" spans="2:4" ht="13">
      <c r="B7320" s="12">
        <f ca="1">IFERROR(__xludf.DUMMYFUNCTION("""COMPUTED_VALUE"""),138354)</f>
        <v>138354</v>
      </c>
      <c r="C7320" s="14">
        <f ca="1">IFERROR(__xludf.DUMMYFUNCTION("""COMPUTED_VALUE"""),0)</f>
        <v>0</v>
      </c>
      <c r="D7320" s="12" t="str">
        <f ca="1">IFERROR(__xludf.DUMMYFUNCTION("""COMPUTED_VALUE"""),"村上 浩一朗")</f>
        <v>村上 浩一朗</v>
      </c>
    </row>
    <row r="7321" spans="2:4" ht="13">
      <c r="B7321" s="12">
        <f ca="1">IFERROR(__xludf.DUMMYFUNCTION("""COMPUTED_VALUE"""),138355)</f>
        <v>138355</v>
      </c>
      <c r="C7321" s="14">
        <f ca="1">IFERROR(__xludf.DUMMYFUNCTION("""COMPUTED_VALUE"""),0)</f>
        <v>0</v>
      </c>
      <c r="D7321" s="12" t="str">
        <f ca="1">IFERROR(__xludf.DUMMYFUNCTION("""COMPUTED_VALUE"""),"辻村 将大")</f>
        <v>辻村 将大</v>
      </c>
    </row>
    <row r="7322" spans="2:4" ht="13">
      <c r="B7322" s="12">
        <f ca="1">IFERROR(__xludf.DUMMYFUNCTION("""COMPUTED_VALUE"""),138361)</f>
        <v>138361</v>
      </c>
      <c r="C7322" s="14">
        <f ca="1">IFERROR(__xludf.DUMMYFUNCTION("""COMPUTED_VALUE"""),0)</f>
        <v>0</v>
      </c>
      <c r="D7322" s="12" t="str">
        <f ca="1">IFERROR(__xludf.DUMMYFUNCTION("""COMPUTED_VALUE"""),"大木 優香")</f>
        <v>大木 優香</v>
      </c>
    </row>
    <row r="7323" spans="2:4" ht="13">
      <c r="B7323" s="12">
        <f ca="1">IFERROR(__xludf.DUMMYFUNCTION("""COMPUTED_VALUE"""),138362)</f>
        <v>138362</v>
      </c>
      <c r="C7323" s="14">
        <f ca="1">IFERROR(__xludf.DUMMYFUNCTION("""COMPUTED_VALUE"""),0)</f>
        <v>0</v>
      </c>
      <c r="D7323" s="12" t="str">
        <f ca="1">IFERROR(__xludf.DUMMYFUNCTION("""COMPUTED_VALUE"""),"大木 優香")</f>
        <v>大木 優香</v>
      </c>
    </row>
    <row r="7324" spans="2:4" ht="13">
      <c r="B7324" s="12">
        <f ca="1">IFERROR(__xludf.DUMMYFUNCTION("""COMPUTED_VALUE"""),138363)</f>
        <v>138363</v>
      </c>
      <c r="C7324" s="14">
        <f ca="1">IFERROR(__xludf.DUMMYFUNCTION("""COMPUTED_VALUE"""),0)</f>
        <v>0</v>
      </c>
      <c r="D7324" s="12" t="str">
        <f ca="1">IFERROR(__xludf.DUMMYFUNCTION("""COMPUTED_VALUE"""),"大木 優香")</f>
        <v>大木 優香</v>
      </c>
    </row>
    <row r="7325" spans="2:4" ht="13">
      <c r="B7325" s="12">
        <f ca="1">IFERROR(__xludf.DUMMYFUNCTION("""COMPUTED_VALUE"""),138365)</f>
        <v>138365</v>
      </c>
      <c r="C7325" s="14">
        <f ca="1">IFERROR(__xludf.DUMMYFUNCTION("""COMPUTED_VALUE"""),0)</f>
        <v>0</v>
      </c>
      <c r="D7325" s="12" t="str">
        <f ca="1">IFERROR(__xludf.DUMMYFUNCTION("""COMPUTED_VALUE"""),"小関 麻起")</f>
        <v>小関 麻起</v>
      </c>
    </row>
    <row r="7326" spans="2:4" ht="13">
      <c r="B7326" s="12">
        <f ca="1">IFERROR(__xludf.DUMMYFUNCTION("""COMPUTED_VALUE"""),138367)</f>
        <v>138367</v>
      </c>
      <c r="C7326" s="14">
        <f ca="1">IFERROR(__xludf.DUMMYFUNCTION("""COMPUTED_VALUE"""),2)</f>
        <v>2</v>
      </c>
      <c r="D7326" s="12" t="str">
        <f ca="1">IFERROR(__xludf.DUMMYFUNCTION("""COMPUTED_VALUE"""),"長谷川 陸朗")</f>
        <v>長谷川 陸朗</v>
      </c>
    </row>
    <row r="7327" spans="2:4" ht="13">
      <c r="B7327" s="12">
        <f ca="1">IFERROR(__xludf.DUMMYFUNCTION("""COMPUTED_VALUE"""),138368)</f>
        <v>138368</v>
      </c>
      <c r="C7327" s="14">
        <f ca="1">IFERROR(__xludf.DUMMYFUNCTION("""COMPUTED_VALUE"""),2)</f>
        <v>2</v>
      </c>
      <c r="D7327" s="12" t="str">
        <f ca="1">IFERROR(__xludf.DUMMYFUNCTION("""COMPUTED_VALUE"""),"村上 浩一朗")</f>
        <v>村上 浩一朗</v>
      </c>
    </row>
    <row r="7328" spans="2:4" ht="13">
      <c r="B7328" s="12">
        <f ca="1">IFERROR(__xludf.DUMMYFUNCTION("""COMPUTED_VALUE"""),138371)</f>
        <v>138371</v>
      </c>
      <c r="C7328" s="14">
        <f ca="1">IFERROR(__xludf.DUMMYFUNCTION("""COMPUTED_VALUE"""),0)</f>
        <v>0</v>
      </c>
      <c r="D7328" s="12" t="str">
        <f ca="1">IFERROR(__xludf.DUMMYFUNCTION("""COMPUTED_VALUE"""),"辻村 将大")</f>
        <v>辻村 将大</v>
      </c>
    </row>
    <row r="7329" spans="2:4" ht="13">
      <c r="B7329" s="12">
        <f ca="1">IFERROR(__xludf.DUMMYFUNCTION("""COMPUTED_VALUE"""),138374)</f>
        <v>138374</v>
      </c>
      <c r="C7329" s="14">
        <f ca="1">IFERROR(__xludf.DUMMYFUNCTION("""COMPUTED_VALUE"""),0)</f>
        <v>0</v>
      </c>
      <c r="D7329" s="12" t="str">
        <f ca="1">IFERROR(__xludf.DUMMYFUNCTION("""COMPUTED_VALUE"""),"栗原 大武")</f>
        <v>栗原 大武</v>
      </c>
    </row>
    <row r="7330" spans="2:4" ht="13">
      <c r="B7330" s="12">
        <f ca="1">IFERROR(__xludf.DUMMYFUNCTION("""COMPUTED_VALUE"""),138376)</f>
        <v>138376</v>
      </c>
      <c r="C7330" s="14">
        <f ca="1">IFERROR(__xludf.DUMMYFUNCTION("""COMPUTED_VALUE"""),0)</f>
        <v>0</v>
      </c>
      <c r="D7330" s="12" t="str">
        <f ca="1">IFERROR(__xludf.DUMMYFUNCTION("""COMPUTED_VALUE"""),"稲場 勇介")</f>
        <v>稲場 勇介</v>
      </c>
    </row>
    <row r="7331" spans="2:4" ht="13">
      <c r="B7331" s="12">
        <f ca="1">IFERROR(__xludf.DUMMYFUNCTION("""COMPUTED_VALUE"""),138377)</f>
        <v>138377</v>
      </c>
      <c r="C7331" s="14">
        <f ca="1">IFERROR(__xludf.DUMMYFUNCTION("""COMPUTED_VALUE"""),2)</f>
        <v>2</v>
      </c>
      <c r="D7331" s="12" t="str">
        <f ca="1">IFERROR(__xludf.DUMMYFUNCTION("""COMPUTED_VALUE"""),"小関 麻起")</f>
        <v>小関 麻起</v>
      </c>
    </row>
    <row r="7332" spans="2:4" ht="13">
      <c r="B7332" s="12">
        <f ca="1">IFERROR(__xludf.DUMMYFUNCTION("""COMPUTED_VALUE"""),138382)</f>
        <v>138382</v>
      </c>
      <c r="C7332" s="14">
        <f ca="1">IFERROR(__xludf.DUMMYFUNCTION("""COMPUTED_VALUE"""),9)</f>
        <v>9</v>
      </c>
      <c r="D7332" s="12" t="str">
        <f ca="1">IFERROR(__xludf.DUMMYFUNCTION("""COMPUTED_VALUE"""),"成嶋 夏未")</f>
        <v>成嶋 夏未</v>
      </c>
    </row>
    <row r="7333" spans="2:4" ht="13">
      <c r="B7333" s="12">
        <f ca="1">IFERROR(__xludf.DUMMYFUNCTION("""COMPUTED_VALUE"""),138383)</f>
        <v>138383</v>
      </c>
      <c r="C7333" s="14">
        <f ca="1">IFERROR(__xludf.DUMMYFUNCTION("""COMPUTED_VALUE"""),0)</f>
        <v>0</v>
      </c>
      <c r="D7333" s="12" t="str">
        <f ca="1">IFERROR(__xludf.DUMMYFUNCTION("""COMPUTED_VALUE"""),"荻曽 克輝")</f>
        <v>荻曽 克輝</v>
      </c>
    </row>
    <row r="7334" spans="2:4" ht="13">
      <c r="B7334" s="12">
        <f ca="1">IFERROR(__xludf.DUMMYFUNCTION("""COMPUTED_VALUE"""),138405)</f>
        <v>138405</v>
      </c>
      <c r="C7334" s="14">
        <f ca="1">IFERROR(__xludf.DUMMYFUNCTION("""COMPUTED_VALUE"""),0)</f>
        <v>0</v>
      </c>
      <c r="D7334" s="12" t="str">
        <f ca="1">IFERROR(__xludf.DUMMYFUNCTION("""COMPUTED_VALUE"""),"長谷川 陸朗")</f>
        <v>長谷川 陸朗</v>
      </c>
    </row>
    <row r="7335" spans="2:4" ht="13">
      <c r="B7335" s="12">
        <f ca="1">IFERROR(__xludf.DUMMYFUNCTION("""COMPUTED_VALUE"""),138407)</f>
        <v>138407</v>
      </c>
      <c r="C7335" s="14">
        <f ca="1">IFERROR(__xludf.DUMMYFUNCTION("""COMPUTED_VALUE"""),0)</f>
        <v>0</v>
      </c>
      <c r="D7335" s="12" t="str">
        <f ca="1">IFERROR(__xludf.DUMMYFUNCTION("""COMPUTED_VALUE"""),"川島 幹也")</f>
        <v>川島 幹也</v>
      </c>
    </row>
    <row r="7336" spans="2:4" ht="13">
      <c r="B7336" s="12">
        <f ca="1">IFERROR(__xludf.DUMMYFUNCTION("""COMPUTED_VALUE"""),138411)</f>
        <v>138411</v>
      </c>
      <c r="C7336" s="14">
        <f ca="1">IFERROR(__xludf.DUMMYFUNCTION("""COMPUTED_VALUE"""),0)</f>
        <v>0</v>
      </c>
      <c r="D7336" s="12" t="str">
        <f ca="1">IFERROR(__xludf.DUMMYFUNCTION("""COMPUTED_VALUE"""),"桐山 勝気")</f>
        <v>桐山 勝気</v>
      </c>
    </row>
    <row r="7337" spans="2:4" ht="13">
      <c r="B7337" s="12">
        <f ca="1">IFERROR(__xludf.DUMMYFUNCTION("""COMPUTED_VALUE"""),138415)</f>
        <v>138415</v>
      </c>
      <c r="C7337" s="14">
        <f ca="1">IFERROR(__xludf.DUMMYFUNCTION("""COMPUTED_VALUE"""),1)</f>
        <v>1</v>
      </c>
      <c r="D7337" s="12" t="str">
        <f ca="1">IFERROR(__xludf.DUMMYFUNCTION("""COMPUTED_VALUE"""),"田嶋 将太")</f>
        <v>田嶋 将太</v>
      </c>
    </row>
    <row r="7338" spans="2:4" ht="13">
      <c r="B7338" s="12">
        <f ca="1">IFERROR(__xludf.DUMMYFUNCTION("""COMPUTED_VALUE"""),138418)</f>
        <v>138418</v>
      </c>
      <c r="C7338" s="14">
        <f ca="1">IFERROR(__xludf.DUMMYFUNCTION("""COMPUTED_VALUE"""),19)</f>
        <v>19</v>
      </c>
      <c r="D7338" s="12" t="str">
        <f ca="1">IFERROR(__xludf.DUMMYFUNCTION("""COMPUTED_VALUE"""),"松尾 尚樹")</f>
        <v>松尾 尚樹</v>
      </c>
    </row>
    <row r="7339" spans="2:4" ht="13">
      <c r="B7339" s="12">
        <f ca="1">IFERROR(__xludf.DUMMYFUNCTION("""COMPUTED_VALUE"""),138419)</f>
        <v>138419</v>
      </c>
      <c r="C7339" s="14">
        <f ca="1">IFERROR(__xludf.DUMMYFUNCTION("""COMPUTED_VALUE"""),8)</f>
        <v>8</v>
      </c>
      <c r="D7339" s="12" t="str">
        <f ca="1">IFERROR(__xludf.DUMMYFUNCTION("""COMPUTED_VALUE"""),"長谷川 陸朗")</f>
        <v>長谷川 陸朗</v>
      </c>
    </row>
    <row r="7340" spans="2:4" ht="13">
      <c r="B7340" s="12">
        <f ca="1">IFERROR(__xludf.DUMMYFUNCTION("""COMPUTED_VALUE"""),138421)</f>
        <v>138421</v>
      </c>
      <c r="C7340" s="14">
        <f ca="1">IFERROR(__xludf.DUMMYFUNCTION("""COMPUTED_VALUE"""),5)</f>
        <v>5</v>
      </c>
      <c r="D7340" s="12" t="str">
        <f ca="1">IFERROR(__xludf.DUMMYFUNCTION("""COMPUTED_VALUE"""),"森 光智")</f>
        <v>森 光智</v>
      </c>
    </row>
    <row r="7341" spans="2:4" ht="13">
      <c r="B7341" s="12">
        <f ca="1">IFERROR(__xludf.DUMMYFUNCTION("""COMPUTED_VALUE"""),138422)</f>
        <v>138422</v>
      </c>
      <c r="C7341" s="14">
        <f ca="1">IFERROR(__xludf.DUMMYFUNCTION("""COMPUTED_VALUE"""),3)</f>
        <v>3</v>
      </c>
      <c r="D7341" s="12" t="str">
        <f ca="1">IFERROR(__xludf.DUMMYFUNCTION("""COMPUTED_VALUE"""),"森 光智")</f>
        <v>森 光智</v>
      </c>
    </row>
    <row r="7342" spans="2:4" ht="13">
      <c r="B7342" s="12">
        <f ca="1">IFERROR(__xludf.DUMMYFUNCTION("""COMPUTED_VALUE"""),138429)</f>
        <v>138429</v>
      </c>
      <c r="C7342" s="14">
        <f ca="1">IFERROR(__xludf.DUMMYFUNCTION("""COMPUTED_VALUE"""),0)</f>
        <v>0</v>
      </c>
      <c r="D7342" s="12" t="str">
        <f ca="1">IFERROR(__xludf.DUMMYFUNCTION("""COMPUTED_VALUE"""),"荻曽 克輝")</f>
        <v>荻曽 克輝</v>
      </c>
    </row>
    <row r="7343" spans="2:4" ht="13">
      <c r="B7343" s="12">
        <f ca="1">IFERROR(__xludf.DUMMYFUNCTION("""COMPUTED_VALUE"""),138430)</f>
        <v>138430</v>
      </c>
      <c r="C7343" s="14">
        <f ca="1">IFERROR(__xludf.DUMMYFUNCTION("""COMPUTED_VALUE"""),0)</f>
        <v>0</v>
      </c>
      <c r="D7343" s="12" t="str">
        <f ca="1">IFERROR(__xludf.DUMMYFUNCTION("""COMPUTED_VALUE"""),"堀越 駿")</f>
        <v>堀越 駿</v>
      </c>
    </row>
    <row r="7344" spans="2:4" ht="13">
      <c r="B7344" s="12">
        <f ca="1">IFERROR(__xludf.DUMMYFUNCTION("""COMPUTED_VALUE"""),138431)</f>
        <v>138431</v>
      </c>
      <c r="C7344" s="14">
        <f ca="1">IFERROR(__xludf.DUMMYFUNCTION("""COMPUTED_VALUE"""),0)</f>
        <v>0</v>
      </c>
      <c r="D7344" s="12" t="str">
        <f ca="1">IFERROR(__xludf.DUMMYFUNCTION("""COMPUTED_VALUE"""),"松尾 尚樹")</f>
        <v>松尾 尚樹</v>
      </c>
    </row>
    <row r="7345" spans="2:4" ht="13">
      <c r="B7345" s="12">
        <f ca="1">IFERROR(__xludf.DUMMYFUNCTION("""COMPUTED_VALUE"""),138432)</f>
        <v>138432</v>
      </c>
      <c r="C7345" s="14">
        <f ca="1">IFERROR(__xludf.DUMMYFUNCTION("""COMPUTED_VALUE"""),0)</f>
        <v>0</v>
      </c>
      <c r="D7345" s="12" t="str">
        <f ca="1">IFERROR(__xludf.DUMMYFUNCTION("""COMPUTED_VALUE"""),"菅野 ぎんが")</f>
        <v>菅野 ぎんが</v>
      </c>
    </row>
    <row r="7346" spans="2:4" ht="13">
      <c r="B7346" s="12">
        <f ca="1">IFERROR(__xludf.DUMMYFUNCTION("""COMPUTED_VALUE"""),138438)</f>
        <v>138438</v>
      </c>
      <c r="C7346" s="14">
        <f ca="1">IFERROR(__xludf.DUMMYFUNCTION("""COMPUTED_VALUE"""),53)</f>
        <v>53</v>
      </c>
      <c r="D7346" s="12" t="str">
        <f ca="1">IFERROR(__xludf.DUMMYFUNCTION("""COMPUTED_VALUE"""),"村上 浩一朗")</f>
        <v>村上 浩一朗</v>
      </c>
    </row>
    <row r="7347" spans="2:4" ht="13">
      <c r="B7347" s="12">
        <f ca="1">IFERROR(__xludf.DUMMYFUNCTION("""COMPUTED_VALUE"""),138447)</f>
        <v>138447</v>
      </c>
      <c r="C7347" s="14">
        <f ca="1">IFERROR(__xludf.DUMMYFUNCTION("""COMPUTED_VALUE"""),0)</f>
        <v>0</v>
      </c>
      <c r="D7347" s="12" t="str">
        <f ca="1">IFERROR(__xludf.DUMMYFUNCTION("""COMPUTED_VALUE"""),"小川 純")</f>
        <v>小川 純</v>
      </c>
    </row>
    <row r="7348" spans="2:4" ht="13">
      <c r="B7348" s="12">
        <f ca="1">IFERROR(__xludf.DUMMYFUNCTION("""COMPUTED_VALUE"""),138448)</f>
        <v>138448</v>
      </c>
      <c r="C7348" s="14">
        <f ca="1">IFERROR(__xludf.DUMMYFUNCTION("""COMPUTED_VALUE"""),0)</f>
        <v>0</v>
      </c>
      <c r="D7348" s="12" t="str">
        <f ca="1">IFERROR(__xludf.DUMMYFUNCTION("""COMPUTED_VALUE"""),"菅野 ぎんが")</f>
        <v>菅野 ぎんが</v>
      </c>
    </row>
    <row r="7349" spans="2:4" ht="13">
      <c r="B7349" s="12">
        <f ca="1">IFERROR(__xludf.DUMMYFUNCTION("""COMPUTED_VALUE"""),138449)</f>
        <v>138449</v>
      </c>
      <c r="C7349" s="14">
        <f ca="1">IFERROR(__xludf.DUMMYFUNCTION("""COMPUTED_VALUE"""),0)</f>
        <v>0</v>
      </c>
      <c r="D7349" s="12" t="str">
        <f ca="1">IFERROR(__xludf.DUMMYFUNCTION("""COMPUTED_VALUE"""),"稲場 勇介")</f>
        <v>稲場 勇介</v>
      </c>
    </row>
    <row r="7350" spans="2:4" ht="13">
      <c r="B7350" s="12">
        <f ca="1">IFERROR(__xludf.DUMMYFUNCTION("""COMPUTED_VALUE"""),138451)</f>
        <v>138451</v>
      </c>
      <c r="C7350" s="14">
        <f ca="1">IFERROR(__xludf.DUMMYFUNCTION("""COMPUTED_VALUE"""),2)</f>
        <v>2</v>
      </c>
      <c r="D7350" s="12" t="str">
        <f ca="1">IFERROR(__xludf.DUMMYFUNCTION("""COMPUTED_VALUE"""),"森 光智")</f>
        <v>森 光智</v>
      </c>
    </row>
    <row r="7351" spans="2:4" ht="13">
      <c r="B7351" s="12">
        <f ca="1">IFERROR(__xludf.DUMMYFUNCTION("""COMPUTED_VALUE"""),138452)</f>
        <v>138452</v>
      </c>
      <c r="C7351" s="14">
        <f ca="1">IFERROR(__xludf.DUMMYFUNCTION("""COMPUTED_VALUE"""),0)</f>
        <v>0</v>
      </c>
      <c r="D7351" s="12" t="str">
        <f ca="1">IFERROR(__xludf.DUMMYFUNCTION("""COMPUTED_VALUE"""),"成嶋 夏未")</f>
        <v>成嶋 夏未</v>
      </c>
    </row>
    <row r="7352" spans="2:4" ht="13">
      <c r="B7352" s="12">
        <f ca="1">IFERROR(__xludf.DUMMYFUNCTION("""COMPUTED_VALUE"""),138456)</f>
        <v>138456</v>
      </c>
      <c r="C7352" s="14">
        <f ca="1">IFERROR(__xludf.DUMMYFUNCTION("""COMPUTED_VALUE"""),0)</f>
        <v>0</v>
      </c>
      <c r="D7352" s="12" t="str">
        <f ca="1">IFERROR(__xludf.DUMMYFUNCTION("""COMPUTED_VALUE"""),"稲場 勇介")</f>
        <v>稲場 勇介</v>
      </c>
    </row>
    <row r="7353" spans="2:4" ht="13">
      <c r="B7353" s="12">
        <f ca="1">IFERROR(__xludf.DUMMYFUNCTION("""COMPUTED_VALUE"""),138457)</f>
        <v>138457</v>
      </c>
      <c r="C7353" s="14">
        <f ca="1">IFERROR(__xludf.DUMMYFUNCTION("""COMPUTED_VALUE"""),0)</f>
        <v>0</v>
      </c>
      <c r="D7353" s="12" t="str">
        <f ca="1">IFERROR(__xludf.DUMMYFUNCTION("""COMPUTED_VALUE"""),"辻村 将大")</f>
        <v>辻村 将大</v>
      </c>
    </row>
    <row r="7354" spans="2:4" ht="13">
      <c r="B7354" s="12">
        <f ca="1">IFERROR(__xludf.DUMMYFUNCTION("""COMPUTED_VALUE"""),138462)</f>
        <v>138462</v>
      </c>
      <c r="C7354" s="14">
        <f ca="1">IFERROR(__xludf.DUMMYFUNCTION("""COMPUTED_VALUE"""),5)</f>
        <v>5</v>
      </c>
      <c r="D7354" s="12" t="str">
        <f ca="1">IFERROR(__xludf.DUMMYFUNCTION("""COMPUTED_VALUE"""),"堀越 駿")</f>
        <v>堀越 駿</v>
      </c>
    </row>
    <row r="7355" spans="2:4" ht="13">
      <c r="B7355" s="12">
        <f ca="1">IFERROR(__xludf.DUMMYFUNCTION("""COMPUTED_VALUE"""),138485)</f>
        <v>138485</v>
      </c>
      <c r="C7355" s="14">
        <f ca="1">IFERROR(__xludf.DUMMYFUNCTION("""COMPUTED_VALUE"""),94)</f>
        <v>94</v>
      </c>
      <c r="D7355" s="12" t="str">
        <f ca="1">IFERROR(__xludf.DUMMYFUNCTION("""COMPUTED_VALUE"""),"内丸 裕子")</f>
        <v>内丸 裕子</v>
      </c>
    </row>
    <row r="7356" spans="2:4" ht="13">
      <c r="B7356" s="12">
        <f ca="1">IFERROR(__xludf.DUMMYFUNCTION("""COMPUTED_VALUE"""),138486)</f>
        <v>138486</v>
      </c>
      <c r="C7356" s="14">
        <f ca="1">IFERROR(__xludf.DUMMYFUNCTION("""COMPUTED_VALUE"""),0)</f>
        <v>0</v>
      </c>
      <c r="D7356" s="12" t="str">
        <f ca="1">IFERROR(__xludf.DUMMYFUNCTION("""COMPUTED_VALUE"""),"辻村 将大")</f>
        <v>辻村 将大</v>
      </c>
    </row>
    <row r="7357" spans="2:4" ht="13">
      <c r="B7357" s="12">
        <f ca="1">IFERROR(__xludf.DUMMYFUNCTION("""COMPUTED_VALUE"""),138487)</f>
        <v>138487</v>
      </c>
      <c r="C7357" s="14">
        <f ca="1">IFERROR(__xludf.DUMMYFUNCTION("""COMPUTED_VALUE"""),0)</f>
        <v>0</v>
      </c>
      <c r="D7357" s="12" t="str">
        <f ca="1">IFERROR(__xludf.DUMMYFUNCTION("""COMPUTED_VALUE"""),"成嶋 夏未")</f>
        <v>成嶋 夏未</v>
      </c>
    </row>
    <row r="7358" spans="2:4" ht="13">
      <c r="B7358" s="12">
        <f ca="1">IFERROR(__xludf.DUMMYFUNCTION("""COMPUTED_VALUE"""),138501)</f>
        <v>138501</v>
      </c>
      <c r="C7358" s="14">
        <f ca="1">IFERROR(__xludf.DUMMYFUNCTION("""COMPUTED_VALUE"""),0)</f>
        <v>0</v>
      </c>
      <c r="D7358" s="12" t="str">
        <f ca="1">IFERROR(__xludf.DUMMYFUNCTION("""COMPUTED_VALUE"""),"堀越 駿")</f>
        <v>堀越 駿</v>
      </c>
    </row>
    <row r="7359" spans="2:4" ht="13">
      <c r="B7359" s="12">
        <f ca="1">IFERROR(__xludf.DUMMYFUNCTION("""COMPUTED_VALUE"""),138509)</f>
        <v>138509</v>
      </c>
      <c r="C7359" s="14">
        <f ca="1">IFERROR(__xludf.DUMMYFUNCTION("""COMPUTED_VALUE"""),7)</f>
        <v>7</v>
      </c>
      <c r="D7359" s="12" t="str">
        <f ca="1">IFERROR(__xludf.DUMMYFUNCTION("""COMPUTED_VALUE"""),"菅野 ぎんが")</f>
        <v>菅野 ぎんが</v>
      </c>
    </row>
    <row r="7360" spans="2:4" ht="13">
      <c r="B7360" s="12">
        <f ca="1">IFERROR(__xludf.DUMMYFUNCTION("""COMPUTED_VALUE"""),138510)</f>
        <v>138510</v>
      </c>
      <c r="C7360" s="14">
        <f ca="1">IFERROR(__xludf.DUMMYFUNCTION("""COMPUTED_VALUE"""),26)</f>
        <v>26</v>
      </c>
      <c r="D7360" s="12" t="str">
        <f ca="1">IFERROR(__xludf.DUMMYFUNCTION("""COMPUTED_VALUE"""),"菅野 ぎんが")</f>
        <v>菅野 ぎんが</v>
      </c>
    </row>
    <row r="7361" spans="2:4" ht="13">
      <c r="B7361" s="12">
        <f ca="1">IFERROR(__xludf.DUMMYFUNCTION("""COMPUTED_VALUE"""),138512)</f>
        <v>138512</v>
      </c>
      <c r="C7361" s="14">
        <f ca="1">IFERROR(__xludf.DUMMYFUNCTION("""COMPUTED_VALUE"""),0)</f>
        <v>0</v>
      </c>
      <c r="D7361" s="12" t="str">
        <f ca="1">IFERROR(__xludf.DUMMYFUNCTION("""COMPUTED_VALUE"""),"松尾 尚樹")</f>
        <v>松尾 尚樹</v>
      </c>
    </row>
    <row r="7362" spans="2:4" ht="13">
      <c r="B7362" s="12">
        <f ca="1">IFERROR(__xludf.DUMMYFUNCTION("""COMPUTED_VALUE"""),138516)</f>
        <v>138516</v>
      </c>
      <c r="C7362" s="14">
        <f ca="1">IFERROR(__xludf.DUMMYFUNCTION("""COMPUTED_VALUE"""),7)</f>
        <v>7</v>
      </c>
      <c r="D7362" s="12" t="str">
        <f ca="1">IFERROR(__xludf.DUMMYFUNCTION("""COMPUTED_VALUE"""),"村上 浩一朗")</f>
        <v>村上 浩一朗</v>
      </c>
    </row>
    <row r="7363" spans="2:4" ht="13">
      <c r="B7363" s="12">
        <f ca="1">IFERROR(__xludf.DUMMYFUNCTION("""COMPUTED_VALUE"""),138517)</f>
        <v>138517</v>
      </c>
      <c r="C7363" s="14">
        <f ca="1">IFERROR(__xludf.DUMMYFUNCTION("""COMPUTED_VALUE"""),7)</f>
        <v>7</v>
      </c>
      <c r="D7363" s="12" t="str">
        <f ca="1">IFERROR(__xludf.DUMMYFUNCTION("""COMPUTED_VALUE"""),"村上 浩一朗")</f>
        <v>村上 浩一朗</v>
      </c>
    </row>
    <row r="7364" spans="2:4" ht="13">
      <c r="B7364" s="12">
        <f ca="1">IFERROR(__xludf.DUMMYFUNCTION("""COMPUTED_VALUE"""),138520)</f>
        <v>138520</v>
      </c>
      <c r="C7364" s="14">
        <f ca="1">IFERROR(__xludf.DUMMYFUNCTION("""COMPUTED_VALUE"""),0)</f>
        <v>0</v>
      </c>
      <c r="D7364" s="12" t="str">
        <f ca="1">IFERROR(__xludf.DUMMYFUNCTION("""COMPUTED_VALUE"""),"川島 幹也")</f>
        <v>川島 幹也</v>
      </c>
    </row>
    <row r="7365" spans="2:4" ht="13">
      <c r="B7365" s="12">
        <f ca="1">IFERROR(__xludf.DUMMYFUNCTION("""COMPUTED_VALUE"""),138523)</f>
        <v>138523</v>
      </c>
      <c r="C7365" s="14">
        <f ca="1">IFERROR(__xludf.DUMMYFUNCTION("""COMPUTED_VALUE"""),104)</f>
        <v>104</v>
      </c>
      <c r="D7365" s="12" t="str">
        <f ca="1">IFERROR(__xludf.DUMMYFUNCTION("""COMPUTED_VALUE"""),"内丸 裕子")</f>
        <v>内丸 裕子</v>
      </c>
    </row>
    <row r="7366" spans="2:4" ht="13">
      <c r="B7366" s="12">
        <f ca="1">IFERROR(__xludf.DUMMYFUNCTION("""COMPUTED_VALUE"""),138530)</f>
        <v>138530</v>
      </c>
      <c r="C7366" s="14">
        <f ca="1">IFERROR(__xludf.DUMMYFUNCTION("""COMPUTED_VALUE"""),0)</f>
        <v>0</v>
      </c>
      <c r="D7366" s="12" t="str">
        <f ca="1">IFERROR(__xludf.DUMMYFUNCTION("""COMPUTED_VALUE"""),"芳賀 亮輔")</f>
        <v>芳賀 亮輔</v>
      </c>
    </row>
    <row r="7367" spans="2:4" ht="13">
      <c r="B7367" s="12">
        <f ca="1">IFERROR(__xludf.DUMMYFUNCTION("""COMPUTED_VALUE"""),138531)</f>
        <v>138531</v>
      </c>
      <c r="C7367" s="14">
        <f ca="1">IFERROR(__xludf.DUMMYFUNCTION("""COMPUTED_VALUE"""),6)</f>
        <v>6</v>
      </c>
      <c r="D7367" s="12" t="str">
        <f ca="1">IFERROR(__xludf.DUMMYFUNCTION("""COMPUTED_VALUE"""),"田嶋 将太")</f>
        <v>田嶋 将太</v>
      </c>
    </row>
    <row r="7368" spans="2:4" ht="13">
      <c r="B7368" s="12">
        <f ca="1">IFERROR(__xludf.DUMMYFUNCTION("""COMPUTED_VALUE"""),138533)</f>
        <v>138533</v>
      </c>
      <c r="C7368" s="14">
        <f ca="1">IFERROR(__xludf.DUMMYFUNCTION("""COMPUTED_VALUE"""),1)</f>
        <v>1</v>
      </c>
      <c r="D7368" s="12" t="str">
        <f ca="1">IFERROR(__xludf.DUMMYFUNCTION("""COMPUTED_VALUE"""),"村上 浩一朗")</f>
        <v>村上 浩一朗</v>
      </c>
    </row>
    <row r="7369" spans="2:4" ht="13">
      <c r="B7369" s="12">
        <f ca="1">IFERROR(__xludf.DUMMYFUNCTION("""COMPUTED_VALUE"""),138535)</f>
        <v>138535</v>
      </c>
      <c r="C7369" s="14">
        <f ca="1">IFERROR(__xludf.DUMMYFUNCTION("""COMPUTED_VALUE"""),9)</f>
        <v>9</v>
      </c>
      <c r="D7369" s="12" t="str">
        <f ca="1">IFERROR(__xludf.DUMMYFUNCTION("""COMPUTED_VALUE"""),"長谷川 陸朗")</f>
        <v>長谷川 陸朗</v>
      </c>
    </row>
    <row r="7370" spans="2:4" ht="13">
      <c r="B7370" s="12">
        <f ca="1">IFERROR(__xludf.DUMMYFUNCTION("""COMPUTED_VALUE"""),138548)</f>
        <v>138548</v>
      </c>
      <c r="C7370" s="14">
        <f ca="1">IFERROR(__xludf.DUMMYFUNCTION("""COMPUTED_VALUE"""),1)</f>
        <v>1</v>
      </c>
      <c r="D7370" s="12" t="str">
        <f ca="1">IFERROR(__xludf.DUMMYFUNCTION("""COMPUTED_VALUE"""),"川島 幹也")</f>
        <v>川島 幹也</v>
      </c>
    </row>
    <row r="7371" spans="2:4" ht="13">
      <c r="B7371" s="12">
        <f ca="1">IFERROR(__xludf.DUMMYFUNCTION("""COMPUTED_VALUE"""),138549)</f>
        <v>138549</v>
      </c>
      <c r="C7371" s="14">
        <f ca="1">IFERROR(__xludf.DUMMYFUNCTION("""COMPUTED_VALUE"""),0)</f>
        <v>0</v>
      </c>
      <c r="D7371" s="12" t="str">
        <f ca="1">IFERROR(__xludf.DUMMYFUNCTION("""COMPUTED_VALUE"""),"川島 幹也")</f>
        <v>川島 幹也</v>
      </c>
    </row>
    <row r="7372" spans="2:4" ht="13">
      <c r="B7372" s="12">
        <f ca="1">IFERROR(__xludf.DUMMYFUNCTION("""COMPUTED_VALUE"""),138552)</f>
        <v>138552</v>
      </c>
      <c r="C7372" s="14">
        <f ca="1">IFERROR(__xludf.DUMMYFUNCTION("""COMPUTED_VALUE"""),14)</f>
        <v>14</v>
      </c>
      <c r="D7372" s="12" t="str">
        <f ca="1">IFERROR(__xludf.DUMMYFUNCTION("""COMPUTED_VALUE"""),"稲場 勇介")</f>
        <v>稲場 勇介</v>
      </c>
    </row>
    <row r="7373" spans="2:4" ht="13">
      <c r="B7373" s="12">
        <f ca="1">IFERROR(__xludf.DUMMYFUNCTION("""COMPUTED_VALUE"""),138565)</f>
        <v>138565</v>
      </c>
      <c r="C7373" s="14">
        <f ca="1">IFERROR(__xludf.DUMMYFUNCTION("""COMPUTED_VALUE"""),3)</f>
        <v>3</v>
      </c>
      <c r="D7373" s="12" t="str">
        <f ca="1">IFERROR(__xludf.DUMMYFUNCTION("""COMPUTED_VALUE"""),"長谷川 陸朗")</f>
        <v>長谷川 陸朗</v>
      </c>
    </row>
    <row r="7374" spans="2:4" ht="13">
      <c r="B7374" s="12">
        <f ca="1">IFERROR(__xludf.DUMMYFUNCTION("""COMPUTED_VALUE"""),138566)</f>
        <v>138566</v>
      </c>
      <c r="C7374" s="14">
        <f ca="1">IFERROR(__xludf.DUMMYFUNCTION("""COMPUTED_VALUE"""),3)</f>
        <v>3</v>
      </c>
      <c r="D7374" s="12" t="str">
        <f ca="1">IFERROR(__xludf.DUMMYFUNCTION("""COMPUTED_VALUE"""),"川島 幹也")</f>
        <v>川島 幹也</v>
      </c>
    </row>
    <row r="7375" spans="2:4" ht="13">
      <c r="B7375" s="12">
        <f ca="1">IFERROR(__xludf.DUMMYFUNCTION("""COMPUTED_VALUE"""),138567)</f>
        <v>138567</v>
      </c>
      <c r="C7375" s="14">
        <f ca="1">IFERROR(__xludf.DUMMYFUNCTION("""COMPUTED_VALUE"""),15)</f>
        <v>15</v>
      </c>
      <c r="D7375" s="12" t="str">
        <f ca="1">IFERROR(__xludf.DUMMYFUNCTION("""COMPUTED_VALUE"""),"堀越 駿")</f>
        <v>堀越 駿</v>
      </c>
    </row>
    <row r="7376" spans="2:4" ht="13">
      <c r="B7376" s="12">
        <f ca="1">IFERROR(__xludf.DUMMYFUNCTION("""COMPUTED_VALUE"""),138569)</f>
        <v>138569</v>
      </c>
      <c r="C7376" s="14">
        <f ca="1">IFERROR(__xludf.DUMMYFUNCTION("""COMPUTED_VALUE"""),0)</f>
        <v>0</v>
      </c>
      <c r="D7376" s="12" t="str">
        <f ca="1">IFERROR(__xludf.DUMMYFUNCTION("""COMPUTED_VALUE"""),"松尾 尚樹")</f>
        <v>松尾 尚樹</v>
      </c>
    </row>
    <row r="7377" spans="2:4" ht="13">
      <c r="B7377" s="12">
        <f ca="1">IFERROR(__xludf.DUMMYFUNCTION("""COMPUTED_VALUE"""),138573)</f>
        <v>138573</v>
      </c>
      <c r="C7377" s="14">
        <f ca="1">IFERROR(__xludf.DUMMYFUNCTION("""COMPUTED_VALUE"""),8)</f>
        <v>8</v>
      </c>
      <c r="D7377" s="12" t="str">
        <f ca="1">IFERROR(__xludf.DUMMYFUNCTION("""COMPUTED_VALUE"""),"栗原 大武")</f>
        <v>栗原 大武</v>
      </c>
    </row>
    <row r="7378" spans="2:4" ht="13">
      <c r="B7378" s="12">
        <f ca="1">IFERROR(__xludf.DUMMYFUNCTION("""COMPUTED_VALUE"""),138574)</f>
        <v>138574</v>
      </c>
      <c r="C7378" s="14">
        <f ca="1">IFERROR(__xludf.DUMMYFUNCTION("""COMPUTED_VALUE"""),2)</f>
        <v>2</v>
      </c>
      <c r="D7378" s="12" t="str">
        <f ca="1">IFERROR(__xludf.DUMMYFUNCTION("""COMPUTED_VALUE"""),"荻曽 克輝")</f>
        <v>荻曽 克輝</v>
      </c>
    </row>
    <row r="7379" spans="2:4" ht="13">
      <c r="B7379" s="12">
        <f ca="1">IFERROR(__xludf.DUMMYFUNCTION("""COMPUTED_VALUE"""),138577)</f>
        <v>138577</v>
      </c>
      <c r="C7379" s="14">
        <f ca="1">IFERROR(__xludf.DUMMYFUNCTION("""COMPUTED_VALUE"""),0)</f>
        <v>0</v>
      </c>
      <c r="D7379" s="12" t="str">
        <f ca="1">IFERROR(__xludf.DUMMYFUNCTION("""COMPUTED_VALUE"""),"川島 幹也")</f>
        <v>川島 幹也</v>
      </c>
    </row>
    <row r="7380" spans="2:4" ht="13">
      <c r="B7380" s="12">
        <f ca="1">IFERROR(__xludf.DUMMYFUNCTION("""COMPUTED_VALUE"""),138578)</f>
        <v>138578</v>
      </c>
      <c r="C7380" s="14">
        <f ca="1">IFERROR(__xludf.DUMMYFUNCTION("""COMPUTED_VALUE"""),0)</f>
        <v>0</v>
      </c>
      <c r="D7380" s="12" t="str">
        <f ca="1">IFERROR(__xludf.DUMMYFUNCTION("""COMPUTED_VALUE"""),"菅野 ぎんが")</f>
        <v>菅野 ぎんが</v>
      </c>
    </row>
    <row r="7381" spans="2:4" ht="13">
      <c r="B7381" s="12">
        <f ca="1">IFERROR(__xludf.DUMMYFUNCTION("""COMPUTED_VALUE"""),138582)</f>
        <v>138582</v>
      </c>
      <c r="C7381" s="14">
        <f ca="1">IFERROR(__xludf.DUMMYFUNCTION("""COMPUTED_VALUE"""),12)</f>
        <v>12</v>
      </c>
      <c r="D7381" s="12" t="str">
        <f ca="1">IFERROR(__xludf.DUMMYFUNCTION("""COMPUTED_VALUE"""),"荻曽 克輝")</f>
        <v>荻曽 克輝</v>
      </c>
    </row>
    <row r="7382" spans="2:4" ht="13">
      <c r="B7382" s="12">
        <f ca="1">IFERROR(__xludf.DUMMYFUNCTION("""COMPUTED_VALUE"""),138597)</f>
        <v>138597</v>
      </c>
      <c r="C7382" s="14">
        <f ca="1">IFERROR(__xludf.DUMMYFUNCTION("""COMPUTED_VALUE"""),0)</f>
        <v>0</v>
      </c>
      <c r="D7382" s="12" t="str">
        <f ca="1">IFERROR(__xludf.DUMMYFUNCTION("""COMPUTED_VALUE"""),"桐山 勝気")</f>
        <v>桐山 勝気</v>
      </c>
    </row>
    <row r="7383" spans="2:4" ht="13">
      <c r="B7383" s="12">
        <f ca="1">IFERROR(__xludf.DUMMYFUNCTION("""COMPUTED_VALUE"""),138601)</f>
        <v>138601</v>
      </c>
      <c r="C7383" s="14">
        <f ca="1">IFERROR(__xludf.DUMMYFUNCTION("""COMPUTED_VALUE"""),0)</f>
        <v>0</v>
      </c>
      <c r="D7383" s="12" t="str">
        <f ca="1">IFERROR(__xludf.DUMMYFUNCTION("""COMPUTED_VALUE"""),"桑原 明子")</f>
        <v>桑原 明子</v>
      </c>
    </row>
    <row r="7384" spans="2:4" ht="13">
      <c r="B7384" s="12">
        <f ca="1">IFERROR(__xludf.DUMMYFUNCTION("""COMPUTED_VALUE"""),138602)</f>
        <v>138602</v>
      </c>
      <c r="C7384" s="14">
        <f ca="1">IFERROR(__xludf.DUMMYFUNCTION("""COMPUTED_VALUE"""),0)</f>
        <v>0</v>
      </c>
      <c r="D7384" s="12" t="str">
        <f ca="1">IFERROR(__xludf.DUMMYFUNCTION("""COMPUTED_VALUE"""),"芳賀 亮輔")</f>
        <v>芳賀 亮輔</v>
      </c>
    </row>
    <row r="7385" spans="2:4" ht="13">
      <c r="B7385" s="12">
        <f ca="1">IFERROR(__xludf.DUMMYFUNCTION("""COMPUTED_VALUE"""),138603)</f>
        <v>138603</v>
      </c>
      <c r="C7385" s="14">
        <f ca="1">IFERROR(__xludf.DUMMYFUNCTION("""COMPUTED_VALUE"""),0)</f>
        <v>0</v>
      </c>
      <c r="D7385" s="12" t="str">
        <f ca="1">IFERROR(__xludf.DUMMYFUNCTION("""COMPUTED_VALUE"""),"川島 幹也")</f>
        <v>川島 幹也</v>
      </c>
    </row>
    <row r="7386" spans="2:4" ht="13">
      <c r="B7386" s="12">
        <f ca="1">IFERROR(__xludf.DUMMYFUNCTION("""COMPUTED_VALUE"""),138604)</f>
        <v>138604</v>
      </c>
      <c r="C7386" s="14">
        <f ca="1">IFERROR(__xludf.DUMMYFUNCTION("""COMPUTED_VALUE"""),38)</f>
        <v>38</v>
      </c>
      <c r="D7386" s="12" t="str">
        <f ca="1">IFERROR(__xludf.DUMMYFUNCTION("""COMPUTED_VALUE"""),"小川 純")</f>
        <v>小川 純</v>
      </c>
    </row>
    <row r="7387" spans="2:4" ht="13">
      <c r="B7387" s="12">
        <f ca="1">IFERROR(__xludf.DUMMYFUNCTION("""COMPUTED_VALUE"""),138605)</f>
        <v>138605</v>
      </c>
      <c r="C7387" s="14">
        <f ca="1">IFERROR(__xludf.DUMMYFUNCTION("""COMPUTED_VALUE"""),0)</f>
        <v>0</v>
      </c>
      <c r="D7387" s="12" t="str">
        <f ca="1">IFERROR(__xludf.DUMMYFUNCTION("""COMPUTED_VALUE"""),"栗原 大武")</f>
        <v>栗原 大武</v>
      </c>
    </row>
    <row r="7388" spans="2:4" ht="13">
      <c r="B7388" s="12">
        <f ca="1">IFERROR(__xludf.DUMMYFUNCTION("""COMPUTED_VALUE"""),138608)</f>
        <v>138608</v>
      </c>
      <c r="C7388" s="14">
        <f ca="1">IFERROR(__xludf.DUMMYFUNCTION("""COMPUTED_VALUE"""),33)</f>
        <v>33</v>
      </c>
      <c r="D7388" s="12" t="str">
        <f ca="1">IFERROR(__xludf.DUMMYFUNCTION("""COMPUTED_VALUE"""),"小関 麻起")</f>
        <v>小関 麻起</v>
      </c>
    </row>
    <row r="7389" spans="2:4" ht="13">
      <c r="B7389" s="12">
        <f ca="1">IFERROR(__xludf.DUMMYFUNCTION("""COMPUTED_VALUE"""),138609)</f>
        <v>138609</v>
      </c>
      <c r="C7389" s="14">
        <f ca="1">IFERROR(__xludf.DUMMYFUNCTION("""COMPUTED_VALUE"""),0)</f>
        <v>0</v>
      </c>
      <c r="D7389" s="12" t="str">
        <f ca="1">IFERROR(__xludf.DUMMYFUNCTION("""COMPUTED_VALUE"""),"堀越 駿")</f>
        <v>堀越 駿</v>
      </c>
    </row>
    <row r="7390" spans="2:4" ht="13">
      <c r="B7390" s="12">
        <f ca="1">IFERROR(__xludf.DUMMYFUNCTION("""COMPUTED_VALUE"""),138611)</f>
        <v>138611</v>
      </c>
      <c r="C7390" s="14">
        <f ca="1">IFERROR(__xludf.DUMMYFUNCTION("""COMPUTED_VALUE"""),22)</f>
        <v>22</v>
      </c>
      <c r="D7390" s="12" t="str">
        <f ca="1">IFERROR(__xludf.DUMMYFUNCTION("""COMPUTED_VALUE"""),"小関 麻起")</f>
        <v>小関 麻起</v>
      </c>
    </row>
    <row r="7391" spans="2:4" ht="13">
      <c r="B7391" s="12">
        <f ca="1">IFERROR(__xludf.DUMMYFUNCTION("""COMPUTED_VALUE"""),138613)</f>
        <v>138613</v>
      </c>
      <c r="C7391" s="14">
        <f ca="1">IFERROR(__xludf.DUMMYFUNCTION("""COMPUTED_VALUE"""),16)</f>
        <v>16</v>
      </c>
      <c r="D7391" s="12" t="str">
        <f ca="1">IFERROR(__xludf.DUMMYFUNCTION("""COMPUTED_VALUE"""),"芳賀 亮輔")</f>
        <v>芳賀 亮輔</v>
      </c>
    </row>
    <row r="7392" spans="2:4" ht="13">
      <c r="B7392" s="12">
        <f ca="1">IFERROR(__xludf.DUMMYFUNCTION("""COMPUTED_VALUE"""),138614)</f>
        <v>138614</v>
      </c>
      <c r="C7392" s="14">
        <f ca="1">IFERROR(__xludf.DUMMYFUNCTION("""COMPUTED_VALUE"""),36)</f>
        <v>36</v>
      </c>
      <c r="D7392" s="12" t="str">
        <f ca="1">IFERROR(__xludf.DUMMYFUNCTION("""COMPUTED_VALUE"""),"荻曽 克輝")</f>
        <v>荻曽 克輝</v>
      </c>
    </row>
    <row r="7393" spans="2:4" ht="13">
      <c r="B7393" s="12">
        <f ca="1">IFERROR(__xludf.DUMMYFUNCTION("""COMPUTED_VALUE"""),138615)</f>
        <v>138615</v>
      </c>
      <c r="C7393" s="14">
        <f ca="1">IFERROR(__xludf.DUMMYFUNCTION("""COMPUTED_VALUE"""),0)</f>
        <v>0</v>
      </c>
      <c r="D7393" s="12" t="str">
        <f ca="1">IFERROR(__xludf.DUMMYFUNCTION("""COMPUTED_VALUE"""),"成嶋 夏未")</f>
        <v>成嶋 夏未</v>
      </c>
    </row>
    <row r="7394" spans="2:4" ht="13">
      <c r="B7394" s="12">
        <f ca="1">IFERROR(__xludf.DUMMYFUNCTION("""COMPUTED_VALUE"""),138630)</f>
        <v>138630</v>
      </c>
      <c r="C7394" s="14">
        <f ca="1">IFERROR(__xludf.DUMMYFUNCTION("""COMPUTED_VALUE"""),1)</f>
        <v>1</v>
      </c>
      <c r="D7394" s="12" t="str">
        <f ca="1">IFERROR(__xludf.DUMMYFUNCTION("""COMPUTED_VALUE"""),"奥野 貴大")</f>
        <v>奥野 貴大</v>
      </c>
    </row>
    <row r="7395" spans="2:4" ht="13">
      <c r="B7395" s="12">
        <f ca="1">IFERROR(__xludf.DUMMYFUNCTION("""COMPUTED_VALUE"""),138638)</f>
        <v>138638</v>
      </c>
      <c r="C7395" s="14">
        <f ca="1">IFERROR(__xludf.DUMMYFUNCTION("""COMPUTED_VALUE"""),0)</f>
        <v>0</v>
      </c>
      <c r="D7395" s="12" t="str">
        <f ca="1">IFERROR(__xludf.DUMMYFUNCTION("""COMPUTED_VALUE"""),"栗原 大武")</f>
        <v>栗原 大武</v>
      </c>
    </row>
    <row r="7396" spans="2:4" ht="13">
      <c r="B7396" s="12">
        <f ca="1">IFERROR(__xludf.DUMMYFUNCTION("""COMPUTED_VALUE"""),138639)</f>
        <v>138639</v>
      </c>
      <c r="C7396" s="14">
        <f ca="1">IFERROR(__xludf.DUMMYFUNCTION("""COMPUTED_VALUE"""),0)</f>
        <v>0</v>
      </c>
      <c r="D7396" s="12" t="str">
        <f ca="1">IFERROR(__xludf.DUMMYFUNCTION("""COMPUTED_VALUE"""),"桑原 明子")</f>
        <v>桑原 明子</v>
      </c>
    </row>
    <row r="7397" spans="2:4" ht="13">
      <c r="B7397" s="12">
        <f ca="1">IFERROR(__xludf.DUMMYFUNCTION("""COMPUTED_VALUE"""),138641)</f>
        <v>138641</v>
      </c>
      <c r="C7397" s="14">
        <f ca="1">IFERROR(__xludf.DUMMYFUNCTION("""COMPUTED_VALUE"""),10)</f>
        <v>10</v>
      </c>
      <c r="D7397" s="12" t="str">
        <f ca="1">IFERROR(__xludf.DUMMYFUNCTION("""COMPUTED_VALUE"""),"老田 純輝")</f>
        <v>老田 純輝</v>
      </c>
    </row>
    <row r="7398" spans="2:4" ht="13">
      <c r="B7398" s="12">
        <f ca="1">IFERROR(__xludf.DUMMYFUNCTION("""COMPUTED_VALUE"""),138642)</f>
        <v>138642</v>
      </c>
      <c r="C7398" s="14">
        <f ca="1">IFERROR(__xludf.DUMMYFUNCTION("""COMPUTED_VALUE"""),0)</f>
        <v>0</v>
      </c>
      <c r="D7398" s="12" t="str">
        <f ca="1">IFERROR(__xludf.DUMMYFUNCTION("""COMPUTED_VALUE"""),"老田 純輝")</f>
        <v>老田 純輝</v>
      </c>
    </row>
    <row r="7399" spans="2:4" ht="13">
      <c r="B7399" s="12">
        <f ca="1">IFERROR(__xludf.DUMMYFUNCTION("""COMPUTED_VALUE"""),138644)</f>
        <v>138644</v>
      </c>
      <c r="C7399" s="14">
        <f ca="1">IFERROR(__xludf.DUMMYFUNCTION("""COMPUTED_VALUE"""),9)</f>
        <v>9</v>
      </c>
      <c r="D7399" s="12" t="str">
        <f ca="1">IFERROR(__xludf.DUMMYFUNCTION("""COMPUTED_VALUE"""),"桑原 明子")</f>
        <v>桑原 明子</v>
      </c>
    </row>
    <row r="7400" spans="2:4" ht="13">
      <c r="B7400" s="12">
        <f ca="1">IFERROR(__xludf.DUMMYFUNCTION("""COMPUTED_VALUE"""),138648)</f>
        <v>138648</v>
      </c>
      <c r="C7400" s="14">
        <f ca="1">IFERROR(__xludf.DUMMYFUNCTION("""COMPUTED_VALUE"""),19)</f>
        <v>19</v>
      </c>
      <c r="D7400" s="12" t="str">
        <f ca="1">IFERROR(__xludf.DUMMYFUNCTION("""COMPUTED_VALUE"""),"菅野 ぎんが")</f>
        <v>菅野 ぎんが</v>
      </c>
    </row>
    <row r="7401" spans="2:4" ht="13">
      <c r="B7401" s="12">
        <f ca="1">IFERROR(__xludf.DUMMYFUNCTION("""COMPUTED_VALUE"""),138653)</f>
        <v>138653</v>
      </c>
      <c r="C7401" s="14">
        <f ca="1">IFERROR(__xludf.DUMMYFUNCTION("""COMPUTED_VALUE"""),3)</f>
        <v>3</v>
      </c>
      <c r="D7401" s="12" t="str">
        <f ca="1">IFERROR(__xludf.DUMMYFUNCTION("""COMPUTED_VALUE"""),"桑原 明子")</f>
        <v>桑原 明子</v>
      </c>
    </row>
    <row r="7402" spans="2:4" ht="13">
      <c r="B7402" s="12">
        <f ca="1">IFERROR(__xludf.DUMMYFUNCTION("""COMPUTED_VALUE"""),138658)</f>
        <v>138658</v>
      </c>
      <c r="C7402" s="14">
        <f ca="1">IFERROR(__xludf.DUMMYFUNCTION("""COMPUTED_VALUE"""),43)</f>
        <v>43</v>
      </c>
      <c r="D7402" s="12" t="str">
        <f ca="1">IFERROR(__xludf.DUMMYFUNCTION("""COMPUTED_VALUE"""),"内丸 裕子")</f>
        <v>内丸 裕子</v>
      </c>
    </row>
    <row r="7403" spans="2:4" ht="13">
      <c r="B7403" s="12">
        <f ca="1">IFERROR(__xludf.DUMMYFUNCTION("""COMPUTED_VALUE"""),138662)</f>
        <v>138662</v>
      </c>
      <c r="C7403" s="14">
        <f ca="1">IFERROR(__xludf.DUMMYFUNCTION("""COMPUTED_VALUE"""),0)</f>
        <v>0</v>
      </c>
      <c r="D7403" s="12" t="str">
        <f ca="1">IFERROR(__xludf.DUMMYFUNCTION("""COMPUTED_VALUE"""),"辻村 将大")</f>
        <v>辻村 将大</v>
      </c>
    </row>
    <row r="7404" spans="2:4" ht="13">
      <c r="B7404" s="12">
        <f ca="1">IFERROR(__xludf.DUMMYFUNCTION("""COMPUTED_VALUE"""),138663)</f>
        <v>138663</v>
      </c>
      <c r="C7404" s="14">
        <f ca="1">IFERROR(__xludf.DUMMYFUNCTION("""COMPUTED_VALUE"""),3)</f>
        <v>3</v>
      </c>
      <c r="D7404" s="12" t="str">
        <f ca="1">IFERROR(__xludf.DUMMYFUNCTION("""COMPUTED_VALUE"""),"内丸 裕子")</f>
        <v>内丸 裕子</v>
      </c>
    </row>
    <row r="7405" spans="2:4" ht="13">
      <c r="B7405" s="12">
        <f ca="1">IFERROR(__xludf.DUMMYFUNCTION("""COMPUTED_VALUE"""),138671)</f>
        <v>138671</v>
      </c>
      <c r="C7405" s="14">
        <f ca="1">IFERROR(__xludf.DUMMYFUNCTION("""COMPUTED_VALUE"""),0)</f>
        <v>0</v>
      </c>
      <c r="D7405" s="12" t="str">
        <f ca="1">IFERROR(__xludf.DUMMYFUNCTION("""COMPUTED_VALUE"""),"桑原 明子")</f>
        <v>桑原 明子</v>
      </c>
    </row>
    <row r="7406" spans="2:4" ht="13">
      <c r="B7406" s="12">
        <f ca="1">IFERROR(__xludf.DUMMYFUNCTION("""COMPUTED_VALUE"""),138672)</f>
        <v>138672</v>
      </c>
      <c r="C7406" s="14">
        <f ca="1">IFERROR(__xludf.DUMMYFUNCTION("""COMPUTED_VALUE"""),11)</f>
        <v>11</v>
      </c>
      <c r="D7406" s="12" t="str">
        <f ca="1">IFERROR(__xludf.DUMMYFUNCTION("""COMPUTED_VALUE"""),"川島 幹也")</f>
        <v>川島 幹也</v>
      </c>
    </row>
    <row r="7407" spans="2:4" ht="13">
      <c r="B7407" s="12">
        <f ca="1">IFERROR(__xludf.DUMMYFUNCTION("""COMPUTED_VALUE"""),138673)</f>
        <v>138673</v>
      </c>
      <c r="C7407" s="14">
        <f ca="1">IFERROR(__xludf.DUMMYFUNCTION("""COMPUTED_VALUE"""),35)</f>
        <v>35</v>
      </c>
      <c r="D7407" s="12" t="str">
        <f ca="1">IFERROR(__xludf.DUMMYFUNCTION("""COMPUTED_VALUE"""),"森 光智")</f>
        <v>森 光智</v>
      </c>
    </row>
    <row r="7408" spans="2:4" ht="13">
      <c r="B7408" s="12">
        <f ca="1">IFERROR(__xludf.DUMMYFUNCTION("""COMPUTED_VALUE"""),138678)</f>
        <v>138678</v>
      </c>
      <c r="C7408" s="14">
        <f ca="1">IFERROR(__xludf.DUMMYFUNCTION("""COMPUTED_VALUE"""),0)</f>
        <v>0</v>
      </c>
      <c r="D7408" s="12" t="str">
        <f ca="1">IFERROR(__xludf.DUMMYFUNCTION("""COMPUTED_VALUE"""),"長谷川 陸朗")</f>
        <v>長谷川 陸朗</v>
      </c>
    </row>
    <row r="7409" spans="2:4" ht="13">
      <c r="B7409" s="12">
        <f ca="1">IFERROR(__xludf.DUMMYFUNCTION("""COMPUTED_VALUE"""),138684)</f>
        <v>138684</v>
      </c>
      <c r="C7409" s="14">
        <f ca="1">IFERROR(__xludf.DUMMYFUNCTION("""COMPUTED_VALUE"""),0)</f>
        <v>0</v>
      </c>
      <c r="D7409" s="12" t="str">
        <f ca="1">IFERROR(__xludf.DUMMYFUNCTION("""COMPUTED_VALUE"""),"老田 純輝")</f>
        <v>老田 純輝</v>
      </c>
    </row>
    <row r="7410" spans="2:4" ht="13">
      <c r="B7410" s="12">
        <f ca="1">IFERROR(__xludf.DUMMYFUNCTION("""COMPUTED_VALUE"""),138686)</f>
        <v>138686</v>
      </c>
      <c r="C7410" s="14">
        <f ca="1">IFERROR(__xludf.DUMMYFUNCTION("""COMPUTED_VALUE"""),11)</f>
        <v>11</v>
      </c>
      <c r="D7410" s="12" t="str">
        <f ca="1">IFERROR(__xludf.DUMMYFUNCTION("""COMPUTED_VALUE"""),"小川 純")</f>
        <v>小川 純</v>
      </c>
    </row>
    <row r="7411" spans="2:4" ht="13">
      <c r="B7411" s="12">
        <f ca="1">IFERROR(__xludf.DUMMYFUNCTION("""COMPUTED_VALUE"""),138690)</f>
        <v>138690</v>
      </c>
      <c r="C7411" s="14">
        <f ca="1">IFERROR(__xludf.DUMMYFUNCTION("""COMPUTED_VALUE"""),0)</f>
        <v>0</v>
      </c>
      <c r="D7411" s="12" t="str">
        <f ca="1">IFERROR(__xludf.DUMMYFUNCTION("""COMPUTED_VALUE"""),"菅野 ぎんが")</f>
        <v>菅野 ぎんが</v>
      </c>
    </row>
    <row r="7412" spans="2:4" ht="13">
      <c r="B7412" s="12">
        <f ca="1">IFERROR(__xludf.DUMMYFUNCTION("""COMPUTED_VALUE"""),138691)</f>
        <v>138691</v>
      </c>
      <c r="C7412" s="14">
        <f ca="1">IFERROR(__xludf.DUMMYFUNCTION("""COMPUTED_VALUE"""),85)</f>
        <v>85</v>
      </c>
      <c r="D7412" s="12" t="str">
        <f ca="1">IFERROR(__xludf.DUMMYFUNCTION("""COMPUTED_VALUE"""),"荻曽 克輝")</f>
        <v>荻曽 克輝</v>
      </c>
    </row>
    <row r="7413" spans="2:4" ht="13">
      <c r="B7413" s="12">
        <f ca="1">IFERROR(__xludf.DUMMYFUNCTION("""COMPUTED_VALUE"""),138692)</f>
        <v>138692</v>
      </c>
      <c r="C7413" s="14">
        <f ca="1">IFERROR(__xludf.DUMMYFUNCTION("""COMPUTED_VALUE"""),110)</f>
        <v>110</v>
      </c>
      <c r="D7413" s="12" t="str">
        <f ca="1">IFERROR(__xludf.DUMMYFUNCTION("""COMPUTED_VALUE"""),"栗原 大武")</f>
        <v>栗原 大武</v>
      </c>
    </row>
    <row r="7414" spans="2:4" ht="13">
      <c r="B7414" s="12">
        <f ca="1">IFERROR(__xludf.DUMMYFUNCTION("""COMPUTED_VALUE"""),138693)</f>
        <v>138693</v>
      </c>
      <c r="C7414" s="14">
        <f ca="1">IFERROR(__xludf.DUMMYFUNCTION("""COMPUTED_VALUE"""),0)</f>
        <v>0</v>
      </c>
      <c r="D7414" s="12" t="str">
        <f ca="1">IFERROR(__xludf.DUMMYFUNCTION("""COMPUTED_VALUE"""),"稲場 勇介")</f>
        <v>稲場 勇介</v>
      </c>
    </row>
    <row r="7415" spans="2:4" ht="13">
      <c r="B7415" s="12">
        <f ca="1">IFERROR(__xludf.DUMMYFUNCTION("""COMPUTED_VALUE"""),138703)</f>
        <v>138703</v>
      </c>
      <c r="C7415" s="14">
        <f ca="1">IFERROR(__xludf.DUMMYFUNCTION("""COMPUTED_VALUE"""),63)</f>
        <v>63</v>
      </c>
      <c r="D7415" s="12" t="str">
        <f ca="1">IFERROR(__xludf.DUMMYFUNCTION("""COMPUTED_VALUE"""),"成嶋 夏未")</f>
        <v>成嶋 夏未</v>
      </c>
    </row>
    <row r="7416" spans="2:4" ht="13">
      <c r="B7416" s="12">
        <f ca="1">IFERROR(__xludf.DUMMYFUNCTION("""COMPUTED_VALUE"""),138709)</f>
        <v>138709</v>
      </c>
      <c r="C7416" s="14">
        <f ca="1">IFERROR(__xludf.DUMMYFUNCTION("""COMPUTED_VALUE"""),0)</f>
        <v>0</v>
      </c>
      <c r="D7416" s="12" t="str">
        <f ca="1">IFERROR(__xludf.DUMMYFUNCTION("""COMPUTED_VALUE"""),"堀越 駿")</f>
        <v>堀越 駿</v>
      </c>
    </row>
    <row r="7417" spans="2:4" ht="13">
      <c r="B7417" s="12">
        <f ca="1">IFERROR(__xludf.DUMMYFUNCTION("""COMPUTED_VALUE"""),138712)</f>
        <v>138712</v>
      </c>
      <c r="C7417" s="14">
        <f ca="1">IFERROR(__xludf.DUMMYFUNCTION("""COMPUTED_VALUE"""),44)</f>
        <v>44</v>
      </c>
      <c r="D7417" s="12" t="str">
        <f ca="1">IFERROR(__xludf.DUMMYFUNCTION("""COMPUTED_VALUE"""),"柿崎 晃司")</f>
        <v>柿崎 晃司</v>
      </c>
    </row>
    <row r="7418" spans="2:4" ht="13">
      <c r="B7418" s="12">
        <f ca="1">IFERROR(__xludf.DUMMYFUNCTION("""COMPUTED_VALUE"""),138716)</f>
        <v>138716</v>
      </c>
      <c r="C7418" s="14">
        <f ca="1">IFERROR(__xludf.DUMMYFUNCTION("""COMPUTED_VALUE"""),42)</f>
        <v>42</v>
      </c>
      <c r="D7418" s="12" t="str">
        <f ca="1">IFERROR(__xludf.DUMMYFUNCTION("""COMPUTED_VALUE"""),"長谷川 陸朗")</f>
        <v>長谷川 陸朗</v>
      </c>
    </row>
    <row r="7419" spans="2:4" ht="13">
      <c r="B7419" s="12">
        <f ca="1">IFERROR(__xludf.DUMMYFUNCTION("""COMPUTED_VALUE"""),138720)</f>
        <v>138720</v>
      </c>
      <c r="C7419" s="14">
        <f ca="1">IFERROR(__xludf.DUMMYFUNCTION("""COMPUTED_VALUE"""),17)</f>
        <v>17</v>
      </c>
      <c r="D7419" s="12" t="str">
        <f ca="1">IFERROR(__xludf.DUMMYFUNCTION("""COMPUTED_VALUE"""),"川島 幹也")</f>
        <v>川島 幹也</v>
      </c>
    </row>
    <row r="7420" spans="2:4" ht="13">
      <c r="B7420" s="12">
        <f ca="1">IFERROR(__xludf.DUMMYFUNCTION("""COMPUTED_VALUE"""),138727)</f>
        <v>138727</v>
      </c>
      <c r="C7420" s="14">
        <f ca="1">IFERROR(__xludf.DUMMYFUNCTION("""COMPUTED_VALUE"""),7)</f>
        <v>7</v>
      </c>
      <c r="D7420" s="12" t="str">
        <f ca="1">IFERROR(__xludf.DUMMYFUNCTION("""COMPUTED_VALUE"""),"桐山 勝気")</f>
        <v>桐山 勝気</v>
      </c>
    </row>
    <row r="7421" spans="2:4" ht="13">
      <c r="B7421" s="12">
        <f ca="1">IFERROR(__xludf.DUMMYFUNCTION("""COMPUTED_VALUE"""),138728)</f>
        <v>138728</v>
      </c>
      <c r="C7421" s="14">
        <f ca="1">IFERROR(__xludf.DUMMYFUNCTION("""COMPUTED_VALUE"""),0)</f>
        <v>0</v>
      </c>
      <c r="D7421" s="12" t="str">
        <f ca="1">IFERROR(__xludf.DUMMYFUNCTION("""COMPUTED_VALUE"""),"荻曽 克輝")</f>
        <v>荻曽 克輝</v>
      </c>
    </row>
    <row r="7422" spans="2:4" ht="13">
      <c r="B7422" s="12">
        <f ca="1">IFERROR(__xludf.DUMMYFUNCTION("""COMPUTED_VALUE"""),138729)</f>
        <v>138729</v>
      </c>
      <c r="C7422" s="14">
        <f ca="1">IFERROR(__xludf.DUMMYFUNCTION("""COMPUTED_VALUE"""),2)</f>
        <v>2</v>
      </c>
      <c r="D7422" s="12" t="str">
        <f ca="1">IFERROR(__xludf.DUMMYFUNCTION("""COMPUTED_VALUE"""),"荻曽 克輝")</f>
        <v>荻曽 克輝</v>
      </c>
    </row>
    <row r="7423" spans="2:4" ht="13">
      <c r="B7423" s="12">
        <f ca="1">IFERROR(__xludf.DUMMYFUNCTION("""COMPUTED_VALUE"""),138730)</f>
        <v>138730</v>
      </c>
      <c r="C7423" s="14">
        <f ca="1">IFERROR(__xludf.DUMMYFUNCTION("""COMPUTED_VALUE"""),3)</f>
        <v>3</v>
      </c>
      <c r="D7423" s="12" t="str">
        <f ca="1">IFERROR(__xludf.DUMMYFUNCTION("""COMPUTED_VALUE"""),"田嶋 将太")</f>
        <v>田嶋 将太</v>
      </c>
    </row>
    <row r="7424" spans="2:4" ht="13">
      <c r="B7424" s="12">
        <f ca="1">IFERROR(__xludf.DUMMYFUNCTION("""COMPUTED_VALUE"""),138737)</f>
        <v>138737</v>
      </c>
      <c r="C7424" s="14">
        <f ca="1">IFERROR(__xludf.DUMMYFUNCTION("""COMPUTED_VALUE"""),25)</f>
        <v>25</v>
      </c>
      <c r="D7424" s="12" t="str">
        <f ca="1">IFERROR(__xludf.DUMMYFUNCTION("""COMPUTED_VALUE"""),"小川 純")</f>
        <v>小川 純</v>
      </c>
    </row>
    <row r="7425" spans="2:4" ht="13">
      <c r="B7425" s="12">
        <f ca="1">IFERROR(__xludf.DUMMYFUNCTION("""COMPUTED_VALUE"""),138742)</f>
        <v>138742</v>
      </c>
      <c r="C7425" s="14">
        <f ca="1">IFERROR(__xludf.DUMMYFUNCTION("""COMPUTED_VALUE"""),2)</f>
        <v>2</v>
      </c>
      <c r="D7425" s="12" t="str">
        <f ca="1">IFERROR(__xludf.DUMMYFUNCTION("""COMPUTED_VALUE"""),"菅野 ぎんが")</f>
        <v>菅野 ぎんが</v>
      </c>
    </row>
    <row r="7426" spans="2:4" ht="13">
      <c r="B7426" s="12">
        <f ca="1">IFERROR(__xludf.DUMMYFUNCTION("""COMPUTED_VALUE"""),138743)</f>
        <v>138743</v>
      </c>
      <c r="C7426" s="14">
        <f ca="1">IFERROR(__xludf.DUMMYFUNCTION("""COMPUTED_VALUE"""),0)</f>
        <v>0</v>
      </c>
      <c r="D7426" s="12" t="str">
        <f ca="1">IFERROR(__xludf.DUMMYFUNCTION("""COMPUTED_VALUE"""),"小関 麻起")</f>
        <v>小関 麻起</v>
      </c>
    </row>
    <row r="7427" spans="2:4" ht="13">
      <c r="B7427" s="12">
        <f ca="1">IFERROR(__xludf.DUMMYFUNCTION("""COMPUTED_VALUE"""),138744)</f>
        <v>138744</v>
      </c>
      <c r="C7427" s="14">
        <f ca="1">IFERROR(__xludf.DUMMYFUNCTION("""COMPUTED_VALUE"""),12)</f>
        <v>12</v>
      </c>
      <c r="D7427" s="12" t="str">
        <f ca="1">IFERROR(__xludf.DUMMYFUNCTION("""COMPUTED_VALUE"""),"松尾 尚樹")</f>
        <v>松尾 尚樹</v>
      </c>
    </row>
    <row r="7428" spans="2:4" ht="13">
      <c r="B7428" s="12">
        <f ca="1">IFERROR(__xludf.DUMMYFUNCTION("""COMPUTED_VALUE"""),138745)</f>
        <v>138745</v>
      </c>
      <c r="C7428" s="14">
        <f ca="1">IFERROR(__xludf.DUMMYFUNCTION("""COMPUTED_VALUE"""),0)</f>
        <v>0</v>
      </c>
      <c r="D7428" s="12" t="str">
        <f ca="1">IFERROR(__xludf.DUMMYFUNCTION("""COMPUTED_VALUE"""),"荻曽 克輝")</f>
        <v>荻曽 克輝</v>
      </c>
    </row>
    <row r="7429" spans="2:4" ht="13">
      <c r="B7429" s="12">
        <f ca="1">IFERROR(__xludf.DUMMYFUNCTION("""COMPUTED_VALUE"""),138750)</f>
        <v>138750</v>
      </c>
      <c r="C7429" s="14">
        <f ca="1">IFERROR(__xludf.DUMMYFUNCTION("""COMPUTED_VALUE"""),0)</f>
        <v>0</v>
      </c>
      <c r="D7429" s="12" t="str">
        <f ca="1">IFERROR(__xludf.DUMMYFUNCTION("""COMPUTED_VALUE"""),"村上 浩一朗")</f>
        <v>村上 浩一朗</v>
      </c>
    </row>
    <row r="7430" spans="2:4" ht="13">
      <c r="B7430" s="12">
        <f ca="1">IFERROR(__xludf.DUMMYFUNCTION("""COMPUTED_VALUE"""),138754)</f>
        <v>138754</v>
      </c>
      <c r="C7430" s="14">
        <f ca="1">IFERROR(__xludf.DUMMYFUNCTION("""COMPUTED_VALUE"""),0)</f>
        <v>0</v>
      </c>
      <c r="D7430" s="12" t="str">
        <f ca="1">IFERROR(__xludf.DUMMYFUNCTION("""COMPUTED_VALUE"""),"田嶋 将太")</f>
        <v>田嶋 将太</v>
      </c>
    </row>
    <row r="7431" spans="2:4" ht="13">
      <c r="B7431" s="12">
        <f ca="1">IFERROR(__xludf.DUMMYFUNCTION("""COMPUTED_VALUE"""),138759)</f>
        <v>138759</v>
      </c>
      <c r="C7431" s="14">
        <f ca="1">IFERROR(__xludf.DUMMYFUNCTION("""COMPUTED_VALUE"""),0)</f>
        <v>0</v>
      </c>
      <c r="D7431" s="12" t="str">
        <f ca="1">IFERROR(__xludf.DUMMYFUNCTION("""COMPUTED_VALUE"""),"小関 麻起")</f>
        <v>小関 麻起</v>
      </c>
    </row>
    <row r="7432" spans="2:4" ht="13">
      <c r="B7432" s="12">
        <f ca="1">IFERROR(__xludf.DUMMYFUNCTION("""COMPUTED_VALUE"""),138761)</f>
        <v>138761</v>
      </c>
      <c r="C7432" s="14">
        <f ca="1">IFERROR(__xludf.DUMMYFUNCTION("""COMPUTED_VALUE"""),1)</f>
        <v>1</v>
      </c>
      <c r="D7432" s="12" t="str">
        <f ca="1">IFERROR(__xludf.DUMMYFUNCTION("""COMPUTED_VALUE"""),"森 光智")</f>
        <v>森 光智</v>
      </c>
    </row>
    <row r="7433" spans="2:4" ht="13">
      <c r="B7433" s="12">
        <f ca="1">IFERROR(__xludf.DUMMYFUNCTION("""COMPUTED_VALUE"""),138764)</f>
        <v>138764</v>
      </c>
      <c r="C7433" s="14">
        <f ca="1">IFERROR(__xludf.DUMMYFUNCTION("""COMPUTED_VALUE"""),30)</f>
        <v>30</v>
      </c>
      <c r="D7433" s="12" t="str">
        <f ca="1">IFERROR(__xludf.DUMMYFUNCTION("""COMPUTED_VALUE"""),"菅野 ぎんが")</f>
        <v>菅野 ぎんが</v>
      </c>
    </row>
    <row r="7434" spans="2:4" ht="13">
      <c r="B7434" s="12">
        <f ca="1">IFERROR(__xludf.DUMMYFUNCTION("""COMPUTED_VALUE"""),138773)</f>
        <v>138773</v>
      </c>
      <c r="C7434" s="14">
        <f ca="1">IFERROR(__xludf.DUMMYFUNCTION("""COMPUTED_VALUE"""),25)</f>
        <v>25</v>
      </c>
      <c r="D7434" s="12" t="str">
        <f ca="1">IFERROR(__xludf.DUMMYFUNCTION("""COMPUTED_VALUE"""),"松尾 尚樹")</f>
        <v>松尾 尚樹</v>
      </c>
    </row>
    <row r="7435" spans="2:4" ht="13">
      <c r="B7435" s="12">
        <f ca="1">IFERROR(__xludf.DUMMYFUNCTION("""COMPUTED_VALUE"""),138777)</f>
        <v>138777</v>
      </c>
      <c r="C7435" s="14">
        <f ca="1">IFERROR(__xludf.DUMMYFUNCTION("""COMPUTED_VALUE"""),0)</f>
        <v>0</v>
      </c>
      <c r="D7435" s="12" t="str">
        <f ca="1">IFERROR(__xludf.DUMMYFUNCTION("""COMPUTED_VALUE"""),"小関 麻起")</f>
        <v>小関 麻起</v>
      </c>
    </row>
    <row r="7436" spans="2:4" ht="13">
      <c r="B7436" s="12">
        <f ca="1">IFERROR(__xludf.DUMMYFUNCTION("""COMPUTED_VALUE"""),138779)</f>
        <v>138779</v>
      </c>
      <c r="C7436" s="14">
        <f ca="1">IFERROR(__xludf.DUMMYFUNCTION("""COMPUTED_VALUE"""),40)</f>
        <v>40</v>
      </c>
      <c r="D7436" s="12" t="str">
        <f ca="1">IFERROR(__xludf.DUMMYFUNCTION("""COMPUTED_VALUE"""),"内丸 裕子")</f>
        <v>内丸 裕子</v>
      </c>
    </row>
    <row r="7437" spans="2:4" ht="13">
      <c r="B7437" s="12">
        <f ca="1">IFERROR(__xludf.DUMMYFUNCTION("""COMPUTED_VALUE"""),138785)</f>
        <v>138785</v>
      </c>
      <c r="C7437" s="14">
        <f ca="1">IFERROR(__xludf.DUMMYFUNCTION("""COMPUTED_VALUE"""),0)</f>
        <v>0</v>
      </c>
      <c r="D7437" s="12" t="str">
        <f ca="1">IFERROR(__xludf.DUMMYFUNCTION("""COMPUTED_VALUE"""),"成嶋 夏未")</f>
        <v>成嶋 夏未</v>
      </c>
    </row>
    <row r="7438" spans="2:4" ht="13">
      <c r="B7438" s="12">
        <f ca="1">IFERROR(__xludf.DUMMYFUNCTION("""COMPUTED_VALUE"""),138791)</f>
        <v>138791</v>
      </c>
      <c r="C7438" s="14">
        <f ca="1">IFERROR(__xludf.DUMMYFUNCTION("""COMPUTED_VALUE"""),9)</f>
        <v>9</v>
      </c>
      <c r="D7438" s="12" t="str">
        <f ca="1">IFERROR(__xludf.DUMMYFUNCTION("""COMPUTED_VALUE"""),"内丸 裕子")</f>
        <v>内丸 裕子</v>
      </c>
    </row>
    <row r="7439" spans="2:4" ht="13">
      <c r="B7439" s="12">
        <f ca="1">IFERROR(__xludf.DUMMYFUNCTION("""COMPUTED_VALUE"""),138799)</f>
        <v>138799</v>
      </c>
      <c r="C7439" s="14">
        <f ca="1">IFERROR(__xludf.DUMMYFUNCTION("""COMPUTED_VALUE"""),62)</f>
        <v>62</v>
      </c>
      <c r="D7439" s="12" t="str">
        <f ca="1">IFERROR(__xludf.DUMMYFUNCTION("""COMPUTED_VALUE"""),"内丸 裕子")</f>
        <v>内丸 裕子</v>
      </c>
    </row>
    <row r="7440" spans="2:4" ht="13">
      <c r="B7440" s="12">
        <f ca="1">IFERROR(__xludf.DUMMYFUNCTION("""COMPUTED_VALUE"""),138803)</f>
        <v>138803</v>
      </c>
      <c r="C7440" s="14">
        <f ca="1">IFERROR(__xludf.DUMMYFUNCTION("""COMPUTED_VALUE"""),0)</f>
        <v>0</v>
      </c>
      <c r="D7440" s="12" t="str">
        <f ca="1">IFERROR(__xludf.DUMMYFUNCTION("""COMPUTED_VALUE"""),"成嶋 夏未")</f>
        <v>成嶋 夏未</v>
      </c>
    </row>
    <row r="7441" spans="2:4" ht="13">
      <c r="B7441" s="12">
        <f ca="1">IFERROR(__xludf.DUMMYFUNCTION("""COMPUTED_VALUE"""),138804)</f>
        <v>138804</v>
      </c>
      <c r="C7441" s="14">
        <f ca="1">IFERROR(__xludf.DUMMYFUNCTION("""COMPUTED_VALUE"""),18)</f>
        <v>18</v>
      </c>
      <c r="D7441" s="12" t="str">
        <f ca="1">IFERROR(__xludf.DUMMYFUNCTION("""COMPUTED_VALUE"""),"老田 純輝")</f>
        <v>老田 純輝</v>
      </c>
    </row>
    <row r="7442" spans="2:4" ht="13">
      <c r="B7442" s="12">
        <f ca="1">IFERROR(__xludf.DUMMYFUNCTION("""COMPUTED_VALUE"""),138808)</f>
        <v>138808</v>
      </c>
      <c r="C7442" s="14">
        <f ca="1">IFERROR(__xludf.DUMMYFUNCTION("""COMPUTED_VALUE"""),2)</f>
        <v>2</v>
      </c>
      <c r="D7442" s="12" t="str">
        <f ca="1">IFERROR(__xludf.DUMMYFUNCTION("""COMPUTED_VALUE"""),"成嶋 夏未")</f>
        <v>成嶋 夏未</v>
      </c>
    </row>
    <row r="7443" spans="2:4" ht="13">
      <c r="B7443" s="12">
        <f ca="1">IFERROR(__xludf.DUMMYFUNCTION("""COMPUTED_VALUE"""),138810)</f>
        <v>138810</v>
      </c>
      <c r="C7443" s="14">
        <f ca="1">IFERROR(__xludf.DUMMYFUNCTION("""COMPUTED_VALUE"""),0)</f>
        <v>0</v>
      </c>
      <c r="D7443" s="12" t="str">
        <f ca="1">IFERROR(__xludf.DUMMYFUNCTION("""COMPUTED_VALUE"""),"桐山 勝気")</f>
        <v>桐山 勝気</v>
      </c>
    </row>
    <row r="7444" spans="2:4" ht="13">
      <c r="B7444" s="12">
        <f ca="1">IFERROR(__xludf.DUMMYFUNCTION("""COMPUTED_VALUE"""),138811)</f>
        <v>138811</v>
      </c>
      <c r="C7444" s="14">
        <f ca="1">IFERROR(__xludf.DUMMYFUNCTION("""COMPUTED_VALUE"""),28)</f>
        <v>28</v>
      </c>
      <c r="D7444" s="12" t="str">
        <f ca="1">IFERROR(__xludf.DUMMYFUNCTION("""COMPUTED_VALUE"""),"成嶋 夏未")</f>
        <v>成嶋 夏未</v>
      </c>
    </row>
    <row r="7445" spans="2:4" ht="13">
      <c r="B7445" s="12">
        <f ca="1">IFERROR(__xludf.DUMMYFUNCTION("""COMPUTED_VALUE"""),138812)</f>
        <v>138812</v>
      </c>
      <c r="C7445" s="14">
        <f ca="1">IFERROR(__xludf.DUMMYFUNCTION("""COMPUTED_VALUE"""),5)</f>
        <v>5</v>
      </c>
      <c r="D7445" s="12" t="str">
        <f ca="1">IFERROR(__xludf.DUMMYFUNCTION("""COMPUTED_VALUE"""),"老田 純輝")</f>
        <v>老田 純輝</v>
      </c>
    </row>
    <row r="7446" spans="2:4" ht="13">
      <c r="B7446" s="12">
        <f ca="1">IFERROR(__xludf.DUMMYFUNCTION("""COMPUTED_VALUE"""),138815)</f>
        <v>138815</v>
      </c>
      <c r="C7446" s="14">
        <f ca="1">IFERROR(__xludf.DUMMYFUNCTION("""COMPUTED_VALUE"""),0)</f>
        <v>0</v>
      </c>
      <c r="D7446" s="12" t="str">
        <f ca="1">IFERROR(__xludf.DUMMYFUNCTION("""COMPUTED_VALUE"""),"成嶋 夏未")</f>
        <v>成嶋 夏未</v>
      </c>
    </row>
    <row r="7447" spans="2:4" ht="13">
      <c r="B7447" s="12">
        <f ca="1">IFERROR(__xludf.DUMMYFUNCTION("""COMPUTED_VALUE"""),138816)</f>
        <v>138816</v>
      </c>
      <c r="C7447" s="14">
        <f ca="1">IFERROR(__xludf.DUMMYFUNCTION("""COMPUTED_VALUE"""),24)</f>
        <v>24</v>
      </c>
      <c r="D7447" s="12" t="str">
        <f ca="1">IFERROR(__xludf.DUMMYFUNCTION("""COMPUTED_VALUE"""),"川島 幹也")</f>
        <v>川島 幹也</v>
      </c>
    </row>
    <row r="7448" spans="2:4" ht="13">
      <c r="B7448" s="12">
        <f ca="1">IFERROR(__xludf.DUMMYFUNCTION("""COMPUTED_VALUE"""),138822)</f>
        <v>138822</v>
      </c>
      <c r="C7448" s="14">
        <f ca="1">IFERROR(__xludf.DUMMYFUNCTION("""COMPUTED_VALUE"""),0)</f>
        <v>0</v>
      </c>
      <c r="D7448" s="12" t="str">
        <f ca="1">IFERROR(__xludf.DUMMYFUNCTION("""COMPUTED_VALUE"""),"松尾 尚樹")</f>
        <v>松尾 尚樹</v>
      </c>
    </row>
    <row r="7449" spans="2:4" ht="13">
      <c r="B7449" s="12">
        <f ca="1">IFERROR(__xludf.DUMMYFUNCTION("""COMPUTED_VALUE"""),138828)</f>
        <v>138828</v>
      </c>
      <c r="C7449" s="14">
        <f ca="1">IFERROR(__xludf.DUMMYFUNCTION("""COMPUTED_VALUE"""),17)</f>
        <v>17</v>
      </c>
      <c r="D7449" s="12" t="str">
        <f ca="1">IFERROR(__xludf.DUMMYFUNCTION("""COMPUTED_VALUE"""),"桐山 勝気")</f>
        <v>桐山 勝気</v>
      </c>
    </row>
    <row r="7450" spans="2:4" ht="13">
      <c r="B7450" s="12">
        <f ca="1">IFERROR(__xludf.DUMMYFUNCTION("""COMPUTED_VALUE"""),138829)</f>
        <v>138829</v>
      </c>
      <c r="C7450" s="14">
        <f ca="1">IFERROR(__xludf.DUMMYFUNCTION("""COMPUTED_VALUE"""),6)</f>
        <v>6</v>
      </c>
      <c r="D7450" s="12" t="str">
        <f ca="1">IFERROR(__xludf.DUMMYFUNCTION("""COMPUTED_VALUE"""),"村上 浩一朗")</f>
        <v>村上 浩一朗</v>
      </c>
    </row>
    <row r="7451" spans="2:4" ht="13">
      <c r="B7451" s="12">
        <f ca="1">IFERROR(__xludf.DUMMYFUNCTION("""COMPUTED_VALUE"""),138830)</f>
        <v>138830</v>
      </c>
      <c r="C7451" s="14">
        <f ca="1">IFERROR(__xludf.DUMMYFUNCTION("""COMPUTED_VALUE"""),11)</f>
        <v>11</v>
      </c>
      <c r="D7451" s="12" t="str">
        <f ca="1">IFERROR(__xludf.DUMMYFUNCTION("""COMPUTED_VALUE"""),"成嶋 夏未")</f>
        <v>成嶋 夏未</v>
      </c>
    </row>
    <row r="7452" spans="2:4" ht="13">
      <c r="B7452" s="12">
        <f ca="1">IFERROR(__xludf.DUMMYFUNCTION("""COMPUTED_VALUE"""),138831)</f>
        <v>138831</v>
      </c>
      <c r="C7452" s="14">
        <f ca="1">IFERROR(__xludf.DUMMYFUNCTION("""COMPUTED_VALUE"""),20)</f>
        <v>20</v>
      </c>
      <c r="D7452" s="12" t="str">
        <f ca="1">IFERROR(__xludf.DUMMYFUNCTION("""COMPUTED_VALUE"""),"村上 浩一朗")</f>
        <v>村上 浩一朗</v>
      </c>
    </row>
    <row r="7453" spans="2:4" ht="13">
      <c r="B7453" s="12">
        <f ca="1">IFERROR(__xludf.DUMMYFUNCTION("""COMPUTED_VALUE"""),138836)</f>
        <v>138836</v>
      </c>
      <c r="C7453" s="14">
        <f ca="1">IFERROR(__xludf.DUMMYFUNCTION("""COMPUTED_VALUE"""),17)</f>
        <v>17</v>
      </c>
      <c r="D7453" s="12" t="str">
        <f ca="1">IFERROR(__xludf.DUMMYFUNCTION("""COMPUTED_VALUE"""),"菅野 ぎんが")</f>
        <v>菅野 ぎんが</v>
      </c>
    </row>
    <row r="7454" spans="2:4" ht="13">
      <c r="B7454" s="12">
        <f ca="1">IFERROR(__xludf.DUMMYFUNCTION("""COMPUTED_VALUE"""),138842)</f>
        <v>138842</v>
      </c>
      <c r="C7454" s="14">
        <f ca="1">IFERROR(__xludf.DUMMYFUNCTION("""COMPUTED_VALUE"""),0)</f>
        <v>0</v>
      </c>
      <c r="D7454" s="12" t="str">
        <f ca="1">IFERROR(__xludf.DUMMYFUNCTION("""COMPUTED_VALUE"""),"小関 麻起")</f>
        <v>小関 麻起</v>
      </c>
    </row>
    <row r="7455" spans="2:4" ht="13">
      <c r="B7455" s="12">
        <f ca="1">IFERROR(__xludf.DUMMYFUNCTION("""COMPUTED_VALUE"""),138843)</f>
        <v>138843</v>
      </c>
      <c r="C7455" s="14">
        <f ca="1">IFERROR(__xludf.DUMMYFUNCTION("""COMPUTED_VALUE"""),16)</f>
        <v>16</v>
      </c>
      <c r="D7455" s="12" t="str">
        <f ca="1">IFERROR(__xludf.DUMMYFUNCTION("""COMPUTED_VALUE"""),"村上 浩一朗")</f>
        <v>村上 浩一朗</v>
      </c>
    </row>
    <row r="7456" spans="2:4" ht="13">
      <c r="B7456" s="12">
        <f ca="1">IFERROR(__xludf.DUMMYFUNCTION("""COMPUTED_VALUE"""),138847)</f>
        <v>138847</v>
      </c>
      <c r="C7456" s="14">
        <f ca="1">IFERROR(__xludf.DUMMYFUNCTION("""COMPUTED_VALUE"""),1)</f>
        <v>1</v>
      </c>
      <c r="D7456" s="12" t="str">
        <f ca="1">IFERROR(__xludf.DUMMYFUNCTION("""COMPUTED_VALUE"""),"森 光智")</f>
        <v>森 光智</v>
      </c>
    </row>
    <row r="7457" spans="2:4" ht="13">
      <c r="B7457" s="12">
        <f ca="1">IFERROR(__xludf.DUMMYFUNCTION("""COMPUTED_VALUE"""),138860)</f>
        <v>138860</v>
      </c>
      <c r="C7457" s="14">
        <f ca="1">IFERROR(__xludf.DUMMYFUNCTION("""COMPUTED_VALUE"""),1)</f>
        <v>1</v>
      </c>
      <c r="D7457" s="12" t="str">
        <f ca="1">IFERROR(__xludf.DUMMYFUNCTION("""COMPUTED_VALUE"""),"小関 麻起")</f>
        <v>小関 麻起</v>
      </c>
    </row>
    <row r="7458" spans="2:4" ht="13">
      <c r="B7458" s="12">
        <f ca="1">IFERROR(__xludf.DUMMYFUNCTION("""COMPUTED_VALUE"""),138861)</f>
        <v>138861</v>
      </c>
      <c r="C7458" s="14">
        <f ca="1">IFERROR(__xludf.DUMMYFUNCTION("""COMPUTED_VALUE"""),0)</f>
        <v>0</v>
      </c>
      <c r="D7458" s="12" t="str">
        <f ca="1">IFERROR(__xludf.DUMMYFUNCTION("""COMPUTED_VALUE"""),"成嶋 夏未")</f>
        <v>成嶋 夏未</v>
      </c>
    </row>
    <row r="7459" spans="2:4" ht="13">
      <c r="B7459" s="12">
        <f ca="1">IFERROR(__xludf.DUMMYFUNCTION("""COMPUTED_VALUE"""),138868)</f>
        <v>138868</v>
      </c>
      <c r="C7459" s="14">
        <f ca="1">IFERROR(__xludf.DUMMYFUNCTION("""COMPUTED_VALUE"""),0)</f>
        <v>0</v>
      </c>
      <c r="D7459" s="12" t="str">
        <f ca="1">IFERROR(__xludf.DUMMYFUNCTION("""COMPUTED_VALUE"""),"菅野 ぎんが")</f>
        <v>菅野 ぎんが</v>
      </c>
    </row>
    <row r="7460" spans="2:4" ht="13">
      <c r="B7460" s="12">
        <f ca="1">IFERROR(__xludf.DUMMYFUNCTION("""COMPUTED_VALUE"""),138878)</f>
        <v>138878</v>
      </c>
      <c r="C7460" s="14">
        <f ca="1">IFERROR(__xludf.DUMMYFUNCTION("""COMPUTED_VALUE"""),0)</f>
        <v>0</v>
      </c>
      <c r="D7460" s="12" t="str">
        <f ca="1">IFERROR(__xludf.DUMMYFUNCTION("""COMPUTED_VALUE"""),"辻村 将大")</f>
        <v>辻村 将大</v>
      </c>
    </row>
    <row r="7461" spans="2:4" ht="13">
      <c r="B7461" s="12">
        <f ca="1">IFERROR(__xludf.DUMMYFUNCTION("""COMPUTED_VALUE"""),138880)</f>
        <v>138880</v>
      </c>
      <c r="C7461" s="14">
        <f ca="1">IFERROR(__xludf.DUMMYFUNCTION("""COMPUTED_VALUE"""),6)</f>
        <v>6</v>
      </c>
      <c r="D7461" s="12" t="str">
        <f ca="1">IFERROR(__xludf.DUMMYFUNCTION("""COMPUTED_VALUE"""),"栗原 大武")</f>
        <v>栗原 大武</v>
      </c>
    </row>
    <row r="7462" spans="2:4" ht="13">
      <c r="B7462" s="12">
        <f ca="1">IFERROR(__xludf.DUMMYFUNCTION("""COMPUTED_VALUE"""),138881)</f>
        <v>138881</v>
      </c>
      <c r="C7462" s="14">
        <f ca="1">IFERROR(__xludf.DUMMYFUNCTION("""COMPUTED_VALUE"""),17)</f>
        <v>17</v>
      </c>
      <c r="D7462" s="12" t="str">
        <f ca="1">IFERROR(__xludf.DUMMYFUNCTION("""COMPUTED_VALUE"""),"村上 浩一朗")</f>
        <v>村上 浩一朗</v>
      </c>
    </row>
    <row r="7463" spans="2:4" ht="13">
      <c r="B7463" s="12">
        <f ca="1">IFERROR(__xludf.DUMMYFUNCTION("""COMPUTED_VALUE"""),138882)</f>
        <v>138882</v>
      </c>
      <c r="C7463" s="14">
        <f ca="1">IFERROR(__xludf.DUMMYFUNCTION("""COMPUTED_VALUE"""),47)</f>
        <v>47</v>
      </c>
      <c r="D7463" s="12" t="str">
        <f ca="1">IFERROR(__xludf.DUMMYFUNCTION("""COMPUTED_VALUE"""),"桐山 勝気")</f>
        <v>桐山 勝気</v>
      </c>
    </row>
    <row r="7464" spans="2:4" ht="13">
      <c r="B7464" s="12">
        <f ca="1">IFERROR(__xludf.DUMMYFUNCTION("""COMPUTED_VALUE"""),138883)</f>
        <v>138883</v>
      </c>
      <c r="C7464" s="14">
        <f ca="1">IFERROR(__xludf.DUMMYFUNCTION("""COMPUTED_VALUE"""),0)</f>
        <v>0</v>
      </c>
      <c r="D7464" s="12" t="str">
        <f ca="1">IFERROR(__xludf.DUMMYFUNCTION("""COMPUTED_VALUE"""),"内丸 裕子")</f>
        <v>内丸 裕子</v>
      </c>
    </row>
    <row r="7465" spans="2:4" ht="13">
      <c r="B7465" s="12">
        <f ca="1">IFERROR(__xludf.DUMMYFUNCTION("""COMPUTED_VALUE"""),138887)</f>
        <v>138887</v>
      </c>
      <c r="C7465" s="14">
        <f ca="1">IFERROR(__xludf.DUMMYFUNCTION("""COMPUTED_VALUE"""),0)</f>
        <v>0</v>
      </c>
      <c r="D7465" s="12" t="str">
        <f ca="1">IFERROR(__xludf.DUMMYFUNCTION("""COMPUTED_VALUE"""),"森 光智")</f>
        <v>森 光智</v>
      </c>
    </row>
    <row r="7466" spans="2:4" ht="13">
      <c r="B7466" s="12">
        <f ca="1">IFERROR(__xludf.DUMMYFUNCTION("""COMPUTED_VALUE"""),138889)</f>
        <v>138889</v>
      </c>
      <c r="C7466" s="14">
        <f ca="1">IFERROR(__xludf.DUMMYFUNCTION("""COMPUTED_VALUE"""),30)</f>
        <v>30</v>
      </c>
      <c r="D7466" s="12" t="str">
        <f ca="1">IFERROR(__xludf.DUMMYFUNCTION("""COMPUTED_VALUE"""),"桐山 勝気")</f>
        <v>桐山 勝気</v>
      </c>
    </row>
    <row r="7467" spans="2:4" ht="13">
      <c r="B7467" s="12">
        <f ca="1">IFERROR(__xludf.DUMMYFUNCTION("""COMPUTED_VALUE"""),138894)</f>
        <v>138894</v>
      </c>
      <c r="C7467" s="14">
        <f ca="1">IFERROR(__xludf.DUMMYFUNCTION("""COMPUTED_VALUE"""),15)</f>
        <v>15</v>
      </c>
      <c r="D7467" s="12" t="str">
        <f ca="1">IFERROR(__xludf.DUMMYFUNCTION("""COMPUTED_VALUE"""),"稲場 勇介")</f>
        <v>稲場 勇介</v>
      </c>
    </row>
    <row r="7468" spans="2:4" ht="13">
      <c r="B7468" s="12">
        <f ca="1">IFERROR(__xludf.DUMMYFUNCTION("""COMPUTED_VALUE"""),138899)</f>
        <v>138899</v>
      </c>
      <c r="C7468" s="14">
        <f ca="1">IFERROR(__xludf.DUMMYFUNCTION("""COMPUTED_VALUE"""),4)</f>
        <v>4</v>
      </c>
      <c r="D7468" s="12" t="str">
        <f ca="1">IFERROR(__xludf.DUMMYFUNCTION("""COMPUTED_VALUE"""),"村上 浩一朗")</f>
        <v>村上 浩一朗</v>
      </c>
    </row>
    <row r="7469" spans="2:4" ht="13">
      <c r="B7469" s="12">
        <f ca="1">IFERROR(__xludf.DUMMYFUNCTION("""COMPUTED_VALUE"""),138901)</f>
        <v>138901</v>
      </c>
      <c r="C7469" s="14">
        <f ca="1">IFERROR(__xludf.DUMMYFUNCTION("""COMPUTED_VALUE"""),0)</f>
        <v>0</v>
      </c>
      <c r="D7469" s="12" t="str">
        <f ca="1">IFERROR(__xludf.DUMMYFUNCTION("""COMPUTED_VALUE"""),"内丸 裕子")</f>
        <v>内丸 裕子</v>
      </c>
    </row>
    <row r="7470" spans="2:4" ht="13">
      <c r="B7470" s="12">
        <f ca="1">IFERROR(__xludf.DUMMYFUNCTION("""COMPUTED_VALUE"""),138905)</f>
        <v>138905</v>
      </c>
      <c r="C7470" s="14">
        <f ca="1">IFERROR(__xludf.DUMMYFUNCTION("""COMPUTED_VALUE"""),1)</f>
        <v>1</v>
      </c>
      <c r="D7470" s="12" t="str">
        <f ca="1">IFERROR(__xludf.DUMMYFUNCTION("""COMPUTED_VALUE"""),"荻曽 克輝")</f>
        <v>荻曽 克輝</v>
      </c>
    </row>
    <row r="7471" spans="2:4" ht="13">
      <c r="B7471" s="12">
        <f ca="1">IFERROR(__xludf.DUMMYFUNCTION("""COMPUTED_VALUE"""),138910)</f>
        <v>138910</v>
      </c>
      <c r="C7471" s="14">
        <f ca="1">IFERROR(__xludf.DUMMYFUNCTION("""COMPUTED_VALUE"""),6)</f>
        <v>6</v>
      </c>
      <c r="D7471" s="12" t="str">
        <f ca="1">IFERROR(__xludf.DUMMYFUNCTION("""COMPUTED_VALUE"""),"小川 純")</f>
        <v>小川 純</v>
      </c>
    </row>
    <row r="7472" spans="2:4" ht="13">
      <c r="B7472" s="12">
        <f ca="1">IFERROR(__xludf.DUMMYFUNCTION("""COMPUTED_VALUE"""),138927)</f>
        <v>138927</v>
      </c>
      <c r="C7472" s="14">
        <f ca="1">IFERROR(__xludf.DUMMYFUNCTION("""COMPUTED_VALUE"""),15)</f>
        <v>15</v>
      </c>
      <c r="D7472" s="12" t="str">
        <f ca="1">IFERROR(__xludf.DUMMYFUNCTION("""COMPUTED_VALUE"""),"菅野 ぎんが")</f>
        <v>菅野 ぎんが</v>
      </c>
    </row>
    <row r="7473" spans="2:4" ht="13">
      <c r="B7473" s="12">
        <f ca="1">IFERROR(__xludf.DUMMYFUNCTION("""COMPUTED_VALUE"""),138928)</f>
        <v>138928</v>
      </c>
      <c r="C7473" s="14">
        <f ca="1">IFERROR(__xludf.DUMMYFUNCTION("""COMPUTED_VALUE"""),13)</f>
        <v>13</v>
      </c>
      <c r="D7473" s="12" t="str">
        <f ca="1">IFERROR(__xludf.DUMMYFUNCTION("""COMPUTED_VALUE"""),"芳賀 亮輔")</f>
        <v>芳賀 亮輔</v>
      </c>
    </row>
    <row r="7474" spans="2:4" ht="13">
      <c r="B7474" s="12">
        <f ca="1">IFERROR(__xludf.DUMMYFUNCTION("""COMPUTED_VALUE"""),138930)</f>
        <v>138930</v>
      </c>
      <c r="C7474" s="14">
        <f ca="1">IFERROR(__xludf.DUMMYFUNCTION("""COMPUTED_VALUE"""),0)</f>
        <v>0</v>
      </c>
      <c r="D7474" s="12" t="str">
        <f ca="1">IFERROR(__xludf.DUMMYFUNCTION("""COMPUTED_VALUE"""),"成嶋 夏未")</f>
        <v>成嶋 夏未</v>
      </c>
    </row>
    <row r="7475" spans="2:4" ht="13">
      <c r="B7475" s="12">
        <f ca="1">IFERROR(__xludf.DUMMYFUNCTION("""COMPUTED_VALUE"""),138934)</f>
        <v>138934</v>
      </c>
      <c r="C7475" s="14">
        <f ca="1">IFERROR(__xludf.DUMMYFUNCTION("""COMPUTED_VALUE"""),7)</f>
        <v>7</v>
      </c>
      <c r="D7475" s="12" t="str">
        <f ca="1">IFERROR(__xludf.DUMMYFUNCTION("""COMPUTED_VALUE"""),"川島 幹也")</f>
        <v>川島 幹也</v>
      </c>
    </row>
    <row r="7476" spans="2:4" ht="13">
      <c r="B7476" s="12">
        <f ca="1">IFERROR(__xludf.DUMMYFUNCTION("""COMPUTED_VALUE"""),138938)</f>
        <v>138938</v>
      </c>
      <c r="C7476" s="14">
        <f ca="1">IFERROR(__xludf.DUMMYFUNCTION("""COMPUTED_VALUE"""),0)</f>
        <v>0</v>
      </c>
      <c r="D7476" s="12" t="str">
        <f ca="1">IFERROR(__xludf.DUMMYFUNCTION("""COMPUTED_VALUE"""),"荻曽 克輝")</f>
        <v>荻曽 克輝</v>
      </c>
    </row>
    <row r="7477" spans="2:4" ht="13">
      <c r="B7477" s="12">
        <f ca="1">IFERROR(__xludf.DUMMYFUNCTION("""COMPUTED_VALUE"""),138939)</f>
        <v>138939</v>
      </c>
      <c r="C7477" s="14">
        <f ca="1">IFERROR(__xludf.DUMMYFUNCTION("""COMPUTED_VALUE"""),0)</f>
        <v>0</v>
      </c>
      <c r="D7477" s="12" t="str">
        <f ca="1">IFERROR(__xludf.DUMMYFUNCTION("""COMPUTED_VALUE"""),"成嶋 夏未")</f>
        <v>成嶋 夏未</v>
      </c>
    </row>
    <row r="7478" spans="2:4" ht="13">
      <c r="B7478" s="12">
        <f ca="1">IFERROR(__xludf.DUMMYFUNCTION("""COMPUTED_VALUE"""),138944)</f>
        <v>138944</v>
      </c>
      <c r="C7478" s="14">
        <f ca="1">IFERROR(__xludf.DUMMYFUNCTION("""COMPUTED_VALUE"""),0)</f>
        <v>0</v>
      </c>
      <c r="D7478" s="12" t="str">
        <f ca="1">IFERROR(__xludf.DUMMYFUNCTION("""COMPUTED_VALUE"""),"田嶋 将太")</f>
        <v>田嶋 将太</v>
      </c>
    </row>
    <row r="7479" spans="2:4" ht="13">
      <c r="B7479" s="12">
        <f ca="1">IFERROR(__xludf.DUMMYFUNCTION("""COMPUTED_VALUE"""),138949)</f>
        <v>138949</v>
      </c>
      <c r="C7479" s="14">
        <f ca="1">IFERROR(__xludf.DUMMYFUNCTION("""COMPUTED_VALUE"""),0)</f>
        <v>0</v>
      </c>
      <c r="D7479" s="12" t="str">
        <f ca="1">IFERROR(__xludf.DUMMYFUNCTION("""COMPUTED_VALUE"""),"菅野 ぎんが")</f>
        <v>菅野 ぎんが</v>
      </c>
    </row>
    <row r="7480" spans="2:4" ht="13">
      <c r="B7480" s="12">
        <f ca="1">IFERROR(__xludf.DUMMYFUNCTION("""COMPUTED_VALUE"""),138951)</f>
        <v>138951</v>
      </c>
      <c r="C7480" s="14">
        <f ca="1">IFERROR(__xludf.DUMMYFUNCTION("""COMPUTED_VALUE"""),9)</f>
        <v>9</v>
      </c>
      <c r="D7480" s="12" t="str">
        <f ca="1">IFERROR(__xludf.DUMMYFUNCTION("""COMPUTED_VALUE"""),"桑原 明子")</f>
        <v>桑原 明子</v>
      </c>
    </row>
    <row r="7481" spans="2:4" ht="13">
      <c r="B7481" s="12">
        <f ca="1">IFERROR(__xludf.DUMMYFUNCTION("""COMPUTED_VALUE"""),138958)</f>
        <v>138958</v>
      </c>
      <c r="C7481" s="14">
        <f ca="1">IFERROR(__xludf.DUMMYFUNCTION("""COMPUTED_VALUE"""),24)</f>
        <v>24</v>
      </c>
      <c r="D7481" s="12" t="str">
        <f ca="1">IFERROR(__xludf.DUMMYFUNCTION("""COMPUTED_VALUE"""),"芳賀 亮輔")</f>
        <v>芳賀 亮輔</v>
      </c>
    </row>
    <row r="7482" spans="2:4" ht="13">
      <c r="B7482" s="12">
        <f ca="1">IFERROR(__xludf.DUMMYFUNCTION("""COMPUTED_VALUE"""),138960)</f>
        <v>138960</v>
      </c>
      <c r="C7482" s="14">
        <f ca="1">IFERROR(__xludf.DUMMYFUNCTION("""COMPUTED_VALUE"""),11)</f>
        <v>11</v>
      </c>
      <c r="D7482" s="12" t="str">
        <f ca="1">IFERROR(__xludf.DUMMYFUNCTION("""COMPUTED_VALUE"""),"内丸 裕子")</f>
        <v>内丸 裕子</v>
      </c>
    </row>
    <row r="7483" spans="2:4" ht="13">
      <c r="B7483" s="12">
        <f ca="1">IFERROR(__xludf.DUMMYFUNCTION("""COMPUTED_VALUE"""),138970)</f>
        <v>138970</v>
      </c>
      <c r="C7483" s="14">
        <f ca="1">IFERROR(__xludf.DUMMYFUNCTION("""COMPUTED_VALUE"""),0)</f>
        <v>0</v>
      </c>
      <c r="D7483" s="12" t="str">
        <f ca="1">IFERROR(__xludf.DUMMYFUNCTION("""COMPUTED_VALUE"""),"桐山 勝気")</f>
        <v>桐山 勝気</v>
      </c>
    </row>
    <row r="7484" spans="2:4" ht="13">
      <c r="B7484" s="12">
        <f ca="1">IFERROR(__xludf.DUMMYFUNCTION("""COMPUTED_VALUE"""),138975)</f>
        <v>138975</v>
      </c>
      <c r="C7484" s="14">
        <f ca="1">IFERROR(__xludf.DUMMYFUNCTION("""COMPUTED_VALUE"""),0)</f>
        <v>0</v>
      </c>
      <c r="D7484" s="12" t="str">
        <f ca="1">IFERROR(__xludf.DUMMYFUNCTION("""COMPUTED_VALUE"""),"田嶋 将太")</f>
        <v>田嶋 将太</v>
      </c>
    </row>
    <row r="7485" spans="2:4" ht="13">
      <c r="B7485" s="12">
        <f ca="1">IFERROR(__xludf.DUMMYFUNCTION("""COMPUTED_VALUE"""),138976)</f>
        <v>138976</v>
      </c>
      <c r="C7485" s="14">
        <f ca="1">IFERROR(__xludf.DUMMYFUNCTION("""COMPUTED_VALUE"""),0)</f>
        <v>0</v>
      </c>
      <c r="D7485" s="12" t="str">
        <f ca="1">IFERROR(__xludf.DUMMYFUNCTION("""COMPUTED_VALUE"""),"菅野 ぎんが")</f>
        <v>菅野 ぎんが</v>
      </c>
    </row>
    <row r="7486" spans="2:4" ht="13">
      <c r="B7486" s="12">
        <f ca="1">IFERROR(__xludf.DUMMYFUNCTION("""COMPUTED_VALUE"""),138979)</f>
        <v>138979</v>
      </c>
      <c r="C7486" s="14">
        <f ca="1">IFERROR(__xludf.DUMMYFUNCTION("""COMPUTED_VALUE"""),0)</f>
        <v>0</v>
      </c>
      <c r="D7486" s="12" t="str">
        <f ca="1">IFERROR(__xludf.DUMMYFUNCTION("""COMPUTED_VALUE"""),"荻曽 克輝")</f>
        <v>荻曽 克輝</v>
      </c>
    </row>
    <row r="7487" spans="2:4" ht="13">
      <c r="B7487" s="12">
        <f ca="1">IFERROR(__xludf.DUMMYFUNCTION("""COMPUTED_VALUE"""),138987)</f>
        <v>138987</v>
      </c>
      <c r="C7487" s="14">
        <f ca="1">IFERROR(__xludf.DUMMYFUNCTION("""COMPUTED_VALUE"""),1)</f>
        <v>1</v>
      </c>
      <c r="D7487" s="12" t="str">
        <f ca="1">IFERROR(__xludf.DUMMYFUNCTION("""COMPUTED_VALUE"""),"田嶋 将太")</f>
        <v>田嶋 将太</v>
      </c>
    </row>
    <row r="7488" spans="2:4" ht="13">
      <c r="B7488" s="12">
        <f ca="1">IFERROR(__xludf.DUMMYFUNCTION("""COMPUTED_VALUE"""),138990)</f>
        <v>138990</v>
      </c>
      <c r="C7488" s="14">
        <f ca="1">IFERROR(__xludf.DUMMYFUNCTION("""COMPUTED_VALUE"""),0)</f>
        <v>0</v>
      </c>
      <c r="D7488" s="12" t="str">
        <f ca="1">IFERROR(__xludf.DUMMYFUNCTION("""COMPUTED_VALUE"""),"田嶋 将太")</f>
        <v>田嶋 将太</v>
      </c>
    </row>
    <row r="7489" spans="2:4" ht="13">
      <c r="B7489" s="12">
        <f ca="1">IFERROR(__xludf.DUMMYFUNCTION("""COMPUTED_VALUE"""),138993)</f>
        <v>138993</v>
      </c>
      <c r="C7489" s="14">
        <f ca="1">IFERROR(__xludf.DUMMYFUNCTION("""COMPUTED_VALUE"""),11)</f>
        <v>11</v>
      </c>
      <c r="D7489" s="12" t="str">
        <f ca="1">IFERROR(__xludf.DUMMYFUNCTION("""COMPUTED_VALUE"""),"芳賀 亮輔")</f>
        <v>芳賀 亮輔</v>
      </c>
    </row>
    <row r="7490" spans="2:4" ht="13">
      <c r="B7490" s="12">
        <f ca="1">IFERROR(__xludf.DUMMYFUNCTION("""COMPUTED_VALUE"""),138994)</f>
        <v>138994</v>
      </c>
      <c r="C7490" s="14">
        <f ca="1">IFERROR(__xludf.DUMMYFUNCTION("""COMPUTED_VALUE"""),10)</f>
        <v>10</v>
      </c>
      <c r="D7490" s="12" t="str">
        <f ca="1">IFERROR(__xludf.DUMMYFUNCTION("""COMPUTED_VALUE"""),"芳賀 亮輔")</f>
        <v>芳賀 亮輔</v>
      </c>
    </row>
    <row r="7491" spans="2:4" ht="13">
      <c r="B7491" s="12">
        <f ca="1">IFERROR(__xludf.DUMMYFUNCTION("""COMPUTED_VALUE"""),138995)</f>
        <v>138995</v>
      </c>
      <c r="C7491" s="14">
        <f ca="1">IFERROR(__xludf.DUMMYFUNCTION("""COMPUTED_VALUE"""),0)</f>
        <v>0</v>
      </c>
      <c r="D7491" s="12" t="str">
        <f ca="1">IFERROR(__xludf.DUMMYFUNCTION("""COMPUTED_VALUE"""),"桐山 勝気")</f>
        <v>桐山 勝気</v>
      </c>
    </row>
    <row r="7492" spans="2:4" ht="13">
      <c r="B7492" s="12">
        <f ca="1">IFERROR(__xludf.DUMMYFUNCTION("""COMPUTED_VALUE"""),138997)</f>
        <v>138997</v>
      </c>
      <c r="C7492" s="14">
        <f ca="1">IFERROR(__xludf.DUMMYFUNCTION("""COMPUTED_VALUE"""),0)</f>
        <v>0</v>
      </c>
      <c r="D7492" s="12" t="str">
        <f ca="1">IFERROR(__xludf.DUMMYFUNCTION("""COMPUTED_VALUE"""),"川島 幹也")</f>
        <v>川島 幹也</v>
      </c>
    </row>
    <row r="7493" spans="2:4" ht="13">
      <c r="B7493" s="12">
        <f ca="1">IFERROR(__xludf.DUMMYFUNCTION("""COMPUTED_VALUE"""),139002)</f>
        <v>139002</v>
      </c>
      <c r="C7493" s="14">
        <f ca="1">IFERROR(__xludf.DUMMYFUNCTION("""COMPUTED_VALUE"""),0)</f>
        <v>0</v>
      </c>
      <c r="D7493" s="12" t="str">
        <f ca="1">IFERROR(__xludf.DUMMYFUNCTION("""COMPUTED_VALUE"""),"桐山 勝気")</f>
        <v>桐山 勝気</v>
      </c>
    </row>
    <row r="7494" spans="2:4" ht="13">
      <c r="B7494" s="12">
        <f ca="1">IFERROR(__xludf.DUMMYFUNCTION("""COMPUTED_VALUE"""),139003)</f>
        <v>139003</v>
      </c>
      <c r="C7494" s="14">
        <f ca="1">IFERROR(__xludf.DUMMYFUNCTION("""COMPUTED_VALUE"""),0)</f>
        <v>0</v>
      </c>
      <c r="D7494" s="12" t="str">
        <f ca="1">IFERROR(__xludf.DUMMYFUNCTION("""COMPUTED_VALUE"""),"村上 浩一朗")</f>
        <v>村上 浩一朗</v>
      </c>
    </row>
    <row r="7495" spans="2:4" ht="13">
      <c r="B7495" s="12">
        <f ca="1">IFERROR(__xludf.DUMMYFUNCTION("""COMPUTED_VALUE"""),139012)</f>
        <v>139012</v>
      </c>
      <c r="C7495" s="14">
        <f ca="1">IFERROR(__xludf.DUMMYFUNCTION("""COMPUTED_VALUE"""),14)</f>
        <v>14</v>
      </c>
      <c r="D7495" s="12" t="str">
        <f ca="1">IFERROR(__xludf.DUMMYFUNCTION("""COMPUTED_VALUE"""),"成嶋 夏未")</f>
        <v>成嶋 夏未</v>
      </c>
    </row>
    <row r="7496" spans="2:4" ht="13">
      <c r="B7496" s="12">
        <f ca="1">IFERROR(__xludf.DUMMYFUNCTION("""COMPUTED_VALUE"""),139013)</f>
        <v>139013</v>
      </c>
      <c r="C7496" s="14">
        <f ca="1">IFERROR(__xludf.DUMMYFUNCTION("""COMPUTED_VALUE"""),2)</f>
        <v>2</v>
      </c>
      <c r="D7496" s="12" t="str">
        <f ca="1">IFERROR(__xludf.DUMMYFUNCTION("""COMPUTED_VALUE"""),"田嶋 将太")</f>
        <v>田嶋 将太</v>
      </c>
    </row>
    <row r="7497" spans="2:4" ht="13">
      <c r="B7497" s="12">
        <f ca="1">IFERROR(__xludf.DUMMYFUNCTION("""COMPUTED_VALUE"""),139015)</f>
        <v>139015</v>
      </c>
      <c r="C7497" s="14">
        <f ca="1">IFERROR(__xludf.DUMMYFUNCTION("""COMPUTED_VALUE"""),1)</f>
        <v>1</v>
      </c>
      <c r="D7497" s="12" t="str">
        <f ca="1">IFERROR(__xludf.DUMMYFUNCTION("""COMPUTED_VALUE"""),"長谷川 陸朗")</f>
        <v>長谷川 陸朗</v>
      </c>
    </row>
    <row r="7498" spans="2:4" ht="13">
      <c r="B7498" s="12">
        <f ca="1">IFERROR(__xludf.DUMMYFUNCTION("""COMPUTED_VALUE"""),139016)</f>
        <v>139016</v>
      </c>
      <c r="C7498" s="14">
        <f ca="1">IFERROR(__xludf.DUMMYFUNCTION("""COMPUTED_VALUE"""),0)</f>
        <v>0</v>
      </c>
      <c r="D7498" s="12" t="str">
        <f ca="1">IFERROR(__xludf.DUMMYFUNCTION("""COMPUTED_VALUE"""),"長谷川 陸朗")</f>
        <v>長谷川 陸朗</v>
      </c>
    </row>
    <row r="7499" spans="2:4" ht="13">
      <c r="B7499" s="12">
        <f ca="1">IFERROR(__xludf.DUMMYFUNCTION("""COMPUTED_VALUE"""),139023)</f>
        <v>139023</v>
      </c>
      <c r="C7499" s="14">
        <f ca="1">IFERROR(__xludf.DUMMYFUNCTION("""COMPUTED_VALUE"""),0)</f>
        <v>0</v>
      </c>
      <c r="D7499" s="12" t="str">
        <f ca="1">IFERROR(__xludf.DUMMYFUNCTION("""COMPUTED_VALUE"""),"栗原 大武")</f>
        <v>栗原 大武</v>
      </c>
    </row>
    <row r="7500" spans="2:4" ht="13">
      <c r="B7500" s="12">
        <f ca="1">IFERROR(__xludf.DUMMYFUNCTION("""COMPUTED_VALUE"""),139029)</f>
        <v>139029</v>
      </c>
      <c r="C7500" s="14">
        <f ca="1">IFERROR(__xludf.DUMMYFUNCTION("""COMPUTED_VALUE"""),0)</f>
        <v>0</v>
      </c>
      <c r="D7500" s="12" t="str">
        <f ca="1">IFERROR(__xludf.DUMMYFUNCTION("""COMPUTED_VALUE"""),"芳賀 亮輔")</f>
        <v>芳賀 亮輔</v>
      </c>
    </row>
    <row r="7501" spans="2:4" ht="13">
      <c r="B7501" s="12">
        <f ca="1">IFERROR(__xludf.DUMMYFUNCTION("""COMPUTED_VALUE"""),139033)</f>
        <v>139033</v>
      </c>
      <c r="C7501" s="14">
        <f ca="1">IFERROR(__xludf.DUMMYFUNCTION("""COMPUTED_VALUE"""),2)</f>
        <v>2</v>
      </c>
      <c r="D7501" s="12" t="str">
        <f ca="1">IFERROR(__xludf.DUMMYFUNCTION("""COMPUTED_VALUE"""),"老田 純輝")</f>
        <v>老田 純輝</v>
      </c>
    </row>
    <row r="7502" spans="2:4" ht="13">
      <c r="B7502" s="12">
        <f ca="1">IFERROR(__xludf.DUMMYFUNCTION("""COMPUTED_VALUE"""),139042)</f>
        <v>139042</v>
      </c>
      <c r="C7502" s="14">
        <f ca="1">IFERROR(__xludf.DUMMYFUNCTION("""COMPUTED_VALUE"""),0)</f>
        <v>0</v>
      </c>
      <c r="D7502" s="12" t="str">
        <f ca="1">IFERROR(__xludf.DUMMYFUNCTION("""COMPUTED_VALUE"""),"成嶋 夏未")</f>
        <v>成嶋 夏未</v>
      </c>
    </row>
    <row r="7503" spans="2:4" ht="13">
      <c r="B7503" s="12">
        <f ca="1">IFERROR(__xludf.DUMMYFUNCTION("""COMPUTED_VALUE"""),139047)</f>
        <v>139047</v>
      </c>
      <c r="C7503" s="14">
        <f ca="1">IFERROR(__xludf.DUMMYFUNCTION("""COMPUTED_VALUE"""),1)</f>
        <v>1</v>
      </c>
      <c r="D7503" s="12" t="str">
        <f ca="1">IFERROR(__xludf.DUMMYFUNCTION("""COMPUTED_VALUE"""),"稲場 勇介")</f>
        <v>稲場 勇介</v>
      </c>
    </row>
    <row r="7504" spans="2:4" ht="13">
      <c r="B7504" s="12">
        <f ca="1">IFERROR(__xludf.DUMMYFUNCTION("""COMPUTED_VALUE"""),139050)</f>
        <v>139050</v>
      </c>
      <c r="C7504" s="14">
        <f ca="1">IFERROR(__xludf.DUMMYFUNCTION("""COMPUTED_VALUE"""),0)</f>
        <v>0</v>
      </c>
      <c r="D7504" s="12" t="str">
        <f ca="1">IFERROR(__xludf.DUMMYFUNCTION("""COMPUTED_VALUE"""),"小関 麻起")</f>
        <v>小関 麻起</v>
      </c>
    </row>
    <row r="7505" spans="2:4" ht="13">
      <c r="B7505" s="12">
        <f ca="1">IFERROR(__xludf.DUMMYFUNCTION("""COMPUTED_VALUE"""),139054)</f>
        <v>139054</v>
      </c>
      <c r="C7505" s="14">
        <f ca="1">IFERROR(__xludf.DUMMYFUNCTION("""COMPUTED_VALUE"""),0)</f>
        <v>0</v>
      </c>
      <c r="D7505" s="12" t="str">
        <f ca="1">IFERROR(__xludf.DUMMYFUNCTION("""COMPUTED_VALUE"""),"内丸 裕子")</f>
        <v>内丸 裕子</v>
      </c>
    </row>
    <row r="7506" spans="2:4" ht="13">
      <c r="B7506" s="12">
        <f ca="1">IFERROR(__xludf.DUMMYFUNCTION("""COMPUTED_VALUE"""),139058)</f>
        <v>139058</v>
      </c>
      <c r="C7506" s="14">
        <f ca="1">IFERROR(__xludf.DUMMYFUNCTION("""COMPUTED_VALUE"""),0)</f>
        <v>0</v>
      </c>
      <c r="D7506" s="12" t="str">
        <f ca="1">IFERROR(__xludf.DUMMYFUNCTION("""COMPUTED_VALUE"""),"老田 純輝")</f>
        <v>老田 純輝</v>
      </c>
    </row>
    <row r="7507" spans="2:4" ht="13">
      <c r="B7507" s="12">
        <f ca="1">IFERROR(__xludf.DUMMYFUNCTION("""COMPUTED_VALUE"""),139060)</f>
        <v>139060</v>
      </c>
      <c r="C7507" s="14">
        <f ca="1">IFERROR(__xludf.DUMMYFUNCTION("""COMPUTED_VALUE"""),0)</f>
        <v>0</v>
      </c>
      <c r="D7507" s="12" t="str">
        <f ca="1">IFERROR(__xludf.DUMMYFUNCTION("""COMPUTED_VALUE"""),"菅野 ぎんが")</f>
        <v>菅野 ぎんが</v>
      </c>
    </row>
    <row r="7508" spans="2:4" ht="13">
      <c r="B7508" s="12">
        <f ca="1">IFERROR(__xludf.DUMMYFUNCTION("""COMPUTED_VALUE"""),139061)</f>
        <v>139061</v>
      </c>
      <c r="C7508" s="14">
        <f ca="1">IFERROR(__xludf.DUMMYFUNCTION("""COMPUTED_VALUE"""),0)</f>
        <v>0</v>
      </c>
      <c r="D7508" s="12" t="str">
        <f ca="1">IFERROR(__xludf.DUMMYFUNCTION("""COMPUTED_VALUE"""),"小川 純")</f>
        <v>小川 純</v>
      </c>
    </row>
    <row r="7509" spans="2:4" ht="13">
      <c r="B7509" s="12">
        <f ca="1">IFERROR(__xludf.DUMMYFUNCTION("""COMPUTED_VALUE"""),139065)</f>
        <v>139065</v>
      </c>
      <c r="C7509" s="14">
        <f ca="1">IFERROR(__xludf.DUMMYFUNCTION("""COMPUTED_VALUE"""),1)</f>
        <v>1</v>
      </c>
      <c r="D7509" s="12" t="str">
        <f ca="1">IFERROR(__xludf.DUMMYFUNCTION("""COMPUTED_VALUE"""),"桑原 明子")</f>
        <v>桑原 明子</v>
      </c>
    </row>
    <row r="7510" spans="2:4" ht="13">
      <c r="B7510" s="12">
        <f ca="1">IFERROR(__xludf.DUMMYFUNCTION("""COMPUTED_VALUE"""),139073)</f>
        <v>139073</v>
      </c>
      <c r="C7510" s="14">
        <f ca="1">IFERROR(__xludf.DUMMYFUNCTION("""COMPUTED_VALUE"""),0)</f>
        <v>0</v>
      </c>
      <c r="D7510" s="12" t="str">
        <f ca="1">IFERROR(__xludf.DUMMYFUNCTION("""COMPUTED_VALUE"""),"村上 浩一朗")</f>
        <v>村上 浩一朗</v>
      </c>
    </row>
    <row r="7511" spans="2:4" ht="13">
      <c r="B7511" s="12">
        <f ca="1">IFERROR(__xludf.DUMMYFUNCTION("""COMPUTED_VALUE"""),139074)</f>
        <v>139074</v>
      </c>
      <c r="C7511" s="14">
        <f ca="1">IFERROR(__xludf.DUMMYFUNCTION("""COMPUTED_VALUE"""),0)</f>
        <v>0</v>
      </c>
      <c r="D7511" s="12" t="str">
        <f ca="1">IFERROR(__xludf.DUMMYFUNCTION("""COMPUTED_VALUE"""),"荻曽 克輝")</f>
        <v>荻曽 克輝</v>
      </c>
    </row>
    <row r="7512" spans="2:4" ht="13">
      <c r="B7512" s="12">
        <f ca="1">IFERROR(__xludf.DUMMYFUNCTION("""COMPUTED_VALUE"""),139077)</f>
        <v>139077</v>
      </c>
      <c r="C7512" s="14">
        <f ca="1">IFERROR(__xludf.DUMMYFUNCTION("""COMPUTED_VALUE"""),1)</f>
        <v>1</v>
      </c>
      <c r="D7512" s="12" t="str">
        <f ca="1">IFERROR(__xludf.DUMMYFUNCTION("""COMPUTED_VALUE"""),"小川 純")</f>
        <v>小川 純</v>
      </c>
    </row>
    <row r="7513" spans="2:4" ht="13">
      <c r="B7513" s="12">
        <f ca="1">IFERROR(__xludf.DUMMYFUNCTION("""COMPUTED_VALUE"""),139078)</f>
        <v>139078</v>
      </c>
      <c r="C7513" s="14">
        <f ca="1">IFERROR(__xludf.DUMMYFUNCTION("""COMPUTED_VALUE"""),11)</f>
        <v>11</v>
      </c>
      <c r="D7513" s="12" t="str">
        <f ca="1">IFERROR(__xludf.DUMMYFUNCTION("""COMPUTED_VALUE"""),"小川 純")</f>
        <v>小川 純</v>
      </c>
    </row>
    <row r="7514" spans="2:4" ht="13">
      <c r="B7514" s="12">
        <f ca="1">IFERROR(__xludf.DUMMYFUNCTION("""COMPUTED_VALUE"""),139079)</f>
        <v>139079</v>
      </c>
      <c r="C7514" s="14">
        <f ca="1">IFERROR(__xludf.DUMMYFUNCTION("""COMPUTED_VALUE"""),10)</f>
        <v>10</v>
      </c>
      <c r="D7514" s="12" t="str">
        <f ca="1">IFERROR(__xludf.DUMMYFUNCTION("""COMPUTED_VALUE"""),"小関 麻起")</f>
        <v>小関 麻起</v>
      </c>
    </row>
    <row r="7515" spans="2:4" ht="13">
      <c r="B7515" s="12">
        <f ca="1">IFERROR(__xludf.DUMMYFUNCTION("""COMPUTED_VALUE"""),139080)</f>
        <v>139080</v>
      </c>
      <c r="C7515" s="14">
        <f ca="1">IFERROR(__xludf.DUMMYFUNCTION("""COMPUTED_VALUE"""),7)</f>
        <v>7</v>
      </c>
      <c r="D7515" s="12" t="str">
        <f ca="1">IFERROR(__xludf.DUMMYFUNCTION("""COMPUTED_VALUE"""),"稲場 勇介")</f>
        <v>稲場 勇介</v>
      </c>
    </row>
    <row r="7516" spans="2:4" ht="13">
      <c r="B7516" s="12">
        <f ca="1">IFERROR(__xludf.DUMMYFUNCTION("""COMPUTED_VALUE"""),139086)</f>
        <v>139086</v>
      </c>
      <c r="C7516" s="14">
        <f ca="1">IFERROR(__xludf.DUMMYFUNCTION("""COMPUTED_VALUE"""),0)</f>
        <v>0</v>
      </c>
      <c r="D7516" s="12" t="str">
        <f ca="1">IFERROR(__xludf.DUMMYFUNCTION("""COMPUTED_VALUE"""),"小関 麻起")</f>
        <v>小関 麻起</v>
      </c>
    </row>
    <row r="7517" spans="2:4" ht="13">
      <c r="B7517" s="12">
        <f ca="1">IFERROR(__xludf.DUMMYFUNCTION("""COMPUTED_VALUE"""),139087)</f>
        <v>139087</v>
      </c>
      <c r="C7517" s="14">
        <f ca="1">IFERROR(__xludf.DUMMYFUNCTION("""COMPUTED_VALUE"""),0)</f>
        <v>0</v>
      </c>
      <c r="D7517" s="12" t="str">
        <f ca="1">IFERROR(__xludf.DUMMYFUNCTION("""COMPUTED_VALUE"""),"老田 純輝")</f>
        <v>老田 純輝</v>
      </c>
    </row>
    <row r="7518" spans="2:4" ht="13">
      <c r="B7518" s="12">
        <f ca="1">IFERROR(__xludf.DUMMYFUNCTION("""COMPUTED_VALUE"""),139090)</f>
        <v>139090</v>
      </c>
      <c r="C7518" s="14">
        <f ca="1">IFERROR(__xludf.DUMMYFUNCTION("""COMPUTED_VALUE"""),3)</f>
        <v>3</v>
      </c>
      <c r="D7518" s="12" t="str">
        <f ca="1">IFERROR(__xludf.DUMMYFUNCTION("""COMPUTED_VALUE"""),"川島 幹也")</f>
        <v>川島 幹也</v>
      </c>
    </row>
    <row r="7519" spans="2:4" ht="13">
      <c r="B7519" s="12">
        <f ca="1">IFERROR(__xludf.DUMMYFUNCTION("""COMPUTED_VALUE"""),139092)</f>
        <v>139092</v>
      </c>
      <c r="C7519" s="14">
        <f ca="1">IFERROR(__xludf.DUMMYFUNCTION("""COMPUTED_VALUE"""),0)</f>
        <v>0</v>
      </c>
      <c r="D7519" s="12" t="str">
        <f ca="1">IFERROR(__xludf.DUMMYFUNCTION("""COMPUTED_VALUE"""),"菅野 ぎんが")</f>
        <v>菅野 ぎんが</v>
      </c>
    </row>
    <row r="7520" spans="2:4" ht="13">
      <c r="B7520" s="12">
        <f ca="1">IFERROR(__xludf.DUMMYFUNCTION("""COMPUTED_VALUE"""),139104)</f>
        <v>139104</v>
      </c>
      <c r="C7520" s="14">
        <f ca="1">IFERROR(__xludf.DUMMYFUNCTION("""COMPUTED_VALUE"""),29)</f>
        <v>29</v>
      </c>
      <c r="D7520" s="12" t="str">
        <f ca="1">IFERROR(__xludf.DUMMYFUNCTION("""COMPUTED_VALUE"""),"松尾 尚樹")</f>
        <v>松尾 尚樹</v>
      </c>
    </row>
    <row r="7521" spans="2:4" ht="13">
      <c r="B7521" s="12">
        <f ca="1">IFERROR(__xludf.DUMMYFUNCTION("""COMPUTED_VALUE"""),139108)</f>
        <v>139108</v>
      </c>
      <c r="C7521" s="14">
        <f ca="1">IFERROR(__xludf.DUMMYFUNCTION("""COMPUTED_VALUE"""),0)</f>
        <v>0</v>
      </c>
      <c r="D7521" s="12" t="str">
        <f ca="1">IFERROR(__xludf.DUMMYFUNCTION("""COMPUTED_VALUE"""),"松尾 尚樹")</f>
        <v>松尾 尚樹</v>
      </c>
    </row>
    <row r="7522" spans="2:4" ht="13">
      <c r="B7522" s="12">
        <f ca="1">IFERROR(__xludf.DUMMYFUNCTION("""COMPUTED_VALUE"""),139109)</f>
        <v>139109</v>
      </c>
      <c r="C7522" s="14">
        <f ca="1">IFERROR(__xludf.DUMMYFUNCTION("""COMPUTED_VALUE"""),0)</f>
        <v>0</v>
      </c>
      <c r="D7522" s="12" t="str">
        <f ca="1">IFERROR(__xludf.DUMMYFUNCTION("""COMPUTED_VALUE"""),"成嶋 夏未")</f>
        <v>成嶋 夏未</v>
      </c>
    </row>
    <row r="7523" spans="2:4" ht="13">
      <c r="B7523" s="12">
        <f ca="1">IFERROR(__xludf.DUMMYFUNCTION("""COMPUTED_VALUE"""),139112)</f>
        <v>139112</v>
      </c>
      <c r="C7523" s="14">
        <f ca="1">IFERROR(__xludf.DUMMYFUNCTION("""COMPUTED_VALUE"""),21)</f>
        <v>21</v>
      </c>
      <c r="D7523" s="12" t="str">
        <f ca="1">IFERROR(__xludf.DUMMYFUNCTION("""COMPUTED_VALUE"""),"稲場 勇介")</f>
        <v>稲場 勇介</v>
      </c>
    </row>
    <row r="7524" spans="2:4" ht="13">
      <c r="B7524" s="12">
        <f ca="1">IFERROR(__xludf.DUMMYFUNCTION("""COMPUTED_VALUE"""),139114)</f>
        <v>139114</v>
      </c>
      <c r="C7524" s="14">
        <f ca="1">IFERROR(__xludf.DUMMYFUNCTION("""COMPUTED_VALUE"""),0)</f>
        <v>0</v>
      </c>
      <c r="D7524" s="12" t="str">
        <f ca="1">IFERROR(__xludf.DUMMYFUNCTION("""COMPUTED_VALUE"""),"内丸 裕子")</f>
        <v>内丸 裕子</v>
      </c>
    </row>
    <row r="7525" spans="2:4" ht="13">
      <c r="B7525" s="12">
        <f ca="1">IFERROR(__xludf.DUMMYFUNCTION("""COMPUTED_VALUE"""),139115)</f>
        <v>139115</v>
      </c>
      <c r="C7525" s="14">
        <f ca="1">IFERROR(__xludf.DUMMYFUNCTION("""COMPUTED_VALUE"""),0)</f>
        <v>0</v>
      </c>
      <c r="D7525" s="12" t="str">
        <f ca="1">IFERROR(__xludf.DUMMYFUNCTION("""COMPUTED_VALUE"""),"成嶋 夏未")</f>
        <v>成嶋 夏未</v>
      </c>
    </row>
    <row r="7526" spans="2:4" ht="13">
      <c r="B7526" s="12">
        <f ca="1">IFERROR(__xludf.DUMMYFUNCTION("""COMPUTED_VALUE"""),139127)</f>
        <v>139127</v>
      </c>
      <c r="C7526" s="14">
        <f ca="1">IFERROR(__xludf.DUMMYFUNCTION("""COMPUTED_VALUE"""),0)</f>
        <v>0</v>
      </c>
      <c r="D7526" s="12" t="str">
        <f ca="1">IFERROR(__xludf.DUMMYFUNCTION("""COMPUTED_VALUE"""),"長谷川 陸朗")</f>
        <v>長谷川 陸朗</v>
      </c>
    </row>
    <row r="7527" spans="2:4" ht="13">
      <c r="B7527" s="12">
        <f ca="1">IFERROR(__xludf.DUMMYFUNCTION("""COMPUTED_VALUE"""),139140)</f>
        <v>139140</v>
      </c>
      <c r="C7527" s="14">
        <f ca="1">IFERROR(__xludf.DUMMYFUNCTION("""COMPUTED_VALUE"""),0)</f>
        <v>0</v>
      </c>
      <c r="D7527" s="12" t="str">
        <f ca="1">IFERROR(__xludf.DUMMYFUNCTION("""COMPUTED_VALUE"""),"内丸 裕子")</f>
        <v>内丸 裕子</v>
      </c>
    </row>
    <row r="7528" spans="2:4" ht="13">
      <c r="B7528" s="12">
        <f ca="1">IFERROR(__xludf.DUMMYFUNCTION("""COMPUTED_VALUE"""),139149)</f>
        <v>139149</v>
      </c>
      <c r="C7528" s="14">
        <f ca="1">IFERROR(__xludf.DUMMYFUNCTION("""COMPUTED_VALUE"""),6)</f>
        <v>6</v>
      </c>
      <c r="D7528" s="12" t="str">
        <f ca="1">IFERROR(__xludf.DUMMYFUNCTION("""COMPUTED_VALUE"""),"桐山 勝気")</f>
        <v>桐山 勝気</v>
      </c>
    </row>
    <row r="7529" spans="2:4" ht="13">
      <c r="B7529" s="12">
        <f ca="1">IFERROR(__xludf.DUMMYFUNCTION("""COMPUTED_VALUE"""),139153)</f>
        <v>139153</v>
      </c>
      <c r="C7529" s="14">
        <f ca="1">IFERROR(__xludf.DUMMYFUNCTION("""COMPUTED_VALUE"""),1)</f>
        <v>1</v>
      </c>
      <c r="D7529" s="12" t="str">
        <f ca="1">IFERROR(__xludf.DUMMYFUNCTION("""COMPUTED_VALUE"""),"桐山 勝気")</f>
        <v>桐山 勝気</v>
      </c>
    </row>
    <row r="7530" spans="2:4" ht="13">
      <c r="B7530" s="12">
        <f ca="1">IFERROR(__xludf.DUMMYFUNCTION("""COMPUTED_VALUE"""),139154)</f>
        <v>139154</v>
      </c>
      <c r="C7530" s="14">
        <f ca="1">IFERROR(__xludf.DUMMYFUNCTION("""COMPUTED_VALUE"""),6)</f>
        <v>6</v>
      </c>
      <c r="D7530" s="12" t="str">
        <f ca="1">IFERROR(__xludf.DUMMYFUNCTION("""COMPUTED_VALUE"""),"小川 純")</f>
        <v>小川 純</v>
      </c>
    </row>
    <row r="7531" spans="2:4" ht="13">
      <c r="B7531" s="12">
        <f ca="1">IFERROR(__xludf.DUMMYFUNCTION("""COMPUTED_VALUE"""),139155)</f>
        <v>139155</v>
      </c>
      <c r="C7531" s="14">
        <f ca="1">IFERROR(__xludf.DUMMYFUNCTION("""COMPUTED_VALUE"""),6)</f>
        <v>6</v>
      </c>
      <c r="D7531" s="12" t="str">
        <f ca="1">IFERROR(__xludf.DUMMYFUNCTION("""COMPUTED_VALUE"""),"松尾 尚樹")</f>
        <v>松尾 尚樹</v>
      </c>
    </row>
    <row r="7532" spans="2:4" ht="13">
      <c r="B7532" s="12">
        <f ca="1">IFERROR(__xludf.DUMMYFUNCTION("""COMPUTED_VALUE"""),139156)</f>
        <v>139156</v>
      </c>
      <c r="C7532" s="14">
        <f ca="1">IFERROR(__xludf.DUMMYFUNCTION("""COMPUTED_VALUE"""),5)</f>
        <v>5</v>
      </c>
      <c r="D7532" s="12" t="str">
        <f ca="1">IFERROR(__xludf.DUMMYFUNCTION("""COMPUTED_VALUE"""),"松尾 尚樹")</f>
        <v>松尾 尚樹</v>
      </c>
    </row>
    <row r="7533" spans="2:4" ht="13">
      <c r="B7533" s="12">
        <f ca="1">IFERROR(__xludf.DUMMYFUNCTION("""COMPUTED_VALUE"""),139170)</f>
        <v>139170</v>
      </c>
      <c r="C7533" s="14">
        <f ca="1">IFERROR(__xludf.DUMMYFUNCTION("""COMPUTED_VALUE"""),0)</f>
        <v>0</v>
      </c>
      <c r="D7533" s="12" t="str">
        <f ca="1">IFERROR(__xludf.DUMMYFUNCTION("""COMPUTED_VALUE"""),"堀越 駿")</f>
        <v>堀越 駿</v>
      </c>
    </row>
    <row r="7534" spans="2:4" ht="13">
      <c r="B7534" s="12">
        <f ca="1">IFERROR(__xludf.DUMMYFUNCTION("""COMPUTED_VALUE"""),139174)</f>
        <v>139174</v>
      </c>
      <c r="C7534" s="14">
        <f ca="1">IFERROR(__xludf.DUMMYFUNCTION("""COMPUTED_VALUE"""),0)</f>
        <v>0</v>
      </c>
      <c r="D7534" s="12" t="str">
        <f ca="1">IFERROR(__xludf.DUMMYFUNCTION("""COMPUTED_VALUE"""),"辻村 将大")</f>
        <v>辻村 将大</v>
      </c>
    </row>
    <row r="7535" spans="2:4" ht="13">
      <c r="B7535" s="12">
        <f ca="1">IFERROR(__xludf.DUMMYFUNCTION("""COMPUTED_VALUE"""),139176)</f>
        <v>139176</v>
      </c>
      <c r="C7535" s="14">
        <f ca="1">IFERROR(__xludf.DUMMYFUNCTION("""COMPUTED_VALUE"""),0)</f>
        <v>0</v>
      </c>
      <c r="D7535" s="12" t="str">
        <f ca="1">IFERROR(__xludf.DUMMYFUNCTION("""COMPUTED_VALUE"""),"辻村 将大")</f>
        <v>辻村 将大</v>
      </c>
    </row>
    <row r="7536" spans="2:4" ht="13">
      <c r="B7536" s="12">
        <f ca="1">IFERROR(__xludf.DUMMYFUNCTION("""COMPUTED_VALUE"""),139177)</f>
        <v>139177</v>
      </c>
      <c r="C7536" s="14">
        <f ca="1">IFERROR(__xludf.DUMMYFUNCTION("""COMPUTED_VALUE"""),2)</f>
        <v>2</v>
      </c>
      <c r="D7536" s="12" t="str">
        <f ca="1">IFERROR(__xludf.DUMMYFUNCTION("""COMPUTED_VALUE"""),"辻村 将大")</f>
        <v>辻村 将大</v>
      </c>
    </row>
    <row r="7537" spans="2:4" ht="13">
      <c r="B7537" s="12">
        <f ca="1">IFERROR(__xludf.DUMMYFUNCTION("""COMPUTED_VALUE"""),139182)</f>
        <v>139182</v>
      </c>
      <c r="C7537" s="14">
        <f ca="1">IFERROR(__xludf.DUMMYFUNCTION("""COMPUTED_VALUE"""),19)</f>
        <v>19</v>
      </c>
      <c r="D7537" s="12" t="str">
        <f ca="1">IFERROR(__xludf.DUMMYFUNCTION("""COMPUTED_VALUE"""),"成嶋 夏未")</f>
        <v>成嶋 夏未</v>
      </c>
    </row>
    <row r="7538" spans="2:4" ht="13">
      <c r="B7538" s="12">
        <f ca="1">IFERROR(__xludf.DUMMYFUNCTION("""COMPUTED_VALUE"""),139183)</f>
        <v>139183</v>
      </c>
      <c r="C7538" s="14">
        <f ca="1">IFERROR(__xludf.DUMMYFUNCTION("""COMPUTED_VALUE"""),1)</f>
        <v>1</v>
      </c>
      <c r="D7538" s="12" t="str">
        <f ca="1">IFERROR(__xludf.DUMMYFUNCTION("""COMPUTED_VALUE"""),"松尾 尚樹")</f>
        <v>松尾 尚樹</v>
      </c>
    </row>
    <row r="7539" spans="2:4" ht="13">
      <c r="B7539" s="12">
        <f ca="1">IFERROR(__xludf.DUMMYFUNCTION("""COMPUTED_VALUE"""),139184)</f>
        <v>139184</v>
      </c>
      <c r="C7539" s="14">
        <f ca="1">IFERROR(__xludf.DUMMYFUNCTION("""COMPUTED_VALUE"""),0)</f>
        <v>0</v>
      </c>
      <c r="D7539" s="12" t="str">
        <f ca="1">IFERROR(__xludf.DUMMYFUNCTION("""COMPUTED_VALUE"""),"稲場 勇介")</f>
        <v>稲場 勇介</v>
      </c>
    </row>
    <row r="7540" spans="2:4" ht="13">
      <c r="B7540" s="12">
        <f ca="1">IFERROR(__xludf.DUMMYFUNCTION("""COMPUTED_VALUE"""),139190)</f>
        <v>139190</v>
      </c>
      <c r="C7540" s="14">
        <f ca="1">IFERROR(__xludf.DUMMYFUNCTION("""COMPUTED_VALUE"""),0)</f>
        <v>0</v>
      </c>
      <c r="D7540" s="12" t="str">
        <f ca="1">IFERROR(__xludf.DUMMYFUNCTION("""COMPUTED_VALUE"""),"川島 幹也")</f>
        <v>川島 幹也</v>
      </c>
    </row>
    <row r="7541" spans="2:4" ht="13">
      <c r="B7541" s="12">
        <f ca="1">IFERROR(__xludf.DUMMYFUNCTION("""COMPUTED_VALUE"""),139192)</f>
        <v>139192</v>
      </c>
      <c r="C7541" s="14">
        <f ca="1">IFERROR(__xludf.DUMMYFUNCTION("""COMPUTED_VALUE"""),7)</f>
        <v>7</v>
      </c>
      <c r="D7541" s="12" t="str">
        <f ca="1">IFERROR(__xludf.DUMMYFUNCTION("""COMPUTED_VALUE"""),"川島 幹也")</f>
        <v>川島 幹也</v>
      </c>
    </row>
    <row r="7542" spans="2:4" ht="13">
      <c r="B7542" s="12">
        <f ca="1">IFERROR(__xludf.DUMMYFUNCTION("""COMPUTED_VALUE"""),139193)</f>
        <v>139193</v>
      </c>
      <c r="C7542" s="14">
        <f ca="1">IFERROR(__xludf.DUMMYFUNCTION("""COMPUTED_VALUE"""),0)</f>
        <v>0</v>
      </c>
      <c r="D7542" s="12" t="str">
        <f ca="1">IFERROR(__xludf.DUMMYFUNCTION("""COMPUTED_VALUE"""),"長谷川 陸朗")</f>
        <v>長谷川 陸朗</v>
      </c>
    </row>
    <row r="7543" spans="2:4" ht="13">
      <c r="B7543" s="12">
        <f ca="1">IFERROR(__xludf.DUMMYFUNCTION("""COMPUTED_VALUE"""),139199)</f>
        <v>139199</v>
      </c>
      <c r="C7543" s="14">
        <f ca="1">IFERROR(__xludf.DUMMYFUNCTION("""COMPUTED_VALUE"""),2)</f>
        <v>2</v>
      </c>
      <c r="D7543" s="12" t="str">
        <f ca="1">IFERROR(__xludf.DUMMYFUNCTION("""COMPUTED_VALUE"""),"長谷川 陸朗")</f>
        <v>長谷川 陸朗</v>
      </c>
    </row>
    <row r="7544" spans="2:4" ht="13">
      <c r="B7544" s="12">
        <f ca="1">IFERROR(__xludf.DUMMYFUNCTION("""COMPUTED_VALUE"""),139200)</f>
        <v>139200</v>
      </c>
      <c r="C7544" s="14">
        <f ca="1">IFERROR(__xludf.DUMMYFUNCTION("""COMPUTED_VALUE"""),0)</f>
        <v>0</v>
      </c>
      <c r="D7544" s="12" t="str">
        <f ca="1">IFERROR(__xludf.DUMMYFUNCTION("""COMPUTED_VALUE"""),"老田 純輝")</f>
        <v>老田 純輝</v>
      </c>
    </row>
    <row r="7545" spans="2:4" ht="13">
      <c r="B7545" s="12">
        <f ca="1">IFERROR(__xludf.DUMMYFUNCTION("""COMPUTED_VALUE"""),139202)</f>
        <v>139202</v>
      </c>
      <c r="C7545" s="14">
        <f ca="1">IFERROR(__xludf.DUMMYFUNCTION("""COMPUTED_VALUE"""),0)</f>
        <v>0</v>
      </c>
      <c r="D7545" s="12" t="str">
        <f ca="1">IFERROR(__xludf.DUMMYFUNCTION("""COMPUTED_VALUE"""),"成嶋 夏未")</f>
        <v>成嶋 夏未</v>
      </c>
    </row>
    <row r="7546" spans="2:4" ht="13">
      <c r="B7546" s="12">
        <f ca="1">IFERROR(__xludf.DUMMYFUNCTION("""COMPUTED_VALUE"""),139208)</f>
        <v>139208</v>
      </c>
      <c r="C7546" s="14">
        <f ca="1">IFERROR(__xludf.DUMMYFUNCTION("""COMPUTED_VALUE"""),0)</f>
        <v>0</v>
      </c>
      <c r="D7546" s="12" t="str">
        <f ca="1">IFERROR(__xludf.DUMMYFUNCTION("""COMPUTED_VALUE"""),"栗原 大武")</f>
        <v>栗原 大武</v>
      </c>
    </row>
    <row r="7547" spans="2:4" ht="13">
      <c r="B7547" s="12">
        <f ca="1">IFERROR(__xludf.DUMMYFUNCTION("""COMPUTED_VALUE"""),139209)</f>
        <v>139209</v>
      </c>
      <c r="C7547" s="14">
        <f ca="1">IFERROR(__xludf.DUMMYFUNCTION("""COMPUTED_VALUE"""),1)</f>
        <v>1</v>
      </c>
      <c r="D7547" s="12" t="str">
        <f ca="1">IFERROR(__xludf.DUMMYFUNCTION("""COMPUTED_VALUE"""),"小関 麻起")</f>
        <v>小関 麻起</v>
      </c>
    </row>
    <row r="7548" spans="2:4" ht="13">
      <c r="B7548" s="12">
        <f ca="1">IFERROR(__xludf.DUMMYFUNCTION("""COMPUTED_VALUE"""),139210)</f>
        <v>139210</v>
      </c>
      <c r="C7548" s="14">
        <f ca="1">IFERROR(__xludf.DUMMYFUNCTION("""COMPUTED_VALUE"""),7)</f>
        <v>7</v>
      </c>
      <c r="D7548" s="12" t="str">
        <f ca="1">IFERROR(__xludf.DUMMYFUNCTION("""COMPUTED_VALUE"""),"川島 幹也")</f>
        <v>川島 幹也</v>
      </c>
    </row>
    <row r="7549" spans="2:4" ht="13">
      <c r="B7549" s="12">
        <f ca="1">IFERROR(__xludf.DUMMYFUNCTION("""COMPUTED_VALUE"""),139212)</f>
        <v>139212</v>
      </c>
      <c r="C7549" s="14">
        <f ca="1">IFERROR(__xludf.DUMMYFUNCTION("""COMPUTED_VALUE"""),0)</f>
        <v>0</v>
      </c>
      <c r="D7549" s="12" t="str">
        <f ca="1">IFERROR(__xludf.DUMMYFUNCTION("""COMPUTED_VALUE"""),"稲場 勇介")</f>
        <v>稲場 勇介</v>
      </c>
    </row>
    <row r="7550" spans="2:4" ht="13">
      <c r="B7550" s="12">
        <f ca="1">IFERROR(__xludf.DUMMYFUNCTION("""COMPUTED_VALUE"""),139214)</f>
        <v>139214</v>
      </c>
      <c r="C7550" s="14">
        <f ca="1">IFERROR(__xludf.DUMMYFUNCTION("""COMPUTED_VALUE"""),0)</f>
        <v>0</v>
      </c>
      <c r="D7550" s="12" t="str">
        <f ca="1">IFERROR(__xludf.DUMMYFUNCTION("""COMPUTED_VALUE"""),"老田 純輝")</f>
        <v>老田 純輝</v>
      </c>
    </row>
    <row r="7551" spans="2:4" ht="13">
      <c r="B7551" s="12">
        <f ca="1">IFERROR(__xludf.DUMMYFUNCTION("""COMPUTED_VALUE"""),139219)</f>
        <v>139219</v>
      </c>
      <c r="C7551" s="14">
        <f ca="1">IFERROR(__xludf.DUMMYFUNCTION("""COMPUTED_VALUE"""),0)</f>
        <v>0</v>
      </c>
      <c r="D7551" s="12" t="str">
        <f ca="1">IFERROR(__xludf.DUMMYFUNCTION("""COMPUTED_VALUE"""),"小川 純")</f>
        <v>小川 純</v>
      </c>
    </row>
    <row r="7552" spans="2:4" ht="13">
      <c r="B7552" s="12">
        <f ca="1">IFERROR(__xludf.DUMMYFUNCTION("""COMPUTED_VALUE"""),139220)</f>
        <v>139220</v>
      </c>
      <c r="C7552" s="14">
        <f ca="1">IFERROR(__xludf.DUMMYFUNCTION("""COMPUTED_VALUE"""),4)</f>
        <v>4</v>
      </c>
      <c r="D7552" s="12" t="str">
        <f ca="1">IFERROR(__xludf.DUMMYFUNCTION("""COMPUTED_VALUE"""),"川島 幹也")</f>
        <v>川島 幹也</v>
      </c>
    </row>
    <row r="7553" spans="2:4" ht="13">
      <c r="B7553" s="12">
        <f ca="1">IFERROR(__xludf.DUMMYFUNCTION("""COMPUTED_VALUE"""),139223)</f>
        <v>139223</v>
      </c>
      <c r="C7553" s="14">
        <f ca="1">IFERROR(__xludf.DUMMYFUNCTION("""COMPUTED_VALUE"""),0)</f>
        <v>0</v>
      </c>
      <c r="D7553" s="12" t="str">
        <f ca="1">IFERROR(__xludf.DUMMYFUNCTION("""COMPUTED_VALUE"""),"荻曽 克輝")</f>
        <v>荻曽 克輝</v>
      </c>
    </row>
    <row r="7554" spans="2:4" ht="13">
      <c r="B7554" s="12">
        <f ca="1">IFERROR(__xludf.DUMMYFUNCTION("""COMPUTED_VALUE"""),139224)</f>
        <v>139224</v>
      </c>
      <c r="C7554" s="14">
        <f ca="1">IFERROR(__xludf.DUMMYFUNCTION("""COMPUTED_VALUE"""),12)</f>
        <v>12</v>
      </c>
      <c r="D7554" s="12" t="str">
        <f ca="1">IFERROR(__xludf.DUMMYFUNCTION("""COMPUTED_VALUE"""),"稲場 勇介")</f>
        <v>稲場 勇介</v>
      </c>
    </row>
    <row r="7555" spans="2:4" ht="13">
      <c r="B7555" s="12">
        <f ca="1">IFERROR(__xludf.DUMMYFUNCTION("""COMPUTED_VALUE"""),139227)</f>
        <v>139227</v>
      </c>
      <c r="C7555" s="14">
        <f ca="1">IFERROR(__xludf.DUMMYFUNCTION("""COMPUTED_VALUE"""),8)</f>
        <v>8</v>
      </c>
      <c r="D7555" s="12" t="str">
        <f ca="1">IFERROR(__xludf.DUMMYFUNCTION("""COMPUTED_VALUE"""),"荻曽 克輝")</f>
        <v>荻曽 克輝</v>
      </c>
    </row>
    <row r="7556" spans="2:4" ht="13">
      <c r="B7556" s="12">
        <f ca="1">IFERROR(__xludf.DUMMYFUNCTION("""COMPUTED_VALUE"""),139229)</f>
        <v>139229</v>
      </c>
      <c r="C7556" s="14">
        <f ca="1">IFERROR(__xludf.DUMMYFUNCTION("""COMPUTED_VALUE"""),0)</f>
        <v>0</v>
      </c>
      <c r="D7556" s="12" t="str">
        <f ca="1">IFERROR(__xludf.DUMMYFUNCTION("""COMPUTED_VALUE"""),"桐山 勝気")</f>
        <v>桐山 勝気</v>
      </c>
    </row>
    <row r="7557" spans="2:4" ht="13">
      <c r="B7557" s="12">
        <f ca="1">IFERROR(__xludf.DUMMYFUNCTION("""COMPUTED_VALUE"""),139230)</f>
        <v>139230</v>
      </c>
      <c r="C7557" s="14">
        <f ca="1">IFERROR(__xludf.DUMMYFUNCTION("""COMPUTED_VALUE"""),0)</f>
        <v>0</v>
      </c>
      <c r="D7557" s="12" t="str">
        <f ca="1">IFERROR(__xludf.DUMMYFUNCTION("""COMPUTED_VALUE"""),"栗原 大武")</f>
        <v>栗原 大武</v>
      </c>
    </row>
    <row r="7558" spans="2:4" ht="13">
      <c r="B7558" s="12">
        <f ca="1">IFERROR(__xludf.DUMMYFUNCTION("""COMPUTED_VALUE"""),139231)</f>
        <v>139231</v>
      </c>
      <c r="C7558" s="14">
        <f ca="1">IFERROR(__xludf.DUMMYFUNCTION("""COMPUTED_VALUE"""),0)</f>
        <v>0</v>
      </c>
      <c r="D7558" s="12" t="str">
        <f ca="1">IFERROR(__xludf.DUMMYFUNCTION("""COMPUTED_VALUE"""),"成嶋 夏未")</f>
        <v>成嶋 夏未</v>
      </c>
    </row>
    <row r="7559" spans="2:4" ht="13">
      <c r="B7559" s="12">
        <f ca="1">IFERROR(__xludf.DUMMYFUNCTION("""COMPUTED_VALUE"""),139232)</f>
        <v>139232</v>
      </c>
      <c r="C7559" s="14">
        <f ca="1">IFERROR(__xludf.DUMMYFUNCTION("""COMPUTED_VALUE"""),0)</f>
        <v>0</v>
      </c>
      <c r="D7559" s="12" t="str">
        <f ca="1">IFERROR(__xludf.DUMMYFUNCTION("""COMPUTED_VALUE"""),"松尾 尚樹")</f>
        <v>松尾 尚樹</v>
      </c>
    </row>
    <row r="7560" spans="2:4" ht="13">
      <c r="B7560" s="12">
        <f ca="1">IFERROR(__xludf.DUMMYFUNCTION("""COMPUTED_VALUE"""),139234)</f>
        <v>139234</v>
      </c>
      <c r="C7560" s="14">
        <f ca="1">IFERROR(__xludf.DUMMYFUNCTION("""COMPUTED_VALUE"""),0)</f>
        <v>0</v>
      </c>
      <c r="D7560" s="12" t="str">
        <f ca="1">IFERROR(__xludf.DUMMYFUNCTION("""COMPUTED_VALUE"""),"松尾 尚樹")</f>
        <v>松尾 尚樹</v>
      </c>
    </row>
    <row r="7561" spans="2:4" ht="13">
      <c r="B7561" s="12">
        <f ca="1">IFERROR(__xludf.DUMMYFUNCTION("""COMPUTED_VALUE"""),139236)</f>
        <v>139236</v>
      </c>
      <c r="C7561" s="14">
        <f ca="1">IFERROR(__xludf.DUMMYFUNCTION("""COMPUTED_VALUE"""),15)</f>
        <v>15</v>
      </c>
      <c r="D7561" s="12" t="str">
        <f ca="1">IFERROR(__xludf.DUMMYFUNCTION("""COMPUTED_VALUE"""),"内丸 裕子")</f>
        <v>内丸 裕子</v>
      </c>
    </row>
    <row r="7562" spans="2:4" ht="13">
      <c r="B7562" s="12">
        <f ca="1">IFERROR(__xludf.DUMMYFUNCTION("""COMPUTED_VALUE"""),139237)</f>
        <v>139237</v>
      </c>
      <c r="C7562" s="14">
        <f ca="1">IFERROR(__xludf.DUMMYFUNCTION("""COMPUTED_VALUE"""),0)</f>
        <v>0</v>
      </c>
      <c r="D7562" s="12" t="str">
        <f ca="1">IFERROR(__xludf.DUMMYFUNCTION("""COMPUTED_VALUE"""),"松尾 尚樹")</f>
        <v>松尾 尚樹</v>
      </c>
    </row>
    <row r="7563" spans="2:4" ht="13">
      <c r="B7563" s="12">
        <f ca="1">IFERROR(__xludf.DUMMYFUNCTION("""COMPUTED_VALUE"""),139238)</f>
        <v>139238</v>
      </c>
      <c r="C7563" s="14">
        <f ca="1">IFERROR(__xludf.DUMMYFUNCTION("""COMPUTED_VALUE"""),0)</f>
        <v>0</v>
      </c>
      <c r="D7563" s="12" t="str">
        <f ca="1">IFERROR(__xludf.DUMMYFUNCTION("""COMPUTED_VALUE"""),"成嶋 夏未")</f>
        <v>成嶋 夏未</v>
      </c>
    </row>
    <row r="7564" spans="2:4" ht="13">
      <c r="B7564" s="12">
        <f ca="1">IFERROR(__xludf.DUMMYFUNCTION("""COMPUTED_VALUE"""),139239)</f>
        <v>139239</v>
      </c>
      <c r="C7564" s="14">
        <f ca="1">IFERROR(__xludf.DUMMYFUNCTION("""COMPUTED_VALUE"""),0)</f>
        <v>0</v>
      </c>
      <c r="D7564" s="12" t="str">
        <f ca="1">IFERROR(__xludf.DUMMYFUNCTION("""COMPUTED_VALUE"""),"川島 幹也")</f>
        <v>川島 幹也</v>
      </c>
    </row>
    <row r="7565" spans="2:4" ht="13">
      <c r="B7565" s="12">
        <f ca="1">IFERROR(__xludf.DUMMYFUNCTION("""COMPUTED_VALUE"""),139240)</f>
        <v>139240</v>
      </c>
      <c r="C7565" s="14">
        <f ca="1">IFERROR(__xludf.DUMMYFUNCTION("""COMPUTED_VALUE"""),0)</f>
        <v>0</v>
      </c>
      <c r="D7565" s="12" t="str">
        <f ca="1">IFERROR(__xludf.DUMMYFUNCTION("""COMPUTED_VALUE"""),"小川 純")</f>
        <v>小川 純</v>
      </c>
    </row>
    <row r="7566" spans="2:4" ht="13">
      <c r="B7566" s="12">
        <f ca="1">IFERROR(__xludf.DUMMYFUNCTION("""COMPUTED_VALUE"""),139241)</f>
        <v>139241</v>
      </c>
      <c r="C7566" s="14">
        <f ca="1">IFERROR(__xludf.DUMMYFUNCTION("""COMPUTED_VALUE"""),7)</f>
        <v>7</v>
      </c>
      <c r="D7566" s="12" t="str">
        <f ca="1">IFERROR(__xludf.DUMMYFUNCTION("""COMPUTED_VALUE"""),"堀越 駿")</f>
        <v>堀越 駿</v>
      </c>
    </row>
    <row r="7567" spans="2:4" ht="13">
      <c r="B7567" s="12">
        <f ca="1">IFERROR(__xludf.DUMMYFUNCTION("""COMPUTED_VALUE"""),139244)</f>
        <v>139244</v>
      </c>
      <c r="C7567" s="14">
        <f ca="1">IFERROR(__xludf.DUMMYFUNCTION("""COMPUTED_VALUE"""),0)</f>
        <v>0</v>
      </c>
      <c r="D7567" s="12" t="str">
        <f ca="1">IFERROR(__xludf.DUMMYFUNCTION("""COMPUTED_VALUE"""),"成嶋 夏未")</f>
        <v>成嶋 夏未</v>
      </c>
    </row>
    <row r="7568" spans="2:4" ht="13">
      <c r="B7568" s="12">
        <f ca="1">IFERROR(__xludf.DUMMYFUNCTION("""COMPUTED_VALUE"""),139246)</f>
        <v>139246</v>
      </c>
      <c r="C7568" s="14">
        <f ca="1">IFERROR(__xludf.DUMMYFUNCTION("""COMPUTED_VALUE"""),0)</f>
        <v>0</v>
      </c>
      <c r="D7568" s="12" t="str">
        <f ca="1">IFERROR(__xludf.DUMMYFUNCTION("""COMPUTED_VALUE"""),"芳賀 亮輔")</f>
        <v>芳賀 亮輔</v>
      </c>
    </row>
    <row r="7569" spans="2:4" ht="13">
      <c r="B7569" s="12">
        <f ca="1">IFERROR(__xludf.DUMMYFUNCTION("""COMPUTED_VALUE"""),139251)</f>
        <v>139251</v>
      </c>
      <c r="C7569" s="14">
        <f ca="1">IFERROR(__xludf.DUMMYFUNCTION("""COMPUTED_VALUE"""),0)</f>
        <v>0</v>
      </c>
      <c r="D7569" s="12" t="str">
        <f ca="1">IFERROR(__xludf.DUMMYFUNCTION("""COMPUTED_VALUE"""),"荻曽 克輝")</f>
        <v>荻曽 克輝</v>
      </c>
    </row>
    <row r="7570" spans="2:4" ht="13">
      <c r="B7570" s="12">
        <f ca="1">IFERROR(__xludf.DUMMYFUNCTION("""COMPUTED_VALUE"""),139258)</f>
        <v>139258</v>
      </c>
      <c r="C7570" s="14">
        <f ca="1">IFERROR(__xludf.DUMMYFUNCTION("""COMPUTED_VALUE"""),5)</f>
        <v>5</v>
      </c>
      <c r="D7570" s="12" t="str">
        <f ca="1">IFERROR(__xludf.DUMMYFUNCTION("""COMPUTED_VALUE"""),"松尾 尚樹")</f>
        <v>松尾 尚樹</v>
      </c>
    </row>
    <row r="7571" spans="2:4" ht="13">
      <c r="B7571" s="12">
        <f ca="1">IFERROR(__xludf.DUMMYFUNCTION("""COMPUTED_VALUE"""),139261)</f>
        <v>139261</v>
      </c>
      <c r="C7571" s="14">
        <f ca="1">IFERROR(__xludf.DUMMYFUNCTION("""COMPUTED_VALUE"""),8)</f>
        <v>8</v>
      </c>
      <c r="D7571" s="12" t="str">
        <f ca="1">IFERROR(__xludf.DUMMYFUNCTION("""COMPUTED_VALUE"""),"田嶋 将太")</f>
        <v>田嶋 将太</v>
      </c>
    </row>
    <row r="7572" spans="2:4" ht="13">
      <c r="B7572" s="12">
        <f ca="1">IFERROR(__xludf.DUMMYFUNCTION("""COMPUTED_VALUE"""),139263)</f>
        <v>139263</v>
      </c>
      <c r="C7572" s="14">
        <f ca="1">IFERROR(__xludf.DUMMYFUNCTION("""COMPUTED_VALUE"""),0)</f>
        <v>0</v>
      </c>
      <c r="D7572" s="12" t="str">
        <f ca="1">IFERROR(__xludf.DUMMYFUNCTION("""COMPUTED_VALUE"""),"老田 純輝")</f>
        <v>老田 純輝</v>
      </c>
    </row>
    <row r="7573" spans="2:4" ht="13">
      <c r="B7573" s="12">
        <f ca="1">IFERROR(__xludf.DUMMYFUNCTION("""COMPUTED_VALUE"""),139270)</f>
        <v>139270</v>
      </c>
      <c r="C7573" s="14">
        <f ca="1">IFERROR(__xludf.DUMMYFUNCTION("""COMPUTED_VALUE"""),39)</f>
        <v>39</v>
      </c>
      <c r="D7573" s="12" t="str">
        <f ca="1">IFERROR(__xludf.DUMMYFUNCTION("""COMPUTED_VALUE"""),"栗原 大武")</f>
        <v>栗原 大武</v>
      </c>
    </row>
    <row r="7574" spans="2:4" ht="13">
      <c r="B7574" s="12">
        <f ca="1">IFERROR(__xludf.DUMMYFUNCTION("""COMPUTED_VALUE"""),139274)</f>
        <v>139274</v>
      </c>
      <c r="C7574" s="14">
        <f ca="1">IFERROR(__xludf.DUMMYFUNCTION("""COMPUTED_VALUE"""),9)</f>
        <v>9</v>
      </c>
      <c r="D7574" s="12" t="str">
        <f ca="1">IFERROR(__xludf.DUMMYFUNCTION("""COMPUTED_VALUE"""),"栗原 大武")</f>
        <v>栗原 大武</v>
      </c>
    </row>
    <row r="7575" spans="2:4" ht="13">
      <c r="B7575" s="12">
        <f ca="1">IFERROR(__xludf.DUMMYFUNCTION("""COMPUTED_VALUE"""),139276)</f>
        <v>139276</v>
      </c>
      <c r="C7575" s="14">
        <f ca="1">IFERROR(__xludf.DUMMYFUNCTION("""COMPUTED_VALUE"""),5)</f>
        <v>5</v>
      </c>
      <c r="D7575" s="12" t="str">
        <f ca="1">IFERROR(__xludf.DUMMYFUNCTION("""COMPUTED_VALUE"""),"堀越 駿")</f>
        <v>堀越 駿</v>
      </c>
    </row>
    <row r="7576" spans="2:4" ht="13">
      <c r="B7576" s="12">
        <f ca="1">IFERROR(__xludf.DUMMYFUNCTION("""COMPUTED_VALUE"""),139277)</f>
        <v>139277</v>
      </c>
      <c r="C7576" s="14">
        <f ca="1">IFERROR(__xludf.DUMMYFUNCTION("""COMPUTED_VALUE"""),0)</f>
        <v>0</v>
      </c>
      <c r="D7576" s="12" t="str">
        <f ca="1">IFERROR(__xludf.DUMMYFUNCTION("""COMPUTED_VALUE"""),"長谷川 陸朗")</f>
        <v>長谷川 陸朗</v>
      </c>
    </row>
    <row r="7577" spans="2:4" ht="13">
      <c r="B7577" s="12">
        <f ca="1">IFERROR(__xludf.DUMMYFUNCTION("""COMPUTED_VALUE"""),139359)</f>
        <v>139359</v>
      </c>
      <c r="C7577" s="14">
        <f ca="1">IFERROR(__xludf.DUMMYFUNCTION("""COMPUTED_VALUE"""),0)</f>
        <v>0</v>
      </c>
      <c r="D7577" s="12" t="str">
        <f ca="1">IFERROR(__xludf.DUMMYFUNCTION("""COMPUTED_VALUE"""),"成嶋 夏未")</f>
        <v>成嶋 夏未</v>
      </c>
    </row>
    <row r="7578" spans="2:4" ht="13">
      <c r="B7578" s="12">
        <f ca="1">IFERROR(__xludf.DUMMYFUNCTION("""COMPUTED_VALUE"""),139360)</f>
        <v>139360</v>
      </c>
      <c r="C7578" s="14">
        <f ca="1">IFERROR(__xludf.DUMMYFUNCTION("""COMPUTED_VALUE"""),16)</f>
        <v>16</v>
      </c>
      <c r="D7578" s="12" t="str">
        <f ca="1">IFERROR(__xludf.DUMMYFUNCTION("""COMPUTED_VALUE"""),"村上 浩一朗")</f>
        <v>村上 浩一朗</v>
      </c>
    </row>
    <row r="7579" spans="2:4" ht="13">
      <c r="B7579" s="12">
        <f ca="1">IFERROR(__xludf.DUMMYFUNCTION("""COMPUTED_VALUE"""),139363)</f>
        <v>139363</v>
      </c>
      <c r="C7579" s="14">
        <f ca="1">IFERROR(__xludf.DUMMYFUNCTION("""COMPUTED_VALUE"""),14)</f>
        <v>14</v>
      </c>
      <c r="D7579" s="12" t="str">
        <f ca="1">IFERROR(__xludf.DUMMYFUNCTION("""COMPUTED_VALUE"""),"松尾 尚樹")</f>
        <v>松尾 尚樹</v>
      </c>
    </row>
    <row r="7580" spans="2:4" ht="13">
      <c r="B7580" s="12">
        <f ca="1">IFERROR(__xludf.DUMMYFUNCTION("""COMPUTED_VALUE"""),139367)</f>
        <v>139367</v>
      </c>
      <c r="C7580" s="14">
        <f ca="1">IFERROR(__xludf.DUMMYFUNCTION("""COMPUTED_VALUE"""),0)</f>
        <v>0</v>
      </c>
      <c r="D7580" s="12" t="str">
        <f ca="1">IFERROR(__xludf.DUMMYFUNCTION("""COMPUTED_VALUE"""),"菅野 ぎんが")</f>
        <v>菅野 ぎんが</v>
      </c>
    </row>
    <row r="7581" spans="2:4" ht="13">
      <c r="B7581" s="12">
        <f ca="1">IFERROR(__xludf.DUMMYFUNCTION("""COMPUTED_VALUE"""),139381)</f>
        <v>139381</v>
      </c>
      <c r="C7581" s="14">
        <f ca="1">IFERROR(__xludf.DUMMYFUNCTION("""COMPUTED_VALUE"""),0)</f>
        <v>0</v>
      </c>
      <c r="D7581" s="12" t="str">
        <f ca="1">IFERROR(__xludf.DUMMYFUNCTION("""COMPUTED_VALUE"""),"成嶋 夏未")</f>
        <v>成嶋 夏未</v>
      </c>
    </row>
    <row r="7582" spans="2:4" ht="13">
      <c r="B7582" s="12">
        <f ca="1">IFERROR(__xludf.DUMMYFUNCTION("""COMPUTED_VALUE"""),139386)</f>
        <v>139386</v>
      </c>
      <c r="C7582" s="14">
        <f ca="1">IFERROR(__xludf.DUMMYFUNCTION("""COMPUTED_VALUE"""),1)</f>
        <v>1</v>
      </c>
      <c r="D7582" s="12" t="str">
        <f ca="1">IFERROR(__xludf.DUMMYFUNCTION("""COMPUTED_VALUE"""),"小関 麻起")</f>
        <v>小関 麻起</v>
      </c>
    </row>
    <row r="7583" spans="2:4" ht="13">
      <c r="B7583" s="12">
        <f ca="1">IFERROR(__xludf.DUMMYFUNCTION("""COMPUTED_VALUE"""),139406)</f>
        <v>139406</v>
      </c>
      <c r="C7583" s="14">
        <f ca="1">IFERROR(__xludf.DUMMYFUNCTION("""COMPUTED_VALUE"""),0)</f>
        <v>0</v>
      </c>
      <c r="D7583" s="12" t="str">
        <f ca="1">IFERROR(__xludf.DUMMYFUNCTION("""COMPUTED_VALUE"""),"松尾 尚樹")</f>
        <v>松尾 尚樹</v>
      </c>
    </row>
    <row r="7584" spans="2:4" ht="13">
      <c r="B7584" s="12">
        <f ca="1">IFERROR(__xludf.DUMMYFUNCTION("""COMPUTED_VALUE"""),139411)</f>
        <v>139411</v>
      </c>
      <c r="C7584" s="14">
        <f ca="1">IFERROR(__xludf.DUMMYFUNCTION("""COMPUTED_VALUE"""),0)</f>
        <v>0</v>
      </c>
      <c r="D7584" s="12" t="str">
        <f ca="1">IFERROR(__xludf.DUMMYFUNCTION("""COMPUTED_VALUE"""),"稲場 勇介")</f>
        <v>稲場 勇介</v>
      </c>
    </row>
    <row r="7585" spans="2:4" ht="13">
      <c r="B7585" s="12">
        <f ca="1">IFERROR(__xludf.DUMMYFUNCTION("""COMPUTED_VALUE"""),139415)</f>
        <v>139415</v>
      </c>
      <c r="C7585" s="14">
        <f ca="1">IFERROR(__xludf.DUMMYFUNCTION("""COMPUTED_VALUE"""),0)</f>
        <v>0</v>
      </c>
      <c r="D7585" s="12" t="str">
        <f ca="1">IFERROR(__xludf.DUMMYFUNCTION("""COMPUTED_VALUE"""),"菅野 ぎんが")</f>
        <v>菅野 ぎんが</v>
      </c>
    </row>
    <row r="7586" spans="2:4" ht="13">
      <c r="B7586" s="12">
        <f ca="1">IFERROR(__xludf.DUMMYFUNCTION("""COMPUTED_VALUE"""),139417)</f>
        <v>139417</v>
      </c>
      <c r="C7586" s="14">
        <f ca="1">IFERROR(__xludf.DUMMYFUNCTION("""COMPUTED_VALUE"""),0)</f>
        <v>0</v>
      </c>
      <c r="D7586" s="12" t="str">
        <f ca="1">IFERROR(__xludf.DUMMYFUNCTION("""COMPUTED_VALUE"""),"辻村 将大")</f>
        <v>辻村 将大</v>
      </c>
    </row>
    <row r="7587" spans="2:4" ht="13">
      <c r="B7587" s="12">
        <f ca="1">IFERROR(__xludf.DUMMYFUNCTION("""COMPUTED_VALUE"""),139418)</f>
        <v>139418</v>
      </c>
      <c r="C7587" s="14">
        <f ca="1">IFERROR(__xludf.DUMMYFUNCTION("""COMPUTED_VALUE"""),0)</f>
        <v>0</v>
      </c>
      <c r="D7587" s="12" t="str">
        <f ca="1">IFERROR(__xludf.DUMMYFUNCTION("""COMPUTED_VALUE"""),"桑原 明子")</f>
        <v>桑原 明子</v>
      </c>
    </row>
    <row r="7588" spans="2:4" ht="13">
      <c r="B7588" s="12">
        <f ca="1">IFERROR(__xludf.DUMMYFUNCTION("""COMPUTED_VALUE"""),139428)</f>
        <v>139428</v>
      </c>
      <c r="C7588" s="14">
        <f ca="1">IFERROR(__xludf.DUMMYFUNCTION("""COMPUTED_VALUE"""),6)</f>
        <v>6</v>
      </c>
      <c r="D7588" s="12" t="str">
        <f ca="1">IFERROR(__xludf.DUMMYFUNCTION("""COMPUTED_VALUE"""),"辻村 将大")</f>
        <v>辻村 将大</v>
      </c>
    </row>
    <row r="7589" spans="2:4" ht="13">
      <c r="B7589" s="12">
        <f ca="1">IFERROR(__xludf.DUMMYFUNCTION("""COMPUTED_VALUE"""),139440)</f>
        <v>139440</v>
      </c>
      <c r="C7589" s="14">
        <f ca="1">IFERROR(__xludf.DUMMYFUNCTION("""COMPUTED_VALUE"""),0)</f>
        <v>0</v>
      </c>
      <c r="D7589" s="12" t="str">
        <f ca="1">IFERROR(__xludf.DUMMYFUNCTION("""COMPUTED_VALUE"""),"荻曽 克輝")</f>
        <v>荻曽 克輝</v>
      </c>
    </row>
    <row r="7590" spans="2:4" ht="13">
      <c r="B7590" s="12">
        <f ca="1">IFERROR(__xludf.DUMMYFUNCTION("""COMPUTED_VALUE"""),139442)</f>
        <v>139442</v>
      </c>
      <c r="C7590" s="14">
        <f ca="1">IFERROR(__xludf.DUMMYFUNCTION("""COMPUTED_VALUE"""),0)</f>
        <v>0</v>
      </c>
      <c r="D7590" s="12" t="str">
        <f ca="1">IFERROR(__xludf.DUMMYFUNCTION("""COMPUTED_VALUE"""),"小関 麻起")</f>
        <v>小関 麻起</v>
      </c>
    </row>
    <row r="7591" spans="2:4" ht="13">
      <c r="B7591" s="12">
        <f ca="1">IFERROR(__xludf.DUMMYFUNCTION("""COMPUTED_VALUE"""),139445)</f>
        <v>139445</v>
      </c>
      <c r="C7591" s="14">
        <f ca="1">IFERROR(__xludf.DUMMYFUNCTION("""COMPUTED_VALUE"""),0)</f>
        <v>0</v>
      </c>
      <c r="D7591" s="12" t="str">
        <f ca="1">IFERROR(__xludf.DUMMYFUNCTION("""COMPUTED_VALUE"""),"内丸 裕子")</f>
        <v>内丸 裕子</v>
      </c>
    </row>
    <row r="7592" spans="2:4" ht="13">
      <c r="B7592" s="12">
        <f ca="1">IFERROR(__xludf.DUMMYFUNCTION("""COMPUTED_VALUE"""),139449)</f>
        <v>139449</v>
      </c>
      <c r="C7592" s="14">
        <f ca="1">IFERROR(__xludf.DUMMYFUNCTION("""COMPUTED_VALUE"""),21)</f>
        <v>21</v>
      </c>
      <c r="D7592" s="12" t="str">
        <f ca="1">IFERROR(__xludf.DUMMYFUNCTION("""COMPUTED_VALUE"""),"村上 浩一朗")</f>
        <v>村上 浩一朗</v>
      </c>
    </row>
    <row r="7593" spans="2:4" ht="13">
      <c r="B7593" s="12">
        <f ca="1">IFERROR(__xludf.DUMMYFUNCTION("""COMPUTED_VALUE"""),139453)</f>
        <v>139453</v>
      </c>
      <c r="C7593" s="14">
        <f ca="1">IFERROR(__xludf.DUMMYFUNCTION("""COMPUTED_VALUE"""),6)</f>
        <v>6</v>
      </c>
      <c r="D7593" s="12" t="str">
        <f ca="1">IFERROR(__xludf.DUMMYFUNCTION("""COMPUTED_VALUE"""),"成嶋 夏未")</f>
        <v>成嶋 夏未</v>
      </c>
    </row>
    <row r="7594" spans="2:4" ht="13">
      <c r="B7594" s="12">
        <f ca="1">IFERROR(__xludf.DUMMYFUNCTION("""COMPUTED_VALUE"""),139458)</f>
        <v>139458</v>
      </c>
      <c r="C7594" s="14">
        <f ca="1">IFERROR(__xludf.DUMMYFUNCTION("""COMPUTED_VALUE"""),93)</f>
        <v>93</v>
      </c>
      <c r="D7594" s="12" t="str">
        <f ca="1">IFERROR(__xludf.DUMMYFUNCTION("""COMPUTED_VALUE"""),"小川 純")</f>
        <v>小川 純</v>
      </c>
    </row>
    <row r="7595" spans="2:4" ht="13">
      <c r="B7595" s="12">
        <f ca="1">IFERROR(__xludf.DUMMYFUNCTION("""COMPUTED_VALUE"""),139467)</f>
        <v>139467</v>
      </c>
      <c r="C7595" s="14">
        <f ca="1">IFERROR(__xludf.DUMMYFUNCTION("""COMPUTED_VALUE"""),0)</f>
        <v>0</v>
      </c>
      <c r="D7595" s="12" t="str">
        <f ca="1">IFERROR(__xludf.DUMMYFUNCTION("""COMPUTED_VALUE"""),"桐山 勝気")</f>
        <v>桐山 勝気</v>
      </c>
    </row>
    <row r="7596" spans="2:4" ht="13">
      <c r="B7596" s="12">
        <f ca="1">IFERROR(__xludf.DUMMYFUNCTION("""COMPUTED_VALUE"""),139468)</f>
        <v>139468</v>
      </c>
      <c r="C7596" s="14">
        <f ca="1">IFERROR(__xludf.DUMMYFUNCTION("""COMPUTED_VALUE"""),0)</f>
        <v>0</v>
      </c>
      <c r="D7596" s="12" t="str">
        <f ca="1">IFERROR(__xludf.DUMMYFUNCTION("""COMPUTED_VALUE"""),"長谷川 陸朗")</f>
        <v>長谷川 陸朗</v>
      </c>
    </row>
    <row r="7597" spans="2:4" ht="13">
      <c r="B7597" s="12">
        <f ca="1">IFERROR(__xludf.DUMMYFUNCTION("""COMPUTED_VALUE"""),139469)</f>
        <v>139469</v>
      </c>
      <c r="C7597" s="14">
        <f ca="1">IFERROR(__xludf.DUMMYFUNCTION("""COMPUTED_VALUE"""),12)</f>
        <v>12</v>
      </c>
      <c r="D7597" s="12" t="str">
        <f ca="1">IFERROR(__xludf.DUMMYFUNCTION("""COMPUTED_VALUE"""),"田嶋 将太")</f>
        <v>田嶋 将太</v>
      </c>
    </row>
    <row r="7598" spans="2:4" ht="13">
      <c r="B7598" s="12">
        <f ca="1">IFERROR(__xludf.DUMMYFUNCTION("""COMPUTED_VALUE"""),139475)</f>
        <v>139475</v>
      </c>
      <c r="C7598" s="14">
        <f ca="1">IFERROR(__xludf.DUMMYFUNCTION("""COMPUTED_VALUE"""),0)</f>
        <v>0</v>
      </c>
      <c r="D7598" s="12" t="str">
        <f ca="1">IFERROR(__xludf.DUMMYFUNCTION("""COMPUTED_VALUE"""),"成嶋 夏未")</f>
        <v>成嶋 夏未</v>
      </c>
    </row>
    <row r="7599" spans="2:4" ht="13">
      <c r="B7599" s="12">
        <f ca="1">IFERROR(__xludf.DUMMYFUNCTION("""COMPUTED_VALUE"""),139479)</f>
        <v>139479</v>
      </c>
      <c r="C7599" s="14">
        <f ca="1">IFERROR(__xludf.DUMMYFUNCTION("""COMPUTED_VALUE"""),0)</f>
        <v>0</v>
      </c>
      <c r="D7599" s="12" t="str">
        <f ca="1">IFERROR(__xludf.DUMMYFUNCTION("""COMPUTED_VALUE"""),"稲場 勇介")</f>
        <v>稲場 勇介</v>
      </c>
    </row>
    <row r="7600" spans="2:4" ht="13">
      <c r="B7600" s="12">
        <f ca="1">IFERROR(__xludf.DUMMYFUNCTION("""COMPUTED_VALUE"""),139481)</f>
        <v>139481</v>
      </c>
      <c r="C7600" s="14">
        <f ca="1">IFERROR(__xludf.DUMMYFUNCTION("""COMPUTED_VALUE"""),4)</f>
        <v>4</v>
      </c>
      <c r="D7600" s="12" t="str">
        <f ca="1">IFERROR(__xludf.DUMMYFUNCTION("""COMPUTED_VALUE"""),"堀越 駿")</f>
        <v>堀越 駿</v>
      </c>
    </row>
    <row r="7601" spans="2:4" ht="13">
      <c r="B7601" s="12">
        <f ca="1">IFERROR(__xludf.DUMMYFUNCTION("""COMPUTED_VALUE"""),139482)</f>
        <v>139482</v>
      </c>
      <c r="C7601" s="14">
        <f ca="1">IFERROR(__xludf.DUMMYFUNCTION("""COMPUTED_VALUE"""),5)</f>
        <v>5</v>
      </c>
      <c r="D7601" s="12" t="str">
        <f ca="1">IFERROR(__xludf.DUMMYFUNCTION("""COMPUTED_VALUE"""),"老田 純輝")</f>
        <v>老田 純輝</v>
      </c>
    </row>
    <row r="7602" spans="2:4" ht="13">
      <c r="B7602" s="12">
        <f ca="1">IFERROR(__xludf.DUMMYFUNCTION("""COMPUTED_VALUE"""),139500)</f>
        <v>139500</v>
      </c>
      <c r="C7602" s="14">
        <f ca="1">IFERROR(__xludf.DUMMYFUNCTION("""COMPUTED_VALUE"""),122)</f>
        <v>122</v>
      </c>
      <c r="D7602" s="12" t="str">
        <f ca="1">IFERROR(__xludf.DUMMYFUNCTION("""COMPUTED_VALUE"""),"内丸 裕子")</f>
        <v>内丸 裕子</v>
      </c>
    </row>
    <row r="7603" spans="2:4" ht="13">
      <c r="B7603" s="12">
        <f ca="1">IFERROR(__xludf.DUMMYFUNCTION("""COMPUTED_VALUE"""),139506)</f>
        <v>139506</v>
      </c>
      <c r="C7603" s="14">
        <f ca="1">IFERROR(__xludf.DUMMYFUNCTION("""COMPUTED_VALUE"""),0)</f>
        <v>0</v>
      </c>
      <c r="D7603" s="12" t="str">
        <f ca="1">IFERROR(__xludf.DUMMYFUNCTION("""COMPUTED_VALUE"""),"荻曽 克輝")</f>
        <v>荻曽 克輝</v>
      </c>
    </row>
    <row r="7604" spans="2:4" ht="13">
      <c r="B7604" s="12">
        <f ca="1">IFERROR(__xludf.DUMMYFUNCTION("""COMPUTED_VALUE"""),139507)</f>
        <v>139507</v>
      </c>
      <c r="C7604" s="14">
        <f ca="1">IFERROR(__xludf.DUMMYFUNCTION("""COMPUTED_VALUE"""),0)</f>
        <v>0</v>
      </c>
      <c r="D7604" s="12" t="str">
        <f ca="1">IFERROR(__xludf.DUMMYFUNCTION("""COMPUTED_VALUE"""),"栗原 大武")</f>
        <v>栗原 大武</v>
      </c>
    </row>
    <row r="7605" spans="2:4" ht="13">
      <c r="B7605" s="12">
        <f ca="1">IFERROR(__xludf.DUMMYFUNCTION("""COMPUTED_VALUE"""),139509)</f>
        <v>139509</v>
      </c>
      <c r="C7605" s="14">
        <f ca="1">IFERROR(__xludf.DUMMYFUNCTION("""COMPUTED_VALUE"""),13)</f>
        <v>13</v>
      </c>
      <c r="D7605" s="12" t="str">
        <f ca="1">IFERROR(__xludf.DUMMYFUNCTION("""COMPUTED_VALUE"""),"長谷川 陸朗")</f>
        <v>長谷川 陸朗</v>
      </c>
    </row>
    <row r="7606" spans="2:4" ht="13">
      <c r="B7606" s="12">
        <f ca="1">IFERROR(__xludf.DUMMYFUNCTION("""COMPUTED_VALUE"""),139517)</f>
        <v>139517</v>
      </c>
      <c r="C7606" s="14">
        <f ca="1">IFERROR(__xludf.DUMMYFUNCTION("""COMPUTED_VALUE"""),0)</f>
        <v>0</v>
      </c>
      <c r="D7606" s="12" t="str">
        <f ca="1">IFERROR(__xludf.DUMMYFUNCTION("""COMPUTED_VALUE"""),"荻曽 克輝")</f>
        <v>荻曽 克輝</v>
      </c>
    </row>
    <row r="7607" spans="2:4" ht="13">
      <c r="B7607" s="12">
        <f ca="1">IFERROR(__xludf.DUMMYFUNCTION("""COMPUTED_VALUE"""),139518)</f>
        <v>139518</v>
      </c>
      <c r="C7607" s="14">
        <f ca="1">IFERROR(__xludf.DUMMYFUNCTION("""COMPUTED_VALUE"""),0)</f>
        <v>0</v>
      </c>
      <c r="D7607" s="12" t="str">
        <f ca="1">IFERROR(__xludf.DUMMYFUNCTION("""COMPUTED_VALUE"""),"芳賀 亮輔")</f>
        <v>芳賀 亮輔</v>
      </c>
    </row>
    <row r="7608" spans="2:4" ht="13">
      <c r="B7608" s="12">
        <f ca="1">IFERROR(__xludf.DUMMYFUNCTION("""COMPUTED_VALUE"""),139520)</f>
        <v>139520</v>
      </c>
      <c r="C7608" s="14">
        <f ca="1">IFERROR(__xludf.DUMMYFUNCTION("""COMPUTED_VALUE"""),0)</f>
        <v>0</v>
      </c>
      <c r="D7608" s="12" t="str">
        <f ca="1">IFERROR(__xludf.DUMMYFUNCTION("""COMPUTED_VALUE"""),"堀越 駿")</f>
        <v>堀越 駿</v>
      </c>
    </row>
    <row r="7609" spans="2:4" ht="13">
      <c r="B7609" s="12">
        <f ca="1">IFERROR(__xludf.DUMMYFUNCTION("""COMPUTED_VALUE"""),139522)</f>
        <v>139522</v>
      </c>
      <c r="C7609" s="14">
        <f ca="1">IFERROR(__xludf.DUMMYFUNCTION("""COMPUTED_VALUE"""),0)</f>
        <v>0</v>
      </c>
      <c r="D7609" s="12" t="str">
        <f ca="1">IFERROR(__xludf.DUMMYFUNCTION("""COMPUTED_VALUE"""),"小川 純")</f>
        <v>小川 純</v>
      </c>
    </row>
    <row r="7610" spans="2:4" ht="13">
      <c r="B7610" s="12">
        <f ca="1">IFERROR(__xludf.DUMMYFUNCTION("""COMPUTED_VALUE"""),139523)</f>
        <v>139523</v>
      </c>
      <c r="C7610" s="14">
        <f ca="1">IFERROR(__xludf.DUMMYFUNCTION("""COMPUTED_VALUE"""),0)</f>
        <v>0</v>
      </c>
      <c r="D7610" s="12" t="str">
        <f ca="1">IFERROR(__xludf.DUMMYFUNCTION("""COMPUTED_VALUE"""),"小関 麻起")</f>
        <v>小関 麻起</v>
      </c>
    </row>
    <row r="7611" spans="2:4" ht="13">
      <c r="B7611" s="12">
        <f ca="1">IFERROR(__xludf.DUMMYFUNCTION("""COMPUTED_VALUE"""),139527)</f>
        <v>139527</v>
      </c>
      <c r="C7611" s="14">
        <f ca="1">IFERROR(__xludf.DUMMYFUNCTION("""COMPUTED_VALUE"""),0)</f>
        <v>0</v>
      </c>
      <c r="D7611" s="12" t="str">
        <f ca="1">IFERROR(__xludf.DUMMYFUNCTION("""COMPUTED_VALUE"""),"小関 麻起")</f>
        <v>小関 麻起</v>
      </c>
    </row>
    <row r="7612" spans="2:4" ht="13">
      <c r="B7612" s="12">
        <f ca="1">IFERROR(__xludf.DUMMYFUNCTION("""COMPUTED_VALUE"""),139529)</f>
        <v>139529</v>
      </c>
      <c r="C7612" s="14">
        <f ca="1">IFERROR(__xludf.DUMMYFUNCTION("""COMPUTED_VALUE"""),0)</f>
        <v>0</v>
      </c>
      <c r="D7612" s="12" t="str">
        <f ca="1">IFERROR(__xludf.DUMMYFUNCTION("""COMPUTED_VALUE"""),"稲場 勇介")</f>
        <v>稲場 勇介</v>
      </c>
    </row>
    <row r="7613" spans="2:4" ht="13">
      <c r="B7613" s="12">
        <f ca="1">IFERROR(__xludf.DUMMYFUNCTION("""COMPUTED_VALUE"""),139532)</f>
        <v>139532</v>
      </c>
      <c r="C7613" s="14">
        <f ca="1">IFERROR(__xludf.DUMMYFUNCTION("""COMPUTED_VALUE"""),69)</f>
        <v>69</v>
      </c>
      <c r="D7613" s="12" t="str">
        <f ca="1">IFERROR(__xludf.DUMMYFUNCTION("""COMPUTED_VALUE"""),"小川 純")</f>
        <v>小川 純</v>
      </c>
    </row>
    <row r="7614" spans="2:4" ht="13">
      <c r="B7614" s="12">
        <f ca="1">IFERROR(__xludf.DUMMYFUNCTION("""COMPUTED_VALUE"""),139533)</f>
        <v>139533</v>
      </c>
      <c r="C7614" s="14">
        <f ca="1">IFERROR(__xludf.DUMMYFUNCTION("""COMPUTED_VALUE"""),24)</f>
        <v>24</v>
      </c>
      <c r="D7614" s="12" t="str">
        <f ca="1">IFERROR(__xludf.DUMMYFUNCTION("""COMPUTED_VALUE"""),"小川 純")</f>
        <v>小川 純</v>
      </c>
    </row>
    <row r="7615" spans="2:4" ht="13">
      <c r="B7615" s="12">
        <f ca="1">IFERROR(__xludf.DUMMYFUNCTION("""COMPUTED_VALUE"""),139534)</f>
        <v>139534</v>
      </c>
      <c r="C7615" s="14">
        <f ca="1">IFERROR(__xludf.DUMMYFUNCTION("""COMPUTED_VALUE"""),9)</f>
        <v>9</v>
      </c>
      <c r="D7615" s="12" t="str">
        <f ca="1">IFERROR(__xludf.DUMMYFUNCTION("""COMPUTED_VALUE"""),"小川 純")</f>
        <v>小川 純</v>
      </c>
    </row>
    <row r="7616" spans="2:4" ht="13">
      <c r="B7616" s="12">
        <f ca="1">IFERROR(__xludf.DUMMYFUNCTION("""COMPUTED_VALUE"""),139535)</f>
        <v>139535</v>
      </c>
      <c r="C7616" s="14">
        <f ca="1">IFERROR(__xludf.DUMMYFUNCTION("""COMPUTED_VALUE"""),16)</f>
        <v>16</v>
      </c>
      <c r="D7616" s="12" t="str">
        <f ca="1">IFERROR(__xludf.DUMMYFUNCTION("""COMPUTED_VALUE"""),"荻曽 克輝")</f>
        <v>荻曽 克輝</v>
      </c>
    </row>
    <row r="7617" spans="2:4" ht="13">
      <c r="B7617" s="12">
        <f ca="1">IFERROR(__xludf.DUMMYFUNCTION("""COMPUTED_VALUE"""),139538)</f>
        <v>139538</v>
      </c>
      <c r="C7617" s="14">
        <f ca="1">IFERROR(__xludf.DUMMYFUNCTION("""COMPUTED_VALUE"""),0)</f>
        <v>0</v>
      </c>
      <c r="D7617" s="12" t="str">
        <f ca="1">IFERROR(__xludf.DUMMYFUNCTION("""COMPUTED_VALUE"""),"松尾 尚樹")</f>
        <v>松尾 尚樹</v>
      </c>
    </row>
    <row r="7618" spans="2:4" ht="13">
      <c r="B7618" s="12">
        <f ca="1">IFERROR(__xludf.DUMMYFUNCTION("""COMPUTED_VALUE"""),139542)</f>
        <v>139542</v>
      </c>
      <c r="C7618" s="14">
        <f ca="1">IFERROR(__xludf.DUMMYFUNCTION("""COMPUTED_VALUE"""),0)</f>
        <v>0</v>
      </c>
      <c r="D7618" s="12" t="str">
        <f ca="1">IFERROR(__xludf.DUMMYFUNCTION("""COMPUTED_VALUE"""),"老田 純輝")</f>
        <v>老田 純輝</v>
      </c>
    </row>
    <row r="7619" spans="2:4" ht="13">
      <c r="B7619" s="12">
        <f ca="1">IFERROR(__xludf.DUMMYFUNCTION("""COMPUTED_VALUE"""),139545)</f>
        <v>139545</v>
      </c>
      <c r="C7619" s="14">
        <f ca="1">IFERROR(__xludf.DUMMYFUNCTION("""COMPUTED_VALUE"""),1)</f>
        <v>1</v>
      </c>
      <c r="D7619" s="12" t="str">
        <f ca="1">IFERROR(__xludf.DUMMYFUNCTION("""COMPUTED_VALUE"""),"菅野 ぎんが")</f>
        <v>菅野 ぎんが</v>
      </c>
    </row>
    <row r="7620" spans="2:4" ht="13">
      <c r="B7620" s="12">
        <f ca="1">IFERROR(__xludf.DUMMYFUNCTION("""COMPUTED_VALUE"""),139547)</f>
        <v>139547</v>
      </c>
      <c r="C7620" s="14">
        <f ca="1">IFERROR(__xludf.DUMMYFUNCTION("""COMPUTED_VALUE"""),0)</f>
        <v>0</v>
      </c>
      <c r="D7620" s="12" t="str">
        <f ca="1">IFERROR(__xludf.DUMMYFUNCTION("""COMPUTED_VALUE"""),"大木 優香")</f>
        <v>大木 優香</v>
      </c>
    </row>
    <row r="7621" spans="2:4" ht="13">
      <c r="B7621" s="12">
        <f ca="1">IFERROR(__xludf.DUMMYFUNCTION("""COMPUTED_VALUE"""),139555)</f>
        <v>139555</v>
      </c>
      <c r="C7621" s="14">
        <f ca="1">IFERROR(__xludf.DUMMYFUNCTION("""COMPUTED_VALUE"""),4)</f>
        <v>4</v>
      </c>
      <c r="D7621" s="12" t="str">
        <f ca="1">IFERROR(__xludf.DUMMYFUNCTION("""COMPUTED_VALUE"""),"荻曽 克輝")</f>
        <v>荻曽 克輝</v>
      </c>
    </row>
    <row r="7622" spans="2:4" ht="13">
      <c r="B7622" s="12">
        <f ca="1">IFERROR(__xludf.DUMMYFUNCTION("""COMPUTED_VALUE"""),139567)</f>
        <v>139567</v>
      </c>
      <c r="C7622" s="14">
        <f ca="1">IFERROR(__xludf.DUMMYFUNCTION("""COMPUTED_VALUE"""),1)</f>
        <v>1</v>
      </c>
      <c r="D7622" s="12" t="str">
        <f ca="1">IFERROR(__xludf.DUMMYFUNCTION("""COMPUTED_VALUE"""),"小川 純")</f>
        <v>小川 純</v>
      </c>
    </row>
    <row r="7623" spans="2:4" ht="13">
      <c r="B7623" s="12">
        <f ca="1">IFERROR(__xludf.DUMMYFUNCTION("""COMPUTED_VALUE"""),139569)</f>
        <v>139569</v>
      </c>
      <c r="C7623" s="14">
        <f ca="1">IFERROR(__xludf.DUMMYFUNCTION("""COMPUTED_VALUE"""),5)</f>
        <v>5</v>
      </c>
      <c r="D7623" s="12" t="str">
        <f ca="1">IFERROR(__xludf.DUMMYFUNCTION("""COMPUTED_VALUE"""),"川島 幹也")</f>
        <v>川島 幹也</v>
      </c>
    </row>
    <row r="7624" spans="2:4" ht="13">
      <c r="B7624" s="12">
        <f ca="1">IFERROR(__xludf.DUMMYFUNCTION("""COMPUTED_VALUE"""),139573)</f>
        <v>139573</v>
      </c>
      <c r="C7624" s="14">
        <f ca="1">IFERROR(__xludf.DUMMYFUNCTION("""COMPUTED_VALUE"""),0)</f>
        <v>0</v>
      </c>
      <c r="D7624" s="12" t="str">
        <f ca="1">IFERROR(__xludf.DUMMYFUNCTION("""COMPUTED_VALUE"""),"芳賀 亮輔")</f>
        <v>芳賀 亮輔</v>
      </c>
    </row>
    <row r="7625" spans="2:4" ht="13">
      <c r="B7625" s="12">
        <f ca="1">IFERROR(__xludf.DUMMYFUNCTION("""COMPUTED_VALUE"""),139574)</f>
        <v>139574</v>
      </c>
      <c r="C7625" s="14">
        <f ca="1">IFERROR(__xludf.DUMMYFUNCTION("""COMPUTED_VALUE"""),9)</f>
        <v>9</v>
      </c>
      <c r="D7625" s="12" t="str">
        <f ca="1">IFERROR(__xludf.DUMMYFUNCTION("""COMPUTED_VALUE"""),"菅野 ぎんが")</f>
        <v>菅野 ぎんが</v>
      </c>
    </row>
    <row r="7626" spans="2:4" ht="13">
      <c r="B7626" s="12">
        <f ca="1">IFERROR(__xludf.DUMMYFUNCTION("""COMPUTED_VALUE"""),139576)</f>
        <v>139576</v>
      </c>
      <c r="C7626" s="14">
        <f ca="1">IFERROR(__xludf.DUMMYFUNCTION("""COMPUTED_VALUE"""),0)</f>
        <v>0</v>
      </c>
      <c r="D7626" s="12" t="str">
        <f ca="1">IFERROR(__xludf.DUMMYFUNCTION("""COMPUTED_VALUE"""),"桑原 明子")</f>
        <v>桑原 明子</v>
      </c>
    </row>
    <row r="7627" spans="2:4" ht="13">
      <c r="B7627" s="12">
        <f ca="1">IFERROR(__xludf.DUMMYFUNCTION("""COMPUTED_VALUE"""),139579)</f>
        <v>139579</v>
      </c>
      <c r="C7627" s="14">
        <f ca="1">IFERROR(__xludf.DUMMYFUNCTION("""COMPUTED_VALUE"""),0)</f>
        <v>0</v>
      </c>
      <c r="D7627" s="12" t="str">
        <f ca="1">IFERROR(__xludf.DUMMYFUNCTION("""COMPUTED_VALUE"""),"小川 純")</f>
        <v>小川 純</v>
      </c>
    </row>
    <row r="7628" spans="2:4" ht="13">
      <c r="B7628" s="12">
        <f ca="1">IFERROR(__xludf.DUMMYFUNCTION("""COMPUTED_VALUE"""),139582)</f>
        <v>139582</v>
      </c>
      <c r="C7628" s="14">
        <f ca="1">IFERROR(__xludf.DUMMYFUNCTION("""COMPUTED_VALUE"""),8)</f>
        <v>8</v>
      </c>
      <c r="D7628" s="12" t="str">
        <f ca="1">IFERROR(__xludf.DUMMYFUNCTION("""COMPUTED_VALUE"""),"菅野 ぎんが")</f>
        <v>菅野 ぎんが</v>
      </c>
    </row>
    <row r="7629" spans="2:4" ht="13">
      <c r="B7629" s="12">
        <f ca="1">IFERROR(__xludf.DUMMYFUNCTION("""COMPUTED_VALUE"""),139590)</f>
        <v>139590</v>
      </c>
      <c r="C7629" s="14">
        <f ca="1">IFERROR(__xludf.DUMMYFUNCTION("""COMPUTED_VALUE"""),5)</f>
        <v>5</v>
      </c>
      <c r="D7629" s="12" t="str">
        <f ca="1">IFERROR(__xludf.DUMMYFUNCTION("""COMPUTED_VALUE"""),"小川 純")</f>
        <v>小川 純</v>
      </c>
    </row>
    <row r="7630" spans="2:4" ht="13">
      <c r="B7630" s="12">
        <f ca="1">IFERROR(__xludf.DUMMYFUNCTION("""COMPUTED_VALUE"""),139596)</f>
        <v>139596</v>
      </c>
      <c r="C7630" s="14">
        <f ca="1">IFERROR(__xludf.DUMMYFUNCTION("""COMPUTED_VALUE"""),7)</f>
        <v>7</v>
      </c>
      <c r="D7630" s="12" t="str">
        <f ca="1">IFERROR(__xludf.DUMMYFUNCTION("""COMPUTED_VALUE"""),"老田 純輝")</f>
        <v>老田 純輝</v>
      </c>
    </row>
    <row r="7631" spans="2:4" ht="13">
      <c r="B7631" s="12">
        <f ca="1">IFERROR(__xludf.DUMMYFUNCTION("""COMPUTED_VALUE"""),139598)</f>
        <v>139598</v>
      </c>
      <c r="C7631" s="14">
        <f ca="1">IFERROR(__xludf.DUMMYFUNCTION("""COMPUTED_VALUE"""),13)</f>
        <v>13</v>
      </c>
      <c r="D7631" s="12" t="str">
        <f ca="1">IFERROR(__xludf.DUMMYFUNCTION("""COMPUTED_VALUE"""),"小川 純")</f>
        <v>小川 純</v>
      </c>
    </row>
    <row r="7632" spans="2:4" ht="13">
      <c r="B7632" s="12">
        <f ca="1">IFERROR(__xludf.DUMMYFUNCTION("""COMPUTED_VALUE"""),139627)</f>
        <v>139627</v>
      </c>
      <c r="C7632" s="14">
        <f ca="1">IFERROR(__xludf.DUMMYFUNCTION("""COMPUTED_VALUE"""),6)</f>
        <v>6</v>
      </c>
      <c r="D7632" s="12" t="str">
        <f ca="1">IFERROR(__xludf.DUMMYFUNCTION("""COMPUTED_VALUE"""),"小川 純")</f>
        <v>小川 純</v>
      </c>
    </row>
    <row r="7633" spans="2:4" ht="13">
      <c r="B7633" s="12">
        <f ca="1">IFERROR(__xludf.DUMMYFUNCTION("""COMPUTED_VALUE"""),139629)</f>
        <v>139629</v>
      </c>
      <c r="C7633" s="14">
        <f ca="1">IFERROR(__xludf.DUMMYFUNCTION("""COMPUTED_VALUE"""),0)</f>
        <v>0</v>
      </c>
      <c r="D7633" s="12" t="str">
        <f ca="1">IFERROR(__xludf.DUMMYFUNCTION("""COMPUTED_VALUE"""),"長谷川 陸朗")</f>
        <v>長谷川 陸朗</v>
      </c>
    </row>
    <row r="7634" spans="2:4" ht="13">
      <c r="B7634" s="12">
        <f ca="1">IFERROR(__xludf.DUMMYFUNCTION("""COMPUTED_VALUE"""),139630)</f>
        <v>139630</v>
      </c>
      <c r="C7634" s="14">
        <f ca="1">IFERROR(__xludf.DUMMYFUNCTION("""COMPUTED_VALUE"""),5)</f>
        <v>5</v>
      </c>
      <c r="D7634" s="12" t="str">
        <f ca="1">IFERROR(__xludf.DUMMYFUNCTION("""COMPUTED_VALUE"""),"小川 純")</f>
        <v>小川 純</v>
      </c>
    </row>
    <row r="7635" spans="2:4" ht="13">
      <c r="B7635" s="12">
        <f ca="1">IFERROR(__xludf.DUMMYFUNCTION("""COMPUTED_VALUE"""),139640)</f>
        <v>139640</v>
      </c>
      <c r="C7635" s="14">
        <f ca="1">IFERROR(__xludf.DUMMYFUNCTION("""COMPUTED_VALUE"""),14)</f>
        <v>14</v>
      </c>
      <c r="D7635" s="12" t="str">
        <f ca="1">IFERROR(__xludf.DUMMYFUNCTION("""COMPUTED_VALUE"""),"成嶋 夏未")</f>
        <v>成嶋 夏未</v>
      </c>
    </row>
    <row r="7636" spans="2:4" ht="13">
      <c r="B7636" s="12">
        <f ca="1">IFERROR(__xludf.DUMMYFUNCTION("""COMPUTED_VALUE"""),139645)</f>
        <v>139645</v>
      </c>
      <c r="C7636" s="14">
        <f ca="1">IFERROR(__xludf.DUMMYFUNCTION("""COMPUTED_VALUE"""),7)</f>
        <v>7</v>
      </c>
      <c r="D7636" s="12" t="str">
        <f ca="1">IFERROR(__xludf.DUMMYFUNCTION("""COMPUTED_VALUE"""),"成嶋 夏未")</f>
        <v>成嶋 夏未</v>
      </c>
    </row>
    <row r="7637" spans="2:4" ht="13">
      <c r="B7637" s="12">
        <f ca="1">IFERROR(__xludf.DUMMYFUNCTION("""COMPUTED_VALUE"""),139646)</f>
        <v>139646</v>
      </c>
      <c r="C7637" s="14">
        <f ca="1">IFERROR(__xludf.DUMMYFUNCTION("""COMPUTED_VALUE"""),21)</f>
        <v>21</v>
      </c>
      <c r="D7637" s="12" t="str">
        <f ca="1">IFERROR(__xludf.DUMMYFUNCTION("""COMPUTED_VALUE"""),"森 光智")</f>
        <v>森 光智</v>
      </c>
    </row>
    <row r="7638" spans="2:4" ht="13">
      <c r="B7638" s="12">
        <f ca="1">IFERROR(__xludf.DUMMYFUNCTION("""COMPUTED_VALUE"""),139649)</f>
        <v>139649</v>
      </c>
      <c r="C7638" s="14">
        <f ca="1">IFERROR(__xludf.DUMMYFUNCTION("""COMPUTED_VALUE"""),14)</f>
        <v>14</v>
      </c>
      <c r="D7638" s="12" t="str">
        <f ca="1">IFERROR(__xludf.DUMMYFUNCTION("""COMPUTED_VALUE"""),"稲場 勇介")</f>
        <v>稲場 勇介</v>
      </c>
    </row>
    <row r="7639" spans="2:4" ht="13">
      <c r="B7639" s="12">
        <f ca="1">IFERROR(__xludf.DUMMYFUNCTION("""COMPUTED_VALUE"""),139651)</f>
        <v>139651</v>
      </c>
      <c r="C7639" s="14">
        <f ca="1">IFERROR(__xludf.DUMMYFUNCTION("""COMPUTED_VALUE"""),0)</f>
        <v>0</v>
      </c>
      <c r="D7639" s="12" t="str">
        <f ca="1">IFERROR(__xludf.DUMMYFUNCTION("""COMPUTED_VALUE"""),"菅野 ぎんが")</f>
        <v>菅野 ぎんが</v>
      </c>
    </row>
    <row r="7640" spans="2:4" ht="13">
      <c r="B7640" s="12">
        <f ca="1">IFERROR(__xludf.DUMMYFUNCTION("""COMPUTED_VALUE"""),139657)</f>
        <v>139657</v>
      </c>
      <c r="C7640" s="14">
        <f ca="1">IFERROR(__xludf.DUMMYFUNCTION("""COMPUTED_VALUE"""),0)</f>
        <v>0</v>
      </c>
      <c r="D7640" s="12" t="str">
        <f ca="1">IFERROR(__xludf.DUMMYFUNCTION("""COMPUTED_VALUE"""),"松尾 尚樹")</f>
        <v>松尾 尚樹</v>
      </c>
    </row>
    <row r="7641" spans="2:4" ht="13">
      <c r="B7641" s="12">
        <f ca="1">IFERROR(__xludf.DUMMYFUNCTION("""COMPUTED_VALUE"""),139659)</f>
        <v>139659</v>
      </c>
      <c r="C7641" s="14">
        <f ca="1">IFERROR(__xludf.DUMMYFUNCTION("""COMPUTED_VALUE"""),0)</f>
        <v>0</v>
      </c>
      <c r="D7641" s="12" t="str">
        <f ca="1">IFERROR(__xludf.DUMMYFUNCTION("""COMPUTED_VALUE"""),"堀越 駿")</f>
        <v>堀越 駿</v>
      </c>
    </row>
    <row r="7642" spans="2:4" ht="13">
      <c r="B7642" s="12">
        <f ca="1">IFERROR(__xludf.DUMMYFUNCTION("""COMPUTED_VALUE"""),139671)</f>
        <v>139671</v>
      </c>
      <c r="C7642" s="14">
        <f ca="1">IFERROR(__xludf.DUMMYFUNCTION("""COMPUTED_VALUE"""),66)</f>
        <v>66</v>
      </c>
      <c r="D7642" s="12" t="str">
        <f ca="1">IFERROR(__xludf.DUMMYFUNCTION("""COMPUTED_VALUE"""),"内丸 裕子")</f>
        <v>内丸 裕子</v>
      </c>
    </row>
    <row r="7643" spans="2:4" ht="13">
      <c r="B7643" s="12">
        <f ca="1">IFERROR(__xludf.DUMMYFUNCTION("""COMPUTED_VALUE"""),139677)</f>
        <v>139677</v>
      </c>
      <c r="C7643" s="14">
        <f ca="1">IFERROR(__xludf.DUMMYFUNCTION("""COMPUTED_VALUE"""),0)</f>
        <v>0</v>
      </c>
      <c r="D7643" s="12" t="str">
        <f ca="1">IFERROR(__xludf.DUMMYFUNCTION("""COMPUTED_VALUE"""),"稲場 勇介")</f>
        <v>稲場 勇介</v>
      </c>
    </row>
    <row r="7644" spans="2:4" ht="13">
      <c r="B7644" s="12">
        <f ca="1">IFERROR(__xludf.DUMMYFUNCTION("""COMPUTED_VALUE"""),139682)</f>
        <v>139682</v>
      </c>
      <c r="C7644" s="14">
        <f ca="1">IFERROR(__xludf.DUMMYFUNCTION("""COMPUTED_VALUE"""),0)</f>
        <v>0</v>
      </c>
      <c r="D7644" s="12" t="str">
        <f ca="1">IFERROR(__xludf.DUMMYFUNCTION("""COMPUTED_VALUE"""),"成嶋 夏未")</f>
        <v>成嶋 夏未</v>
      </c>
    </row>
    <row r="7645" spans="2:4" ht="13">
      <c r="B7645" s="12">
        <f ca="1">IFERROR(__xludf.DUMMYFUNCTION("""COMPUTED_VALUE"""),139685)</f>
        <v>139685</v>
      </c>
      <c r="C7645" s="14">
        <f ca="1">IFERROR(__xludf.DUMMYFUNCTION("""COMPUTED_VALUE"""),0)</f>
        <v>0</v>
      </c>
      <c r="D7645" s="12" t="str">
        <f ca="1">IFERROR(__xludf.DUMMYFUNCTION("""COMPUTED_VALUE"""),"松尾 尚樹")</f>
        <v>松尾 尚樹</v>
      </c>
    </row>
    <row r="7646" spans="2:4" ht="13">
      <c r="B7646" s="12">
        <f ca="1">IFERROR(__xludf.DUMMYFUNCTION("""COMPUTED_VALUE"""),139688)</f>
        <v>139688</v>
      </c>
      <c r="C7646" s="14">
        <f ca="1">IFERROR(__xludf.DUMMYFUNCTION("""COMPUTED_VALUE"""),50)</f>
        <v>50</v>
      </c>
      <c r="D7646" s="12" t="str">
        <f ca="1">IFERROR(__xludf.DUMMYFUNCTION("""COMPUTED_VALUE"""),"内丸 裕子")</f>
        <v>内丸 裕子</v>
      </c>
    </row>
    <row r="7647" spans="2:4" ht="13">
      <c r="B7647" s="12">
        <f ca="1">IFERROR(__xludf.DUMMYFUNCTION("""COMPUTED_VALUE"""),139693)</f>
        <v>139693</v>
      </c>
      <c r="C7647" s="14">
        <f ca="1">IFERROR(__xludf.DUMMYFUNCTION("""COMPUTED_VALUE"""),0)</f>
        <v>0</v>
      </c>
      <c r="D7647" s="12" t="str">
        <f ca="1">IFERROR(__xludf.DUMMYFUNCTION("""COMPUTED_VALUE"""),"小関 麻起")</f>
        <v>小関 麻起</v>
      </c>
    </row>
    <row r="7648" spans="2:4" ht="13">
      <c r="B7648" s="12">
        <f ca="1">IFERROR(__xludf.DUMMYFUNCTION("""COMPUTED_VALUE"""),139694)</f>
        <v>139694</v>
      </c>
      <c r="C7648" s="14">
        <f ca="1">IFERROR(__xludf.DUMMYFUNCTION("""COMPUTED_VALUE"""),2)</f>
        <v>2</v>
      </c>
      <c r="D7648" s="12" t="str">
        <f ca="1">IFERROR(__xludf.DUMMYFUNCTION("""COMPUTED_VALUE"""),"老田 純輝")</f>
        <v>老田 純輝</v>
      </c>
    </row>
    <row r="7649" spans="2:4" ht="13">
      <c r="B7649" s="12">
        <f ca="1">IFERROR(__xludf.DUMMYFUNCTION("""COMPUTED_VALUE"""),139695)</f>
        <v>139695</v>
      </c>
      <c r="C7649" s="14">
        <f ca="1">IFERROR(__xludf.DUMMYFUNCTION("""COMPUTED_VALUE"""),0)</f>
        <v>0</v>
      </c>
      <c r="D7649" s="12" t="str">
        <f ca="1">IFERROR(__xludf.DUMMYFUNCTION("""COMPUTED_VALUE"""),"堀越 駿")</f>
        <v>堀越 駿</v>
      </c>
    </row>
    <row r="7650" spans="2:4" ht="13">
      <c r="B7650" s="12">
        <f ca="1">IFERROR(__xludf.DUMMYFUNCTION("""COMPUTED_VALUE"""),139697)</f>
        <v>139697</v>
      </c>
      <c r="C7650" s="14">
        <f ca="1">IFERROR(__xludf.DUMMYFUNCTION("""COMPUTED_VALUE"""),0)</f>
        <v>0</v>
      </c>
      <c r="D7650" s="12" t="str">
        <f ca="1">IFERROR(__xludf.DUMMYFUNCTION("""COMPUTED_VALUE"""),"桑原 明子")</f>
        <v>桑原 明子</v>
      </c>
    </row>
    <row r="7651" spans="2:4" ht="13">
      <c r="B7651" s="12">
        <f ca="1">IFERROR(__xludf.DUMMYFUNCTION("""COMPUTED_VALUE"""),139704)</f>
        <v>139704</v>
      </c>
      <c r="C7651" s="14">
        <f ca="1">IFERROR(__xludf.DUMMYFUNCTION("""COMPUTED_VALUE"""),2)</f>
        <v>2</v>
      </c>
      <c r="D7651" s="12" t="str">
        <f ca="1">IFERROR(__xludf.DUMMYFUNCTION("""COMPUTED_VALUE"""),"松尾 尚樹")</f>
        <v>松尾 尚樹</v>
      </c>
    </row>
    <row r="7652" spans="2:4" ht="13">
      <c r="B7652" s="12">
        <f ca="1">IFERROR(__xludf.DUMMYFUNCTION("""COMPUTED_VALUE"""),139707)</f>
        <v>139707</v>
      </c>
      <c r="C7652" s="14">
        <f ca="1">IFERROR(__xludf.DUMMYFUNCTION("""COMPUTED_VALUE"""),0)</f>
        <v>0</v>
      </c>
      <c r="D7652" s="12" t="str">
        <f ca="1">IFERROR(__xludf.DUMMYFUNCTION("""COMPUTED_VALUE"""),"村上 浩一朗")</f>
        <v>村上 浩一朗</v>
      </c>
    </row>
    <row r="7653" spans="2:4" ht="13">
      <c r="B7653" s="12">
        <f ca="1">IFERROR(__xludf.DUMMYFUNCTION("""COMPUTED_VALUE"""),139716)</f>
        <v>139716</v>
      </c>
      <c r="C7653" s="14">
        <f ca="1">IFERROR(__xludf.DUMMYFUNCTION("""COMPUTED_VALUE"""),0)</f>
        <v>0</v>
      </c>
      <c r="D7653" s="12" t="str">
        <f ca="1">IFERROR(__xludf.DUMMYFUNCTION("""COMPUTED_VALUE"""),"稲場 勇介")</f>
        <v>稲場 勇介</v>
      </c>
    </row>
    <row r="7654" spans="2:4" ht="13">
      <c r="B7654" s="12">
        <f ca="1">IFERROR(__xludf.DUMMYFUNCTION("""COMPUTED_VALUE"""),139718)</f>
        <v>139718</v>
      </c>
      <c r="C7654" s="14">
        <f ca="1">IFERROR(__xludf.DUMMYFUNCTION("""COMPUTED_VALUE"""),0)</f>
        <v>0</v>
      </c>
      <c r="D7654" s="12" t="str">
        <f ca="1">IFERROR(__xludf.DUMMYFUNCTION("""COMPUTED_VALUE"""),"成嶋 夏未")</f>
        <v>成嶋 夏未</v>
      </c>
    </row>
    <row r="7655" spans="2:4" ht="13">
      <c r="B7655" s="12">
        <f ca="1">IFERROR(__xludf.DUMMYFUNCTION("""COMPUTED_VALUE"""),139721)</f>
        <v>139721</v>
      </c>
      <c r="C7655" s="14">
        <f ca="1">IFERROR(__xludf.DUMMYFUNCTION("""COMPUTED_VALUE"""),0)</f>
        <v>0</v>
      </c>
      <c r="D7655" s="12" t="str">
        <f ca="1">IFERROR(__xludf.DUMMYFUNCTION("""COMPUTED_VALUE"""),"小関 麻起")</f>
        <v>小関 麻起</v>
      </c>
    </row>
    <row r="7656" spans="2:4" ht="13">
      <c r="B7656" s="12">
        <f ca="1">IFERROR(__xludf.DUMMYFUNCTION("""COMPUTED_VALUE"""),139730)</f>
        <v>139730</v>
      </c>
      <c r="C7656" s="14">
        <f ca="1">IFERROR(__xludf.DUMMYFUNCTION("""COMPUTED_VALUE"""),4)</f>
        <v>4</v>
      </c>
      <c r="D7656" s="12" t="str">
        <f ca="1">IFERROR(__xludf.DUMMYFUNCTION("""COMPUTED_VALUE"""),"老田 純輝")</f>
        <v>老田 純輝</v>
      </c>
    </row>
    <row r="7657" spans="2:4" ht="13">
      <c r="B7657" s="12">
        <f ca="1">IFERROR(__xludf.DUMMYFUNCTION("""COMPUTED_VALUE"""),139737)</f>
        <v>139737</v>
      </c>
      <c r="C7657" s="14">
        <f ca="1">IFERROR(__xludf.DUMMYFUNCTION("""COMPUTED_VALUE"""),0)</f>
        <v>0</v>
      </c>
      <c r="D7657" s="12" t="str">
        <f ca="1">IFERROR(__xludf.DUMMYFUNCTION("""COMPUTED_VALUE"""),"大木 優香")</f>
        <v>大木 優香</v>
      </c>
    </row>
    <row r="7658" spans="2:4" ht="13">
      <c r="B7658" s="12">
        <f ca="1">IFERROR(__xludf.DUMMYFUNCTION("""COMPUTED_VALUE"""),139740)</f>
        <v>139740</v>
      </c>
      <c r="C7658" s="14">
        <f ca="1">IFERROR(__xludf.DUMMYFUNCTION("""COMPUTED_VALUE"""),0)</f>
        <v>0</v>
      </c>
      <c r="D7658" s="12" t="str">
        <f ca="1">IFERROR(__xludf.DUMMYFUNCTION("""COMPUTED_VALUE"""),"松尾 尚樹")</f>
        <v>松尾 尚樹</v>
      </c>
    </row>
    <row r="7659" spans="2:4" ht="13">
      <c r="B7659" s="12">
        <f ca="1">IFERROR(__xludf.DUMMYFUNCTION("""COMPUTED_VALUE"""),139742)</f>
        <v>139742</v>
      </c>
      <c r="C7659" s="14">
        <f ca="1">IFERROR(__xludf.DUMMYFUNCTION("""COMPUTED_VALUE"""),40)</f>
        <v>40</v>
      </c>
      <c r="D7659" s="12" t="str">
        <f ca="1">IFERROR(__xludf.DUMMYFUNCTION("""COMPUTED_VALUE"""),"荻曽 克輝")</f>
        <v>荻曽 克輝</v>
      </c>
    </row>
    <row r="7660" spans="2:4" ht="13">
      <c r="B7660" s="12">
        <f ca="1">IFERROR(__xludf.DUMMYFUNCTION("""COMPUTED_VALUE"""),139779)</f>
        <v>139779</v>
      </c>
      <c r="C7660" s="14">
        <f ca="1">IFERROR(__xludf.DUMMYFUNCTION("""COMPUTED_VALUE"""),18)</f>
        <v>18</v>
      </c>
      <c r="D7660" s="12" t="str">
        <f ca="1">IFERROR(__xludf.DUMMYFUNCTION("""COMPUTED_VALUE"""),"荻曽 克輝")</f>
        <v>荻曽 克輝</v>
      </c>
    </row>
    <row r="7661" spans="2:4" ht="13">
      <c r="B7661" s="12">
        <f ca="1">IFERROR(__xludf.DUMMYFUNCTION("""COMPUTED_VALUE"""),139780)</f>
        <v>139780</v>
      </c>
      <c r="C7661" s="14">
        <f ca="1">IFERROR(__xludf.DUMMYFUNCTION("""COMPUTED_VALUE"""),0)</f>
        <v>0</v>
      </c>
      <c r="D7661" s="12" t="str">
        <f ca="1">IFERROR(__xludf.DUMMYFUNCTION("""COMPUTED_VALUE"""),"芳賀 亮輔")</f>
        <v>芳賀 亮輔</v>
      </c>
    </row>
    <row r="7662" spans="2:4" ht="13">
      <c r="B7662" s="12">
        <f ca="1">IFERROR(__xludf.DUMMYFUNCTION("""COMPUTED_VALUE"""),139782)</f>
        <v>139782</v>
      </c>
      <c r="C7662" s="14">
        <f ca="1">IFERROR(__xludf.DUMMYFUNCTION("""COMPUTED_VALUE"""),0)</f>
        <v>0</v>
      </c>
      <c r="D7662" s="12" t="str">
        <f ca="1">IFERROR(__xludf.DUMMYFUNCTION("""COMPUTED_VALUE"""),"菅野 ぎんが")</f>
        <v>菅野 ぎんが</v>
      </c>
    </row>
    <row r="7663" spans="2:4" ht="13">
      <c r="B7663" s="12">
        <f ca="1">IFERROR(__xludf.DUMMYFUNCTION("""COMPUTED_VALUE"""),139784)</f>
        <v>139784</v>
      </c>
      <c r="C7663" s="14">
        <f ca="1">IFERROR(__xludf.DUMMYFUNCTION("""COMPUTED_VALUE"""),0)</f>
        <v>0</v>
      </c>
      <c r="D7663" s="12" t="str">
        <f ca="1">IFERROR(__xludf.DUMMYFUNCTION("""COMPUTED_VALUE"""),"桑原 明子")</f>
        <v>桑原 明子</v>
      </c>
    </row>
    <row r="7664" spans="2:4" ht="13">
      <c r="B7664" s="12">
        <f ca="1">IFERROR(__xludf.DUMMYFUNCTION("""COMPUTED_VALUE"""),139794)</f>
        <v>139794</v>
      </c>
      <c r="C7664" s="14">
        <f ca="1">IFERROR(__xludf.DUMMYFUNCTION("""COMPUTED_VALUE"""),0)</f>
        <v>0</v>
      </c>
      <c r="D7664" s="12" t="str">
        <f ca="1">IFERROR(__xludf.DUMMYFUNCTION("""COMPUTED_VALUE"""),"村上 浩一朗")</f>
        <v>村上 浩一朗</v>
      </c>
    </row>
    <row r="7665" spans="2:4" ht="13">
      <c r="B7665" s="12">
        <f ca="1">IFERROR(__xludf.DUMMYFUNCTION("""COMPUTED_VALUE"""),139796)</f>
        <v>139796</v>
      </c>
      <c r="C7665" s="14">
        <f ca="1">IFERROR(__xludf.DUMMYFUNCTION("""COMPUTED_VALUE"""),0)</f>
        <v>0</v>
      </c>
      <c r="D7665" s="12" t="str">
        <f ca="1">IFERROR(__xludf.DUMMYFUNCTION("""COMPUTED_VALUE"""),"成嶋 夏未")</f>
        <v>成嶋 夏未</v>
      </c>
    </row>
    <row r="7666" spans="2:4" ht="13">
      <c r="B7666" s="12">
        <f ca="1">IFERROR(__xludf.DUMMYFUNCTION("""COMPUTED_VALUE"""),139798)</f>
        <v>139798</v>
      </c>
      <c r="C7666" s="14">
        <f ca="1">IFERROR(__xludf.DUMMYFUNCTION("""COMPUTED_VALUE"""),0)</f>
        <v>0</v>
      </c>
      <c r="D7666" s="12" t="str">
        <f ca="1">IFERROR(__xludf.DUMMYFUNCTION("""COMPUTED_VALUE"""),"森 光智")</f>
        <v>森 光智</v>
      </c>
    </row>
    <row r="7667" spans="2:4" ht="13">
      <c r="B7667" s="12">
        <f ca="1">IFERROR(__xludf.DUMMYFUNCTION("""COMPUTED_VALUE"""),139802)</f>
        <v>139802</v>
      </c>
      <c r="C7667" s="14">
        <f ca="1">IFERROR(__xludf.DUMMYFUNCTION("""COMPUTED_VALUE"""),0)</f>
        <v>0</v>
      </c>
      <c r="D7667" s="12" t="str">
        <f ca="1">IFERROR(__xludf.DUMMYFUNCTION("""COMPUTED_VALUE"""),"堀越 駿")</f>
        <v>堀越 駿</v>
      </c>
    </row>
    <row r="7668" spans="2:4" ht="13">
      <c r="B7668" s="12">
        <f ca="1">IFERROR(__xludf.DUMMYFUNCTION("""COMPUTED_VALUE"""),139809)</f>
        <v>139809</v>
      </c>
      <c r="C7668" s="14">
        <f ca="1">IFERROR(__xludf.DUMMYFUNCTION("""COMPUTED_VALUE"""),0)</f>
        <v>0</v>
      </c>
      <c r="D7668" s="12" t="str">
        <f ca="1">IFERROR(__xludf.DUMMYFUNCTION("""COMPUTED_VALUE"""),"長谷川 陸朗")</f>
        <v>長谷川 陸朗</v>
      </c>
    </row>
    <row r="7669" spans="2:4" ht="13">
      <c r="B7669" s="12">
        <f ca="1">IFERROR(__xludf.DUMMYFUNCTION("""COMPUTED_VALUE"""),139812)</f>
        <v>139812</v>
      </c>
      <c r="C7669" s="14">
        <f ca="1">IFERROR(__xludf.DUMMYFUNCTION("""COMPUTED_VALUE"""),18)</f>
        <v>18</v>
      </c>
      <c r="D7669" s="12" t="str">
        <f ca="1">IFERROR(__xludf.DUMMYFUNCTION("""COMPUTED_VALUE"""),"成嶋 夏未")</f>
        <v>成嶋 夏未</v>
      </c>
    </row>
    <row r="7670" spans="2:4" ht="13">
      <c r="B7670" s="12">
        <f ca="1">IFERROR(__xludf.DUMMYFUNCTION("""COMPUTED_VALUE"""),139813)</f>
        <v>139813</v>
      </c>
      <c r="C7670" s="14">
        <f ca="1">IFERROR(__xludf.DUMMYFUNCTION("""COMPUTED_VALUE"""),0)</f>
        <v>0</v>
      </c>
      <c r="D7670" s="12" t="str">
        <f ca="1">IFERROR(__xludf.DUMMYFUNCTION("""COMPUTED_VALUE"""),"桐山 勝気")</f>
        <v>桐山 勝気</v>
      </c>
    </row>
    <row r="7671" spans="2:4" ht="13">
      <c r="B7671" s="12">
        <f ca="1">IFERROR(__xludf.DUMMYFUNCTION("""COMPUTED_VALUE"""),139820)</f>
        <v>139820</v>
      </c>
      <c r="C7671" s="14">
        <f ca="1">IFERROR(__xludf.DUMMYFUNCTION("""COMPUTED_VALUE"""),0)</f>
        <v>0</v>
      </c>
      <c r="D7671" s="12" t="str">
        <f ca="1">IFERROR(__xludf.DUMMYFUNCTION("""COMPUTED_VALUE"""),"小川 純")</f>
        <v>小川 純</v>
      </c>
    </row>
    <row r="7672" spans="2:4" ht="13">
      <c r="B7672" s="12">
        <f ca="1">IFERROR(__xludf.DUMMYFUNCTION("""COMPUTED_VALUE"""),139821)</f>
        <v>139821</v>
      </c>
      <c r="C7672" s="14">
        <f ca="1">IFERROR(__xludf.DUMMYFUNCTION("""COMPUTED_VALUE"""),3)</f>
        <v>3</v>
      </c>
      <c r="D7672" s="12" t="str">
        <f ca="1">IFERROR(__xludf.DUMMYFUNCTION("""COMPUTED_VALUE"""),"稲場 勇介")</f>
        <v>稲場 勇介</v>
      </c>
    </row>
    <row r="7673" spans="2:4" ht="13">
      <c r="B7673" s="12">
        <f ca="1">IFERROR(__xludf.DUMMYFUNCTION("""COMPUTED_VALUE"""),139822)</f>
        <v>139822</v>
      </c>
      <c r="C7673" s="14">
        <f ca="1">IFERROR(__xludf.DUMMYFUNCTION("""COMPUTED_VALUE"""),0)</f>
        <v>0</v>
      </c>
      <c r="D7673" s="12" t="str">
        <f ca="1">IFERROR(__xludf.DUMMYFUNCTION("""COMPUTED_VALUE"""),"堀越 駿")</f>
        <v>堀越 駿</v>
      </c>
    </row>
    <row r="7674" spans="2:4" ht="13">
      <c r="B7674" s="12">
        <f ca="1">IFERROR(__xludf.DUMMYFUNCTION("""COMPUTED_VALUE"""),139825)</f>
        <v>139825</v>
      </c>
      <c r="C7674" s="14">
        <f ca="1">IFERROR(__xludf.DUMMYFUNCTION("""COMPUTED_VALUE"""),0)</f>
        <v>0</v>
      </c>
      <c r="D7674" s="12" t="str">
        <f ca="1">IFERROR(__xludf.DUMMYFUNCTION("""COMPUTED_VALUE"""),"小川 純")</f>
        <v>小川 純</v>
      </c>
    </row>
    <row r="7675" spans="2:4" ht="13">
      <c r="B7675" s="12">
        <f ca="1">IFERROR(__xludf.DUMMYFUNCTION("""COMPUTED_VALUE"""),139835)</f>
        <v>139835</v>
      </c>
      <c r="C7675" s="14">
        <f ca="1">IFERROR(__xludf.DUMMYFUNCTION("""COMPUTED_VALUE"""),0)</f>
        <v>0</v>
      </c>
      <c r="D7675" s="12" t="str">
        <f ca="1">IFERROR(__xludf.DUMMYFUNCTION("""COMPUTED_VALUE"""),"成嶋 夏未")</f>
        <v>成嶋 夏未</v>
      </c>
    </row>
    <row r="7676" spans="2:4" ht="13">
      <c r="B7676" s="12">
        <f ca="1">IFERROR(__xludf.DUMMYFUNCTION("""COMPUTED_VALUE"""),139841)</f>
        <v>139841</v>
      </c>
      <c r="C7676" s="14">
        <f ca="1">IFERROR(__xludf.DUMMYFUNCTION("""COMPUTED_VALUE"""),70)</f>
        <v>70</v>
      </c>
      <c r="D7676" s="12" t="str">
        <f ca="1">IFERROR(__xludf.DUMMYFUNCTION("""COMPUTED_VALUE"""),"内丸 裕子")</f>
        <v>内丸 裕子</v>
      </c>
    </row>
    <row r="7677" spans="2:4" ht="13">
      <c r="B7677" s="12">
        <f ca="1">IFERROR(__xludf.DUMMYFUNCTION("""COMPUTED_VALUE"""),139846)</f>
        <v>139846</v>
      </c>
      <c r="C7677" s="14">
        <f ca="1">IFERROR(__xludf.DUMMYFUNCTION("""COMPUTED_VALUE"""),0)</f>
        <v>0</v>
      </c>
      <c r="D7677" s="12" t="str">
        <f ca="1">IFERROR(__xludf.DUMMYFUNCTION("""COMPUTED_VALUE"""),"桑原 明子")</f>
        <v>桑原 明子</v>
      </c>
    </row>
    <row r="7678" spans="2:4" ht="13">
      <c r="B7678" s="12">
        <f ca="1">IFERROR(__xludf.DUMMYFUNCTION("""COMPUTED_VALUE"""),139854)</f>
        <v>139854</v>
      </c>
      <c r="C7678" s="14">
        <f ca="1">IFERROR(__xludf.DUMMYFUNCTION("""COMPUTED_VALUE"""),67)</f>
        <v>67</v>
      </c>
      <c r="D7678" s="12" t="str">
        <f ca="1">IFERROR(__xludf.DUMMYFUNCTION("""COMPUTED_VALUE"""),"芳賀 亮輔")</f>
        <v>芳賀 亮輔</v>
      </c>
    </row>
    <row r="7679" spans="2:4" ht="13">
      <c r="B7679" s="12">
        <f ca="1">IFERROR(__xludf.DUMMYFUNCTION("""COMPUTED_VALUE"""),139858)</f>
        <v>139858</v>
      </c>
      <c r="C7679" s="14">
        <f ca="1">IFERROR(__xludf.DUMMYFUNCTION("""COMPUTED_VALUE"""),0)</f>
        <v>0</v>
      </c>
      <c r="D7679" s="12" t="str">
        <f ca="1">IFERROR(__xludf.DUMMYFUNCTION("""COMPUTED_VALUE"""),"小関 麻起")</f>
        <v>小関 麻起</v>
      </c>
    </row>
    <row r="7680" spans="2:4" ht="13">
      <c r="B7680" s="12">
        <f ca="1">IFERROR(__xludf.DUMMYFUNCTION("""COMPUTED_VALUE"""),139859)</f>
        <v>139859</v>
      </c>
      <c r="C7680" s="14">
        <f ca="1">IFERROR(__xludf.DUMMYFUNCTION("""COMPUTED_VALUE"""),0)</f>
        <v>0</v>
      </c>
      <c r="D7680" s="12" t="str">
        <f ca="1">IFERROR(__xludf.DUMMYFUNCTION("""COMPUTED_VALUE"""),"川島 幹也")</f>
        <v>川島 幹也</v>
      </c>
    </row>
    <row r="7681" spans="2:4" ht="13">
      <c r="B7681" s="12">
        <f ca="1">IFERROR(__xludf.DUMMYFUNCTION("""COMPUTED_VALUE"""),139863)</f>
        <v>139863</v>
      </c>
      <c r="C7681" s="14">
        <f ca="1">IFERROR(__xludf.DUMMYFUNCTION("""COMPUTED_VALUE"""),13)</f>
        <v>13</v>
      </c>
      <c r="D7681" s="12" t="str">
        <f ca="1">IFERROR(__xludf.DUMMYFUNCTION("""COMPUTED_VALUE"""),"桐山 勝気")</f>
        <v>桐山 勝気</v>
      </c>
    </row>
    <row r="7682" spans="2:4" ht="13">
      <c r="B7682" s="12">
        <f ca="1">IFERROR(__xludf.DUMMYFUNCTION("""COMPUTED_VALUE"""),139872)</f>
        <v>139872</v>
      </c>
      <c r="C7682" s="14">
        <f ca="1">IFERROR(__xludf.DUMMYFUNCTION("""COMPUTED_VALUE"""),0)</f>
        <v>0</v>
      </c>
      <c r="D7682" s="12" t="str">
        <f ca="1">IFERROR(__xludf.DUMMYFUNCTION("""COMPUTED_VALUE"""),"小川 純")</f>
        <v>小川 純</v>
      </c>
    </row>
    <row r="7683" spans="2:4" ht="13">
      <c r="B7683" s="12">
        <f ca="1">IFERROR(__xludf.DUMMYFUNCTION("""COMPUTED_VALUE"""),139880)</f>
        <v>139880</v>
      </c>
      <c r="C7683" s="14">
        <f ca="1">IFERROR(__xludf.DUMMYFUNCTION("""COMPUTED_VALUE"""),0)</f>
        <v>0</v>
      </c>
      <c r="D7683" s="12" t="str">
        <f ca="1">IFERROR(__xludf.DUMMYFUNCTION("""COMPUTED_VALUE"""),"芳賀 亮輔")</f>
        <v>芳賀 亮輔</v>
      </c>
    </row>
    <row r="7684" spans="2:4" ht="13">
      <c r="B7684" s="12">
        <f ca="1">IFERROR(__xludf.DUMMYFUNCTION("""COMPUTED_VALUE"""),139882)</f>
        <v>139882</v>
      </c>
      <c r="C7684" s="14">
        <f ca="1">IFERROR(__xludf.DUMMYFUNCTION("""COMPUTED_VALUE"""),11)</f>
        <v>11</v>
      </c>
      <c r="D7684" s="12" t="str">
        <f ca="1">IFERROR(__xludf.DUMMYFUNCTION("""COMPUTED_VALUE"""),"成嶋 夏未")</f>
        <v>成嶋 夏未</v>
      </c>
    </row>
    <row r="7685" spans="2:4" ht="13">
      <c r="B7685" s="12">
        <f ca="1">IFERROR(__xludf.DUMMYFUNCTION("""COMPUTED_VALUE"""),139886)</f>
        <v>139886</v>
      </c>
      <c r="C7685" s="14">
        <f ca="1">IFERROR(__xludf.DUMMYFUNCTION("""COMPUTED_VALUE"""),5)</f>
        <v>5</v>
      </c>
      <c r="D7685" s="12" t="str">
        <f ca="1">IFERROR(__xludf.DUMMYFUNCTION("""COMPUTED_VALUE"""),"稲場 勇介")</f>
        <v>稲場 勇介</v>
      </c>
    </row>
    <row r="7686" spans="2:4" ht="13">
      <c r="B7686" s="12">
        <f ca="1">IFERROR(__xludf.DUMMYFUNCTION("""COMPUTED_VALUE"""),139888)</f>
        <v>139888</v>
      </c>
      <c r="C7686" s="14">
        <f ca="1">IFERROR(__xludf.DUMMYFUNCTION("""COMPUTED_VALUE"""),7)</f>
        <v>7</v>
      </c>
      <c r="D7686" s="12" t="str">
        <f ca="1">IFERROR(__xludf.DUMMYFUNCTION("""COMPUTED_VALUE"""),"川島 幹也")</f>
        <v>川島 幹也</v>
      </c>
    </row>
    <row r="7687" spans="2:4" ht="13">
      <c r="B7687" s="12">
        <f ca="1">IFERROR(__xludf.DUMMYFUNCTION("""COMPUTED_VALUE"""),139889)</f>
        <v>139889</v>
      </c>
      <c r="C7687" s="14">
        <f ca="1">IFERROR(__xludf.DUMMYFUNCTION("""COMPUTED_VALUE"""),0)</f>
        <v>0</v>
      </c>
      <c r="D7687" s="12" t="str">
        <f ca="1">IFERROR(__xludf.DUMMYFUNCTION("""COMPUTED_VALUE"""),"長谷川 陸朗")</f>
        <v>長谷川 陸朗</v>
      </c>
    </row>
    <row r="7688" spans="2:4" ht="13">
      <c r="B7688" s="12">
        <f ca="1">IFERROR(__xludf.DUMMYFUNCTION("""COMPUTED_VALUE"""),139892)</f>
        <v>139892</v>
      </c>
      <c r="C7688" s="14">
        <f ca="1">IFERROR(__xludf.DUMMYFUNCTION("""COMPUTED_VALUE"""),0)</f>
        <v>0</v>
      </c>
      <c r="D7688" s="12" t="str">
        <f ca="1">IFERROR(__xludf.DUMMYFUNCTION("""COMPUTED_VALUE"""),"成嶋 夏未")</f>
        <v>成嶋 夏未</v>
      </c>
    </row>
    <row r="7689" spans="2:4" ht="13">
      <c r="B7689" s="12">
        <f ca="1">IFERROR(__xludf.DUMMYFUNCTION("""COMPUTED_VALUE"""),139894)</f>
        <v>139894</v>
      </c>
      <c r="C7689" s="14">
        <f ca="1">IFERROR(__xludf.DUMMYFUNCTION("""COMPUTED_VALUE"""),0)</f>
        <v>0</v>
      </c>
      <c r="D7689" s="12" t="str">
        <f ca="1">IFERROR(__xludf.DUMMYFUNCTION("""COMPUTED_VALUE"""),"小関 麻起")</f>
        <v>小関 麻起</v>
      </c>
    </row>
    <row r="7690" spans="2:4" ht="13">
      <c r="B7690" s="12">
        <f ca="1">IFERROR(__xludf.DUMMYFUNCTION("""COMPUTED_VALUE"""),139898)</f>
        <v>139898</v>
      </c>
      <c r="C7690" s="14">
        <f ca="1">IFERROR(__xludf.DUMMYFUNCTION("""COMPUTED_VALUE"""),0)</f>
        <v>0</v>
      </c>
      <c r="D7690" s="12" t="str">
        <f ca="1">IFERROR(__xludf.DUMMYFUNCTION("""COMPUTED_VALUE"""),"小関 麻起")</f>
        <v>小関 麻起</v>
      </c>
    </row>
    <row r="7691" spans="2:4" ht="13">
      <c r="B7691" s="12">
        <f ca="1">IFERROR(__xludf.DUMMYFUNCTION("""COMPUTED_VALUE"""),139932)</f>
        <v>139932</v>
      </c>
      <c r="C7691" s="14">
        <f ca="1">IFERROR(__xludf.DUMMYFUNCTION("""COMPUTED_VALUE"""),1)</f>
        <v>1</v>
      </c>
      <c r="D7691" s="12" t="str">
        <f ca="1">IFERROR(__xludf.DUMMYFUNCTION("""COMPUTED_VALUE"""),"大木 優香")</f>
        <v>大木 優香</v>
      </c>
    </row>
    <row r="7692" spans="2:4" ht="13">
      <c r="B7692" s="12">
        <f ca="1">IFERROR(__xludf.DUMMYFUNCTION("""COMPUTED_VALUE"""),139933)</f>
        <v>139933</v>
      </c>
      <c r="C7692" s="14">
        <f ca="1">IFERROR(__xludf.DUMMYFUNCTION("""COMPUTED_VALUE"""),0)</f>
        <v>0</v>
      </c>
      <c r="D7692" s="12" t="str">
        <f ca="1">IFERROR(__xludf.DUMMYFUNCTION("""COMPUTED_VALUE"""),"大木 優香")</f>
        <v>大木 優香</v>
      </c>
    </row>
    <row r="7693" spans="2:4" ht="13">
      <c r="B7693" s="12">
        <f ca="1">IFERROR(__xludf.DUMMYFUNCTION("""COMPUTED_VALUE"""),139935)</f>
        <v>139935</v>
      </c>
      <c r="C7693" s="14">
        <f ca="1">IFERROR(__xludf.DUMMYFUNCTION("""COMPUTED_VALUE"""),247)</f>
        <v>247</v>
      </c>
      <c r="D7693" s="12" t="str">
        <f ca="1">IFERROR(__xludf.DUMMYFUNCTION("""COMPUTED_VALUE"""),"辻村 将大")</f>
        <v>辻村 将大</v>
      </c>
    </row>
    <row r="7694" spans="2:4" ht="13">
      <c r="B7694" s="12">
        <f ca="1">IFERROR(__xludf.DUMMYFUNCTION("""COMPUTED_VALUE"""),139936)</f>
        <v>139936</v>
      </c>
      <c r="C7694" s="14">
        <f ca="1">IFERROR(__xludf.DUMMYFUNCTION("""COMPUTED_VALUE"""),19)</f>
        <v>19</v>
      </c>
      <c r="D7694" s="12" t="str">
        <f ca="1">IFERROR(__xludf.DUMMYFUNCTION("""COMPUTED_VALUE"""),"老田 純輝")</f>
        <v>老田 純輝</v>
      </c>
    </row>
    <row r="7695" spans="2:4" ht="13">
      <c r="B7695" s="12">
        <f ca="1">IFERROR(__xludf.DUMMYFUNCTION("""COMPUTED_VALUE"""),139937)</f>
        <v>139937</v>
      </c>
      <c r="C7695" s="14">
        <f ca="1">IFERROR(__xludf.DUMMYFUNCTION("""COMPUTED_VALUE"""),5)</f>
        <v>5</v>
      </c>
      <c r="D7695" s="12" t="str">
        <f ca="1">IFERROR(__xludf.DUMMYFUNCTION("""COMPUTED_VALUE"""),"小関 麻起")</f>
        <v>小関 麻起</v>
      </c>
    </row>
    <row r="7696" spans="2:4" ht="13">
      <c r="B7696" s="12">
        <f ca="1">IFERROR(__xludf.DUMMYFUNCTION("""COMPUTED_VALUE"""),139939)</f>
        <v>139939</v>
      </c>
      <c r="C7696" s="14">
        <f ca="1">IFERROR(__xludf.DUMMYFUNCTION("""COMPUTED_VALUE"""),0)</f>
        <v>0</v>
      </c>
      <c r="D7696" s="12" t="str">
        <f ca="1">IFERROR(__xludf.DUMMYFUNCTION("""COMPUTED_VALUE"""),"老田 純輝")</f>
        <v>老田 純輝</v>
      </c>
    </row>
    <row r="7697" spans="2:4" ht="13">
      <c r="B7697" s="12">
        <f ca="1">IFERROR(__xludf.DUMMYFUNCTION("""COMPUTED_VALUE"""),139941)</f>
        <v>139941</v>
      </c>
      <c r="C7697" s="14">
        <f ca="1">IFERROR(__xludf.DUMMYFUNCTION("""COMPUTED_VALUE"""),20)</f>
        <v>20</v>
      </c>
      <c r="D7697" s="12" t="str">
        <f ca="1">IFERROR(__xludf.DUMMYFUNCTION("""COMPUTED_VALUE"""),"内丸 裕子")</f>
        <v>内丸 裕子</v>
      </c>
    </row>
    <row r="7698" spans="2:4" ht="13">
      <c r="B7698" s="12">
        <f ca="1">IFERROR(__xludf.DUMMYFUNCTION("""COMPUTED_VALUE"""),139942)</f>
        <v>139942</v>
      </c>
      <c r="C7698" s="14">
        <f ca="1">IFERROR(__xludf.DUMMYFUNCTION("""COMPUTED_VALUE"""),1)</f>
        <v>1</v>
      </c>
      <c r="D7698" s="12" t="str">
        <f ca="1">IFERROR(__xludf.DUMMYFUNCTION("""COMPUTED_VALUE"""),"成嶋 夏未")</f>
        <v>成嶋 夏未</v>
      </c>
    </row>
    <row r="7699" spans="2:4" ht="13">
      <c r="B7699" s="12">
        <f ca="1">IFERROR(__xludf.DUMMYFUNCTION("""COMPUTED_VALUE"""),139951)</f>
        <v>139951</v>
      </c>
      <c r="C7699" s="14">
        <f ca="1">IFERROR(__xludf.DUMMYFUNCTION("""COMPUTED_VALUE"""),11)</f>
        <v>11</v>
      </c>
      <c r="D7699" s="12" t="str">
        <f ca="1">IFERROR(__xludf.DUMMYFUNCTION("""COMPUTED_VALUE"""),"栗原 大武")</f>
        <v>栗原 大武</v>
      </c>
    </row>
    <row r="7700" spans="2:4" ht="13">
      <c r="B7700" s="12">
        <f ca="1">IFERROR(__xludf.DUMMYFUNCTION("""COMPUTED_VALUE"""),139952)</f>
        <v>139952</v>
      </c>
      <c r="C7700" s="14">
        <f ca="1">IFERROR(__xludf.DUMMYFUNCTION("""COMPUTED_VALUE"""),366)</f>
        <v>366</v>
      </c>
      <c r="D7700" s="12" t="str">
        <f ca="1">IFERROR(__xludf.DUMMYFUNCTION("""COMPUTED_VALUE"""),"栗原 大武")</f>
        <v>栗原 大武</v>
      </c>
    </row>
    <row r="7701" spans="2:4" ht="13">
      <c r="B7701" s="12">
        <f ca="1">IFERROR(__xludf.DUMMYFUNCTION("""COMPUTED_VALUE"""),139956)</f>
        <v>139956</v>
      </c>
      <c r="C7701" s="14">
        <f ca="1">IFERROR(__xludf.DUMMYFUNCTION("""COMPUTED_VALUE"""),2)</f>
        <v>2</v>
      </c>
      <c r="D7701" s="12" t="str">
        <f ca="1">IFERROR(__xludf.DUMMYFUNCTION("""COMPUTED_VALUE"""),"老田 純輝")</f>
        <v>老田 純輝</v>
      </c>
    </row>
    <row r="7702" spans="2:4" ht="13">
      <c r="B7702" s="12">
        <f ca="1">IFERROR(__xludf.DUMMYFUNCTION("""COMPUTED_VALUE"""),139957)</f>
        <v>139957</v>
      </c>
      <c r="C7702" s="14">
        <f ca="1">IFERROR(__xludf.DUMMYFUNCTION("""COMPUTED_VALUE"""),0)</f>
        <v>0</v>
      </c>
      <c r="D7702" s="12" t="str">
        <f ca="1">IFERROR(__xludf.DUMMYFUNCTION("""COMPUTED_VALUE"""),"辻村 将大")</f>
        <v>辻村 将大</v>
      </c>
    </row>
    <row r="7703" spans="2:4" ht="13">
      <c r="B7703" s="12">
        <f ca="1">IFERROR(__xludf.DUMMYFUNCTION("""COMPUTED_VALUE"""),139970)</f>
        <v>139970</v>
      </c>
      <c r="C7703" s="14">
        <f ca="1">IFERROR(__xludf.DUMMYFUNCTION("""COMPUTED_VALUE"""),0)</f>
        <v>0</v>
      </c>
      <c r="D7703" s="12" t="str">
        <f ca="1">IFERROR(__xludf.DUMMYFUNCTION("""COMPUTED_VALUE"""),"成嶋 夏未")</f>
        <v>成嶋 夏未</v>
      </c>
    </row>
    <row r="7704" spans="2:4" ht="13">
      <c r="B7704" s="12">
        <f ca="1">IFERROR(__xludf.DUMMYFUNCTION("""COMPUTED_VALUE"""),139977)</f>
        <v>139977</v>
      </c>
      <c r="C7704" s="14">
        <f ca="1">IFERROR(__xludf.DUMMYFUNCTION("""COMPUTED_VALUE"""),0)</f>
        <v>0</v>
      </c>
      <c r="D7704" s="12" t="str">
        <f ca="1">IFERROR(__xludf.DUMMYFUNCTION("""COMPUTED_VALUE"""),"菅野 ぎんが")</f>
        <v>菅野 ぎんが</v>
      </c>
    </row>
    <row r="7705" spans="2:4" ht="13">
      <c r="B7705" s="12">
        <f ca="1">IFERROR(__xludf.DUMMYFUNCTION("""COMPUTED_VALUE"""),139979)</f>
        <v>139979</v>
      </c>
      <c r="C7705" s="14">
        <f ca="1">IFERROR(__xludf.DUMMYFUNCTION("""COMPUTED_VALUE"""),0)</f>
        <v>0</v>
      </c>
      <c r="D7705" s="12" t="str">
        <f ca="1">IFERROR(__xludf.DUMMYFUNCTION("""COMPUTED_VALUE"""),"成嶋 夏未")</f>
        <v>成嶋 夏未</v>
      </c>
    </row>
    <row r="7706" spans="2:4" ht="13">
      <c r="B7706" s="12">
        <f ca="1">IFERROR(__xludf.DUMMYFUNCTION("""COMPUTED_VALUE"""),139980)</f>
        <v>139980</v>
      </c>
      <c r="C7706" s="14">
        <f ca="1">IFERROR(__xludf.DUMMYFUNCTION("""COMPUTED_VALUE"""),0)</f>
        <v>0</v>
      </c>
      <c r="D7706" s="12" t="str">
        <f ca="1">IFERROR(__xludf.DUMMYFUNCTION("""COMPUTED_VALUE"""),"荻曽 克輝")</f>
        <v>荻曽 克輝</v>
      </c>
    </row>
    <row r="7707" spans="2:4" ht="13">
      <c r="B7707" s="12">
        <f ca="1">IFERROR(__xludf.DUMMYFUNCTION("""COMPUTED_VALUE"""),139986)</f>
        <v>139986</v>
      </c>
      <c r="C7707" s="14">
        <f ca="1">IFERROR(__xludf.DUMMYFUNCTION("""COMPUTED_VALUE"""),0)</f>
        <v>0</v>
      </c>
      <c r="D7707" s="12" t="str">
        <f ca="1">IFERROR(__xludf.DUMMYFUNCTION("""COMPUTED_VALUE"""),"栗原 大武")</f>
        <v>栗原 大武</v>
      </c>
    </row>
    <row r="7708" spans="2:4" ht="13">
      <c r="B7708" s="12">
        <f ca="1">IFERROR(__xludf.DUMMYFUNCTION("""COMPUTED_VALUE"""),139992)</f>
        <v>139992</v>
      </c>
      <c r="C7708" s="14">
        <f ca="1">IFERROR(__xludf.DUMMYFUNCTION("""COMPUTED_VALUE"""),3)</f>
        <v>3</v>
      </c>
      <c r="D7708" s="12" t="str">
        <f ca="1">IFERROR(__xludf.DUMMYFUNCTION("""COMPUTED_VALUE"""),"成嶋 夏未")</f>
        <v>成嶋 夏未</v>
      </c>
    </row>
    <row r="7709" spans="2:4" ht="13">
      <c r="B7709" s="12">
        <f ca="1">IFERROR(__xludf.DUMMYFUNCTION("""COMPUTED_VALUE"""),139999)</f>
        <v>139999</v>
      </c>
      <c r="C7709" s="14">
        <f ca="1">IFERROR(__xludf.DUMMYFUNCTION("""COMPUTED_VALUE"""),0)</f>
        <v>0</v>
      </c>
      <c r="D7709" s="12" t="str">
        <f ca="1">IFERROR(__xludf.DUMMYFUNCTION("""COMPUTED_VALUE"""),"村上 浩一朗")</f>
        <v>村上 浩一朗</v>
      </c>
    </row>
    <row r="7710" spans="2:4" ht="13">
      <c r="B7710" s="12">
        <f ca="1">IFERROR(__xludf.DUMMYFUNCTION("""COMPUTED_VALUE"""),140000)</f>
        <v>140000</v>
      </c>
      <c r="C7710" s="14">
        <f ca="1">IFERROR(__xludf.DUMMYFUNCTION("""COMPUTED_VALUE"""),0)</f>
        <v>0</v>
      </c>
      <c r="D7710" s="12" t="str">
        <f ca="1">IFERROR(__xludf.DUMMYFUNCTION("""COMPUTED_VALUE"""),"村上 浩一朗")</f>
        <v>村上 浩一朗</v>
      </c>
    </row>
    <row r="7711" spans="2:4" ht="13">
      <c r="B7711" s="12">
        <f ca="1">IFERROR(__xludf.DUMMYFUNCTION("""COMPUTED_VALUE"""),140001)</f>
        <v>140001</v>
      </c>
      <c r="C7711" s="14">
        <f ca="1">IFERROR(__xludf.DUMMYFUNCTION("""COMPUTED_VALUE"""),0)</f>
        <v>0</v>
      </c>
      <c r="D7711" s="12" t="str">
        <f ca="1">IFERROR(__xludf.DUMMYFUNCTION("""COMPUTED_VALUE"""),"小関 麻起")</f>
        <v>小関 麻起</v>
      </c>
    </row>
    <row r="7712" spans="2:4" ht="13">
      <c r="B7712" s="12">
        <f ca="1">IFERROR(__xludf.DUMMYFUNCTION("""COMPUTED_VALUE"""),140009)</f>
        <v>140009</v>
      </c>
      <c r="C7712" s="14">
        <f ca="1">IFERROR(__xludf.DUMMYFUNCTION("""COMPUTED_VALUE"""),11)</f>
        <v>11</v>
      </c>
      <c r="D7712" s="12" t="str">
        <f ca="1">IFERROR(__xludf.DUMMYFUNCTION("""COMPUTED_VALUE"""),"辻村 将大")</f>
        <v>辻村 将大</v>
      </c>
    </row>
    <row r="7713" spans="2:4" ht="13">
      <c r="B7713" s="12">
        <f ca="1">IFERROR(__xludf.DUMMYFUNCTION("""COMPUTED_VALUE"""),140017)</f>
        <v>140017</v>
      </c>
      <c r="C7713" s="14">
        <f ca="1">IFERROR(__xludf.DUMMYFUNCTION("""COMPUTED_VALUE"""),11)</f>
        <v>11</v>
      </c>
      <c r="D7713" s="12" t="str">
        <f ca="1">IFERROR(__xludf.DUMMYFUNCTION("""COMPUTED_VALUE"""),"稲場 勇介")</f>
        <v>稲場 勇介</v>
      </c>
    </row>
    <row r="7714" spans="2:4" ht="13">
      <c r="B7714" s="12">
        <f ca="1">IFERROR(__xludf.DUMMYFUNCTION("""COMPUTED_VALUE"""),140018)</f>
        <v>140018</v>
      </c>
      <c r="C7714" s="14">
        <f ca="1">IFERROR(__xludf.DUMMYFUNCTION("""COMPUTED_VALUE"""),11)</f>
        <v>11</v>
      </c>
      <c r="D7714" s="12" t="str">
        <f ca="1">IFERROR(__xludf.DUMMYFUNCTION("""COMPUTED_VALUE"""),"稲場 勇介")</f>
        <v>稲場 勇介</v>
      </c>
    </row>
    <row r="7715" spans="2:4" ht="13">
      <c r="B7715" s="12">
        <f ca="1">IFERROR(__xludf.DUMMYFUNCTION("""COMPUTED_VALUE"""),140022)</f>
        <v>140022</v>
      </c>
      <c r="C7715" s="14">
        <f ca="1">IFERROR(__xludf.DUMMYFUNCTION("""COMPUTED_VALUE"""),0)</f>
        <v>0</v>
      </c>
      <c r="D7715" s="12" t="str">
        <f ca="1">IFERROR(__xludf.DUMMYFUNCTION("""COMPUTED_VALUE"""),"森 光智")</f>
        <v>森 光智</v>
      </c>
    </row>
    <row r="7716" spans="2:4" ht="13">
      <c r="B7716" s="12">
        <f ca="1">IFERROR(__xludf.DUMMYFUNCTION("""COMPUTED_VALUE"""),140032)</f>
        <v>140032</v>
      </c>
      <c r="C7716" s="14">
        <f ca="1">IFERROR(__xludf.DUMMYFUNCTION("""COMPUTED_VALUE"""),0)</f>
        <v>0</v>
      </c>
      <c r="D7716" s="12" t="str">
        <f ca="1">IFERROR(__xludf.DUMMYFUNCTION("""COMPUTED_VALUE"""),"老田 純輝")</f>
        <v>老田 純輝</v>
      </c>
    </row>
    <row r="7717" spans="2:4" ht="13">
      <c r="B7717" s="12">
        <f ca="1">IFERROR(__xludf.DUMMYFUNCTION("""COMPUTED_VALUE"""),140033)</f>
        <v>140033</v>
      </c>
      <c r="C7717" s="14">
        <f ca="1">IFERROR(__xludf.DUMMYFUNCTION("""COMPUTED_VALUE"""),0)</f>
        <v>0</v>
      </c>
      <c r="D7717" s="12" t="str">
        <f ca="1">IFERROR(__xludf.DUMMYFUNCTION("""COMPUTED_VALUE"""),"成嶋 夏未")</f>
        <v>成嶋 夏未</v>
      </c>
    </row>
    <row r="7718" spans="2:4" ht="13">
      <c r="B7718" s="12">
        <f ca="1">IFERROR(__xludf.DUMMYFUNCTION("""COMPUTED_VALUE"""),140036)</f>
        <v>140036</v>
      </c>
      <c r="C7718" s="14">
        <f ca="1">IFERROR(__xludf.DUMMYFUNCTION("""COMPUTED_VALUE"""),4)</f>
        <v>4</v>
      </c>
      <c r="D7718" s="12" t="str">
        <f ca="1">IFERROR(__xludf.DUMMYFUNCTION("""COMPUTED_VALUE"""),"田嶋 将太")</f>
        <v>田嶋 将太</v>
      </c>
    </row>
    <row r="7719" spans="2:4" ht="13">
      <c r="B7719" s="12">
        <f ca="1">IFERROR(__xludf.DUMMYFUNCTION("""COMPUTED_VALUE"""),140046)</f>
        <v>140046</v>
      </c>
      <c r="C7719" s="14">
        <f ca="1">IFERROR(__xludf.DUMMYFUNCTION("""COMPUTED_VALUE"""),27)</f>
        <v>27</v>
      </c>
      <c r="D7719" s="12" t="str">
        <f ca="1">IFERROR(__xludf.DUMMYFUNCTION("""COMPUTED_VALUE"""),"成嶋 夏未")</f>
        <v>成嶋 夏未</v>
      </c>
    </row>
    <row r="7720" spans="2:4" ht="13">
      <c r="B7720" s="12">
        <f ca="1">IFERROR(__xludf.DUMMYFUNCTION("""COMPUTED_VALUE"""),140050)</f>
        <v>140050</v>
      </c>
      <c r="C7720" s="14">
        <f ca="1">IFERROR(__xludf.DUMMYFUNCTION("""COMPUTED_VALUE"""),27)</f>
        <v>27</v>
      </c>
      <c r="D7720" s="12" t="str">
        <f ca="1">IFERROR(__xludf.DUMMYFUNCTION("""COMPUTED_VALUE"""),"芳賀 亮輔")</f>
        <v>芳賀 亮輔</v>
      </c>
    </row>
    <row r="7721" spans="2:4" ht="13">
      <c r="B7721" s="12">
        <f ca="1">IFERROR(__xludf.DUMMYFUNCTION("""COMPUTED_VALUE"""),140051)</f>
        <v>140051</v>
      </c>
      <c r="C7721" s="14">
        <f ca="1">IFERROR(__xludf.DUMMYFUNCTION("""COMPUTED_VALUE"""),27)</f>
        <v>27</v>
      </c>
      <c r="D7721" s="12" t="str">
        <f ca="1">IFERROR(__xludf.DUMMYFUNCTION("""COMPUTED_VALUE"""),"芳賀 亮輔")</f>
        <v>芳賀 亮輔</v>
      </c>
    </row>
    <row r="7722" spans="2:4" ht="13">
      <c r="B7722" s="12">
        <f ca="1">IFERROR(__xludf.DUMMYFUNCTION("""COMPUTED_VALUE"""),140052)</f>
        <v>140052</v>
      </c>
      <c r="C7722" s="14">
        <f ca="1">IFERROR(__xludf.DUMMYFUNCTION("""COMPUTED_VALUE"""),2)</f>
        <v>2</v>
      </c>
      <c r="D7722" s="12" t="str">
        <f ca="1">IFERROR(__xludf.DUMMYFUNCTION("""COMPUTED_VALUE"""),"芳賀 亮輔")</f>
        <v>芳賀 亮輔</v>
      </c>
    </row>
    <row r="7723" spans="2:4" ht="13">
      <c r="B7723" s="12">
        <f ca="1">IFERROR(__xludf.DUMMYFUNCTION("""COMPUTED_VALUE"""),140055)</f>
        <v>140055</v>
      </c>
      <c r="C7723" s="14">
        <f ca="1">IFERROR(__xludf.DUMMYFUNCTION("""COMPUTED_VALUE"""),0)</f>
        <v>0</v>
      </c>
      <c r="D7723" s="12" t="str">
        <f ca="1">IFERROR(__xludf.DUMMYFUNCTION("""COMPUTED_VALUE"""),"稲場 勇介")</f>
        <v>稲場 勇介</v>
      </c>
    </row>
    <row r="7724" spans="2:4" ht="13">
      <c r="B7724" s="12">
        <f ca="1">IFERROR(__xludf.DUMMYFUNCTION("""COMPUTED_VALUE"""),140057)</f>
        <v>140057</v>
      </c>
      <c r="C7724" s="14">
        <f ca="1">IFERROR(__xludf.DUMMYFUNCTION("""COMPUTED_VALUE"""),4)</f>
        <v>4</v>
      </c>
      <c r="D7724" s="12" t="str">
        <f ca="1">IFERROR(__xludf.DUMMYFUNCTION("""COMPUTED_VALUE"""),"松尾 尚樹")</f>
        <v>松尾 尚樹</v>
      </c>
    </row>
    <row r="7725" spans="2:4" ht="13">
      <c r="B7725" s="12">
        <f ca="1">IFERROR(__xludf.DUMMYFUNCTION("""COMPUTED_VALUE"""),140063)</f>
        <v>140063</v>
      </c>
      <c r="C7725" s="14">
        <f ca="1">IFERROR(__xludf.DUMMYFUNCTION("""COMPUTED_VALUE"""),0)</f>
        <v>0</v>
      </c>
      <c r="D7725" s="12" t="str">
        <f ca="1">IFERROR(__xludf.DUMMYFUNCTION("""COMPUTED_VALUE"""),"小川 純")</f>
        <v>小川 純</v>
      </c>
    </row>
    <row r="7726" spans="2:4" ht="13">
      <c r="B7726" s="12">
        <f ca="1">IFERROR(__xludf.DUMMYFUNCTION("""COMPUTED_VALUE"""),140073)</f>
        <v>140073</v>
      </c>
      <c r="C7726" s="14">
        <f ca="1">IFERROR(__xludf.DUMMYFUNCTION("""COMPUTED_VALUE"""),0)</f>
        <v>0</v>
      </c>
      <c r="D7726" s="12" t="str">
        <f ca="1">IFERROR(__xludf.DUMMYFUNCTION("""COMPUTED_VALUE"""),"小関 麻起")</f>
        <v>小関 麻起</v>
      </c>
    </row>
    <row r="7727" spans="2:4" ht="13">
      <c r="B7727" s="12">
        <f ca="1">IFERROR(__xludf.DUMMYFUNCTION("""COMPUTED_VALUE"""),140074)</f>
        <v>140074</v>
      </c>
      <c r="C7727" s="14">
        <f ca="1">IFERROR(__xludf.DUMMYFUNCTION("""COMPUTED_VALUE"""),67)</f>
        <v>67</v>
      </c>
      <c r="D7727" s="12" t="str">
        <f ca="1">IFERROR(__xludf.DUMMYFUNCTION("""COMPUTED_VALUE"""),"成嶋 夏未")</f>
        <v>成嶋 夏未</v>
      </c>
    </row>
    <row r="7728" spans="2:4" ht="13">
      <c r="B7728" s="12">
        <f ca="1">IFERROR(__xludf.DUMMYFUNCTION("""COMPUTED_VALUE"""),140076)</f>
        <v>140076</v>
      </c>
      <c r="C7728" s="14">
        <f ca="1">IFERROR(__xludf.DUMMYFUNCTION("""COMPUTED_VALUE"""),8)</f>
        <v>8</v>
      </c>
      <c r="D7728" s="12" t="str">
        <f ca="1">IFERROR(__xludf.DUMMYFUNCTION("""COMPUTED_VALUE"""),"稲場 勇介")</f>
        <v>稲場 勇介</v>
      </c>
    </row>
    <row r="7729" spans="2:4" ht="13">
      <c r="B7729" s="12">
        <f ca="1">IFERROR(__xludf.DUMMYFUNCTION("""COMPUTED_VALUE"""),140077)</f>
        <v>140077</v>
      </c>
      <c r="C7729" s="14">
        <f ca="1">IFERROR(__xludf.DUMMYFUNCTION("""COMPUTED_VALUE"""),6)</f>
        <v>6</v>
      </c>
      <c r="D7729" s="12" t="str">
        <f ca="1">IFERROR(__xludf.DUMMYFUNCTION("""COMPUTED_VALUE"""),"荻曽 克輝")</f>
        <v>荻曽 克輝</v>
      </c>
    </row>
    <row r="7730" spans="2:4" ht="13">
      <c r="B7730" s="12">
        <f ca="1">IFERROR(__xludf.DUMMYFUNCTION("""COMPUTED_VALUE"""),140078)</f>
        <v>140078</v>
      </c>
      <c r="C7730" s="14">
        <f ca="1">IFERROR(__xludf.DUMMYFUNCTION("""COMPUTED_VALUE"""),0)</f>
        <v>0</v>
      </c>
      <c r="D7730" s="12" t="str">
        <f ca="1">IFERROR(__xludf.DUMMYFUNCTION("""COMPUTED_VALUE"""),"辻村 将大")</f>
        <v>辻村 将大</v>
      </c>
    </row>
    <row r="7731" spans="2:4" ht="13">
      <c r="B7731" s="12">
        <f ca="1">IFERROR(__xludf.DUMMYFUNCTION("""COMPUTED_VALUE"""),140080)</f>
        <v>140080</v>
      </c>
      <c r="C7731" s="14">
        <f ca="1">IFERROR(__xludf.DUMMYFUNCTION("""COMPUTED_VALUE"""),0)</f>
        <v>0</v>
      </c>
      <c r="D7731" s="12" t="str">
        <f ca="1">IFERROR(__xludf.DUMMYFUNCTION("""COMPUTED_VALUE"""),"成嶋 夏未")</f>
        <v>成嶋 夏未</v>
      </c>
    </row>
    <row r="7732" spans="2:4" ht="13">
      <c r="B7732" s="12">
        <f ca="1">IFERROR(__xludf.DUMMYFUNCTION("""COMPUTED_VALUE"""),140083)</f>
        <v>140083</v>
      </c>
      <c r="C7732" s="14">
        <f ca="1">IFERROR(__xludf.DUMMYFUNCTION("""COMPUTED_VALUE"""),0)</f>
        <v>0</v>
      </c>
      <c r="D7732" s="12" t="str">
        <f ca="1">IFERROR(__xludf.DUMMYFUNCTION("""COMPUTED_VALUE"""),"稲場 勇介")</f>
        <v>稲場 勇介</v>
      </c>
    </row>
    <row r="7733" spans="2:4" ht="13">
      <c r="B7733" s="12">
        <f ca="1">IFERROR(__xludf.DUMMYFUNCTION("""COMPUTED_VALUE"""),140090)</f>
        <v>140090</v>
      </c>
      <c r="C7733" s="14">
        <f ca="1">IFERROR(__xludf.DUMMYFUNCTION("""COMPUTED_VALUE"""),0)</f>
        <v>0</v>
      </c>
      <c r="D7733" s="12" t="str">
        <f ca="1">IFERROR(__xludf.DUMMYFUNCTION("""COMPUTED_VALUE"""),"内丸 裕子")</f>
        <v>内丸 裕子</v>
      </c>
    </row>
    <row r="7734" spans="2:4" ht="13">
      <c r="B7734" s="12">
        <f ca="1">IFERROR(__xludf.DUMMYFUNCTION("""COMPUTED_VALUE"""),140096)</f>
        <v>140096</v>
      </c>
      <c r="C7734" s="14">
        <f ca="1">IFERROR(__xludf.DUMMYFUNCTION("""COMPUTED_VALUE"""),0)</f>
        <v>0</v>
      </c>
      <c r="D7734" s="12" t="str">
        <f ca="1">IFERROR(__xludf.DUMMYFUNCTION("""COMPUTED_VALUE"""),"内丸 裕子")</f>
        <v>内丸 裕子</v>
      </c>
    </row>
    <row r="7735" spans="2:4" ht="13">
      <c r="B7735" s="12">
        <f ca="1">IFERROR(__xludf.DUMMYFUNCTION("""COMPUTED_VALUE"""),140097)</f>
        <v>140097</v>
      </c>
      <c r="C7735" s="14">
        <f ca="1">IFERROR(__xludf.DUMMYFUNCTION("""COMPUTED_VALUE"""),21)</f>
        <v>21</v>
      </c>
      <c r="D7735" s="12" t="str">
        <f ca="1">IFERROR(__xludf.DUMMYFUNCTION("""COMPUTED_VALUE"""),"稲場 勇介")</f>
        <v>稲場 勇介</v>
      </c>
    </row>
    <row r="7736" spans="2:4" ht="13">
      <c r="B7736" s="12">
        <f ca="1">IFERROR(__xludf.DUMMYFUNCTION("""COMPUTED_VALUE"""),140100)</f>
        <v>140100</v>
      </c>
      <c r="C7736" s="14">
        <f ca="1">IFERROR(__xludf.DUMMYFUNCTION("""COMPUTED_VALUE"""),0)</f>
        <v>0</v>
      </c>
      <c r="D7736" s="12" t="str">
        <f ca="1">IFERROR(__xludf.DUMMYFUNCTION("""COMPUTED_VALUE"""),"荻曽 克輝")</f>
        <v>荻曽 克輝</v>
      </c>
    </row>
    <row r="7737" spans="2:4" ht="13">
      <c r="B7737" s="12">
        <f ca="1">IFERROR(__xludf.DUMMYFUNCTION("""COMPUTED_VALUE"""),140101)</f>
        <v>140101</v>
      </c>
      <c r="C7737" s="14">
        <f ca="1">IFERROR(__xludf.DUMMYFUNCTION("""COMPUTED_VALUE"""),0)</f>
        <v>0</v>
      </c>
      <c r="D7737" s="12" t="str">
        <f ca="1">IFERROR(__xludf.DUMMYFUNCTION("""COMPUTED_VALUE"""),"栗原 大武")</f>
        <v>栗原 大武</v>
      </c>
    </row>
    <row r="7738" spans="2:4" ht="13">
      <c r="B7738" s="12">
        <f ca="1">IFERROR(__xludf.DUMMYFUNCTION("""COMPUTED_VALUE"""),140102)</f>
        <v>140102</v>
      </c>
      <c r="C7738" s="14">
        <f ca="1">IFERROR(__xludf.DUMMYFUNCTION("""COMPUTED_VALUE"""),11)</f>
        <v>11</v>
      </c>
      <c r="D7738" s="12" t="str">
        <f ca="1">IFERROR(__xludf.DUMMYFUNCTION("""COMPUTED_VALUE"""),"菅野 ぎんが")</f>
        <v>菅野 ぎんが</v>
      </c>
    </row>
    <row r="7739" spans="2:4" ht="13">
      <c r="B7739" s="12">
        <f ca="1">IFERROR(__xludf.DUMMYFUNCTION("""COMPUTED_VALUE"""),140103)</f>
        <v>140103</v>
      </c>
      <c r="C7739" s="14">
        <f ca="1">IFERROR(__xludf.DUMMYFUNCTION("""COMPUTED_VALUE"""),20)</f>
        <v>20</v>
      </c>
      <c r="D7739" s="12" t="str">
        <f ca="1">IFERROR(__xludf.DUMMYFUNCTION("""COMPUTED_VALUE"""),"小関 麻起")</f>
        <v>小関 麻起</v>
      </c>
    </row>
    <row r="7740" spans="2:4" ht="13">
      <c r="B7740" s="12">
        <f ca="1">IFERROR(__xludf.DUMMYFUNCTION("""COMPUTED_VALUE"""),140104)</f>
        <v>140104</v>
      </c>
      <c r="C7740" s="14">
        <f ca="1">IFERROR(__xludf.DUMMYFUNCTION("""COMPUTED_VALUE"""),19)</f>
        <v>19</v>
      </c>
      <c r="D7740" s="12" t="str">
        <f ca="1">IFERROR(__xludf.DUMMYFUNCTION("""COMPUTED_VALUE"""),"桐山 勝気")</f>
        <v>桐山 勝気</v>
      </c>
    </row>
    <row r="7741" spans="2:4" ht="13">
      <c r="B7741" s="12">
        <f ca="1">IFERROR(__xludf.DUMMYFUNCTION("""COMPUTED_VALUE"""),140111)</f>
        <v>140111</v>
      </c>
      <c r="C7741" s="14">
        <f ca="1">IFERROR(__xludf.DUMMYFUNCTION("""COMPUTED_VALUE"""),0)</f>
        <v>0</v>
      </c>
      <c r="D7741" s="12" t="str">
        <f ca="1">IFERROR(__xludf.DUMMYFUNCTION("""COMPUTED_VALUE"""),"小川 純")</f>
        <v>小川 純</v>
      </c>
    </row>
    <row r="7742" spans="2:4" ht="13">
      <c r="B7742" s="12">
        <f ca="1">IFERROR(__xludf.DUMMYFUNCTION("""COMPUTED_VALUE"""),140115)</f>
        <v>140115</v>
      </c>
      <c r="C7742" s="14">
        <f ca="1">IFERROR(__xludf.DUMMYFUNCTION("""COMPUTED_VALUE"""),0)</f>
        <v>0</v>
      </c>
      <c r="D7742" s="12" t="str">
        <f ca="1">IFERROR(__xludf.DUMMYFUNCTION("""COMPUTED_VALUE"""),"成嶋 夏未")</f>
        <v>成嶋 夏未</v>
      </c>
    </row>
    <row r="7743" spans="2:4" ht="13">
      <c r="B7743" s="12">
        <f ca="1">IFERROR(__xludf.DUMMYFUNCTION("""COMPUTED_VALUE"""),140117)</f>
        <v>140117</v>
      </c>
      <c r="C7743" s="14">
        <f ca="1">IFERROR(__xludf.DUMMYFUNCTION("""COMPUTED_VALUE"""),2)</f>
        <v>2</v>
      </c>
      <c r="D7743" s="12" t="str">
        <f ca="1">IFERROR(__xludf.DUMMYFUNCTION("""COMPUTED_VALUE"""),"荻曽 克輝")</f>
        <v>荻曽 克輝</v>
      </c>
    </row>
    <row r="7744" spans="2:4" ht="13">
      <c r="B7744" s="12">
        <f ca="1">IFERROR(__xludf.DUMMYFUNCTION("""COMPUTED_VALUE"""),140124)</f>
        <v>140124</v>
      </c>
      <c r="C7744" s="14">
        <f ca="1">IFERROR(__xludf.DUMMYFUNCTION("""COMPUTED_VALUE"""),11)</f>
        <v>11</v>
      </c>
      <c r="D7744" s="12" t="str">
        <f ca="1">IFERROR(__xludf.DUMMYFUNCTION("""COMPUTED_VALUE"""),"堀越 駿")</f>
        <v>堀越 駿</v>
      </c>
    </row>
    <row r="7745" spans="2:4" ht="13">
      <c r="B7745" s="12">
        <f ca="1">IFERROR(__xludf.DUMMYFUNCTION("""COMPUTED_VALUE"""),140125)</f>
        <v>140125</v>
      </c>
      <c r="C7745" s="14">
        <f ca="1">IFERROR(__xludf.DUMMYFUNCTION("""COMPUTED_VALUE"""),4)</f>
        <v>4</v>
      </c>
      <c r="D7745" s="12" t="str">
        <f ca="1">IFERROR(__xludf.DUMMYFUNCTION("""COMPUTED_VALUE"""),"老田 純輝")</f>
        <v>老田 純輝</v>
      </c>
    </row>
    <row r="7746" spans="2:4" ht="13">
      <c r="B7746" s="12">
        <f ca="1">IFERROR(__xludf.DUMMYFUNCTION("""COMPUTED_VALUE"""),140126)</f>
        <v>140126</v>
      </c>
      <c r="C7746" s="14">
        <f ca="1">IFERROR(__xludf.DUMMYFUNCTION("""COMPUTED_VALUE"""),1)</f>
        <v>1</v>
      </c>
      <c r="D7746" s="12" t="str">
        <f ca="1">IFERROR(__xludf.DUMMYFUNCTION("""COMPUTED_VALUE"""),"栗原 大武")</f>
        <v>栗原 大武</v>
      </c>
    </row>
    <row r="7747" spans="2:4" ht="13">
      <c r="B7747" s="12">
        <f ca="1">IFERROR(__xludf.DUMMYFUNCTION("""COMPUTED_VALUE"""),140128)</f>
        <v>140128</v>
      </c>
      <c r="C7747" s="14">
        <f ca="1">IFERROR(__xludf.DUMMYFUNCTION("""COMPUTED_VALUE"""),0)</f>
        <v>0</v>
      </c>
      <c r="D7747" s="12" t="str">
        <f ca="1">IFERROR(__xludf.DUMMYFUNCTION("""COMPUTED_VALUE"""),"老田 純輝")</f>
        <v>老田 純輝</v>
      </c>
    </row>
    <row r="7748" spans="2:4" ht="13">
      <c r="B7748" s="12">
        <f ca="1">IFERROR(__xludf.DUMMYFUNCTION("""COMPUTED_VALUE"""),140129)</f>
        <v>140129</v>
      </c>
      <c r="C7748" s="14">
        <f ca="1">IFERROR(__xludf.DUMMYFUNCTION("""COMPUTED_VALUE"""),8)</f>
        <v>8</v>
      </c>
      <c r="D7748" s="12" t="str">
        <f ca="1">IFERROR(__xludf.DUMMYFUNCTION("""COMPUTED_VALUE"""),"菅野 ぎんが")</f>
        <v>菅野 ぎんが</v>
      </c>
    </row>
    <row r="7749" spans="2:4" ht="13">
      <c r="B7749" s="12">
        <f ca="1">IFERROR(__xludf.DUMMYFUNCTION("""COMPUTED_VALUE"""),140136)</f>
        <v>140136</v>
      </c>
      <c r="C7749" s="14">
        <f ca="1">IFERROR(__xludf.DUMMYFUNCTION("""COMPUTED_VALUE"""),8)</f>
        <v>8</v>
      </c>
      <c r="D7749" s="12" t="str">
        <f ca="1">IFERROR(__xludf.DUMMYFUNCTION("""COMPUTED_VALUE"""),"稲場 勇介")</f>
        <v>稲場 勇介</v>
      </c>
    </row>
    <row r="7750" spans="2:4" ht="13">
      <c r="B7750" s="12">
        <f ca="1">IFERROR(__xludf.DUMMYFUNCTION("""COMPUTED_VALUE"""),140144)</f>
        <v>140144</v>
      </c>
      <c r="C7750" s="14">
        <f ca="1">IFERROR(__xludf.DUMMYFUNCTION("""COMPUTED_VALUE"""),15)</f>
        <v>15</v>
      </c>
      <c r="D7750" s="12" t="str">
        <f ca="1">IFERROR(__xludf.DUMMYFUNCTION("""COMPUTED_VALUE"""),"成嶋 夏未")</f>
        <v>成嶋 夏未</v>
      </c>
    </row>
    <row r="7751" spans="2:4" ht="13">
      <c r="B7751" s="12">
        <f ca="1">IFERROR(__xludf.DUMMYFUNCTION("""COMPUTED_VALUE"""),140145)</f>
        <v>140145</v>
      </c>
      <c r="C7751" s="14">
        <f ca="1">IFERROR(__xludf.DUMMYFUNCTION("""COMPUTED_VALUE"""),0)</f>
        <v>0</v>
      </c>
      <c r="D7751" s="12" t="str">
        <f ca="1">IFERROR(__xludf.DUMMYFUNCTION("""COMPUTED_VALUE"""),"桑原 明子")</f>
        <v>桑原 明子</v>
      </c>
    </row>
    <row r="7752" spans="2:4" ht="13">
      <c r="B7752" s="12">
        <f ca="1">IFERROR(__xludf.DUMMYFUNCTION("""COMPUTED_VALUE"""),140150)</f>
        <v>140150</v>
      </c>
      <c r="C7752" s="14">
        <f ca="1">IFERROR(__xludf.DUMMYFUNCTION("""COMPUTED_VALUE"""),0)</f>
        <v>0</v>
      </c>
      <c r="D7752" s="12" t="str">
        <f ca="1">IFERROR(__xludf.DUMMYFUNCTION("""COMPUTED_VALUE"""),"松尾 尚樹")</f>
        <v>松尾 尚樹</v>
      </c>
    </row>
    <row r="7753" spans="2:4" ht="13">
      <c r="B7753" s="12">
        <f ca="1">IFERROR(__xludf.DUMMYFUNCTION("""COMPUTED_VALUE"""),140163)</f>
        <v>140163</v>
      </c>
      <c r="C7753" s="14">
        <f ca="1">IFERROR(__xludf.DUMMYFUNCTION("""COMPUTED_VALUE"""),67)</f>
        <v>67</v>
      </c>
      <c r="D7753" s="12" t="str">
        <f ca="1">IFERROR(__xludf.DUMMYFUNCTION("""COMPUTED_VALUE"""),"内丸 裕子")</f>
        <v>内丸 裕子</v>
      </c>
    </row>
    <row r="7754" spans="2:4" ht="13">
      <c r="B7754" s="12">
        <f ca="1">IFERROR(__xludf.DUMMYFUNCTION("""COMPUTED_VALUE"""),140168)</f>
        <v>140168</v>
      </c>
      <c r="C7754" s="14">
        <f ca="1">IFERROR(__xludf.DUMMYFUNCTION("""COMPUTED_VALUE"""),0)</f>
        <v>0</v>
      </c>
      <c r="D7754" s="12" t="str">
        <f ca="1">IFERROR(__xludf.DUMMYFUNCTION("""COMPUTED_VALUE"""),"小関 麻起")</f>
        <v>小関 麻起</v>
      </c>
    </row>
    <row r="7755" spans="2:4" ht="13">
      <c r="B7755" s="12">
        <f ca="1">IFERROR(__xludf.DUMMYFUNCTION("""COMPUTED_VALUE"""),140169)</f>
        <v>140169</v>
      </c>
      <c r="C7755" s="14">
        <f ca="1">IFERROR(__xludf.DUMMYFUNCTION("""COMPUTED_VALUE"""),44)</f>
        <v>44</v>
      </c>
      <c r="D7755" s="12" t="str">
        <f ca="1">IFERROR(__xludf.DUMMYFUNCTION("""COMPUTED_VALUE"""),"栗原 大武")</f>
        <v>栗原 大武</v>
      </c>
    </row>
    <row r="7756" spans="2:4" ht="13">
      <c r="B7756" s="12">
        <f ca="1">IFERROR(__xludf.DUMMYFUNCTION("""COMPUTED_VALUE"""),140178)</f>
        <v>140178</v>
      </c>
      <c r="C7756" s="14">
        <f ca="1">IFERROR(__xludf.DUMMYFUNCTION("""COMPUTED_VALUE"""),0)</f>
        <v>0</v>
      </c>
      <c r="D7756" s="12" t="str">
        <f ca="1">IFERROR(__xludf.DUMMYFUNCTION("""COMPUTED_VALUE"""),"小関 麻起")</f>
        <v>小関 麻起</v>
      </c>
    </row>
    <row r="7757" spans="2:4" ht="13">
      <c r="B7757" s="12">
        <f ca="1">IFERROR(__xludf.DUMMYFUNCTION("""COMPUTED_VALUE"""),140181)</f>
        <v>140181</v>
      </c>
      <c r="C7757" s="14">
        <f ca="1">IFERROR(__xludf.DUMMYFUNCTION("""COMPUTED_VALUE"""),18)</f>
        <v>18</v>
      </c>
      <c r="D7757" s="12" t="str">
        <f ca="1">IFERROR(__xludf.DUMMYFUNCTION("""COMPUTED_VALUE"""),"稲場 勇介")</f>
        <v>稲場 勇介</v>
      </c>
    </row>
    <row r="7758" spans="2:4" ht="13">
      <c r="B7758" s="12">
        <f ca="1">IFERROR(__xludf.DUMMYFUNCTION("""COMPUTED_VALUE"""),140182)</f>
        <v>140182</v>
      </c>
      <c r="C7758" s="14">
        <f ca="1">IFERROR(__xludf.DUMMYFUNCTION("""COMPUTED_VALUE"""),0)</f>
        <v>0</v>
      </c>
      <c r="D7758" s="12" t="str">
        <f ca="1">IFERROR(__xludf.DUMMYFUNCTION("""COMPUTED_VALUE"""),"成嶋 夏未")</f>
        <v>成嶋 夏未</v>
      </c>
    </row>
    <row r="7759" spans="2:4" ht="13">
      <c r="B7759" s="12">
        <f ca="1">IFERROR(__xludf.DUMMYFUNCTION("""COMPUTED_VALUE"""),140186)</f>
        <v>140186</v>
      </c>
      <c r="C7759" s="14">
        <f ca="1">IFERROR(__xludf.DUMMYFUNCTION("""COMPUTED_VALUE"""),12)</f>
        <v>12</v>
      </c>
      <c r="D7759" s="12" t="str">
        <f ca="1">IFERROR(__xludf.DUMMYFUNCTION("""COMPUTED_VALUE"""),"小川 純")</f>
        <v>小川 純</v>
      </c>
    </row>
    <row r="7760" spans="2:4" ht="13">
      <c r="B7760" s="12">
        <f ca="1">IFERROR(__xludf.DUMMYFUNCTION("""COMPUTED_VALUE"""),140192)</f>
        <v>140192</v>
      </c>
      <c r="C7760" s="14">
        <f ca="1">IFERROR(__xludf.DUMMYFUNCTION("""COMPUTED_VALUE"""),0)</f>
        <v>0</v>
      </c>
      <c r="D7760" s="12" t="str">
        <f ca="1">IFERROR(__xludf.DUMMYFUNCTION("""COMPUTED_VALUE"""),"成嶋 夏未")</f>
        <v>成嶋 夏未</v>
      </c>
    </row>
    <row r="7761" spans="2:4" ht="13">
      <c r="B7761" s="12">
        <f ca="1">IFERROR(__xludf.DUMMYFUNCTION("""COMPUTED_VALUE"""),140195)</f>
        <v>140195</v>
      </c>
      <c r="C7761" s="14">
        <f ca="1">IFERROR(__xludf.DUMMYFUNCTION("""COMPUTED_VALUE"""),1)</f>
        <v>1</v>
      </c>
      <c r="D7761" s="12" t="str">
        <f ca="1">IFERROR(__xludf.DUMMYFUNCTION("""COMPUTED_VALUE"""),"小川 純")</f>
        <v>小川 純</v>
      </c>
    </row>
    <row r="7762" spans="2:4" ht="13">
      <c r="B7762" s="12">
        <f ca="1">IFERROR(__xludf.DUMMYFUNCTION("""COMPUTED_VALUE"""),140204)</f>
        <v>140204</v>
      </c>
      <c r="C7762" s="14">
        <f ca="1">IFERROR(__xludf.DUMMYFUNCTION("""COMPUTED_VALUE"""),0)</f>
        <v>0</v>
      </c>
      <c r="D7762" s="12" t="str">
        <f ca="1">IFERROR(__xludf.DUMMYFUNCTION("""COMPUTED_VALUE"""),"成嶋 夏未")</f>
        <v>成嶋 夏未</v>
      </c>
    </row>
    <row r="7763" spans="2:4" ht="13">
      <c r="B7763" s="12">
        <f ca="1">IFERROR(__xludf.DUMMYFUNCTION("""COMPUTED_VALUE"""),140206)</f>
        <v>140206</v>
      </c>
      <c r="C7763" s="14">
        <f ca="1">IFERROR(__xludf.DUMMYFUNCTION("""COMPUTED_VALUE"""),0)</f>
        <v>0</v>
      </c>
      <c r="D7763" s="12" t="str">
        <f ca="1">IFERROR(__xludf.DUMMYFUNCTION("""COMPUTED_VALUE"""),"菅野 ぎんが")</f>
        <v>菅野 ぎんが</v>
      </c>
    </row>
    <row r="7764" spans="2:4" ht="13">
      <c r="B7764" s="12">
        <f ca="1">IFERROR(__xludf.DUMMYFUNCTION("""COMPUTED_VALUE"""),140207)</f>
        <v>140207</v>
      </c>
      <c r="C7764" s="14">
        <f ca="1">IFERROR(__xludf.DUMMYFUNCTION("""COMPUTED_VALUE"""),0)</f>
        <v>0</v>
      </c>
      <c r="D7764" s="12" t="str">
        <f ca="1">IFERROR(__xludf.DUMMYFUNCTION("""COMPUTED_VALUE"""),"老田 純輝")</f>
        <v>老田 純輝</v>
      </c>
    </row>
    <row r="7765" spans="2:4" ht="13">
      <c r="B7765" s="12">
        <f ca="1">IFERROR(__xludf.DUMMYFUNCTION("""COMPUTED_VALUE"""),140208)</f>
        <v>140208</v>
      </c>
      <c r="C7765" s="14">
        <f ca="1">IFERROR(__xludf.DUMMYFUNCTION("""COMPUTED_VALUE"""),0)</f>
        <v>0</v>
      </c>
      <c r="D7765" s="12" t="str">
        <f ca="1">IFERROR(__xludf.DUMMYFUNCTION("""COMPUTED_VALUE"""),"堀越 駿")</f>
        <v>堀越 駿</v>
      </c>
    </row>
    <row r="7766" spans="2:4" ht="13">
      <c r="B7766" s="12">
        <f ca="1">IFERROR(__xludf.DUMMYFUNCTION("""COMPUTED_VALUE"""),140214)</f>
        <v>140214</v>
      </c>
      <c r="C7766" s="14">
        <f ca="1">IFERROR(__xludf.DUMMYFUNCTION("""COMPUTED_VALUE"""),6)</f>
        <v>6</v>
      </c>
      <c r="D7766" s="12" t="str">
        <f ca="1">IFERROR(__xludf.DUMMYFUNCTION("""COMPUTED_VALUE"""),"稲場 勇介")</f>
        <v>稲場 勇介</v>
      </c>
    </row>
    <row r="7767" spans="2:4" ht="13">
      <c r="B7767" s="12">
        <f ca="1">IFERROR(__xludf.DUMMYFUNCTION("""COMPUTED_VALUE"""),140217)</f>
        <v>140217</v>
      </c>
      <c r="C7767" s="14">
        <f ca="1">IFERROR(__xludf.DUMMYFUNCTION("""COMPUTED_VALUE"""),1)</f>
        <v>1</v>
      </c>
      <c r="D7767" s="12" t="str">
        <f ca="1">IFERROR(__xludf.DUMMYFUNCTION("""COMPUTED_VALUE"""),"田嶋 将太")</f>
        <v>田嶋 将太</v>
      </c>
    </row>
    <row r="7768" spans="2:4" ht="13">
      <c r="B7768" s="12">
        <f ca="1">IFERROR(__xludf.DUMMYFUNCTION("""COMPUTED_VALUE"""),140225)</f>
        <v>140225</v>
      </c>
      <c r="C7768" s="14">
        <f ca="1">IFERROR(__xludf.DUMMYFUNCTION("""COMPUTED_VALUE"""),0)</f>
        <v>0</v>
      </c>
      <c r="D7768" s="12" t="str">
        <f ca="1">IFERROR(__xludf.DUMMYFUNCTION("""COMPUTED_VALUE"""),"内丸 裕子")</f>
        <v>内丸 裕子</v>
      </c>
    </row>
    <row r="7769" spans="2:4" ht="13">
      <c r="B7769" s="12">
        <f ca="1">IFERROR(__xludf.DUMMYFUNCTION("""COMPUTED_VALUE"""),140226)</f>
        <v>140226</v>
      </c>
      <c r="C7769" s="14">
        <f ca="1">IFERROR(__xludf.DUMMYFUNCTION("""COMPUTED_VALUE"""),0)</f>
        <v>0</v>
      </c>
      <c r="D7769" s="12" t="str">
        <f ca="1">IFERROR(__xludf.DUMMYFUNCTION("""COMPUTED_VALUE"""),"内丸 裕子")</f>
        <v>内丸 裕子</v>
      </c>
    </row>
    <row r="7770" spans="2:4" ht="13">
      <c r="B7770" s="12">
        <f ca="1">IFERROR(__xludf.DUMMYFUNCTION("""COMPUTED_VALUE"""),140227)</f>
        <v>140227</v>
      </c>
      <c r="C7770" s="14">
        <f ca="1">IFERROR(__xludf.DUMMYFUNCTION("""COMPUTED_VALUE"""),0)</f>
        <v>0</v>
      </c>
      <c r="D7770" s="12" t="str">
        <f ca="1">IFERROR(__xludf.DUMMYFUNCTION("""COMPUTED_VALUE"""),"内丸 裕子")</f>
        <v>内丸 裕子</v>
      </c>
    </row>
    <row r="7771" spans="2:4" ht="13">
      <c r="B7771" s="12">
        <f ca="1">IFERROR(__xludf.DUMMYFUNCTION("""COMPUTED_VALUE"""),140228)</f>
        <v>140228</v>
      </c>
      <c r="C7771" s="14">
        <f ca="1">IFERROR(__xludf.DUMMYFUNCTION("""COMPUTED_VALUE"""),0)</f>
        <v>0</v>
      </c>
      <c r="D7771" s="12" t="str">
        <f ca="1">IFERROR(__xludf.DUMMYFUNCTION("""COMPUTED_VALUE"""),"内丸 裕子")</f>
        <v>内丸 裕子</v>
      </c>
    </row>
    <row r="7772" spans="2:4" ht="13">
      <c r="B7772" s="12">
        <f ca="1">IFERROR(__xludf.DUMMYFUNCTION("""COMPUTED_VALUE"""),140229)</f>
        <v>140229</v>
      </c>
      <c r="C7772" s="14">
        <f ca="1">IFERROR(__xludf.DUMMYFUNCTION("""COMPUTED_VALUE"""),0)</f>
        <v>0</v>
      </c>
      <c r="D7772" s="12" t="str">
        <f ca="1">IFERROR(__xludf.DUMMYFUNCTION("""COMPUTED_VALUE"""),"内丸 裕子")</f>
        <v>内丸 裕子</v>
      </c>
    </row>
    <row r="7773" spans="2:4" ht="13">
      <c r="B7773" s="12">
        <f ca="1">IFERROR(__xludf.DUMMYFUNCTION("""COMPUTED_VALUE"""),140230)</f>
        <v>140230</v>
      </c>
      <c r="C7773" s="14">
        <f ca="1">IFERROR(__xludf.DUMMYFUNCTION("""COMPUTED_VALUE"""),0)</f>
        <v>0</v>
      </c>
      <c r="D7773" s="12" t="str">
        <f ca="1">IFERROR(__xludf.DUMMYFUNCTION("""COMPUTED_VALUE"""),"内丸 裕子")</f>
        <v>内丸 裕子</v>
      </c>
    </row>
    <row r="7774" spans="2:4" ht="13">
      <c r="B7774" s="12">
        <f ca="1">IFERROR(__xludf.DUMMYFUNCTION("""COMPUTED_VALUE"""),140232)</f>
        <v>140232</v>
      </c>
      <c r="C7774" s="14">
        <f ca="1">IFERROR(__xludf.DUMMYFUNCTION("""COMPUTED_VALUE"""),2)</f>
        <v>2</v>
      </c>
      <c r="D7774" s="12" t="str">
        <f ca="1">IFERROR(__xludf.DUMMYFUNCTION("""COMPUTED_VALUE"""),"成嶋 夏未")</f>
        <v>成嶋 夏未</v>
      </c>
    </row>
    <row r="7775" spans="2:4" ht="13">
      <c r="B7775" s="12">
        <f ca="1">IFERROR(__xludf.DUMMYFUNCTION("""COMPUTED_VALUE"""),140235)</f>
        <v>140235</v>
      </c>
      <c r="C7775" s="14">
        <f ca="1">IFERROR(__xludf.DUMMYFUNCTION("""COMPUTED_VALUE"""),0)</f>
        <v>0</v>
      </c>
      <c r="D7775" s="12" t="str">
        <f ca="1">IFERROR(__xludf.DUMMYFUNCTION("""COMPUTED_VALUE"""),"成嶋 夏未")</f>
        <v>成嶋 夏未</v>
      </c>
    </row>
    <row r="7776" spans="2:4" ht="13">
      <c r="B7776" s="12">
        <f ca="1">IFERROR(__xludf.DUMMYFUNCTION("""COMPUTED_VALUE"""),140237)</f>
        <v>140237</v>
      </c>
      <c r="C7776" s="14">
        <f ca="1">IFERROR(__xludf.DUMMYFUNCTION("""COMPUTED_VALUE"""),9)</f>
        <v>9</v>
      </c>
      <c r="D7776" s="12" t="str">
        <f ca="1">IFERROR(__xludf.DUMMYFUNCTION("""COMPUTED_VALUE"""),"川島 幹也")</f>
        <v>川島 幹也</v>
      </c>
    </row>
    <row r="7777" spans="2:4" ht="13">
      <c r="B7777" s="12">
        <f ca="1">IFERROR(__xludf.DUMMYFUNCTION("""COMPUTED_VALUE"""),140246)</f>
        <v>140246</v>
      </c>
      <c r="C7777" s="14">
        <f ca="1">IFERROR(__xludf.DUMMYFUNCTION("""COMPUTED_VALUE"""),0)</f>
        <v>0</v>
      </c>
      <c r="D7777" s="12" t="str">
        <f ca="1">IFERROR(__xludf.DUMMYFUNCTION("""COMPUTED_VALUE"""),"成嶋 夏未")</f>
        <v>成嶋 夏未</v>
      </c>
    </row>
    <row r="7778" spans="2:4" ht="13">
      <c r="B7778" s="12">
        <f ca="1">IFERROR(__xludf.DUMMYFUNCTION("""COMPUTED_VALUE"""),140247)</f>
        <v>140247</v>
      </c>
      <c r="C7778" s="14">
        <f ca="1">IFERROR(__xludf.DUMMYFUNCTION("""COMPUTED_VALUE"""),0)</f>
        <v>0</v>
      </c>
      <c r="D7778" s="12" t="str">
        <f ca="1">IFERROR(__xludf.DUMMYFUNCTION("""COMPUTED_VALUE"""),"奥野 貴大")</f>
        <v>奥野 貴大</v>
      </c>
    </row>
    <row r="7779" spans="2:4" ht="13">
      <c r="B7779" s="12">
        <f ca="1">IFERROR(__xludf.DUMMYFUNCTION("""COMPUTED_VALUE"""),140249)</f>
        <v>140249</v>
      </c>
      <c r="C7779" s="14">
        <f ca="1">IFERROR(__xludf.DUMMYFUNCTION("""COMPUTED_VALUE"""),81)</f>
        <v>81</v>
      </c>
      <c r="D7779" s="12" t="str">
        <f ca="1">IFERROR(__xludf.DUMMYFUNCTION("""COMPUTED_VALUE"""),"荻曽 克輝")</f>
        <v>荻曽 克輝</v>
      </c>
    </row>
    <row r="7780" spans="2:4" ht="13">
      <c r="B7780" s="12">
        <f ca="1">IFERROR(__xludf.DUMMYFUNCTION("""COMPUTED_VALUE"""),140255)</f>
        <v>140255</v>
      </c>
      <c r="C7780" s="14">
        <f ca="1">IFERROR(__xludf.DUMMYFUNCTION("""COMPUTED_VALUE"""),4)</f>
        <v>4</v>
      </c>
      <c r="D7780" s="12" t="str">
        <f ca="1">IFERROR(__xludf.DUMMYFUNCTION("""COMPUTED_VALUE"""),"荻曽 克輝")</f>
        <v>荻曽 克輝</v>
      </c>
    </row>
    <row r="7781" spans="2:4" ht="13">
      <c r="B7781" s="12">
        <f ca="1">IFERROR(__xludf.DUMMYFUNCTION("""COMPUTED_VALUE"""),140256)</f>
        <v>140256</v>
      </c>
      <c r="C7781" s="14">
        <f ca="1">IFERROR(__xludf.DUMMYFUNCTION("""COMPUTED_VALUE"""),0)</f>
        <v>0</v>
      </c>
      <c r="D7781" s="12" t="str">
        <f ca="1">IFERROR(__xludf.DUMMYFUNCTION("""COMPUTED_VALUE"""),"内丸 裕子")</f>
        <v>内丸 裕子</v>
      </c>
    </row>
    <row r="7782" spans="2:4" ht="13">
      <c r="B7782" s="12">
        <f ca="1">IFERROR(__xludf.DUMMYFUNCTION("""COMPUTED_VALUE"""),140259)</f>
        <v>140259</v>
      </c>
      <c r="C7782" s="14">
        <f ca="1">IFERROR(__xludf.DUMMYFUNCTION("""COMPUTED_VALUE"""),0)</f>
        <v>0</v>
      </c>
      <c r="D7782" s="12" t="str">
        <f ca="1">IFERROR(__xludf.DUMMYFUNCTION("""COMPUTED_VALUE"""),"小関 麻起")</f>
        <v>小関 麻起</v>
      </c>
    </row>
    <row r="7783" spans="2:4" ht="13">
      <c r="B7783" s="12">
        <f ca="1">IFERROR(__xludf.DUMMYFUNCTION("""COMPUTED_VALUE"""),140263)</f>
        <v>140263</v>
      </c>
      <c r="C7783" s="14">
        <f ca="1">IFERROR(__xludf.DUMMYFUNCTION("""COMPUTED_VALUE"""),4)</f>
        <v>4</v>
      </c>
      <c r="D7783" s="12" t="str">
        <f ca="1">IFERROR(__xludf.DUMMYFUNCTION("""COMPUTED_VALUE"""),"栗原 大武")</f>
        <v>栗原 大武</v>
      </c>
    </row>
    <row r="7784" spans="2:4" ht="13">
      <c r="B7784" s="12">
        <f ca="1">IFERROR(__xludf.DUMMYFUNCTION("""COMPUTED_VALUE"""),140264)</f>
        <v>140264</v>
      </c>
      <c r="C7784" s="14">
        <f ca="1">IFERROR(__xludf.DUMMYFUNCTION("""COMPUTED_VALUE"""),72)</f>
        <v>72</v>
      </c>
      <c r="D7784" s="12" t="str">
        <f ca="1">IFERROR(__xludf.DUMMYFUNCTION("""COMPUTED_VALUE"""),"辻村 将大")</f>
        <v>辻村 将大</v>
      </c>
    </row>
    <row r="7785" spans="2:4" ht="13">
      <c r="B7785" s="12">
        <f ca="1">IFERROR(__xludf.DUMMYFUNCTION("""COMPUTED_VALUE"""),140265)</f>
        <v>140265</v>
      </c>
      <c r="C7785" s="14">
        <f ca="1">IFERROR(__xludf.DUMMYFUNCTION("""COMPUTED_VALUE"""),93)</f>
        <v>93</v>
      </c>
      <c r="D7785" s="12" t="str">
        <f ca="1">IFERROR(__xludf.DUMMYFUNCTION("""COMPUTED_VALUE"""),"菅野 ぎんが")</f>
        <v>菅野 ぎんが</v>
      </c>
    </row>
    <row r="7786" spans="2:4" ht="13">
      <c r="B7786" s="12">
        <f ca="1">IFERROR(__xludf.DUMMYFUNCTION("""COMPUTED_VALUE"""),140272)</f>
        <v>140272</v>
      </c>
      <c r="C7786" s="14">
        <f ca="1">IFERROR(__xludf.DUMMYFUNCTION("""COMPUTED_VALUE"""),0)</f>
        <v>0</v>
      </c>
      <c r="D7786" s="12" t="str">
        <f ca="1">IFERROR(__xludf.DUMMYFUNCTION("""COMPUTED_VALUE"""),"小川 純")</f>
        <v>小川 純</v>
      </c>
    </row>
    <row r="7787" spans="2:4" ht="13">
      <c r="B7787" s="12">
        <f ca="1">IFERROR(__xludf.DUMMYFUNCTION("""COMPUTED_VALUE"""),140276)</f>
        <v>140276</v>
      </c>
      <c r="C7787" s="14">
        <f ca="1">IFERROR(__xludf.DUMMYFUNCTION("""COMPUTED_VALUE"""),0)</f>
        <v>0</v>
      </c>
      <c r="D7787" s="12" t="str">
        <f ca="1">IFERROR(__xludf.DUMMYFUNCTION("""COMPUTED_VALUE"""),"小関 麻起")</f>
        <v>小関 麻起</v>
      </c>
    </row>
    <row r="7788" spans="2:4" ht="13">
      <c r="B7788" s="12">
        <f ca="1">IFERROR(__xludf.DUMMYFUNCTION("""COMPUTED_VALUE"""),140282)</f>
        <v>140282</v>
      </c>
      <c r="C7788" s="14">
        <f ca="1">IFERROR(__xludf.DUMMYFUNCTION("""COMPUTED_VALUE"""),1)</f>
        <v>1</v>
      </c>
      <c r="D7788" s="12" t="str">
        <f ca="1">IFERROR(__xludf.DUMMYFUNCTION("""COMPUTED_VALUE"""),"森 光智")</f>
        <v>森 光智</v>
      </c>
    </row>
    <row r="7789" spans="2:4" ht="13">
      <c r="B7789" s="12">
        <f ca="1">IFERROR(__xludf.DUMMYFUNCTION("""COMPUTED_VALUE"""),140288)</f>
        <v>140288</v>
      </c>
      <c r="C7789" s="14">
        <f ca="1">IFERROR(__xludf.DUMMYFUNCTION("""COMPUTED_VALUE"""),1)</f>
        <v>1</v>
      </c>
      <c r="D7789" s="12" t="str">
        <f ca="1">IFERROR(__xludf.DUMMYFUNCTION("""COMPUTED_VALUE"""),"川島 幹也")</f>
        <v>川島 幹也</v>
      </c>
    </row>
    <row r="7790" spans="2:4" ht="13">
      <c r="B7790" s="12">
        <f ca="1">IFERROR(__xludf.DUMMYFUNCTION("""COMPUTED_VALUE"""),140289)</f>
        <v>140289</v>
      </c>
      <c r="C7790" s="14">
        <f ca="1">IFERROR(__xludf.DUMMYFUNCTION("""COMPUTED_VALUE"""),41)</f>
        <v>41</v>
      </c>
      <c r="D7790" s="12" t="str">
        <f ca="1">IFERROR(__xludf.DUMMYFUNCTION("""COMPUTED_VALUE"""),"内丸 裕子")</f>
        <v>内丸 裕子</v>
      </c>
    </row>
    <row r="7791" spans="2:4" ht="13">
      <c r="B7791" s="12">
        <f ca="1">IFERROR(__xludf.DUMMYFUNCTION("""COMPUTED_VALUE"""),140292)</f>
        <v>140292</v>
      </c>
      <c r="C7791" s="14">
        <f ca="1">IFERROR(__xludf.DUMMYFUNCTION("""COMPUTED_VALUE"""),0)</f>
        <v>0</v>
      </c>
      <c r="D7791" s="12" t="str">
        <f ca="1">IFERROR(__xludf.DUMMYFUNCTION("""COMPUTED_VALUE"""),"松尾 尚樹")</f>
        <v>松尾 尚樹</v>
      </c>
    </row>
    <row r="7792" spans="2:4" ht="13">
      <c r="B7792" s="12">
        <f ca="1">IFERROR(__xludf.DUMMYFUNCTION("""COMPUTED_VALUE"""),140298)</f>
        <v>140298</v>
      </c>
      <c r="C7792" s="14">
        <f ca="1">IFERROR(__xludf.DUMMYFUNCTION("""COMPUTED_VALUE"""),0)</f>
        <v>0</v>
      </c>
      <c r="D7792" s="12" t="str">
        <f ca="1">IFERROR(__xludf.DUMMYFUNCTION("""COMPUTED_VALUE"""),"堀越 駿")</f>
        <v>堀越 駿</v>
      </c>
    </row>
    <row r="7793" spans="2:4" ht="13">
      <c r="B7793" s="12">
        <f ca="1">IFERROR(__xludf.DUMMYFUNCTION("""COMPUTED_VALUE"""),140299)</f>
        <v>140299</v>
      </c>
      <c r="C7793" s="14">
        <f ca="1">IFERROR(__xludf.DUMMYFUNCTION("""COMPUTED_VALUE"""),0)</f>
        <v>0</v>
      </c>
      <c r="D7793" s="12" t="str">
        <f ca="1">IFERROR(__xludf.DUMMYFUNCTION("""COMPUTED_VALUE"""),"芳賀 亮輔")</f>
        <v>芳賀 亮輔</v>
      </c>
    </row>
    <row r="7794" spans="2:4" ht="13">
      <c r="B7794" s="12">
        <f ca="1">IFERROR(__xludf.DUMMYFUNCTION("""COMPUTED_VALUE"""),140303)</f>
        <v>140303</v>
      </c>
      <c r="C7794" s="14">
        <f ca="1">IFERROR(__xludf.DUMMYFUNCTION("""COMPUTED_VALUE"""),0)</f>
        <v>0</v>
      </c>
      <c r="D7794" s="12" t="str">
        <f ca="1">IFERROR(__xludf.DUMMYFUNCTION("""COMPUTED_VALUE"""),"長谷川 陸朗")</f>
        <v>長谷川 陸朗</v>
      </c>
    </row>
    <row r="7795" spans="2:4" ht="13">
      <c r="B7795" s="12">
        <f ca="1">IFERROR(__xludf.DUMMYFUNCTION("""COMPUTED_VALUE"""),140304)</f>
        <v>140304</v>
      </c>
      <c r="C7795" s="14">
        <f ca="1">IFERROR(__xludf.DUMMYFUNCTION("""COMPUTED_VALUE"""),0)</f>
        <v>0</v>
      </c>
      <c r="D7795" s="12" t="str">
        <f ca="1">IFERROR(__xludf.DUMMYFUNCTION("""COMPUTED_VALUE"""),"小川 純")</f>
        <v>小川 純</v>
      </c>
    </row>
    <row r="7796" spans="2:4" ht="13">
      <c r="B7796" s="12">
        <f ca="1">IFERROR(__xludf.DUMMYFUNCTION("""COMPUTED_VALUE"""),140306)</f>
        <v>140306</v>
      </c>
      <c r="C7796" s="14">
        <f ca="1">IFERROR(__xludf.DUMMYFUNCTION("""COMPUTED_VALUE"""),0)</f>
        <v>0</v>
      </c>
      <c r="D7796" s="12" t="str">
        <f ca="1">IFERROR(__xludf.DUMMYFUNCTION("""COMPUTED_VALUE"""),"小川 純")</f>
        <v>小川 純</v>
      </c>
    </row>
    <row r="7797" spans="2:4" ht="13">
      <c r="B7797" s="12">
        <f ca="1">IFERROR(__xludf.DUMMYFUNCTION("""COMPUTED_VALUE"""),140308)</f>
        <v>140308</v>
      </c>
      <c r="C7797" s="14">
        <f ca="1">IFERROR(__xludf.DUMMYFUNCTION("""COMPUTED_VALUE"""),2)</f>
        <v>2</v>
      </c>
      <c r="D7797" s="12" t="str">
        <f ca="1">IFERROR(__xludf.DUMMYFUNCTION("""COMPUTED_VALUE"""),"荻曽 克輝")</f>
        <v>荻曽 克輝</v>
      </c>
    </row>
    <row r="7798" spans="2:4" ht="13">
      <c r="B7798" s="12">
        <f ca="1">IFERROR(__xludf.DUMMYFUNCTION("""COMPUTED_VALUE"""),140317)</f>
        <v>140317</v>
      </c>
      <c r="C7798" s="14">
        <f ca="1">IFERROR(__xludf.DUMMYFUNCTION("""COMPUTED_VALUE"""),21)</f>
        <v>21</v>
      </c>
      <c r="D7798" s="12" t="str">
        <f ca="1">IFERROR(__xludf.DUMMYFUNCTION("""COMPUTED_VALUE"""),"稲場 勇介")</f>
        <v>稲場 勇介</v>
      </c>
    </row>
    <row r="7799" spans="2:4" ht="13">
      <c r="B7799" s="12">
        <f ca="1">IFERROR(__xludf.DUMMYFUNCTION("""COMPUTED_VALUE"""),140319)</f>
        <v>140319</v>
      </c>
      <c r="C7799" s="14">
        <f ca="1">IFERROR(__xludf.DUMMYFUNCTION("""COMPUTED_VALUE"""),1)</f>
        <v>1</v>
      </c>
      <c r="D7799" s="12" t="str">
        <f ca="1">IFERROR(__xludf.DUMMYFUNCTION("""COMPUTED_VALUE"""),"田嶋 将太")</f>
        <v>田嶋 将太</v>
      </c>
    </row>
    <row r="7800" spans="2:4" ht="13">
      <c r="B7800" s="12">
        <f ca="1">IFERROR(__xludf.DUMMYFUNCTION("""COMPUTED_VALUE"""),140324)</f>
        <v>140324</v>
      </c>
      <c r="C7800" s="14">
        <f ca="1">IFERROR(__xludf.DUMMYFUNCTION("""COMPUTED_VALUE"""),28)</f>
        <v>28</v>
      </c>
      <c r="D7800" s="12" t="str">
        <f ca="1">IFERROR(__xludf.DUMMYFUNCTION("""COMPUTED_VALUE"""),"長谷川 陸朗")</f>
        <v>長谷川 陸朗</v>
      </c>
    </row>
    <row r="7801" spans="2:4" ht="13">
      <c r="B7801" s="12">
        <f ca="1">IFERROR(__xludf.DUMMYFUNCTION("""COMPUTED_VALUE"""),140326)</f>
        <v>140326</v>
      </c>
      <c r="C7801" s="14">
        <f ca="1">IFERROR(__xludf.DUMMYFUNCTION("""COMPUTED_VALUE"""),5)</f>
        <v>5</v>
      </c>
      <c r="D7801" s="12" t="str">
        <f ca="1">IFERROR(__xludf.DUMMYFUNCTION("""COMPUTED_VALUE"""),"荻曽 克輝")</f>
        <v>荻曽 克輝</v>
      </c>
    </row>
    <row r="7802" spans="2:4" ht="13">
      <c r="B7802" s="12">
        <f ca="1">IFERROR(__xludf.DUMMYFUNCTION("""COMPUTED_VALUE"""),140327)</f>
        <v>140327</v>
      </c>
      <c r="C7802" s="14">
        <f ca="1">IFERROR(__xludf.DUMMYFUNCTION("""COMPUTED_VALUE"""),34)</f>
        <v>34</v>
      </c>
      <c r="D7802" s="12" t="str">
        <f ca="1">IFERROR(__xludf.DUMMYFUNCTION("""COMPUTED_VALUE"""),"荻曽 克輝")</f>
        <v>荻曽 克輝</v>
      </c>
    </row>
    <row r="7803" spans="2:4" ht="13">
      <c r="B7803" s="12">
        <f ca="1">IFERROR(__xludf.DUMMYFUNCTION("""COMPUTED_VALUE"""),140331)</f>
        <v>140331</v>
      </c>
      <c r="C7803" s="14">
        <f ca="1">IFERROR(__xludf.DUMMYFUNCTION("""COMPUTED_VALUE"""),10)</f>
        <v>10</v>
      </c>
      <c r="D7803" s="12" t="str">
        <f ca="1">IFERROR(__xludf.DUMMYFUNCTION("""COMPUTED_VALUE"""),"荻曽 克輝")</f>
        <v>荻曽 克輝</v>
      </c>
    </row>
    <row r="7804" spans="2:4" ht="13">
      <c r="B7804" s="12">
        <f ca="1">IFERROR(__xludf.DUMMYFUNCTION("""COMPUTED_VALUE"""),140333)</f>
        <v>140333</v>
      </c>
      <c r="C7804" s="14">
        <f ca="1">IFERROR(__xludf.DUMMYFUNCTION("""COMPUTED_VALUE"""),0)</f>
        <v>0</v>
      </c>
      <c r="D7804" s="12" t="str">
        <f ca="1">IFERROR(__xludf.DUMMYFUNCTION("""COMPUTED_VALUE"""),"菅野 ぎんが")</f>
        <v>菅野 ぎんが</v>
      </c>
    </row>
    <row r="7805" spans="2:4" ht="13">
      <c r="B7805" s="12">
        <f ca="1">IFERROR(__xludf.DUMMYFUNCTION("""COMPUTED_VALUE"""),140335)</f>
        <v>140335</v>
      </c>
      <c r="C7805" s="14">
        <f ca="1">IFERROR(__xludf.DUMMYFUNCTION("""COMPUTED_VALUE"""),2)</f>
        <v>2</v>
      </c>
      <c r="D7805" s="12" t="str">
        <f ca="1">IFERROR(__xludf.DUMMYFUNCTION("""COMPUTED_VALUE"""),"小関 麻起")</f>
        <v>小関 麻起</v>
      </c>
    </row>
    <row r="7806" spans="2:4" ht="13">
      <c r="B7806" s="12">
        <f ca="1">IFERROR(__xludf.DUMMYFUNCTION("""COMPUTED_VALUE"""),140343)</f>
        <v>140343</v>
      </c>
      <c r="C7806" s="14">
        <f ca="1">IFERROR(__xludf.DUMMYFUNCTION("""COMPUTED_VALUE"""),0)</f>
        <v>0</v>
      </c>
      <c r="D7806" s="12" t="str">
        <f ca="1">IFERROR(__xludf.DUMMYFUNCTION("""COMPUTED_VALUE"""),"堀越 駿")</f>
        <v>堀越 駿</v>
      </c>
    </row>
    <row r="7807" spans="2:4" ht="13">
      <c r="B7807" s="12">
        <f ca="1">IFERROR(__xludf.DUMMYFUNCTION("""COMPUTED_VALUE"""),140344)</f>
        <v>140344</v>
      </c>
      <c r="C7807" s="14">
        <f ca="1">IFERROR(__xludf.DUMMYFUNCTION("""COMPUTED_VALUE"""),9)</f>
        <v>9</v>
      </c>
      <c r="D7807" s="12" t="str">
        <f ca="1">IFERROR(__xludf.DUMMYFUNCTION("""COMPUTED_VALUE"""),"内丸 裕子")</f>
        <v>内丸 裕子</v>
      </c>
    </row>
    <row r="7808" spans="2:4" ht="13">
      <c r="B7808" s="12">
        <f ca="1">IFERROR(__xludf.DUMMYFUNCTION("""COMPUTED_VALUE"""),140348)</f>
        <v>140348</v>
      </c>
      <c r="C7808" s="14">
        <f ca="1">IFERROR(__xludf.DUMMYFUNCTION("""COMPUTED_VALUE"""),0)</f>
        <v>0</v>
      </c>
      <c r="D7808" s="12" t="str">
        <f ca="1">IFERROR(__xludf.DUMMYFUNCTION("""COMPUTED_VALUE"""),"荻曽 克輝")</f>
        <v>荻曽 克輝</v>
      </c>
    </row>
    <row r="7809" spans="2:4" ht="13">
      <c r="B7809" s="12">
        <f ca="1">IFERROR(__xludf.DUMMYFUNCTION("""COMPUTED_VALUE"""),140351)</f>
        <v>140351</v>
      </c>
      <c r="C7809" s="14">
        <f ca="1">IFERROR(__xludf.DUMMYFUNCTION("""COMPUTED_VALUE"""),18)</f>
        <v>18</v>
      </c>
      <c r="D7809" s="12" t="str">
        <f ca="1">IFERROR(__xludf.DUMMYFUNCTION("""COMPUTED_VALUE"""),"桑原 明子")</f>
        <v>桑原 明子</v>
      </c>
    </row>
    <row r="7810" spans="2:4" ht="13">
      <c r="B7810" s="12">
        <f ca="1">IFERROR(__xludf.DUMMYFUNCTION("""COMPUTED_VALUE"""),140353)</f>
        <v>140353</v>
      </c>
      <c r="C7810" s="14">
        <f ca="1">IFERROR(__xludf.DUMMYFUNCTION("""COMPUTED_VALUE"""),16)</f>
        <v>16</v>
      </c>
      <c r="D7810" s="12" t="str">
        <f ca="1">IFERROR(__xludf.DUMMYFUNCTION("""COMPUTED_VALUE"""),"小関 麻起")</f>
        <v>小関 麻起</v>
      </c>
    </row>
    <row r="7811" spans="2:4" ht="13">
      <c r="B7811" s="12">
        <f ca="1">IFERROR(__xludf.DUMMYFUNCTION("""COMPUTED_VALUE"""),140354)</f>
        <v>140354</v>
      </c>
      <c r="C7811" s="14">
        <f ca="1">IFERROR(__xludf.DUMMYFUNCTION("""COMPUTED_VALUE"""),190)</f>
        <v>190</v>
      </c>
      <c r="D7811" s="12" t="str">
        <f ca="1">IFERROR(__xludf.DUMMYFUNCTION("""COMPUTED_VALUE"""),"荻曽 克輝")</f>
        <v>荻曽 克輝</v>
      </c>
    </row>
    <row r="7812" spans="2:4" ht="13">
      <c r="B7812" s="12">
        <f ca="1">IFERROR(__xludf.DUMMYFUNCTION("""COMPUTED_VALUE"""),140355)</f>
        <v>140355</v>
      </c>
      <c r="C7812" s="14">
        <f ca="1">IFERROR(__xludf.DUMMYFUNCTION("""COMPUTED_VALUE"""),0)</f>
        <v>0</v>
      </c>
      <c r="D7812" s="12" t="str">
        <f ca="1">IFERROR(__xludf.DUMMYFUNCTION("""COMPUTED_VALUE"""),"桑原 明子")</f>
        <v>桑原 明子</v>
      </c>
    </row>
    <row r="7813" spans="2:4" ht="13">
      <c r="B7813" s="12">
        <f ca="1">IFERROR(__xludf.DUMMYFUNCTION("""COMPUTED_VALUE"""),140357)</f>
        <v>140357</v>
      </c>
      <c r="C7813" s="14">
        <f ca="1">IFERROR(__xludf.DUMMYFUNCTION("""COMPUTED_VALUE"""),48)</f>
        <v>48</v>
      </c>
      <c r="D7813" s="12" t="str">
        <f ca="1">IFERROR(__xludf.DUMMYFUNCTION("""COMPUTED_VALUE"""),"小川 純")</f>
        <v>小川 純</v>
      </c>
    </row>
    <row r="7814" spans="2:4" ht="13">
      <c r="B7814" s="12">
        <f ca="1">IFERROR(__xludf.DUMMYFUNCTION("""COMPUTED_VALUE"""),140358)</f>
        <v>140358</v>
      </c>
      <c r="C7814" s="14">
        <f ca="1">IFERROR(__xludf.DUMMYFUNCTION("""COMPUTED_VALUE"""),143)</f>
        <v>143</v>
      </c>
      <c r="D7814" s="12" t="str">
        <f ca="1">IFERROR(__xludf.DUMMYFUNCTION("""COMPUTED_VALUE"""),"桐山 勝気")</f>
        <v>桐山 勝気</v>
      </c>
    </row>
    <row r="7815" spans="2:4" ht="13">
      <c r="B7815" s="12">
        <f ca="1">IFERROR(__xludf.DUMMYFUNCTION("""COMPUTED_VALUE"""),140360)</f>
        <v>140360</v>
      </c>
      <c r="C7815" s="14">
        <f ca="1">IFERROR(__xludf.DUMMYFUNCTION("""COMPUTED_VALUE"""),0)</f>
        <v>0</v>
      </c>
      <c r="D7815" s="12" t="str">
        <f ca="1">IFERROR(__xludf.DUMMYFUNCTION("""COMPUTED_VALUE"""),"小川 純")</f>
        <v>小川 純</v>
      </c>
    </row>
    <row r="7816" spans="2:4" ht="13">
      <c r="B7816" s="12">
        <f ca="1">IFERROR(__xludf.DUMMYFUNCTION("""COMPUTED_VALUE"""),140365)</f>
        <v>140365</v>
      </c>
      <c r="C7816" s="14">
        <f ca="1">IFERROR(__xludf.DUMMYFUNCTION("""COMPUTED_VALUE"""),8)</f>
        <v>8</v>
      </c>
      <c r="D7816" s="12" t="str">
        <f ca="1">IFERROR(__xludf.DUMMYFUNCTION("""COMPUTED_VALUE"""),"小川 純")</f>
        <v>小川 純</v>
      </c>
    </row>
    <row r="7817" spans="2:4" ht="13">
      <c r="B7817" s="12">
        <f ca="1">IFERROR(__xludf.DUMMYFUNCTION("""COMPUTED_VALUE"""),140366)</f>
        <v>140366</v>
      </c>
      <c r="C7817" s="14">
        <f ca="1">IFERROR(__xludf.DUMMYFUNCTION("""COMPUTED_VALUE"""),11)</f>
        <v>11</v>
      </c>
      <c r="D7817" s="12" t="str">
        <f ca="1">IFERROR(__xludf.DUMMYFUNCTION("""COMPUTED_VALUE"""),"小川 純")</f>
        <v>小川 純</v>
      </c>
    </row>
    <row r="7818" spans="2:4" ht="13">
      <c r="B7818" s="12">
        <f ca="1">IFERROR(__xludf.DUMMYFUNCTION("""COMPUTED_VALUE"""),140367)</f>
        <v>140367</v>
      </c>
      <c r="C7818" s="14">
        <f ca="1">IFERROR(__xludf.DUMMYFUNCTION("""COMPUTED_VALUE"""),21)</f>
        <v>21</v>
      </c>
      <c r="D7818" s="12" t="str">
        <f ca="1">IFERROR(__xludf.DUMMYFUNCTION("""COMPUTED_VALUE"""),"小川 純")</f>
        <v>小川 純</v>
      </c>
    </row>
    <row r="7819" spans="2:4" ht="13">
      <c r="B7819" s="12">
        <f ca="1">IFERROR(__xludf.DUMMYFUNCTION("""COMPUTED_VALUE"""),140368)</f>
        <v>140368</v>
      </c>
      <c r="C7819" s="14">
        <f ca="1">IFERROR(__xludf.DUMMYFUNCTION("""COMPUTED_VALUE"""),12)</f>
        <v>12</v>
      </c>
      <c r="D7819" s="12" t="str">
        <f ca="1">IFERROR(__xludf.DUMMYFUNCTION("""COMPUTED_VALUE"""),"小川 純")</f>
        <v>小川 純</v>
      </c>
    </row>
    <row r="7820" spans="2:4" ht="13">
      <c r="B7820" s="12">
        <f ca="1">IFERROR(__xludf.DUMMYFUNCTION("""COMPUTED_VALUE"""),140369)</f>
        <v>140369</v>
      </c>
      <c r="C7820" s="14">
        <f ca="1">IFERROR(__xludf.DUMMYFUNCTION("""COMPUTED_VALUE"""),17)</f>
        <v>17</v>
      </c>
      <c r="D7820" s="12" t="str">
        <f ca="1">IFERROR(__xludf.DUMMYFUNCTION("""COMPUTED_VALUE"""),"小川 純")</f>
        <v>小川 純</v>
      </c>
    </row>
    <row r="7821" spans="2:4" ht="13">
      <c r="B7821" s="12">
        <f ca="1">IFERROR(__xludf.DUMMYFUNCTION("""COMPUTED_VALUE"""),140370)</f>
        <v>140370</v>
      </c>
      <c r="C7821" s="14">
        <f ca="1">IFERROR(__xludf.DUMMYFUNCTION("""COMPUTED_VALUE"""),11)</f>
        <v>11</v>
      </c>
      <c r="D7821" s="12" t="str">
        <f ca="1">IFERROR(__xludf.DUMMYFUNCTION("""COMPUTED_VALUE"""),"小川 純")</f>
        <v>小川 純</v>
      </c>
    </row>
    <row r="7822" spans="2:4" ht="13">
      <c r="B7822" s="12">
        <f ca="1">IFERROR(__xludf.DUMMYFUNCTION("""COMPUTED_VALUE"""),140371)</f>
        <v>140371</v>
      </c>
      <c r="C7822" s="14">
        <f ca="1">IFERROR(__xludf.DUMMYFUNCTION("""COMPUTED_VALUE"""),15)</f>
        <v>15</v>
      </c>
      <c r="D7822" s="12" t="str">
        <f ca="1">IFERROR(__xludf.DUMMYFUNCTION("""COMPUTED_VALUE"""),"小川 純")</f>
        <v>小川 純</v>
      </c>
    </row>
    <row r="7823" spans="2:4" ht="13">
      <c r="B7823" s="12">
        <f ca="1">IFERROR(__xludf.DUMMYFUNCTION("""COMPUTED_VALUE"""),140372)</f>
        <v>140372</v>
      </c>
      <c r="C7823" s="14">
        <f ca="1">IFERROR(__xludf.DUMMYFUNCTION("""COMPUTED_VALUE"""),49)</f>
        <v>49</v>
      </c>
      <c r="D7823" s="12" t="str">
        <f ca="1">IFERROR(__xludf.DUMMYFUNCTION("""COMPUTED_VALUE"""),"小川 純")</f>
        <v>小川 純</v>
      </c>
    </row>
    <row r="7824" spans="2:4" ht="13">
      <c r="B7824" s="12">
        <f ca="1">IFERROR(__xludf.DUMMYFUNCTION("""COMPUTED_VALUE"""),140373)</f>
        <v>140373</v>
      </c>
      <c r="C7824" s="14">
        <f ca="1">IFERROR(__xludf.DUMMYFUNCTION("""COMPUTED_VALUE"""),13)</f>
        <v>13</v>
      </c>
      <c r="D7824" s="12" t="str">
        <f ca="1">IFERROR(__xludf.DUMMYFUNCTION("""COMPUTED_VALUE"""),"小川 純")</f>
        <v>小川 純</v>
      </c>
    </row>
    <row r="7825" spans="2:4" ht="13">
      <c r="B7825" s="12">
        <f ca="1">IFERROR(__xludf.DUMMYFUNCTION("""COMPUTED_VALUE"""),140374)</f>
        <v>140374</v>
      </c>
      <c r="C7825" s="14">
        <f ca="1">IFERROR(__xludf.DUMMYFUNCTION("""COMPUTED_VALUE"""),45)</f>
        <v>45</v>
      </c>
      <c r="D7825" s="12" t="str">
        <f ca="1">IFERROR(__xludf.DUMMYFUNCTION("""COMPUTED_VALUE"""),"小川 純")</f>
        <v>小川 純</v>
      </c>
    </row>
    <row r="7826" spans="2:4" ht="13">
      <c r="B7826" s="12">
        <f ca="1">IFERROR(__xludf.DUMMYFUNCTION("""COMPUTED_VALUE"""),140375)</f>
        <v>140375</v>
      </c>
      <c r="C7826" s="14">
        <f ca="1">IFERROR(__xludf.DUMMYFUNCTION("""COMPUTED_VALUE"""),96)</f>
        <v>96</v>
      </c>
      <c r="D7826" s="12" t="str">
        <f ca="1">IFERROR(__xludf.DUMMYFUNCTION("""COMPUTED_VALUE"""),"小川 純")</f>
        <v>小川 純</v>
      </c>
    </row>
    <row r="7827" spans="2:4" ht="13">
      <c r="B7827" s="12">
        <f ca="1">IFERROR(__xludf.DUMMYFUNCTION("""COMPUTED_VALUE"""),140376)</f>
        <v>140376</v>
      </c>
      <c r="C7827" s="14">
        <f ca="1">IFERROR(__xludf.DUMMYFUNCTION("""COMPUTED_VALUE"""),28)</f>
        <v>28</v>
      </c>
      <c r="D7827" s="12" t="str">
        <f ca="1">IFERROR(__xludf.DUMMYFUNCTION("""COMPUTED_VALUE"""),"小川 純")</f>
        <v>小川 純</v>
      </c>
    </row>
    <row r="7828" spans="2:4" ht="13">
      <c r="B7828" s="12">
        <f ca="1">IFERROR(__xludf.DUMMYFUNCTION("""COMPUTED_VALUE"""),140377)</f>
        <v>140377</v>
      </c>
      <c r="C7828" s="14">
        <f ca="1">IFERROR(__xludf.DUMMYFUNCTION("""COMPUTED_VALUE"""),0)</f>
        <v>0</v>
      </c>
      <c r="D7828" s="12" t="str">
        <f ca="1">IFERROR(__xludf.DUMMYFUNCTION("""COMPUTED_VALUE"""),"小川 純")</f>
        <v>小川 純</v>
      </c>
    </row>
    <row r="7829" spans="2:4" ht="13">
      <c r="B7829" s="12">
        <f ca="1">IFERROR(__xludf.DUMMYFUNCTION("""COMPUTED_VALUE"""),140378)</f>
        <v>140378</v>
      </c>
      <c r="C7829" s="14">
        <f ca="1">IFERROR(__xludf.DUMMYFUNCTION("""COMPUTED_VALUE"""),98)</f>
        <v>98</v>
      </c>
      <c r="D7829" s="12" t="str">
        <f ca="1">IFERROR(__xludf.DUMMYFUNCTION("""COMPUTED_VALUE"""),"小川 純")</f>
        <v>小川 純</v>
      </c>
    </row>
    <row r="7830" spans="2:4" ht="13">
      <c r="B7830" s="12">
        <f ca="1">IFERROR(__xludf.DUMMYFUNCTION("""COMPUTED_VALUE"""),140379)</f>
        <v>140379</v>
      </c>
      <c r="C7830" s="14">
        <f ca="1">IFERROR(__xludf.DUMMYFUNCTION("""COMPUTED_VALUE"""),112)</f>
        <v>112</v>
      </c>
      <c r="D7830" s="12" t="str">
        <f ca="1">IFERROR(__xludf.DUMMYFUNCTION("""COMPUTED_VALUE"""),"小川 純")</f>
        <v>小川 純</v>
      </c>
    </row>
    <row r="7831" spans="2:4" ht="13">
      <c r="B7831" s="12">
        <f ca="1">IFERROR(__xludf.DUMMYFUNCTION("""COMPUTED_VALUE"""),140380)</f>
        <v>140380</v>
      </c>
      <c r="C7831" s="14">
        <f ca="1">IFERROR(__xludf.DUMMYFUNCTION("""COMPUTED_VALUE"""),23)</f>
        <v>23</v>
      </c>
      <c r="D7831" s="12" t="str">
        <f ca="1">IFERROR(__xludf.DUMMYFUNCTION("""COMPUTED_VALUE"""),"小川 純")</f>
        <v>小川 純</v>
      </c>
    </row>
    <row r="7832" spans="2:4" ht="13">
      <c r="B7832" s="12">
        <f ca="1">IFERROR(__xludf.DUMMYFUNCTION("""COMPUTED_VALUE"""),140381)</f>
        <v>140381</v>
      </c>
      <c r="C7832" s="14">
        <f ca="1">IFERROR(__xludf.DUMMYFUNCTION("""COMPUTED_VALUE"""),27)</f>
        <v>27</v>
      </c>
      <c r="D7832" s="12" t="str">
        <f ca="1">IFERROR(__xludf.DUMMYFUNCTION("""COMPUTED_VALUE"""),"小川 純")</f>
        <v>小川 純</v>
      </c>
    </row>
    <row r="7833" spans="2:4" ht="13">
      <c r="B7833" s="12">
        <f ca="1">IFERROR(__xludf.DUMMYFUNCTION("""COMPUTED_VALUE"""),140382)</f>
        <v>140382</v>
      </c>
      <c r="C7833" s="14">
        <f ca="1">IFERROR(__xludf.DUMMYFUNCTION("""COMPUTED_VALUE"""),30)</f>
        <v>30</v>
      </c>
      <c r="D7833" s="12" t="str">
        <f ca="1">IFERROR(__xludf.DUMMYFUNCTION("""COMPUTED_VALUE"""),"小川 純")</f>
        <v>小川 純</v>
      </c>
    </row>
    <row r="7834" spans="2:4" ht="13">
      <c r="B7834" s="12">
        <f ca="1">IFERROR(__xludf.DUMMYFUNCTION("""COMPUTED_VALUE"""),140383)</f>
        <v>140383</v>
      </c>
      <c r="C7834" s="14">
        <f ca="1">IFERROR(__xludf.DUMMYFUNCTION("""COMPUTED_VALUE"""),18)</f>
        <v>18</v>
      </c>
      <c r="D7834" s="12" t="str">
        <f ca="1">IFERROR(__xludf.DUMMYFUNCTION("""COMPUTED_VALUE"""),"小川 純")</f>
        <v>小川 純</v>
      </c>
    </row>
    <row r="7835" spans="2:4" ht="13">
      <c r="B7835" s="12">
        <f ca="1">IFERROR(__xludf.DUMMYFUNCTION("""COMPUTED_VALUE"""),140384)</f>
        <v>140384</v>
      </c>
      <c r="C7835" s="14">
        <f ca="1">IFERROR(__xludf.DUMMYFUNCTION("""COMPUTED_VALUE"""),27)</f>
        <v>27</v>
      </c>
      <c r="D7835" s="12" t="str">
        <f ca="1">IFERROR(__xludf.DUMMYFUNCTION("""COMPUTED_VALUE"""),"小川 純")</f>
        <v>小川 純</v>
      </c>
    </row>
    <row r="7836" spans="2:4" ht="13">
      <c r="B7836" s="12">
        <f ca="1">IFERROR(__xludf.DUMMYFUNCTION("""COMPUTED_VALUE"""),140385)</f>
        <v>140385</v>
      </c>
      <c r="C7836" s="14">
        <f ca="1">IFERROR(__xludf.DUMMYFUNCTION("""COMPUTED_VALUE"""),30)</f>
        <v>30</v>
      </c>
      <c r="D7836" s="12" t="str">
        <f ca="1">IFERROR(__xludf.DUMMYFUNCTION("""COMPUTED_VALUE"""),"小川 純")</f>
        <v>小川 純</v>
      </c>
    </row>
    <row r="7837" spans="2:4" ht="13">
      <c r="B7837" s="12">
        <f ca="1">IFERROR(__xludf.DUMMYFUNCTION("""COMPUTED_VALUE"""),140386)</f>
        <v>140386</v>
      </c>
      <c r="C7837" s="14">
        <f ca="1">IFERROR(__xludf.DUMMYFUNCTION("""COMPUTED_VALUE"""),24)</f>
        <v>24</v>
      </c>
      <c r="D7837" s="12" t="str">
        <f ca="1">IFERROR(__xludf.DUMMYFUNCTION("""COMPUTED_VALUE"""),"小川 純")</f>
        <v>小川 純</v>
      </c>
    </row>
    <row r="7838" spans="2:4" ht="13">
      <c r="B7838" s="12">
        <f ca="1">IFERROR(__xludf.DUMMYFUNCTION("""COMPUTED_VALUE"""),140387)</f>
        <v>140387</v>
      </c>
      <c r="C7838" s="14">
        <f ca="1">IFERROR(__xludf.DUMMYFUNCTION("""COMPUTED_VALUE"""),46)</f>
        <v>46</v>
      </c>
      <c r="D7838" s="12" t="str">
        <f ca="1">IFERROR(__xludf.DUMMYFUNCTION("""COMPUTED_VALUE"""),"小川 純")</f>
        <v>小川 純</v>
      </c>
    </row>
    <row r="7839" spans="2:4" ht="13">
      <c r="B7839" s="12">
        <f ca="1">IFERROR(__xludf.DUMMYFUNCTION("""COMPUTED_VALUE"""),140388)</f>
        <v>140388</v>
      </c>
      <c r="C7839" s="14">
        <f ca="1">IFERROR(__xludf.DUMMYFUNCTION("""COMPUTED_VALUE"""),26)</f>
        <v>26</v>
      </c>
      <c r="D7839" s="12" t="str">
        <f ca="1">IFERROR(__xludf.DUMMYFUNCTION("""COMPUTED_VALUE"""),"小川 純")</f>
        <v>小川 純</v>
      </c>
    </row>
    <row r="7840" spans="2:4" ht="13">
      <c r="B7840" s="12">
        <f ca="1">IFERROR(__xludf.DUMMYFUNCTION("""COMPUTED_VALUE"""),140389)</f>
        <v>140389</v>
      </c>
      <c r="C7840" s="14">
        <f ca="1">IFERROR(__xludf.DUMMYFUNCTION("""COMPUTED_VALUE"""),68)</f>
        <v>68</v>
      </c>
      <c r="D7840" s="12" t="str">
        <f ca="1">IFERROR(__xludf.DUMMYFUNCTION("""COMPUTED_VALUE"""),"小川 純")</f>
        <v>小川 純</v>
      </c>
    </row>
    <row r="7841" spans="2:4" ht="13">
      <c r="B7841" s="12">
        <f ca="1">IFERROR(__xludf.DUMMYFUNCTION("""COMPUTED_VALUE"""),140390)</f>
        <v>140390</v>
      </c>
      <c r="C7841" s="14">
        <f ca="1">IFERROR(__xludf.DUMMYFUNCTION("""COMPUTED_VALUE"""),0)</f>
        <v>0</v>
      </c>
      <c r="D7841" s="12" t="str">
        <f ca="1">IFERROR(__xludf.DUMMYFUNCTION("""COMPUTED_VALUE"""),"小川 純")</f>
        <v>小川 純</v>
      </c>
    </row>
    <row r="7842" spans="2:4" ht="13">
      <c r="B7842" s="12">
        <f ca="1">IFERROR(__xludf.DUMMYFUNCTION("""COMPUTED_VALUE"""),140391)</f>
        <v>140391</v>
      </c>
      <c r="C7842" s="14">
        <f ca="1">IFERROR(__xludf.DUMMYFUNCTION("""COMPUTED_VALUE"""),49)</f>
        <v>49</v>
      </c>
      <c r="D7842" s="12" t="str">
        <f ca="1">IFERROR(__xludf.DUMMYFUNCTION("""COMPUTED_VALUE"""),"小川 純")</f>
        <v>小川 純</v>
      </c>
    </row>
    <row r="7843" spans="2:4" ht="13">
      <c r="B7843" s="12">
        <f ca="1">IFERROR(__xludf.DUMMYFUNCTION("""COMPUTED_VALUE"""),140392)</f>
        <v>140392</v>
      </c>
      <c r="C7843" s="14">
        <f ca="1">IFERROR(__xludf.DUMMYFUNCTION("""COMPUTED_VALUE"""),10)</f>
        <v>10</v>
      </c>
      <c r="D7843" s="12" t="str">
        <f ca="1">IFERROR(__xludf.DUMMYFUNCTION("""COMPUTED_VALUE"""),"小川 純")</f>
        <v>小川 純</v>
      </c>
    </row>
    <row r="7844" spans="2:4" ht="13">
      <c r="B7844" s="12">
        <f ca="1">IFERROR(__xludf.DUMMYFUNCTION("""COMPUTED_VALUE"""),140393)</f>
        <v>140393</v>
      </c>
      <c r="C7844" s="14">
        <f ca="1">IFERROR(__xludf.DUMMYFUNCTION("""COMPUTED_VALUE"""),20)</f>
        <v>20</v>
      </c>
      <c r="D7844" s="12" t="str">
        <f ca="1">IFERROR(__xludf.DUMMYFUNCTION("""COMPUTED_VALUE"""),"小川 純")</f>
        <v>小川 純</v>
      </c>
    </row>
    <row r="7845" spans="2:4" ht="13">
      <c r="B7845" s="12">
        <f ca="1">IFERROR(__xludf.DUMMYFUNCTION("""COMPUTED_VALUE"""),140394)</f>
        <v>140394</v>
      </c>
      <c r="C7845" s="14">
        <f ca="1">IFERROR(__xludf.DUMMYFUNCTION("""COMPUTED_VALUE"""),19)</f>
        <v>19</v>
      </c>
      <c r="D7845" s="12" t="str">
        <f ca="1">IFERROR(__xludf.DUMMYFUNCTION("""COMPUTED_VALUE"""),"小川 純")</f>
        <v>小川 純</v>
      </c>
    </row>
    <row r="7846" spans="2:4" ht="13">
      <c r="B7846" s="12">
        <f ca="1">IFERROR(__xludf.DUMMYFUNCTION("""COMPUTED_VALUE"""),140395)</f>
        <v>140395</v>
      </c>
      <c r="C7846" s="14">
        <f ca="1">IFERROR(__xludf.DUMMYFUNCTION("""COMPUTED_VALUE"""),19)</f>
        <v>19</v>
      </c>
      <c r="D7846" s="12" t="str">
        <f ca="1">IFERROR(__xludf.DUMMYFUNCTION("""COMPUTED_VALUE"""),"小川 純")</f>
        <v>小川 純</v>
      </c>
    </row>
    <row r="7847" spans="2:4" ht="13">
      <c r="B7847" s="12">
        <f ca="1">IFERROR(__xludf.DUMMYFUNCTION("""COMPUTED_VALUE"""),140397)</f>
        <v>140397</v>
      </c>
      <c r="C7847" s="14">
        <f ca="1">IFERROR(__xludf.DUMMYFUNCTION("""COMPUTED_VALUE"""),42)</f>
        <v>42</v>
      </c>
      <c r="D7847" s="12" t="str">
        <f ca="1">IFERROR(__xludf.DUMMYFUNCTION("""COMPUTED_VALUE"""),"菅野 ぎんが")</f>
        <v>菅野 ぎんが</v>
      </c>
    </row>
    <row r="7848" spans="2:4" ht="13">
      <c r="B7848" s="12">
        <f ca="1">IFERROR(__xludf.DUMMYFUNCTION("""COMPUTED_VALUE"""),140402)</f>
        <v>140402</v>
      </c>
      <c r="C7848" s="14">
        <f ca="1">IFERROR(__xludf.DUMMYFUNCTION("""COMPUTED_VALUE"""),63)</f>
        <v>63</v>
      </c>
      <c r="D7848" s="12" t="str">
        <f ca="1">IFERROR(__xludf.DUMMYFUNCTION("""COMPUTED_VALUE"""),"栗原 大武")</f>
        <v>栗原 大武</v>
      </c>
    </row>
    <row r="7849" spans="2:4" ht="13">
      <c r="B7849" s="12">
        <f ca="1">IFERROR(__xludf.DUMMYFUNCTION("""COMPUTED_VALUE"""),140407)</f>
        <v>140407</v>
      </c>
      <c r="C7849" s="14">
        <f ca="1">IFERROR(__xludf.DUMMYFUNCTION("""COMPUTED_VALUE"""),6)</f>
        <v>6</v>
      </c>
      <c r="D7849" s="12" t="str">
        <f ca="1">IFERROR(__xludf.DUMMYFUNCTION("""COMPUTED_VALUE"""),"栗原 大武")</f>
        <v>栗原 大武</v>
      </c>
    </row>
    <row r="7850" spans="2:4" ht="13">
      <c r="B7850" s="12">
        <f ca="1">IFERROR(__xludf.DUMMYFUNCTION("""COMPUTED_VALUE"""),140414)</f>
        <v>140414</v>
      </c>
      <c r="C7850" s="14">
        <f ca="1">IFERROR(__xludf.DUMMYFUNCTION("""COMPUTED_VALUE"""),0)</f>
        <v>0</v>
      </c>
      <c r="D7850" s="12" t="str">
        <f ca="1">IFERROR(__xludf.DUMMYFUNCTION("""COMPUTED_VALUE"""),"長谷川 陸朗")</f>
        <v>長谷川 陸朗</v>
      </c>
    </row>
    <row r="7851" spans="2:4" ht="13">
      <c r="B7851" s="12">
        <f ca="1">IFERROR(__xludf.DUMMYFUNCTION("""COMPUTED_VALUE"""),140416)</f>
        <v>140416</v>
      </c>
      <c r="C7851" s="14">
        <f ca="1">IFERROR(__xludf.DUMMYFUNCTION("""COMPUTED_VALUE"""),0)</f>
        <v>0</v>
      </c>
      <c r="D7851" s="12" t="str">
        <f ca="1">IFERROR(__xludf.DUMMYFUNCTION("""COMPUTED_VALUE"""),"松尾 尚樹")</f>
        <v>松尾 尚樹</v>
      </c>
    </row>
    <row r="7852" spans="2:4" ht="13">
      <c r="B7852" s="12">
        <f ca="1">IFERROR(__xludf.DUMMYFUNCTION("""COMPUTED_VALUE"""),140423)</f>
        <v>140423</v>
      </c>
      <c r="C7852" s="14">
        <f ca="1">IFERROR(__xludf.DUMMYFUNCTION("""COMPUTED_VALUE"""),1)</f>
        <v>1</v>
      </c>
      <c r="D7852" s="12" t="str">
        <f ca="1">IFERROR(__xludf.DUMMYFUNCTION("""COMPUTED_VALUE"""),"芳賀 亮輔")</f>
        <v>芳賀 亮輔</v>
      </c>
    </row>
    <row r="7853" spans="2:4" ht="13">
      <c r="B7853" s="12">
        <f ca="1">IFERROR(__xludf.DUMMYFUNCTION("""COMPUTED_VALUE"""),140438)</f>
        <v>140438</v>
      </c>
      <c r="C7853" s="14">
        <f ca="1">IFERROR(__xludf.DUMMYFUNCTION("""COMPUTED_VALUE"""),0)</f>
        <v>0</v>
      </c>
      <c r="D7853" s="12" t="str">
        <f ca="1">IFERROR(__xludf.DUMMYFUNCTION("""COMPUTED_VALUE"""),"成嶋 夏未")</f>
        <v>成嶋 夏未</v>
      </c>
    </row>
    <row r="7854" spans="2:4" ht="13">
      <c r="B7854" s="12">
        <f ca="1">IFERROR(__xludf.DUMMYFUNCTION("""COMPUTED_VALUE"""),140440)</f>
        <v>140440</v>
      </c>
      <c r="C7854" s="14">
        <f ca="1">IFERROR(__xludf.DUMMYFUNCTION("""COMPUTED_VALUE"""),0)</f>
        <v>0</v>
      </c>
      <c r="D7854" s="12" t="str">
        <f ca="1">IFERROR(__xludf.DUMMYFUNCTION("""COMPUTED_VALUE"""),"稲場 勇介")</f>
        <v>稲場 勇介</v>
      </c>
    </row>
    <row r="7855" spans="2:4" ht="13">
      <c r="B7855" s="12">
        <f ca="1">IFERROR(__xludf.DUMMYFUNCTION("""COMPUTED_VALUE"""),140443)</f>
        <v>140443</v>
      </c>
      <c r="C7855" s="14">
        <f ca="1">IFERROR(__xludf.DUMMYFUNCTION("""COMPUTED_VALUE"""),38)</f>
        <v>38</v>
      </c>
      <c r="D7855" s="12" t="str">
        <f ca="1">IFERROR(__xludf.DUMMYFUNCTION("""COMPUTED_VALUE"""),"柿崎 晃司")</f>
        <v>柿崎 晃司</v>
      </c>
    </row>
    <row r="7856" spans="2:4" ht="13">
      <c r="B7856" s="12">
        <f ca="1">IFERROR(__xludf.DUMMYFUNCTION("""COMPUTED_VALUE"""),140444)</f>
        <v>140444</v>
      </c>
      <c r="C7856" s="14">
        <f ca="1">IFERROR(__xludf.DUMMYFUNCTION("""COMPUTED_VALUE"""),151)</f>
        <v>151</v>
      </c>
      <c r="D7856" s="12" t="str">
        <f ca="1">IFERROR(__xludf.DUMMYFUNCTION("""COMPUTED_VALUE"""),"柿崎 晃司")</f>
        <v>柿崎 晃司</v>
      </c>
    </row>
    <row r="7857" spans="2:4" ht="13">
      <c r="B7857" s="12">
        <f ca="1">IFERROR(__xludf.DUMMYFUNCTION("""COMPUTED_VALUE"""),140445)</f>
        <v>140445</v>
      </c>
      <c r="C7857" s="14">
        <f ca="1">IFERROR(__xludf.DUMMYFUNCTION("""COMPUTED_VALUE"""),0)</f>
        <v>0</v>
      </c>
      <c r="D7857" s="12" t="str">
        <f ca="1">IFERROR(__xludf.DUMMYFUNCTION("""COMPUTED_VALUE"""),"柿崎 晃司")</f>
        <v>柿崎 晃司</v>
      </c>
    </row>
    <row r="7858" spans="2:4" ht="13">
      <c r="B7858" s="12">
        <f ca="1">IFERROR(__xludf.DUMMYFUNCTION("""COMPUTED_VALUE"""),140446)</f>
        <v>140446</v>
      </c>
      <c r="C7858" s="14">
        <f ca="1">IFERROR(__xludf.DUMMYFUNCTION("""COMPUTED_VALUE"""),19)</f>
        <v>19</v>
      </c>
      <c r="D7858" s="12" t="str">
        <f ca="1">IFERROR(__xludf.DUMMYFUNCTION("""COMPUTED_VALUE"""),"稲場 勇介")</f>
        <v>稲場 勇介</v>
      </c>
    </row>
    <row r="7859" spans="2:4" ht="13">
      <c r="B7859" s="12">
        <f ca="1">IFERROR(__xludf.DUMMYFUNCTION("""COMPUTED_VALUE"""),140449)</f>
        <v>140449</v>
      </c>
      <c r="C7859" s="14">
        <f ca="1">IFERROR(__xludf.DUMMYFUNCTION("""COMPUTED_VALUE"""),109)</f>
        <v>109</v>
      </c>
      <c r="D7859" s="12" t="str">
        <f ca="1">IFERROR(__xludf.DUMMYFUNCTION("""COMPUTED_VALUE"""),"村上 浩一朗")</f>
        <v>村上 浩一朗</v>
      </c>
    </row>
    <row r="7860" spans="2:4" ht="13">
      <c r="B7860" s="12">
        <f ca="1">IFERROR(__xludf.DUMMYFUNCTION("""COMPUTED_VALUE"""),140454)</f>
        <v>140454</v>
      </c>
      <c r="C7860" s="14">
        <f ca="1">IFERROR(__xludf.DUMMYFUNCTION("""COMPUTED_VALUE"""),0)</f>
        <v>0</v>
      </c>
      <c r="D7860" s="12" t="str">
        <f ca="1">IFERROR(__xludf.DUMMYFUNCTION("""COMPUTED_VALUE"""),"内丸 裕子")</f>
        <v>内丸 裕子</v>
      </c>
    </row>
    <row r="7861" spans="2:4" ht="13">
      <c r="B7861" s="12">
        <f ca="1">IFERROR(__xludf.DUMMYFUNCTION("""COMPUTED_VALUE"""),140457)</f>
        <v>140457</v>
      </c>
      <c r="C7861" s="14">
        <f ca="1">IFERROR(__xludf.DUMMYFUNCTION("""COMPUTED_VALUE"""),0)</f>
        <v>0</v>
      </c>
      <c r="D7861" s="12" t="str">
        <f ca="1">IFERROR(__xludf.DUMMYFUNCTION("""COMPUTED_VALUE"""),"桐山 勝気")</f>
        <v>桐山 勝気</v>
      </c>
    </row>
    <row r="7862" spans="2:4" ht="13">
      <c r="B7862" s="12">
        <f ca="1">IFERROR(__xludf.DUMMYFUNCTION("""COMPUTED_VALUE"""),140460)</f>
        <v>140460</v>
      </c>
      <c r="C7862" s="14">
        <f ca="1">IFERROR(__xludf.DUMMYFUNCTION("""COMPUTED_VALUE"""),41)</f>
        <v>41</v>
      </c>
      <c r="D7862" s="12" t="str">
        <f ca="1">IFERROR(__xludf.DUMMYFUNCTION("""COMPUTED_VALUE"""),"森 光智")</f>
        <v>森 光智</v>
      </c>
    </row>
    <row r="7863" spans="2:4" ht="13">
      <c r="B7863" s="12">
        <f ca="1">IFERROR(__xludf.DUMMYFUNCTION("""COMPUTED_VALUE"""),140462)</f>
        <v>140462</v>
      </c>
      <c r="C7863" s="14">
        <f ca="1">IFERROR(__xludf.DUMMYFUNCTION("""COMPUTED_VALUE"""),64)</f>
        <v>64</v>
      </c>
      <c r="D7863" s="12" t="str">
        <f ca="1">IFERROR(__xludf.DUMMYFUNCTION("""COMPUTED_VALUE"""),"森 光智")</f>
        <v>森 光智</v>
      </c>
    </row>
    <row r="7864" spans="2:4" ht="13">
      <c r="B7864" s="12">
        <f ca="1">IFERROR(__xludf.DUMMYFUNCTION("""COMPUTED_VALUE"""),140468)</f>
        <v>140468</v>
      </c>
      <c r="C7864" s="14">
        <f ca="1">IFERROR(__xludf.DUMMYFUNCTION("""COMPUTED_VALUE"""),0)</f>
        <v>0</v>
      </c>
      <c r="D7864" s="12" t="str">
        <f ca="1">IFERROR(__xludf.DUMMYFUNCTION("""COMPUTED_VALUE"""),"成嶋 夏未")</f>
        <v>成嶋 夏未</v>
      </c>
    </row>
    <row r="7865" spans="2:4" ht="13">
      <c r="B7865" s="12">
        <f ca="1">IFERROR(__xludf.DUMMYFUNCTION("""COMPUTED_VALUE"""),140470)</f>
        <v>140470</v>
      </c>
      <c r="C7865" s="14">
        <f ca="1">IFERROR(__xludf.DUMMYFUNCTION("""COMPUTED_VALUE"""),0)</f>
        <v>0</v>
      </c>
      <c r="D7865" s="12" t="str">
        <f ca="1">IFERROR(__xludf.DUMMYFUNCTION("""COMPUTED_VALUE"""),"荻曽 克輝")</f>
        <v>荻曽 克輝</v>
      </c>
    </row>
    <row r="7866" spans="2:4" ht="13">
      <c r="B7866" s="12">
        <f ca="1">IFERROR(__xludf.DUMMYFUNCTION("""COMPUTED_VALUE"""),140475)</f>
        <v>140475</v>
      </c>
      <c r="C7866" s="14">
        <f ca="1">IFERROR(__xludf.DUMMYFUNCTION("""COMPUTED_VALUE"""),0)</f>
        <v>0</v>
      </c>
      <c r="D7866" s="12" t="str">
        <f ca="1">IFERROR(__xludf.DUMMYFUNCTION("""COMPUTED_VALUE"""),"小川 純")</f>
        <v>小川 純</v>
      </c>
    </row>
    <row r="7867" spans="2:4" ht="13">
      <c r="B7867" s="12">
        <f ca="1">IFERROR(__xludf.DUMMYFUNCTION("""COMPUTED_VALUE"""),140478)</f>
        <v>140478</v>
      </c>
      <c r="C7867" s="14">
        <f ca="1">IFERROR(__xludf.DUMMYFUNCTION("""COMPUTED_VALUE"""),0)</f>
        <v>0</v>
      </c>
      <c r="D7867" s="12" t="str">
        <f ca="1">IFERROR(__xludf.DUMMYFUNCTION("""COMPUTED_VALUE"""),"老田 純輝")</f>
        <v>老田 純輝</v>
      </c>
    </row>
    <row r="7868" spans="2:4" ht="13">
      <c r="B7868" s="12">
        <f ca="1">IFERROR(__xludf.DUMMYFUNCTION("""COMPUTED_VALUE"""),140483)</f>
        <v>140483</v>
      </c>
      <c r="C7868" s="14">
        <f ca="1">IFERROR(__xludf.DUMMYFUNCTION("""COMPUTED_VALUE"""),10)</f>
        <v>10</v>
      </c>
      <c r="D7868" s="12" t="str">
        <f ca="1">IFERROR(__xludf.DUMMYFUNCTION("""COMPUTED_VALUE"""),"成嶋 夏未")</f>
        <v>成嶋 夏未</v>
      </c>
    </row>
    <row r="7869" spans="2:4" ht="13">
      <c r="B7869" s="12">
        <f ca="1">IFERROR(__xludf.DUMMYFUNCTION("""COMPUTED_VALUE"""),140487)</f>
        <v>140487</v>
      </c>
      <c r="C7869" s="14">
        <f ca="1">IFERROR(__xludf.DUMMYFUNCTION("""COMPUTED_VALUE"""),0)</f>
        <v>0</v>
      </c>
      <c r="D7869" s="12" t="str">
        <f ca="1">IFERROR(__xludf.DUMMYFUNCTION("""COMPUTED_VALUE"""),"成嶋 夏未")</f>
        <v>成嶋 夏未</v>
      </c>
    </row>
    <row r="7870" spans="2:4" ht="13">
      <c r="B7870" s="12">
        <f ca="1">IFERROR(__xludf.DUMMYFUNCTION("""COMPUTED_VALUE"""),140488)</f>
        <v>140488</v>
      </c>
      <c r="C7870" s="14">
        <f ca="1">IFERROR(__xludf.DUMMYFUNCTION("""COMPUTED_VALUE"""),0)</f>
        <v>0</v>
      </c>
      <c r="D7870" s="12" t="str">
        <f ca="1">IFERROR(__xludf.DUMMYFUNCTION("""COMPUTED_VALUE"""),"老田 純輝")</f>
        <v>老田 純輝</v>
      </c>
    </row>
    <row r="7871" spans="2:4" ht="13">
      <c r="B7871" s="12">
        <f ca="1">IFERROR(__xludf.DUMMYFUNCTION("""COMPUTED_VALUE"""),140491)</f>
        <v>140491</v>
      </c>
      <c r="C7871" s="14">
        <f ca="1">IFERROR(__xludf.DUMMYFUNCTION("""COMPUTED_VALUE"""),0)</f>
        <v>0</v>
      </c>
      <c r="D7871" s="12" t="str">
        <f ca="1">IFERROR(__xludf.DUMMYFUNCTION("""COMPUTED_VALUE"""),"内丸 裕子")</f>
        <v>内丸 裕子</v>
      </c>
    </row>
    <row r="7872" spans="2:4" ht="13">
      <c r="B7872" s="12">
        <f ca="1">IFERROR(__xludf.DUMMYFUNCTION("""COMPUTED_VALUE"""),140493)</f>
        <v>140493</v>
      </c>
      <c r="C7872" s="14">
        <f ca="1">IFERROR(__xludf.DUMMYFUNCTION("""COMPUTED_VALUE"""),0)</f>
        <v>0</v>
      </c>
      <c r="D7872" s="12" t="str">
        <f ca="1">IFERROR(__xludf.DUMMYFUNCTION("""COMPUTED_VALUE"""),"栗原 大武")</f>
        <v>栗原 大武</v>
      </c>
    </row>
    <row r="7873" spans="2:4" ht="13">
      <c r="B7873" s="12">
        <f ca="1">IFERROR(__xludf.DUMMYFUNCTION("""COMPUTED_VALUE"""),140500)</f>
        <v>140500</v>
      </c>
      <c r="C7873" s="14">
        <f ca="1">IFERROR(__xludf.DUMMYFUNCTION("""COMPUTED_VALUE"""),1)</f>
        <v>1</v>
      </c>
      <c r="D7873" s="12" t="str">
        <f ca="1">IFERROR(__xludf.DUMMYFUNCTION("""COMPUTED_VALUE"""),"芳賀 亮輔")</f>
        <v>芳賀 亮輔</v>
      </c>
    </row>
    <row r="7874" spans="2:4" ht="13">
      <c r="B7874" s="12">
        <f ca="1">IFERROR(__xludf.DUMMYFUNCTION("""COMPUTED_VALUE"""),140502)</f>
        <v>140502</v>
      </c>
      <c r="C7874" s="14">
        <f ca="1">IFERROR(__xludf.DUMMYFUNCTION("""COMPUTED_VALUE"""),0)</f>
        <v>0</v>
      </c>
      <c r="D7874" s="12" t="str">
        <f ca="1">IFERROR(__xludf.DUMMYFUNCTION("""COMPUTED_VALUE"""),"老田 純輝")</f>
        <v>老田 純輝</v>
      </c>
    </row>
    <row r="7875" spans="2:4" ht="13">
      <c r="B7875" s="12">
        <f ca="1">IFERROR(__xludf.DUMMYFUNCTION("""COMPUTED_VALUE"""),140503)</f>
        <v>140503</v>
      </c>
      <c r="C7875" s="14">
        <f ca="1">IFERROR(__xludf.DUMMYFUNCTION("""COMPUTED_VALUE"""),0)</f>
        <v>0</v>
      </c>
      <c r="D7875" s="12" t="str">
        <f ca="1">IFERROR(__xludf.DUMMYFUNCTION("""COMPUTED_VALUE"""),"小川 純")</f>
        <v>小川 純</v>
      </c>
    </row>
    <row r="7876" spans="2:4" ht="13">
      <c r="B7876" s="12">
        <f ca="1">IFERROR(__xludf.DUMMYFUNCTION("""COMPUTED_VALUE"""),140505)</f>
        <v>140505</v>
      </c>
      <c r="C7876" s="14">
        <f ca="1">IFERROR(__xludf.DUMMYFUNCTION("""COMPUTED_VALUE"""),0)</f>
        <v>0</v>
      </c>
      <c r="D7876" s="12" t="str">
        <f ca="1">IFERROR(__xludf.DUMMYFUNCTION("""COMPUTED_VALUE"""),"堀越 駿")</f>
        <v>堀越 駿</v>
      </c>
    </row>
    <row r="7877" spans="2:4" ht="13">
      <c r="B7877" s="12">
        <f ca="1">IFERROR(__xludf.DUMMYFUNCTION("""COMPUTED_VALUE"""),140506)</f>
        <v>140506</v>
      </c>
      <c r="C7877" s="14">
        <f ca="1">IFERROR(__xludf.DUMMYFUNCTION("""COMPUTED_VALUE"""),0)</f>
        <v>0</v>
      </c>
      <c r="D7877" s="12" t="str">
        <f ca="1">IFERROR(__xludf.DUMMYFUNCTION("""COMPUTED_VALUE"""),"菅野 ぎんが")</f>
        <v>菅野 ぎんが</v>
      </c>
    </row>
    <row r="7878" spans="2:4" ht="13">
      <c r="B7878" s="12">
        <f ca="1">IFERROR(__xludf.DUMMYFUNCTION("""COMPUTED_VALUE"""),140507)</f>
        <v>140507</v>
      </c>
      <c r="C7878" s="14">
        <f ca="1">IFERROR(__xludf.DUMMYFUNCTION("""COMPUTED_VALUE"""),0)</f>
        <v>0</v>
      </c>
      <c r="D7878" s="12" t="str">
        <f ca="1">IFERROR(__xludf.DUMMYFUNCTION("""COMPUTED_VALUE"""),"菅野 ぎんが")</f>
        <v>菅野 ぎんが</v>
      </c>
    </row>
    <row r="7879" spans="2:4" ht="13">
      <c r="B7879" s="12">
        <f ca="1">IFERROR(__xludf.DUMMYFUNCTION("""COMPUTED_VALUE"""),140509)</f>
        <v>140509</v>
      </c>
      <c r="C7879" s="14">
        <f ca="1">IFERROR(__xludf.DUMMYFUNCTION("""COMPUTED_VALUE"""),0)</f>
        <v>0</v>
      </c>
      <c r="D7879" s="12" t="str">
        <f ca="1">IFERROR(__xludf.DUMMYFUNCTION("""COMPUTED_VALUE"""),"長谷川 陸朗")</f>
        <v>長谷川 陸朗</v>
      </c>
    </row>
    <row r="7880" spans="2:4" ht="13">
      <c r="B7880" s="12">
        <f ca="1">IFERROR(__xludf.DUMMYFUNCTION("""COMPUTED_VALUE"""),140512)</f>
        <v>140512</v>
      </c>
      <c r="C7880" s="14">
        <f ca="1">IFERROR(__xludf.DUMMYFUNCTION("""COMPUTED_VALUE"""),0)</f>
        <v>0</v>
      </c>
      <c r="D7880" s="12" t="str">
        <f ca="1">IFERROR(__xludf.DUMMYFUNCTION("""COMPUTED_VALUE"""),"奥野 貴大")</f>
        <v>奥野 貴大</v>
      </c>
    </row>
    <row r="7881" spans="2:4" ht="13">
      <c r="B7881" s="12">
        <f ca="1">IFERROR(__xludf.DUMMYFUNCTION("""COMPUTED_VALUE"""),140513)</f>
        <v>140513</v>
      </c>
      <c r="C7881" s="14">
        <f ca="1">IFERROR(__xludf.DUMMYFUNCTION("""COMPUTED_VALUE"""),0)</f>
        <v>0</v>
      </c>
      <c r="D7881" s="12" t="str">
        <f ca="1">IFERROR(__xludf.DUMMYFUNCTION("""COMPUTED_VALUE"""),"栗原 大武")</f>
        <v>栗原 大武</v>
      </c>
    </row>
    <row r="7882" spans="2:4" ht="13">
      <c r="B7882" s="12">
        <f ca="1">IFERROR(__xludf.DUMMYFUNCTION("""COMPUTED_VALUE"""),140514)</f>
        <v>140514</v>
      </c>
      <c r="C7882" s="14">
        <f ca="1">IFERROR(__xludf.DUMMYFUNCTION("""COMPUTED_VALUE"""),0)</f>
        <v>0</v>
      </c>
      <c r="D7882" s="12" t="str">
        <f ca="1">IFERROR(__xludf.DUMMYFUNCTION("""COMPUTED_VALUE"""),"辻村 将大")</f>
        <v>辻村 将大</v>
      </c>
    </row>
    <row r="7883" spans="2:4" ht="13">
      <c r="B7883" s="12">
        <f ca="1">IFERROR(__xludf.DUMMYFUNCTION("""COMPUTED_VALUE"""),140524)</f>
        <v>140524</v>
      </c>
      <c r="C7883" s="14">
        <f ca="1">IFERROR(__xludf.DUMMYFUNCTION("""COMPUTED_VALUE"""),0)</f>
        <v>0</v>
      </c>
      <c r="D7883" s="12" t="str">
        <f ca="1">IFERROR(__xludf.DUMMYFUNCTION("""COMPUTED_VALUE"""),"小川 純")</f>
        <v>小川 純</v>
      </c>
    </row>
    <row r="7884" spans="2:4" ht="13">
      <c r="B7884" s="12">
        <f ca="1">IFERROR(__xludf.DUMMYFUNCTION("""COMPUTED_VALUE"""),140525)</f>
        <v>140525</v>
      </c>
      <c r="C7884" s="14">
        <f ca="1">IFERROR(__xludf.DUMMYFUNCTION("""COMPUTED_VALUE"""),0)</f>
        <v>0</v>
      </c>
      <c r="D7884" s="12" t="str">
        <f ca="1">IFERROR(__xludf.DUMMYFUNCTION("""COMPUTED_VALUE"""),"小関 麻起")</f>
        <v>小関 麻起</v>
      </c>
    </row>
    <row r="7885" spans="2:4" ht="13">
      <c r="B7885" s="12">
        <f ca="1">IFERROR(__xludf.DUMMYFUNCTION("""COMPUTED_VALUE"""),140526)</f>
        <v>140526</v>
      </c>
      <c r="C7885" s="14">
        <f ca="1">IFERROR(__xludf.DUMMYFUNCTION("""COMPUTED_VALUE"""),4)</f>
        <v>4</v>
      </c>
      <c r="D7885" s="12" t="str">
        <f ca="1">IFERROR(__xludf.DUMMYFUNCTION("""COMPUTED_VALUE"""),"菅野 ぎんが")</f>
        <v>菅野 ぎんが</v>
      </c>
    </row>
    <row r="7886" spans="2:4" ht="13">
      <c r="B7886" s="12">
        <f ca="1">IFERROR(__xludf.DUMMYFUNCTION("""COMPUTED_VALUE"""),140530)</f>
        <v>140530</v>
      </c>
      <c r="C7886" s="14">
        <f ca="1">IFERROR(__xludf.DUMMYFUNCTION("""COMPUTED_VALUE"""),0)</f>
        <v>0</v>
      </c>
      <c r="D7886" s="12" t="str">
        <f ca="1">IFERROR(__xludf.DUMMYFUNCTION("""COMPUTED_VALUE"""),"稲場 勇介")</f>
        <v>稲場 勇介</v>
      </c>
    </row>
    <row r="7887" spans="2:4" ht="13">
      <c r="B7887" s="12">
        <f ca="1">IFERROR(__xludf.DUMMYFUNCTION("""COMPUTED_VALUE"""),140532)</f>
        <v>140532</v>
      </c>
      <c r="C7887" s="14">
        <f ca="1">IFERROR(__xludf.DUMMYFUNCTION("""COMPUTED_VALUE"""),0)</f>
        <v>0</v>
      </c>
      <c r="D7887" s="12" t="str">
        <f ca="1">IFERROR(__xludf.DUMMYFUNCTION("""COMPUTED_VALUE"""),"老田 純輝")</f>
        <v>老田 純輝</v>
      </c>
    </row>
    <row r="7888" spans="2:4" ht="13">
      <c r="B7888" s="12">
        <f ca="1">IFERROR(__xludf.DUMMYFUNCTION("""COMPUTED_VALUE"""),140533)</f>
        <v>140533</v>
      </c>
      <c r="C7888" s="14">
        <f ca="1">IFERROR(__xludf.DUMMYFUNCTION("""COMPUTED_VALUE"""),0)</f>
        <v>0</v>
      </c>
      <c r="D7888" s="12" t="str">
        <f ca="1">IFERROR(__xludf.DUMMYFUNCTION("""COMPUTED_VALUE"""),"栗原 大武")</f>
        <v>栗原 大武</v>
      </c>
    </row>
    <row r="7889" spans="2:4" ht="13">
      <c r="B7889" s="12">
        <f ca="1">IFERROR(__xludf.DUMMYFUNCTION("""COMPUTED_VALUE"""),140535)</f>
        <v>140535</v>
      </c>
      <c r="C7889" s="14">
        <f ca="1">IFERROR(__xludf.DUMMYFUNCTION("""COMPUTED_VALUE"""),8)</f>
        <v>8</v>
      </c>
      <c r="D7889" s="12" t="str">
        <f ca="1">IFERROR(__xludf.DUMMYFUNCTION("""COMPUTED_VALUE"""),"成嶋 夏未")</f>
        <v>成嶋 夏未</v>
      </c>
    </row>
    <row r="7890" spans="2:4" ht="13">
      <c r="B7890" s="12">
        <f ca="1">IFERROR(__xludf.DUMMYFUNCTION("""COMPUTED_VALUE"""),140539)</f>
        <v>140539</v>
      </c>
      <c r="C7890" s="14">
        <f ca="1">IFERROR(__xludf.DUMMYFUNCTION("""COMPUTED_VALUE"""),0)</f>
        <v>0</v>
      </c>
      <c r="D7890" s="12" t="str">
        <f ca="1">IFERROR(__xludf.DUMMYFUNCTION("""COMPUTED_VALUE"""),"森 光智")</f>
        <v>森 光智</v>
      </c>
    </row>
    <row r="7891" spans="2:4" ht="13">
      <c r="B7891" s="12">
        <f ca="1">IFERROR(__xludf.DUMMYFUNCTION("""COMPUTED_VALUE"""),140542)</f>
        <v>140542</v>
      </c>
      <c r="C7891" s="14">
        <f ca="1">IFERROR(__xludf.DUMMYFUNCTION("""COMPUTED_VALUE"""),18)</f>
        <v>18</v>
      </c>
      <c r="D7891" s="12" t="str">
        <f ca="1">IFERROR(__xludf.DUMMYFUNCTION("""COMPUTED_VALUE"""),"荻曽 克輝")</f>
        <v>荻曽 克輝</v>
      </c>
    </row>
    <row r="7892" spans="2:4" ht="13">
      <c r="B7892" s="12">
        <f ca="1">IFERROR(__xludf.DUMMYFUNCTION("""COMPUTED_VALUE"""),140544)</f>
        <v>140544</v>
      </c>
      <c r="C7892" s="14">
        <f ca="1">IFERROR(__xludf.DUMMYFUNCTION("""COMPUTED_VALUE"""),29)</f>
        <v>29</v>
      </c>
      <c r="D7892" s="12" t="str">
        <f ca="1">IFERROR(__xludf.DUMMYFUNCTION("""COMPUTED_VALUE"""),"小川 純")</f>
        <v>小川 純</v>
      </c>
    </row>
    <row r="7893" spans="2:4" ht="13">
      <c r="B7893" s="12">
        <f ca="1">IFERROR(__xludf.DUMMYFUNCTION("""COMPUTED_VALUE"""),140545)</f>
        <v>140545</v>
      </c>
      <c r="C7893" s="14">
        <f ca="1">IFERROR(__xludf.DUMMYFUNCTION("""COMPUTED_VALUE"""),23)</f>
        <v>23</v>
      </c>
      <c r="D7893" s="12" t="str">
        <f ca="1">IFERROR(__xludf.DUMMYFUNCTION("""COMPUTED_VALUE"""),"小川 純")</f>
        <v>小川 純</v>
      </c>
    </row>
    <row r="7894" spans="2:4" ht="13">
      <c r="B7894" s="12">
        <f ca="1">IFERROR(__xludf.DUMMYFUNCTION("""COMPUTED_VALUE"""),140546)</f>
        <v>140546</v>
      </c>
      <c r="C7894" s="14">
        <f ca="1">IFERROR(__xludf.DUMMYFUNCTION("""COMPUTED_VALUE"""),5)</f>
        <v>5</v>
      </c>
      <c r="D7894" s="12" t="str">
        <f ca="1">IFERROR(__xludf.DUMMYFUNCTION("""COMPUTED_VALUE"""),"小川 純")</f>
        <v>小川 純</v>
      </c>
    </row>
    <row r="7895" spans="2:4" ht="13">
      <c r="B7895" s="12">
        <f ca="1">IFERROR(__xludf.DUMMYFUNCTION("""COMPUTED_VALUE"""),140547)</f>
        <v>140547</v>
      </c>
      <c r="C7895" s="14">
        <f ca="1">IFERROR(__xludf.DUMMYFUNCTION("""COMPUTED_VALUE"""),9)</f>
        <v>9</v>
      </c>
      <c r="D7895" s="12" t="str">
        <f ca="1">IFERROR(__xludf.DUMMYFUNCTION("""COMPUTED_VALUE"""),"小川 純")</f>
        <v>小川 純</v>
      </c>
    </row>
    <row r="7896" spans="2:4" ht="13">
      <c r="B7896" s="12">
        <f ca="1">IFERROR(__xludf.DUMMYFUNCTION("""COMPUTED_VALUE"""),140548)</f>
        <v>140548</v>
      </c>
      <c r="C7896" s="14">
        <f ca="1">IFERROR(__xludf.DUMMYFUNCTION("""COMPUTED_VALUE"""),19)</f>
        <v>19</v>
      </c>
      <c r="D7896" s="12" t="str">
        <f ca="1">IFERROR(__xludf.DUMMYFUNCTION("""COMPUTED_VALUE"""),"小川 純")</f>
        <v>小川 純</v>
      </c>
    </row>
    <row r="7897" spans="2:4" ht="13">
      <c r="B7897" s="12">
        <f ca="1">IFERROR(__xludf.DUMMYFUNCTION("""COMPUTED_VALUE"""),140549)</f>
        <v>140549</v>
      </c>
      <c r="C7897" s="14">
        <f ca="1">IFERROR(__xludf.DUMMYFUNCTION("""COMPUTED_VALUE"""),4)</f>
        <v>4</v>
      </c>
      <c r="D7897" s="12" t="str">
        <f ca="1">IFERROR(__xludf.DUMMYFUNCTION("""COMPUTED_VALUE"""),"小川 純")</f>
        <v>小川 純</v>
      </c>
    </row>
    <row r="7898" spans="2:4" ht="13">
      <c r="B7898" s="12">
        <f ca="1">IFERROR(__xludf.DUMMYFUNCTION("""COMPUTED_VALUE"""),140550)</f>
        <v>140550</v>
      </c>
      <c r="C7898" s="14">
        <f ca="1">IFERROR(__xludf.DUMMYFUNCTION("""COMPUTED_VALUE"""),9)</f>
        <v>9</v>
      </c>
      <c r="D7898" s="12" t="str">
        <f ca="1">IFERROR(__xludf.DUMMYFUNCTION("""COMPUTED_VALUE"""),"小川 純")</f>
        <v>小川 純</v>
      </c>
    </row>
    <row r="7899" spans="2:4" ht="13">
      <c r="B7899" s="12">
        <f ca="1">IFERROR(__xludf.DUMMYFUNCTION("""COMPUTED_VALUE"""),140552)</f>
        <v>140552</v>
      </c>
      <c r="C7899" s="14">
        <f ca="1">IFERROR(__xludf.DUMMYFUNCTION("""COMPUTED_VALUE"""),0)</f>
        <v>0</v>
      </c>
      <c r="D7899" s="12" t="str">
        <f ca="1">IFERROR(__xludf.DUMMYFUNCTION("""COMPUTED_VALUE"""),"成嶋 夏未")</f>
        <v>成嶋 夏未</v>
      </c>
    </row>
    <row r="7900" spans="2:4" ht="13">
      <c r="B7900" s="12">
        <f ca="1">IFERROR(__xludf.DUMMYFUNCTION("""COMPUTED_VALUE"""),140553)</f>
        <v>140553</v>
      </c>
      <c r="C7900" s="14">
        <f ca="1">IFERROR(__xludf.DUMMYFUNCTION("""COMPUTED_VALUE"""),83)</f>
        <v>83</v>
      </c>
      <c r="D7900" s="12" t="str">
        <f ca="1">IFERROR(__xludf.DUMMYFUNCTION("""COMPUTED_VALUE"""),"栗原 大武")</f>
        <v>栗原 大武</v>
      </c>
    </row>
    <row r="7901" spans="2:4" ht="13">
      <c r="B7901" s="12">
        <f ca="1">IFERROR(__xludf.DUMMYFUNCTION("""COMPUTED_VALUE"""),140554)</f>
        <v>140554</v>
      </c>
      <c r="C7901" s="14">
        <f ca="1">IFERROR(__xludf.DUMMYFUNCTION("""COMPUTED_VALUE"""),38)</f>
        <v>38</v>
      </c>
      <c r="D7901" s="12" t="str">
        <f ca="1">IFERROR(__xludf.DUMMYFUNCTION("""COMPUTED_VALUE"""),"荻曽 克輝")</f>
        <v>荻曽 克輝</v>
      </c>
    </row>
    <row r="7902" spans="2:4" ht="13">
      <c r="B7902" s="12">
        <f ca="1">IFERROR(__xludf.DUMMYFUNCTION("""COMPUTED_VALUE"""),140555)</f>
        <v>140555</v>
      </c>
      <c r="C7902" s="14">
        <f ca="1">IFERROR(__xludf.DUMMYFUNCTION("""COMPUTED_VALUE"""),36)</f>
        <v>36</v>
      </c>
      <c r="D7902" s="12" t="str">
        <f ca="1">IFERROR(__xludf.DUMMYFUNCTION("""COMPUTED_VALUE"""),"荻曽 克輝")</f>
        <v>荻曽 克輝</v>
      </c>
    </row>
    <row r="7903" spans="2:4" ht="13">
      <c r="B7903" s="12">
        <f ca="1">IFERROR(__xludf.DUMMYFUNCTION("""COMPUTED_VALUE"""),140556)</f>
        <v>140556</v>
      </c>
      <c r="C7903" s="14">
        <f ca="1">IFERROR(__xludf.DUMMYFUNCTION("""COMPUTED_VALUE"""),12)</f>
        <v>12</v>
      </c>
      <c r="D7903" s="12" t="str">
        <f ca="1">IFERROR(__xludf.DUMMYFUNCTION("""COMPUTED_VALUE"""),"桐山 勝気")</f>
        <v>桐山 勝気</v>
      </c>
    </row>
    <row r="7904" spans="2:4" ht="13">
      <c r="B7904" s="12">
        <f ca="1">IFERROR(__xludf.DUMMYFUNCTION("""COMPUTED_VALUE"""),140559)</f>
        <v>140559</v>
      </c>
      <c r="C7904" s="14">
        <f ca="1">IFERROR(__xludf.DUMMYFUNCTION("""COMPUTED_VALUE"""),0)</f>
        <v>0</v>
      </c>
      <c r="D7904" s="12" t="str">
        <f ca="1">IFERROR(__xludf.DUMMYFUNCTION("""COMPUTED_VALUE"""),"菅野 ぎんが")</f>
        <v>菅野 ぎんが</v>
      </c>
    </row>
    <row r="7905" spans="2:4" ht="13">
      <c r="B7905" s="12">
        <f ca="1">IFERROR(__xludf.DUMMYFUNCTION("""COMPUTED_VALUE"""),140560)</f>
        <v>140560</v>
      </c>
      <c r="C7905" s="14">
        <f ca="1">IFERROR(__xludf.DUMMYFUNCTION("""COMPUTED_VALUE"""),84)</f>
        <v>84</v>
      </c>
      <c r="D7905" s="12" t="str">
        <f ca="1">IFERROR(__xludf.DUMMYFUNCTION("""COMPUTED_VALUE"""),"村上 浩一朗")</f>
        <v>村上 浩一朗</v>
      </c>
    </row>
    <row r="7906" spans="2:4" ht="13">
      <c r="B7906" s="12">
        <f ca="1">IFERROR(__xludf.DUMMYFUNCTION("""COMPUTED_VALUE"""),140561)</f>
        <v>140561</v>
      </c>
      <c r="C7906" s="14">
        <f ca="1">IFERROR(__xludf.DUMMYFUNCTION("""COMPUTED_VALUE"""),63)</f>
        <v>63</v>
      </c>
      <c r="D7906" s="12" t="str">
        <f ca="1">IFERROR(__xludf.DUMMYFUNCTION("""COMPUTED_VALUE"""),"村上 浩一朗")</f>
        <v>村上 浩一朗</v>
      </c>
    </row>
    <row r="7907" spans="2:4" ht="13">
      <c r="B7907" s="12">
        <f ca="1">IFERROR(__xludf.DUMMYFUNCTION("""COMPUTED_VALUE"""),140562)</f>
        <v>140562</v>
      </c>
      <c r="C7907" s="14">
        <f ca="1">IFERROR(__xludf.DUMMYFUNCTION("""COMPUTED_VALUE"""),17)</f>
        <v>17</v>
      </c>
      <c r="D7907" s="12" t="str">
        <f ca="1">IFERROR(__xludf.DUMMYFUNCTION("""COMPUTED_VALUE"""),"桑原 明子")</f>
        <v>桑原 明子</v>
      </c>
    </row>
    <row r="7908" spans="2:4" ht="13">
      <c r="B7908" s="12">
        <f ca="1">IFERROR(__xludf.DUMMYFUNCTION("""COMPUTED_VALUE"""),140563)</f>
        <v>140563</v>
      </c>
      <c r="C7908" s="14">
        <f ca="1">IFERROR(__xludf.DUMMYFUNCTION("""COMPUTED_VALUE"""),0)</f>
        <v>0</v>
      </c>
      <c r="D7908" s="12" t="str">
        <f ca="1">IFERROR(__xludf.DUMMYFUNCTION("""COMPUTED_VALUE"""),"小関 麻起")</f>
        <v>小関 麻起</v>
      </c>
    </row>
    <row r="7909" spans="2:4" ht="13">
      <c r="B7909" s="12">
        <f ca="1">IFERROR(__xludf.DUMMYFUNCTION("""COMPUTED_VALUE"""),140566)</f>
        <v>140566</v>
      </c>
      <c r="C7909" s="14">
        <f ca="1">IFERROR(__xludf.DUMMYFUNCTION("""COMPUTED_VALUE"""),1)</f>
        <v>1</v>
      </c>
      <c r="D7909" s="12" t="str">
        <f ca="1">IFERROR(__xludf.DUMMYFUNCTION("""COMPUTED_VALUE"""),"小川 純")</f>
        <v>小川 純</v>
      </c>
    </row>
    <row r="7910" spans="2:4" ht="13">
      <c r="B7910" s="12">
        <f ca="1">IFERROR(__xludf.DUMMYFUNCTION("""COMPUTED_VALUE"""),140567)</f>
        <v>140567</v>
      </c>
      <c r="C7910" s="14">
        <f ca="1">IFERROR(__xludf.DUMMYFUNCTION("""COMPUTED_VALUE"""),12)</f>
        <v>12</v>
      </c>
      <c r="D7910" s="12" t="str">
        <f ca="1">IFERROR(__xludf.DUMMYFUNCTION("""COMPUTED_VALUE"""),"荻曽 克輝")</f>
        <v>荻曽 克輝</v>
      </c>
    </row>
    <row r="7911" spans="2:4" ht="13">
      <c r="B7911" s="12">
        <f ca="1">IFERROR(__xludf.DUMMYFUNCTION("""COMPUTED_VALUE"""),140571)</f>
        <v>140571</v>
      </c>
      <c r="C7911" s="14">
        <f ca="1">IFERROR(__xludf.DUMMYFUNCTION("""COMPUTED_VALUE"""),0)</f>
        <v>0</v>
      </c>
      <c r="D7911" s="12" t="str">
        <f ca="1">IFERROR(__xludf.DUMMYFUNCTION("""COMPUTED_VALUE"""),"老田 純輝")</f>
        <v>老田 純輝</v>
      </c>
    </row>
    <row r="7912" spans="2:4" ht="13">
      <c r="B7912" s="12">
        <f ca="1">IFERROR(__xludf.DUMMYFUNCTION("""COMPUTED_VALUE"""),140572)</f>
        <v>140572</v>
      </c>
      <c r="C7912" s="14">
        <f ca="1">IFERROR(__xludf.DUMMYFUNCTION("""COMPUTED_VALUE"""),8)</f>
        <v>8</v>
      </c>
      <c r="D7912" s="12" t="str">
        <f ca="1">IFERROR(__xludf.DUMMYFUNCTION("""COMPUTED_VALUE"""),"小関 麻起")</f>
        <v>小関 麻起</v>
      </c>
    </row>
    <row r="7913" spans="2:4" ht="13">
      <c r="B7913" s="12">
        <f ca="1">IFERROR(__xludf.DUMMYFUNCTION("""COMPUTED_VALUE"""),140573)</f>
        <v>140573</v>
      </c>
      <c r="C7913" s="14">
        <f ca="1">IFERROR(__xludf.DUMMYFUNCTION("""COMPUTED_VALUE"""),24)</f>
        <v>24</v>
      </c>
      <c r="D7913" s="12" t="str">
        <f ca="1">IFERROR(__xludf.DUMMYFUNCTION("""COMPUTED_VALUE"""),"森 光智")</f>
        <v>森 光智</v>
      </c>
    </row>
    <row r="7914" spans="2:4" ht="13">
      <c r="B7914" s="12">
        <f ca="1">IFERROR(__xludf.DUMMYFUNCTION("""COMPUTED_VALUE"""),140575)</f>
        <v>140575</v>
      </c>
      <c r="C7914" s="14">
        <f ca="1">IFERROR(__xludf.DUMMYFUNCTION("""COMPUTED_VALUE"""),0)</f>
        <v>0</v>
      </c>
      <c r="D7914" s="12" t="str">
        <f ca="1">IFERROR(__xludf.DUMMYFUNCTION("""COMPUTED_VALUE"""),"菅野 ぎんが")</f>
        <v>菅野 ぎんが</v>
      </c>
    </row>
    <row r="7915" spans="2:4" ht="13">
      <c r="B7915" s="12">
        <f ca="1">IFERROR(__xludf.DUMMYFUNCTION("""COMPUTED_VALUE"""),140577)</f>
        <v>140577</v>
      </c>
      <c r="C7915" s="14">
        <f ca="1">IFERROR(__xludf.DUMMYFUNCTION("""COMPUTED_VALUE"""),19)</f>
        <v>19</v>
      </c>
      <c r="D7915" s="12" t="str">
        <f ca="1">IFERROR(__xludf.DUMMYFUNCTION("""COMPUTED_VALUE"""),"荻曽 克輝")</f>
        <v>荻曽 克輝</v>
      </c>
    </row>
    <row r="7916" spans="2:4" ht="13">
      <c r="B7916" s="12">
        <f ca="1">IFERROR(__xludf.DUMMYFUNCTION("""COMPUTED_VALUE"""),140580)</f>
        <v>140580</v>
      </c>
      <c r="C7916" s="14">
        <f ca="1">IFERROR(__xludf.DUMMYFUNCTION("""COMPUTED_VALUE"""),0)</f>
        <v>0</v>
      </c>
      <c r="D7916" s="12" t="str">
        <f ca="1">IFERROR(__xludf.DUMMYFUNCTION("""COMPUTED_VALUE"""),"荻曽 克輝")</f>
        <v>荻曽 克輝</v>
      </c>
    </row>
    <row r="7917" spans="2:4" ht="13">
      <c r="B7917" s="12">
        <f ca="1">IFERROR(__xludf.DUMMYFUNCTION("""COMPUTED_VALUE"""),140587)</f>
        <v>140587</v>
      </c>
      <c r="C7917" s="14">
        <f ca="1">IFERROR(__xludf.DUMMYFUNCTION("""COMPUTED_VALUE"""),1)</f>
        <v>1</v>
      </c>
      <c r="D7917" s="12" t="str">
        <f ca="1">IFERROR(__xludf.DUMMYFUNCTION("""COMPUTED_VALUE"""),"小川 純")</f>
        <v>小川 純</v>
      </c>
    </row>
    <row r="7918" spans="2:4" ht="13">
      <c r="B7918" s="12">
        <f ca="1">IFERROR(__xludf.DUMMYFUNCTION("""COMPUTED_VALUE"""),140589)</f>
        <v>140589</v>
      </c>
      <c r="C7918" s="14">
        <f ca="1">IFERROR(__xludf.DUMMYFUNCTION("""COMPUTED_VALUE"""),6)</f>
        <v>6</v>
      </c>
      <c r="D7918" s="12" t="str">
        <f ca="1">IFERROR(__xludf.DUMMYFUNCTION("""COMPUTED_VALUE"""),"桑原 明子")</f>
        <v>桑原 明子</v>
      </c>
    </row>
    <row r="7919" spans="2:4" ht="13">
      <c r="B7919" s="12">
        <f ca="1">IFERROR(__xludf.DUMMYFUNCTION("""COMPUTED_VALUE"""),140592)</f>
        <v>140592</v>
      </c>
      <c r="C7919" s="14">
        <f ca="1">IFERROR(__xludf.DUMMYFUNCTION("""COMPUTED_VALUE"""),19)</f>
        <v>19</v>
      </c>
      <c r="D7919" s="12" t="str">
        <f ca="1">IFERROR(__xludf.DUMMYFUNCTION("""COMPUTED_VALUE"""),"荻曽 克輝")</f>
        <v>荻曽 克輝</v>
      </c>
    </row>
    <row r="7920" spans="2:4" ht="13">
      <c r="B7920" s="12">
        <f ca="1">IFERROR(__xludf.DUMMYFUNCTION("""COMPUTED_VALUE"""),140593)</f>
        <v>140593</v>
      </c>
      <c r="C7920" s="14">
        <f ca="1">IFERROR(__xludf.DUMMYFUNCTION("""COMPUTED_VALUE"""),0)</f>
        <v>0</v>
      </c>
      <c r="D7920" s="12" t="str">
        <f ca="1">IFERROR(__xludf.DUMMYFUNCTION("""COMPUTED_VALUE"""),"長谷川 陸朗")</f>
        <v>長谷川 陸朗</v>
      </c>
    </row>
    <row r="7921" spans="2:4" ht="13">
      <c r="B7921" s="12">
        <f ca="1">IFERROR(__xludf.DUMMYFUNCTION("""COMPUTED_VALUE"""),140599)</f>
        <v>140599</v>
      </c>
      <c r="C7921" s="14">
        <f ca="1">IFERROR(__xludf.DUMMYFUNCTION("""COMPUTED_VALUE"""),0)</f>
        <v>0</v>
      </c>
      <c r="D7921" s="12" t="str">
        <f ca="1">IFERROR(__xludf.DUMMYFUNCTION("""COMPUTED_VALUE"""),"長谷川 陸朗")</f>
        <v>長谷川 陸朗</v>
      </c>
    </row>
    <row r="7922" spans="2:4" ht="13">
      <c r="B7922" s="12">
        <f ca="1">IFERROR(__xludf.DUMMYFUNCTION("""COMPUTED_VALUE"""),140602)</f>
        <v>140602</v>
      </c>
      <c r="C7922" s="14">
        <f ca="1">IFERROR(__xludf.DUMMYFUNCTION("""COMPUTED_VALUE"""),0)</f>
        <v>0</v>
      </c>
      <c r="D7922" s="12" t="str">
        <f ca="1">IFERROR(__xludf.DUMMYFUNCTION("""COMPUTED_VALUE"""),"長谷川 陸朗")</f>
        <v>長谷川 陸朗</v>
      </c>
    </row>
    <row r="7923" spans="2:4" ht="13">
      <c r="B7923" s="12">
        <f ca="1">IFERROR(__xludf.DUMMYFUNCTION("""COMPUTED_VALUE"""),140603)</f>
        <v>140603</v>
      </c>
      <c r="C7923" s="14">
        <f ca="1">IFERROR(__xludf.DUMMYFUNCTION("""COMPUTED_VALUE"""),3)</f>
        <v>3</v>
      </c>
      <c r="D7923" s="12" t="str">
        <f ca="1">IFERROR(__xludf.DUMMYFUNCTION("""COMPUTED_VALUE"""),"小川 純")</f>
        <v>小川 純</v>
      </c>
    </row>
    <row r="7924" spans="2:4" ht="13">
      <c r="B7924" s="12">
        <f ca="1">IFERROR(__xludf.DUMMYFUNCTION("""COMPUTED_VALUE"""),140606)</f>
        <v>140606</v>
      </c>
      <c r="C7924" s="14">
        <f ca="1">IFERROR(__xludf.DUMMYFUNCTION("""COMPUTED_VALUE"""),17)</f>
        <v>17</v>
      </c>
      <c r="D7924" s="12" t="str">
        <f ca="1">IFERROR(__xludf.DUMMYFUNCTION("""COMPUTED_VALUE"""),"小川 純")</f>
        <v>小川 純</v>
      </c>
    </row>
    <row r="7925" spans="2:4" ht="13">
      <c r="B7925" s="12">
        <f ca="1">IFERROR(__xludf.DUMMYFUNCTION("""COMPUTED_VALUE"""),140607)</f>
        <v>140607</v>
      </c>
      <c r="C7925" s="14">
        <f ca="1">IFERROR(__xludf.DUMMYFUNCTION("""COMPUTED_VALUE"""),11)</f>
        <v>11</v>
      </c>
      <c r="D7925" s="12" t="str">
        <f ca="1">IFERROR(__xludf.DUMMYFUNCTION("""COMPUTED_VALUE"""),"小川 純")</f>
        <v>小川 純</v>
      </c>
    </row>
    <row r="7926" spans="2:4" ht="13">
      <c r="B7926" s="12">
        <f ca="1">IFERROR(__xludf.DUMMYFUNCTION("""COMPUTED_VALUE"""),140608)</f>
        <v>140608</v>
      </c>
      <c r="C7926" s="14">
        <f ca="1">IFERROR(__xludf.DUMMYFUNCTION("""COMPUTED_VALUE"""),34)</f>
        <v>34</v>
      </c>
      <c r="D7926" s="12" t="str">
        <f ca="1">IFERROR(__xludf.DUMMYFUNCTION("""COMPUTED_VALUE"""),"小川 純")</f>
        <v>小川 純</v>
      </c>
    </row>
    <row r="7927" spans="2:4" ht="13">
      <c r="B7927" s="12">
        <f ca="1">IFERROR(__xludf.DUMMYFUNCTION("""COMPUTED_VALUE"""),140609)</f>
        <v>140609</v>
      </c>
      <c r="C7927" s="14">
        <f ca="1">IFERROR(__xludf.DUMMYFUNCTION("""COMPUTED_VALUE"""),6)</f>
        <v>6</v>
      </c>
      <c r="D7927" s="12" t="str">
        <f ca="1">IFERROR(__xludf.DUMMYFUNCTION("""COMPUTED_VALUE"""),"小川 純")</f>
        <v>小川 純</v>
      </c>
    </row>
    <row r="7928" spans="2:4" ht="13">
      <c r="B7928" s="12">
        <f ca="1">IFERROR(__xludf.DUMMYFUNCTION("""COMPUTED_VALUE"""),140610)</f>
        <v>140610</v>
      </c>
      <c r="C7928" s="14">
        <f ca="1">IFERROR(__xludf.DUMMYFUNCTION("""COMPUTED_VALUE"""),7)</f>
        <v>7</v>
      </c>
      <c r="D7928" s="12" t="str">
        <f ca="1">IFERROR(__xludf.DUMMYFUNCTION("""COMPUTED_VALUE"""),"小川 純")</f>
        <v>小川 純</v>
      </c>
    </row>
    <row r="7929" spans="2:4" ht="13">
      <c r="B7929" s="12">
        <f ca="1">IFERROR(__xludf.DUMMYFUNCTION("""COMPUTED_VALUE"""),140611)</f>
        <v>140611</v>
      </c>
      <c r="C7929" s="14">
        <f ca="1">IFERROR(__xludf.DUMMYFUNCTION("""COMPUTED_VALUE"""),11)</f>
        <v>11</v>
      </c>
      <c r="D7929" s="12" t="str">
        <f ca="1">IFERROR(__xludf.DUMMYFUNCTION("""COMPUTED_VALUE"""),"菅野 ぎんが")</f>
        <v>菅野 ぎんが</v>
      </c>
    </row>
    <row r="7930" spans="2:4" ht="13">
      <c r="B7930" s="12">
        <f ca="1">IFERROR(__xludf.DUMMYFUNCTION("""COMPUTED_VALUE"""),140613)</f>
        <v>140613</v>
      </c>
      <c r="C7930" s="14">
        <f ca="1">IFERROR(__xludf.DUMMYFUNCTION("""COMPUTED_VALUE"""),76)</f>
        <v>76</v>
      </c>
      <c r="D7930" s="12" t="str">
        <f ca="1">IFERROR(__xludf.DUMMYFUNCTION("""COMPUTED_VALUE"""),"奥野 貴大")</f>
        <v>奥野 貴大</v>
      </c>
    </row>
    <row r="7931" spans="2:4" ht="13">
      <c r="B7931" s="12">
        <f ca="1">IFERROR(__xludf.DUMMYFUNCTION("""COMPUTED_VALUE"""),140615)</f>
        <v>140615</v>
      </c>
      <c r="C7931" s="14">
        <f ca="1">IFERROR(__xludf.DUMMYFUNCTION("""COMPUTED_VALUE"""),0)</f>
        <v>0</v>
      </c>
      <c r="D7931" s="12" t="str">
        <f ca="1">IFERROR(__xludf.DUMMYFUNCTION("""COMPUTED_VALUE"""),"菅野 ぎんが")</f>
        <v>菅野 ぎんが</v>
      </c>
    </row>
    <row r="7932" spans="2:4" ht="13">
      <c r="B7932" s="12">
        <f ca="1">IFERROR(__xludf.DUMMYFUNCTION("""COMPUTED_VALUE"""),140619)</f>
        <v>140619</v>
      </c>
      <c r="C7932" s="14">
        <f ca="1">IFERROR(__xludf.DUMMYFUNCTION("""COMPUTED_VALUE"""),35)</f>
        <v>35</v>
      </c>
      <c r="D7932" s="12" t="str">
        <f ca="1">IFERROR(__xludf.DUMMYFUNCTION("""COMPUTED_VALUE"""),"川島 幹也")</f>
        <v>川島 幹也</v>
      </c>
    </row>
    <row r="7933" spans="2:4" ht="13">
      <c r="B7933" s="12">
        <f ca="1">IFERROR(__xludf.DUMMYFUNCTION("""COMPUTED_VALUE"""),140620)</f>
        <v>140620</v>
      </c>
      <c r="C7933" s="14">
        <f ca="1">IFERROR(__xludf.DUMMYFUNCTION("""COMPUTED_VALUE"""),0)</f>
        <v>0</v>
      </c>
      <c r="D7933" s="12" t="str">
        <f ca="1">IFERROR(__xludf.DUMMYFUNCTION("""COMPUTED_VALUE"""),"辻村 将大")</f>
        <v>辻村 将大</v>
      </c>
    </row>
    <row r="7934" spans="2:4" ht="13">
      <c r="B7934" s="12">
        <f ca="1">IFERROR(__xludf.DUMMYFUNCTION("""COMPUTED_VALUE"""),140628)</f>
        <v>140628</v>
      </c>
      <c r="C7934" s="14">
        <f ca="1">IFERROR(__xludf.DUMMYFUNCTION("""COMPUTED_VALUE"""),1)</f>
        <v>1</v>
      </c>
      <c r="D7934" s="12" t="str">
        <f ca="1">IFERROR(__xludf.DUMMYFUNCTION("""COMPUTED_VALUE"""),"芳賀 亮輔")</f>
        <v>芳賀 亮輔</v>
      </c>
    </row>
    <row r="7935" spans="2:4" ht="13">
      <c r="B7935" s="12">
        <f ca="1">IFERROR(__xludf.DUMMYFUNCTION("""COMPUTED_VALUE"""),140629)</f>
        <v>140629</v>
      </c>
      <c r="C7935" s="14">
        <f ca="1">IFERROR(__xludf.DUMMYFUNCTION("""COMPUTED_VALUE"""),0)</f>
        <v>0</v>
      </c>
      <c r="D7935" s="12" t="str">
        <f ca="1">IFERROR(__xludf.DUMMYFUNCTION("""COMPUTED_VALUE"""),"大木 優香")</f>
        <v>大木 優香</v>
      </c>
    </row>
    <row r="7936" spans="2:4" ht="13">
      <c r="B7936" s="12">
        <f ca="1">IFERROR(__xludf.DUMMYFUNCTION("""COMPUTED_VALUE"""),140630)</f>
        <v>140630</v>
      </c>
      <c r="C7936" s="14">
        <f ca="1">IFERROR(__xludf.DUMMYFUNCTION("""COMPUTED_VALUE"""),0)</f>
        <v>0</v>
      </c>
      <c r="D7936" s="12" t="str">
        <f ca="1">IFERROR(__xludf.DUMMYFUNCTION("""COMPUTED_VALUE"""),"大木 優香")</f>
        <v>大木 優香</v>
      </c>
    </row>
    <row r="7937" spans="2:4" ht="13">
      <c r="B7937" s="12">
        <f ca="1">IFERROR(__xludf.DUMMYFUNCTION("""COMPUTED_VALUE"""),140631)</f>
        <v>140631</v>
      </c>
      <c r="C7937" s="14">
        <f ca="1">IFERROR(__xludf.DUMMYFUNCTION("""COMPUTED_VALUE"""),0)</f>
        <v>0</v>
      </c>
      <c r="D7937" s="12" t="str">
        <f ca="1">IFERROR(__xludf.DUMMYFUNCTION("""COMPUTED_VALUE"""),"大木 優香")</f>
        <v>大木 優香</v>
      </c>
    </row>
    <row r="7938" spans="2:4" ht="13">
      <c r="B7938" s="12">
        <f ca="1">IFERROR(__xludf.DUMMYFUNCTION("""COMPUTED_VALUE"""),140632)</f>
        <v>140632</v>
      </c>
      <c r="C7938" s="14">
        <f ca="1">IFERROR(__xludf.DUMMYFUNCTION("""COMPUTED_VALUE"""),0)</f>
        <v>0</v>
      </c>
      <c r="D7938" s="12" t="str">
        <f ca="1">IFERROR(__xludf.DUMMYFUNCTION("""COMPUTED_VALUE"""),"大木 優香")</f>
        <v>大木 優香</v>
      </c>
    </row>
    <row r="7939" spans="2:4" ht="13">
      <c r="B7939" s="12">
        <f ca="1">IFERROR(__xludf.DUMMYFUNCTION("""COMPUTED_VALUE"""),140633)</f>
        <v>140633</v>
      </c>
      <c r="C7939" s="14">
        <f ca="1">IFERROR(__xludf.DUMMYFUNCTION("""COMPUTED_VALUE"""),0)</f>
        <v>0</v>
      </c>
      <c r="D7939" s="12" t="str">
        <f ca="1">IFERROR(__xludf.DUMMYFUNCTION("""COMPUTED_VALUE"""),"大木 優香")</f>
        <v>大木 優香</v>
      </c>
    </row>
    <row r="7940" spans="2:4" ht="13">
      <c r="B7940" s="12">
        <f ca="1">IFERROR(__xludf.DUMMYFUNCTION("""COMPUTED_VALUE"""),140634)</f>
        <v>140634</v>
      </c>
      <c r="C7940" s="14">
        <f ca="1">IFERROR(__xludf.DUMMYFUNCTION("""COMPUTED_VALUE"""),0)</f>
        <v>0</v>
      </c>
      <c r="D7940" s="12" t="str">
        <f ca="1">IFERROR(__xludf.DUMMYFUNCTION("""COMPUTED_VALUE"""),"大木 優香")</f>
        <v>大木 優香</v>
      </c>
    </row>
    <row r="7941" spans="2:4" ht="13">
      <c r="B7941" s="12">
        <f ca="1">IFERROR(__xludf.DUMMYFUNCTION("""COMPUTED_VALUE"""),140635)</f>
        <v>140635</v>
      </c>
      <c r="C7941" s="14">
        <f ca="1">IFERROR(__xludf.DUMMYFUNCTION("""COMPUTED_VALUE"""),0)</f>
        <v>0</v>
      </c>
      <c r="D7941" s="12" t="str">
        <f ca="1">IFERROR(__xludf.DUMMYFUNCTION("""COMPUTED_VALUE"""),"大木 優香")</f>
        <v>大木 優香</v>
      </c>
    </row>
    <row r="7942" spans="2:4" ht="13">
      <c r="B7942" s="12">
        <f ca="1">IFERROR(__xludf.DUMMYFUNCTION("""COMPUTED_VALUE"""),140636)</f>
        <v>140636</v>
      </c>
      <c r="C7942" s="14">
        <f ca="1">IFERROR(__xludf.DUMMYFUNCTION("""COMPUTED_VALUE"""),0)</f>
        <v>0</v>
      </c>
      <c r="D7942" s="12" t="str">
        <f ca="1">IFERROR(__xludf.DUMMYFUNCTION("""COMPUTED_VALUE"""),"大木 優香")</f>
        <v>大木 優香</v>
      </c>
    </row>
    <row r="7943" spans="2:4" ht="13">
      <c r="B7943" s="12">
        <f ca="1">IFERROR(__xludf.DUMMYFUNCTION("""COMPUTED_VALUE"""),140637)</f>
        <v>140637</v>
      </c>
      <c r="C7943" s="14">
        <f ca="1">IFERROR(__xludf.DUMMYFUNCTION("""COMPUTED_VALUE"""),0)</f>
        <v>0</v>
      </c>
      <c r="D7943" s="12" t="str">
        <f ca="1">IFERROR(__xludf.DUMMYFUNCTION("""COMPUTED_VALUE"""),"大木 優香")</f>
        <v>大木 優香</v>
      </c>
    </row>
    <row r="7944" spans="2:4" ht="13">
      <c r="B7944" s="12">
        <f ca="1">IFERROR(__xludf.DUMMYFUNCTION("""COMPUTED_VALUE"""),140638)</f>
        <v>140638</v>
      </c>
      <c r="C7944" s="14">
        <f ca="1">IFERROR(__xludf.DUMMYFUNCTION("""COMPUTED_VALUE"""),16)</f>
        <v>16</v>
      </c>
      <c r="D7944" s="12" t="str">
        <f ca="1">IFERROR(__xludf.DUMMYFUNCTION("""COMPUTED_VALUE"""),"大木 優香")</f>
        <v>大木 優香</v>
      </c>
    </row>
    <row r="7945" spans="2:4" ht="13">
      <c r="B7945" s="12">
        <f ca="1">IFERROR(__xludf.DUMMYFUNCTION("""COMPUTED_VALUE"""),140639)</f>
        <v>140639</v>
      </c>
      <c r="C7945" s="14">
        <f ca="1">IFERROR(__xludf.DUMMYFUNCTION("""COMPUTED_VALUE"""),0)</f>
        <v>0</v>
      </c>
      <c r="D7945" s="12" t="str">
        <f ca="1">IFERROR(__xludf.DUMMYFUNCTION("""COMPUTED_VALUE"""),"大木 優香")</f>
        <v>大木 優香</v>
      </c>
    </row>
    <row r="7946" spans="2:4" ht="13">
      <c r="B7946" s="12">
        <f ca="1">IFERROR(__xludf.DUMMYFUNCTION("""COMPUTED_VALUE"""),140640)</f>
        <v>140640</v>
      </c>
      <c r="C7946" s="14">
        <f ca="1">IFERROR(__xludf.DUMMYFUNCTION("""COMPUTED_VALUE"""),0)</f>
        <v>0</v>
      </c>
      <c r="D7946" s="12" t="str">
        <f ca="1">IFERROR(__xludf.DUMMYFUNCTION("""COMPUTED_VALUE"""),"大木 優香")</f>
        <v>大木 優香</v>
      </c>
    </row>
    <row r="7947" spans="2:4" ht="13">
      <c r="B7947" s="12">
        <f ca="1">IFERROR(__xludf.DUMMYFUNCTION("""COMPUTED_VALUE"""),140641)</f>
        <v>140641</v>
      </c>
      <c r="C7947" s="14">
        <f ca="1">IFERROR(__xludf.DUMMYFUNCTION("""COMPUTED_VALUE"""),0)</f>
        <v>0</v>
      </c>
      <c r="D7947" s="12" t="str">
        <f ca="1">IFERROR(__xludf.DUMMYFUNCTION("""COMPUTED_VALUE"""),"大木 優香")</f>
        <v>大木 優香</v>
      </c>
    </row>
    <row r="7948" spans="2:4" ht="13">
      <c r="B7948" s="12">
        <f ca="1">IFERROR(__xludf.DUMMYFUNCTION("""COMPUTED_VALUE"""),140642)</f>
        <v>140642</v>
      </c>
      <c r="C7948" s="14">
        <f ca="1">IFERROR(__xludf.DUMMYFUNCTION("""COMPUTED_VALUE"""),0)</f>
        <v>0</v>
      </c>
      <c r="D7948" s="12" t="str">
        <f ca="1">IFERROR(__xludf.DUMMYFUNCTION("""COMPUTED_VALUE"""),"大木 優香")</f>
        <v>大木 優香</v>
      </c>
    </row>
    <row r="7949" spans="2:4" ht="13">
      <c r="B7949" s="12">
        <f ca="1">IFERROR(__xludf.DUMMYFUNCTION("""COMPUTED_VALUE"""),140643)</f>
        <v>140643</v>
      </c>
      <c r="C7949" s="14">
        <f ca="1">IFERROR(__xludf.DUMMYFUNCTION("""COMPUTED_VALUE"""),0)</f>
        <v>0</v>
      </c>
      <c r="D7949" s="12" t="str">
        <f ca="1">IFERROR(__xludf.DUMMYFUNCTION("""COMPUTED_VALUE"""),"大木 優香")</f>
        <v>大木 優香</v>
      </c>
    </row>
    <row r="7950" spans="2:4" ht="13">
      <c r="B7950" s="12">
        <f ca="1">IFERROR(__xludf.DUMMYFUNCTION("""COMPUTED_VALUE"""),140644)</f>
        <v>140644</v>
      </c>
      <c r="C7950" s="14">
        <f ca="1">IFERROR(__xludf.DUMMYFUNCTION("""COMPUTED_VALUE"""),0)</f>
        <v>0</v>
      </c>
      <c r="D7950" s="12" t="str">
        <f ca="1">IFERROR(__xludf.DUMMYFUNCTION("""COMPUTED_VALUE"""),"大木 優香")</f>
        <v>大木 優香</v>
      </c>
    </row>
    <row r="7951" spans="2:4" ht="13">
      <c r="B7951" s="12">
        <f ca="1">IFERROR(__xludf.DUMMYFUNCTION("""COMPUTED_VALUE"""),140645)</f>
        <v>140645</v>
      </c>
      <c r="C7951" s="14">
        <f ca="1">IFERROR(__xludf.DUMMYFUNCTION("""COMPUTED_VALUE"""),0)</f>
        <v>0</v>
      </c>
      <c r="D7951" s="12" t="str">
        <f ca="1">IFERROR(__xludf.DUMMYFUNCTION("""COMPUTED_VALUE"""),"大木 優香")</f>
        <v>大木 優香</v>
      </c>
    </row>
    <row r="7952" spans="2:4" ht="13">
      <c r="B7952" s="12">
        <f ca="1">IFERROR(__xludf.DUMMYFUNCTION("""COMPUTED_VALUE"""),140646)</f>
        <v>140646</v>
      </c>
      <c r="C7952" s="14">
        <f ca="1">IFERROR(__xludf.DUMMYFUNCTION("""COMPUTED_VALUE"""),0)</f>
        <v>0</v>
      </c>
      <c r="D7952" s="12" t="str">
        <f ca="1">IFERROR(__xludf.DUMMYFUNCTION("""COMPUTED_VALUE"""),"大木 優香")</f>
        <v>大木 優香</v>
      </c>
    </row>
    <row r="7953" spans="2:4" ht="13">
      <c r="B7953" s="12">
        <f ca="1">IFERROR(__xludf.DUMMYFUNCTION("""COMPUTED_VALUE"""),140647)</f>
        <v>140647</v>
      </c>
      <c r="C7953" s="14">
        <f ca="1">IFERROR(__xludf.DUMMYFUNCTION("""COMPUTED_VALUE"""),0)</f>
        <v>0</v>
      </c>
      <c r="D7953" s="12" t="str">
        <f ca="1">IFERROR(__xludf.DUMMYFUNCTION("""COMPUTED_VALUE"""),"大木 優香")</f>
        <v>大木 優香</v>
      </c>
    </row>
    <row r="7954" spans="2:4" ht="13">
      <c r="B7954" s="12">
        <f ca="1">IFERROR(__xludf.DUMMYFUNCTION("""COMPUTED_VALUE"""),140648)</f>
        <v>140648</v>
      </c>
      <c r="C7954" s="14">
        <f ca="1">IFERROR(__xludf.DUMMYFUNCTION("""COMPUTED_VALUE"""),0)</f>
        <v>0</v>
      </c>
      <c r="D7954" s="12" t="str">
        <f ca="1">IFERROR(__xludf.DUMMYFUNCTION("""COMPUTED_VALUE"""),"大木 優香")</f>
        <v>大木 優香</v>
      </c>
    </row>
    <row r="7955" spans="2:4" ht="13">
      <c r="B7955" s="12">
        <f ca="1">IFERROR(__xludf.DUMMYFUNCTION("""COMPUTED_VALUE"""),140649)</f>
        <v>140649</v>
      </c>
      <c r="C7955" s="14">
        <f ca="1">IFERROR(__xludf.DUMMYFUNCTION("""COMPUTED_VALUE"""),0)</f>
        <v>0</v>
      </c>
      <c r="D7955" s="12" t="str">
        <f ca="1">IFERROR(__xludf.DUMMYFUNCTION("""COMPUTED_VALUE"""),"大木 優香")</f>
        <v>大木 優香</v>
      </c>
    </row>
    <row r="7956" spans="2:4" ht="13">
      <c r="B7956" s="12">
        <f ca="1">IFERROR(__xludf.DUMMYFUNCTION("""COMPUTED_VALUE"""),140650)</f>
        <v>140650</v>
      </c>
      <c r="C7956" s="14">
        <f ca="1">IFERROR(__xludf.DUMMYFUNCTION("""COMPUTED_VALUE"""),0)</f>
        <v>0</v>
      </c>
      <c r="D7956" s="12" t="str">
        <f ca="1">IFERROR(__xludf.DUMMYFUNCTION("""COMPUTED_VALUE"""),"大木 優香")</f>
        <v>大木 優香</v>
      </c>
    </row>
    <row r="7957" spans="2:4" ht="13">
      <c r="B7957" s="12">
        <f ca="1">IFERROR(__xludf.DUMMYFUNCTION("""COMPUTED_VALUE"""),140651)</f>
        <v>140651</v>
      </c>
      <c r="C7957" s="14">
        <f ca="1">IFERROR(__xludf.DUMMYFUNCTION("""COMPUTED_VALUE"""),0)</f>
        <v>0</v>
      </c>
      <c r="D7957" s="12" t="str">
        <f ca="1">IFERROR(__xludf.DUMMYFUNCTION("""COMPUTED_VALUE"""),"大木 優香")</f>
        <v>大木 優香</v>
      </c>
    </row>
    <row r="7958" spans="2:4" ht="13">
      <c r="B7958" s="12">
        <f ca="1">IFERROR(__xludf.DUMMYFUNCTION("""COMPUTED_VALUE"""),140652)</f>
        <v>140652</v>
      </c>
      <c r="C7958" s="14">
        <f ca="1">IFERROR(__xludf.DUMMYFUNCTION("""COMPUTED_VALUE"""),0)</f>
        <v>0</v>
      </c>
      <c r="D7958" s="12" t="str">
        <f ca="1">IFERROR(__xludf.DUMMYFUNCTION("""COMPUTED_VALUE"""),"大木 優香")</f>
        <v>大木 優香</v>
      </c>
    </row>
    <row r="7959" spans="2:4" ht="13">
      <c r="B7959" s="12">
        <f ca="1">IFERROR(__xludf.DUMMYFUNCTION("""COMPUTED_VALUE"""),140653)</f>
        <v>140653</v>
      </c>
      <c r="C7959" s="14">
        <f ca="1">IFERROR(__xludf.DUMMYFUNCTION("""COMPUTED_VALUE"""),0)</f>
        <v>0</v>
      </c>
      <c r="D7959" s="12" t="str">
        <f ca="1">IFERROR(__xludf.DUMMYFUNCTION("""COMPUTED_VALUE"""),"大木 優香")</f>
        <v>大木 優香</v>
      </c>
    </row>
    <row r="7960" spans="2:4" ht="13">
      <c r="B7960" s="12">
        <f ca="1">IFERROR(__xludf.DUMMYFUNCTION("""COMPUTED_VALUE"""),140654)</f>
        <v>140654</v>
      </c>
      <c r="C7960" s="14">
        <f ca="1">IFERROR(__xludf.DUMMYFUNCTION("""COMPUTED_VALUE"""),0)</f>
        <v>0</v>
      </c>
      <c r="D7960" s="12" t="str">
        <f ca="1">IFERROR(__xludf.DUMMYFUNCTION("""COMPUTED_VALUE"""),"大木 優香")</f>
        <v>大木 優香</v>
      </c>
    </row>
    <row r="7961" spans="2:4" ht="13">
      <c r="B7961" s="12">
        <f ca="1">IFERROR(__xludf.DUMMYFUNCTION("""COMPUTED_VALUE"""),140655)</f>
        <v>140655</v>
      </c>
      <c r="C7961" s="14">
        <f ca="1">IFERROR(__xludf.DUMMYFUNCTION("""COMPUTED_VALUE"""),0)</f>
        <v>0</v>
      </c>
      <c r="D7961" s="12" t="str">
        <f ca="1">IFERROR(__xludf.DUMMYFUNCTION("""COMPUTED_VALUE"""),"大木 優香")</f>
        <v>大木 優香</v>
      </c>
    </row>
    <row r="7962" spans="2:4" ht="13">
      <c r="B7962" s="12">
        <f ca="1">IFERROR(__xludf.DUMMYFUNCTION("""COMPUTED_VALUE"""),140656)</f>
        <v>140656</v>
      </c>
      <c r="C7962" s="14">
        <f ca="1">IFERROR(__xludf.DUMMYFUNCTION("""COMPUTED_VALUE"""),0)</f>
        <v>0</v>
      </c>
      <c r="D7962" s="12" t="str">
        <f ca="1">IFERROR(__xludf.DUMMYFUNCTION("""COMPUTED_VALUE"""),"大木 優香")</f>
        <v>大木 優香</v>
      </c>
    </row>
    <row r="7963" spans="2:4" ht="13">
      <c r="B7963" s="12">
        <f ca="1">IFERROR(__xludf.DUMMYFUNCTION("""COMPUTED_VALUE"""),140657)</f>
        <v>140657</v>
      </c>
      <c r="C7963" s="14">
        <f ca="1">IFERROR(__xludf.DUMMYFUNCTION("""COMPUTED_VALUE"""),0)</f>
        <v>0</v>
      </c>
      <c r="D7963" s="12" t="str">
        <f ca="1">IFERROR(__xludf.DUMMYFUNCTION("""COMPUTED_VALUE"""),"大木 優香")</f>
        <v>大木 優香</v>
      </c>
    </row>
    <row r="7964" spans="2:4" ht="13">
      <c r="B7964" s="12">
        <f ca="1">IFERROR(__xludf.DUMMYFUNCTION("""COMPUTED_VALUE"""),140658)</f>
        <v>140658</v>
      </c>
      <c r="C7964" s="14">
        <f ca="1">IFERROR(__xludf.DUMMYFUNCTION("""COMPUTED_VALUE"""),0)</f>
        <v>0</v>
      </c>
      <c r="D7964" s="12" t="str">
        <f ca="1">IFERROR(__xludf.DUMMYFUNCTION("""COMPUTED_VALUE"""),"大木 優香")</f>
        <v>大木 優香</v>
      </c>
    </row>
    <row r="7965" spans="2:4" ht="13">
      <c r="B7965" s="12">
        <f ca="1">IFERROR(__xludf.DUMMYFUNCTION("""COMPUTED_VALUE"""),140659)</f>
        <v>140659</v>
      </c>
      <c r="C7965" s="14">
        <f ca="1">IFERROR(__xludf.DUMMYFUNCTION("""COMPUTED_VALUE"""),0)</f>
        <v>0</v>
      </c>
      <c r="D7965" s="12" t="str">
        <f ca="1">IFERROR(__xludf.DUMMYFUNCTION("""COMPUTED_VALUE"""),"大木 優香")</f>
        <v>大木 優香</v>
      </c>
    </row>
    <row r="7966" spans="2:4" ht="13">
      <c r="B7966" s="12">
        <f ca="1">IFERROR(__xludf.DUMMYFUNCTION("""COMPUTED_VALUE"""),140660)</f>
        <v>140660</v>
      </c>
      <c r="C7966" s="14">
        <f ca="1">IFERROR(__xludf.DUMMYFUNCTION("""COMPUTED_VALUE"""),0)</f>
        <v>0</v>
      </c>
      <c r="D7966" s="12" t="str">
        <f ca="1">IFERROR(__xludf.DUMMYFUNCTION("""COMPUTED_VALUE"""),"大木 優香")</f>
        <v>大木 優香</v>
      </c>
    </row>
    <row r="7967" spans="2:4" ht="13">
      <c r="B7967" s="12">
        <f ca="1">IFERROR(__xludf.DUMMYFUNCTION("""COMPUTED_VALUE"""),140661)</f>
        <v>140661</v>
      </c>
      <c r="C7967" s="14">
        <f ca="1">IFERROR(__xludf.DUMMYFUNCTION("""COMPUTED_VALUE"""),0)</f>
        <v>0</v>
      </c>
      <c r="D7967" s="12" t="str">
        <f ca="1">IFERROR(__xludf.DUMMYFUNCTION("""COMPUTED_VALUE"""),"大木 優香")</f>
        <v>大木 優香</v>
      </c>
    </row>
    <row r="7968" spans="2:4" ht="13">
      <c r="B7968" s="12">
        <f ca="1">IFERROR(__xludf.DUMMYFUNCTION("""COMPUTED_VALUE"""),140662)</f>
        <v>140662</v>
      </c>
      <c r="C7968" s="14">
        <f ca="1">IFERROR(__xludf.DUMMYFUNCTION("""COMPUTED_VALUE"""),0)</f>
        <v>0</v>
      </c>
      <c r="D7968" s="12" t="str">
        <f ca="1">IFERROR(__xludf.DUMMYFUNCTION("""COMPUTED_VALUE"""),"大木 優香")</f>
        <v>大木 優香</v>
      </c>
    </row>
    <row r="7969" spans="2:4" ht="13">
      <c r="B7969" s="12">
        <f ca="1">IFERROR(__xludf.DUMMYFUNCTION("""COMPUTED_VALUE"""),140663)</f>
        <v>140663</v>
      </c>
      <c r="C7969" s="14">
        <f ca="1">IFERROR(__xludf.DUMMYFUNCTION("""COMPUTED_VALUE"""),0)</f>
        <v>0</v>
      </c>
      <c r="D7969" s="12" t="str">
        <f ca="1">IFERROR(__xludf.DUMMYFUNCTION("""COMPUTED_VALUE"""),"大木 優香")</f>
        <v>大木 優香</v>
      </c>
    </row>
    <row r="7970" spans="2:4" ht="13">
      <c r="B7970" s="12">
        <f ca="1">IFERROR(__xludf.DUMMYFUNCTION("""COMPUTED_VALUE"""),140664)</f>
        <v>140664</v>
      </c>
      <c r="C7970" s="14">
        <f ca="1">IFERROR(__xludf.DUMMYFUNCTION("""COMPUTED_VALUE"""),0)</f>
        <v>0</v>
      </c>
      <c r="D7970" s="12" t="str">
        <f ca="1">IFERROR(__xludf.DUMMYFUNCTION("""COMPUTED_VALUE"""),"大木 優香")</f>
        <v>大木 優香</v>
      </c>
    </row>
    <row r="7971" spans="2:4" ht="13">
      <c r="B7971" s="12">
        <f ca="1">IFERROR(__xludf.DUMMYFUNCTION("""COMPUTED_VALUE"""),140665)</f>
        <v>140665</v>
      </c>
      <c r="C7971" s="14">
        <f ca="1">IFERROR(__xludf.DUMMYFUNCTION("""COMPUTED_VALUE"""),0)</f>
        <v>0</v>
      </c>
      <c r="D7971" s="12" t="str">
        <f ca="1">IFERROR(__xludf.DUMMYFUNCTION("""COMPUTED_VALUE"""),"大木 優香")</f>
        <v>大木 優香</v>
      </c>
    </row>
    <row r="7972" spans="2:4" ht="13">
      <c r="B7972" s="12">
        <f ca="1">IFERROR(__xludf.DUMMYFUNCTION("""COMPUTED_VALUE"""),140666)</f>
        <v>140666</v>
      </c>
      <c r="C7972" s="14">
        <f ca="1">IFERROR(__xludf.DUMMYFUNCTION("""COMPUTED_VALUE"""),0)</f>
        <v>0</v>
      </c>
      <c r="D7972" s="12" t="str">
        <f ca="1">IFERROR(__xludf.DUMMYFUNCTION("""COMPUTED_VALUE"""),"大木 優香")</f>
        <v>大木 優香</v>
      </c>
    </row>
    <row r="7973" spans="2:4" ht="13">
      <c r="B7973" s="12">
        <f ca="1">IFERROR(__xludf.DUMMYFUNCTION("""COMPUTED_VALUE"""),140667)</f>
        <v>140667</v>
      </c>
      <c r="C7973" s="14">
        <f ca="1">IFERROR(__xludf.DUMMYFUNCTION("""COMPUTED_VALUE"""),0)</f>
        <v>0</v>
      </c>
      <c r="D7973" s="12" t="str">
        <f ca="1">IFERROR(__xludf.DUMMYFUNCTION("""COMPUTED_VALUE"""),"大木 優香")</f>
        <v>大木 優香</v>
      </c>
    </row>
    <row r="7974" spans="2:4" ht="13">
      <c r="B7974" s="12">
        <f ca="1">IFERROR(__xludf.DUMMYFUNCTION("""COMPUTED_VALUE"""),140668)</f>
        <v>140668</v>
      </c>
      <c r="C7974" s="14">
        <f ca="1">IFERROR(__xludf.DUMMYFUNCTION("""COMPUTED_VALUE"""),0)</f>
        <v>0</v>
      </c>
      <c r="D7974" s="12" t="str">
        <f ca="1">IFERROR(__xludf.DUMMYFUNCTION("""COMPUTED_VALUE"""),"大木 優香")</f>
        <v>大木 優香</v>
      </c>
    </row>
    <row r="7975" spans="2:4" ht="13">
      <c r="B7975" s="12">
        <f ca="1">IFERROR(__xludf.DUMMYFUNCTION("""COMPUTED_VALUE"""),140669)</f>
        <v>140669</v>
      </c>
      <c r="C7975" s="14">
        <f ca="1">IFERROR(__xludf.DUMMYFUNCTION("""COMPUTED_VALUE"""),0)</f>
        <v>0</v>
      </c>
      <c r="D7975" s="12" t="str">
        <f ca="1">IFERROR(__xludf.DUMMYFUNCTION("""COMPUTED_VALUE"""),"大木 優香")</f>
        <v>大木 優香</v>
      </c>
    </row>
    <row r="7976" spans="2:4" ht="13">
      <c r="B7976" s="12">
        <f ca="1">IFERROR(__xludf.DUMMYFUNCTION("""COMPUTED_VALUE"""),140670)</f>
        <v>140670</v>
      </c>
      <c r="C7976" s="14">
        <f ca="1">IFERROR(__xludf.DUMMYFUNCTION("""COMPUTED_VALUE"""),0)</f>
        <v>0</v>
      </c>
      <c r="D7976" s="12" t="str">
        <f ca="1">IFERROR(__xludf.DUMMYFUNCTION("""COMPUTED_VALUE"""),"大木 優香")</f>
        <v>大木 優香</v>
      </c>
    </row>
    <row r="7977" spans="2:4" ht="13">
      <c r="B7977" s="12">
        <f ca="1">IFERROR(__xludf.DUMMYFUNCTION("""COMPUTED_VALUE"""),140671)</f>
        <v>140671</v>
      </c>
      <c r="C7977" s="14">
        <f ca="1">IFERROR(__xludf.DUMMYFUNCTION("""COMPUTED_VALUE"""),0)</f>
        <v>0</v>
      </c>
      <c r="D7977" s="12" t="str">
        <f ca="1">IFERROR(__xludf.DUMMYFUNCTION("""COMPUTED_VALUE"""),"大木 優香")</f>
        <v>大木 優香</v>
      </c>
    </row>
    <row r="7978" spans="2:4" ht="13">
      <c r="B7978" s="12">
        <f ca="1">IFERROR(__xludf.DUMMYFUNCTION("""COMPUTED_VALUE"""),140672)</f>
        <v>140672</v>
      </c>
      <c r="C7978" s="14">
        <f ca="1">IFERROR(__xludf.DUMMYFUNCTION("""COMPUTED_VALUE"""),0)</f>
        <v>0</v>
      </c>
      <c r="D7978" s="12" t="str">
        <f ca="1">IFERROR(__xludf.DUMMYFUNCTION("""COMPUTED_VALUE"""),"大木 優香")</f>
        <v>大木 優香</v>
      </c>
    </row>
    <row r="7979" spans="2:4" ht="13">
      <c r="B7979" s="12">
        <f ca="1">IFERROR(__xludf.DUMMYFUNCTION("""COMPUTED_VALUE"""),140673)</f>
        <v>140673</v>
      </c>
      <c r="C7979" s="14">
        <f ca="1">IFERROR(__xludf.DUMMYFUNCTION("""COMPUTED_VALUE"""),0)</f>
        <v>0</v>
      </c>
      <c r="D7979" s="12" t="str">
        <f ca="1">IFERROR(__xludf.DUMMYFUNCTION("""COMPUTED_VALUE"""),"大木 優香")</f>
        <v>大木 優香</v>
      </c>
    </row>
    <row r="7980" spans="2:4" ht="13">
      <c r="B7980" s="12">
        <f ca="1">IFERROR(__xludf.DUMMYFUNCTION("""COMPUTED_VALUE"""),140674)</f>
        <v>140674</v>
      </c>
      <c r="C7980" s="14">
        <f ca="1">IFERROR(__xludf.DUMMYFUNCTION("""COMPUTED_VALUE"""),0)</f>
        <v>0</v>
      </c>
      <c r="D7980" s="12" t="str">
        <f ca="1">IFERROR(__xludf.DUMMYFUNCTION("""COMPUTED_VALUE"""),"大木 優香")</f>
        <v>大木 優香</v>
      </c>
    </row>
    <row r="7981" spans="2:4" ht="13">
      <c r="B7981" s="12">
        <f ca="1">IFERROR(__xludf.DUMMYFUNCTION("""COMPUTED_VALUE"""),140675)</f>
        <v>140675</v>
      </c>
      <c r="C7981" s="14">
        <f ca="1">IFERROR(__xludf.DUMMYFUNCTION("""COMPUTED_VALUE"""),0)</f>
        <v>0</v>
      </c>
      <c r="D7981" s="12" t="str">
        <f ca="1">IFERROR(__xludf.DUMMYFUNCTION("""COMPUTED_VALUE"""),"大木 優香")</f>
        <v>大木 優香</v>
      </c>
    </row>
    <row r="7982" spans="2:4" ht="13">
      <c r="B7982" s="12">
        <f ca="1">IFERROR(__xludf.DUMMYFUNCTION("""COMPUTED_VALUE"""),140676)</f>
        <v>140676</v>
      </c>
      <c r="C7982" s="14">
        <f ca="1">IFERROR(__xludf.DUMMYFUNCTION("""COMPUTED_VALUE"""),0)</f>
        <v>0</v>
      </c>
      <c r="D7982" s="12" t="str">
        <f ca="1">IFERROR(__xludf.DUMMYFUNCTION("""COMPUTED_VALUE"""),"大木 優香")</f>
        <v>大木 優香</v>
      </c>
    </row>
    <row r="7983" spans="2:4" ht="13">
      <c r="B7983" s="12">
        <f ca="1">IFERROR(__xludf.DUMMYFUNCTION("""COMPUTED_VALUE"""),140677)</f>
        <v>140677</v>
      </c>
      <c r="C7983" s="14">
        <f ca="1">IFERROR(__xludf.DUMMYFUNCTION("""COMPUTED_VALUE"""),0)</f>
        <v>0</v>
      </c>
      <c r="D7983" s="12" t="str">
        <f ca="1">IFERROR(__xludf.DUMMYFUNCTION("""COMPUTED_VALUE"""),"大木 優香")</f>
        <v>大木 優香</v>
      </c>
    </row>
    <row r="7984" spans="2:4" ht="13">
      <c r="B7984" s="12">
        <f ca="1">IFERROR(__xludf.DUMMYFUNCTION("""COMPUTED_VALUE"""),140678)</f>
        <v>140678</v>
      </c>
      <c r="C7984" s="14">
        <f ca="1">IFERROR(__xludf.DUMMYFUNCTION("""COMPUTED_VALUE"""),0)</f>
        <v>0</v>
      </c>
      <c r="D7984" s="12" t="str">
        <f ca="1">IFERROR(__xludf.DUMMYFUNCTION("""COMPUTED_VALUE"""),"大木 優香")</f>
        <v>大木 優香</v>
      </c>
    </row>
    <row r="7985" spans="2:4" ht="13">
      <c r="B7985" s="12">
        <f ca="1">IFERROR(__xludf.DUMMYFUNCTION("""COMPUTED_VALUE"""),140679)</f>
        <v>140679</v>
      </c>
      <c r="C7985" s="14">
        <f ca="1">IFERROR(__xludf.DUMMYFUNCTION("""COMPUTED_VALUE"""),0)</f>
        <v>0</v>
      </c>
      <c r="D7985" s="12" t="str">
        <f ca="1">IFERROR(__xludf.DUMMYFUNCTION("""COMPUTED_VALUE"""),"大木 優香")</f>
        <v>大木 優香</v>
      </c>
    </row>
    <row r="7986" spans="2:4" ht="13">
      <c r="B7986" s="12">
        <f ca="1">IFERROR(__xludf.DUMMYFUNCTION("""COMPUTED_VALUE"""),140680)</f>
        <v>140680</v>
      </c>
      <c r="C7986" s="14">
        <f ca="1">IFERROR(__xludf.DUMMYFUNCTION("""COMPUTED_VALUE"""),0)</f>
        <v>0</v>
      </c>
      <c r="D7986" s="12" t="str">
        <f ca="1">IFERROR(__xludf.DUMMYFUNCTION("""COMPUTED_VALUE"""),"大木 優香")</f>
        <v>大木 優香</v>
      </c>
    </row>
    <row r="7987" spans="2:4" ht="13">
      <c r="B7987" s="12">
        <f ca="1">IFERROR(__xludf.DUMMYFUNCTION("""COMPUTED_VALUE"""),140681)</f>
        <v>140681</v>
      </c>
      <c r="C7987" s="14">
        <f ca="1">IFERROR(__xludf.DUMMYFUNCTION("""COMPUTED_VALUE"""),0)</f>
        <v>0</v>
      </c>
      <c r="D7987" s="12" t="str">
        <f ca="1">IFERROR(__xludf.DUMMYFUNCTION("""COMPUTED_VALUE"""),"大木 優香")</f>
        <v>大木 優香</v>
      </c>
    </row>
    <row r="7988" spans="2:4" ht="13">
      <c r="B7988" s="12">
        <f ca="1">IFERROR(__xludf.DUMMYFUNCTION("""COMPUTED_VALUE"""),140682)</f>
        <v>140682</v>
      </c>
      <c r="C7988" s="14">
        <f ca="1">IFERROR(__xludf.DUMMYFUNCTION("""COMPUTED_VALUE"""),0)</f>
        <v>0</v>
      </c>
      <c r="D7988" s="12" t="str">
        <f ca="1">IFERROR(__xludf.DUMMYFUNCTION("""COMPUTED_VALUE"""),"大木 優香")</f>
        <v>大木 優香</v>
      </c>
    </row>
    <row r="7989" spans="2:4" ht="13">
      <c r="B7989" s="12">
        <f ca="1">IFERROR(__xludf.DUMMYFUNCTION("""COMPUTED_VALUE"""),140683)</f>
        <v>140683</v>
      </c>
      <c r="C7989" s="14">
        <f ca="1">IFERROR(__xludf.DUMMYFUNCTION("""COMPUTED_VALUE"""),0)</f>
        <v>0</v>
      </c>
      <c r="D7989" s="12" t="str">
        <f ca="1">IFERROR(__xludf.DUMMYFUNCTION("""COMPUTED_VALUE"""),"大木 優香")</f>
        <v>大木 優香</v>
      </c>
    </row>
    <row r="7990" spans="2:4" ht="13">
      <c r="B7990" s="12">
        <f ca="1">IFERROR(__xludf.DUMMYFUNCTION("""COMPUTED_VALUE"""),140684)</f>
        <v>140684</v>
      </c>
      <c r="C7990" s="14">
        <f ca="1">IFERROR(__xludf.DUMMYFUNCTION("""COMPUTED_VALUE"""),0)</f>
        <v>0</v>
      </c>
      <c r="D7990" s="12" t="str">
        <f ca="1">IFERROR(__xludf.DUMMYFUNCTION("""COMPUTED_VALUE"""),"大木 優香")</f>
        <v>大木 優香</v>
      </c>
    </row>
    <row r="7991" spans="2:4" ht="13">
      <c r="B7991" s="12">
        <f ca="1">IFERROR(__xludf.DUMMYFUNCTION("""COMPUTED_VALUE"""),140685)</f>
        <v>140685</v>
      </c>
      <c r="C7991" s="14">
        <f ca="1">IFERROR(__xludf.DUMMYFUNCTION("""COMPUTED_VALUE"""),0)</f>
        <v>0</v>
      </c>
      <c r="D7991" s="12" t="str">
        <f ca="1">IFERROR(__xludf.DUMMYFUNCTION("""COMPUTED_VALUE"""),"大木 優香")</f>
        <v>大木 優香</v>
      </c>
    </row>
    <row r="7992" spans="2:4" ht="13">
      <c r="B7992" s="12">
        <f ca="1">IFERROR(__xludf.DUMMYFUNCTION("""COMPUTED_VALUE"""),140686)</f>
        <v>140686</v>
      </c>
      <c r="C7992" s="14">
        <f ca="1">IFERROR(__xludf.DUMMYFUNCTION("""COMPUTED_VALUE"""),0)</f>
        <v>0</v>
      </c>
      <c r="D7992" s="12" t="str">
        <f ca="1">IFERROR(__xludf.DUMMYFUNCTION("""COMPUTED_VALUE"""),"大木 優香")</f>
        <v>大木 優香</v>
      </c>
    </row>
    <row r="7993" spans="2:4" ht="13">
      <c r="B7993" s="12">
        <f ca="1">IFERROR(__xludf.DUMMYFUNCTION("""COMPUTED_VALUE"""),140687)</f>
        <v>140687</v>
      </c>
      <c r="C7993" s="14">
        <f ca="1">IFERROR(__xludf.DUMMYFUNCTION("""COMPUTED_VALUE"""),0)</f>
        <v>0</v>
      </c>
      <c r="D7993" s="12" t="str">
        <f ca="1">IFERROR(__xludf.DUMMYFUNCTION("""COMPUTED_VALUE"""),"大木 優香")</f>
        <v>大木 優香</v>
      </c>
    </row>
    <row r="7994" spans="2:4" ht="13">
      <c r="B7994" s="12">
        <f ca="1">IFERROR(__xludf.DUMMYFUNCTION("""COMPUTED_VALUE"""),140688)</f>
        <v>140688</v>
      </c>
      <c r="C7994" s="14">
        <f ca="1">IFERROR(__xludf.DUMMYFUNCTION("""COMPUTED_VALUE"""),0)</f>
        <v>0</v>
      </c>
      <c r="D7994" s="12" t="str">
        <f ca="1">IFERROR(__xludf.DUMMYFUNCTION("""COMPUTED_VALUE"""),"大木 優香")</f>
        <v>大木 優香</v>
      </c>
    </row>
    <row r="7995" spans="2:4" ht="13">
      <c r="B7995" s="12">
        <f ca="1">IFERROR(__xludf.DUMMYFUNCTION("""COMPUTED_VALUE"""),140689)</f>
        <v>140689</v>
      </c>
      <c r="C7995" s="14">
        <f ca="1">IFERROR(__xludf.DUMMYFUNCTION("""COMPUTED_VALUE"""),0)</f>
        <v>0</v>
      </c>
      <c r="D7995" s="12" t="str">
        <f ca="1">IFERROR(__xludf.DUMMYFUNCTION("""COMPUTED_VALUE"""),"大木 優香")</f>
        <v>大木 優香</v>
      </c>
    </row>
    <row r="7996" spans="2:4" ht="13">
      <c r="B7996" s="12">
        <f ca="1">IFERROR(__xludf.DUMMYFUNCTION("""COMPUTED_VALUE"""),140690)</f>
        <v>140690</v>
      </c>
      <c r="C7996" s="14">
        <f ca="1">IFERROR(__xludf.DUMMYFUNCTION("""COMPUTED_VALUE"""),0)</f>
        <v>0</v>
      </c>
      <c r="D7996" s="12" t="str">
        <f ca="1">IFERROR(__xludf.DUMMYFUNCTION("""COMPUTED_VALUE"""),"大木 優香")</f>
        <v>大木 優香</v>
      </c>
    </row>
    <row r="7997" spans="2:4" ht="13">
      <c r="B7997" s="12">
        <f ca="1">IFERROR(__xludf.DUMMYFUNCTION("""COMPUTED_VALUE"""),140691)</f>
        <v>140691</v>
      </c>
      <c r="C7997" s="14">
        <f ca="1">IFERROR(__xludf.DUMMYFUNCTION("""COMPUTED_VALUE"""),0)</f>
        <v>0</v>
      </c>
      <c r="D7997" s="12" t="str">
        <f ca="1">IFERROR(__xludf.DUMMYFUNCTION("""COMPUTED_VALUE"""),"大木 優香")</f>
        <v>大木 優香</v>
      </c>
    </row>
    <row r="7998" spans="2:4" ht="13">
      <c r="B7998" s="12">
        <f ca="1">IFERROR(__xludf.DUMMYFUNCTION("""COMPUTED_VALUE"""),140692)</f>
        <v>140692</v>
      </c>
      <c r="C7998" s="14">
        <f ca="1">IFERROR(__xludf.DUMMYFUNCTION("""COMPUTED_VALUE"""),0)</f>
        <v>0</v>
      </c>
      <c r="D7998" s="12" t="str">
        <f ca="1">IFERROR(__xludf.DUMMYFUNCTION("""COMPUTED_VALUE"""),"大木 優香")</f>
        <v>大木 優香</v>
      </c>
    </row>
    <row r="7999" spans="2:4" ht="13">
      <c r="B7999" s="12">
        <f ca="1">IFERROR(__xludf.DUMMYFUNCTION("""COMPUTED_VALUE"""),140693)</f>
        <v>140693</v>
      </c>
      <c r="C7999" s="14">
        <f ca="1">IFERROR(__xludf.DUMMYFUNCTION("""COMPUTED_VALUE"""),0)</f>
        <v>0</v>
      </c>
      <c r="D7999" s="12" t="str">
        <f ca="1">IFERROR(__xludf.DUMMYFUNCTION("""COMPUTED_VALUE"""),"大木 優香")</f>
        <v>大木 優香</v>
      </c>
    </row>
    <row r="8000" spans="2:4" ht="13">
      <c r="B8000" s="12">
        <f ca="1">IFERROR(__xludf.DUMMYFUNCTION("""COMPUTED_VALUE"""),140694)</f>
        <v>140694</v>
      </c>
      <c r="C8000" s="14">
        <f ca="1">IFERROR(__xludf.DUMMYFUNCTION("""COMPUTED_VALUE"""),0)</f>
        <v>0</v>
      </c>
      <c r="D8000" s="12" t="str">
        <f ca="1">IFERROR(__xludf.DUMMYFUNCTION("""COMPUTED_VALUE"""),"大木 優香")</f>
        <v>大木 優香</v>
      </c>
    </row>
    <row r="8001" spans="2:4" ht="13">
      <c r="B8001" s="12">
        <f ca="1">IFERROR(__xludf.DUMMYFUNCTION("""COMPUTED_VALUE"""),140695)</f>
        <v>140695</v>
      </c>
      <c r="C8001" s="14">
        <f ca="1">IFERROR(__xludf.DUMMYFUNCTION("""COMPUTED_VALUE"""),0)</f>
        <v>0</v>
      </c>
      <c r="D8001" s="12" t="str">
        <f ca="1">IFERROR(__xludf.DUMMYFUNCTION("""COMPUTED_VALUE"""),"大木 優香")</f>
        <v>大木 優香</v>
      </c>
    </row>
    <row r="8002" spans="2:4" ht="13">
      <c r="B8002" s="12">
        <f ca="1">IFERROR(__xludf.DUMMYFUNCTION("""COMPUTED_VALUE"""),140696)</f>
        <v>140696</v>
      </c>
      <c r="C8002" s="14">
        <f ca="1">IFERROR(__xludf.DUMMYFUNCTION("""COMPUTED_VALUE"""),0)</f>
        <v>0</v>
      </c>
      <c r="D8002" s="12" t="str">
        <f ca="1">IFERROR(__xludf.DUMMYFUNCTION("""COMPUTED_VALUE"""),"大木 優香")</f>
        <v>大木 優香</v>
      </c>
    </row>
    <row r="8003" spans="2:4" ht="13">
      <c r="B8003" s="12">
        <f ca="1">IFERROR(__xludf.DUMMYFUNCTION("""COMPUTED_VALUE"""),140697)</f>
        <v>140697</v>
      </c>
      <c r="C8003" s="14">
        <f ca="1">IFERROR(__xludf.DUMMYFUNCTION("""COMPUTED_VALUE"""),0)</f>
        <v>0</v>
      </c>
      <c r="D8003" s="12" t="str">
        <f ca="1">IFERROR(__xludf.DUMMYFUNCTION("""COMPUTED_VALUE"""),"大木 優香")</f>
        <v>大木 優香</v>
      </c>
    </row>
    <row r="8004" spans="2:4" ht="13">
      <c r="B8004" s="12">
        <f ca="1">IFERROR(__xludf.DUMMYFUNCTION("""COMPUTED_VALUE"""),140698)</f>
        <v>140698</v>
      </c>
      <c r="C8004" s="14">
        <f ca="1">IFERROR(__xludf.DUMMYFUNCTION("""COMPUTED_VALUE"""),0)</f>
        <v>0</v>
      </c>
      <c r="D8004" s="12" t="str">
        <f ca="1">IFERROR(__xludf.DUMMYFUNCTION("""COMPUTED_VALUE"""),"大木 優香")</f>
        <v>大木 優香</v>
      </c>
    </row>
    <row r="8005" spans="2:4" ht="13">
      <c r="B8005" s="12">
        <f ca="1">IFERROR(__xludf.DUMMYFUNCTION("""COMPUTED_VALUE"""),140699)</f>
        <v>140699</v>
      </c>
      <c r="C8005" s="14">
        <f ca="1">IFERROR(__xludf.DUMMYFUNCTION("""COMPUTED_VALUE"""),0)</f>
        <v>0</v>
      </c>
      <c r="D8005" s="12" t="str">
        <f ca="1">IFERROR(__xludf.DUMMYFUNCTION("""COMPUTED_VALUE"""),"大木 優香")</f>
        <v>大木 優香</v>
      </c>
    </row>
    <row r="8006" spans="2:4" ht="13">
      <c r="B8006" s="12">
        <f ca="1">IFERROR(__xludf.DUMMYFUNCTION("""COMPUTED_VALUE"""),140700)</f>
        <v>140700</v>
      </c>
      <c r="C8006" s="14">
        <f ca="1">IFERROR(__xludf.DUMMYFUNCTION("""COMPUTED_VALUE"""),0)</f>
        <v>0</v>
      </c>
      <c r="D8006" s="12" t="str">
        <f ca="1">IFERROR(__xludf.DUMMYFUNCTION("""COMPUTED_VALUE"""),"大木 優香")</f>
        <v>大木 優香</v>
      </c>
    </row>
    <row r="8007" spans="2:4" ht="13">
      <c r="B8007" s="12">
        <f ca="1">IFERROR(__xludf.DUMMYFUNCTION("""COMPUTED_VALUE"""),140701)</f>
        <v>140701</v>
      </c>
      <c r="C8007" s="14">
        <f ca="1">IFERROR(__xludf.DUMMYFUNCTION("""COMPUTED_VALUE"""),0)</f>
        <v>0</v>
      </c>
      <c r="D8007" s="12" t="str">
        <f ca="1">IFERROR(__xludf.DUMMYFUNCTION("""COMPUTED_VALUE"""),"大木 優香")</f>
        <v>大木 優香</v>
      </c>
    </row>
    <row r="8008" spans="2:4" ht="13">
      <c r="B8008" s="12">
        <f ca="1">IFERROR(__xludf.DUMMYFUNCTION("""COMPUTED_VALUE"""),140702)</f>
        <v>140702</v>
      </c>
      <c r="C8008" s="14">
        <f ca="1">IFERROR(__xludf.DUMMYFUNCTION("""COMPUTED_VALUE"""),0)</f>
        <v>0</v>
      </c>
      <c r="D8008" s="12" t="str">
        <f ca="1">IFERROR(__xludf.DUMMYFUNCTION("""COMPUTED_VALUE"""),"大木 優香")</f>
        <v>大木 優香</v>
      </c>
    </row>
    <row r="8009" spans="2:4" ht="13">
      <c r="B8009" s="12">
        <f ca="1">IFERROR(__xludf.DUMMYFUNCTION("""COMPUTED_VALUE"""),140703)</f>
        <v>140703</v>
      </c>
      <c r="C8009" s="14">
        <f ca="1">IFERROR(__xludf.DUMMYFUNCTION("""COMPUTED_VALUE"""),0)</f>
        <v>0</v>
      </c>
      <c r="D8009" s="12" t="str">
        <f ca="1">IFERROR(__xludf.DUMMYFUNCTION("""COMPUTED_VALUE"""),"大木 優香")</f>
        <v>大木 優香</v>
      </c>
    </row>
    <row r="8010" spans="2:4" ht="13">
      <c r="B8010" s="12">
        <f ca="1">IFERROR(__xludf.DUMMYFUNCTION("""COMPUTED_VALUE"""),140704)</f>
        <v>140704</v>
      </c>
      <c r="C8010" s="14">
        <f ca="1">IFERROR(__xludf.DUMMYFUNCTION("""COMPUTED_VALUE"""),0)</f>
        <v>0</v>
      </c>
      <c r="D8010" s="12" t="str">
        <f ca="1">IFERROR(__xludf.DUMMYFUNCTION("""COMPUTED_VALUE"""),"大木 優香")</f>
        <v>大木 優香</v>
      </c>
    </row>
    <row r="8011" spans="2:4" ht="13">
      <c r="B8011" s="12">
        <f ca="1">IFERROR(__xludf.DUMMYFUNCTION("""COMPUTED_VALUE"""),140705)</f>
        <v>140705</v>
      </c>
      <c r="C8011" s="14">
        <f ca="1">IFERROR(__xludf.DUMMYFUNCTION("""COMPUTED_VALUE"""),0)</f>
        <v>0</v>
      </c>
      <c r="D8011" s="12" t="str">
        <f ca="1">IFERROR(__xludf.DUMMYFUNCTION("""COMPUTED_VALUE"""),"大木 優香")</f>
        <v>大木 優香</v>
      </c>
    </row>
    <row r="8012" spans="2:4" ht="13">
      <c r="B8012" s="12">
        <f ca="1">IFERROR(__xludf.DUMMYFUNCTION("""COMPUTED_VALUE"""),140706)</f>
        <v>140706</v>
      </c>
      <c r="C8012" s="14">
        <f ca="1">IFERROR(__xludf.DUMMYFUNCTION("""COMPUTED_VALUE"""),0)</f>
        <v>0</v>
      </c>
      <c r="D8012" s="12" t="str">
        <f ca="1">IFERROR(__xludf.DUMMYFUNCTION("""COMPUTED_VALUE"""),"大木 優香")</f>
        <v>大木 優香</v>
      </c>
    </row>
    <row r="8013" spans="2:4" ht="13">
      <c r="B8013" s="12">
        <f ca="1">IFERROR(__xludf.DUMMYFUNCTION("""COMPUTED_VALUE"""),140707)</f>
        <v>140707</v>
      </c>
      <c r="C8013" s="14">
        <f ca="1">IFERROR(__xludf.DUMMYFUNCTION("""COMPUTED_VALUE"""),0)</f>
        <v>0</v>
      </c>
      <c r="D8013" s="12" t="str">
        <f ca="1">IFERROR(__xludf.DUMMYFUNCTION("""COMPUTED_VALUE"""),"大木 優香")</f>
        <v>大木 優香</v>
      </c>
    </row>
    <row r="8014" spans="2:4" ht="13">
      <c r="B8014" s="12">
        <f ca="1">IFERROR(__xludf.DUMMYFUNCTION("""COMPUTED_VALUE"""),140708)</f>
        <v>140708</v>
      </c>
      <c r="C8014" s="14">
        <f ca="1">IFERROR(__xludf.DUMMYFUNCTION("""COMPUTED_VALUE"""),0)</f>
        <v>0</v>
      </c>
      <c r="D8014" s="12" t="str">
        <f ca="1">IFERROR(__xludf.DUMMYFUNCTION("""COMPUTED_VALUE"""),"大木 優香")</f>
        <v>大木 優香</v>
      </c>
    </row>
    <row r="8015" spans="2:4" ht="13">
      <c r="B8015" s="12">
        <f ca="1">IFERROR(__xludf.DUMMYFUNCTION("""COMPUTED_VALUE"""),140709)</f>
        <v>140709</v>
      </c>
      <c r="C8015" s="14">
        <f ca="1">IFERROR(__xludf.DUMMYFUNCTION("""COMPUTED_VALUE"""),0)</f>
        <v>0</v>
      </c>
      <c r="D8015" s="12" t="str">
        <f ca="1">IFERROR(__xludf.DUMMYFUNCTION("""COMPUTED_VALUE"""),"大木 優香")</f>
        <v>大木 優香</v>
      </c>
    </row>
    <row r="8016" spans="2:4" ht="13">
      <c r="B8016" s="12">
        <f ca="1">IFERROR(__xludf.DUMMYFUNCTION("""COMPUTED_VALUE"""),140710)</f>
        <v>140710</v>
      </c>
      <c r="C8016" s="14">
        <f ca="1">IFERROR(__xludf.DUMMYFUNCTION("""COMPUTED_VALUE"""),0)</f>
        <v>0</v>
      </c>
      <c r="D8016" s="12" t="str">
        <f ca="1">IFERROR(__xludf.DUMMYFUNCTION("""COMPUTED_VALUE"""),"大木 優香")</f>
        <v>大木 優香</v>
      </c>
    </row>
    <row r="8017" spans="2:4" ht="13">
      <c r="B8017" s="12">
        <f ca="1">IFERROR(__xludf.DUMMYFUNCTION("""COMPUTED_VALUE"""),140711)</f>
        <v>140711</v>
      </c>
      <c r="C8017" s="14">
        <f ca="1">IFERROR(__xludf.DUMMYFUNCTION("""COMPUTED_VALUE"""),0)</f>
        <v>0</v>
      </c>
      <c r="D8017" s="12" t="str">
        <f ca="1">IFERROR(__xludf.DUMMYFUNCTION("""COMPUTED_VALUE"""),"大木 優香")</f>
        <v>大木 優香</v>
      </c>
    </row>
    <row r="8018" spans="2:4" ht="13">
      <c r="B8018" s="12">
        <f ca="1">IFERROR(__xludf.DUMMYFUNCTION("""COMPUTED_VALUE"""),140712)</f>
        <v>140712</v>
      </c>
      <c r="C8018" s="14">
        <f ca="1">IFERROR(__xludf.DUMMYFUNCTION("""COMPUTED_VALUE"""),0)</f>
        <v>0</v>
      </c>
      <c r="D8018" s="12" t="str">
        <f ca="1">IFERROR(__xludf.DUMMYFUNCTION("""COMPUTED_VALUE"""),"大木 優香")</f>
        <v>大木 優香</v>
      </c>
    </row>
    <row r="8019" spans="2:4" ht="13">
      <c r="B8019" s="12">
        <f ca="1">IFERROR(__xludf.DUMMYFUNCTION("""COMPUTED_VALUE"""),140713)</f>
        <v>140713</v>
      </c>
      <c r="C8019" s="14">
        <f ca="1">IFERROR(__xludf.DUMMYFUNCTION("""COMPUTED_VALUE"""),0)</f>
        <v>0</v>
      </c>
      <c r="D8019" s="12" t="str">
        <f ca="1">IFERROR(__xludf.DUMMYFUNCTION("""COMPUTED_VALUE"""),"大木 優香")</f>
        <v>大木 優香</v>
      </c>
    </row>
    <row r="8020" spans="2:4" ht="13">
      <c r="B8020" s="12">
        <f ca="1">IFERROR(__xludf.DUMMYFUNCTION("""COMPUTED_VALUE"""),140714)</f>
        <v>140714</v>
      </c>
      <c r="C8020" s="14">
        <f ca="1">IFERROR(__xludf.DUMMYFUNCTION("""COMPUTED_VALUE"""),0)</f>
        <v>0</v>
      </c>
      <c r="D8020" s="12" t="str">
        <f ca="1">IFERROR(__xludf.DUMMYFUNCTION("""COMPUTED_VALUE"""),"大木 優香")</f>
        <v>大木 優香</v>
      </c>
    </row>
    <row r="8021" spans="2:4" ht="13">
      <c r="B8021" s="12">
        <f ca="1">IFERROR(__xludf.DUMMYFUNCTION("""COMPUTED_VALUE"""),140715)</f>
        <v>140715</v>
      </c>
      <c r="C8021" s="14">
        <f ca="1">IFERROR(__xludf.DUMMYFUNCTION("""COMPUTED_VALUE"""),0)</f>
        <v>0</v>
      </c>
      <c r="D8021" s="12" t="str">
        <f ca="1">IFERROR(__xludf.DUMMYFUNCTION("""COMPUTED_VALUE"""),"大木 優香")</f>
        <v>大木 優香</v>
      </c>
    </row>
    <row r="8022" spans="2:4" ht="13">
      <c r="B8022" s="12">
        <f ca="1">IFERROR(__xludf.DUMMYFUNCTION("""COMPUTED_VALUE"""),140716)</f>
        <v>140716</v>
      </c>
      <c r="C8022" s="14">
        <f ca="1">IFERROR(__xludf.DUMMYFUNCTION("""COMPUTED_VALUE"""),0)</f>
        <v>0</v>
      </c>
      <c r="D8022" s="12" t="str">
        <f ca="1">IFERROR(__xludf.DUMMYFUNCTION("""COMPUTED_VALUE"""),"大木 優香")</f>
        <v>大木 優香</v>
      </c>
    </row>
    <row r="8023" spans="2:4" ht="13">
      <c r="B8023" s="12">
        <f ca="1">IFERROR(__xludf.DUMMYFUNCTION("""COMPUTED_VALUE"""),140717)</f>
        <v>140717</v>
      </c>
      <c r="C8023" s="14">
        <f ca="1">IFERROR(__xludf.DUMMYFUNCTION("""COMPUTED_VALUE"""),0)</f>
        <v>0</v>
      </c>
      <c r="D8023" s="12" t="str">
        <f ca="1">IFERROR(__xludf.DUMMYFUNCTION("""COMPUTED_VALUE"""),"大木 優香")</f>
        <v>大木 優香</v>
      </c>
    </row>
    <row r="8024" spans="2:4" ht="13">
      <c r="B8024" s="12">
        <f ca="1">IFERROR(__xludf.DUMMYFUNCTION("""COMPUTED_VALUE"""),140718)</f>
        <v>140718</v>
      </c>
      <c r="C8024" s="14">
        <f ca="1">IFERROR(__xludf.DUMMYFUNCTION("""COMPUTED_VALUE"""),0)</f>
        <v>0</v>
      </c>
      <c r="D8024" s="12" t="str">
        <f ca="1">IFERROR(__xludf.DUMMYFUNCTION("""COMPUTED_VALUE"""),"大木 優香")</f>
        <v>大木 優香</v>
      </c>
    </row>
    <row r="8025" spans="2:4" ht="13">
      <c r="B8025" s="12">
        <f ca="1">IFERROR(__xludf.DUMMYFUNCTION("""COMPUTED_VALUE"""),140719)</f>
        <v>140719</v>
      </c>
      <c r="C8025" s="14">
        <f ca="1">IFERROR(__xludf.DUMMYFUNCTION("""COMPUTED_VALUE"""),0)</f>
        <v>0</v>
      </c>
      <c r="D8025" s="12" t="str">
        <f ca="1">IFERROR(__xludf.DUMMYFUNCTION("""COMPUTED_VALUE"""),"大木 優香")</f>
        <v>大木 優香</v>
      </c>
    </row>
    <row r="8026" spans="2:4" ht="13">
      <c r="B8026" s="12">
        <f ca="1">IFERROR(__xludf.DUMMYFUNCTION("""COMPUTED_VALUE"""),140720)</f>
        <v>140720</v>
      </c>
      <c r="C8026" s="14">
        <f ca="1">IFERROR(__xludf.DUMMYFUNCTION("""COMPUTED_VALUE"""),0)</f>
        <v>0</v>
      </c>
      <c r="D8026" s="12" t="str">
        <f ca="1">IFERROR(__xludf.DUMMYFUNCTION("""COMPUTED_VALUE"""),"大木 優香")</f>
        <v>大木 優香</v>
      </c>
    </row>
    <row r="8027" spans="2:4" ht="13">
      <c r="B8027" s="12">
        <f ca="1">IFERROR(__xludf.DUMMYFUNCTION("""COMPUTED_VALUE"""),140723)</f>
        <v>140723</v>
      </c>
      <c r="C8027" s="14">
        <f ca="1">IFERROR(__xludf.DUMMYFUNCTION("""COMPUTED_VALUE"""),0)</f>
        <v>0</v>
      </c>
      <c r="D8027" s="12" t="str">
        <f ca="1">IFERROR(__xludf.DUMMYFUNCTION("""COMPUTED_VALUE"""),"大木 優香")</f>
        <v>大木 優香</v>
      </c>
    </row>
    <row r="8028" spans="2:4" ht="13">
      <c r="B8028" s="12">
        <f ca="1">IFERROR(__xludf.DUMMYFUNCTION("""COMPUTED_VALUE"""),140724)</f>
        <v>140724</v>
      </c>
      <c r="C8028" s="14">
        <f ca="1">IFERROR(__xludf.DUMMYFUNCTION("""COMPUTED_VALUE"""),0)</f>
        <v>0</v>
      </c>
      <c r="D8028" s="12" t="str">
        <f ca="1">IFERROR(__xludf.DUMMYFUNCTION("""COMPUTED_VALUE"""),"大木 優香")</f>
        <v>大木 優香</v>
      </c>
    </row>
    <row r="8029" spans="2:4" ht="13">
      <c r="B8029" s="12">
        <f ca="1">IFERROR(__xludf.DUMMYFUNCTION("""COMPUTED_VALUE"""),140725)</f>
        <v>140725</v>
      </c>
      <c r="C8029" s="14">
        <f ca="1">IFERROR(__xludf.DUMMYFUNCTION("""COMPUTED_VALUE"""),0)</f>
        <v>0</v>
      </c>
      <c r="D8029" s="12" t="str">
        <f ca="1">IFERROR(__xludf.DUMMYFUNCTION("""COMPUTED_VALUE"""),"大木 優香")</f>
        <v>大木 優香</v>
      </c>
    </row>
    <row r="8030" spans="2:4" ht="13">
      <c r="B8030" s="12">
        <f ca="1">IFERROR(__xludf.DUMMYFUNCTION("""COMPUTED_VALUE"""),140726)</f>
        <v>140726</v>
      </c>
      <c r="C8030" s="14">
        <f ca="1">IFERROR(__xludf.DUMMYFUNCTION("""COMPUTED_VALUE"""),0)</f>
        <v>0</v>
      </c>
      <c r="D8030" s="12" t="str">
        <f ca="1">IFERROR(__xludf.DUMMYFUNCTION("""COMPUTED_VALUE"""),"大木 優香")</f>
        <v>大木 優香</v>
      </c>
    </row>
    <row r="8031" spans="2:4" ht="13">
      <c r="B8031" s="12">
        <f ca="1">IFERROR(__xludf.DUMMYFUNCTION("""COMPUTED_VALUE"""),140727)</f>
        <v>140727</v>
      </c>
      <c r="C8031" s="14">
        <f ca="1">IFERROR(__xludf.DUMMYFUNCTION("""COMPUTED_VALUE"""),0)</f>
        <v>0</v>
      </c>
      <c r="D8031" s="12" t="str">
        <f ca="1">IFERROR(__xludf.DUMMYFUNCTION("""COMPUTED_VALUE"""),"大木 優香")</f>
        <v>大木 優香</v>
      </c>
    </row>
    <row r="8032" spans="2:4" ht="13">
      <c r="B8032" s="12">
        <f ca="1">IFERROR(__xludf.DUMMYFUNCTION("""COMPUTED_VALUE"""),140728)</f>
        <v>140728</v>
      </c>
      <c r="C8032" s="14">
        <f ca="1">IFERROR(__xludf.DUMMYFUNCTION("""COMPUTED_VALUE"""),0)</f>
        <v>0</v>
      </c>
      <c r="D8032" s="12" t="str">
        <f ca="1">IFERROR(__xludf.DUMMYFUNCTION("""COMPUTED_VALUE"""),"大木 優香")</f>
        <v>大木 優香</v>
      </c>
    </row>
    <row r="8033" spans="2:4" ht="13">
      <c r="B8033" s="12">
        <f ca="1">IFERROR(__xludf.DUMMYFUNCTION("""COMPUTED_VALUE"""),140729)</f>
        <v>140729</v>
      </c>
      <c r="C8033" s="14">
        <f ca="1">IFERROR(__xludf.DUMMYFUNCTION("""COMPUTED_VALUE"""),0)</f>
        <v>0</v>
      </c>
      <c r="D8033" s="12" t="str">
        <f ca="1">IFERROR(__xludf.DUMMYFUNCTION("""COMPUTED_VALUE"""),"大木 優香")</f>
        <v>大木 優香</v>
      </c>
    </row>
    <row r="8034" spans="2:4" ht="13">
      <c r="B8034" s="12">
        <f ca="1">IFERROR(__xludf.DUMMYFUNCTION("""COMPUTED_VALUE"""),140730)</f>
        <v>140730</v>
      </c>
      <c r="C8034" s="14">
        <f ca="1">IFERROR(__xludf.DUMMYFUNCTION("""COMPUTED_VALUE"""),0)</f>
        <v>0</v>
      </c>
      <c r="D8034" s="12" t="str">
        <f ca="1">IFERROR(__xludf.DUMMYFUNCTION("""COMPUTED_VALUE"""),"大木 優香")</f>
        <v>大木 優香</v>
      </c>
    </row>
    <row r="8035" spans="2:4" ht="13">
      <c r="B8035" s="12">
        <f ca="1">IFERROR(__xludf.DUMMYFUNCTION("""COMPUTED_VALUE"""),140731)</f>
        <v>140731</v>
      </c>
      <c r="C8035" s="14">
        <f ca="1">IFERROR(__xludf.DUMMYFUNCTION("""COMPUTED_VALUE"""),0)</f>
        <v>0</v>
      </c>
      <c r="D8035" s="12" t="str">
        <f ca="1">IFERROR(__xludf.DUMMYFUNCTION("""COMPUTED_VALUE"""),"大木 優香")</f>
        <v>大木 優香</v>
      </c>
    </row>
    <row r="8036" spans="2:4" ht="13">
      <c r="B8036" s="12">
        <f ca="1">IFERROR(__xludf.DUMMYFUNCTION("""COMPUTED_VALUE"""),140732)</f>
        <v>140732</v>
      </c>
      <c r="C8036" s="14">
        <f ca="1">IFERROR(__xludf.DUMMYFUNCTION("""COMPUTED_VALUE"""),0)</f>
        <v>0</v>
      </c>
      <c r="D8036" s="12" t="str">
        <f ca="1">IFERROR(__xludf.DUMMYFUNCTION("""COMPUTED_VALUE"""),"大木 優香")</f>
        <v>大木 優香</v>
      </c>
    </row>
    <row r="8037" spans="2:4" ht="13">
      <c r="B8037" s="12">
        <f ca="1">IFERROR(__xludf.DUMMYFUNCTION("""COMPUTED_VALUE"""),140733)</f>
        <v>140733</v>
      </c>
      <c r="C8037" s="14">
        <f ca="1">IFERROR(__xludf.DUMMYFUNCTION("""COMPUTED_VALUE"""),0)</f>
        <v>0</v>
      </c>
      <c r="D8037" s="12" t="str">
        <f ca="1">IFERROR(__xludf.DUMMYFUNCTION("""COMPUTED_VALUE"""),"大木 優香")</f>
        <v>大木 優香</v>
      </c>
    </row>
    <row r="8038" spans="2:4" ht="13">
      <c r="B8038" s="12">
        <f ca="1">IFERROR(__xludf.DUMMYFUNCTION("""COMPUTED_VALUE"""),140734)</f>
        <v>140734</v>
      </c>
      <c r="C8038" s="14">
        <f ca="1">IFERROR(__xludf.DUMMYFUNCTION("""COMPUTED_VALUE"""),0)</f>
        <v>0</v>
      </c>
      <c r="D8038" s="12" t="str">
        <f ca="1">IFERROR(__xludf.DUMMYFUNCTION("""COMPUTED_VALUE"""),"大木 優香")</f>
        <v>大木 優香</v>
      </c>
    </row>
    <row r="8039" spans="2:4" ht="13">
      <c r="B8039" s="12">
        <f ca="1">IFERROR(__xludf.DUMMYFUNCTION("""COMPUTED_VALUE"""),140735)</f>
        <v>140735</v>
      </c>
      <c r="C8039" s="14">
        <f ca="1">IFERROR(__xludf.DUMMYFUNCTION("""COMPUTED_VALUE"""),0)</f>
        <v>0</v>
      </c>
      <c r="D8039" s="12" t="str">
        <f ca="1">IFERROR(__xludf.DUMMYFUNCTION("""COMPUTED_VALUE"""),"大木 優香")</f>
        <v>大木 優香</v>
      </c>
    </row>
    <row r="8040" spans="2:4" ht="13">
      <c r="B8040" s="12">
        <f ca="1">IFERROR(__xludf.DUMMYFUNCTION("""COMPUTED_VALUE"""),140736)</f>
        <v>140736</v>
      </c>
      <c r="C8040" s="14">
        <f ca="1">IFERROR(__xludf.DUMMYFUNCTION("""COMPUTED_VALUE"""),0)</f>
        <v>0</v>
      </c>
      <c r="D8040" s="12" t="str">
        <f ca="1">IFERROR(__xludf.DUMMYFUNCTION("""COMPUTED_VALUE"""),"大木 優香")</f>
        <v>大木 優香</v>
      </c>
    </row>
    <row r="8041" spans="2:4" ht="13">
      <c r="B8041" s="12">
        <f ca="1">IFERROR(__xludf.DUMMYFUNCTION("""COMPUTED_VALUE"""),140737)</f>
        <v>140737</v>
      </c>
      <c r="C8041" s="14">
        <f ca="1">IFERROR(__xludf.DUMMYFUNCTION("""COMPUTED_VALUE"""),0)</f>
        <v>0</v>
      </c>
      <c r="D8041" s="12" t="str">
        <f ca="1">IFERROR(__xludf.DUMMYFUNCTION("""COMPUTED_VALUE"""),"大木 優香")</f>
        <v>大木 優香</v>
      </c>
    </row>
    <row r="8042" spans="2:4" ht="13">
      <c r="B8042" s="12">
        <f ca="1">IFERROR(__xludf.DUMMYFUNCTION("""COMPUTED_VALUE"""),140738)</f>
        <v>140738</v>
      </c>
      <c r="C8042" s="14">
        <f ca="1">IFERROR(__xludf.DUMMYFUNCTION("""COMPUTED_VALUE"""),0)</f>
        <v>0</v>
      </c>
      <c r="D8042" s="12" t="str">
        <f ca="1">IFERROR(__xludf.DUMMYFUNCTION("""COMPUTED_VALUE"""),"大木 優香")</f>
        <v>大木 優香</v>
      </c>
    </row>
    <row r="8043" spans="2:4" ht="13">
      <c r="B8043" s="12">
        <f ca="1">IFERROR(__xludf.DUMMYFUNCTION("""COMPUTED_VALUE"""),140739)</f>
        <v>140739</v>
      </c>
      <c r="C8043" s="14">
        <f ca="1">IFERROR(__xludf.DUMMYFUNCTION("""COMPUTED_VALUE"""),0)</f>
        <v>0</v>
      </c>
      <c r="D8043" s="12" t="str">
        <f ca="1">IFERROR(__xludf.DUMMYFUNCTION("""COMPUTED_VALUE"""),"大木 優香")</f>
        <v>大木 優香</v>
      </c>
    </row>
    <row r="8044" spans="2:4" ht="13">
      <c r="B8044" s="12">
        <f ca="1">IFERROR(__xludf.DUMMYFUNCTION("""COMPUTED_VALUE"""),140740)</f>
        <v>140740</v>
      </c>
      <c r="C8044" s="14">
        <f ca="1">IFERROR(__xludf.DUMMYFUNCTION("""COMPUTED_VALUE"""),0)</f>
        <v>0</v>
      </c>
      <c r="D8044" s="12" t="str">
        <f ca="1">IFERROR(__xludf.DUMMYFUNCTION("""COMPUTED_VALUE"""),"大木 優香")</f>
        <v>大木 優香</v>
      </c>
    </row>
    <row r="8045" spans="2:4" ht="13">
      <c r="B8045" s="12">
        <f ca="1">IFERROR(__xludf.DUMMYFUNCTION("""COMPUTED_VALUE"""),140741)</f>
        <v>140741</v>
      </c>
      <c r="C8045" s="14">
        <f ca="1">IFERROR(__xludf.DUMMYFUNCTION("""COMPUTED_VALUE"""),0)</f>
        <v>0</v>
      </c>
      <c r="D8045" s="12" t="str">
        <f ca="1">IFERROR(__xludf.DUMMYFUNCTION("""COMPUTED_VALUE"""),"大木 優香")</f>
        <v>大木 優香</v>
      </c>
    </row>
    <row r="8046" spans="2:4" ht="13">
      <c r="B8046" s="12">
        <f ca="1">IFERROR(__xludf.DUMMYFUNCTION("""COMPUTED_VALUE"""),140742)</f>
        <v>140742</v>
      </c>
      <c r="C8046" s="14">
        <f ca="1">IFERROR(__xludf.DUMMYFUNCTION("""COMPUTED_VALUE"""),0)</f>
        <v>0</v>
      </c>
      <c r="D8046" s="12" t="str">
        <f ca="1">IFERROR(__xludf.DUMMYFUNCTION("""COMPUTED_VALUE"""),"大木 優香")</f>
        <v>大木 優香</v>
      </c>
    </row>
    <row r="8047" spans="2:4" ht="13">
      <c r="B8047" s="12">
        <f ca="1">IFERROR(__xludf.DUMMYFUNCTION("""COMPUTED_VALUE"""),140743)</f>
        <v>140743</v>
      </c>
      <c r="C8047" s="14">
        <f ca="1">IFERROR(__xludf.DUMMYFUNCTION("""COMPUTED_VALUE"""),0)</f>
        <v>0</v>
      </c>
      <c r="D8047" s="12" t="str">
        <f ca="1">IFERROR(__xludf.DUMMYFUNCTION("""COMPUTED_VALUE"""),"大木 優香")</f>
        <v>大木 優香</v>
      </c>
    </row>
    <row r="8048" spans="2:4" ht="13">
      <c r="B8048" s="12">
        <f ca="1">IFERROR(__xludf.DUMMYFUNCTION("""COMPUTED_VALUE"""),140744)</f>
        <v>140744</v>
      </c>
      <c r="C8048" s="14">
        <f ca="1">IFERROR(__xludf.DUMMYFUNCTION("""COMPUTED_VALUE"""),0)</f>
        <v>0</v>
      </c>
      <c r="D8048" s="12" t="str">
        <f ca="1">IFERROR(__xludf.DUMMYFUNCTION("""COMPUTED_VALUE"""),"大木 優香")</f>
        <v>大木 優香</v>
      </c>
    </row>
    <row r="8049" spans="2:4" ht="13">
      <c r="B8049" s="12">
        <f ca="1">IFERROR(__xludf.DUMMYFUNCTION("""COMPUTED_VALUE"""),140746)</f>
        <v>140746</v>
      </c>
      <c r="C8049" s="14">
        <f ca="1">IFERROR(__xludf.DUMMYFUNCTION("""COMPUTED_VALUE"""),0)</f>
        <v>0</v>
      </c>
      <c r="D8049" s="12" t="str">
        <f ca="1">IFERROR(__xludf.DUMMYFUNCTION("""COMPUTED_VALUE"""),"大木 優香")</f>
        <v>大木 優香</v>
      </c>
    </row>
    <row r="8050" spans="2:4" ht="13">
      <c r="B8050" s="12">
        <f ca="1">IFERROR(__xludf.DUMMYFUNCTION("""COMPUTED_VALUE"""),140747)</f>
        <v>140747</v>
      </c>
      <c r="C8050" s="14">
        <f ca="1">IFERROR(__xludf.DUMMYFUNCTION("""COMPUTED_VALUE"""),0)</f>
        <v>0</v>
      </c>
      <c r="D8050" s="12" t="str">
        <f ca="1">IFERROR(__xludf.DUMMYFUNCTION("""COMPUTED_VALUE"""),"大木 優香")</f>
        <v>大木 優香</v>
      </c>
    </row>
    <row r="8051" spans="2:4" ht="13">
      <c r="B8051" s="12">
        <f ca="1">IFERROR(__xludf.DUMMYFUNCTION("""COMPUTED_VALUE"""),140748)</f>
        <v>140748</v>
      </c>
      <c r="C8051" s="14">
        <f ca="1">IFERROR(__xludf.DUMMYFUNCTION("""COMPUTED_VALUE"""),0)</f>
        <v>0</v>
      </c>
      <c r="D8051" s="12" t="str">
        <f ca="1">IFERROR(__xludf.DUMMYFUNCTION("""COMPUTED_VALUE"""),"大木 優香")</f>
        <v>大木 優香</v>
      </c>
    </row>
    <row r="8052" spans="2:4" ht="13">
      <c r="B8052" s="12">
        <f ca="1">IFERROR(__xludf.DUMMYFUNCTION("""COMPUTED_VALUE"""),140749)</f>
        <v>140749</v>
      </c>
      <c r="C8052" s="14">
        <f ca="1">IFERROR(__xludf.DUMMYFUNCTION("""COMPUTED_VALUE"""),0)</f>
        <v>0</v>
      </c>
      <c r="D8052" s="12" t="str">
        <f ca="1">IFERROR(__xludf.DUMMYFUNCTION("""COMPUTED_VALUE"""),"大木 優香")</f>
        <v>大木 優香</v>
      </c>
    </row>
    <row r="8053" spans="2:4" ht="13">
      <c r="B8053" s="12">
        <f ca="1">IFERROR(__xludf.DUMMYFUNCTION("""COMPUTED_VALUE"""),140750)</f>
        <v>140750</v>
      </c>
      <c r="C8053" s="14">
        <f ca="1">IFERROR(__xludf.DUMMYFUNCTION("""COMPUTED_VALUE"""),0)</f>
        <v>0</v>
      </c>
      <c r="D8053" s="12" t="str">
        <f ca="1">IFERROR(__xludf.DUMMYFUNCTION("""COMPUTED_VALUE"""),"大木 優香")</f>
        <v>大木 優香</v>
      </c>
    </row>
    <row r="8054" spans="2:4" ht="13">
      <c r="B8054" s="12">
        <f ca="1">IFERROR(__xludf.DUMMYFUNCTION("""COMPUTED_VALUE"""),140751)</f>
        <v>140751</v>
      </c>
      <c r="C8054" s="14">
        <f ca="1">IFERROR(__xludf.DUMMYFUNCTION("""COMPUTED_VALUE"""),0)</f>
        <v>0</v>
      </c>
      <c r="D8054" s="12" t="str">
        <f ca="1">IFERROR(__xludf.DUMMYFUNCTION("""COMPUTED_VALUE"""),"大木 優香")</f>
        <v>大木 優香</v>
      </c>
    </row>
    <row r="8055" spans="2:4" ht="13">
      <c r="B8055" s="12">
        <f ca="1">IFERROR(__xludf.DUMMYFUNCTION("""COMPUTED_VALUE"""),140752)</f>
        <v>140752</v>
      </c>
      <c r="C8055" s="14">
        <f ca="1">IFERROR(__xludf.DUMMYFUNCTION("""COMPUTED_VALUE"""),0)</f>
        <v>0</v>
      </c>
      <c r="D8055" s="12" t="str">
        <f ca="1">IFERROR(__xludf.DUMMYFUNCTION("""COMPUTED_VALUE"""),"大木 優香")</f>
        <v>大木 優香</v>
      </c>
    </row>
    <row r="8056" spans="2:4" ht="13">
      <c r="B8056" s="12">
        <f ca="1">IFERROR(__xludf.DUMMYFUNCTION("""COMPUTED_VALUE"""),140753)</f>
        <v>140753</v>
      </c>
      <c r="C8056" s="14">
        <f ca="1">IFERROR(__xludf.DUMMYFUNCTION("""COMPUTED_VALUE"""),0)</f>
        <v>0</v>
      </c>
      <c r="D8056" s="12" t="str">
        <f ca="1">IFERROR(__xludf.DUMMYFUNCTION("""COMPUTED_VALUE"""),"大木 優香")</f>
        <v>大木 優香</v>
      </c>
    </row>
    <row r="8057" spans="2:4" ht="13">
      <c r="B8057" s="12">
        <f ca="1">IFERROR(__xludf.DUMMYFUNCTION("""COMPUTED_VALUE"""),140754)</f>
        <v>140754</v>
      </c>
      <c r="C8057" s="14">
        <f ca="1">IFERROR(__xludf.DUMMYFUNCTION("""COMPUTED_VALUE"""),0)</f>
        <v>0</v>
      </c>
      <c r="D8057" s="12" t="str">
        <f ca="1">IFERROR(__xludf.DUMMYFUNCTION("""COMPUTED_VALUE"""),"大木 優香")</f>
        <v>大木 優香</v>
      </c>
    </row>
    <row r="8058" spans="2:4" ht="13">
      <c r="B8058" s="12">
        <f ca="1">IFERROR(__xludf.DUMMYFUNCTION("""COMPUTED_VALUE"""),140755)</f>
        <v>140755</v>
      </c>
      <c r="C8058" s="14">
        <f ca="1">IFERROR(__xludf.DUMMYFUNCTION("""COMPUTED_VALUE"""),0)</f>
        <v>0</v>
      </c>
      <c r="D8058" s="12" t="str">
        <f ca="1">IFERROR(__xludf.DUMMYFUNCTION("""COMPUTED_VALUE"""),"大木 優香")</f>
        <v>大木 優香</v>
      </c>
    </row>
    <row r="8059" spans="2:4" ht="13">
      <c r="B8059" s="12">
        <f ca="1">IFERROR(__xludf.DUMMYFUNCTION("""COMPUTED_VALUE"""),140756)</f>
        <v>140756</v>
      </c>
      <c r="C8059" s="14">
        <f ca="1">IFERROR(__xludf.DUMMYFUNCTION("""COMPUTED_VALUE"""),0)</f>
        <v>0</v>
      </c>
      <c r="D8059" s="12" t="str">
        <f ca="1">IFERROR(__xludf.DUMMYFUNCTION("""COMPUTED_VALUE"""),"大木 優香")</f>
        <v>大木 優香</v>
      </c>
    </row>
    <row r="8060" spans="2:4" ht="13">
      <c r="B8060" s="12">
        <f ca="1">IFERROR(__xludf.DUMMYFUNCTION("""COMPUTED_VALUE"""),140757)</f>
        <v>140757</v>
      </c>
      <c r="C8060" s="14">
        <f ca="1">IFERROR(__xludf.DUMMYFUNCTION("""COMPUTED_VALUE"""),0)</f>
        <v>0</v>
      </c>
      <c r="D8060" s="12" t="str">
        <f ca="1">IFERROR(__xludf.DUMMYFUNCTION("""COMPUTED_VALUE"""),"大木 優香")</f>
        <v>大木 優香</v>
      </c>
    </row>
    <row r="8061" spans="2:4" ht="13">
      <c r="B8061" s="12">
        <f ca="1">IFERROR(__xludf.DUMMYFUNCTION("""COMPUTED_VALUE"""),140758)</f>
        <v>140758</v>
      </c>
      <c r="C8061" s="14">
        <f ca="1">IFERROR(__xludf.DUMMYFUNCTION("""COMPUTED_VALUE"""),0)</f>
        <v>0</v>
      </c>
      <c r="D8061" s="12" t="str">
        <f ca="1">IFERROR(__xludf.DUMMYFUNCTION("""COMPUTED_VALUE"""),"大木 優香")</f>
        <v>大木 優香</v>
      </c>
    </row>
    <row r="8062" spans="2:4" ht="13">
      <c r="B8062" s="12">
        <f ca="1">IFERROR(__xludf.DUMMYFUNCTION("""COMPUTED_VALUE"""),140759)</f>
        <v>140759</v>
      </c>
      <c r="C8062" s="14">
        <f ca="1">IFERROR(__xludf.DUMMYFUNCTION("""COMPUTED_VALUE"""),0)</f>
        <v>0</v>
      </c>
      <c r="D8062" s="12" t="str">
        <f ca="1">IFERROR(__xludf.DUMMYFUNCTION("""COMPUTED_VALUE"""),"大木 優香")</f>
        <v>大木 優香</v>
      </c>
    </row>
    <row r="8063" spans="2:4" ht="13">
      <c r="B8063" s="12">
        <f ca="1">IFERROR(__xludf.DUMMYFUNCTION("""COMPUTED_VALUE"""),140760)</f>
        <v>140760</v>
      </c>
      <c r="C8063" s="14">
        <f ca="1">IFERROR(__xludf.DUMMYFUNCTION("""COMPUTED_VALUE"""),0)</f>
        <v>0</v>
      </c>
      <c r="D8063" s="12" t="str">
        <f ca="1">IFERROR(__xludf.DUMMYFUNCTION("""COMPUTED_VALUE"""),"大木 優香")</f>
        <v>大木 優香</v>
      </c>
    </row>
    <row r="8064" spans="2:4" ht="13">
      <c r="B8064" s="12">
        <f ca="1">IFERROR(__xludf.DUMMYFUNCTION("""COMPUTED_VALUE"""),140761)</f>
        <v>140761</v>
      </c>
      <c r="C8064" s="14">
        <f ca="1">IFERROR(__xludf.DUMMYFUNCTION("""COMPUTED_VALUE"""),0)</f>
        <v>0</v>
      </c>
      <c r="D8064" s="12" t="str">
        <f ca="1">IFERROR(__xludf.DUMMYFUNCTION("""COMPUTED_VALUE"""),"大木 優香")</f>
        <v>大木 優香</v>
      </c>
    </row>
    <row r="8065" spans="2:4" ht="13">
      <c r="B8065" s="12">
        <f ca="1">IFERROR(__xludf.DUMMYFUNCTION("""COMPUTED_VALUE"""),140762)</f>
        <v>140762</v>
      </c>
      <c r="C8065" s="14">
        <f ca="1">IFERROR(__xludf.DUMMYFUNCTION("""COMPUTED_VALUE"""),0)</f>
        <v>0</v>
      </c>
      <c r="D8065" s="12" t="str">
        <f ca="1">IFERROR(__xludf.DUMMYFUNCTION("""COMPUTED_VALUE"""),"大木 優香")</f>
        <v>大木 優香</v>
      </c>
    </row>
    <row r="8066" spans="2:4" ht="13">
      <c r="B8066" s="12">
        <f ca="1">IFERROR(__xludf.DUMMYFUNCTION("""COMPUTED_VALUE"""),140763)</f>
        <v>140763</v>
      </c>
      <c r="C8066" s="14">
        <f ca="1">IFERROR(__xludf.DUMMYFUNCTION("""COMPUTED_VALUE"""),0)</f>
        <v>0</v>
      </c>
      <c r="D8066" s="12" t="str">
        <f ca="1">IFERROR(__xludf.DUMMYFUNCTION("""COMPUTED_VALUE"""),"大木 優香")</f>
        <v>大木 優香</v>
      </c>
    </row>
    <row r="8067" spans="2:4" ht="13">
      <c r="B8067" s="12">
        <f ca="1">IFERROR(__xludf.DUMMYFUNCTION("""COMPUTED_VALUE"""),140764)</f>
        <v>140764</v>
      </c>
      <c r="C8067" s="14">
        <f ca="1">IFERROR(__xludf.DUMMYFUNCTION("""COMPUTED_VALUE"""),0)</f>
        <v>0</v>
      </c>
      <c r="D8067" s="12" t="str">
        <f ca="1">IFERROR(__xludf.DUMMYFUNCTION("""COMPUTED_VALUE"""),"大木 優香")</f>
        <v>大木 優香</v>
      </c>
    </row>
    <row r="8068" spans="2:4" ht="13">
      <c r="B8068" s="12">
        <f ca="1">IFERROR(__xludf.DUMMYFUNCTION("""COMPUTED_VALUE"""),140765)</f>
        <v>140765</v>
      </c>
      <c r="C8068" s="14">
        <f ca="1">IFERROR(__xludf.DUMMYFUNCTION("""COMPUTED_VALUE"""),0)</f>
        <v>0</v>
      </c>
      <c r="D8068" s="12" t="str">
        <f ca="1">IFERROR(__xludf.DUMMYFUNCTION("""COMPUTED_VALUE"""),"大木 優香")</f>
        <v>大木 優香</v>
      </c>
    </row>
    <row r="8069" spans="2:4" ht="13">
      <c r="B8069" s="12">
        <f ca="1">IFERROR(__xludf.DUMMYFUNCTION("""COMPUTED_VALUE"""),140766)</f>
        <v>140766</v>
      </c>
      <c r="C8069" s="14">
        <f ca="1">IFERROR(__xludf.DUMMYFUNCTION("""COMPUTED_VALUE"""),0)</f>
        <v>0</v>
      </c>
      <c r="D8069" s="12" t="str">
        <f ca="1">IFERROR(__xludf.DUMMYFUNCTION("""COMPUTED_VALUE"""),"大木 優香")</f>
        <v>大木 優香</v>
      </c>
    </row>
    <row r="8070" spans="2:4" ht="13">
      <c r="B8070" s="12">
        <f ca="1">IFERROR(__xludf.DUMMYFUNCTION("""COMPUTED_VALUE"""),140767)</f>
        <v>140767</v>
      </c>
      <c r="C8070" s="14">
        <f ca="1">IFERROR(__xludf.DUMMYFUNCTION("""COMPUTED_VALUE"""),0)</f>
        <v>0</v>
      </c>
      <c r="D8070" s="12" t="str">
        <f ca="1">IFERROR(__xludf.DUMMYFUNCTION("""COMPUTED_VALUE"""),"大木 優香")</f>
        <v>大木 優香</v>
      </c>
    </row>
    <row r="8071" spans="2:4" ht="13">
      <c r="B8071" s="12">
        <f ca="1">IFERROR(__xludf.DUMMYFUNCTION("""COMPUTED_VALUE"""),140768)</f>
        <v>140768</v>
      </c>
      <c r="C8071" s="14">
        <f ca="1">IFERROR(__xludf.DUMMYFUNCTION("""COMPUTED_VALUE"""),0)</f>
        <v>0</v>
      </c>
      <c r="D8071" s="12" t="str">
        <f ca="1">IFERROR(__xludf.DUMMYFUNCTION("""COMPUTED_VALUE"""),"大木 優香")</f>
        <v>大木 優香</v>
      </c>
    </row>
    <row r="8072" spans="2:4" ht="13">
      <c r="B8072" s="12">
        <f ca="1">IFERROR(__xludf.DUMMYFUNCTION("""COMPUTED_VALUE"""),140769)</f>
        <v>140769</v>
      </c>
      <c r="C8072" s="14">
        <f ca="1">IFERROR(__xludf.DUMMYFUNCTION("""COMPUTED_VALUE"""),0)</f>
        <v>0</v>
      </c>
      <c r="D8072" s="12" t="str">
        <f ca="1">IFERROR(__xludf.DUMMYFUNCTION("""COMPUTED_VALUE"""),"大木 優香")</f>
        <v>大木 優香</v>
      </c>
    </row>
    <row r="8073" spans="2:4" ht="13">
      <c r="B8073" s="12">
        <f ca="1">IFERROR(__xludf.DUMMYFUNCTION("""COMPUTED_VALUE"""),140772)</f>
        <v>140772</v>
      </c>
      <c r="C8073" s="14">
        <f ca="1">IFERROR(__xludf.DUMMYFUNCTION("""COMPUTED_VALUE"""),0)</f>
        <v>0</v>
      </c>
      <c r="D8073" s="12" t="str">
        <f ca="1">IFERROR(__xludf.DUMMYFUNCTION("""COMPUTED_VALUE"""),"大木 優香")</f>
        <v>大木 優香</v>
      </c>
    </row>
    <row r="8074" spans="2:4" ht="13">
      <c r="B8074" s="12">
        <f ca="1">IFERROR(__xludf.DUMMYFUNCTION("""COMPUTED_VALUE"""),140773)</f>
        <v>140773</v>
      </c>
      <c r="C8074" s="14">
        <f ca="1">IFERROR(__xludf.DUMMYFUNCTION("""COMPUTED_VALUE"""),0)</f>
        <v>0</v>
      </c>
      <c r="D8074" s="12" t="str">
        <f ca="1">IFERROR(__xludf.DUMMYFUNCTION("""COMPUTED_VALUE"""),"大木 優香")</f>
        <v>大木 優香</v>
      </c>
    </row>
    <row r="8075" spans="2:4" ht="13">
      <c r="B8075" s="12">
        <f ca="1">IFERROR(__xludf.DUMMYFUNCTION("""COMPUTED_VALUE"""),140774)</f>
        <v>140774</v>
      </c>
      <c r="C8075" s="14">
        <f ca="1">IFERROR(__xludf.DUMMYFUNCTION("""COMPUTED_VALUE"""),0)</f>
        <v>0</v>
      </c>
      <c r="D8075" s="12" t="str">
        <f ca="1">IFERROR(__xludf.DUMMYFUNCTION("""COMPUTED_VALUE"""),"大木 優香")</f>
        <v>大木 優香</v>
      </c>
    </row>
    <row r="8076" spans="2:4" ht="13">
      <c r="B8076" s="12">
        <f ca="1">IFERROR(__xludf.DUMMYFUNCTION("""COMPUTED_VALUE"""),140775)</f>
        <v>140775</v>
      </c>
      <c r="C8076" s="14">
        <f ca="1">IFERROR(__xludf.DUMMYFUNCTION("""COMPUTED_VALUE"""),0)</f>
        <v>0</v>
      </c>
      <c r="D8076" s="12" t="str">
        <f ca="1">IFERROR(__xludf.DUMMYFUNCTION("""COMPUTED_VALUE"""),"大木 優香")</f>
        <v>大木 優香</v>
      </c>
    </row>
    <row r="8077" spans="2:4" ht="13">
      <c r="B8077" s="12">
        <f ca="1">IFERROR(__xludf.DUMMYFUNCTION("""COMPUTED_VALUE"""),140776)</f>
        <v>140776</v>
      </c>
      <c r="C8077" s="14">
        <f ca="1">IFERROR(__xludf.DUMMYFUNCTION("""COMPUTED_VALUE"""),0)</f>
        <v>0</v>
      </c>
      <c r="D8077" s="12" t="str">
        <f ca="1">IFERROR(__xludf.DUMMYFUNCTION("""COMPUTED_VALUE"""),"大木 優香")</f>
        <v>大木 優香</v>
      </c>
    </row>
    <row r="8078" spans="2:4" ht="13">
      <c r="B8078" s="12">
        <f ca="1">IFERROR(__xludf.DUMMYFUNCTION("""COMPUTED_VALUE"""),140777)</f>
        <v>140777</v>
      </c>
      <c r="C8078" s="14">
        <f ca="1">IFERROR(__xludf.DUMMYFUNCTION("""COMPUTED_VALUE"""),0)</f>
        <v>0</v>
      </c>
      <c r="D8078" s="12" t="str">
        <f ca="1">IFERROR(__xludf.DUMMYFUNCTION("""COMPUTED_VALUE"""),"大木 優香")</f>
        <v>大木 優香</v>
      </c>
    </row>
    <row r="8079" spans="2:4" ht="13">
      <c r="B8079" s="12">
        <f ca="1">IFERROR(__xludf.DUMMYFUNCTION("""COMPUTED_VALUE"""),140778)</f>
        <v>140778</v>
      </c>
      <c r="C8079" s="14">
        <f ca="1">IFERROR(__xludf.DUMMYFUNCTION("""COMPUTED_VALUE"""),0)</f>
        <v>0</v>
      </c>
      <c r="D8079" s="12" t="str">
        <f ca="1">IFERROR(__xludf.DUMMYFUNCTION("""COMPUTED_VALUE"""),"大木 優香")</f>
        <v>大木 優香</v>
      </c>
    </row>
    <row r="8080" spans="2:4" ht="13">
      <c r="B8080" s="12">
        <f ca="1">IFERROR(__xludf.DUMMYFUNCTION("""COMPUTED_VALUE"""),140779)</f>
        <v>140779</v>
      </c>
      <c r="C8080" s="14">
        <f ca="1">IFERROR(__xludf.DUMMYFUNCTION("""COMPUTED_VALUE"""),0)</f>
        <v>0</v>
      </c>
      <c r="D8080" s="12" t="str">
        <f ca="1">IFERROR(__xludf.DUMMYFUNCTION("""COMPUTED_VALUE"""),"大木 優香")</f>
        <v>大木 優香</v>
      </c>
    </row>
    <row r="8081" spans="2:4" ht="13">
      <c r="B8081" s="12">
        <f ca="1">IFERROR(__xludf.DUMMYFUNCTION("""COMPUTED_VALUE"""),140781)</f>
        <v>140781</v>
      </c>
      <c r="C8081" s="14">
        <f ca="1">IFERROR(__xludf.DUMMYFUNCTION("""COMPUTED_VALUE"""),0)</f>
        <v>0</v>
      </c>
      <c r="D8081" s="12" t="str">
        <f ca="1">IFERROR(__xludf.DUMMYFUNCTION("""COMPUTED_VALUE"""),"大木 優香")</f>
        <v>大木 優香</v>
      </c>
    </row>
    <row r="8082" spans="2:4" ht="13">
      <c r="B8082" s="12">
        <f ca="1">IFERROR(__xludf.DUMMYFUNCTION("""COMPUTED_VALUE"""),140782)</f>
        <v>140782</v>
      </c>
      <c r="C8082" s="14">
        <f ca="1">IFERROR(__xludf.DUMMYFUNCTION("""COMPUTED_VALUE"""),0)</f>
        <v>0</v>
      </c>
      <c r="D8082" s="12" t="str">
        <f ca="1">IFERROR(__xludf.DUMMYFUNCTION("""COMPUTED_VALUE"""),"大木 優香")</f>
        <v>大木 優香</v>
      </c>
    </row>
    <row r="8083" spans="2:4" ht="13">
      <c r="B8083" s="12">
        <f ca="1">IFERROR(__xludf.DUMMYFUNCTION("""COMPUTED_VALUE"""),140783)</f>
        <v>140783</v>
      </c>
      <c r="C8083" s="14">
        <f ca="1">IFERROR(__xludf.DUMMYFUNCTION("""COMPUTED_VALUE"""),0)</f>
        <v>0</v>
      </c>
      <c r="D8083" s="12" t="str">
        <f ca="1">IFERROR(__xludf.DUMMYFUNCTION("""COMPUTED_VALUE"""),"大木 優香")</f>
        <v>大木 優香</v>
      </c>
    </row>
    <row r="8084" spans="2:4" ht="13">
      <c r="B8084" s="12">
        <f ca="1">IFERROR(__xludf.DUMMYFUNCTION("""COMPUTED_VALUE"""),140784)</f>
        <v>140784</v>
      </c>
      <c r="C8084" s="14">
        <f ca="1">IFERROR(__xludf.DUMMYFUNCTION("""COMPUTED_VALUE"""),0)</f>
        <v>0</v>
      </c>
      <c r="D8084" s="12" t="str">
        <f ca="1">IFERROR(__xludf.DUMMYFUNCTION("""COMPUTED_VALUE"""),"大木 優香")</f>
        <v>大木 優香</v>
      </c>
    </row>
    <row r="8085" spans="2:4" ht="13">
      <c r="B8085" s="12">
        <f ca="1">IFERROR(__xludf.DUMMYFUNCTION("""COMPUTED_VALUE"""),140785)</f>
        <v>140785</v>
      </c>
      <c r="C8085" s="14">
        <f ca="1">IFERROR(__xludf.DUMMYFUNCTION("""COMPUTED_VALUE"""),0)</f>
        <v>0</v>
      </c>
      <c r="D8085" s="12" t="str">
        <f ca="1">IFERROR(__xludf.DUMMYFUNCTION("""COMPUTED_VALUE"""),"大木 優香")</f>
        <v>大木 優香</v>
      </c>
    </row>
    <row r="8086" spans="2:4" ht="13">
      <c r="B8086" s="12">
        <f ca="1">IFERROR(__xludf.DUMMYFUNCTION("""COMPUTED_VALUE"""),140786)</f>
        <v>140786</v>
      </c>
      <c r="C8086" s="14">
        <f ca="1">IFERROR(__xludf.DUMMYFUNCTION("""COMPUTED_VALUE"""),0)</f>
        <v>0</v>
      </c>
      <c r="D8086" s="12" t="str">
        <f ca="1">IFERROR(__xludf.DUMMYFUNCTION("""COMPUTED_VALUE"""),"大木 優香")</f>
        <v>大木 優香</v>
      </c>
    </row>
    <row r="8087" spans="2:4" ht="13">
      <c r="B8087" s="12">
        <f ca="1">IFERROR(__xludf.DUMMYFUNCTION("""COMPUTED_VALUE"""),140787)</f>
        <v>140787</v>
      </c>
      <c r="C8087" s="14">
        <f ca="1">IFERROR(__xludf.DUMMYFUNCTION("""COMPUTED_VALUE"""),0)</f>
        <v>0</v>
      </c>
      <c r="D8087" s="12" t="str">
        <f ca="1">IFERROR(__xludf.DUMMYFUNCTION("""COMPUTED_VALUE"""),"大木 優香")</f>
        <v>大木 優香</v>
      </c>
    </row>
    <row r="8088" spans="2:4" ht="13">
      <c r="B8088" s="12">
        <f ca="1">IFERROR(__xludf.DUMMYFUNCTION("""COMPUTED_VALUE"""),140788)</f>
        <v>140788</v>
      </c>
      <c r="C8088" s="14">
        <f ca="1">IFERROR(__xludf.DUMMYFUNCTION("""COMPUTED_VALUE"""),0)</f>
        <v>0</v>
      </c>
      <c r="D8088" s="12" t="str">
        <f ca="1">IFERROR(__xludf.DUMMYFUNCTION("""COMPUTED_VALUE"""),"大木 優香")</f>
        <v>大木 優香</v>
      </c>
    </row>
    <row r="8089" spans="2:4" ht="13">
      <c r="B8089" s="12">
        <f ca="1">IFERROR(__xludf.DUMMYFUNCTION("""COMPUTED_VALUE"""),140789)</f>
        <v>140789</v>
      </c>
      <c r="C8089" s="14">
        <f ca="1">IFERROR(__xludf.DUMMYFUNCTION("""COMPUTED_VALUE"""),0)</f>
        <v>0</v>
      </c>
      <c r="D8089" s="12" t="str">
        <f ca="1">IFERROR(__xludf.DUMMYFUNCTION("""COMPUTED_VALUE"""),"大木 優香")</f>
        <v>大木 優香</v>
      </c>
    </row>
    <row r="8090" spans="2:4" ht="13">
      <c r="B8090" s="12">
        <f ca="1">IFERROR(__xludf.DUMMYFUNCTION("""COMPUTED_VALUE"""),140790)</f>
        <v>140790</v>
      </c>
      <c r="C8090" s="14">
        <f ca="1">IFERROR(__xludf.DUMMYFUNCTION("""COMPUTED_VALUE"""),0)</f>
        <v>0</v>
      </c>
      <c r="D8090" s="12" t="str">
        <f ca="1">IFERROR(__xludf.DUMMYFUNCTION("""COMPUTED_VALUE"""),"大木 優香")</f>
        <v>大木 優香</v>
      </c>
    </row>
    <row r="8091" spans="2:4" ht="13">
      <c r="B8091" s="12">
        <f ca="1">IFERROR(__xludf.DUMMYFUNCTION("""COMPUTED_VALUE"""),140791)</f>
        <v>140791</v>
      </c>
      <c r="C8091" s="14">
        <f ca="1">IFERROR(__xludf.DUMMYFUNCTION("""COMPUTED_VALUE"""),0)</f>
        <v>0</v>
      </c>
      <c r="D8091" s="12" t="str">
        <f ca="1">IFERROR(__xludf.DUMMYFUNCTION("""COMPUTED_VALUE"""),"大木 優香")</f>
        <v>大木 優香</v>
      </c>
    </row>
    <row r="8092" spans="2:4" ht="13">
      <c r="B8092" s="12">
        <f ca="1">IFERROR(__xludf.DUMMYFUNCTION("""COMPUTED_VALUE"""),140792)</f>
        <v>140792</v>
      </c>
      <c r="C8092" s="14">
        <f ca="1">IFERROR(__xludf.DUMMYFUNCTION("""COMPUTED_VALUE"""),0)</f>
        <v>0</v>
      </c>
      <c r="D8092" s="12" t="str">
        <f ca="1">IFERROR(__xludf.DUMMYFUNCTION("""COMPUTED_VALUE"""),"大木 優香")</f>
        <v>大木 優香</v>
      </c>
    </row>
    <row r="8093" spans="2:4" ht="13">
      <c r="B8093" s="12">
        <f ca="1">IFERROR(__xludf.DUMMYFUNCTION("""COMPUTED_VALUE"""),140793)</f>
        <v>140793</v>
      </c>
      <c r="C8093" s="14">
        <f ca="1">IFERROR(__xludf.DUMMYFUNCTION("""COMPUTED_VALUE"""),0)</f>
        <v>0</v>
      </c>
      <c r="D8093" s="12" t="str">
        <f ca="1">IFERROR(__xludf.DUMMYFUNCTION("""COMPUTED_VALUE"""),"大木 優香")</f>
        <v>大木 優香</v>
      </c>
    </row>
    <row r="8094" spans="2:4" ht="13">
      <c r="B8094" s="12">
        <f ca="1">IFERROR(__xludf.DUMMYFUNCTION("""COMPUTED_VALUE"""),140794)</f>
        <v>140794</v>
      </c>
      <c r="C8094" s="14">
        <f ca="1">IFERROR(__xludf.DUMMYFUNCTION("""COMPUTED_VALUE"""),0)</f>
        <v>0</v>
      </c>
      <c r="D8094" s="12" t="str">
        <f ca="1">IFERROR(__xludf.DUMMYFUNCTION("""COMPUTED_VALUE"""),"大木 優香")</f>
        <v>大木 優香</v>
      </c>
    </row>
    <row r="8095" spans="2:4" ht="13">
      <c r="B8095" s="12">
        <f ca="1">IFERROR(__xludf.DUMMYFUNCTION("""COMPUTED_VALUE"""),140795)</f>
        <v>140795</v>
      </c>
      <c r="C8095" s="14">
        <f ca="1">IFERROR(__xludf.DUMMYFUNCTION("""COMPUTED_VALUE"""),0)</f>
        <v>0</v>
      </c>
      <c r="D8095" s="12" t="str">
        <f ca="1">IFERROR(__xludf.DUMMYFUNCTION("""COMPUTED_VALUE"""),"大木 優香")</f>
        <v>大木 優香</v>
      </c>
    </row>
    <row r="8096" spans="2:4" ht="13">
      <c r="B8096" s="12">
        <f ca="1">IFERROR(__xludf.DUMMYFUNCTION("""COMPUTED_VALUE"""),140796)</f>
        <v>140796</v>
      </c>
      <c r="C8096" s="14">
        <f ca="1">IFERROR(__xludf.DUMMYFUNCTION("""COMPUTED_VALUE"""),0)</f>
        <v>0</v>
      </c>
      <c r="D8096" s="12" t="str">
        <f ca="1">IFERROR(__xludf.DUMMYFUNCTION("""COMPUTED_VALUE"""),"大木 優香")</f>
        <v>大木 優香</v>
      </c>
    </row>
    <row r="8097" spans="2:4" ht="13">
      <c r="B8097" s="12">
        <f ca="1">IFERROR(__xludf.DUMMYFUNCTION("""COMPUTED_VALUE"""),140797)</f>
        <v>140797</v>
      </c>
      <c r="C8097" s="14">
        <f ca="1">IFERROR(__xludf.DUMMYFUNCTION("""COMPUTED_VALUE"""),0)</f>
        <v>0</v>
      </c>
      <c r="D8097" s="12" t="str">
        <f ca="1">IFERROR(__xludf.DUMMYFUNCTION("""COMPUTED_VALUE"""),"大木 優香")</f>
        <v>大木 優香</v>
      </c>
    </row>
    <row r="8098" spans="2:4" ht="13">
      <c r="B8098" s="12">
        <f ca="1">IFERROR(__xludf.DUMMYFUNCTION("""COMPUTED_VALUE"""),140798)</f>
        <v>140798</v>
      </c>
      <c r="C8098" s="14">
        <f ca="1">IFERROR(__xludf.DUMMYFUNCTION("""COMPUTED_VALUE"""),0)</f>
        <v>0</v>
      </c>
      <c r="D8098" s="12" t="str">
        <f ca="1">IFERROR(__xludf.DUMMYFUNCTION("""COMPUTED_VALUE"""),"大木 優香")</f>
        <v>大木 優香</v>
      </c>
    </row>
    <row r="8099" spans="2:4" ht="13">
      <c r="B8099" s="12">
        <f ca="1">IFERROR(__xludf.DUMMYFUNCTION("""COMPUTED_VALUE"""),140799)</f>
        <v>140799</v>
      </c>
      <c r="C8099" s="14">
        <f ca="1">IFERROR(__xludf.DUMMYFUNCTION("""COMPUTED_VALUE"""),0)</f>
        <v>0</v>
      </c>
      <c r="D8099" s="12" t="str">
        <f ca="1">IFERROR(__xludf.DUMMYFUNCTION("""COMPUTED_VALUE"""),"大木 優香")</f>
        <v>大木 優香</v>
      </c>
    </row>
    <row r="8100" spans="2:4" ht="13">
      <c r="B8100" s="12">
        <f ca="1">IFERROR(__xludf.DUMMYFUNCTION("""COMPUTED_VALUE"""),140800)</f>
        <v>140800</v>
      </c>
      <c r="C8100" s="14">
        <f ca="1">IFERROR(__xludf.DUMMYFUNCTION("""COMPUTED_VALUE"""),0)</f>
        <v>0</v>
      </c>
      <c r="D8100" s="12" t="str">
        <f ca="1">IFERROR(__xludf.DUMMYFUNCTION("""COMPUTED_VALUE"""),"大木 優香")</f>
        <v>大木 優香</v>
      </c>
    </row>
    <row r="8101" spans="2:4" ht="13">
      <c r="B8101" s="12">
        <f ca="1">IFERROR(__xludf.DUMMYFUNCTION("""COMPUTED_VALUE"""),140801)</f>
        <v>140801</v>
      </c>
      <c r="C8101" s="14">
        <f ca="1">IFERROR(__xludf.DUMMYFUNCTION("""COMPUTED_VALUE"""),0)</f>
        <v>0</v>
      </c>
      <c r="D8101" s="12" t="str">
        <f ca="1">IFERROR(__xludf.DUMMYFUNCTION("""COMPUTED_VALUE"""),"大木 優香")</f>
        <v>大木 優香</v>
      </c>
    </row>
    <row r="8102" spans="2:4" ht="13">
      <c r="B8102" s="12">
        <f ca="1">IFERROR(__xludf.DUMMYFUNCTION("""COMPUTED_VALUE"""),140802)</f>
        <v>140802</v>
      </c>
      <c r="C8102" s="14">
        <f ca="1">IFERROR(__xludf.DUMMYFUNCTION("""COMPUTED_VALUE"""),0)</f>
        <v>0</v>
      </c>
      <c r="D8102" s="12" t="str">
        <f ca="1">IFERROR(__xludf.DUMMYFUNCTION("""COMPUTED_VALUE"""),"大木 優香")</f>
        <v>大木 優香</v>
      </c>
    </row>
    <row r="8103" spans="2:4" ht="13">
      <c r="B8103" s="12">
        <f ca="1">IFERROR(__xludf.DUMMYFUNCTION("""COMPUTED_VALUE"""),140803)</f>
        <v>140803</v>
      </c>
      <c r="C8103" s="14">
        <f ca="1">IFERROR(__xludf.DUMMYFUNCTION("""COMPUTED_VALUE"""),0)</f>
        <v>0</v>
      </c>
      <c r="D8103" s="12" t="str">
        <f ca="1">IFERROR(__xludf.DUMMYFUNCTION("""COMPUTED_VALUE"""),"大木 優香")</f>
        <v>大木 優香</v>
      </c>
    </row>
    <row r="8104" spans="2:4" ht="13">
      <c r="B8104" s="12">
        <f ca="1">IFERROR(__xludf.DUMMYFUNCTION("""COMPUTED_VALUE"""),140804)</f>
        <v>140804</v>
      </c>
      <c r="C8104" s="14">
        <f ca="1">IFERROR(__xludf.DUMMYFUNCTION("""COMPUTED_VALUE"""),0)</f>
        <v>0</v>
      </c>
      <c r="D8104" s="12" t="str">
        <f ca="1">IFERROR(__xludf.DUMMYFUNCTION("""COMPUTED_VALUE"""),"大木 優香")</f>
        <v>大木 優香</v>
      </c>
    </row>
    <row r="8105" spans="2:4" ht="13">
      <c r="B8105" s="12">
        <f ca="1">IFERROR(__xludf.DUMMYFUNCTION("""COMPUTED_VALUE"""),140805)</f>
        <v>140805</v>
      </c>
      <c r="C8105" s="14">
        <f ca="1">IFERROR(__xludf.DUMMYFUNCTION("""COMPUTED_VALUE"""),0)</f>
        <v>0</v>
      </c>
      <c r="D8105" s="12" t="str">
        <f ca="1">IFERROR(__xludf.DUMMYFUNCTION("""COMPUTED_VALUE"""),"大木 優香")</f>
        <v>大木 優香</v>
      </c>
    </row>
    <row r="8106" spans="2:4" ht="13">
      <c r="B8106" s="12">
        <f ca="1">IFERROR(__xludf.DUMMYFUNCTION("""COMPUTED_VALUE"""),140806)</f>
        <v>140806</v>
      </c>
      <c r="C8106" s="14">
        <f ca="1">IFERROR(__xludf.DUMMYFUNCTION("""COMPUTED_VALUE"""),0)</f>
        <v>0</v>
      </c>
      <c r="D8106" s="12" t="str">
        <f ca="1">IFERROR(__xludf.DUMMYFUNCTION("""COMPUTED_VALUE"""),"大木 優香")</f>
        <v>大木 優香</v>
      </c>
    </row>
    <row r="8107" spans="2:4" ht="13">
      <c r="B8107" s="12">
        <f ca="1">IFERROR(__xludf.DUMMYFUNCTION("""COMPUTED_VALUE"""),140807)</f>
        <v>140807</v>
      </c>
      <c r="C8107" s="14">
        <f ca="1">IFERROR(__xludf.DUMMYFUNCTION("""COMPUTED_VALUE"""),0)</f>
        <v>0</v>
      </c>
      <c r="D8107" s="12" t="str">
        <f ca="1">IFERROR(__xludf.DUMMYFUNCTION("""COMPUTED_VALUE"""),"大木 優香")</f>
        <v>大木 優香</v>
      </c>
    </row>
    <row r="8108" spans="2:4" ht="13">
      <c r="B8108" s="12">
        <f ca="1">IFERROR(__xludf.DUMMYFUNCTION("""COMPUTED_VALUE"""),140808)</f>
        <v>140808</v>
      </c>
      <c r="C8108" s="14">
        <f ca="1">IFERROR(__xludf.DUMMYFUNCTION("""COMPUTED_VALUE"""),0)</f>
        <v>0</v>
      </c>
      <c r="D8108" s="12" t="str">
        <f ca="1">IFERROR(__xludf.DUMMYFUNCTION("""COMPUTED_VALUE"""),"大木 優香")</f>
        <v>大木 優香</v>
      </c>
    </row>
    <row r="8109" spans="2:4" ht="13">
      <c r="B8109" s="12">
        <f ca="1">IFERROR(__xludf.DUMMYFUNCTION("""COMPUTED_VALUE"""),140809)</f>
        <v>140809</v>
      </c>
      <c r="C8109" s="14">
        <f ca="1">IFERROR(__xludf.DUMMYFUNCTION("""COMPUTED_VALUE"""),0)</f>
        <v>0</v>
      </c>
      <c r="D8109" s="12" t="str">
        <f ca="1">IFERROR(__xludf.DUMMYFUNCTION("""COMPUTED_VALUE"""),"大木 優香")</f>
        <v>大木 優香</v>
      </c>
    </row>
    <row r="8110" spans="2:4" ht="13">
      <c r="B8110" s="12">
        <f ca="1">IFERROR(__xludf.DUMMYFUNCTION("""COMPUTED_VALUE"""),140810)</f>
        <v>140810</v>
      </c>
      <c r="C8110" s="14">
        <f ca="1">IFERROR(__xludf.DUMMYFUNCTION("""COMPUTED_VALUE"""),0)</f>
        <v>0</v>
      </c>
      <c r="D8110" s="12" t="str">
        <f ca="1">IFERROR(__xludf.DUMMYFUNCTION("""COMPUTED_VALUE"""),"大木 優香")</f>
        <v>大木 優香</v>
      </c>
    </row>
    <row r="8111" spans="2:4" ht="13">
      <c r="B8111" s="12">
        <f ca="1">IFERROR(__xludf.DUMMYFUNCTION("""COMPUTED_VALUE"""),140811)</f>
        <v>140811</v>
      </c>
      <c r="C8111" s="14">
        <f ca="1">IFERROR(__xludf.DUMMYFUNCTION("""COMPUTED_VALUE"""),0)</f>
        <v>0</v>
      </c>
      <c r="D8111" s="12" t="str">
        <f ca="1">IFERROR(__xludf.DUMMYFUNCTION("""COMPUTED_VALUE"""),"大木 優香")</f>
        <v>大木 優香</v>
      </c>
    </row>
    <row r="8112" spans="2:4" ht="13">
      <c r="B8112" s="12">
        <f ca="1">IFERROR(__xludf.DUMMYFUNCTION("""COMPUTED_VALUE"""),140812)</f>
        <v>140812</v>
      </c>
      <c r="C8112" s="14">
        <f ca="1">IFERROR(__xludf.DUMMYFUNCTION("""COMPUTED_VALUE"""),0)</f>
        <v>0</v>
      </c>
      <c r="D8112" s="12" t="str">
        <f ca="1">IFERROR(__xludf.DUMMYFUNCTION("""COMPUTED_VALUE"""),"大木 優香")</f>
        <v>大木 優香</v>
      </c>
    </row>
    <row r="8113" spans="2:4" ht="13">
      <c r="B8113" s="12">
        <f ca="1">IFERROR(__xludf.DUMMYFUNCTION("""COMPUTED_VALUE"""),140813)</f>
        <v>140813</v>
      </c>
      <c r="C8113" s="14">
        <f ca="1">IFERROR(__xludf.DUMMYFUNCTION("""COMPUTED_VALUE"""),0)</f>
        <v>0</v>
      </c>
      <c r="D8113" s="12" t="str">
        <f ca="1">IFERROR(__xludf.DUMMYFUNCTION("""COMPUTED_VALUE"""),"大木 優香")</f>
        <v>大木 優香</v>
      </c>
    </row>
    <row r="8114" spans="2:4" ht="13">
      <c r="B8114" s="12">
        <f ca="1">IFERROR(__xludf.DUMMYFUNCTION("""COMPUTED_VALUE"""),140814)</f>
        <v>140814</v>
      </c>
      <c r="C8114" s="14">
        <f ca="1">IFERROR(__xludf.DUMMYFUNCTION("""COMPUTED_VALUE"""),0)</f>
        <v>0</v>
      </c>
      <c r="D8114" s="12" t="str">
        <f ca="1">IFERROR(__xludf.DUMMYFUNCTION("""COMPUTED_VALUE"""),"大木 優香")</f>
        <v>大木 優香</v>
      </c>
    </row>
    <row r="8115" spans="2:4" ht="13">
      <c r="B8115" s="12">
        <f ca="1">IFERROR(__xludf.DUMMYFUNCTION("""COMPUTED_VALUE"""),140815)</f>
        <v>140815</v>
      </c>
      <c r="C8115" s="14">
        <f ca="1">IFERROR(__xludf.DUMMYFUNCTION("""COMPUTED_VALUE"""),0)</f>
        <v>0</v>
      </c>
      <c r="D8115" s="12" t="str">
        <f ca="1">IFERROR(__xludf.DUMMYFUNCTION("""COMPUTED_VALUE"""),"大木 優香")</f>
        <v>大木 優香</v>
      </c>
    </row>
    <row r="8116" spans="2:4" ht="13">
      <c r="B8116" s="12">
        <f ca="1">IFERROR(__xludf.DUMMYFUNCTION("""COMPUTED_VALUE"""),140816)</f>
        <v>140816</v>
      </c>
      <c r="C8116" s="14">
        <f ca="1">IFERROR(__xludf.DUMMYFUNCTION("""COMPUTED_VALUE"""),0)</f>
        <v>0</v>
      </c>
      <c r="D8116" s="12" t="str">
        <f ca="1">IFERROR(__xludf.DUMMYFUNCTION("""COMPUTED_VALUE"""),"大木 優香")</f>
        <v>大木 優香</v>
      </c>
    </row>
    <row r="8117" spans="2:4" ht="13">
      <c r="B8117" s="12">
        <f ca="1">IFERROR(__xludf.DUMMYFUNCTION("""COMPUTED_VALUE"""),140817)</f>
        <v>140817</v>
      </c>
      <c r="C8117" s="14">
        <f ca="1">IFERROR(__xludf.DUMMYFUNCTION("""COMPUTED_VALUE"""),0)</f>
        <v>0</v>
      </c>
      <c r="D8117" s="12" t="str">
        <f ca="1">IFERROR(__xludf.DUMMYFUNCTION("""COMPUTED_VALUE"""),"大木 優香")</f>
        <v>大木 優香</v>
      </c>
    </row>
    <row r="8118" spans="2:4" ht="13">
      <c r="B8118" s="12">
        <f ca="1">IFERROR(__xludf.DUMMYFUNCTION("""COMPUTED_VALUE"""),140818)</f>
        <v>140818</v>
      </c>
      <c r="C8118" s="14">
        <f ca="1">IFERROR(__xludf.DUMMYFUNCTION("""COMPUTED_VALUE"""),0)</f>
        <v>0</v>
      </c>
      <c r="D8118" s="12" t="str">
        <f ca="1">IFERROR(__xludf.DUMMYFUNCTION("""COMPUTED_VALUE"""),"大木 優香")</f>
        <v>大木 優香</v>
      </c>
    </row>
    <row r="8119" spans="2:4" ht="13">
      <c r="B8119" s="12">
        <f ca="1">IFERROR(__xludf.DUMMYFUNCTION("""COMPUTED_VALUE"""),140819)</f>
        <v>140819</v>
      </c>
      <c r="C8119" s="14">
        <f ca="1">IFERROR(__xludf.DUMMYFUNCTION("""COMPUTED_VALUE"""),0)</f>
        <v>0</v>
      </c>
      <c r="D8119" s="12" t="str">
        <f ca="1">IFERROR(__xludf.DUMMYFUNCTION("""COMPUTED_VALUE"""),"大木 優香")</f>
        <v>大木 優香</v>
      </c>
    </row>
    <row r="8120" spans="2:4" ht="13">
      <c r="B8120" s="12">
        <f ca="1">IFERROR(__xludf.DUMMYFUNCTION("""COMPUTED_VALUE"""),140820)</f>
        <v>140820</v>
      </c>
      <c r="C8120" s="14">
        <f ca="1">IFERROR(__xludf.DUMMYFUNCTION("""COMPUTED_VALUE"""),0)</f>
        <v>0</v>
      </c>
      <c r="D8120" s="12" t="str">
        <f ca="1">IFERROR(__xludf.DUMMYFUNCTION("""COMPUTED_VALUE"""),"大木 優香")</f>
        <v>大木 優香</v>
      </c>
    </row>
    <row r="8121" spans="2:4" ht="13">
      <c r="B8121" s="12">
        <f ca="1">IFERROR(__xludf.DUMMYFUNCTION("""COMPUTED_VALUE"""),140821)</f>
        <v>140821</v>
      </c>
      <c r="C8121" s="14">
        <f ca="1">IFERROR(__xludf.DUMMYFUNCTION("""COMPUTED_VALUE"""),0)</f>
        <v>0</v>
      </c>
      <c r="D8121" s="12" t="str">
        <f ca="1">IFERROR(__xludf.DUMMYFUNCTION("""COMPUTED_VALUE"""),"大木 優香")</f>
        <v>大木 優香</v>
      </c>
    </row>
    <row r="8122" spans="2:4" ht="13">
      <c r="B8122" s="12">
        <f ca="1">IFERROR(__xludf.DUMMYFUNCTION("""COMPUTED_VALUE"""),140822)</f>
        <v>140822</v>
      </c>
      <c r="C8122" s="14">
        <f ca="1">IFERROR(__xludf.DUMMYFUNCTION("""COMPUTED_VALUE"""),0)</f>
        <v>0</v>
      </c>
      <c r="D8122" s="12" t="str">
        <f ca="1">IFERROR(__xludf.DUMMYFUNCTION("""COMPUTED_VALUE"""),"大木 優香")</f>
        <v>大木 優香</v>
      </c>
    </row>
    <row r="8123" spans="2:4" ht="13">
      <c r="B8123" s="12">
        <f ca="1">IFERROR(__xludf.DUMMYFUNCTION("""COMPUTED_VALUE"""),140823)</f>
        <v>140823</v>
      </c>
      <c r="C8123" s="14">
        <f ca="1">IFERROR(__xludf.DUMMYFUNCTION("""COMPUTED_VALUE"""),0)</f>
        <v>0</v>
      </c>
      <c r="D8123" s="12" t="str">
        <f ca="1">IFERROR(__xludf.DUMMYFUNCTION("""COMPUTED_VALUE"""),"大木 優香")</f>
        <v>大木 優香</v>
      </c>
    </row>
    <row r="8124" spans="2:4" ht="13">
      <c r="B8124" s="12">
        <f ca="1">IFERROR(__xludf.DUMMYFUNCTION("""COMPUTED_VALUE"""),140824)</f>
        <v>140824</v>
      </c>
      <c r="C8124" s="14">
        <f ca="1">IFERROR(__xludf.DUMMYFUNCTION("""COMPUTED_VALUE"""),0)</f>
        <v>0</v>
      </c>
      <c r="D8124" s="12" t="str">
        <f ca="1">IFERROR(__xludf.DUMMYFUNCTION("""COMPUTED_VALUE"""),"大木 優香")</f>
        <v>大木 優香</v>
      </c>
    </row>
    <row r="8125" spans="2:4" ht="13">
      <c r="B8125" s="12">
        <f ca="1">IFERROR(__xludf.DUMMYFUNCTION("""COMPUTED_VALUE"""),140825)</f>
        <v>140825</v>
      </c>
      <c r="C8125" s="14">
        <f ca="1">IFERROR(__xludf.DUMMYFUNCTION("""COMPUTED_VALUE"""),0)</f>
        <v>0</v>
      </c>
      <c r="D8125" s="12" t="str">
        <f ca="1">IFERROR(__xludf.DUMMYFUNCTION("""COMPUTED_VALUE"""),"大木 優香")</f>
        <v>大木 優香</v>
      </c>
    </row>
    <row r="8126" spans="2:4" ht="13">
      <c r="B8126" s="12">
        <f ca="1">IFERROR(__xludf.DUMMYFUNCTION("""COMPUTED_VALUE"""),140826)</f>
        <v>140826</v>
      </c>
      <c r="C8126" s="14">
        <f ca="1">IFERROR(__xludf.DUMMYFUNCTION("""COMPUTED_VALUE"""),0)</f>
        <v>0</v>
      </c>
      <c r="D8126" s="12" t="str">
        <f ca="1">IFERROR(__xludf.DUMMYFUNCTION("""COMPUTED_VALUE"""),"大木 優香")</f>
        <v>大木 優香</v>
      </c>
    </row>
    <row r="8127" spans="2:4" ht="13">
      <c r="B8127" s="12">
        <f ca="1">IFERROR(__xludf.DUMMYFUNCTION("""COMPUTED_VALUE"""),140827)</f>
        <v>140827</v>
      </c>
      <c r="C8127" s="14">
        <f ca="1">IFERROR(__xludf.DUMMYFUNCTION("""COMPUTED_VALUE"""),0)</f>
        <v>0</v>
      </c>
      <c r="D8127" s="12" t="str">
        <f ca="1">IFERROR(__xludf.DUMMYFUNCTION("""COMPUTED_VALUE"""),"大木 優香")</f>
        <v>大木 優香</v>
      </c>
    </row>
    <row r="8128" spans="2:4" ht="13">
      <c r="B8128" s="12">
        <f ca="1">IFERROR(__xludf.DUMMYFUNCTION("""COMPUTED_VALUE"""),140828)</f>
        <v>140828</v>
      </c>
      <c r="C8128" s="14">
        <f ca="1">IFERROR(__xludf.DUMMYFUNCTION("""COMPUTED_VALUE"""),0)</f>
        <v>0</v>
      </c>
      <c r="D8128" s="12" t="str">
        <f ca="1">IFERROR(__xludf.DUMMYFUNCTION("""COMPUTED_VALUE"""),"大木 優香")</f>
        <v>大木 優香</v>
      </c>
    </row>
    <row r="8129" spans="2:4" ht="13">
      <c r="B8129" s="12">
        <f ca="1">IFERROR(__xludf.DUMMYFUNCTION("""COMPUTED_VALUE"""),140829)</f>
        <v>140829</v>
      </c>
      <c r="C8129" s="14">
        <f ca="1">IFERROR(__xludf.DUMMYFUNCTION("""COMPUTED_VALUE"""),0)</f>
        <v>0</v>
      </c>
      <c r="D8129" s="12" t="str">
        <f ca="1">IFERROR(__xludf.DUMMYFUNCTION("""COMPUTED_VALUE"""),"大木 優香")</f>
        <v>大木 優香</v>
      </c>
    </row>
    <row r="8130" spans="2:4" ht="13">
      <c r="B8130" s="12">
        <f ca="1">IFERROR(__xludf.DUMMYFUNCTION("""COMPUTED_VALUE"""),140831)</f>
        <v>140831</v>
      </c>
      <c r="C8130" s="14">
        <f ca="1">IFERROR(__xludf.DUMMYFUNCTION("""COMPUTED_VALUE"""),0)</f>
        <v>0</v>
      </c>
      <c r="D8130" s="12" t="str">
        <f ca="1">IFERROR(__xludf.DUMMYFUNCTION("""COMPUTED_VALUE"""),"大木 優香")</f>
        <v>大木 優香</v>
      </c>
    </row>
    <row r="8131" spans="2:4" ht="13">
      <c r="B8131" s="12">
        <f ca="1">IFERROR(__xludf.DUMMYFUNCTION("""COMPUTED_VALUE"""),140832)</f>
        <v>140832</v>
      </c>
      <c r="C8131" s="14">
        <f ca="1">IFERROR(__xludf.DUMMYFUNCTION("""COMPUTED_VALUE"""),0)</f>
        <v>0</v>
      </c>
      <c r="D8131" s="12" t="str">
        <f ca="1">IFERROR(__xludf.DUMMYFUNCTION("""COMPUTED_VALUE"""),"大木 優香")</f>
        <v>大木 優香</v>
      </c>
    </row>
    <row r="8132" spans="2:4" ht="13">
      <c r="B8132" s="12">
        <f ca="1">IFERROR(__xludf.DUMMYFUNCTION("""COMPUTED_VALUE"""),140833)</f>
        <v>140833</v>
      </c>
      <c r="C8132" s="14">
        <f ca="1">IFERROR(__xludf.DUMMYFUNCTION("""COMPUTED_VALUE"""),0)</f>
        <v>0</v>
      </c>
      <c r="D8132" s="12" t="str">
        <f ca="1">IFERROR(__xludf.DUMMYFUNCTION("""COMPUTED_VALUE"""),"大木 優香")</f>
        <v>大木 優香</v>
      </c>
    </row>
    <row r="8133" spans="2:4" ht="13">
      <c r="B8133" s="12">
        <f ca="1">IFERROR(__xludf.DUMMYFUNCTION("""COMPUTED_VALUE"""),140834)</f>
        <v>140834</v>
      </c>
      <c r="C8133" s="14">
        <f ca="1">IFERROR(__xludf.DUMMYFUNCTION("""COMPUTED_VALUE"""),0)</f>
        <v>0</v>
      </c>
      <c r="D8133" s="12" t="str">
        <f ca="1">IFERROR(__xludf.DUMMYFUNCTION("""COMPUTED_VALUE"""),"大木 優香")</f>
        <v>大木 優香</v>
      </c>
    </row>
    <row r="8134" spans="2:4" ht="13">
      <c r="B8134" s="12">
        <f ca="1">IFERROR(__xludf.DUMMYFUNCTION("""COMPUTED_VALUE"""),140835)</f>
        <v>140835</v>
      </c>
      <c r="C8134" s="14">
        <f ca="1">IFERROR(__xludf.DUMMYFUNCTION("""COMPUTED_VALUE"""),0)</f>
        <v>0</v>
      </c>
      <c r="D8134" s="12" t="str">
        <f ca="1">IFERROR(__xludf.DUMMYFUNCTION("""COMPUTED_VALUE"""),"大木 優香")</f>
        <v>大木 優香</v>
      </c>
    </row>
    <row r="8135" spans="2:4" ht="13">
      <c r="B8135" s="12">
        <f ca="1">IFERROR(__xludf.DUMMYFUNCTION("""COMPUTED_VALUE"""),140836)</f>
        <v>140836</v>
      </c>
      <c r="C8135" s="14">
        <f ca="1">IFERROR(__xludf.DUMMYFUNCTION("""COMPUTED_VALUE"""),0)</f>
        <v>0</v>
      </c>
      <c r="D8135" s="12" t="str">
        <f ca="1">IFERROR(__xludf.DUMMYFUNCTION("""COMPUTED_VALUE"""),"大木 優香")</f>
        <v>大木 優香</v>
      </c>
    </row>
    <row r="8136" spans="2:4" ht="13">
      <c r="B8136" s="12">
        <f ca="1">IFERROR(__xludf.DUMMYFUNCTION("""COMPUTED_VALUE"""),140837)</f>
        <v>140837</v>
      </c>
      <c r="C8136" s="14">
        <f ca="1">IFERROR(__xludf.DUMMYFUNCTION("""COMPUTED_VALUE"""),0)</f>
        <v>0</v>
      </c>
      <c r="D8136" s="12" t="str">
        <f ca="1">IFERROR(__xludf.DUMMYFUNCTION("""COMPUTED_VALUE"""),"大木 優香")</f>
        <v>大木 優香</v>
      </c>
    </row>
    <row r="8137" spans="2:4" ht="13">
      <c r="B8137" s="12">
        <f ca="1">IFERROR(__xludf.DUMMYFUNCTION("""COMPUTED_VALUE"""),140838)</f>
        <v>140838</v>
      </c>
      <c r="C8137" s="14">
        <f ca="1">IFERROR(__xludf.DUMMYFUNCTION("""COMPUTED_VALUE"""),0)</f>
        <v>0</v>
      </c>
      <c r="D8137" s="12" t="str">
        <f ca="1">IFERROR(__xludf.DUMMYFUNCTION("""COMPUTED_VALUE"""),"大木 優香")</f>
        <v>大木 優香</v>
      </c>
    </row>
    <row r="8138" spans="2:4" ht="13">
      <c r="B8138" s="12">
        <f ca="1">IFERROR(__xludf.DUMMYFUNCTION("""COMPUTED_VALUE"""),140839)</f>
        <v>140839</v>
      </c>
      <c r="C8138" s="14">
        <f ca="1">IFERROR(__xludf.DUMMYFUNCTION("""COMPUTED_VALUE"""),0)</f>
        <v>0</v>
      </c>
      <c r="D8138" s="12" t="str">
        <f ca="1">IFERROR(__xludf.DUMMYFUNCTION("""COMPUTED_VALUE"""),"大木 優香")</f>
        <v>大木 優香</v>
      </c>
    </row>
    <row r="8139" spans="2:4" ht="13">
      <c r="B8139" s="12">
        <f ca="1">IFERROR(__xludf.DUMMYFUNCTION("""COMPUTED_VALUE"""),140841)</f>
        <v>140841</v>
      </c>
      <c r="C8139" s="14">
        <f ca="1">IFERROR(__xludf.DUMMYFUNCTION("""COMPUTED_VALUE"""),0)</f>
        <v>0</v>
      </c>
      <c r="D8139" s="12" t="str">
        <f ca="1">IFERROR(__xludf.DUMMYFUNCTION("""COMPUTED_VALUE"""),"森 光智")</f>
        <v>森 光智</v>
      </c>
    </row>
    <row r="8140" spans="2:4" ht="13">
      <c r="B8140" s="12">
        <f ca="1">IFERROR(__xludf.DUMMYFUNCTION("""COMPUTED_VALUE"""),140842)</f>
        <v>140842</v>
      </c>
      <c r="C8140" s="14">
        <f ca="1">IFERROR(__xludf.DUMMYFUNCTION("""COMPUTED_VALUE"""),0)</f>
        <v>0</v>
      </c>
      <c r="D8140" s="12" t="str">
        <f ca="1">IFERROR(__xludf.DUMMYFUNCTION("""COMPUTED_VALUE"""),"小関 麻起")</f>
        <v>小関 麻起</v>
      </c>
    </row>
    <row r="8141" spans="2:4" ht="13">
      <c r="B8141" s="12">
        <f ca="1">IFERROR(__xludf.DUMMYFUNCTION("""COMPUTED_VALUE"""),140844)</f>
        <v>140844</v>
      </c>
      <c r="C8141" s="14">
        <f ca="1">IFERROR(__xludf.DUMMYFUNCTION("""COMPUTED_VALUE"""),6)</f>
        <v>6</v>
      </c>
      <c r="D8141" s="12" t="str">
        <f ca="1">IFERROR(__xludf.DUMMYFUNCTION("""COMPUTED_VALUE"""),"桑原 明子")</f>
        <v>桑原 明子</v>
      </c>
    </row>
    <row r="8142" spans="2:4" ht="13">
      <c r="B8142" s="12">
        <f ca="1">IFERROR(__xludf.DUMMYFUNCTION("""COMPUTED_VALUE"""),140847)</f>
        <v>140847</v>
      </c>
      <c r="C8142" s="14">
        <f ca="1">IFERROR(__xludf.DUMMYFUNCTION("""COMPUTED_VALUE"""),6)</f>
        <v>6</v>
      </c>
      <c r="D8142" s="12" t="str">
        <f ca="1">IFERROR(__xludf.DUMMYFUNCTION("""COMPUTED_VALUE"""),"成嶋 夏未")</f>
        <v>成嶋 夏未</v>
      </c>
    </row>
    <row r="8143" spans="2:4" ht="13">
      <c r="B8143" s="12">
        <f ca="1">IFERROR(__xludf.DUMMYFUNCTION("""COMPUTED_VALUE"""),140857)</f>
        <v>140857</v>
      </c>
      <c r="C8143" s="14">
        <f ca="1">IFERROR(__xludf.DUMMYFUNCTION("""COMPUTED_VALUE"""),0)</f>
        <v>0</v>
      </c>
      <c r="D8143" s="12" t="str">
        <f ca="1">IFERROR(__xludf.DUMMYFUNCTION("""COMPUTED_VALUE"""),"稲場 勇介")</f>
        <v>稲場 勇介</v>
      </c>
    </row>
    <row r="8144" spans="2:4" ht="13">
      <c r="B8144" s="12">
        <f ca="1">IFERROR(__xludf.DUMMYFUNCTION("""COMPUTED_VALUE"""),140859)</f>
        <v>140859</v>
      </c>
      <c r="C8144" s="14">
        <f ca="1">IFERROR(__xludf.DUMMYFUNCTION("""COMPUTED_VALUE"""),0)</f>
        <v>0</v>
      </c>
      <c r="D8144" s="12" t="str">
        <f ca="1">IFERROR(__xludf.DUMMYFUNCTION("""COMPUTED_VALUE"""),"森 光智")</f>
        <v>森 光智</v>
      </c>
    </row>
    <row r="8145" spans="2:4" ht="13">
      <c r="B8145" s="12">
        <f ca="1">IFERROR(__xludf.DUMMYFUNCTION("""COMPUTED_VALUE"""),140860)</f>
        <v>140860</v>
      </c>
      <c r="C8145" s="14">
        <f ca="1">IFERROR(__xludf.DUMMYFUNCTION("""COMPUTED_VALUE"""),12)</f>
        <v>12</v>
      </c>
      <c r="D8145" s="12" t="str">
        <f ca="1">IFERROR(__xludf.DUMMYFUNCTION("""COMPUTED_VALUE"""),"桐山 勝気")</f>
        <v>桐山 勝気</v>
      </c>
    </row>
    <row r="8146" spans="2:4" ht="13">
      <c r="B8146" s="12">
        <f ca="1">IFERROR(__xludf.DUMMYFUNCTION("""COMPUTED_VALUE"""),140863)</f>
        <v>140863</v>
      </c>
      <c r="C8146" s="14">
        <f ca="1">IFERROR(__xludf.DUMMYFUNCTION("""COMPUTED_VALUE"""),2)</f>
        <v>2</v>
      </c>
      <c r="D8146" s="12" t="str">
        <f ca="1">IFERROR(__xludf.DUMMYFUNCTION("""COMPUTED_VALUE"""),"成嶋 夏未")</f>
        <v>成嶋 夏未</v>
      </c>
    </row>
    <row r="8147" spans="2:4" ht="13">
      <c r="B8147" s="12">
        <f ca="1">IFERROR(__xludf.DUMMYFUNCTION("""COMPUTED_VALUE"""),140866)</f>
        <v>140866</v>
      </c>
      <c r="C8147" s="14">
        <f ca="1">IFERROR(__xludf.DUMMYFUNCTION("""COMPUTED_VALUE"""),2)</f>
        <v>2</v>
      </c>
      <c r="D8147" s="12" t="str">
        <f ca="1">IFERROR(__xludf.DUMMYFUNCTION("""COMPUTED_VALUE"""),"老田 純輝")</f>
        <v>老田 純輝</v>
      </c>
    </row>
    <row r="8148" spans="2:4" ht="13">
      <c r="B8148" s="12">
        <f ca="1">IFERROR(__xludf.DUMMYFUNCTION("""COMPUTED_VALUE"""),140867)</f>
        <v>140867</v>
      </c>
      <c r="C8148" s="14">
        <f ca="1">IFERROR(__xludf.DUMMYFUNCTION("""COMPUTED_VALUE"""),41)</f>
        <v>41</v>
      </c>
      <c r="D8148" s="12" t="str">
        <f ca="1">IFERROR(__xludf.DUMMYFUNCTION("""COMPUTED_VALUE"""),"荻曽 克輝")</f>
        <v>荻曽 克輝</v>
      </c>
    </row>
    <row r="8149" spans="2:4" ht="13">
      <c r="B8149" s="12">
        <f ca="1">IFERROR(__xludf.DUMMYFUNCTION("""COMPUTED_VALUE"""),140868)</f>
        <v>140868</v>
      </c>
      <c r="C8149" s="14">
        <f ca="1">IFERROR(__xludf.DUMMYFUNCTION("""COMPUTED_VALUE"""),2)</f>
        <v>2</v>
      </c>
      <c r="D8149" s="12" t="str">
        <f ca="1">IFERROR(__xludf.DUMMYFUNCTION("""COMPUTED_VALUE"""),"桐山 勝気")</f>
        <v>桐山 勝気</v>
      </c>
    </row>
    <row r="8150" spans="2:4" ht="13">
      <c r="B8150" s="12">
        <f ca="1">IFERROR(__xludf.DUMMYFUNCTION("""COMPUTED_VALUE"""),140869)</f>
        <v>140869</v>
      </c>
      <c r="C8150" s="14">
        <f ca="1">IFERROR(__xludf.DUMMYFUNCTION("""COMPUTED_VALUE"""),0)</f>
        <v>0</v>
      </c>
      <c r="D8150" s="12" t="str">
        <f ca="1">IFERROR(__xludf.DUMMYFUNCTION("""COMPUTED_VALUE"""),"栗原 大武")</f>
        <v>栗原 大武</v>
      </c>
    </row>
    <row r="8151" spans="2:4" ht="13">
      <c r="B8151" s="12">
        <f ca="1">IFERROR(__xludf.DUMMYFUNCTION("""COMPUTED_VALUE"""),140874)</f>
        <v>140874</v>
      </c>
      <c r="C8151" s="14">
        <f ca="1">IFERROR(__xludf.DUMMYFUNCTION("""COMPUTED_VALUE"""),0)</f>
        <v>0</v>
      </c>
      <c r="D8151" s="12" t="str">
        <f ca="1">IFERROR(__xludf.DUMMYFUNCTION("""COMPUTED_VALUE"""),"内丸 裕子")</f>
        <v>内丸 裕子</v>
      </c>
    </row>
    <row r="8152" spans="2:4" ht="13">
      <c r="B8152" s="12">
        <f ca="1">IFERROR(__xludf.DUMMYFUNCTION("""COMPUTED_VALUE"""),140879)</f>
        <v>140879</v>
      </c>
      <c r="C8152" s="14">
        <f ca="1">IFERROR(__xludf.DUMMYFUNCTION("""COMPUTED_VALUE"""),6)</f>
        <v>6</v>
      </c>
      <c r="D8152" s="12" t="str">
        <f ca="1">IFERROR(__xludf.DUMMYFUNCTION("""COMPUTED_VALUE"""),"長谷川 陸朗")</f>
        <v>長谷川 陸朗</v>
      </c>
    </row>
    <row r="8153" spans="2:4" ht="13">
      <c r="B8153" s="12">
        <f ca="1">IFERROR(__xludf.DUMMYFUNCTION("""COMPUTED_VALUE"""),140880)</f>
        <v>140880</v>
      </c>
      <c r="C8153" s="14">
        <f ca="1">IFERROR(__xludf.DUMMYFUNCTION("""COMPUTED_VALUE"""),81)</f>
        <v>81</v>
      </c>
      <c r="D8153" s="12" t="str">
        <f ca="1">IFERROR(__xludf.DUMMYFUNCTION("""COMPUTED_VALUE"""),"栗原 大武")</f>
        <v>栗原 大武</v>
      </c>
    </row>
    <row r="8154" spans="2:4" ht="13">
      <c r="B8154" s="12">
        <f ca="1">IFERROR(__xludf.DUMMYFUNCTION("""COMPUTED_VALUE"""),140889)</f>
        <v>140889</v>
      </c>
      <c r="C8154" s="14">
        <f ca="1">IFERROR(__xludf.DUMMYFUNCTION("""COMPUTED_VALUE"""),12)</f>
        <v>12</v>
      </c>
      <c r="D8154" s="12" t="str">
        <f ca="1">IFERROR(__xludf.DUMMYFUNCTION("""COMPUTED_VALUE"""),"老田 純輝")</f>
        <v>老田 純輝</v>
      </c>
    </row>
    <row r="8155" spans="2:4" ht="13">
      <c r="B8155" s="12">
        <f ca="1">IFERROR(__xludf.DUMMYFUNCTION("""COMPUTED_VALUE"""),140890)</f>
        <v>140890</v>
      </c>
      <c r="C8155" s="14">
        <f ca="1">IFERROR(__xludf.DUMMYFUNCTION("""COMPUTED_VALUE"""),0)</f>
        <v>0</v>
      </c>
      <c r="D8155" s="12" t="str">
        <f ca="1">IFERROR(__xludf.DUMMYFUNCTION("""COMPUTED_VALUE"""),"松尾 尚樹")</f>
        <v>松尾 尚樹</v>
      </c>
    </row>
    <row r="8156" spans="2:4" ht="13">
      <c r="B8156" s="12">
        <f ca="1">IFERROR(__xludf.DUMMYFUNCTION("""COMPUTED_VALUE"""),140891)</f>
        <v>140891</v>
      </c>
      <c r="C8156" s="14">
        <f ca="1">IFERROR(__xludf.DUMMYFUNCTION("""COMPUTED_VALUE"""),3)</f>
        <v>3</v>
      </c>
      <c r="D8156" s="12" t="str">
        <f ca="1">IFERROR(__xludf.DUMMYFUNCTION("""COMPUTED_VALUE"""),"長谷川 陸朗")</f>
        <v>長谷川 陸朗</v>
      </c>
    </row>
    <row r="8157" spans="2:4" ht="13">
      <c r="B8157" s="12">
        <f ca="1">IFERROR(__xludf.DUMMYFUNCTION("""COMPUTED_VALUE"""),140898)</f>
        <v>140898</v>
      </c>
      <c r="C8157" s="14">
        <f ca="1">IFERROR(__xludf.DUMMYFUNCTION("""COMPUTED_VALUE"""),0)</f>
        <v>0</v>
      </c>
      <c r="D8157" s="12" t="str">
        <f ca="1">IFERROR(__xludf.DUMMYFUNCTION("""COMPUTED_VALUE"""),"小関 麻起")</f>
        <v>小関 麻起</v>
      </c>
    </row>
    <row r="8158" spans="2:4" ht="13">
      <c r="B8158" s="12">
        <f ca="1">IFERROR(__xludf.DUMMYFUNCTION("""COMPUTED_VALUE"""),140903)</f>
        <v>140903</v>
      </c>
      <c r="C8158" s="14">
        <f ca="1">IFERROR(__xludf.DUMMYFUNCTION("""COMPUTED_VALUE"""),0)</f>
        <v>0</v>
      </c>
      <c r="D8158" s="12" t="str">
        <f ca="1">IFERROR(__xludf.DUMMYFUNCTION("""COMPUTED_VALUE"""),"菅野 ぎんが")</f>
        <v>菅野 ぎんが</v>
      </c>
    </row>
    <row r="8159" spans="2:4" ht="13">
      <c r="B8159" s="12">
        <f ca="1">IFERROR(__xludf.DUMMYFUNCTION("""COMPUTED_VALUE"""),140909)</f>
        <v>140909</v>
      </c>
      <c r="C8159" s="14">
        <f ca="1">IFERROR(__xludf.DUMMYFUNCTION("""COMPUTED_VALUE"""),10)</f>
        <v>10</v>
      </c>
      <c r="D8159" s="12" t="str">
        <f ca="1">IFERROR(__xludf.DUMMYFUNCTION("""COMPUTED_VALUE"""),"奥野 貴大")</f>
        <v>奥野 貴大</v>
      </c>
    </row>
    <row r="8160" spans="2:4" ht="13">
      <c r="B8160" s="12">
        <f ca="1">IFERROR(__xludf.DUMMYFUNCTION("""COMPUTED_VALUE"""),140910)</f>
        <v>140910</v>
      </c>
      <c r="C8160" s="14">
        <f ca="1">IFERROR(__xludf.DUMMYFUNCTION("""COMPUTED_VALUE"""),0)</f>
        <v>0</v>
      </c>
      <c r="D8160" s="12" t="str">
        <f ca="1">IFERROR(__xludf.DUMMYFUNCTION("""COMPUTED_VALUE"""),"松尾 尚樹")</f>
        <v>松尾 尚樹</v>
      </c>
    </row>
    <row r="8161" spans="2:4" ht="13">
      <c r="B8161" s="12">
        <f ca="1">IFERROR(__xludf.DUMMYFUNCTION("""COMPUTED_VALUE"""),140912)</f>
        <v>140912</v>
      </c>
      <c r="C8161" s="14">
        <f ca="1">IFERROR(__xludf.DUMMYFUNCTION("""COMPUTED_VALUE"""),0)</f>
        <v>0</v>
      </c>
      <c r="D8161" s="12" t="str">
        <f ca="1">IFERROR(__xludf.DUMMYFUNCTION("""COMPUTED_VALUE"""),"小関 麻起")</f>
        <v>小関 麻起</v>
      </c>
    </row>
    <row r="8162" spans="2:4" ht="13">
      <c r="B8162" s="12">
        <f ca="1">IFERROR(__xludf.DUMMYFUNCTION("""COMPUTED_VALUE"""),140913)</f>
        <v>140913</v>
      </c>
      <c r="C8162" s="14">
        <f ca="1">IFERROR(__xludf.DUMMYFUNCTION("""COMPUTED_VALUE"""),0)</f>
        <v>0</v>
      </c>
      <c r="D8162" s="12" t="str">
        <f ca="1">IFERROR(__xludf.DUMMYFUNCTION("""COMPUTED_VALUE"""),"菅野 ぎんが")</f>
        <v>菅野 ぎんが</v>
      </c>
    </row>
    <row r="8163" spans="2:4" ht="13">
      <c r="B8163" s="12">
        <f ca="1">IFERROR(__xludf.DUMMYFUNCTION("""COMPUTED_VALUE"""),140918)</f>
        <v>140918</v>
      </c>
      <c r="C8163" s="14">
        <f ca="1">IFERROR(__xludf.DUMMYFUNCTION("""COMPUTED_VALUE"""),1)</f>
        <v>1</v>
      </c>
      <c r="D8163" s="12" t="str">
        <f ca="1">IFERROR(__xludf.DUMMYFUNCTION("""COMPUTED_VALUE"""),"成嶋 夏未")</f>
        <v>成嶋 夏未</v>
      </c>
    </row>
    <row r="8164" spans="2:4" ht="13">
      <c r="B8164" s="12">
        <f ca="1">IFERROR(__xludf.DUMMYFUNCTION("""COMPUTED_VALUE"""),140919)</f>
        <v>140919</v>
      </c>
      <c r="C8164" s="14">
        <f ca="1">IFERROR(__xludf.DUMMYFUNCTION("""COMPUTED_VALUE"""),0)</f>
        <v>0</v>
      </c>
      <c r="D8164" s="12" t="str">
        <f ca="1">IFERROR(__xludf.DUMMYFUNCTION("""COMPUTED_VALUE"""),"長谷川 陸朗")</f>
        <v>長谷川 陸朗</v>
      </c>
    </row>
    <row r="8165" spans="2:4" ht="13">
      <c r="B8165" s="12">
        <f ca="1">IFERROR(__xludf.DUMMYFUNCTION("""COMPUTED_VALUE"""),140921)</f>
        <v>140921</v>
      </c>
      <c r="C8165" s="14">
        <f ca="1">IFERROR(__xludf.DUMMYFUNCTION("""COMPUTED_VALUE"""),46)</f>
        <v>46</v>
      </c>
      <c r="D8165" s="12" t="str">
        <f ca="1">IFERROR(__xludf.DUMMYFUNCTION("""COMPUTED_VALUE"""),"松尾 尚樹")</f>
        <v>松尾 尚樹</v>
      </c>
    </row>
    <row r="8166" spans="2:4" ht="13">
      <c r="B8166" s="12">
        <f ca="1">IFERROR(__xludf.DUMMYFUNCTION("""COMPUTED_VALUE"""),140922)</f>
        <v>140922</v>
      </c>
      <c r="C8166" s="14">
        <f ca="1">IFERROR(__xludf.DUMMYFUNCTION("""COMPUTED_VALUE"""),3)</f>
        <v>3</v>
      </c>
      <c r="D8166" s="12" t="str">
        <f ca="1">IFERROR(__xludf.DUMMYFUNCTION("""COMPUTED_VALUE"""),"田嶋 将太")</f>
        <v>田嶋 将太</v>
      </c>
    </row>
    <row r="8167" spans="2:4" ht="13">
      <c r="B8167" s="12">
        <f ca="1">IFERROR(__xludf.DUMMYFUNCTION("""COMPUTED_VALUE"""),140928)</f>
        <v>140928</v>
      </c>
      <c r="C8167" s="14">
        <f ca="1">IFERROR(__xludf.DUMMYFUNCTION("""COMPUTED_VALUE"""),2)</f>
        <v>2</v>
      </c>
      <c r="D8167" s="12" t="str">
        <f ca="1">IFERROR(__xludf.DUMMYFUNCTION("""COMPUTED_VALUE"""),"桐山 勝気")</f>
        <v>桐山 勝気</v>
      </c>
    </row>
    <row r="8168" spans="2:4" ht="13">
      <c r="B8168" s="12">
        <f ca="1">IFERROR(__xludf.DUMMYFUNCTION("""COMPUTED_VALUE"""),140929)</f>
        <v>140929</v>
      </c>
      <c r="C8168" s="14">
        <f ca="1">IFERROR(__xludf.DUMMYFUNCTION("""COMPUTED_VALUE"""),2)</f>
        <v>2</v>
      </c>
      <c r="D8168" s="12" t="str">
        <f ca="1">IFERROR(__xludf.DUMMYFUNCTION("""COMPUTED_VALUE"""),"菅野 ぎんが")</f>
        <v>菅野 ぎんが</v>
      </c>
    </row>
    <row r="8169" spans="2:4" ht="13">
      <c r="B8169" s="12">
        <f ca="1">IFERROR(__xludf.DUMMYFUNCTION("""COMPUTED_VALUE"""),140931)</f>
        <v>140931</v>
      </c>
      <c r="C8169" s="14">
        <f ca="1">IFERROR(__xludf.DUMMYFUNCTION("""COMPUTED_VALUE"""),0)</f>
        <v>0</v>
      </c>
      <c r="D8169" s="12" t="str">
        <f ca="1">IFERROR(__xludf.DUMMYFUNCTION("""COMPUTED_VALUE"""),"稲場 勇介")</f>
        <v>稲場 勇介</v>
      </c>
    </row>
    <row r="8170" spans="2:4" ht="13">
      <c r="B8170" s="12">
        <f ca="1">IFERROR(__xludf.DUMMYFUNCTION("""COMPUTED_VALUE"""),140932)</f>
        <v>140932</v>
      </c>
      <c r="C8170" s="14">
        <f ca="1">IFERROR(__xludf.DUMMYFUNCTION("""COMPUTED_VALUE"""),8)</f>
        <v>8</v>
      </c>
      <c r="D8170" s="12" t="str">
        <f ca="1">IFERROR(__xludf.DUMMYFUNCTION("""COMPUTED_VALUE"""),"桐山 勝気")</f>
        <v>桐山 勝気</v>
      </c>
    </row>
    <row r="8171" spans="2:4" ht="13">
      <c r="B8171" s="12">
        <f ca="1">IFERROR(__xludf.DUMMYFUNCTION("""COMPUTED_VALUE"""),140933)</f>
        <v>140933</v>
      </c>
      <c r="C8171" s="14">
        <f ca="1">IFERROR(__xludf.DUMMYFUNCTION("""COMPUTED_VALUE"""),4)</f>
        <v>4</v>
      </c>
      <c r="D8171" s="12" t="str">
        <f ca="1">IFERROR(__xludf.DUMMYFUNCTION("""COMPUTED_VALUE"""),"長谷川 陸朗")</f>
        <v>長谷川 陸朗</v>
      </c>
    </row>
    <row r="8172" spans="2:4" ht="13">
      <c r="B8172" s="12">
        <f ca="1">IFERROR(__xludf.DUMMYFUNCTION("""COMPUTED_VALUE"""),140934)</f>
        <v>140934</v>
      </c>
      <c r="C8172" s="14">
        <f ca="1">IFERROR(__xludf.DUMMYFUNCTION("""COMPUTED_VALUE"""),1)</f>
        <v>1</v>
      </c>
      <c r="D8172" s="12" t="str">
        <f ca="1">IFERROR(__xludf.DUMMYFUNCTION("""COMPUTED_VALUE"""),"小関 麻起")</f>
        <v>小関 麻起</v>
      </c>
    </row>
    <row r="8173" spans="2:4" ht="13">
      <c r="B8173" s="12">
        <f ca="1">IFERROR(__xludf.DUMMYFUNCTION("""COMPUTED_VALUE"""),140937)</f>
        <v>140937</v>
      </c>
      <c r="C8173" s="14">
        <f ca="1">IFERROR(__xludf.DUMMYFUNCTION("""COMPUTED_VALUE"""),0)</f>
        <v>0</v>
      </c>
      <c r="D8173" s="12" t="str">
        <f ca="1">IFERROR(__xludf.DUMMYFUNCTION("""COMPUTED_VALUE"""),"堀越 駿")</f>
        <v>堀越 駿</v>
      </c>
    </row>
    <row r="8174" spans="2:4" ht="13">
      <c r="B8174" s="12">
        <f ca="1">IFERROR(__xludf.DUMMYFUNCTION("""COMPUTED_VALUE"""),140939)</f>
        <v>140939</v>
      </c>
      <c r="C8174" s="14">
        <f ca="1">IFERROR(__xludf.DUMMYFUNCTION("""COMPUTED_VALUE"""),2)</f>
        <v>2</v>
      </c>
      <c r="D8174" s="12" t="str">
        <f ca="1">IFERROR(__xludf.DUMMYFUNCTION("""COMPUTED_VALUE"""),"小関 麻起")</f>
        <v>小関 麻起</v>
      </c>
    </row>
    <row r="8175" spans="2:4" ht="13">
      <c r="B8175" s="12">
        <f ca="1">IFERROR(__xludf.DUMMYFUNCTION("""COMPUTED_VALUE"""),140940)</f>
        <v>140940</v>
      </c>
      <c r="C8175" s="14">
        <f ca="1">IFERROR(__xludf.DUMMYFUNCTION("""COMPUTED_VALUE"""),0)</f>
        <v>0</v>
      </c>
      <c r="D8175" s="12" t="str">
        <f ca="1">IFERROR(__xludf.DUMMYFUNCTION("""COMPUTED_VALUE"""),"小関 麻起")</f>
        <v>小関 麻起</v>
      </c>
    </row>
    <row r="8176" spans="2:4" ht="13">
      <c r="B8176" s="12">
        <f ca="1">IFERROR(__xludf.DUMMYFUNCTION("""COMPUTED_VALUE"""),140941)</f>
        <v>140941</v>
      </c>
      <c r="C8176" s="14">
        <f ca="1">IFERROR(__xludf.DUMMYFUNCTION("""COMPUTED_VALUE"""),2)</f>
        <v>2</v>
      </c>
      <c r="D8176" s="12" t="str">
        <f ca="1">IFERROR(__xludf.DUMMYFUNCTION("""COMPUTED_VALUE"""),"小関 麻起")</f>
        <v>小関 麻起</v>
      </c>
    </row>
    <row r="8177" spans="2:4" ht="13">
      <c r="B8177" s="12">
        <f ca="1">IFERROR(__xludf.DUMMYFUNCTION("""COMPUTED_VALUE"""),140952)</f>
        <v>140952</v>
      </c>
      <c r="C8177" s="14">
        <f ca="1">IFERROR(__xludf.DUMMYFUNCTION("""COMPUTED_VALUE"""),0)</f>
        <v>0</v>
      </c>
      <c r="D8177" s="12" t="str">
        <f ca="1">IFERROR(__xludf.DUMMYFUNCTION("""COMPUTED_VALUE"""),"小関 麻起")</f>
        <v>小関 麻起</v>
      </c>
    </row>
    <row r="8178" spans="2:4" ht="13">
      <c r="B8178" s="12">
        <f ca="1">IFERROR(__xludf.DUMMYFUNCTION("""COMPUTED_VALUE"""),140953)</f>
        <v>140953</v>
      </c>
      <c r="C8178" s="14">
        <f ca="1">IFERROR(__xludf.DUMMYFUNCTION("""COMPUTED_VALUE"""),0)</f>
        <v>0</v>
      </c>
      <c r="D8178" s="12" t="str">
        <f ca="1">IFERROR(__xludf.DUMMYFUNCTION("""COMPUTED_VALUE"""),"老田 純輝")</f>
        <v>老田 純輝</v>
      </c>
    </row>
    <row r="8179" spans="2:4" ht="13">
      <c r="B8179" s="12">
        <f ca="1">IFERROR(__xludf.DUMMYFUNCTION("""COMPUTED_VALUE"""),140954)</f>
        <v>140954</v>
      </c>
      <c r="C8179" s="14">
        <f ca="1">IFERROR(__xludf.DUMMYFUNCTION("""COMPUTED_VALUE"""),0)</f>
        <v>0</v>
      </c>
      <c r="D8179" s="12" t="str">
        <f ca="1">IFERROR(__xludf.DUMMYFUNCTION("""COMPUTED_VALUE"""),"荻曽 克輝")</f>
        <v>荻曽 克輝</v>
      </c>
    </row>
    <row r="8180" spans="2:4" ht="13">
      <c r="B8180" s="12">
        <f ca="1">IFERROR(__xludf.DUMMYFUNCTION("""COMPUTED_VALUE"""),140955)</f>
        <v>140955</v>
      </c>
      <c r="C8180" s="14">
        <f ca="1">IFERROR(__xludf.DUMMYFUNCTION("""COMPUTED_VALUE"""),0)</f>
        <v>0</v>
      </c>
      <c r="D8180" s="12" t="str">
        <f ca="1">IFERROR(__xludf.DUMMYFUNCTION("""COMPUTED_VALUE"""),"芳賀 亮輔")</f>
        <v>芳賀 亮輔</v>
      </c>
    </row>
    <row r="8181" spans="2:4" ht="13">
      <c r="B8181" s="12">
        <f ca="1">IFERROR(__xludf.DUMMYFUNCTION("""COMPUTED_VALUE"""),140956)</f>
        <v>140956</v>
      </c>
      <c r="C8181" s="14">
        <f ca="1">IFERROR(__xludf.DUMMYFUNCTION("""COMPUTED_VALUE"""),0)</f>
        <v>0</v>
      </c>
      <c r="D8181" s="12" t="str">
        <f ca="1">IFERROR(__xludf.DUMMYFUNCTION("""COMPUTED_VALUE"""),"荻曽 克輝")</f>
        <v>荻曽 克輝</v>
      </c>
    </row>
    <row r="8182" spans="2:4" ht="13">
      <c r="B8182" s="12">
        <f ca="1">IFERROR(__xludf.DUMMYFUNCTION("""COMPUTED_VALUE"""),140957)</f>
        <v>140957</v>
      </c>
      <c r="C8182" s="14">
        <f ca="1">IFERROR(__xludf.DUMMYFUNCTION("""COMPUTED_VALUE"""),0)</f>
        <v>0</v>
      </c>
      <c r="D8182" s="12" t="str">
        <f ca="1">IFERROR(__xludf.DUMMYFUNCTION("""COMPUTED_VALUE"""),"小川 純")</f>
        <v>小川 純</v>
      </c>
    </row>
    <row r="8183" spans="2:4" ht="13">
      <c r="B8183" s="12">
        <f ca="1">IFERROR(__xludf.DUMMYFUNCTION("""COMPUTED_VALUE"""),140960)</f>
        <v>140960</v>
      </c>
      <c r="C8183" s="14">
        <f ca="1">IFERROR(__xludf.DUMMYFUNCTION("""COMPUTED_VALUE"""),7)</f>
        <v>7</v>
      </c>
      <c r="D8183" s="12" t="str">
        <f ca="1">IFERROR(__xludf.DUMMYFUNCTION("""COMPUTED_VALUE"""),"村上 浩一朗")</f>
        <v>村上 浩一朗</v>
      </c>
    </row>
    <row r="8184" spans="2:4" ht="13">
      <c r="B8184" s="12">
        <f ca="1">IFERROR(__xludf.DUMMYFUNCTION("""COMPUTED_VALUE"""),140961)</f>
        <v>140961</v>
      </c>
      <c r="C8184" s="14">
        <f ca="1">IFERROR(__xludf.DUMMYFUNCTION("""COMPUTED_VALUE"""),13)</f>
        <v>13</v>
      </c>
      <c r="D8184" s="12" t="str">
        <f ca="1">IFERROR(__xludf.DUMMYFUNCTION("""COMPUTED_VALUE"""),"老田 純輝")</f>
        <v>老田 純輝</v>
      </c>
    </row>
    <row r="8185" spans="2:4" ht="13">
      <c r="B8185" s="12">
        <f ca="1">IFERROR(__xludf.DUMMYFUNCTION("""COMPUTED_VALUE"""),140966)</f>
        <v>140966</v>
      </c>
      <c r="C8185" s="14">
        <f ca="1">IFERROR(__xludf.DUMMYFUNCTION("""COMPUTED_VALUE"""),0)</f>
        <v>0</v>
      </c>
      <c r="D8185" s="12" t="str">
        <f ca="1">IFERROR(__xludf.DUMMYFUNCTION("""COMPUTED_VALUE"""),"桑原 明子")</f>
        <v>桑原 明子</v>
      </c>
    </row>
    <row r="8186" spans="2:4" ht="13">
      <c r="B8186" s="12">
        <f ca="1">IFERROR(__xludf.DUMMYFUNCTION("""COMPUTED_VALUE"""),140973)</f>
        <v>140973</v>
      </c>
      <c r="C8186" s="14">
        <f ca="1">IFERROR(__xludf.DUMMYFUNCTION("""COMPUTED_VALUE"""),9)</f>
        <v>9</v>
      </c>
      <c r="D8186" s="12" t="str">
        <f ca="1">IFERROR(__xludf.DUMMYFUNCTION("""COMPUTED_VALUE"""),"村上 浩一朗")</f>
        <v>村上 浩一朗</v>
      </c>
    </row>
    <row r="8187" spans="2:4" ht="13">
      <c r="B8187" s="12">
        <f ca="1">IFERROR(__xludf.DUMMYFUNCTION("""COMPUTED_VALUE"""),140974)</f>
        <v>140974</v>
      </c>
      <c r="C8187" s="14">
        <f ca="1">IFERROR(__xludf.DUMMYFUNCTION("""COMPUTED_VALUE"""),0)</f>
        <v>0</v>
      </c>
      <c r="D8187" s="12" t="str">
        <f ca="1">IFERROR(__xludf.DUMMYFUNCTION("""COMPUTED_VALUE"""),"小関 麻起")</f>
        <v>小関 麻起</v>
      </c>
    </row>
    <row r="8188" spans="2:4" ht="13">
      <c r="B8188" s="12">
        <f ca="1">IFERROR(__xludf.DUMMYFUNCTION("""COMPUTED_VALUE"""),140975)</f>
        <v>140975</v>
      </c>
      <c r="C8188" s="14">
        <f ca="1">IFERROR(__xludf.DUMMYFUNCTION("""COMPUTED_VALUE"""),0)</f>
        <v>0</v>
      </c>
      <c r="D8188" s="12" t="str">
        <f ca="1">IFERROR(__xludf.DUMMYFUNCTION("""COMPUTED_VALUE"""),"成嶋 夏未")</f>
        <v>成嶋 夏未</v>
      </c>
    </row>
    <row r="8189" spans="2:4" ht="13">
      <c r="B8189" s="12">
        <f ca="1">IFERROR(__xludf.DUMMYFUNCTION("""COMPUTED_VALUE"""),140978)</f>
        <v>140978</v>
      </c>
      <c r="C8189" s="14">
        <f ca="1">IFERROR(__xludf.DUMMYFUNCTION("""COMPUTED_VALUE"""),0)</f>
        <v>0</v>
      </c>
      <c r="D8189" s="12" t="str">
        <f ca="1">IFERROR(__xludf.DUMMYFUNCTION("""COMPUTED_VALUE"""),"栗原 大武")</f>
        <v>栗原 大武</v>
      </c>
    </row>
    <row r="8190" spans="2:4" ht="13">
      <c r="B8190" s="12">
        <f ca="1">IFERROR(__xludf.DUMMYFUNCTION("""COMPUTED_VALUE"""),140980)</f>
        <v>140980</v>
      </c>
      <c r="C8190" s="14">
        <f ca="1">IFERROR(__xludf.DUMMYFUNCTION("""COMPUTED_VALUE"""),1)</f>
        <v>1</v>
      </c>
      <c r="D8190" s="12" t="str">
        <f ca="1">IFERROR(__xludf.DUMMYFUNCTION("""COMPUTED_VALUE"""),"栗原 大武")</f>
        <v>栗原 大武</v>
      </c>
    </row>
    <row r="8191" spans="2:4" ht="13">
      <c r="B8191" s="12">
        <f ca="1">IFERROR(__xludf.DUMMYFUNCTION("""COMPUTED_VALUE"""),140981)</f>
        <v>140981</v>
      </c>
      <c r="C8191" s="14">
        <f ca="1">IFERROR(__xludf.DUMMYFUNCTION("""COMPUTED_VALUE"""),0)</f>
        <v>0</v>
      </c>
      <c r="D8191" s="12" t="str">
        <f ca="1">IFERROR(__xludf.DUMMYFUNCTION("""COMPUTED_VALUE"""),"芳賀 亮輔")</f>
        <v>芳賀 亮輔</v>
      </c>
    </row>
    <row r="8192" spans="2:4" ht="13">
      <c r="B8192" s="12">
        <f ca="1">IFERROR(__xludf.DUMMYFUNCTION("""COMPUTED_VALUE"""),140982)</f>
        <v>140982</v>
      </c>
      <c r="C8192" s="14">
        <f ca="1">IFERROR(__xludf.DUMMYFUNCTION("""COMPUTED_VALUE"""),0)</f>
        <v>0</v>
      </c>
      <c r="D8192" s="12" t="str">
        <f ca="1">IFERROR(__xludf.DUMMYFUNCTION("""COMPUTED_VALUE"""),"栗原 大武")</f>
        <v>栗原 大武</v>
      </c>
    </row>
    <row r="8193" spans="2:4" ht="13">
      <c r="B8193" s="12">
        <f ca="1">IFERROR(__xludf.DUMMYFUNCTION("""COMPUTED_VALUE"""),140984)</f>
        <v>140984</v>
      </c>
      <c r="C8193" s="14">
        <f ca="1">IFERROR(__xludf.DUMMYFUNCTION("""COMPUTED_VALUE"""),8)</f>
        <v>8</v>
      </c>
      <c r="D8193" s="12" t="str">
        <f ca="1">IFERROR(__xludf.DUMMYFUNCTION("""COMPUTED_VALUE"""),"桐山 勝気")</f>
        <v>桐山 勝気</v>
      </c>
    </row>
    <row r="8194" spans="2:4" ht="13">
      <c r="B8194" s="12">
        <f ca="1">IFERROR(__xludf.DUMMYFUNCTION("""COMPUTED_VALUE"""),140986)</f>
        <v>140986</v>
      </c>
      <c r="C8194" s="14">
        <f ca="1">IFERROR(__xludf.DUMMYFUNCTION("""COMPUTED_VALUE"""),2)</f>
        <v>2</v>
      </c>
      <c r="D8194" s="12" t="str">
        <f ca="1">IFERROR(__xludf.DUMMYFUNCTION("""COMPUTED_VALUE"""),"成嶋 夏未")</f>
        <v>成嶋 夏未</v>
      </c>
    </row>
    <row r="8195" spans="2:4" ht="13">
      <c r="B8195" s="12">
        <f ca="1">IFERROR(__xludf.DUMMYFUNCTION("""COMPUTED_VALUE"""),140987)</f>
        <v>140987</v>
      </c>
      <c r="C8195" s="14">
        <f ca="1">IFERROR(__xludf.DUMMYFUNCTION("""COMPUTED_VALUE"""),0)</f>
        <v>0</v>
      </c>
      <c r="D8195" s="12" t="str">
        <f ca="1">IFERROR(__xludf.DUMMYFUNCTION("""COMPUTED_VALUE"""),"辻村 将大")</f>
        <v>辻村 将大</v>
      </c>
    </row>
    <row r="8196" spans="2:4" ht="13">
      <c r="B8196" s="12">
        <f ca="1">IFERROR(__xludf.DUMMYFUNCTION("""COMPUTED_VALUE"""),140988)</f>
        <v>140988</v>
      </c>
      <c r="C8196" s="14">
        <f ca="1">IFERROR(__xludf.DUMMYFUNCTION("""COMPUTED_VALUE"""),15)</f>
        <v>15</v>
      </c>
      <c r="D8196" s="12" t="str">
        <f ca="1">IFERROR(__xludf.DUMMYFUNCTION("""COMPUTED_VALUE"""),"桐山 勝気")</f>
        <v>桐山 勝気</v>
      </c>
    </row>
    <row r="8197" spans="2:4" ht="13">
      <c r="B8197" s="12">
        <f ca="1">IFERROR(__xludf.DUMMYFUNCTION("""COMPUTED_VALUE"""),140989)</f>
        <v>140989</v>
      </c>
      <c r="C8197" s="14">
        <f ca="1">IFERROR(__xludf.DUMMYFUNCTION("""COMPUTED_VALUE"""),2)</f>
        <v>2</v>
      </c>
      <c r="D8197" s="12" t="str">
        <f ca="1">IFERROR(__xludf.DUMMYFUNCTION("""COMPUTED_VALUE"""),"小川 純")</f>
        <v>小川 純</v>
      </c>
    </row>
    <row r="8198" spans="2:4" ht="13">
      <c r="B8198" s="12">
        <f ca="1">IFERROR(__xludf.DUMMYFUNCTION("""COMPUTED_VALUE"""),140990)</f>
        <v>140990</v>
      </c>
      <c r="C8198" s="14">
        <f ca="1">IFERROR(__xludf.DUMMYFUNCTION("""COMPUTED_VALUE"""),23)</f>
        <v>23</v>
      </c>
      <c r="D8198" s="12" t="str">
        <f ca="1">IFERROR(__xludf.DUMMYFUNCTION("""COMPUTED_VALUE"""),"辻村 将大")</f>
        <v>辻村 将大</v>
      </c>
    </row>
    <row r="8199" spans="2:4" ht="13">
      <c r="B8199" s="12">
        <f ca="1">IFERROR(__xludf.DUMMYFUNCTION("""COMPUTED_VALUE"""),140991)</f>
        <v>140991</v>
      </c>
      <c r="C8199" s="14">
        <f ca="1">IFERROR(__xludf.DUMMYFUNCTION("""COMPUTED_VALUE"""),0)</f>
        <v>0</v>
      </c>
      <c r="D8199" s="12" t="str">
        <f ca="1">IFERROR(__xludf.DUMMYFUNCTION("""COMPUTED_VALUE"""),"桐山 勝気")</f>
        <v>桐山 勝気</v>
      </c>
    </row>
    <row r="8200" spans="2:4" ht="13">
      <c r="B8200" s="12">
        <f ca="1">IFERROR(__xludf.DUMMYFUNCTION("""COMPUTED_VALUE"""),140992)</f>
        <v>140992</v>
      </c>
      <c r="C8200" s="14">
        <f ca="1">IFERROR(__xludf.DUMMYFUNCTION("""COMPUTED_VALUE"""),0)</f>
        <v>0</v>
      </c>
      <c r="D8200" s="12" t="str">
        <f ca="1">IFERROR(__xludf.DUMMYFUNCTION("""COMPUTED_VALUE"""),"荻曽 克輝")</f>
        <v>荻曽 克輝</v>
      </c>
    </row>
    <row r="8201" spans="2:4" ht="13">
      <c r="B8201" s="12">
        <f ca="1">IFERROR(__xludf.DUMMYFUNCTION("""COMPUTED_VALUE"""),140997)</f>
        <v>140997</v>
      </c>
      <c r="C8201" s="14">
        <f ca="1">IFERROR(__xludf.DUMMYFUNCTION("""COMPUTED_VALUE"""),0)</f>
        <v>0</v>
      </c>
      <c r="D8201" s="12" t="str">
        <f ca="1">IFERROR(__xludf.DUMMYFUNCTION("""COMPUTED_VALUE"""),"荻曽 克輝")</f>
        <v>荻曽 克輝</v>
      </c>
    </row>
    <row r="8202" spans="2:4" ht="13">
      <c r="B8202" s="12">
        <f ca="1">IFERROR(__xludf.DUMMYFUNCTION("""COMPUTED_VALUE"""),140998)</f>
        <v>140998</v>
      </c>
      <c r="C8202" s="14">
        <f ca="1">IFERROR(__xludf.DUMMYFUNCTION("""COMPUTED_VALUE"""),14)</f>
        <v>14</v>
      </c>
      <c r="D8202" s="12" t="str">
        <f ca="1">IFERROR(__xludf.DUMMYFUNCTION("""COMPUTED_VALUE"""),"小川 純")</f>
        <v>小川 純</v>
      </c>
    </row>
    <row r="8203" spans="2:4" ht="13">
      <c r="B8203" s="12">
        <f ca="1">IFERROR(__xludf.DUMMYFUNCTION("""COMPUTED_VALUE"""),140999)</f>
        <v>140999</v>
      </c>
      <c r="C8203" s="14">
        <f ca="1">IFERROR(__xludf.DUMMYFUNCTION("""COMPUTED_VALUE"""),175)</f>
        <v>175</v>
      </c>
      <c r="D8203" s="12" t="str">
        <f ca="1">IFERROR(__xludf.DUMMYFUNCTION("""COMPUTED_VALUE"""),"辻村 将大")</f>
        <v>辻村 将大</v>
      </c>
    </row>
    <row r="8204" spans="2:4" ht="13">
      <c r="B8204" s="12">
        <f ca="1">IFERROR(__xludf.DUMMYFUNCTION("""COMPUTED_VALUE"""),141000)</f>
        <v>141000</v>
      </c>
      <c r="C8204" s="14">
        <f ca="1">IFERROR(__xludf.DUMMYFUNCTION("""COMPUTED_VALUE"""),0)</f>
        <v>0</v>
      </c>
      <c r="D8204" s="12" t="str">
        <f ca="1">IFERROR(__xludf.DUMMYFUNCTION("""COMPUTED_VALUE"""),"芳賀 亮輔")</f>
        <v>芳賀 亮輔</v>
      </c>
    </row>
    <row r="8205" spans="2:4" ht="13">
      <c r="B8205" s="12">
        <f ca="1">IFERROR(__xludf.DUMMYFUNCTION("""COMPUTED_VALUE"""),141001)</f>
        <v>141001</v>
      </c>
      <c r="C8205" s="14">
        <f ca="1">IFERROR(__xludf.DUMMYFUNCTION("""COMPUTED_VALUE"""),28)</f>
        <v>28</v>
      </c>
      <c r="D8205" s="12" t="str">
        <f ca="1">IFERROR(__xludf.DUMMYFUNCTION("""COMPUTED_VALUE"""),"老田 純輝")</f>
        <v>老田 純輝</v>
      </c>
    </row>
    <row r="8206" spans="2:4" ht="13">
      <c r="B8206" s="12">
        <f ca="1">IFERROR(__xludf.DUMMYFUNCTION("""COMPUTED_VALUE"""),141004)</f>
        <v>141004</v>
      </c>
      <c r="C8206" s="14">
        <f ca="1">IFERROR(__xludf.DUMMYFUNCTION("""COMPUTED_VALUE"""),0)</f>
        <v>0</v>
      </c>
      <c r="D8206" s="12" t="str">
        <f ca="1">IFERROR(__xludf.DUMMYFUNCTION("""COMPUTED_VALUE"""),"小川 純")</f>
        <v>小川 純</v>
      </c>
    </row>
    <row r="8207" spans="2:4" ht="13">
      <c r="B8207" s="12">
        <f ca="1">IFERROR(__xludf.DUMMYFUNCTION("""COMPUTED_VALUE"""),141005)</f>
        <v>141005</v>
      </c>
      <c r="C8207" s="14">
        <f ca="1">IFERROR(__xludf.DUMMYFUNCTION("""COMPUTED_VALUE"""),0)</f>
        <v>0</v>
      </c>
      <c r="D8207" s="12" t="str">
        <f ca="1">IFERROR(__xludf.DUMMYFUNCTION("""COMPUTED_VALUE"""),"芳賀 亮輔")</f>
        <v>芳賀 亮輔</v>
      </c>
    </row>
    <row r="8208" spans="2:4" ht="13">
      <c r="B8208" s="12">
        <f ca="1">IFERROR(__xludf.DUMMYFUNCTION("""COMPUTED_VALUE"""),141006)</f>
        <v>141006</v>
      </c>
      <c r="C8208" s="14">
        <f ca="1">IFERROR(__xludf.DUMMYFUNCTION("""COMPUTED_VALUE"""),0)</f>
        <v>0</v>
      </c>
      <c r="D8208" s="12" t="str">
        <f ca="1">IFERROR(__xludf.DUMMYFUNCTION("""COMPUTED_VALUE"""),"小川 純")</f>
        <v>小川 純</v>
      </c>
    </row>
    <row r="8209" spans="2:4" ht="13">
      <c r="B8209" s="12">
        <f ca="1">IFERROR(__xludf.DUMMYFUNCTION("""COMPUTED_VALUE"""),141007)</f>
        <v>141007</v>
      </c>
      <c r="C8209" s="14">
        <f ca="1">IFERROR(__xludf.DUMMYFUNCTION("""COMPUTED_VALUE"""),24)</f>
        <v>24</v>
      </c>
      <c r="D8209" s="12" t="str">
        <f ca="1">IFERROR(__xludf.DUMMYFUNCTION("""COMPUTED_VALUE"""),"小川 純")</f>
        <v>小川 純</v>
      </c>
    </row>
    <row r="8210" spans="2:4" ht="13">
      <c r="B8210" s="12">
        <f ca="1">IFERROR(__xludf.DUMMYFUNCTION("""COMPUTED_VALUE"""),141012)</f>
        <v>141012</v>
      </c>
      <c r="C8210" s="14">
        <f ca="1">IFERROR(__xludf.DUMMYFUNCTION("""COMPUTED_VALUE"""),1)</f>
        <v>1</v>
      </c>
      <c r="D8210" s="12" t="str">
        <f ca="1">IFERROR(__xludf.DUMMYFUNCTION("""COMPUTED_VALUE"""),"老田 純輝")</f>
        <v>老田 純輝</v>
      </c>
    </row>
    <row r="8211" spans="2:4" ht="13">
      <c r="B8211" s="12">
        <f ca="1">IFERROR(__xludf.DUMMYFUNCTION("""COMPUTED_VALUE"""),141013)</f>
        <v>141013</v>
      </c>
      <c r="C8211" s="14">
        <f ca="1">IFERROR(__xludf.DUMMYFUNCTION("""COMPUTED_VALUE"""),0)</f>
        <v>0</v>
      </c>
      <c r="D8211" s="12" t="str">
        <f ca="1">IFERROR(__xludf.DUMMYFUNCTION("""COMPUTED_VALUE"""),"栗原 大武")</f>
        <v>栗原 大武</v>
      </c>
    </row>
    <row r="8212" spans="2:4" ht="13">
      <c r="B8212" s="12">
        <f ca="1">IFERROR(__xludf.DUMMYFUNCTION("""COMPUTED_VALUE"""),141016)</f>
        <v>141016</v>
      </c>
      <c r="C8212" s="14">
        <f ca="1">IFERROR(__xludf.DUMMYFUNCTION("""COMPUTED_VALUE"""),0)</f>
        <v>0</v>
      </c>
      <c r="D8212" s="12" t="str">
        <f ca="1">IFERROR(__xludf.DUMMYFUNCTION("""COMPUTED_VALUE"""),"栗原 大武")</f>
        <v>栗原 大武</v>
      </c>
    </row>
    <row r="8213" spans="2:4" ht="13">
      <c r="B8213" s="12">
        <f ca="1">IFERROR(__xludf.DUMMYFUNCTION("""COMPUTED_VALUE"""),141019)</f>
        <v>141019</v>
      </c>
      <c r="C8213" s="14">
        <f ca="1">IFERROR(__xludf.DUMMYFUNCTION("""COMPUTED_VALUE"""),32)</f>
        <v>32</v>
      </c>
      <c r="D8213" s="12" t="str">
        <f ca="1">IFERROR(__xludf.DUMMYFUNCTION("""COMPUTED_VALUE"""),"稲場 勇介")</f>
        <v>稲場 勇介</v>
      </c>
    </row>
    <row r="8214" spans="2:4" ht="13">
      <c r="B8214" s="12">
        <f ca="1">IFERROR(__xludf.DUMMYFUNCTION("""COMPUTED_VALUE"""),141021)</f>
        <v>141021</v>
      </c>
      <c r="C8214" s="14">
        <f ca="1">IFERROR(__xludf.DUMMYFUNCTION("""COMPUTED_VALUE"""),7)</f>
        <v>7</v>
      </c>
      <c r="D8214" s="12" t="str">
        <f ca="1">IFERROR(__xludf.DUMMYFUNCTION("""COMPUTED_VALUE"""),"菅野 ぎんが")</f>
        <v>菅野 ぎんが</v>
      </c>
    </row>
    <row r="8215" spans="2:4" ht="13">
      <c r="B8215" s="12">
        <f ca="1">IFERROR(__xludf.DUMMYFUNCTION("""COMPUTED_VALUE"""),141022)</f>
        <v>141022</v>
      </c>
      <c r="C8215" s="14">
        <f ca="1">IFERROR(__xludf.DUMMYFUNCTION("""COMPUTED_VALUE"""),0)</f>
        <v>0</v>
      </c>
      <c r="D8215" s="12" t="str">
        <f ca="1">IFERROR(__xludf.DUMMYFUNCTION("""COMPUTED_VALUE"""),"桐山 勝気")</f>
        <v>桐山 勝気</v>
      </c>
    </row>
    <row r="8216" spans="2:4" ht="13">
      <c r="B8216" s="12">
        <f ca="1">IFERROR(__xludf.DUMMYFUNCTION("""COMPUTED_VALUE"""),141023)</f>
        <v>141023</v>
      </c>
      <c r="C8216" s="14">
        <f ca="1">IFERROR(__xludf.DUMMYFUNCTION("""COMPUTED_VALUE"""),0)</f>
        <v>0</v>
      </c>
      <c r="D8216" s="12" t="str">
        <f ca="1">IFERROR(__xludf.DUMMYFUNCTION("""COMPUTED_VALUE"""),"菅野 ぎんが")</f>
        <v>菅野 ぎんが</v>
      </c>
    </row>
    <row r="8217" spans="2:4" ht="13">
      <c r="B8217" s="12">
        <f ca="1">IFERROR(__xludf.DUMMYFUNCTION("""COMPUTED_VALUE"""),141030)</f>
        <v>141030</v>
      </c>
      <c r="C8217" s="14">
        <f ca="1">IFERROR(__xludf.DUMMYFUNCTION("""COMPUTED_VALUE"""),0)</f>
        <v>0</v>
      </c>
      <c r="D8217" s="12" t="str">
        <f ca="1">IFERROR(__xludf.DUMMYFUNCTION("""COMPUTED_VALUE"""),"芳賀 亮輔")</f>
        <v>芳賀 亮輔</v>
      </c>
    </row>
    <row r="8218" spans="2:4" ht="13">
      <c r="B8218" s="12">
        <f ca="1">IFERROR(__xludf.DUMMYFUNCTION("""COMPUTED_VALUE"""),141031)</f>
        <v>141031</v>
      </c>
      <c r="C8218" s="14">
        <f ca="1">IFERROR(__xludf.DUMMYFUNCTION("""COMPUTED_VALUE"""),0)</f>
        <v>0</v>
      </c>
      <c r="D8218" s="12" t="str">
        <f ca="1">IFERROR(__xludf.DUMMYFUNCTION("""COMPUTED_VALUE"""),"松尾 尚樹")</f>
        <v>松尾 尚樹</v>
      </c>
    </row>
    <row r="8219" spans="2:4" ht="13">
      <c r="B8219" s="12">
        <f ca="1">IFERROR(__xludf.DUMMYFUNCTION("""COMPUTED_VALUE"""),141034)</f>
        <v>141034</v>
      </c>
      <c r="C8219" s="14">
        <f ca="1">IFERROR(__xludf.DUMMYFUNCTION("""COMPUTED_VALUE"""),0)</f>
        <v>0</v>
      </c>
      <c r="D8219" s="12" t="str">
        <f ca="1">IFERROR(__xludf.DUMMYFUNCTION("""COMPUTED_VALUE"""),"老田 純輝")</f>
        <v>老田 純輝</v>
      </c>
    </row>
    <row r="8220" spans="2:4" ht="13">
      <c r="B8220" s="12">
        <f ca="1">IFERROR(__xludf.DUMMYFUNCTION("""COMPUTED_VALUE"""),141045)</f>
        <v>141045</v>
      </c>
      <c r="C8220" s="14">
        <f ca="1">IFERROR(__xludf.DUMMYFUNCTION("""COMPUTED_VALUE"""),0)</f>
        <v>0</v>
      </c>
      <c r="D8220" s="12" t="str">
        <f ca="1">IFERROR(__xludf.DUMMYFUNCTION("""COMPUTED_VALUE"""),"村上 浩一朗")</f>
        <v>村上 浩一朗</v>
      </c>
    </row>
    <row r="8221" spans="2:4" ht="13">
      <c r="B8221" s="12">
        <f ca="1">IFERROR(__xludf.DUMMYFUNCTION("""COMPUTED_VALUE"""),141048)</f>
        <v>141048</v>
      </c>
      <c r="C8221" s="14">
        <f ca="1">IFERROR(__xludf.DUMMYFUNCTION("""COMPUTED_VALUE"""),0)</f>
        <v>0</v>
      </c>
      <c r="D8221" s="12" t="str">
        <f ca="1">IFERROR(__xludf.DUMMYFUNCTION("""COMPUTED_VALUE"""),"荻曽 克輝")</f>
        <v>荻曽 克輝</v>
      </c>
    </row>
    <row r="8222" spans="2:4" ht="13">
      <c r="B8222" s="12">
        <f ca="1">IFERROR(__xludf.DUMMYFUNCTION("""COMPUTED_VALUE"""),141050)</f>
        <v>141050</v>
      </c>
      <c r="C8222" s="14">
        <f ca="1">IFERROR(__xludf.DUMMYFUNCTION("""COMPUTED_VALUE"""),0)</f>
        <v>0</v>
      </c>
      <c r="D8222" s="12" t="str">
        <f ca="1">IFERROR(__xludf.DUMMYFUNCTION("""COMPUTED_VALUE"""),"老田 純輝")</f>
        <v>老田 純輝</v>
      </c>
    </row>
    <row r="8223" spans="2:4" ht="13">
      <c r="B8223" s="12">
        <f ca="1">IFERROR(__xludf.DUMMYFUNCTION("""COMPUTED_VALUE"""),141051)</f>
        <v>141051</v>
      </c>
      <c r="C8223" s="14">
        <f ca="1">IFERROR(__xludf.DUMMYFUNCTION("""COMPUTED_VALUE"""),0)</f>
        <v>0</v>
      </c>
      <c r="D8223" s="12" t="str">
        <f ca="1">IFERROR(__xludf.DUMMYFUNCTION("""COMPUTED_VALUE"""),"栗原 大武")</f>
        <v>栗原 大武</v>
      </c>
    </row>
    <row r="8224" spans="2:4" ht="13">
      <c r="B8224" s="12">
        <f ca="1">IFERROR(__xludf.DUMMYFUNCTION("""COMPUTED_VALUE"""),141052)</f>
        <v>141052</v>
      </c>
      <c r="C8224" s="14">
        <f ca="1">IFERROR(__xludf.DUMMYFUNCTION("""COMPUTED_VALUE"""),0)</f>
        <v>0</v>
      </c>
      <c r="D8224" s="12" t="str">
        <f ca="1">IFERROR(__xludf.DUMMYFUNCTION("""COMPUTED_VALUE"""),"老田 純輝")</f>
        <v>老田 純輝</v>
      </c>
    </row>
    <row r="8225" spans="2:4" ht="13">
      <c r="B8225" s="12">
        <f ca="1">IFERROR(__xludf.DUMMYFUNCTION("""COMPUTED_VALUE"""),141059)</f>
        <v>141059</v>
      </c>
      <c r="C8225" s="14">
        <f ca="1">IFERROR(__xludf.DUMMYFUNCTION("""COMPUTED_VALUE"""),0)</f>
        <v>0</v>
      </c>
      <c r="D8225" s="12" t="str">
        <f ca="1">IFERROR(__xludf.DUMMYFUNCTION("""COMPUTED_VALUE"""),"辻村 将大")</f>
        <v>辻村 将大</v>
      </c>
    </row>
    <row r="8226" spans="2:4" ht="13">
      <c r="B8226" s="12">
        <f ca="1">IFERROR(__xludf.DUMMYFUNCTION("""COMPUTED_VALUE"""),141060)</f>
        <v>141060</v>
      </c>
      <c r="C8226" s="14">
        <f ca="1">IFERROR(__xludf.DUMMYFUNCTION("""COMPUTED_VALUE"""),0)</f>
        <v>0</v>
      </c>
      <c r="D8226" s="12" t="str">
        <f ca="1">IFERROR(__xludf.DUMMYFUNCTION("""COMPUTED_VALUE"""),"成嶋 夏未")</f>
        <v>成嶋 夏未</v>
      </c>
    </row>
    <row r="8227" spans="2:4" ht="13">
      <c r="B8227" s="12">
        <f ca="1">IFERROR(__xludf.DUMMYFUNCTION("""COMPUTED_VALUE"""),141061)</f>
        <v>141061</v>
      </c>
      <c r="C8227" s="14">
        <f ca="1">IFERROR(__xludf.DUMMYFUNCTION("""COMPUTED_VALUE"""),0)</f>
        <v>0</v>
      </c>
      <c r="D8227" s="12" t="str">
        <f ca="1">IFERROR(__xludf.DUMMYFUNCTION("""COMPUTED_VALUE"""),"成嶋 夏未")</f>
        <v>成嶋 夏未</v>
      </c>
    </row>
    <row r="8228" spans="2:4" ht="13">
      <c r="B8228" s="12">
        <f ca="1">IFERROR(__xludf.DUMMYFUNCTION("""COMPUTED_VALUE"""),141062)</f>
        <v>141062</v>
      </c>
      <c r="C8228" s="14">
        <f ca="1">IFERROR(__xludf.DUMMYFUNCTION("""COMPUTED_VALUE"""),0)</f>
        <v>0</v>
      </c>
      <c r="D8228" s="12" t="str">
        <f ca="1">IFERROR(__xludf.DUMMYFUNCTION("""COMPUTED_VALUE"""),"桑原 明子")</f>
        <v>桑原 明子</v>
      </c>
    </row>
    <row r="8229" spans="2:4" ht="13">
      <c r="B8229" s="12">
        <f ca="1">IFERROR(__xludf.DUMMYFUNCTION("""COMPUTED_VALUE"""),141071)</f>
        <v>141071</v>
      </c>
      <c r="C8229" s="14">
        <f ca="1">IFERROR(__xludf.DUMMYFUNCTION("""COMPUTED_VALUE"""),0)</f>
        <v>0</v>
      </c>
      <c r="D8229" s="12" t="str">
        <f ca="1">IFERROR(__xludf.DUMMYFUNCTION("""COMPUTED_VALUE"""),"荻曽 克輝")</f>
        <v>荻曽 克輝</v>
      </c>
    </row>
    <row r="8230" spans="2:4" ht="13">
      <c r="B8230" s="12">
        <f ca="1">IFERROR(__xludf.DUMMYFUNCTION("""COMPUTED_VALUE"""),141072)</f>
        <v>141072</v>
      </c>
      <c r="C8230" s="14">
        <f ca="1">IFERROR(__xludf.DUMMYFUNCTION("""COMPUTED_VALUE"""),0)</f>
        <v>0</v>
      </c>
      <c r="D8230" s="12" t="str">
        <f ca="1">IFERROR(__xludf.DUMMYFUNCTION("""COMPUTED_VALUE"""),"菅野 ぎんが")</f>
        <v>菅野 ぎんが</v>
      </c>
    </row>
    <row r="8231" spans="2:4" ht="13">
      <c r="B8231" s="12">
        <f ca="1">IFERROR(__xludf.DUMMYFUNCTION("""COMPUTED_VALUE"""),141073)</f>
        <v>141073</v>
      </c>
      <c r="C8231" s="14">
        <f ca="1">IFERROR(__xludf.DUMMYFUNCTION("""COMPUTED_VALUE"""),0)</f>
        <v>0</v>
      </c>
      <c r="D8231" s="12" t="str">
        <f ca="1">IFERROR(__xludf.DUMMYFUNCTION("""COMPUTED_VALUE"""),"菅野 ぎんが")</f>
        <v>菅野 ぎんが</v>
      </c>
    </row>
    <row r="8232" spans="2:4" ht="13">
      <c r="B8232" s="12">
        <f ca="1">IFERROR(__xludf.DUMMYFUNCTION("""COMPUTED_VALUE"""),141075)</f>
        <v>141075</v>
      </c>
      <c r="C8232" s="14">
        <f ca="1">IFERROR(__xludf.DUMMYFUNCTION("""COMPUTED_VALUE"""),0)</f>
        <v>0</v>
      </c>
      <c r="D8232" s="12" t="str">
        <f ca="1">IFERROR(__xludf.DUMMYFUNCTION("""COMPUTED_VALUE"""),"桐山 勝気")</f>
        <v>桐山 勝気</v>
      </c>
    </row>
    <row r="8233" spans="2:4" ht="13">
      <c r="B8233" s="12">
        <f ca="1">IFERROR(__xludf.DUMMYFUNCTION("""COMPUTED_VALUE"""),141076)</f>
        <v>141076</v>
      </c>
      <c r="C8233" s="14">
        <f ca="1">IFERROR(__xludf.DUMMYFUNCTION("""COMPUTED_VALUE"""),6)</f>
        <v>6</v>
      </c>
      <c r="D8233" s="12" t="str">
        <f ca="1">IFERROR(__xludf.DUMMYFUNCTION("""COMPUTED_VALUE"""),"菅野 ぎんが")</f>
        <v>菅野 ぎんが</v>
      </c>
    </row>
    <row r="8234" spans="2:4" ht="13">
      <c r="B8234" s="12">
        <f ca="1">IFERROR(__xludf.DUMMYFUNCTION("""COMPUTED_VALUE"""),141077)</f>
        <v>141077</v>
      </c>
      <c r="C8234" s="14">
        <f ca="1">IFERROR(__xludf.DUMMYFUNCTION("""COMPUTED_VALUE"""),0)</f>
        <v>0</v>
      </c>
      <c r="D8234" s="12" t="str">
        <f ca="1">IFERROR(__xludf.DUMMYFUNCTION("""COMPUTED_VALUE"""),"松尾 尚樹")</f>
        <v>松尾 尚樹</v>
      </c>
    </row>
    <row r="8235" spans="2:4" ht="13">
      <c r="B8235" s="12">
        <f ca="1">IFERROR(__xludf.DUMMYFUNCTION("""COMPUTED_VALUE"""),141079)</f>
        <v>141079</v>
      </c>
      <c r="C8235" s="14">
        <f ca="1">IFERROR(__xludf.DUMMYFUNCTION("""COMPUTED_VALUE"""),0)</f>
        <v>0</v>
      </c>
      <c r="D8235" s="12" t="str">
        <f ca="1">IFERROR(__xludf.DUMMYFUNCTION("""COMPUTED_VALUE"""),"桐山 勝気")</f>
        <v>桐山 勝気</v>
      </c>
    </row>
    <row r="8236" spans="2:4" ht="13">
      <c r="B8236" s="12">
        <f ca="1">IFERROR(__xludf.DUMMYFUNCTION("""COMPUTED_VALUE"""),141080)</f>
        <v>141080</v>
      </c>
      <c r="C8236" s="14">
        <f ca="1">IFERROR(__xludf.DUMMYFUNCTION("""COMPUTED_VALUE"""),0)</f>
        <v>0</v>
      </c>
      <c r="D8236" s="12" t="str">
        <f ca="1">IFERROR(__xludf.DUMMYFUNCTION("""COMPUTED_VALUE"""),"小川 純")</f>
        <v>小川 純</v>
      </c>
    </row>
    <row r="8237" spans="2:4" ht="13">
      <c r="B8237" s="12">
        <f ca="1">IFERROR(__xludf.DUMMYFUNCTION("""COMPUTED_VALUE"""),141081)</f>
        <v>141081</v>
      </c>
      <c r="C8237" s="14">
        <f ca="1">IFERROR(__xludf.DUMMYFUNCTION("""COMPUTED_VALUE"""),0)</f>
        <v>0</v>
      </c>
      <c r="D8237" s="12" t="str">
        <f ca="1">IFERROR(__xludf.DUMMYFUNCTION("""COMPUTED_VALUE"""),"荻曽 克輝")</f>
        <v>荻曽 克輝</v>
      </c>
    </row>
    <row r="8238" spans="2:4" ht="13">
      <c r="B8238" s="12">
        <f ca="1">IFERROR(__xludf.DUMMYFUNCTION("""COMPUTED_VALUE"""),141087)</f>
        <v>141087</v>
      </c>
      <c r="C8238" s="14">
        <f ca="1">IFERROR(__xludf.DUMMYFUNCTION("""COMPUTED_VALUE"""),0)</f>
        <v>0</v>
      </c>
      <c r="D8238" s="12" t="str">
        <f ca="1">IFERROR(__xludf.DUMMYFUNCTION("""COMPUTED_VALUE"""),"堀越 駿")</f>
        <v>堀越 駿</v>
      </c>
    </row>
    <row r="8239" spans="2:4" ht="13">
      <c r="B8239" s="12">
        <f ca="1">IFERROR(__xludf.DUMMYFUNCTION("""COMPUTED_VALUE"""),141088)</f>
        <v>141088</v>
      </c>
      <c r="C8239" s="14">
        <f ca="1">IFERROR(__xludf.DUMMYFUNCTION("""COMPUTED_VALUE"""),65)</f>
        <v>65</v>
      </c>
      <c r="D8239" s="12" t="str">
        <f ca="1">IFERROR(__xludf.DUMMYFUNCTION("""COMPUTED_VALUE"""),"荻曽 克輝")</f>
        <v>荻曽 克輝</v>
      </c>
    </row>
    <row r="8240" spans="2:4" ht="13">
      <c r="B8240" s="12">
        <f ca="1">IFERROR(__xludf.DUMMYFUNCTION("""COMPUTED_VALUE"""),141089)</f>
        <v>141089</v>
      </c>
      <c r="C8240" s="14">
        <f ca="1">IFERROR(__xludf.DUMMYFUNCTION("""COMPUTED_VALUE"""),0)</f>
        <v>0</v>
      </c>
      <c r="D8240" s="12" t="str">
        <f ca="1">IFERROR(__xludf.DUMMYFUNCTION("""COMPUTED_VALUE"""),"辻村 将大")</f>
        <v>辻村 将大</v>
      </c>
    </row>
    <row r="8241" spans="2:4" ht="13">
      <c r="B8241" s="12">
        <f ca="1">IFERROR(__xludf.DUMMYFUNCTION("""COMPUTED_VALUE"""),141091)</f>
        <v>141091</v>
      </c>
      <c r="C8241" s="14">
        <f ca="1">IFERROR(__xludf.DUMMYFUNCTION("""COMPUTED_VALUE"""),18)</f>
        <v>18</v>
      </c>
      <c r="D8241" s="12" t="str">
        <f ca="1">IFERROR(__xludf.DUMMYFUNCTION("""COMPUTED_VALUE"""),"荻曽 克輝")</f>
        <v>荻曽 克輝</v>
      </c>
    </row>
    <row r="8242" spans="2:4" ht="13">
      <c r="B8242" s="12">
        <f ca="1">IFERROR(__xludf.DUMMYFUNCTION("""COMPUTED_VALUE"""),141093)</f>
        <v>141093</v>
      </c>
      <c r="C8242" s="14">
        <f ca="1">IFERROR(__xludf.DUMMYFUNCTION("""COMPUTED_VALUE"""),0)</f>
        <v>0</v>
      </c>
      <c r="D8242" s="12" t="str">
        <f ca="1">IFERROR(__xludf.DUMMYFUNCTION("""COMPUTED_VALUE"""),"稲場 勇介")</f>
        <v>稲場 勇介</v>
      </c>
    </row>
    <row r="8243" spans="2:4" ht="13">
      <c r="B8243" s="12">
        <f ca="1">IFERROR(__xludf.DUMMYFUNCTION("""COMPUTED_VALUE"""),141094)</f>
        <v>141094</v>
      </c>
      <c r="C8243" s="14">
        <f ca="1">IFERROR(__xludf.DUMMYFUNCTION("""COMPUTED_VALUE"""),0)</f>
        <v>0</v>
      </c>
      <c r="D8243" s="12" t="str">
        <f ca="1">IFERROR(__xludf.DUMMYFUNCTION("""COMPUTED_VALUE"""),"小関 麻起")</f>
        <v>小関 麻起</v>
      </c>
    </row>
    <row r="8244" spans="2:4" ht="13">
      <c r="B8244" s="12">
        <f ca="1">IFERROR(__xludf.DUMMYFUNCTION("""COMPUTED_VALUE"""),141096)</f>
        <v>141096</v>
      </c>
      <c r="C8244" s="14">
        <f ca="1">IFERROR(__xludf.DUMMYFUNCTION("""COMPUTED_VALUE"""),6)</f>
        <v>6</v>
      </c>
      <c r="D8244" s="12" t="str">
        <f ca="1">IFERROR(__xludf.DUMMYFUNCTION("""COMPUTED_VALUE"""),"荻曽 克輝")</f>
        <v>荻曽 克輝</v>
      </c>
    </row>
    <row r="8245" spans="2:4" ht="13">
      <c r="B8245" s="12">
        <f ca="1">IFERROR(__xludf.DUMMYFUNCTION("""COMPUTED_VALUE"""),141097)</f>
        <v>141097</v>
      </c>
      <c r="C8245" s="14">
        <f ca="1">IFERROR(__xludf.DUMMYFUNCTION("""COMPUTED_VALUE"""),7)</f>
        <v>7</v>
      </c>
      <c r="D8245" s="12" t="str">
        <f ca="1">IFERROR(__xludf.DUMMYFUNCTION("""COMPUTED_VALUE"""),"稲場 勇介")</f>
        <v>稲場 勇介</v>
      </c>
    </row>
    <row r="8246" spans="2:4" ht="13">
      <c r="B8246" s="12">
        <f ca="1">IFERROR(__xludf.DUMMYFUNCTION("""COMPUTED_VALUE"""),141102)</f>
        <v>141102</v>
      </c>
      <c r="C8246" s="14">
        <f ca="1">IFERROR(__xludf.DUMMYFUNCTION("""COMPUTED_VALUE"""),0)</f>
        <v>0</v>
      </c>
      <c r="D8246" s="12" t="str">
        <f ca="1">IFERROR(__xludf.DUMMYFUNCTION("""COMPUTED_VALUE"""),"小関 麻起")</f>
        <v>小関 麻起</v>
      </c>
    </row>
    <row r="8247" spans="2:4" ht="13">
      <c r="B8247" s="12">
        <f ca="1">IFERROR(__xludf.DUMMYFUNCTION("""COMPUTED_VALUE"""),141105)</f>
        <v>141105</v>
      </c>
      <c r="C8247" s="14">
        <f ca="1">IFERROR(__xludf.DUMMYFUNCTION("""COMPUTED_VALUE"""),0)</f>
        <v>0</v>
      </c>
      <c r="D8247" s="12" t="str">
        <f ca="1">IFERROR(__xludf.DUMMYFUNCTION("""COMPUTED_VALUE"""),"栗原 大武")</f>
        <v>栗原 大武</v>
      </c>
    </row>
    <row r="8248" spans="2:4" ht="13">
      <c r="B8248" s="12">
        <f ca="1">IFERROR(__xludf.DUMMYFUNCTION("""COMPUTED_VALUE"""),141107)</f>
        <v>141107</v>
      </c>
      <c r="C8248" s="14">
        <f ca="1">IFERROR(__xludf.DUMMYFUNCTION("""COMPUTED_VALUE"""),1)</f>
        <v>1</v>
      </c>
      <c r="D8248" s="12" t="str">
        <f ca="1">IFERROR(__xludf.DUMMYFUNCTION("""COMPUTED_VALUE"""),"栗原 大武")</f>
        <v>栗原 大武</v>
      </c>
    </row>
    <row r="8249" spans="2:4" ht="13">
      <c r="B8249" s="12">
        <f ca="1">IFERROR(__xludf.DUMMYFUNCTION("""COMPUTED_VALUE"""),141110)</f>
        <v>141110</v>
      </c>
      <c r="C8249" s="14">
        <f ca="1">IFERROR(__xludf.DUMMYFUNCTION("""COMPUTED_VALUE"""),13)</f>
        <v>13</v>
      </c>
      <c r="D8249" s="12" t="str">
        <f ca="1">IFERROR(__xludf.DUMMYFUNCTION("""COMPUTED_VALUE"""),"成嶋 夏未")</f>
        <v>成嶋 夏未</v>
      </c>
    </row>
    <row r="8250" spans="2:4" ht="13">
      <c r="B8250" s="12">
        <f ca="1">IFERROR(__xludf.DUMMYFUNCTION("""COMPUTED_VALUE"""),141111)</f>
        <v>141111</v>
      </c>
      <c r="C8250" s="14">
        <f ca="1">IFERROR(__xludf.DUMMYFUNCTION("""COMPUTED_VALUE"""),0)</f>
        <v>0</v>
      </c>
      <c r="D8250" s="12" t="str">
        <f ca="1">IFERROR(__xludf.DUMMYFUNCTION("""COMPUTED_VALUE"""),"菅野 ぎんが")</f>
        <v>菅野 ぎんが</v>
      </c>
    </row>
    <row r="8251" spans="2:4" ht="13">
      <c r="B8251" s="12">
        <f ca="1">IFERROR(__xludf.DUMMYFUNCTION("""COMPUTED_VALUE"""),141112)</f>
        <v>141112</v>
      </c>
      <c r="C8251" s="14">
        <f ca="1">IFERROR(__xludf.DUMMYFUNCTION("""COMPUTED_VALUE"""),1)</f>
        <v>1</v>
      </c>
      <c r="D8251" s="12" t="str">
        <f ca="1">IFERROR(__xludf.DUMMYFUNCTION("""COMPUTED_VALUE"""),"老田 純輝")</f>
        <v>老田 純輝</v>
      </c>
    </row>
    <row r="8252" spans="2:4" ht="13">
      <c r="B8252" s="12">
        <f ca="1">IFERROR(__xludf.DUMMYFUNCTION("""COMPUTED_VALUE"""),141115)</f>
        <v>141115</v>
      </c>
      <c r="C8252" s="14">
        <f ca="1">IFERROR(__xludf.DUMMYFUNCTION("""COMPUTED_VALUE"""),0)</f>
        <v>0</v>
      </c>
      <c r="D8252" s="12" t="str">
        <f ca="1">IFERROR(__xludf.DUMMYFUNCTION("""COMPUTED_VALUE"""),"桐山 勝気")</f>
        <v>桐山 勝気</v>
      </c>
    </row>
    <row r="8253" spans="2:4" ht="13">
      <c r="B8253" s="12">
        <f ca="1">IFERROR(__xludf.DUMMYFUNCTION("""COMPUTED_VALUE"""),141116)</f>
        <v>141116</v>
      </c>
      <c r="C8253" s="14">
        <f ca="1">IFERROR(__xludf.DUMMYFUNCTION("""COMPUTED_VALUE"""),0)</f>
        <v>0</v>
      </c>
      <c r="D8253" s="12" t="str">
        <f ca="1">IFERROR(__xludf.DUMMYFUNCTION("""COMPUTED_VALUE"""),"小関 麻起")</f>
        <v>小関 麻起</v>
      </c>
    </row>
    <row r="8254" spans="2:4" ht="13">
      <c r="B8254" s="12">
        <f ca="1">IFERROR(__xludf.DUMMYFUNCTION("""COMPUTED_VALUE"""),141123)</f>
        <v>141123</v>
      </c>
      <c r="C8254" s="14">
        <f ca="1">IFERROR(__xludf.DUMMYFUNCTION("""COMPUTED_VALUE"""),0)</f>
        <v>0</v>
      </c>
      <c r="D8254" s="12" t="str">
        <f ca="1">IFERROR(__xludf.DUMMYFUNCTION("""COMPUTED_VALUE"""),"成嶋 夏未")</f>
        <v>成嶋 夏未</v>
      </c>
    </row>
    <row r="8255" spans="2:4" ht="13">
      <c r="B8255" s="12">
        <f ca="1">IFERROR(__xludf.DUMMYFUNCTION("""COMPUTED_VALUE"""),141125)</f>
        <v>141125</v>
      </c>
      <c r="C8255" s="14">
        <f ca="1">IFERROR(__xludf.DUMMYFUNCTION("""COMPUTED_VALUE"""),2)</f>
        <v>2</v>
      </c>
      <c r="D8255" s="12" t="str">
        <f ca="1">IFERROR(__xludf.DUMMYFUNCTION("""COMPUTED_VALUE"""),"稲場 勇介")</f>
        <v>稲場 勇介</v>
      </c>
    </row>
    <row r="8256" spans="2:4" ht="13">
      <c r="B8256" s="12">
        <f ca="1">IFERROR(__xludf.DUMMYFUNCTION("""COMPUTED_VALUE"""),141127)</f>
        <v>141127</v>
      </c>
      <c r="C8256" s="14">
        <f ca="1">IFERROR(__xludf.DUMMYFUNCTION("""COMPUTED_VALUE"""),0)</f>
        <v>0</v>
      </c>
      <c r="D8256" s="12" t="str">
        <f ca="1">IFERROR(__xludf.DUMMYFUNCTION("""COMPUTED_VALUE"""),"桐山 勝気")</f>
        <v>桐山 勝気</v>
      </c>
    </row>
    <row r="8257" spans="2:4" ht="13">
      <c r="B8257" s="12">
        <f ca="1">IFERROR(__xludf.DUMMYFUNCTION("""COMPUTED_VALUE"""),141129)</f>
        <v>141129</v>
      </c>
      <c r="C8257" s="14">
        <f ca="1">IFERROR(__xludf.DUMMYFUNCTION("""COMPUTED_VALUE"""),40)</f>
        <v>40</v>
      </c>
      <c r="D8257" s="12" t="str">
        <f ca="1">IFERROR(__xludf.DUMMYFUNCTION("""COMPUTED_VALUE"""),"奥野 貴大")</f>
        <v>奥野 貴大</v>
      </c>
    </row>
    <row r="8258" spans="2:4" ht="13">
      <c r="B8258" s="12">
        <f ca="1">IFERROR(__xludf.DUMMYFUNCTION("""COMPUTED_VALUE"""),141133)</f>
        <v>141133</v>
      </c>
      <c r="C8258" s="14">
        <f ca="1">IFERROR(__xludf.DUMMYFUNCTION("""COMPUTED_VALUE"""),0)</f>
        <v>0</v>
      </c>
      <c r="D8258" s="12" t="str">
        <f ca="1">IFERROR(__xludf.DUMMYFUNCTION("""COMPUTED_VALUE"""),"小川 純")</f>
        <v>小川 純</v>
      </c>
    </row>
    <row r="8259" spans="2:4" ht="13">
      <c r="B8259" s="12">
        <f ca="1">IFERROR(__xludf.DUMMYFUNCTION("""COMPUTED_VALUE"""),141134)</f>
        <v>141134</v>
      </c>
      <c r="C8259" s="14">
        <f ca="1">IFERROR(__xludf.DUMMYFUNCTION("""COMPUTED_VALUE"""),8)</f>
        <v>8</v>
      </c>
      <c r="D8259" s="12" t="str">
        <f ca="1">IFERROR(__xludf.DUMMYFUNCTION("""COMPUTED_VALUE"""),"川島 幹也")</f>
        <v>川島 幹也</v>
      </c>
    </row>
    <row r="8260" spans="2:4" ht="13">
      <c r="B8260" s="12">
        <f ca="1">IFERROR(__xludf.DUMMYFUNCTION("""COMPUTED_VALUE"""),141137)</f>
        <v>141137</v>
      </c>
      <c r="C8260" s="14">
        <f ca="1">IFERROR(__xludf.DUMMYFUNCTION("""COMPUTED_VALUE"""),18)</f>
        <v>18</v>
      </c>
      <c r="D8260" s="12" t="str">
        <f ca="1">IFERROR(__xludf.DUMMYFUNCTION("""COMPUTED_VALUE"""),"菅野 ぎんが")</f>
        <v>菅野 ぎんが</v>
      </c>
    </row>
    <row r="8261" spans="2:4" ht="13">
      <c r="B8261" s="12">
        <f ca="1">IFERROR(__xludf.DUMMYFUNCTION("""COMPUTED_VALUE"""),141141)</f>
        <v>141141</v>
      </c>
      <c r="C8261" s="14">
        <f ca="1">IFERROR(__xludf.DUMMYFUNCTION("""COMPUTED_VALUE"""),0)</f>
        <v>0</v>
      </c>
      <c r="D8261" s="12" t="str">
        <f ca="1">IFERROR(__xludf.DUMMYFUNCTION("""COMPUTED_VALUE"""),"内丸 裕子")</f>
        <v>内丸 裕子</v>
      </c>
    </row>
    <row r="8262" spans="2:4" ht="13">
      <c r="B8262" s="12">
        <f ca="1">IFERROR(__xludf.DUMMYFUNCTION("""COMPUTED_VALUE"""),141143)</f>
        <v>141143</v>
      </c>
      <c r="C8262" s="14">
        <f ca="1">IFERROR(__xludf.DUMMYFUNCTION("""COMPUTED_VALUE"""),0)</f>
        <v>0</v>
      </c>
      <c r="D8262" s="12" t="str">
        <f ca="1">IFERROR(__xludf.DUMMYFUNCTION("""COMPUTED_VALUE"""),"小川 純")</f>
        <v>小川 純</v>
      </c>
    </row>
    <row r="8263" spans="2:4" ht="13">
      <c r="B8263" s="12">
        <f ca="1">IFERROR(__xludf.DUMMYFUNCTION("""COMPUTED_VALUE"""),141156)</f>
        <v>141156</v>
      </c>
      <c r="C8263" s="14">
        <f ca="1">IFERROR(__xludf.DUMMYFUNCTION("""COMPUTED_VALUE"""),15)</f>
        <v>15</v>
      </c>
      <c r="D8263" s="12" t="str">
        <f ca="1">IFERROR(__xludf.DUMMYFUNCTION("""COMPUTED_VALUE"""),"松尾 尚樹")</f>
        <v>松尾 尚樹</v>
      </c>
    </row>
    <row r="8264" spans="2:4" ht="13">
      <c r="B8264" s="12">
        <f ca="1">IFERROR(__xludf.DUMMYFUNCTION("""COMPUTED_VALUE"""),141158)</f>
        <v>141158</v>
      </c>
      <c r="C8264" s="14">
        <f ca="1">IFERROR(__xludf.DUMMYFUNCTION("""COMPUTED_VALUE"""),0)</f>
        <v>0</v>
      </c>
      <c r="D8264" s="12" t="str">
        <f ca="1">IFERROR(__xludf.DUMMYFUNCTION("""COMPUTED_VALUE"""),"奥野 貴大")</f>
        <v>奥野 貴大</v>
      </c>
    </row>
    <row r="8265" spans="2:4" ht="13">
      <c r="B8265" s="12">
        <f ca="1">IFERROR(__xludf.DUMMYFUNCTION("""COMPUTED_VALUE"""),141159)</f>
        <v>141159</v>
      </c>
      <c r="C8265" s="14">
        <f ca="1">IFERROR(__xludf.DUMMYFUNCTION("""COMPUTED_VALUE"""),4)</f>
        <v>4</v>
      </c>
      <c r="D8265" s="12" t="str">
        <f ca="1">IFERROR(__xludf.DUMMYFUNCTION("""COMPUTED_VALUE"""),"老田 純輝")</f>
        <v>老田 純輝</v>
      </c>
    </row>
    <row r="8266" spans="2:4" ht="13">
      <c r="B8266" s="12">
        <f ca="1">IFERROR(__xludf.DUMMYFUNCTION("""COMPUTED_VALUE"""),141162)</f>
        <v>141162</v>
      </c>
      <c r="C8266" s="14">
        <f ca="1">IFERROR(__xludf.DUMMYFUNCTION("""COMPUTED_VALUE"""),0)</f>
        <v>0</v>
      </c>
      <c r="D8266" s="12" t="str">
        <f ca="1">IFERROR(__xludf.DUMMYFUNCTION("""COMPUTED_VALUE"""),"田嶋 将太")</f>
        <v>田嶋 将太</v>
      </c>
    </row>
    <row r="8267" spans="2:4" ht="13">
      <c r="B8267" s="12">
        <f ca="1">IFERROR(__xludf.DUMMYFUNCTION("""COMPUTED_VALUE"""),141166)</f>
        <v>141166</v>
      </c>
      <c r="C8267" s="14">
        <f ca="1">IFERROR(__xludf.DUMMYFUNCTION("""COMPUTED_VALUE"""),0)</f>
        <v>0</v>
      </c>
      <c r="D8267" s="12" t="str">
        <f ca="1">IFERROR(__xludf.DUMMYFUNCTION("""COMPUTED_VALUE"""),"奥野 貴大")</f>
        <v>奥野 貴大</v>
      </c>
    </row>
    <row r="8268" spans="2:4" ht="13">
      <c r="B8268" s="12">
        <f ca="1">IFERROR(__xludf.DUMMYFUNCTION("""COMPUTED_VALUE"""),141170)</f>
        <v>141170</v>
      </c>
      <c r="C8268" s="14">
        <f ca="1">IFERROR(__xludf.DUMMYFUNCTION("""COMPUTED_VALUE"""),0)</f>
        <v>0</v>
      </c>
      <c r="D8268" s="12" t="str">
        <f ca="1">IFERROR(__xludf.DUMMYFUNCTION("""COMPUTED_VALUE"""),"堀越 駿")</f>
        <v>堀越 駿</v>
      </c>
    </row>
    <row r="8269" spans="2:4" ht="13">
      <c r="B8269" s="12">
        <f ca="1">IFERROR(__xludf.DUMMYFUNCTION("""COMPUTED_VALUE"""),141172)</f>
        <v>141172</v>
      </c>
      <c r="C8269" s="14">
        <f ca="1">IFERROR(__xludf.DUMMYFUNCTION("""COMPUTED_VALUE"""),2)</f>
        <v>2</v>
      </c>
      <c r="D8269" s="12" t="str">
        <f ca="1">IFERROR(__xludf.DUMMYFUNCTION("""COMPUTED_VALUE"""),"松尾 尚樹")</f>
        <v>松尾 尚樹</v>
      </c>
    </row>
    <row r="8270" spans="2:4" ht="13">
      <c r="B8270" s="12">
        <f ca="1">IFERROR(__xludf.DUMMYFUNCTION("""COMPUTED_VALUE"""),141174)</f>
        <v>141174</v>
      </c>
      <c r="C8270" s="14">
        <f ca="1">IFERROR(__xludf.DUMMYFUNCTION("""COMPUTED_VALUE"""),1)</f>
        <v>1</v>
      </c>
      <c r="D8270" s="12" t="str">
        <f ca="1">IFERROR(__xludf.DUMMYFUNCTION("""COMPUTED_VALUE"""),"奥野 貴大")</f>
        <v>奥野 貴大</v>
      </c>
    </row>
    <row r="8271" spans="2:4" ht="13">
      <c r="B8271" s="12">
        <f ca="1">IFERROR(__xludf.DUMMYFUNCTION("""COMPUTED_VALUE"""),141176)</f>
        <v>141176</v>
      </c>
      <c r="C8271" s="14">
        <f ca="1">IFERROR(__xludf.DUMMYFUNCTION("""COMPUTED_VALUE"""),0)</f>
        <v>0</v>
      </c>
      <c r="D8271" s="12" t="str">
        <f ca="1">IFERROR(__xludf.DUMMYFUNCTION("""COMPUTED_VALUE"""),"芳賀 亮輔")</f>
        <v>芳賀 亮輔</v>
      </c>
    </row>
    <row r="8272" spans="2:4" ht="13">
      <c r="B8272" s="12">
        <f ca="1">IFERROR(__xludf.DUMMYFUNCTION("""COMPUTED_VALUE"""),141178)</f>
        <v>141178</v>
      </c>
      <c r="C8272" s="14">
        <f ca="1">IFERROR(__xludf.DUMMYFUNCTION("""COMPUTED_VALUE"""),0)</f>
        <v>0</v>
      </c>
      <c r="D8272" s="12" t="str">
        <f ca="1">IFERROR(__xludf.DUMMYFUNCTION("""COMPUTED_VALUE"""),"松尾 尚樹")</f>
        <v>松尾 尚樹</v>
      </c>
    </row>
    <row r="8273" spans="2:4" ht="13">
      <c r="B8273" s="12">
        <f ca="1">IFERROR(__xludf.DUMMYFUNCTION("""COMPUTED_VALUE"""),141180)</f>
        <v>141180</v>
      </c>
      <c r="C8273" s="14">
        <f ca="1">IFERROR(__xludf.DUMMYFUNCTION("""COMPUTED_VALUE"""),0)</f>
        <v>0</v>
      </c>
      <c r="D8273" s="12" t="str">
        <f ca="1">IFERROR(__xludf.DUMMYFUNCTION("""COMPUTED_VALUE"""),"芳賀 亮輔")</f>
        <v>芳賀 亮輔</v>
      </c>
    </row>
    <row r="8274" spans="2:4" ht="13">
      <c r="B8274" s="12">
        <f ca="1">IFERROR(__xludf.DUMMYFUNCTION("""COMPUTED_VALUE"""),141182)</f>
        <v>141182</v>
      </c>
      <c r="C8274" s="14">
        <f ca="1">IFERROR(__xludf.DUMMYFUNCTION("""COMPUTED_VALUE"""),17)</f>
        <v>17</v>
      </c>
      <c r="D8274" s="12" t="str">
        <f ca="1">IFERROR(__xludf.DUMMYFUNCTION("""COMPUTED_VALUE"""),"成嶋 夏未")</f>
        <v>成嶋 夏未</v>
      </c>
    </row>
    <row r="8275" spans="2:4" ht="13">
      <c r="B8275" s="12">
        <f ca="1">IFERROR(__xludf.DUMMYFUNCTION("""COMPUTED_VALUE"""),141184)</f>
        <v>141184</v>
      </c>
      <c r="C8275" s="14">
        <f ca="1">IFERROR(__xludf.DUMMYFUNCTION("""COMPUTED_VALUE"""),2)</f>
        <v>2</v>
      </c>
      <c r="D8275" s="12" t="str">
        <f ca="1">IFERROR(__xludf.DUMMYFUNCTION("""COMPUTED_VALUE"""),"菅野 ぎんが")</f>
        <v>菅野 ぎんが</v>
      </c>
    </row>
    <row r="8276" spans="2:4" ht="13">
      <c r="B8276" s="12">
        <f ca="1">IFERROR(__xludf.DUMMYFUNCTION("""COMPUTED_VALUE"""),141185)</f>
        <v>141185</v>
      </c>
      <c r="C8276" s="14">
        <f ca="1">IFERROR(__xludf.DUMMYFUNCTION("""COMPUTED_VALUE"""),0)</f>
        <v>0</v>
      </c>
      <c r="D8276" s="12" t="str">
        <f ca="1">IFERROR(__xludf.DUMMYFUNCTION("""COMPUTED_VALUE"""),"成嶋 夏未")</f>
        <v>成嶋 夏未</v>
      </c>
    </row>
    <row r="8277" spans="2:4" ht="13">
      <c r="B8277" s="12">
        <f ca="1">IFERROR(__xludf.DUMMYFUNCTION("""COMPUTED_VALUE"""),141186)</f>
        <v>141186</v>
      </c>
      <c r="C8277" s="14">
        <f ca="1">IFERROR(__xludf.DUMMYFUNCTION("""COMPUTED_VALUE"""),0)</f>
        <v>0</v>
      </c>
      <c r="D8277" s="12" t="str">
        <f ca="1">IFERROR(__xludf.DUMMYFUNCTION("""COMPUTED_VALUE"""),"辻村 将大")</f>
        <v>辻村 将大</v>
      </c>
    </row>
    <row r="8278" spans="2:4" ht="13">
      <c r="B8278" s="12">
        <f ca="1">IFERROR(__xludf.DUMMYFUNCTION("""COMPUTED_VALUE"""),141189)</f>
        <v>141189</v>
      </c>
      <c r="C8278" s="14">
        <f ca="1">IFERROR(__xludf.DUMMYFUNCTION("""COMPUTED_VALUE"""),0)</f>
        <v>0</v>
      </c>
      <c r="D8278" s="12" t="str">
        <f ca="1">IFERROR(__xludf.DUMMYFUNCTION("""COMPUTED_VALUE"""),"森 光智")</f>
        <v>森 光智</v>
      </c>
    </row>
    <row r="8279" spans="2:4" ht="13">
      <c r="B8279" s="12">
        <f ca="1">IFERROR(__xludf.DUMMYFUNCTION("""COMPUTED_VALUE"""),141197)</f>
        <v>141197</v>
      </c>
      <c r="C8279" s="14">
        <f ca="1">IFERROR(__xludf.DUMMYFUNCTION("""COMPUTED_VALUE"""),0)</f>
        <v>0</v>
      </c>
      <c r="D8279" s="12" t="str">
        <f ca="1">IFERROR(__xludf.DUMMYFUNCTION("""COMPUTED_VALUE"""),"森 光智")</f>
        <v>森 光智</v>
      </c>
    </row>
    <row r="8280" spans="2:4" ht="13">
      <c r="B8280" s="12">
        <f ca="1">IFERROR(__xludf.DUMMYFUNCTION("""COMPUTED_VALUE"""),141201)</f>
        <v>141201</v>
      </c>
      <c r="C8280" s="14">
        <f ca="1">IFERROR(__xludf.DUMMYFUNCTION("""COMPUTED_VALUE"""),2)</f>
        <v>2</v>
      </c>
      <c r="D8280" s="12" t="str">
        <f ca="1">IFERROR(__xludf.DUMMYFUNCTION("""COMPUTED_VALUE"""),"荻曽 克輝")</f>
        <v>荻曽 克輝</v>
      </c>
    </row>
    <row r="8281" spans="2:4" ht="13">
      <c r="B8281" s="12">
        <f ca="1">IFERROR(__xludf.DUMMYFUNCTION("""COMPUTED_VALUE"""),141204)</f>
        <v>141204</v>
      </c>
      <c r="C8281" s="14">
        <f ca="1">IFERROR(__xludf.DUMMYFUNCTION("""COMPUTED_VALUE"""),0)</f>
        <v>0</v>
      </c>
      <c r="D8281" s="12" t="str">
        <f ca="1">IFERROR(__xludf.DUMMYFUNCTION("""COMPUTED_VALUE"""),"小川 純")</f>
        <v>小川 純</v>
      </c>
    </row>
    <row r="8282" spans="2:4" ht="13">
      <c r="B8282" s="12">
        <f ca="1">IFERROR(__xludf.DUMMYFUNCTION("""COMPUTED_VALUE"""),141208)</f>
        <v>141208</v>
      </c>
      <c r="C8282" s="14">
        <f ca="1">IFERROR(__xludf.DUMMYFUNCTION("""COMPUTED_VALUE"""),0)</f>
        <v>0</v>
      </c>
      <c r="D8282" s="12" t="str">
        <f ca="1">IFERROR(__xludf.DUMMYFUNCTION("""COMPUTED_VALUE"""),"小川 純")</f>
        <v>小川 純</v>
      </c>
    </row>
    <row r="8283" spans="2:4" ht="13">
      <c r="B8283" s="12">
        <f ca="1">IFERROR(__xludf.DUMMYFUNCTION("""COMPUTED_VALUE"""),141212)</f>
        <v>141212</v>
      </c>
      <c r="C8283" s="14">
        <f ca="1">IFERROR(__xludf.DUMMYFUNCTION("""COMPUTED_VALUE"""),0)</f>
        <v>0</v>
      </c>
      <c r="D8283" s="12" t="str">
        <f ca="1">IFERROR(__xludf.DUMMYFUNCTION("""COMPUTED_VALUE"""),"荻曽 克輝")</f>
        <v>荻曽 克輝</v>
      </c>
    </row>
    <row r="8284" spans="2:4" ht="13">
      <c r="B8284" s="12">
        <f ca="1">IFERROR(__xludf.DUMMYFUNCTION("""COMPUTED_VALUE"""),141213)</f>
        <v>141213</v>
      </c>
      <c r="C8284" s="14">
        <f ca="1">IFERROR(__xludf.DUMMYFUNCTION("""COMPUTED_VALUE"""),36)</f>
        <v>36</v>
      </c>
      <c r="D8284" s="12" t="str">
        <f ca="1">IFERROR(__xludf.DUMMYFUNCTION("""COMPUTED_VALUE"""),"柿崎 晃司")</f>
        <v>柿崎 晃司</v>
      </c>
    </row>
    <row r="8285" spans="2:4" ht="13">
      <c r="B8285" s="12">
        <f ca="1">IFERROR(__xludf.DUMMYFUNCTION("""COMPUTED_VALUE"""),141216)</f>
        <v>141216</v>
      </c>
      <c r="C8285" s="14">
        <f ca="1">IFERROR(__xludf.DUMMYFUNCTION("""COMPUTED_VALUE"""),0)</f>
        <v>0</v>
      </c>
      <c r="D8285" s="12" t="str">
        <f ca="1">IFERROR(__xludf.DUMMYFUNCTION("""COMPUTED_VALUE"""),"長谷川 陸朗")</f>
        <v>長谷川 陸朗</v>
      </c>
    </row>
    <row r="8286" spans="2:4" ht="13">
      <c r="B8286" s="12">
        <f ca="1">IFERROR(__xludf.DUMMYFUNCTION("""COMPUTED_VALUE"""),141217)</f>
        <v>141217</v>
      </c>
      <c r="C8286" s="14">
        <f ca="1">IFERROR(__xludf.DUMMYFUNCTION("""COMPUTED_VALUE"""),0)</f>
        <v>0</v>
      </c>
      <c r="D8286" s="12" t="str">
        <f ca="1">IFERROR(__xludf.DUMMYFUNCTION("""COMPUTED_VALUE"""),"荻曽 克輝")</f>
        <v>荻曽 克輝</v>
      </c>
    </row>
    <row r="8287" spans="2:4" ht="13">
      <c r="B8287" s="12">
        <f ca="1">IFERROR(__xludf.DUMMYFUNCTION("""COMPUTED_VALUE"""),141218)</f>
        <v>141218</v>
      </c>
      <c r="C8287" s="14">
        <f ca="1">IFERROR(__xludf.DUMMYFUNCTION("""COMPUTED_VALUE"""),0)</f>
        <v>0</v>
      </c>
      <c r="D8287" s="12" t="str">
        <f ca="1">IFERROR(__xludf.DUMMYFUNCTION("""COMPUTED_VALUE"""),"村上 浩一朗")</f>
        <v>村上 浩一朗</v>
      </c>
    </row>
    <row r="8288" spans="2:4" ht="13">
      <c r="B8288" s="12">
        <f ca="1">IFERROR(__xludf.DUMMYFUNCTION("""COMPUTED_VALUE"""),141221)</f>
        <v>141221</v>
      </c>
      <c r="C8288" s="14">
        <f ca="1">IFERROR(__xludf.DUMMYFUNCTION("""COMPUTED_VALUE"""),0)</f>
        <v>0</v>
      </c>
      <c r="D8288" s="12" t="str">
        <f ca="1">IFERROR(__xludf.DUMMYFUNCTION("""COMPUTED_VALUE"""),"小川 純")</f>
        <v>小川 純</v>
      </c>
    </row>
    <row r="8289" spans="2:4" ht="13">
      <c r="B8289" s="12">
        <f ca="1">IFERROR(__xludf.DUMMYFUNCTION("""COMPUTED_VALUE"""),141222)</f>
        <v>141222</v>
      </c>
      <c r="C8289" s="14">
        <f ca="1">IFERROR(__xludf.DUMMYFUNCTION("""COMPUTED_VALUE"""),63)</f>
        <v>63</v>
      </c>
      <c r="D8289" s="12" t="str">
        <f ca="1">IFERROR(__xludf.DUMMYFUNCTION("""COMPUTED_VALUE"""),"荻曽 克輝")</f>
        <v>荻曽 克輝</v>
      </c>
    </row>
    <row r="8290" spans="2:4" ht="13">
      <c r="B8290" s="12">
        <f ca="1">IFERROR(__xludf.DUMMYFUNCTION("""COMPUTED_VALUE"""),141223)</f>
        <v>141223</v>
      </c>
      <c r="C8290" s="14">
        <f ca="1">IFERROR(__xludf.DUMMYFUNCTION("""COMPUTED_VALUE"""),18)</f>
        <v>18</v>
      </c>
      <c r="D8290" s="12" t="str">
        <f ca="1">IFERROR(__xludf.DUMMYFUNCTION("""COMPUTED_VALUE"""),"栗原 大武")</f>
        <v>栗原 大武</v>
      </c>
    </row>
    <row r="8291" spans="2:4" ht="13">
      <c r="B8291" s="12">
        <f ca="1">IFERROR(__xludf.DUMMYFUNCTION("""COMPUTED_VALUE"""),141229)</f>
        <v>141229</v>
      </c>
      <c r="C8291" s="14">
        <f ca="1">IFERROR(__xludf.DUMMYFUNCTION("""COMPUTED_VALUE"""),119)</f>
        <v>119</v>
      </c>
      <c r="D8291" s="12" t="str">
        <f ca="1">IFERROR(__xludf.DUMMYFUNCTION("""COMPUTED_VALUE"""),"柿崎 晃司")</f>
        <v>柿崎 晃司</v>
      </c>
    </row>
    <row r="8292" spans="2:4" ht="13">
      <c r="B8292" s="12">
        <f ca="1">IFERROR(__xludf.DUMMYFUNCTION("""COMPUTED_VALUE"""),141230)</f>
        <v>141230</v>
      </c>
      <c r="C8292" s="14">
        <f ca="1">IFERROR(__xludf.DUMMYFUNCTION("""COMPUTED_VALUE"""),15)</f>
        <v>15</v>
      </c>
      <c r="D8292" s="12" t="str">
        <f ca="1">IFERROR(__xludf.DUMMYFUNCTION("""COMPUTED_VALUE"""),"稲場 勇介")</f>
        <v>稲場 勇介</v>
      </c>
    </row>
    <row r="8293" spans="2:4" ht="13">
      <c r="B8293" s="12">
        <f ca="1">IFERROR(__xludf.DUMMYFUNCTION("""COMPUTED_VALUE"""),141237)</f>
        <v>141237</v>
      </c>
      <c r="C8293" s="14">
        <f ca="1">IFERROR(__xludf.DUMMYFUNCTION("""COMPUTED_VALUE"""),0)</f>
        <v>0</v>
      </c>
      <c r="D8293" s="12" t="str">
        <f ca="1">IFERROR(__xludf.DUMMYFUNCTION("""COMPUTED_VALUE"""),"小川 純")</f>
        <v>小川 純</v>
      </c>
    </row>
    <row r="8294" spans="2:4" ht="13">
      <c r="B8294" s="12">
        <f ca="1">IFERROR(__xludf.DUMMYFUNCTION("""COMPUTED_VALUE"""),141240)</f>
        <v>141240</v>
      </c>
      <c r="C8294" s="14">
        <f ca="1">IFERROR(__xludf.DUMMYFUNCTION("""COMPUTED_VALUE"""),0)</f>
        <v>0</v>
      </c>
      <c r="D8294" s="12" t="str">
        <f ca="1">IFERROR(__xludf.DUMMYFUNCTION("""COMPUTED_VALUE"""),"老田 純輝")</f>
        <v>老田 純輝</v>
      </c>
    </row>
    <row r="8295" spans="2:4" ht="13">
      <c r="B8295" s="12">
        <f ca="1">IFERROR(__xludf.DUMMYFUNCTION("""COMPUTED_VALUE"""),141246)</f>
        <v>141246</v>
      </c>
      <c r="C8295" s="14">
        <f ca="1">IFERROR(__xludf.DUMMYFUNCTION("""COMPUTED_VALUE"""),6)</f>
        <v>6</v>
      </c>
      <c r="D8295" s="12" t="str">
        <f ca="1">IFERROR(__xludf.DUMMYFUNCTION("""COMPUTED_VALUE"""),"森 光智")</f>
        <v>森 光智</v>
      </c>
    </row>
    <row r="8296" spans="2:4" ht="13">
      <c r="B8296" s="12">
        <f ca="1">IFERROR(__xludf.DUMMYFUNCTION("""COMPUTED_VALUE"""),141249)</f>
        <v>141249</v>
      </c>
      <c r="C8296" s="14">
        <f ca="1">IFERROR(__xludf.DUMMYFUNCTION("""COMPUTED_VALUE"""),0)</f>
        <v>0</v>
      </c>
      <c r="D8296" s="12" t="str">
        <f ca="1">IFERROR(__xludf.DUMMYFUNCTION("""COMPUTED_VALUE"""),"村上 浩一朗")</f>
        <v>村上 浩一朗</v>
      </c>
    </row>
    <row r="8297" spans="2:4" ht="13">
      <c r="B8297" s="12">
        <f ca="1">IFERROR(__xludf.DUMMYFUNCTION("""COMPUTED_VALUE"""),141251)</f>
        <v>141251</v>
      </c>
      <c r="C8297" s="14">
        <f ca="1">IFERROR(__xludf.DUMMYFUNCTION("""COMPUTED_VALUE"""),30)</f>
        <v>30</v>
      </c>
      <c r="D8297" s="12" t="str">
        <f ca="1">IFERROR(__xludf.DUMMYFUNCTION("""COMPUTED_VALUE"""),"柿崎 晃司")</f>
        <v>柿崎 晃司</v>
      </c>
    </row>
    <row r="8298" spans="2:4" ht="13">
      <c r="B8298" s="12">
        <f ca="1">IFERROR(__xludf.DUMMYFUNCTION("""COMPUTED_VALUE"""),141253)</f>
        <v>141253</v>
      </c>
      <c r="C8298" s="14">
        <f ca="1">IFERROR(__xludf.DUMMYFUNCTION("""COMPUTED_VALUE"""),0)</f>
        <v>0</v>
      </c>
      <c r="D8298" s="12" t="str">
        <f ca="1">IFERROR(__xludf.DUMMYFUNCTION("""COMPUTED_VALUE"""),"森 光智")</f>
        <v>森 光智</v>
      </c>
    </row>
    <row r="8299" spans="2:4" ht="13">
      <c r="B8299" s="12">
        <f ca="1">IFERROR(__xludf.DUMMYFUNCTION("""COMPUTED_VALUE"""),141254)</f>
        <v>141254</v>
      </c>
      <c r="C8299" s="14">
        <f ca="1">IFERROR(__xludf.DUMMYFUNCTION("""COMPUTED_VALUE"""),0)</f>
        <v>0</v>
      </c>
      <c r="D8299" s="12" t="str">
        <f ca="1">IFERROR(__xludf.DUMMYFUNCTION("""COMPUTED_VALUE"""),"栗原 大武")</f>
        <v>栗原 大武</v>
      </c>
    </row>
    <row r="8300" spans="2:4" ht="13">
      <c r="B8300" s="12">
        <f ca="1">IFERROR(__xludf.DUMMYFUNCTION("""COMPUTED_VALUE"""),141259)</f>
        <v>141259</v>
      </c>
      <c r="C8300" s="14">
        <f ca="1">IFERROR(__xludf.DUMMYFUNCTION("""COMPUTED_VALUE"""),0)</f>
        <v>0</v>
      </c>
      <c r="D8300" s="12" t="str">
        <f ca="1">IFERROR(__xludf.DUMMYFUNCTION("""COMPUTED_VALUE"""),"成嶋 夏未")</f>
        <v>成嶋 夏未</v>
      </c>
    </row>
    <row r="8301" spans="2:4" ht="13">
      <c r="B8301" s="12">
        <f ca="1">IFERROR(__xludf.DUMMYFUNCTION("""COMPUTED_VALUE"""),141261)</f>
        <v>141261</v>
      </c>
      <c r="C8301" s="14">
        <f ca="1">IFERROR(__xludf.DUMMYFUNCTION("""COMPUTED_VALUE"""),111)</f>
        <v>111</v>
      </c>
      <c r="D8301" s="12" t="str">
        <f ca="1">IFERROR(__xludf.DUMMYFUNCTION("""COMPUTED_VALUE"""),"内丸 裕子")</f>
        <v>内丸 裕子</v>
      </c>
    </row>
    <row r="8302" spans="2:4" ht="13">
      <c r="B8302" s="12">
        <f ca="1">IFERROR(__xludf.DUMMYFUNCTION("""COMPUTED_VALUE"""),141263)</f>
        <v>141263</v>
      </c>
      <c r="C8302" s="14">
        <f ca="1">IFERROR(__xludf.DUMMYFUNCTION("""COMPUTED_VALUE"""),0)</f>
        <v>0</v>
      </c>
      <c r="D8302" s="12" t="str">
        <f ca="1">IFERROR(__xludf.DUMMYFUNCTION("""COMPUTED_VALUE"""),"奥野 貴大")</f>
        <v>奥野 貴大</v>
      </c>
    </row>
    <row r="8303" spans="2:4" ht="13">
      <c r="B8303" s="12">
        <f ca="1">IFERROR(__xludf.DUMMYFUNCTION("""COMPUTED_VALUE"""),141265)</f>
        <v>141265</v>
      </c>
      <c r="C8303" s="14">
        <f ca="1">IFERROR(__xludf.DUMMYFUNCTION("""COMPUTED_VALUE"""),44)</f>
        <v>44</v>
      </c>
      <c r="D8303" s="12" t="str">
        <f ca="1">IFERROR(__xludf.DUMMYFUNCTION("""COMPUTED_VALUE"""),"稲場 勇介")</f>
        <v>稲場 勇介</v>
      </c>
    </row>
    <row r="8304" spans="2:4" ht="13">
      <c r="B8304" s="12">
        <f ca="1">IFERROR(__xludf.DUMMYFUNCTION("""COMPUTED_VALUE"""),141266)</f>
        <v>141266</v>
      </c>
      <c r="C8304" s="14">
        <f ca="1">IFERROR(__xludf.DUMMYFUNCTION("""COMPUTED_VALUE"""),0)</f>
        <v>0</v>
      </c>
      <c r="D8304" s="12" t="str">
        <f ca="1">IFERROR(__xludf.DUMMYFUNCTION("""COMPUTED_VALUE"""),"奥野 貴大")</f>
        <v>奥野 貴大</v>
      </c>
    </row>
    <row r="8305" spans="2:4" ht="13">
      <c r="B8305" s="12">
        <f ca="1">IFERROR(__xludf.DUMMYFUNCTION("""COMPUTED_VALUE"""),141268)</f>
        <v>141268</v>
      </c>
      <c r="C8305" s="14">
        <f ca="1">IFERROR(__xludf.DUMMYFUNCTION("""COMPUTED_VALUE"""),0)</f>
        <v>0</v>
      </c>
      <c r="D8305" s="12" t="str">
        <f ca="1">IFERROR(__xludf.DUMMYFUNCTION("""COMPUTED_VALUE"""),"奥野 貴大")</f>
        <v>奥野 貴大</v>
      </c>
    </row>
    <row r="8306" spans="2:4" ht="13">
      <c r="B8306" s="12">
        <f ca="1">IFERROR(__xludf.DUMMYFUNCTION("""COMPUTED_VALUE"""),141269)</f>
        <v>141269</v>
      </c>
      <c r="C8306" s="14">
        <f ca="1">IFERROR(__xludf.DUMMYFUNCTION("""COMPUTED_VALUE"""),0)</f>
        <v>0</v>
      </c>
      <c r="D8306" s="12" t="str">
        <f ca="1">IFERROR(__xludf.DUMMYFUNCTION("""COMPUTED_VALUE"""),"菅野 ぎんが")</f>
        <v>菅野 ぎんが</v>
      </c>
    </row>
    <row r="8307" spans="2:4" ht="13">
      <c r="B8307" s="12">
        <f ca="1">IFERROR(__xludf.DUMMYFUNCTION("""COMPUTED_VALUE"""),141270)</f>
        <v>141270</v>
      </c>
      <c r="C8307" s="14">
        <f ca="1">IFERROR(__xludf.DUMMYFUNCTION("""COMPUTED_VALUE"""),7)</f>
        <v>7</v>
      </c>
      <c r="D8307" s="12" t="str">
        <f ca="1">IFERROR(__xludf.DUMMYFUNCTION("""COMPUTED_VALUE"""),"内丸 裕子")</f>
        <v>内丸 裕子</v>
      </c>
    </row>
    <row r="8308" spans="2:4" ht="13">
      <c r="B8308" s="12">
        <f ca="1">IFERROR(__xludf.DUMMYFUNCTION("""COMPUTED_VALUE"""),141275)</f>
        <v>141275</v>
      </c>
      <c r="C8308" s="14">
        <f ca="1">IFERROR(__xludf.DUMMYFUNCTION("""COMPUTED_VALUE"""),28)</f>
        <v>28</v>
      </c>
      <c r="D8308" s="12" t="str">
        <f ca="1">IFERROR(__xludf.DUMMYFUNCTION("""COMPUTED_VALUE"""),"小川 純")</f>
        <v>小川 純</v>
      </c>
    </row>
    <row r="8309" spans="2:4" ht="13">
      <c r="B8309" s="12">
        <f ca="1">IFERROR(__xludf.DUMMYFUNCTION("""COMPUTED_VALUE"""),141277)</f>
        <v>141277</v>
      </c>
      <c r="C8309" s="14">
        <f ca="1">IFERROR(__xludf.DUMMYFUNCTION("""COMPUTED_VALUE"""),32)</f>
        <v>32</v>
      </c>
      <c r="D8309" s="12" t="str">
        <f ca="1">IFERROR(__xludf.DUMMYFUNCTION("""COMPUTED_VALUE"""),"小川 純")</f>
        <v>小川 純</v>
      </c>
    </row>
    <row r="8310" spans="2:4" ht="13">
      <c r="B8310" s="12">
        <f ca="1">IFERROR(__xludf.DUMMYFUNCTION("""COMPUTED_VALUE"""),141284)</f>
        <v>141284</v>
      </c>
      <c r="C8310" s="14">
        <f ca="1">IFERROR(__xludf.DUMMYFUNCTION("""COMPUTED_VALUE"""),0)</f>
        <v>0</v>
      </c>
      <c r="D8310" s="12" t="str">
        <f ca="1">IFERROR(__xludf.DUMMYFUNCTION("""COMPUTED_VALUE"""),"田嶋 将太")</f>
        <v>田嶋 将太</v>
      </c>
    </row>
    <row r="8311" spans="2:4" ht="13">
      <c r="B8311" s="12">
        <f ca="1">IFERROR(__xludf.DUMMYFUNCTION("""COMPUTED_VALUE"""),141287)</f>
        <v>141287</v>
      </c>
      <c r="C8311" s="14">
        <f ca="1">IFERROR(__xludf.DUMMYFUNCTION("""COMPUTED_VALUE"""),10)</f>
        <v>10</v>
      </c>
      <c r="D8311" s="12" t="str">
        <f ca="1">IFERROR(__xludf.DUMMYFUNCTION("""COMPUTED_VALUE"""),"荻曽 克輝")</f>
        <v>荻曽 克輝</v>
      </c>
    </row>
    <row r="8312" spans="2:4" ht="13">
      <c r="B8312" s="12">
        <f ca="1">IFERROR(__xludf.DUMMYFUNCTION("""COMPUTED_VALUE"""),141288)</f>
        <v>141288</v>
      </c>
      <c r="C8312" s="14">
        <f ca="1">IFERROR(__xludf.DUMMYFUNCTION("""COMPUTED_VALUE"""),0)</f>
        <v>0</v>
      </c>
      <c r="D8312" s="12" t="str">
        <f ca="1">IFERROR(__xludf.DUMMYFUNCTION("""COMPUTED_VALUE"""),"稲場 勇介")</f>
        <v>稲場 勇介</v>
      </c>
    </row>
    <row r="8313" spans="2:4" ht="13">
      <c r="B8313" s="12">
        <f ca="1">IFERROR(__xludf.DUMMYFUNCTION("""COMPUTED_VALUE"""),141291)</f>
        <v>141291</v>
      </c>
      <c r="C8313" s="14">
        <f ca="1">IFERROR(__xludf.DUMMYFUNCTION("""COMPUTED_VALUE"""),0)</f>
        <v>0</v>
      </c>
      <c r="D8313" s="12" t="str">
        <f ca="1">IFERROR(__xludf.DUMMYFUNCTION("""COMPUTED_VALUE"""),"菅野 ぎんが")</f>
        <v>菅野 ぎんが</v>
      </c>
    </row>
    <row r="8314" spans="2:4" ht="13">
      <c r="B8314" s="12">
        <f ca="1">IFERROR(__xludf.DUMMYFUNCTION("""COMPUTED_VALUE"""),141296)</f>
        <v>141296</v>
      </c>
      <c r="C8314" s="14">
        <f ca="1">IFERROR(__xludf.DUMMYFUNCTION("""COMPUTED_VALUE"""),0)</f>
        <v>0</v>
      </c>
      <c r="D8314" s="12" t="str">
        <f ca="1">IFERROR(__xludf.DUMMYFUNCTION("""COMPUTED_VALUE"""),"桐山 勝気")</f>
        <v>桐山 勝気</v>
      </c>
    </row>
    <row r="8315" spans="2:4" ht="13">
      <c r="B8315" s="12">
        <f ca="1">IFERROR(__xludf.DUMMYFUNCTION("""COMPUTED_VALUE"""),141297)</f>
        <v>141297</v>
      </c>
      <c r="C8315" s="14">
        <f ca="1">IFERROR(__xludf.DUMMYFUNCTION("""COMPUTED_VALUE"""),0)</f>
        <v>0</v>
      </c>
      <c r="D8315" s="12" t="str">
        <f ca="1">IFERROR(__xludf.DUMMYFUNCTION("""COMPUTED_VALUE"""),"桐山 勝気")</f>
        <v>桐山 勝気</v>
      </c>
    </row>
    <row r="8316" spans="2:4" ht="13">
      <c r="B8316" s="12">
        <f ca="1">IFERROR(__xludf.DUMMYFUNCTION("""COMPUTED_VALUE"""),141298)</f>
        <v>141298</v>
      </c>
      <c r="C8316" s="14">
        <f ca="1">IFERROR(__xludf.DUMMYFUNCTION("""COMPUTED_VALUE"""),0)</f>
        <v>0</v>
      </c>
      <c r="D8316" s="12" t="str">
        <f ca="1">IFERROR(__xludf.DUMMYFUNCTION("""COMPUTED_VALUE"""),"荻曽 克輝")</f>
        <v>荻曽 克輝</v>
      </c>
    </row>
    <row r="8317" spans="2:4" ht="13">
      <c r="B8317" s="12">
        <f ca="1">IFERROR(__xludf.DUMMYFUNCTION("""COMPUTED_VALUE"""),141299)</f>
        <v>141299</v>
      </c>
      <c r="C8317" s="14">
        <f ca="1">IFERROR(__xludf.DUMMYFUNCTION("""COMPUTED_VALUE"""),0)</f>
        <v>0</v>
      </c>
      <c r="D8317" s="12" t="str">
        <f ca="1">IFERROR(__xludf.DUMMYFUNCTION("""COMPUTED_VALUE"""),"荻曽 克輝")</f>
        <v>荻曽 克輝</v>
      </c>
    </row>
    <row r="8318" spans="2:4" ht="13">
      <c r="B8318" s="12">
        <f ca="1">IFERROR(__xludf.DUMMYFUNCTION("""COMPUTED_VALUE"""),141301)</f>
        <v>141301</v>
      </c>
      <c r="C8318" s="14">
        <f ca="1">IFERROR(__xludf.DUMMYFUNCTION("""COMPUTED_VALUE"""),88)</f>
        <v>88</v>
      </c>
      <c r="D8318" s="12" t="str">
        <f ca="1">IFERROR(__xludf.DUMMYFUNCTION("""COMPUTED_VALUE"""),"松尾 尚樹")</f>
        <v>松尾 尚樹</v>
      </c>
    </row>
    <row r="8319" spans="2:4" ht="13">
      <c r="B8319" s="12">
        <f ca="1">IFERROR(__xludf.DUMMYFUNCTION("""COMPUTED_VALUE"""),141302)</f>
        <v>141302</v>
      </c>
      <c r="C8319" s="14">
        <f ca="1">IFERROR(__xludf.DUMMYFUNCTION("""COMPUTED_VALUE"""),4)</f>
        <v>4</v>
      </c>
      <c r="D8319" s="12" t="str">
        <f ca="1">IFERROR(__xludf.DUMMYFUNCTION("""COMPUTED_VALUE"""),"成嶋 夏未")</f>
        <v>成嶋 夏未</v>
      </c>
    </row>
    <row r="8320" spans="2:4" ht="13">
      <c r="B8320" s="12">
        <f ca="1">IFERROR(__xludf.DUMMYFUNCTION("""COMPUTED_VALUE"""),141303)</f>
        <v>141303</v>
      </c>
      <c r="C8320" s="14">
        <f ca="1">IFERROR(__xludf.DUMMYFUNCTION("""COMPUTED_VALUE"""),1)</f>
        <v>1</v>
      </c>
      <c r="D8320" s="12" t="str">
        <f ca="1">IFERROR(__xludf.DUMMYFUNCTION("""COMPUTED_VALUE"""),"田嶋 将太")</f>
        <v>田嶋 将太</v>
      </c>
    </row>
    <row r="8321" spans="2:4" ht="13">
      <c r="B8321" s="12">
        <f ca="1">IFERROR(__xludf.DUMMYFUNCTION("""COMPUTED_VALUE"""),141305)</f>
        <v>141305</v>
      </c>
      <c r="C8321" s="14">
        <f ca="1">IFERROR(__xludf.DUMMYFUNCTION("""COMPUTED_VALUE"""),0)</f>
        <v>0</v>
      </c>
      <c r="D8321" s="12" t="str">
        <f ca="1">IFERROR(__xludf.DUMMYFUNCTION("""COMPUTED_VALUE"""),"菅野 ぎんが")</f>
        <v>菅野 ぎんが</v>
      </c>
    </row>
    <row r="8322" spans="2:4" ht="13">
      <c r="B8322" s="12">
        <f ca="1">IFERROR(__xludf.DUMMYFUNCTION("""COMPUTED_VALUE"""),141308)</f>
        <v>141308</v>
      </c>
      <c r="C8322" s="14">
        <f ca="1">IFERROR(__xludf.DUMMYFUNCTION("""COMPUTED_VALUE"""),0)</f>
        <v>0</v>
      </c>
      <c r="D8322" s="12" t="str">
        <f ca="1">IFERROR(__xludf.DUMMYFUNCTION("""COMPUTED_VALUE"""),"村上 浩一朗")</f>
        <v>村上 浩一朗</v>
      </c>
    </row>
    <row r="8323" spans="2:4" ht="13">
      <c r="B8323" s="12">
        <f ca="1">IFERROR(__xludf.DUMMYFUNCTION("""COMPUTED_VALUE"""),141309)</f>
        <v>141309</v>
      </c>
      <c r="C8323" s="14">
        <f ca="1">IFERROR(__xludf.DUMMYFUNCTION("""COMPUTED_VALUE"""),2)</f>
        <v>2</v>
      </c>
      <c r="D8323" s="12" t="str">
        <f ca="1">IFERROR(__xludf.DUMMYFUNCTION("""COMPUTED_VALUE"""),"桑原 明子")</f>
        <v>桑原 明子</v>
      </c>
    </row>
    <row r="8324" spans="2:4" ht="13">
      <c r="B8324" s="12">
        <f ca="1">IFERROR(__xludf.DUMMYFUNCTION("""COMPUTED_VALUE"""),141311)</f>
        <v>141311</v>
      </c>
      <c r="C8324" s="14">
        <f ca="1">IFERROR(__xludf.DUMMYFUNCTION("""COMPUTED_VALUE"""),0)</f>
        <v>0</v>
      </c>
      <c r="D8324" s="12" t="str">
        <f ca="1">IFERROR(__xludf.DUMMYFUNCTION("""COMPUTED_VALUE"""),"堀越 駿")</f>
        <v>堀越 駿</v>
      </c>
    </row>
    <row r="8325" spans="2:4" ht="13">
      <c r="B8325" s="12">
        <f ca="1">IFERROR(__xludf.DUMMYFUNCTION("""COMPUTED_VALUE"""),141317)</f>
        <v>141317</v>
      </c>
      <c r="C8325" s="14">
        <f ca="1">IFERROR(__xludf.DUMMYFUNCTION("""COMPUTED_VALUE"""),0)</f>
        <v>0</v>
      </c>
      <c r="D8325" s="12" t="str">
        <f ca="1">IFERROR(__xludf.DUMMYFUNCTION("""COMPUTED_VALUE"""),"菅野 ぎんが")</f>
        <v>菅野 ぎんが</v>
      </c>
    </row>
    <row r="8326" spans="2:4" ht="13">
      <c r="B8326" s="12">
        <f ca="1">IFERROR(__xludf.DUMMYFUNCTION("""COMPUTED_VALUE"""),141318)</f>
        <v>141318</v>
      </c>
      <c r="C8326" s="14">
        <f ca="1">IFERROR(__xludf.DUMMYFUNCTION("""COMPUTED_VALUE"""),47)</f>
        <v>47</v>
      </c>
      <c r="D8326" s="12" t="str">
        <f ca="1">IFERROR(__xludf.DUMMYFUNCTION("""COMPUTED_VALUE"""),"小川 純")</f>
        <v>小川 純</v>
      </c>
    </row>
    <row r="8327" spans="2:4" ht="13">
      <c r="B8327" s="12">
        <f ca="1">IFERROR(__xludf.DUMMYFUNCTION("""COMPUTED_VALUE"""),141326)</f>
        <v>141326</v>
      </c>
      <c r="C8327" s="14">
        <f ca="1">IFERROR(__xludf.DUMMYFUNCTION("""COMPUTED_VALUE"""),4)</f>
        <v>4</v>
      </c>
      <c r="D8327" s="12" t="str">
        <f ca="1">IFERROR(__xludf.DUMMYFUNCTION("""COMPUTED_VALUE"""),"堀越 駿")</f>
        <v>堀越 駿</v>
      </c>
    </row>
    <row r="8328" spans="2:4" ht="13">
      <c r="B8328" s="12">
        <f ca="1">IFERROR(__xludf.DUMMYFUNCTION("""COMPUTED_VALUE"""),141329)</f>
        <v>141329</v>
      </c>
      <c r="C8328" s="14">
        <f ca="1">IFERROR(__xludf.DUMMYFUNCTION("""COMPUTED_VALUE"""),0)</f>
        <v>0</v>
      </c>
      <c r="D8328" s="12" t="str">
        <f ca="1">IFERROR(__xludf.DUMMYFUNCTION("""COMPUTED_VALUE"""),"菅野 ぎんが")</f>
        <v>菅野 ぎんが</v>
      </c>
    </row>
    <row r="8329" spans="2:4" ht="13">
      <c r="B8329" s="12">
        <f ca="1">IFERROR(__xludf.DUMMYFUNCTION("""COMPUTED_VALUE"""),141338)</f>
        <v>141338</v>
      </c>
      <c r="C8329" s="14">
        <f ca="1">IFERROR(__xludf.DUMMYFUNCTION("""COMPUTED_VALUE"""),0)</f>
        <v>0</v>
      </c>
      <c r="D8329" s="12" t="str">
        <f ca="1">IFERROR(__xludf.DUMMYFUNCTION("""COMPUTED_VALUE"""),"村上 浩一朗")</f>
        <v>村上 浩一朗</v>
      </c>
    </row>
    <row r="8330" spans="2:4" ht="13">
      <c r="B8330" s="12">
        <f ca="1">IFERROR(__xludf.DUMMYFUNCTION("""COMPUTED_VALUE"""),141340)</f>
        <v>141340</v>
      </c>
      <c r="C8330" s="14">
        <f ca="1">IFERROR(__xludf.DUMMYFUNCTION("""COMPUTED_VALUE"""),0)</f>
        <v>0</v>
      </c>
      <c r="D8330" s="12" t="str">
        <f ca="1">IFERROR(__xludf.DUMMYFUNCTION("""COMPUTED_VALUE"""),"森 光智")</f>
        <v>森 光智</v>
      </c>
    </row>
    <row r="8331" spans="2:4" ht="13">
      <c r="B8331" s="12">
        <f ca="1">IFERROR(__xludf.DUMMYFUNCTION("""COMPUTED_VALUE"""),141342)</f>
        <v>141342</v>
      </c>
      <c r="C8331" s="14">
        <f ca="1">IFERROR(__xludf.DUMMYFUNCTION("""COMPUTED_VALUE"""),0)</f>
        <v>0</v>
      </c>
      <c r="D8331" s="12" t="str">
        <f ca="1">IFERROR(__xludf.DUMMYFUNCTION("""COMPUTED_VALUE"""),"菅野 ぎんが")</f>
        <v>菅野 ぎんが</v>
      </c>
    </row>
    <row r="8332" spans="2:4" ht="13">
      <c r="B8332" s="12">
        <f ca="1">IFERROR(__xludf.DUMMYFUNCTION("""COMPUTED_VALUE"""),141344)</f>
        <v>141344</v>
      </c>
      <c r="C8332" s="14">
        <f ca="1">IFERROR(__xludf.DUMMYFUNCTION("""COMPUTED_VALUE"""),0)</f>
        <v>0</v>
      </c>
      <c r="D8332" s="12" t="str">
        <f ca="1">IFERROR(__xludf.DUMMYFUNCTION("""COMPUTED_VALUE"""),"荻曽 克輝")</f>
        <v>荻曽 克輝</v>
      </c>
    </row>
    <row r="8333" spans="2:4" ht="13">
      <c r="B8333" s="12">
        <f ca="1">IFERROR(__xludf.DUMMYFUNCTION("""COMPUTED_VALUE"""),141345)</f>
        <v>141345</v>
      </c>
      <c r="C8333" s="14">
        <f ca="1">IFERROR(__xludf.DUMMYFUNCTION("""COMPUTED_VALUE"""),0)</f>
        <v>0</v>
      </c>
      <c r="D8333" s="12" t="str">
        <f ca="1">IFERROR(__xludf.DUMMYFUNCTION("""COMPUTED_VALUE"""),"村上 浩一朗")</f>
        <v>村上 浩一朗</v>
      </c>
    </row>
    <row r="8334" spans="2:4" ht="13">
      <c r="B8334" s="12">
        <f ca="1">IFERROR(__xludf.DUMMYFUNCTION("""COMPUTED_VALUE"""),141346)</f>
        <v>141346</v>
      </c>
      <c r="C8334" s="14">
        <f ca="1">IFERROR(__xludf.DUMMYFUNCTION("""COMPUTED_VALUE"""),0)</f>
        <v>0</v>
      </c>
      <c r="D8334" s="12" t="str">
        <f ca="1">IFERROR(__xludf.DUMMYFUNCTION("""COMPUTED_VALUE"""),"荻曽 克輝")</f>
        <v>荻曽 克輝</v>
      </c>
    </row>
    <row r="8335" spans="2:4" ht="13">
      <c r="B8335" s="12">
        <f ca="1">IFERROR(__xludf.DUMMYFUNCTION("""COMPUTED_VALUE"""),141348)</f>
        <v>141348</v>
      </c>
      <c r="C8335" s="14">
        <f ca="1">IFERROR(__xludf.DUMMYFUNCTION("""COMPUTED_VALUE"""),0)</f>
        <v>0</v>
      </c>
      <c r="D8335" s="12" t="str">
        <f ca="1">IFERROR(__xludf.DUMMYFUNCTION("""COMPUTED_VALUE"""),"荻曽 克輝")</f>
        <v>荻曽 克輝</v>
      </c>
    </row>
    <row r="8336" spans="2:4" ht="13">
      <c r="B8336" s="12">
        <f ca="1">IFERROR(__xludf.DUMMYFUNCTION("""COMPUTED_VALUE"""),141349)</f>
        <v>141349</v>
      </c>
      <c r="C8336" s="14">
        <f ca="1">IFERROR(__xludf.DUMMYFUNCTION("""COMPUTED_VALUE"""),0)</f>
        <v>0</v>
      </c>
      <c r="D8336" s="12" t="str">
        <f ca="1">IFERROR(__xludf.DUMMYFUNCTION("""COMPUTED_VALUE"""),"荻曽 克輝")</f>
        <v>荻曽 克輝</v>
      </c>
    </row>
    <row r="8337" spans="2:4" ht="13">
      <c r="B8337" s="12">
        <f ca="1">IFERROR(__xludf.DUMMYFUNCTION("""COMPUTED_VALUE"""),141351)</f>
        <v>141351</v>
      </c>
      <c r="C8337" s="14">
        <f ca="1">IFERROR(__xludf.DUMMYFUNCTION("""COMPUTED_VALUE"""),4)</f>
        <v>4</v>
      </c>
      <c r="D8337" s="12" t="str">
        <f ca="1">IFERROR(__xludf.DUMMYFUNCTION("""COMPUTED_VALUE"""),"荻曽 克輝")</f>
        <v>荻曽 克輝</v>
      </c>
    </row>
    <row r="8338" spans="2:4" ht="13">
      <c r="B8338" s="12">
        <f ca="1">IFERROR(__xludf.DUMMYFUNCTION("""COMPUTED_VALUE"""),141355)</f>
        <v>141355</v>
      </c>
      <c r="C8338" s="14">
        <f ca="1">IFERROR(__xludf.DUMMYFUNCTION("""COMPUTED_VALUE"""),55)</f>
        <v>55</v>
      </c>
      <c r="D8338" s="12" t="str">
        <f ca="1">IFERROR(__xludf.DUMMYFUNCTION("""COMPUTED_VALUE"""),"小川 純")</f>
        <v>小川 純</v>
      </c>
    </row>
    <row r="8339" spans="2:4" ht="13">
      <c r="B8339" s="12">
        <f ca="1">IFERROR(__xludf.DUMMYFUNCTION("""COMPUTED_VALUE"""),141357)</f>
        <v>141357</v>
      </c>
      <c r="C8339" s="14">
        <f ca="1">IFERROR(__xludf.DUMMYFUNCTION("""COMPUTED_VALUE"""),0)</f>
        <v>0</v>
      </c>
      <c r="D8339" s="12" t="str">
        <f ca="1">IFERROR(__xludf.DUMMYFUNCTION("""COMPUTED_VALUE"""),"小関 麻起")</f>
        <v>小関 麻起</v>
      </c>
    </row>
    <row r="8340" spans="2:4" ht="13">
      <c r="B8340" s="12">
        <f ca="1">IFERROR(__xludf.DUMMYFUNCTION("""COMPUTED_VALUE"""),141360)</f>
        <v>141360</v>
      </c>
      <c r="C8340" s="14">
        <f ca="1">IFERROR(__xludf.DUMMYFUNCTION("""COMPUTED_VALUE"""),0)</f>
        <v>0</v>
      </c>
      <c r="D8340" s="12" t="str">
        <f ca="1">IFERROR(__xludf.DUMMYFUNCTION("""COMPUTED_VALUE"""),"森 光智")</f>
        <v>森 光智</v>
      </c>
    </row>
    <row r="8341" spans="2:4" ht="13">
      <c r="B8341" s="12">
        <f ca="1">IFERROR(__xludf.DUMMYFUNCTION("""COMPUTED_VALUE"""),141361)</f>
        <v>141361</v>
      </c>
      <c r="C8341" s="14">
        <f ca="1">IFERROR(__xludf.DUMMYFUNCTION("""COMPUTED_VALUE"""),43)</f>
        <v>43</v>
      </c>
      <c r="D8341" s="12" t="str">
        <f ca="1">IFERROR(__xludf.DUMMYFUNCTION("""COMPUTED_VALUE"""),"栗原 大武")</f>
        <v>栗原 大武</v>
      </c>
    </row>
    <row r="8342" spans="2:4" ht="13">
      <c r="B8342" s="12">
        <f ca="1">IFERROR(__xludf.DUMMYFUNCTION("""COMPUTED_VALUE"""),141362)</f>
        <v>141362</v>
      </c>
      <c r="C8342" s="14">
        <f ca="1">IFERROR(__xludf.DUMMYFUNCTION("""COMPUTED_VALUE"""),0)</f>
        <v>0</v>
      </c>
      <c r="D8342" s="12" t="str">
        <f ca="1">IFERROR(__xludf.DUMMYFUNCTION("""COMPUTED_VALUE"""),"栗原 大武")</f>
        <v>栗原 大武</v>
      </c>
    </row>
    <row r="8343" spans="2:4" ht="13">
      <c r="B8343" s="12">
        <f ca="1">IFERROR(__xludf.DUMMYFUNCTION("""COMPUTED_VALUE"""),141370)</f>
        <v>141370</v>
      </c>
      <c r="C8343" s="14">
        <f ca="1">IFERROR(__xludf.DUMMYFUNCTION("""COMPUTED_VALUE"""),0)</f>
        <v>0</v>
      </c>
      <c r="D8343" s="12" t="str">
        <f ca="1">IFERROR(__xludf.DUMMYFUNCTION("""COMPUTED_VALUE"""),"田嶋 将太")</f>
        <v>田嶋 将太</v>
      </c>
    </row>
    <row r="8344" spans="2:4" ht="13">
      <c r="B8344" s="12">
        <f ca="1">IFERROR(__xludf.DUMMYFUNCTION("""COMPUTED_VALUE"""),141371)</f>
        <v>141371</v>
      </c>
      <c r="C8344" s="14">
        <f ca="1">IFERROR(__xludf.DUMMYFUNCTION("""COMPUTED_VALUE"""),0)</f>
        <v>0</v>
      </c>
      <c r="D8344" s="12" t="str">
        <f ca="1">IFERROR(__xludf.DUMMYFUNCTION("""COMPUTED_VALUE"""),"稲場 勇介")</f>
        <v>稲場 勇介</v>
      </c>
    </row>
    <row r="8345" spans="2:4" ht="13">
      <c r="B8345" s="12">
        <f ca="1">IFERROR(__xludf.DUMMYFUNCTION("""COMPUTED_VALUE"""),141372)</f>
        <v>141372</v>
      </c>
      <c r="C8345" s="14">
        <f ca="1">IFERROR(__xludf.DUMMYFUNCTION("""COMPUTED_VALUE"""),0)</f>
        <v>0</v>
      </c>
      <c r="D8345" s="12" t="str">
        <f ca="1">IFERROR(__xludf.DUMMYFUNCTION("""COMPUTED_VALUE"""),"辻村 将大")</f>
        <v>辻村 将大</v>
      </c>
    </row>
    <row r="8346" spans="2:4" ht="13">
      <c r="B8346" s="12">
        <f ca="1">IFERROR(__xludf.DUMMYFUNCTION("""COMPUTED_VALUE"""),141373)</f>
        <v>141373</v>
      </c>
      <c r="C8346" s="14">
        <f ca="1">IFERROR(__xludf.DUMMYFUNCTION("""COMPUTED_VALUE"""),15)</f>
        <v>15</v>
      </c>
      <c r="D8346" s="12" t="str">
        <f ca="1">IFERROR(__xludf.DUMMYFUNCTION("""COMPUTED_VALUE"""),"稲場 勇介")</f>
        <v>稲場 勇介</v>
      </c>
    </row>
    <row r="8347" spans="2:4" ht="13">
      <c r="B8347" s="12">
        <f ca="1">IFERROR(__xludf.DUMMYFUNCTION("""COMPUTED_VALUE"""),141374)</f>
        <v>141374</v>
      </c>
      <c r="C8347" s="14">
        <f ca="1">IFERROR(__xludf.DUMMYFUNCTION("""COMPUTED_VALUE"""),27)</f>
        <v>27</v>
      </c>
      <c r="D8347" s="12" t="str">
        <f ca="1">IFERROR(__xludf.DUMMYFUNCTION("""COMPUTED_VALUE"""),"稲場 勇介")</f>
        <v>稲場 勇介</v>
      </c>
    </row>
    <row r="8348" spans="2:4" ht="13">
      <c r="B8348" s="12">
        <f ca="1">IFERROR(__xludf.DUMMYFUNCTION("""COMPUTED_VALUE"""),141376)</f>
        <v>141376</v>
      </c>
      <c r="C8348" s="14">
        <f ca="1">IFERROR(__xludf.DUMMYFUNCTION("""COMPUTED_VALUE"""),0)</f>
        <v>0</v>
      </c>
      <c r="D8348" s="12" t="str">
        <f ca="1">IFERROR(__xludf.DUMMYFUNCTION("""COMPUTED_VALUE"""),"稲場 勇介")</f>
        <v>稲場 勇介</v>
      </c>
    </row>
    <row r="8349" spans="2:4" ht="13">
      <c r="B8349" s="12">
        <f ca="1">IFERROR(__xludf.DUMMYFUNCTION("""COMPUTED_VALUE"""),141377)</f>
        <v>141377</v>
      </c>
      <c r="C8349" s="14">
        <f ca="1">IFERROR(__xludf.DUMMYFUNCTION("""COMPUTED_VALUE"""),14)</f>
        <v>14</v>
      </c>
      <c r="D8349" s="12" t="str">
        <f ca="1">IFERROR(__xludf.DUMMYFUNCTION("""COMPUTED_VALUE"""),"稲場 勇介")</f>
        <v>稲場 勇介</v>
      </c>
    </row>
    <row r="8350" spans="2:4" ht="13">
      <c r="B8350" s="12">
        <f ca="1">IFERROR(__xludf.DUMMYFUNCTION("""COMPUTED_VALUE"""),141378)</f>
        <v>141378</v>
      </c>
      <c r="C8350" s="14">
        <f ca="1">IFERROR(__xludf.DUMMYFUNCTION("""COMPUTED_VALUE"""),13)</f>
        <v>13</v>
      </c>
      <c r="D8350" s="12" t="str">
        <f ca="1">IFERROR(__xludf.DUMMYFUNCTION("""COMPUTED_VALUE"""),"稲場 勇介")</f>
        <v>稲場 勇介</v>
      </c>
    </row>
    <row r="8351" spans="2:4" ht="13">
      <c r="B8351" s="12">
        <f ca="1">IFERROR(__xludf.DUMMYFUNCTION("""COMPUTED_VALUE"""),141379)</f>
        <v>141379</v>
      </c>
      <c r="C8351" s="14">
        <f ca="1">IFERROR(__xludf.DUMMYFUNCTION("""COMPUTED_VALUE"""),25)</f>
        <v>25</v>
      </c>
      <c r="D8351" s="12" t="str">
        <f ca="1">IFERROR(__xludf.DUMMYFUNCTION("""COMPUTED_VALUE"""),"稲場 勇介")</f>
        <v>稲場 勇介</v>
      </c>
    </row>
    <row r="8352" spans="2:4" ht="13">
      <c r="B8352" s="12">
        <f ca="1">IFERROR(__xludf.DUMMYFUNCTION("""COMPUTED_VALUE"""),141381)</f>
        <v>141381</v>
      </c>
      <c r="C8352" s="14">
        <f ca="1">IFERROR(__xludf.DUMMYFUNCTION("""COMPUTED_VALUE"""),0)</f>
        <v>0</v>
      </c>
      <c r="D8352" s="12" t="str">
        <f ca="1">IFERROR(__xludf.DUMMYFUNCTION("""COMPUTED_VALUE"""),"辻村 将大")</f>
        <v>辻村 将大</v>
      </c>
    </row>
    <row r="8353" spans="2:4" ht="13">
      <c r="B8353" s="12">
        <f ca="1">IFERROR(__xludf.DUMMYFUNCTION("""COMPUTED_VALUE"""),141386)</f>
        <v>141386</v>
      </c>
      <c r="C8353" s="14">
        <f ca="1">IFERROR(__xludf.DUMMYFUNCTION("""COMPUTED_VALUE"""),10)</f>
        <v>10</v>
      </c>
      <c r="D8353" s="12" t="str">
        <f ca="1">IFERROR(__xludf.DUMMYFUNCTION("""COMPUTED_VALUE"""),"田嶋 将太")</f>
        <v>田嶋 将太</v>
      </c>
    </row>
    <row r="8354" spans="2:4" ht="13">
      <c r="B8354" s="12">
        <f ca="1">IFERROR(__xludf.DUMMYFUNCTION("""COMPUTED_VALUE"""),141387)</f>
        <v>141387</v>
      </c>
      <c r="C8354" s="14">
        <f ca="1">IFERROR(__xludf.DUMMYFUNCTION("""COMPUTED_VALUE"""),0)</f>
        <v>0</v>
      </c>
      <c r="D8354" s="12" t="str">
        <f ca="1">IFERROR(__xludf.DUMMYFUNCTION("""COMPUTED_VALUE"""),"栗原 大武")</f>
        <v>栗原 大武</v>
      </c>
    </row>
    <row r="8355" spans="2:4" ht="13">
      <c r="B8355" s="12">
        <f ca="1">IFERROR(__xludf.DUMMYFUNCTION("""COMPUTED_VALUE"""),141388)</f>
        <v>141388</v>
      </c>
      <c r="C8355" s="14">
        <f ca="1">IFERROR(__xludf.DUMMYFUNCTION("""COMPUTED_VALUE"""),19)</f>
        <v>19</v>
      </c>
      <c r="D8355" s="12" t="str">
        <f ca="1">IFERROR(__xludf.DUMMYFUNCTION("""COMPUTED_VALUE"""),"田嶋 将太")</f>
        <v>田嶋 将太</v>
      </c>
    </row>
    <row r="8356" spans="2:4" ht="13">
      <c r="B8356" s="12">
        <f ca="1">IFERROR(__xludf.DUMMYFUNCTION("""COMPUTED_VALUE"""),141391)</f>
        <v>141391</v>
      </c>
      <c r="C8356" s="14">
        <f ca="1">IFERROR(__xludf.DUMMYFUNCTION("""COMPUTED_VALUE"""),19)</f>
        <v>19</v>
      </c>
      <c r="D8356" s="12" t="str">
        <f ca="1">IFERROR(__xludf.DUMMYFUNCTION("""COMPUTED_VALUE"""),"田嶋 将太")</f>
        <v>田嶋 将太</v>
      </c>
    </row>
    <row r="8357" spans="2:4" ht="13">
      <c r="B8357" s="12">
        <f ca="1">IFERROR(__xludf.DUMMYFUNCTION("""COMPUTED_VALUE"""),141392)</f>
        <v>141392</v>
      </c>
      <c r="C8357" s="14">
        <f ca="1">IFERROR(__xludf.DUMMYFUNCTION("""COMPUTED_VALUE"""),0)</f>
        <v>0</v>
      </c>
      <c r="D8357" s="12" t="str">
        <f ca="1">IFERROR(__xludf.DUMMYFUNCTION("""COMPUTED_VALUE"""),"荻曽 克輝")</f>
        <v>荻曽 克輝</v>
      </c>
    </row>
    <row r="8358" spans="2:4" ht="13">
      <c r="B8358" s="12">
        <f ca="1">IFERROR(__xludf.DUMMYFUNCTION("""COMPUTED_VALUE"""),141395)</f>
        <v>141395</v>
      </c>
      <c r="C8358" s="14">
        <f ca="1">IFERROR(__xludf.DUMMYFUNCTION("""COMPUTED_VALUE"""),4)</f>
        <v>4</v>
      </c>
      <c r="D8358" s="12" t="str">
        <f ca="1">IFERROR(__xludf.DUMMYFUNCTION("""COMPUTED_VALUE"""),"成嶋 夏未")</f>
        <v>成嶋 夏未</v>
      </c>
    </row>
    <row r="8359" spans="2:4" ht="13">
      <c r="B8359" s="12">
        <f ca="1">IFERROR(__xludf.DUMMYFUNCTION("""COMPUTED_VALUE"""),141399)</f>
        <v>141399</v>
      </c>
      <c r="C8359" s="14">
        <f ca="1">IFERROR(__xludf.DUMMYFUNCTION("""COMPUTED_VALUE"""),4)</f>
        <v>4</v>
      </c>
      <c r="D8359" s="12" t="str">
        <f ca="1">IFERROR(__xludf.DUMMYFUNCTION("""COMPUTED_VALUE"""),"荻曽 克輝")</f>
        <v>荻曽 克輝</v>
      </c>
    </row>
    <row r="8360" spans="2:4" ht="13">
      <c r="B8360" s="12">
        <f ca="1">IFERROR(__xludf.DUMMYFUNCTION("""COMPUTED_VALUE"""),141409)</f>
        <v>141409</v>
      </c>
      <c r="C8360" s="14">
        <f ca="1">IFERROR(__xludf.DUMMYFUNCTION("""COMPUTED_VALUE"""),0)</f>
        <v>0</v>
      </c>
      <c r="D8360" s="12" t="str">
        <f ca="1">IFERROR(__xludf.DUMMYFUNCTION("""COMPUTED_VALUE"""),"荻曽 克輝")</f>
        <v>荻曽 克輝</v>
      </c>
    </row>
    <row r="8361" spans="2:4" ht="13">
      <c r="B8361" s="12">
        <f ca="1">IFERROR(__xludf.DUMMYFUNCTION("""COMPUTED_VALUE"""),141411)</f>
        <v>141411</v>
      </c>
      <c r="C8361" s="14">
        <f ca="1">IFERROR(__xludf.DUMMYFUNCTION("""COMPUTED_VALUE"""),0)</f>
        <v>0</v>
      </c>
      <c r="D8361" s="12" t="str">
        <f ca="1">IFERROR(__xludf.DUMMYFUNCTION("""COMPUTED_VALUE"""),"辻村 将大")</f>
        <v>辻村 将大</v>
      </c>
    </row>
    <row r="8362" spans="2:4" ht="13">
      <c r="B8362" s="12">
        <f ca="1">IFERROR(__xludf.DUMMYFUNCTION("""COMPUTED_VALUE"""),141413)</f>
        <v>141413</v>
      </c>
      <c r="C8362" s="14">
        <f ca="1">IFERROR(__xludf.DUMMYFUNCTION("""COMPUTED_VALUE"""),0)</f>
        <v>0</v>
      </c>
      <c r="D8362" s="12" t="str">
        <f ca="1">IFERROR(__xludf.DUMMYFUNCTION("""COMPUTED_VALUE"""),"桐山 勝気")</f>
        <v>桐山 勝気</v>
      </c>
    </row>
    <row r="8363" spans="2:4" ht="13">
      <c r="B8363" s="12">
        <f ca="1">IFERROR(__xludf.DUMMYFUNCTION("""COMPUTED_VALUE"""),141414)</f>
        <v>141414</v>
      </c>
      <c r="C8363" s="14">
        <f ca="1">IFERROR(__xludf.DUMMYFUNCTION("""COMPUTED_VALUE"""),0)</f>
        <v>0</v>
      </c>
      <c r="D8363" s="12" t="str">
        <f ca="1">IFERROR(__xludf.DUMMYFUNCTION("""COMPUTED_VALUE"""),"堀越 駿")</f>
        <v>堀越 駿</v>
      </c>
    </row>
    <row r="8364" spans="2:4" ht="13">
      <c r="B8364" s="12">
        <f ca="1">IFERROR(__xludf.DUMMYFUNCTION("""COMPUTED_VALUE"""),141415)</f>
        <v>141415</v>
      </c>
      <c r="C8364" s="14">
        <f ca="1">IFERROR(__xludf.DUMMYFUNCTION("""COMPUTED_VALUE"""),0)</f>
        <v>0</v>
      </c>
      <c r="D8364" s="12" t="str">
        <f ca="1">IFERROR(__xludf.DUMMYFUNCTION("""COMPUTED_VALUE"""),"小関 麻起")</f>
        <v>小関 麻起</v>
      </c>
    </row>
    <row r="8365" spans="2:4" ht="13">
      <c r="B8365" s="12">
        <f ca="1">IFERROR(__xludf.DUMMYFUNCTION("""COMPUTED_VALUE"""),141418)</f>
        <v>141418</v>
      </c>
      <c r="C8365" s="14">
        <f ca="1">IFERROR(__xludf.DUMMYFUNCTION("""COMPUTED_VALUE"""),0)</f>
        <v>0</v>
      </c>
      <c r="D8365" s="12" t="str">
        <f ca="1">IFERROR(__xludf.DUMMYFUNCTION("""COMPUTED_VALUE"""),"松尾 尚樹")</f>
        <v>松尾 尚樹</v>
      </c>
    </row>
    <row r="8366" spans="2:4" ht="13">
      <c r="B8366" s="12">
        <f ca="1">IFERROR(__xludf.DUMMYFUNCTION("""COMPUTED_VALUE"""),141419)</f>
        <v>141419</v>
      </c>
      <c r="C8366" s="14">
        <f ca="1">IFERROR(__xludf.DUMMYFUNCTION("""COMPUTED_VALUE"""),55)</f>
        <v>55</v>
      </c>
      <c r="D8366" s="12" t="str">
        <f ca="1">IFERROR(__xludf.DUMMYFUNCTION("""COMPUTED_VALUE"""),"菅野 ぎんが")</f>
        <v>菅野 ぎんが</v>
      </c>
    </row>
    <row r="8367" spans="2:4" ht="13">
      <c r="B8367" s="12">
        <f ca="1">IFERROR(__xludf.DUMMYFUNCTION("""COMPUTED_VALUE"""),141421)</f>
        <v>141421</v>
      </c>
      <c r="C8367" s="14">
        <f ca="1">IFERROR(__xludf.DUMMYFUNCTION("""COMPUTED_VALUE"""),0)</f>
        <v>0</v>
      </c>
      <c r="D8367" s="12" t="str">
        <f ca="1">IFERROR(__xludf.DUMMYFUNCTION("""COMPUTED_VALUE"""),"小関 麻起")</f>
        <v>小関 麻起</v>
      </c>
    </row>
    <row r="8368" spans="2:4" ht="13">
      <c r="B8368" s="12">
        <f ca="1">IFERROR(__xludf.DUMMYFUNCTION("""COMPUTED_VALUE"""),141422)</f>
        <v>141422</v>
      </c>
      <c r="C8368" s="14">
        <f ca="1">IFERROR(__xludf.DUMMYFUNCTION("""COMPUTED_VALUE"""),13)</f>
        <v>13</v>
      </c>
      <c r="D8368" s="12" t="str">
        <f ca="1">IFERROR(__xludf.DUMMYFUNCTION("""COMPUTED_VALUE"""),"小川 純")</f>
        <v>小川 純</v>
      </c>
    </row>
    <row r="8369" spans="2:4" ht="13">
      <c r="B8369" s="12">
        <f ca="1">IFERROR(__xludf.DUMMYFUNCTION("""COMPUTED_VALUE"""),141423)</f>
        <v>141423</v>
      </c>
      <c r="C8369" s="14">
        <f ca="1">IFERROR(__xludf.DUMMYFUNCTION("""COMPUTED_VALUE"""),0)</f>
        <v>0</v>
      </c>
      <c r="D8369" s="12" t="str">
        <f ca="1">IFERROR(__xludf.DUMMYFUNCTION("""COMPUTED_VALUE"""),"桑原 明子")</f>
        <v>桑原 明子</v>
      </c>
    </row>
    <row r="8370" spans="2:4" ht="13">
      <c r="B8370" s="12">
        <f ca="1">IFERROR(__xludf.DUMMYFUNCTION("""COMPUTED_VALUE"""),141426)</f>
        <v>141426</v>
      </c>
      <c r="C8370" s="14">
        <f ca="1">IFERROR(__xludf.DUMMYFUNCTION("""COMPUTED_VALUE"""),3)</f>
        <v>3</v>
      </c>
      <c r="D8370" s="12" t="str">
        <f ca="1">IFERROR(__xludf.DUMMYFUNCTION("""COMPUTED_VALUE"""),"菅野 ぎんが")</f>
        <v>菅野 ぎんが</v>
      </c>
    </row>
    <row r="8371" spans="2:4" ht="13">
      <c r="B8371" s="12">
        <f ca="1">IFERROR(__xludf.DUMMYFUNCTION("""COMPUTED_VALUE"""),141428)</f>
        <v>141428</v>
      </c>
      <c r="C8371" s="14">
        <f ca="1">IFERROR(__xludf.DUMMYFUNCTION("""COMPUTED_VALUE"""),0)</f>
        <v>0</v>
      </c>
      <c r="D8371" s="12" t="str">
        <f ca="1">IFERROR(__xludf.DUMMYFUNCTION("""COMPUTED_VALUE"""),"小関 麻起")</f>
        <v>小関 麻起</v>
      </c>
    </row>
    <row r="8372" spans="2:4" ht="13">
      <c r="B8372" s="12">
        <f ca="1">IFERROR(__xludf.DUMMYFUNCTION("""COMPUTED_VALUE"""),141430)</f>
        <v>141430</v>
      </c>
      <c r="C8372" s="14">
        <f ca="1">IFERROR(__xludf.DUMMYFUNCTION("""COMPUTED_VALUE"""),0)</f>
        <v>0</v>
      </c>
      <c r="D8372" s="12" t="str">
        <f ca="1">IFERROR(__xludf.DUMMYFUNCTION("""COMPUTED_VALUE"""),"内丸 裕子")</f>
        <v>内丸 裕子</v>
      </c>
    </row>
    <row r="8373" spans="2:4" ht="13">
      <c r="B8373" s="12">
        <f ca="1">IFERROR(__xludf.DUMMYFUNCTION("""COMPUTED_VALUE"""),141431)</f>
        <v>141431</v>
      </c>
      <c r="C8373" s="14">
        <f ca="1">IFERROR(__xludf.DUMMYFUNCTION("""COMPUTED_VALUE"""),1)</f>
        <v>1</v>
      </c>
      <c r="D8373" s="12" t="str">
        <f ca="1">IFERROR(__xludf.DUMMYFUNCTION("""COMPUTED_VALUE"""),"辻村 将大")</f>
        <v>辻村 将大</v>
      </c>
    </row>
    <row r="8374" spans="2:4" ht="13">
      <c r="B8374" s="12">
        <f ca="1">IFERROR(__xludf.DUMMYFUNCTION("""COMPUTED_VALUE"""),141432)</f>
        <v>141432</v>
      </c>
      <c r="C8374" s="14">
        <f ca="1">IFERROR(__xludf.DUMMYFUNCTION("""COMPUTED_VALUE"""),16)</f>
        <v>16</v>
      </c>
      <c r="D8374" s="12" t="str">
        <f ca="1">IFERROR(__xludf.DUMMYFUNCTION("""COMPUTED_VALUE"""),"小関 麻起")</f>
        <v>小関 麻起</v>
      </c>
    </row>
    <row r="8375" spans="2:4" ht="13">
      <c r="B8375" s="12">
        <f ca="1">IFERROR(__xludf.DUMMYFUNCTION("""COMPUTED_VALUE"""),141434)</f>
        <v>141434</v>
      </c>
      <c r="C8375" s="14">
        <f ca="1">IFERROR(__xludf.DUMMYFUNCTION("""COMPUTED_VALUE"""),0)</f>
        <v>0</v>
      </c>
      <c r="D8375" s="12" t="str">
        <f ca="1">IFERROR(__xludf.DUMMYFUNCTION("""COMPUTED_VALUE"""),"芳賀 亮輔")</f>
        <v>芳賀 亮輔</v>
      </c>
    </row>
    <row r="8376" spans="2:4" ht="13">
      <c r="B8376" s="12">
        <f ca="1">IFERROR(__xludf.DUMMYFUNCTION("""COMPUTED_VALUE"""),141445)</f>
        <v>141445</v>
      </c>
      <c r="C8376" s="14">
        <f ca="1">IFERROR(__xludf.DUMMYFUNCTION("""COMPUTED_VALUE"""),0)</f>
        <v>0</v>
      </c>
      <c r="D8376" s="12" t="str">
        <f ca="1">IFERROR(__xludf.DUMMYFUNCTION("""COMPUTED_VALUE"""),"荻曽 克輝")</f>
        <v>荻曽 克輝</v>
      </c>
    </row>
    <row r="8377" spans="2:4" ht="13">
      <c r="B8377" s="12">
        <f ca="1">IFERROR(__xludf.DUMMYFUNCTION("""COMPUTED_VALUE"""),141447)</f>
        <v>141447</v>
      </c>
      <c r="C8377" s="14">
        <f ca="1">IFERROR(__xludf.DUMMYFUNCTION("""COMPUTED_VALUE"""),11)</f>
        <v>11</v>
      </c>
      <c r="D8377" s="12" t="str">
        <f ca="1">IFERROR(__xludf.DUMMYFUNCTION("""COMPUTED_VALUE"""),"菅野 ぎんが")</f>
        <v>菅野 ぎんが</v>
      </c>
    </row>
    <row r="8378" spans="2:4" ht="13">
      <c r="B8378" s="12">
        <f ca="1">IFERROR(__xludf.DUMMYFUNCTION("""COMPUTED_VALUE"""),141449)</f>
        <v>141449</v>
      </c>
      <c r="C8378" s="14">
        <f ca="1">IFERROR(__xludf.DUMMYFUNCTION("""COMPUTED_VALUE"""),11)</f>
        <v>11</v>
      </c>
      <c r="D8378" s="12" t="str">
        <f ca="1">IFERROR(__xludf.DUMMYFUNCTION("""COMPUTED_VALUE"""),"菅野 ぎんが")</f>
        <v>菅野 ぎんが</v>
      </c>
    </row>
    <row r="8379" spans="2:4" ht="13">
      <c r="B8379" s="12">
        <f ca="1">IFERROR(__xludf.DUMMYFUNCTION("""COMPUTED_VALUE"""),141450)</f>
        <v>141450</v>
      </c>
      <c r="C8379" s="14">
        <f ca="1">IFERROR(__xludf.DUMMYFUNCTION("""COMPUTED_VALUE"""),0)</f>
        <v>0</v>
      </c>
      <c r="D8379" s="12" t="str">
        <f ca="1">IFERROR(__xludf.DUMMYFUNCTION("""COMPUTED_VALUE"""),"桐山 勝気")</f>
        <v>桐山 勝気</v>
      </c>
    </row>
    <row r="8380" spans="2:4" ht="13">
      <c r="B8380" s="12">
        <f ca="1">IFERROR(__xludf.DUMMYFUNCTION("""COMPUTED_VALUE"""),141453)</f>
        <v>141453</v>
      </c>
      <c r="C8380" s="14">
        <f ca="1">IFERROR(__xludf.DUMMYFUNCTION("""COMPUTED_VALUE"""),0)</f>
        <v>0</v>
      </c>
      <c r="D8380" s="12" t="str">
        <f ca="1">IFERROR(__xludf.DUMMYFUNCTION("""COMPUTED_VALUE"""),"小関 麻起")</f>
        <v>小関 麻起</v>
      </c>
    </row>
    <row r="8381" spans="2:4" ht="13">
      <c r="B8381" s="12">
        <f ca="1">IFERROR(__xludf.DUMMYFUNCTION("""COMPUTED_VALUE"""),141458)</f>
        <v>141458</v>
      </c>
      <c r="C8381" s="14">
        <f ca="1">IFERROR(__xludf.DUMMYFUNCTION("""COMPUTED_VALUE"""),0)</f>
        <v>0</v>
      </c>
      <c r="D8381" s="12" t="str">
        <f ca="1">IFERROR(__xludf.DUMMYFUNCTION("""COMPUTED_VALUE"""),"桐山 勝気")</f>
        <v>桐山 勝気</v>
      </c>
    </row>
    <row r="8382" spans="2:4" ht="13">
      <c r="B8382" s="12">
        <f ca="1">IFERROR(__xludf.DUMMYFUNCTION("""COMPUTED_VALUE"""),141460)</f>
        <v>141460</v>
      </c>
      <c r="C8382" s="14">
        <f ca="1">IFERROR(__xludf.DUMMYFUNCTION("""COMPUTED_VALUE"""),20)</f>
        <v>20</v>
      </c>
      <c r="D8382" s="12" t="str">
        <f ca="1">IFERROR(__xludf.DUMMYFUNCTION("""COMPUTED_VALUE"""),"桐山 勝気")</f>
        <v>桐山 勝気</v>
      </c>
    </row>
    <row r="8383" spans="2:4" ht="13">
      <c r="B8383" s="12">
        <f ca="1">IFERROR(__xludf.DUMMYFUNCTION("""COMPUTED_VALUE"""),141464)</f>
        <v>141464</v>
      </c>
      <c r="C8383" s="14">
        <f ca="1">IFERROR(__xludf.DUMMYFUNCTION("""COMPUTED_VALUE"""),0)</f>
        <v>0</v>
      </c>
      <c r="D8383" s="12" t="str">
        <f ca="1">IFERROR(__xludf.DUMMYFUNCTION("""COMPUTED_VALUE"""),"大木 優香")</f>
        <v>大木 優香</v>
      </c>
    </row>
    <row r="8384" spans="2:4" ht="13">
      <c r="B8384" s="12">
        <f ca="1">IFERROR(__xludf.DUMMYFUNCTION("""COMPUTED_VALUE"""),141465)</f>
        <v>141465</v>
      </c>
      <c r="C8384" s="14">
        <f ca="1">IFERROR(__xludf.DUMMYFUNCTION("""COMPUTED_VALUE"""),50)</f>
        <v>50</v>
      </c>
      <c r="D8384" s="12" t="str">
        <f ca="1">IFERROR(__xludf.DUMMYFUNCTION("""COMPUTED_VALUE"""),"成嶋 夏未")</f>
        <v>成嶋 夏未</v>
      </c>
    </row>
    <row r="8385" spans="2:4" ht="13">
      <c r="B8385" s="12">
        <f ca="1">IFERROR(__xludf.DUMMYFUNCTION("""COMPUTED_VALUE"""),141466)</f>
        <v>141466</v>
      </c>
      <c r="C8385" s="14">
        <f ca="1">IFERROR(__xludf.DUMMYFUNCTION("""COMPUTED_VALUE"""),50)</f>
        <v>50</v>
      </c>
      <c r="D8385" s="12" t="str">
        <f ca="1">IFERROR(__xludf.DUMMYFUNCTION("""COMPUTED_VALUE"""),"成嶋 夏未")</f>
        <v>成嶋 夏未</v>
      </c>
    </row>
    <row r="8386" spans="2:4" ht="13">
      <c r="B8386" s="12">
        <f ca="1">IFERROR(__xludf.DUMMYFUNCTION("""COMPUTED_VALUE"""),141468)</f>
        <v>141468</v>
      </c>
      <c r="C8386" s="14">
        <f ca="1">IFERROR(__xludf.DUMMYFUNCTION("""COMPUTED_VALUE"""),58)</f>
        <v>58</v>
      </c>
      <c r="D8386" s="12" t="str">
        <f ca="1">IFERROR(__xludf.DUMMYFUNCTION("""COMPUTED_VALUE"""),"成嶋 夏未")</f>
        <v>成嶋 夏未</v>
      </c>
    </row>
    <row r="8387" spans="2:4" ht="13">
      <c r="B8387" s="12">
        <f ca="1">IFERROR(__xludf.DUMMYFUNCTION("""COMPUTED_VALUE"""),141469)</f>
        <v>141469</v>
      </c>
      <c r="C8387" s="14">
        <f ca="1">IFERROR(__xludf.DUMMYFUNCTION("""COMPUTED_VALUE"""),0)</f>
        <v>0</v>
      </c>
      <c r="D8387" s="12" t="str">
        <f ca="1">IFERROR(__xludf.DUMMYFUNCTION("""COMPUTED_VALUE"""),"成嶋 夏未")</f>
        <v>成嶋 夏未</v>
      </c>
    </row>
    <row r="8388" spans="2:4" ht="13">
      <c r="B8388" s="12">
        <f ca="1">IFERROR(__xludf.DUMMYFUNCTION("""COMPUTED_VALUE"""),141470)</f>
        <v>141470</v>
      </c>
      <c r="C8388" s="14">
        <f ca="1">IFERROR(__xludf.DUMMYFUNCTION("""COMPUTED_VALUE"""),15)</f>
        <v>15</v>
      </c>
      <c r="D8388" s="12" t="str">
        <f ca="1">IFERROR(__xludf.DUMMYFUNCTION("""COMPUTED_VALUE"""),"桐山 勝気")</f>
        <v>桐山 勝気</v>
      </c>
    </row>
    <row r="8389" spans="2:4" ht="13">
      <c r="B8389" s="12">
        <f ca="1">IFERROR(__xludf.DUMMYFUNCTION("""COMPUTED_VALUE"""),141473)</f>
        <v>141473</v>
      </c>
      <c r="C8389" s="14">
        <f ca="1">IFERROR(__xludf.DUMMYFUNCTION("""COMPUTED_VALUE"""),7)</f>
        <v>7</v>
      </c>
      <c r="D8389" s="12" t="str">
        <f ca="1">IFERROR(__xludf.DUMMYFUNCTION("""COMPUTED_VALUE"""),"小川 純")</f>
        <v>小川 純</v>
      </c>
    </row>
    <row r="8390" spans="2:4" ht="13">
      <c r="B8390" s="12">
        <f ca="1">IFERROR(__xludf.DUMMYFUNCTION("""COMPUTED_VALUE"""),141481)</f>
        <v>141481</v>
      </c>
      <c r="C8390" s="14">
        <f ca="1">IFERROR(__xludf.DUMMYFUNCTION("""COMPUTED_VALUE"""),0)</f>
        <v>0</v>
      </c>
      <c r="D8390" s="12" t="str">
        <f ca="1">IFERROR(__xludf.DUMMYFUNCTION("""COMPUTED_VALUE"""),"成嶋 夏未")</f>
        <v>成嶋 夏未</v>
      </c>
    </row>
    <row r="8391" spans="2:4" ht="13">
      <c r="B8391" s="12">
        <f ca="1">IFERROR(__xludf.DUMMYFUNCTION("""COMPUTED_VALUE"""),141482)</f>
        <v>141482</v>
      </c>
      <c r="C8391" s="14">
        <f ca="1">IFERROR(__xludf.DUMMYFUNCTION("""COMPUTED_VALUE"""),0)</f>
        <v>0</v>
      </c>
      <c r="D8391" s="12" t="str">
        <f ca="1">IFERROR(__xludf.DUMMYFUNCTION("""COMPUTED_VALUE"""),"小関 麻起")</f>
        <v>小関 麻起</v>
      </c>
    </row>
    <row r="8392" spans="2:4" ht="13">
      <c r="B8392" s="12">
        <f ca="1">IFERROR(__xludf.DUMMYFUNCTION("""COMPUTED_VALUE"""),141483)</f>
        <v>141483</v>
      </c>
      <c r="C8392" s="14">
        <f ca="1">IFERROR(__xludf.DUMMYFUNCTION("""COMPUTED_VALUE"""),9)</f>
        <v>9</v>
      </c>
      <c r="D8392" s="12" t="str">
        <f ca="1">IFERROR(__xludf.DUMMYFUNCTION("""COMPUTED_VALUE"""),"栗原 大武")</f>
        <v>栗原 大武</v>
      </c>
    </row>
    <row r="8393" spans="2:4" ht="13">
      <c r="B8393" s="12">
        <f ca="1">IFERROR(__xludf.DUMMYFUNCTION("""COMPUTED_VALUE"""),141484)</f>
        <v>141484</v>
      </c>
      <c r="C8393" s="14">
        <f ca="1">IFERROR(__xludf.DUMMYFUNCTION("""COMPUTED_VALUE"""),22)</f>
        <v>22</v>
      </c>
      <c r="D8393" s="12" t="str">
        <f ca="1">IFERROR(__xludf.DUMMYFUNCTION("""COMPUTED_VALUE"""),"芳賀 亮輔")</f>
        <v>芳賀 亮輔</v>
      </c>
    </row>
    <row r="8394" spans="2:4" ht="13">
      <c r="B8394" s="12">
        <f ca="1">IFERROR(__xludf.DUMMYFUNCTION("""COMPUTED_VALUE"""),141487)</f>
        <v>141487</v>
      </c>
      <c r="C8394" s="14">
        <f ca="1">IFERROR(__xludf.DUMMYFUNCTION("""COMPUTED_VALUE"""),2)</f>
        <v>2</v>
      </c>
      <c r="D8394" s="12" t="str">
        <f ca="1">IFERROR(__xludf.DUMMYFUNCTION("""COMPUTED_VALUE"""),"荻曽 克輝")</f>
        <v>荻曽 克輝</v>
      </c>
    </row>
    <row r="8395" spans="2:4" ht="13">
      <c r="B8395" s="12">
        <f ca="1">IFERROR(__xludf.DUMMYFUNCTION("""COMPUTED_VALUE"""),141489)</f>
        <v>141489</v>
      </c>
      <c r="C8395" s="14">
        <f ca="1">IFERROR(__xludf.DUMMYFUNCTION("""COMPUTED_VALUE"""),0)</f>
        <v>0</v>
      </c>
      <c r="D8395" s="12" t="str">
        <f ca="1">IFERROR(__xludf.DUMMYFUNCTION("""COMPUTED_VALUE"""),"成嶋 夏未")</f>
        <v>成嶋 夏未</v>
      </c>
    </row>
    <row r="8396" spans="2:4" ht="13">
      <c r="B8396" s="12">
        <f ca="1">IFERROR(__xludf.DUMMYFUNCTION("""COMPUTED_VALUE"""),141490)</f>
        <v>141490</v>
      </c>
      <c r="C8396" s="14">
        <f ca="1">IFERROR(__xludf.DUMMYFUNCTION("""COMPUTED_VALUE"""),0)</f>
        <v>0</v>
      </c>
      <c r="D8396" s="12" t="str">
        <f ca="1">IFERROR(__xludf.DUMMYFUNCTION("""COMPUTED_VALUE"""),"小関 麻起")</f>
        <v>小関 麻起</v>
      </c>
    </row>
    <row r="8397" spans="2:4" ht="13">
      <c r="B8397" s="12">
        <f ca="1">IFERROR(__xludf.DUMMYFUNCTION("""COMPUTED_VALUE"""),141495)</f>
        <v>141495</v>
      </c>
      <c r="C8397" s="14">
        <f ca="1">IFERROR(__xludf.DUMMYFUNCTION("""COMPUTED_VALUE"""),0)</f>
        <v>0</v>
      </c>
      <c r="D8397" s="12" t="str">
        <f ca="1">IFERROR(__xludf.DUMMYFUNCTION("""COMPUTED_VALUE"""),"田嶋 将太")</f>
        <v>田嶋 将太</v>
      </c>
    </row>
    <row r="8398" spans="2:4" ht="13">
      <c r="B8398" s="12">
        <f ca="1">IFERROR(__xludf.DUMMYFUNCTION("""COMPUTED_VALUE"""),141496)</f>
        <v>141496</v>
      </c>
      <c r="C8398" s="14">
        <f ca="1">IFERROR(__xludf.DUMMYFUNCTION("""COMPUTED_VALUE"""),0)</f>
        <v>0</v>
      </c>
      <c r="D8398" s="12" t="str">
        <f ca="1">IFERROR(__xludf.DUMMYFUNCTION("""COMPUTED_VALUE"""),"稲場 勇介")</f>
        <v>稲場 勇介</v>
      </c>
    </row>
    <row r="8399" spans="2:4" ht="13">
      <c r="B8399" s="12">
        <f ca="1">IFERROR(__xludf.DUMMYFUNCTION("""COMPUTED_VALUE"""),141497)</f>
        <v>141497</v>
      </c>
      <c r="C8399" s="14">
        <f ca="1">IFERROR(__xludf.DUMMYFUNCTION("""COMPUTED_VALUE"""),4)</f>
        <v>4</v>
      </c>
      <c r="D8399" s="12" t="str">
        <f ca="1">IFERROR(__xludf.DUMMYFUNCTION("""COMPUTED_VALUE"""),"老田 純輝")</f>
        <v>老田 純輝</v>
      </c>
    </row>
    <row r="8400" spans="2:4" ht="13">
      <c r="B8400" s="12">
        <f ca="1">IFERROR(__xludf.DUMMYFUNCTION("""COMPUTED_VALUE"""),141498)</f>
        <v>141498</v>
      </c>
      <c r="C8400" s="14">
        <f ca="1">IFERROR(__xludf.DUMMYFUNCTION("""COMPUTED_VALUE"""),47)</f>
        <v>47</v>
      </c>
      <c r="D8400" s="12" t="str">
        <f ca="1">IFERROR(__xludf.DUMMYFUNCTION("""COMPUTED_VALUE"""),"老田 純輝")</f>
        <v>老田 純輝</v>
      </c>
    </row>
    <row r="8401" spans="2:4" ht="13">
      <c r="B8401" s="12">
        <f ca="1">IFERROR(__xludf.DUMMYFUNCTION("""COMPUTED_VALUE"""),141499)</f>
        <v>141499</v>
      </c>
      <c r="C8401" s="14">
        <f ca="1">IFERROR(__xludf.DUMMYFUNCTION("""COMPUTED_VALUE"""),27)</f>
        <v>27</v>
      </c>
      <c r="D8401" s="12" t="str">
        <f ca="1">IFERROR(__xludf.DUMMYFUNCTION("""COMPUTED_VALUE"""),"老田 純輝")</f>
        <v>老田 純輝</v>
      </c>
    </row>
    <row r="8402" spans="2:4" ht="13">
      <c r="B8402" s="12">
        <f ca="1">IFERROR(__xludf.DUMMYFUNCTION("""COMPUTED_VALUE"""),141500)</f>
        <v>141500</v>
      </c>
      <c r="C8402" s="14">
        <f ca="1">IFERROR(__xludf.DUMMYFUNCTION("""COMPUTED_VALUE"""),22)</f>
        <v>22</v>
      </c>
      <c r="D8402" s="12" t="str">
        <f ca="1">IFERROR(__xludf.DUMMYFUNCTION("""COMPUTED_VALUE"""),"老田 純輝")</f>
        <v>老田 純輝</v>
      </c>
    </row>
    <row r="8403" spans="2:4" ht="13">
      <c r="B8403" s="12">
        <f ca="1">IFERROR(__xludf.DUMMYFUNCTION("""COMPUTED_VALUE"""),141503)</f>
        <v>141503</v>
      </c>
      <c r="C8403" s="14">
        <f ca="1">IFERROR(__xludf.DUMMYFUNCTION("""COMPUTED_VALUE"""),43)</f>
        <v>43</v>
      </c>
      <c r="D8403" s="12" t="str">
        <f ca="1">IFERROR(__xludf.DUMMYFUNCTION("""COMPUTED_VALUE"""),"老田 純輝")</f>
        <v>老田 純輝</v>
      </c>
    </row>
    <row r="8404" spans="2:4" ht="13">
      <c r="B8404" s="12">
        <f ca="1">IFERROR(__xludf.DUMMYFUNCTION("""COMPUTED_VALUE"""),141504)</f>
        <v>141504</v>
      </c>
      <c r="C8404" s="14">
        <f ca="1">IFERROR(__xludf.DUMMYFUNCTION("""COMPUTED_VALUE"""),20)</f>
        <v>20</v>
      </c>
      <c r="D8404" s="12" t="str">
        <f ca="1">IFERROR(__xludf.DUMMYFUNCTION("""COMPUTED_VALUE"""),"老田 純輝")</f>
        <v>老田 純輝</v>
      </c>
    </row>
    <row r="8405" spans="2:4" ht="13">
      <c r="B8405" s="12">
        <f ca="1">IFERROR(__xludf.DUMMYFUNCTION("""COMPUTED_VALUE"""),141505)</f>
        <v>141505</v>
      </c>
      <c r="C8405" s="14">
        <f ca="1">IFERROR(__xludf.DUMMYFUNCTION("""COMPUTED_VALUE"""),36)</f>
        <v>36</v>
      </c>
      <c r="D8405" s="12" t="str">
        <f ca="1">IFERROR(__xludf.DUMMYFUNCTION("""COMPUTED_VALUE"""),"老田 純輝")</f>
        <v>老田 純輝</v>
      </c>
    </row>
    <row r="8406" spans="2:4" ht="13">
      <c r="B8406" s="12">
        <f ca="1">IFERROR(__xludf.DUMMYFUNCTION("""COMPUTED_VALUE"""),141507)</f>
        <v>141507</v>
      </c>
      <c r="C8406" s="14">
        <f ca="1">IFERROR(__xludf.DUMMYFUNCTION("""COMPUTED_VALUE"""),0)</f>
        <v>0</v>
      </c>
      <c r="D8406" s="12" t="str">
        <f ca="1">IFERROR(__xludf.DUMMYFUNCTION("""COMPUTED_VALUE"""),"桑原 明子")</f>
        <v>桑原 明子</v>
      </c>
    </row>
    <row r="8407" spans="2:4" ht="13">
      <c r="B8407" s="12">
        <f ca="1">IFERROR(__xludf.DUMMYFUNCTION("""COMPUTED_VALUE"""),141508)</f>
        <v>141508</v>
      </c>
      <c r="C8407" s="14">
        <f ca="1">IFERROR(__xludf.DUMMYFUNCTION("""COMPUTED_VALUE"""),0)</f>
        <v>0</v>
      </c>
      <c r="D8407" s="12" t="str">
        <f ca="1">IFERROR(__xludf.DUMMYFUNCTION("""COMPUTED_VALUE"""),"成嶋 夏未")</f>
        <v>成嶋 夏未</v>
      </c>
    </row>
    <row r="8408" spans="2:4" ht="13">
      <c r="B8408" s="12">
        <f ca="1">IFERROR(__xludf.DUMMYFUNCTION("""COMPUTED_VALUE"""),141509)</f>
        <v>141509</v>
      </c>
      <c r="C8408" s="14">
        <f ca="1">IFERROR(__xludf.DUMMYFUNCTION("""COMPUTED_VALUE"""),0)</f>
        <v>0</v>
      </c>
      <c r="D8408" s="12" t="str">
        <f ca="1">IFERROR(__xludf.DUMMYFUNCTION("""COMPUTED_VALUE"""),"小関 麻起")</f>
        <v>小関 麻起</v>
      </c>
    </row>
    <row r="8409" spans="2:4" ht="13">
      <c r="B8409" s="12">
        <f ca="1">IFERROR(__xludf.DUMMYFUNCTION("""COMPUTED_VALUE"""),141510)</f>
        <v>141510</v>
      </c>
      <c r="C8409" s="14">
        <f ca="1">IFERROR(__xludf.DUMMYFUNCTION("""COMPUTED_VALUE"""),0)</f>
        <v>0</v>
      </c>
      <c r="D8409" s="12" t="str">
        <f ca="1">IFERROR(__xludf.DUMMYFUNCTION("""COMPUTED_VALUE"""),"川島 幹也")</f>
        <v>川島 幹也</v>
      </c>
    </row>
    <row r="8410" spans="2:4" ht="13">
      <c r="B8410" s="12">
        <f ca="1">IFERROR(__xludf.DUMMYFUNCTION("""COMPUTED_VALUE"""),141514)</f>
        <v>141514</v>
      </c>
      <c r="C8410" s="14">
        <f ca="1">IFERROR(__xludf.DUMMYFUNCTION("""COMPUTED_VALUE"""),24)</f>
        <v>24</v>
      </c>
      <c r="D8410" s="12" t="str">
        <f ca="1">IFERROR(__xludf.DUMMYFUNCTION("""COMPUTED_VALUE"""),"成嶋 夏未")</f>
        <v>成嶋 夏未</v>
      </c>
    </row>
    <row r="8411" spans="2:4" ht="13">
      <c r="B8411" s="12">
        <f ca="1">IFERROR(__xludf.DUMMYFUNCTION("""COMPUTED_VALUE"""),141515)</f>
        <v>141515</v>
      </c>
      <c r="C8411" s="14">
        <f ca="1">IFERROR(__xludf.DUMMYFUNCTION("""COMPUTED_VALUE"""),0)</f>
        <v>0</v>
      </c>
      <c r="D8411" s="12" t="str">
        <f ca="1">IFERROR(__xludf.DUMMYFUNCTION("""COMPUTED_VALUE"""),"桑原 明子")</f>
        <v>桑原 明子</v>
      </c>
    </row>
    <row r="8412" spans="2:4" ht="13">
      <c r="B8412" s="12">
        <f ca="1">IFERROR(__xludf.DUMMYFUNCTION("""COMPUTED_VALUE"""),141522)</f>
        <v>141522</v>
      </c>
      <c r="C8412" s="14">
        <f ca="1">IFERROR(__xludf.DUMMYFUNCTION("""COMPUTED_VALUE"""),0)</f>
        <v>0</v>
      </c>
      <c r="D8412" s="12" t="str">
        <f ca="1">IFERROR(__xludf.DUMMYFUNCTION("""COMPUTED_VALUE"""),"長谷川 陸朗")</f>
        <v>長谷川 陸朗</v>
      </c>
    </row>
    <row r="8413" spans="2:4" ht="13">
      <c r="B8413" s="12">
        <f ca="1">IFERROR(__xludf.DUMMYFUNCTION("""COMPUTED_VALUE"""),141528)</f>
        <v>141528</v>
      </c>
      <c r="C8413" s="14">
        <f ca="1">IFERROR(__xludf.DUMMYFUNCTION("""COMPUTED_VALUE"""),2)</f>
        <v>2</v>
      </c>
      <c r="D8413" s="12" t="str">
        <f ca="1">IFERROR(__xludf.DUMMYFUNCTION("""COMPUTED_VALUE"""),"松尾 尚樹")</f>
        <v>松尾 尚樹</v>
      </c>
    </row>
    <row r="8414" spans="2:4" ht="13">
      <c r="B8414" s="12">
        <f ca="1">IFERROR(__xludf.DUMMYFUNCTION("""COMPUTED_VALUE"""),141529)</f>
        <v>141529</v>
      </c>
      <c r="C8414" s="14">
        <f ca="1">IFERROR(__xludf.DUMMYFUNCTION("""COMPUTED_VALUE"""),0)</f>
        <v>0</v>
      </c>
      <c r="D8414" s="12" t="str">
        <f ca="1">IFERROR(__xludf.DUMMYFUNCTION("""COMPUTED_VALUE"""),"松尾 尚樹")</f>
        <v>松尾 尚樹</v>
      </c>
    </row>
    <row r="8415" spans="2:4" ht="13">
      <c r="B8415" s="12">
        <f ca="1">IFERROR(__xludf.DUMMYFUNCTION("""COMPUTED_VALUE"""),141531)</f>
        <v>141531</v>
      </c>
      <c r="C8415" s="14">
        <f ca="1">IFERROR(__xludf.DUMMYFUNCTION("""COMPUTED_VALUE"""),0)</f>
        <v>0</v>
      </c>
      <c r="D8415" s="12" t="str">
        <f ca="1">IFERROR(__xludf.DUMMYFUNCTION("""COMPUTED_VALUE"""),"小関 麻起")</f>
        <v>小関 麻起</v>
      </c>
    </row>
    <row r="8416" spans="2:4" ht="13">
      <c r="B8416" s="12">
        <f ca="1">IFERROR(__xludf.DUMMYFUNCTION("""COMPUTED_VALUE"""),141535)</f>
        <v>141535</v>
      </c>
      <c r="C8416" s="14">
        <f ca="1">IFERROR(__xludf.DUMMYFUNCTION("""COMPUTED_VALUE"""),0)</f>
        <v>0</v>
      </c>
      <c r="D8416" s="12" t="str">
        <f ca="1">IFERROR(__xludf.DUMMYFUNCTION("""COMPUTED_VALUE"""),"長谷川 陸朗")</f>
        <v>長谷川 陸朗</v>
      </c>
    </row>
    <row r="8417" spans="2:4" ht="13">
      <c r="B8417" s="12">
        <f ca="1">IFERROR(__xludf.DUMMYFUNCTION("""COMPUTED_VALUE"""),141536)</f>
        <v>141536</v>
      </c>
      <c r="C8417" s="14">
        <f ca="1">IFERROR(__xludf.DUMMYFUNCTION("""COMPUTED_VALUE"""),32)</f>
        <v>32</v>
      </c>
      <c r="D8417" s="12" t="str">
        <f ca="1">IFERROR(__xludf.DUMMYFUNCTION("""COMPUTED_VALUE"""),"小川 純")</f>
        <v>小川 純</v>
      </c>
    </row>
    <row r="8418" spans="2:4" ht="13">
      <c r="B8418" s="12">
        <f ca="1">IFERROR(__xludf.DUMMYFUNCTION("""COMPUTED_VALUE"""),141539)</f>
        <v>141539</v>
      </c>
      <c r="C8418" s="14">
        <f ca="1">IFERROR(__xludf.DUMMYFUNCTION("""COMPUTED_VALUE"""),77)</f>
        <v>77</v>
      </c>
      <c r="D8418" s="12" t="str">
        <f ca="1">IFERROR(__xludf.DUMMYFUNCTION("""COMPUTED_VALUE"""),"栗原 大武")</f>
        <v>栗原 大武</v>
      </c>
    </row>
    <row r="8419" spans="2:4" ht="13">
      <c r="B8419" s="12">
        <f ca="1">IFERROR(__xludf.DUMMYFUNCTION("""COMPUTED_VALUE"""),141543)</f>
        <v>141543</v>
      </c>
      <c r="C8419" s="14">
        <f ca="1">IFERROR(__xludf.DUMMYFUNCTION("""COMPUTED_VALUE"""),0)</f>
        <v>0</v>
      </c>
      <c r="D8419" s="12" t="str">
        <f ca="1">IFERROR(__xludf.DUMMYFUNCTION("""COMPUTED_VALUE"""),"小川 純")</f>
        <v>小川 純</v>
      </c>
    </row>
    <row r="8420" spans="2:4" ht="13">
      <c r="B8420" s="12">
        <f ca="1">IFERROR(__xludf.DUMMYFUNCTION("""COMPUTED_VALUE"""),141544)</f>
        <v>141544</v>
      </c>
      <c r="C8420" s="14">
        <f ca="1">IFERROR(__xludf.DUMMYFUNCTION("""COMPUTED_VALUE"""),0)</f>
        <v>0</v>
      </c>
      <c r="D8420" s="12" t="str">
        <f ca="1">IFERROR(__xludf.DUMMYFUNCTION("""COMPUTED_VALUE"""),"成嶋 夏未")</f>
        <v>成嶋 夏未</v>
      </c>
    </row>
    <row r="8421" spans="2:4" ht="13">
      <c r="B8421" s="12">
        <f ca="1">IFERROR(__xludf.DUMMYFUNCTION("""COMPUTED_VALUE"""),141546)</f>
        <v>141546</v>
      </c>
      <c r="C8421" s="14">
        <f ca="1">IFERROR(__xludf.DUMMYFUNCTION("""COMPUTED_VALUE"""),0)</f>
        <v>0</v>
      </c>
      <c r="D8421" s="12" t="str">
        <f ca="1">IFERROR(__xludf.DUMMYFUNCTION("""COMPUTED_VALUE"""),"長谷川 陸朗")</f>
        <v>長谷川 陸朗</v>
      </c>
    </row>
    <row r="8422" spans="2:4" ht="13">
      <c r="B8422" s="12">
        <f ca="1">IFERROR(__xludf.DUMMYFUNCTION("""COMPUTED_VALUE"""),141547)</f>
        <v>141547</v>
      </c>
      <c r="C8422" s="14">
        <f ca="1">IFERROR(__xludf.DUMMYFUNCTION("""COMPUTED_VALUE"""),5)</f>
        <v>5</v>
      </c>
      <c r="D8422" s="12" t="str">
        <f ca="1">IFERROR(__xludf.DUMMYFUNCTION("""COMPUTED_VALUE"""),"芳賀 亮輔")</f>
        <v>芳賀 亮輔</v>
      </c>
    </row>
    <row r="8423" spans="2:4" ht="13">
      <c r="B8423" s="12">
        <f ca="1">IFERROR(__xludf.DUMMYFUNCTION("""COMPUTED_VALUE"""),141552)</f>
        <v>141552</v>
      </c>
      <c r="C8423" s="14">
        <f ca="1">IFERROR(__xludf.DUMMYFUNCTION("""COMPUTED_VALUE"""),0)</f>
        <v>0</v>
      </c>
      <c r="D8423" s="12" t="str">
        <f ca="1">IFERROR(__xludf.DUMMYFUNCTION("""COMPUTED_VALUE"""),"桑原 明子")</f>
        <v>桑原 明子</v>
      </c>
    </row>
    <row r="8424" spans="2:4" ht="13">
      <c r="B8424" s="12">
        <f ca="1">IFERROR(__xludf.DUMMYFUNCTION("""COMPUTED_VALUE"""),141560)</f>
        <v>141560</v>
      </c>
      <c r="C8424" s="14">
        <f ca="1">IFERROR(__xludf.DUMMYFUNCTION("""COMPUTED_VALUE"""),0)</f>
        <v>0</v>
      </c>
      <c r="D8424" s="12" t="str">
        <f ca="1">IFERROR(__xludf.DUMMYFUNCTION("""COMPUTED_VALUE"""),"成嶋 夏未")</f>
        <v>成嶋 夏未</v>
      </c>
    </row>
    <row r="8425" spans="2:4" ht="13">
      <c r="B8425" s="12">
        <f ca="1">IFERROR(__xludf.DUMMYFUNCTION("""COMPUTED_VALUE"""),141561)</f>
        <v>141561</v>
      </c>
      <c r="C8425" s="14">
        <f ca="1">IFERROR(__xludf.DUMMYFUNCTION("""COMPUTED_VALUE"""),2)</f>
        <v>2</v>
      </c>
      <c r="D8425" s="12" t="str">
        <f ca="1">IFERROR(__xludf.DUMMYFUNCTION("""COMPUTED_VALUE"""),"小川 純")</f>
        <v>小川 純</v>
      </c>
    </row>
    <row r="8426" spans="2:4" ht="13">
      <c r="B8426" s="12">
        <f ca="1">IFERROR(__xludf.DUMMYFUNCTION("""COMPUTED_VALUE"""),141562)</f>
        <v>141562</v>
      </c>
      <c r="C8426" s="14">
        <f ca="1">IFERROR(__xludf.DUMMYFUNCTION("""COMPUTED_VALUE"""),0)</f>
        <v>0</v>
      </c>
      <c r="D8426" s="12" t="str">
        <f ca="1">IFERROR(__xludf.DUMMYFUNCTION("""COMPUTED_VALUE"""),"成嶋 夏未")</f>
        <v>成嶋 夏未</v>
      </c>
    </row>
    <row r="8427" spans="2:4" ht="13">
      <c r="B8427" s="12">
        <f ca="1">IFERROR(__xludf.DUMMYFUNCTION("""COMPUTED_VALUE"""),141568)</f>
        <v>141568</v>
      </c>
      <c r="C8427" s="14">
        <f ca="1">IFERROR(__xludf.DUMMYFUNCTION("""COMPUTED_VALUE"""),6)</f>
        <v>6</v>
      </c>
      <c r="D8427" s="12" t="str">
        <f ca="1">IFERROR(__xludf.DUMMYFUNCTION("""COMPUTED_VALUE"""),"小川 純")</f>
        <v>小川 純</v>
      </c>
    </row>
    <row r="8428" spans="2:4" ht="13">
      <c r="B8428" s="12">
        <f ca="1">IFERROR(__xludf.DUMMYFUNCTION("""COMPUTED_VALUE"""),141569)</f>
        <v>141569</v>
      </c>
      <c r="C8428" s="14">
        <f ca="1">IFERROR(__xludf.DUMMYFUNCTION("""COMPUTED_VALUE"""),0)</f>
        <v>0</v>
      </c>
      <c r="D8428" s="12" t="str">
        <f ca="1">IFERROR(__xludf.DUMMYFUNCTION("""COMPUTED_VALUE"""),"小関 麻起")</f>
        <v>小関 麻起</v>
      </c>
    </row>
    <row r="8429" spans="2:4" ht="13">
      <c r="B8429" s="12">
        <f ca="1">IFERROR(__xludf.DUMMYFUNCTION("""COMPUTED_VALUE"""),141572)</f>
        <v>141572</v>
      </c>
      <c r="C8429" s="14">
        <f ca="1">IFERROR(__xludf.DUMMYFUNCTION("""COMPUTED_VALUE"""),19)</f>
        <v>19</v>
      </c>
      <c r="D8429" s="12" t="str">
        <f ca="1">IFERROR(__xludf.DUMMYFUNCTION("""COMPUTED_VALUE"""),"成嶋 夏未")</f>
        <v>成嶋 夏未</v>
      </c>
    </row>
    <row r="8430" spans="2:4" ht="13">
      <c r="B8430" s="12">
        <f ca="1">IFERROR(__xludf.DUMMYFUNCTION("""COMPUTED_VALUE"""),141573)</f>
        <v>141573</v>
      </c>
      <c r="C8430" s="14">
        <f ca="1">IFERROR(__xludf.DUMMYFUNCTION("""COMPUTED_VALUE"""),0)</f>
        <v>0</v>
      </c>
      <c r="D8430" s="12" t="str">
        <f ca="1">IFERROR(__xludf.DUMMYFUNCTION("""COMPUTED_VALUE"""),"稲場 勇介")</f>
        <v>稲場 勇介</v>
      </c>
    </row>
    <row r="8431" spans="2:4" ht="13">
      <c r="B8431" s="12">
        <f ca="1">IFERROR(__xludf.DUMMYFUNCTION("""COMPUTED_VALUE"""),141575)</f>
        <v>141575</v>
      </c>
      <c r="C8431" s="14">
        <f ca="1">IFERROR(__xludf.DUMMYFUNCTION("""COMPUTED_VALUE"""),21)</f>
        <v>21</v>
      </c>
      <c r="D8431" s="12" t="str">
        <f ca="1">IFERROR(__xludf.DUMMYFUNCTION("""COMPUTED_VALUE"""),"松尾 尚樹")</f>
        <v>松尾 尚樹</v>
      </c>
    </row>
    <row r="8432" spans="2:4" ht="13">
      <c r="B8432" s="12">
        <f ca="1">IFERROR(__xludf.DUMMYFUNCTION("""COMPUTED_VALUE"""),141577)</f>
        <v>141577</v>
      </c>
      <c r="C8432" s="14">
        <f ca="1">IFERROR(__xludf.DUMMYFUNCTION("""COMPUTED_VALUE"""),0)</f>
        <v>0</v>
      </c>
      <c r="D8432" s="12" t="str">
        <f ca="1">IFERROR(__xludf.DUMMYFUNCTION("""COMPUTED_VALUE"""),"桐山 勝気")</f>
        <v>桐山 勝気</v>
      </c>
    </row>
    <row r="8433" spans="2:4" ht="13">
      <c r="B8433" s="12">
        <f ca="1">IFERROR(__xludf.DUMMYFUNCTION("""COMPUTED_VALUE"""),141578)</f>
        <v>141578</v>
      </c>
      <c r="C8433" s="14">
        <f ca="1">IFERROR(__xludf.DUMMYFUNCTION("""COMPUTED_VALUE"""),0)</f>
        <v>0</v>
      </c>
      <c r="D8433" s="12" t="str">
        <f ca="1">IFERROR(__xludf.DUMMYFUNCTION("""COMPUTED_VALUE"""),"菅野 ぎんが")</f>
        <v>菅野 ぎんが</v>
      </c>
    </row>
    <row r="8434" spans="2:4" ht="13">
      <c r="B8434" s="12">
        <f ca="1">IFERROR(__xludf.DUMMYFUNCTION("""COMPUTED_VALUE"""),141583)</f>
        <v>141583</v>
      </c>
      <c r="C8434" s="14">
        <f ca="1">IFERROR(__xludf.DUMMYFUNCTION("""COMPUTED_VALUE"""),14)</f>
        <v>14</v>
      </c>
      <c r="D8434" s="12" t="str">
        <f ca="1">IFERROR(__xludf.DUMMYFUNCTION("""COMPUTED_VALUE"""),"長谷川 陸朗")</f>
        <v>長谷川 陸朗</v>
      </c>
    </row>
    <row r="8435" spans="2:4" ht="13">
      <c r="B8435" s="12">
        <f ca="1">IFERROR(__xludf.DUMMYFUNCTION("""COMPUTED_VALUE"""),141590)</f>
        <v>141590</v>
      </c>
      <c r="C8435" s="14">
        <f ca="1">IFERROR(__xludf.DUMMYFUNCTION("""COMPUTED_VALUE"""),20)</f>
        <v>20</v>
      </c>
      <c r="D8435" s="12" t="str">
        <f ca="1">IFERROR(__xludf.DUMMYFUNCTION("""COMPUTED_VALUE"""),"荻曽 克輝")</f>
        <v>荻曽 克輝</v>
      </c>
    </row>
    <row r="8436" spans="2:4" ht="13">
      <c r="B8436" s="12">
        <f ca="1">IFERROR(__xludf.DUMMYFUNCTION("""COMPUTED_VALUE"""),141594)</f>
        <v>141594</v>
      </c>
      <c r="C8436" s="14">
        <f ca="1">IFERROR(__xludf.DUMMYFUNCTION("""COMPUTED_VALUE"""),0)</f>
        <v>0</v>
      </c>
      <c r="D8436" s="12" t="str">
        <f ca="1">IFERROR(__xludf.DUMMYFUNCTION("""COMPUTED_VALUE"""),"老田 純輝")</f>
        <v>老田 純輝</v>
      </c>
    </row>
    <row r="8437" spans="2:4" ht="13">
      <c r="B8437" s="12">
        <f ca="1">IFERROR(__xludf.DUMMYFUNCTION("""COMPUTED_VALUE"""),141595)</f>
        <v>141595</v>
      </c>
      <c r="C8437" s="14">
        <f ca="1">IFERROR(__xludf.DUMMYFUNCTION("""COMPUTED_VALUE"""),0)</f>
        <v>0</v>
      </c>
      <c r="D8437" s="12" t="str">
        <f ca="1">IFERROR(__xludf.DUMMYFUNCTION("""COMPUTED_VALUE"""),"川島 幹也")</f>
        <v>川島 幹也</v>
      </c>
    </row>
    <row r="8438" spans="2:4" ht="13">
      <c r="B8438" s="12">
        <f ca="1">IFERROR(__xludf.DUMMYFUNCTION("""COMPUTED_VALUE"""),141597)</f>
        <v>141597</v>
      </c>
      <c r="C8438" s="14">
        <f ca="1">IFERROR(__xludf.DUMMYFUNCTION("""COMPUTED_VALUE"""),1)</f>
        <v>1</v>
      </c>
      <c r="D8438" s="12" t="str">
        <f ca="1">IFERROR(__xludf.DUMMYFUNCTION("""COMPUTED_VALUE"""),"川島 幹也")</f>
        <v>川島 幹也</v>
      </c>
    </row>
    <row r="8439" spans="2:4" ht="13">
      <c r="B8439" s="12">
        <f ca="1">IFERROR(__xludf.DUMMYFUNCTION("""COMPUTED_VALUE"""),141598)</f>
        <v>141598</v>
      </c>
      <c r="C8439" s="14">
        <f ca="1">IFERROR(__xludf.DUMMYFUNCTION("""COMPUTED_VALUE"""),19)</f>
        <v>19</v>
      </c>
      <c r="D8439" s="12" t="str">
        <f ca="1">IFERROR(__xludf.DUMMYFUNCTION("""COMPUTED_VALUE"""),"小川 純")</f>
        <v>小川 純</v>
      </c>
    </row>
    <row r="8440" spans="2:4" ht="13">
      <c r="B8440" s="12">
        <f ca="1">IFERROR(__xludf.DUMMYFUNCTION("""COMPUTED_VALUE"""),141600)</f>
        <v>141600</v>
      </c>
      <c r="C8440" s="14">
        <f ca="1">IFERROR(__xludf.DUMMYFUNCTION("""COMPUTED_VALUE"""),0)</f>
        <v>0</v>
      </c>
      <c r="D8440" s="12" t="str">
        <f ca="1">IFERROR(__xludf.DUMMYFUNCTION("""COMPUTED_VALUE"""),"川島 幹也")</f>
        <v>川島 幹也</v>
      </c>
    </row>
    <row r="8441" spans="2:4" ht="13">
      <c r="B8441" s="12">
        <f ca="1">IFERROR(__xludf.DUMMYFUNCTION("""COMPUTED_VALUE"""),141616)</f>
        <v>141616</v>
      </c>
      <c r="C8441" s="14">
        <f ca="1">IFERROR(__xludf.DUMMYFUNCTION("""COMPUTED_VALUE"""),0)</f>
        <v>0</v>
      </c>
      <c r="D8441" s="12" t="str">
        <f ca="1">IFERROR(__xludf.DUMMYFUNCTION("""COMPUTED_VALUE"""),"成嶋 夏未")</f>
        <v>成嶋 夏未</v>
      </c>
    </row>
    <row r="8442" spans="2:4" ht="13">
      <c r="B8442" s="12">
        <f ca="1">IFERROR(__xludf.DUMMYFUNCTION("""COMPUTED_VALUE"""),141623)</f>
        <v>141623</v>
      </c>
      <c r="C8442" s="14">
        <f ca="1">IFERROR(__xludf.DUMMYFUNCTION("""COMPUTED_VALUE"""),0)</f>
        <v>0</v>
      </c>
      <c r="D8442" s="12" t="str">
        <f ca="1">IFERROR(__xludf.DUMMYFUNCTION("""COMPUTED_VALUE"""),"内丸 裕子")</f>
        <v>内丸 裕子</v>
      </c>
    </row>
    <row r="8443" spans="2:4" ht="13">
      <c r="B8443" s="12">
        <f ca="1">IFERROR(__xludf.DUMMYFUNCTION("""COMPUTED_VALUE"""),141629)</f>
        <v>141629</v>
      </c>
      <c r="C8443" s="14">
        <f ca="1">IFERROR(__xludf.DUMMYFUNCTION("""COMPUTED_VALUE"""),0)</f>
        <v>0</v>
      </c>
      <c r="D8443" s="12" t="str">
        <f ca="1">IFERROR(__xludf.DUMMYFUNCTION("""COMPUTED_VALUE"""),"荻曽 克輝")</f>
        <v>荻曽 克輝</v>
      </c>
    </row>
    <row r="8444" spans="2:4" ht="13">
      <c r="B8444" s="12">
        <f ca="1">IFERROR(__xludf.DUMMYFUNCTION("""COMPUTED_VALUE"""),141630)</f>
        <v>141630</v>
      </c>
      <c r="C8444" s="14">
        <f ca="1">IFERROR(__xludf.DUMMYFUNCTION("""COMPUTED_VALUE"""),0)</f>
        <v>0</v>
      </c>
      <c r="D8444" s="12" t="str">
        <f ca="1">IFERROR(__xludf.DUMMYFUNCTION("""COMPUTED_VALUE"""),"荻曽 克輝")</f>
        <v>荻曽 克輝</v>
      </c>
    </row>
    <row r="8445" spans="2:4" ht="13">
      <c r="B8445" s="12">
        <f ca="1">IFERROR(__xludf.DUMMYFUNCTION("""COMPUTED_VALUE"""),141631)</f>
        <v>141631</v>
      </c>
      <c r="C8445" s="14">
        <f ca="1">IFERROR(__xludf.DUMMYFUNCTION("""COMPUTED_VALUE"""),0)</f>
        <v>0</v>
      </c>
      <c r="D8445" s="12" t="str">
        <f ca="1">IFERROR(__xludf.DUMMYFUNCTION("""COMPUTED_VALUE"""),"荻曽 克輝")</f>
        <v>荻曽 克輝</v>
      </c>
    </row>
    <row r="8446" spans="2:4" ht="13">
      <c r="B8446" s="12">
        <f ca="1">IFERROR(__xludf.DUMMYFUNCTION("""COMPUTED_VALUE"""),141635)</f>
        <v>141635</v>
      </c>
      <c r="C8446" s="14">
        <f ca="1">IFERROR(__xludf.DUMMYFUNCTION("""COMPUTED_VALUE"""),0)</f>
        <v>0</v>
      </c>
      <c r="D8446" s="12" t="str">
        <f ca="1">IFERROR(__xludf.DUMMYFUNCTION("""COMPUTED_VALUE"""),"荻曽 克輝")</f>
        <v>荻曽 克輝</v>
      </c>
    </row>
    <row r="8447" spans="2:4" ht="13">
      <c r="B8447" s="12">
        <f ca="1">IFERROR(__xludf.DUMMYFUNCTION("""COMPUTED_VALUE"""),141636)</f>
        <v>141636</v>
      </c>
      <c r="C8447" s="14">
        <f ca="1">IFERROR(__xludf.DUMMYFUNCTION("""COMPUTED_VALUE"""),0)</f>
        <v>0</v>
      </c>
      <c r="D8447" s="12" t="str">
        <f ca="1">IFERROR(__xludf.DUMMYFUNCTION("""COMPUTED_VALUE"""),"堀越 駿")</f>
        <v>堀越 駿</v>
      </c>
    </row>
    <row r="8448" spans="2:4" ht="13">
      <c r="B8448" s="12">
        <f ca="1">IFERROR(__xludf.DUMMYFUNCTION("""COMPUTED_VALUE"""),141637)</f>
        <v>141637</v>
      </c>
      <c r="C8448" s="14">
        <f ca="1">IFERROR(__xludf.DUMMYFUNCTION("""COMPUTED_VALUE"""),1)</f>
        <v>1</v>
      </c>
      <c r="D8448" s="12" t="str">
        <f ca="1">IFERROR(__xludf.DUMMYFUNCTION("""COMPUTED_VALUE"""),"小関 麻起")</f>
        <v>小関 麻起</v>
      </c>
    </row>
    <row r="8449" spans="2:4" ht="13">
      <c r="B8449" s="12">
        <f ca="1">IFERROR(__xludf.DUMMYFUNCTION("""COMPUTED_VALUE"""),141638)</f>
        <v>141638</v>
      </c>
      <c r="C8449" s="14">
        <f ca="1">IFERROR(__xludf.DUMMYFUNCTION("""COMPUTED_VALUE"""),0)</f>
        <v>0</v>
      </c>
      <c r="D8449" s="12" t="str">
        <f ca="1">IFERROR(__xludf.DUMMYFUNCTION("""COMPUTED_VALUE"""),"芳賀 亮輔")</f>
        <v>芳賀 亮輔</v>
      </c>
    </row>
    <row r="8450" spans="2:4" ht="13">
      <c r="B8450" s="12">
        <f ca="1">IFERROR(__xludf.DUMMYFUNCTION("""COMPUTED_VALUE"""),141639)</f>
        <v>141639</v>
      </c>
      <c r="C8450" s="14">
        <f ca="1">IFERROR(__xludf.DUMMYFUNCTION("""COMPUTED_VALUE"""),19)</f>
        <v>19</v>
      </c>
      <c r="D8450" s="12" t="str">
        <f ca="1">IFERROR(__xludf.DUMMYFUNCTION("""COMPUTED_VALUE"""),"小川 純")</f>
        <v>小川 純</v>
      </c>
    </row>
    <row r="8451" spans="2:4" ht="13">
      <c r="B8451" s="12">
        <f ca="1">IFERROR(__xludf.DUMMYFUNCTION("""COMPUTED_VALUE"""),141640)</f>
        <v>141640</v>
      </c>
      <c r="C8451" s="14">
        <f ca="1">IFERROR(__xludf.DUMMYFUNCTION("""COMPUTED_VALUE"""),0)</f>
        <v>0</v>
      </c>
      <c r="D8451" s="12" t="str">
        <f ca="1">IFERROR(__xludf.DUMMYFUNCTION("""COMPUTED_VALUE"""),"森 光智")</f>
        <v>森 光智</v>
      </c>
    </row>
    <row r="8452" spans="2:4" ht="13">
      <c r="B8452" s="12">
        <f ca="1">IFERROR(__xludf.DUMMYFUNCTION("""COMPUTED_VALUE"""),141641)</f>
        <v>141641</v>
      </c>
      <c r="C8452" s="14">
        <f ca="1">IFERROR(__xludf.DUMMYFUNCTION("""COMPUTED_VALUE"""),0)</f>
        <v>0</v>
      </c>
      <c r="D8452" s="12" t="str">
        <f ca="1">IFERROR(__xludf.DUMMYFUNCTION("""COMPUTED_VALUE"""),"桐山 勝気")</f>
        <v>桐山 勝気</v>
      </c>
    </row>
    <row r="8453" spans="2:4" ht="13">
      <c r="B8453" s="12">
        <f ca="1">IFERROR(__xludf.DUMMYFUNCTION("""COMPUTED_VALUE"""),141644)</f>
        <v>141644</v>
      </c>
      <c r="C8453" s="14">
        <f ca="1">IFERROR(__xludf.DUMMYFUNCTION("""COMPUTED_VALUE"""),17)</f>
        <v>17</v>
      </c>
      <c r="D8453" s="12" t="str">
        <f ca="1">IFERROR(__xludf.DUMMYFUNCTION("""COMPUTED_VALUE"""),"芳賀 亮輔")</f>
        <v>芳賀 亮輔</v>
      </c>
    </row>
    <row r="8454" spans="2:4" ht="13">
      <c r="B8454" s="12">
        <f ca="1">IFERROR(__xludf.DUMMYFUNCTION("""COMPUTED_VALUE"""),141650)</f>
        <v>141650</v>
      </c>
      <c r="C8454" s="14">
        <f ca="1">IFERROR(__xludf.DUMMYFUNCTION("""COMPUTED_VALUE"""),5)</f>
        <v>5</v>
      </c>
      <c r="D8454" s="12" t="str">
        <f ca="1">IFERROR(__xludf.DUMMYFUNCTION("""COMPUTED_VALUE"""),"稲場 勇介")</f>
        <v>稲場 勇介</v>
      </c>
    </row>
    <row r="8455" spans="2:4" ht="13">
      <c r="B8455" s="12">
        <f ca="1">IFERROR(__xludf.DUMMYFUNCTION("""COMPUTED_VALUE"""),141651)</f>
        <v>141651</v>
      </c>
      <c r="C8455" s="14">
        <f ca="1">IFERROR(__xludf.DUMMYFUNCTION("""COMPUTED_VALUE"""),0)</f>
        <v>0</v>
      </c>
      <c r="D8455" s="12" t="str">
        <f ca="1">IFERROR(__xludf.DUMMYFUNCTION("""COMPUTED_VALUE"""),"小川 純")</f>
        <v>小川 純</v>
      </c>
    </row>
    <row r="8456" spans="2:4" ht="13">
      <c r="B8456" s="12">
        <f ca="1">IFERROR(__xludf.DUMMYFUNCTION("""COMPUTED_VALUE"""),141652)</f>
        <v>141652</v>
      </c>
      <c r="C8456" s="14">
        <f ca="1">IFERROR(__xludf.DUMMYFUNCTION("""COMPUTED_VALUE"""),0)</f>
        <v>0</v>
      </c>
      <c r="D8456" s="12" t="str">
        <f ca="1">IFERROR(__xludf.DUMMYFUNCTION("""COMPUTED_VALUE"""),"芳賀 亮輔")</f>
        <v>芳賀 亮輔</v>
      </c>
    </row>
    <row r="8457" spans="2:4" ht="13">
      <c r="B8457" s="12">
        <f ca="1">IFERROR(__xludf.DUMMYFUNCTION("""COMPUTED_VALUE"""),141659)</f>
        <v>141659</v>
      </c>
      <c r="C8457" s="14">
        <f ca="1">IFERROR(__xludf.DUMMYFUNCTION("""COMPUTED_VALUE"""),29)</f>
        <v>29</v>
      </c>
      <c r="D8457" s="12" t="str">
        <f ca="1">IFERROR(__xludf.DUMMYFUNCTION("""COMPUTED_VALUE"""),"川島 幹也")</f>
        <v>川島 幹也</v>
      </c>
    </row>
    <row r="8458" spans="2:4" ht="13">
      <c r="B8458" s="12">
        <f ca="1">IFERROR(__xludf.DUMMYFUNCTION("""COMPUTED_VALUE"""),141660)</f>
        <v>141660</v>
      </c>
      <c r="C8458" s="14">
        <f ca="1">IFERROR(__xludf.DUMMYFUNCTION("""COMPUTED_VALUE"""),0)</f>
        <v>0</v>
      </c>
      <c r="D8458" s="12" t="str">
        <f ca="1">IFERROR(__xludf.DUMMYFUNCTION("""COMPUTED_VALUE"""),"荻曽 克輝")</f>
        <v>荻曽 克輝</v>
      </c>
    </row>
    <row r="8459" spans="2:4" ht="13">
      <c r="B8459" s="12">
        <f ca="1">IFERROR(__xludf.DUMMYFUNCTION("""COMPUTED_VALUE"""),141661)</f>
        <v>141661</v>
      </c>
      <c r="C8459" s="14">
        <f ca="1">IFERROR(__xludf.DUMMYFUNCTION("""COMPUTED_VALUE"""),7)</f>
        <v>7</v>
      </c>
      <c r="D8459" s="12" t="str">
        <f ca="1">IFERROR(__xludf.DUMMYFUNCTION("""COMPUTED_VALUE"""),"稲場 勇介")</f>
        <v>稲場 勇介</v>
      </c>
    </row>
    <row r="8460" spans="2:4" ht="13">
      <c r="B8460" s="12">
        <f ca="1">IFERROR(__xludf.DUMMYFUNCTION("""COMPUTED_VALUE"""),141662)</f>
        <v>141662</v>
      </c>
      <c r="C8460" s="14">
        <f ca="1">IFERROR(__xludf.DUMMYFUNCTION("""COMPUTED_VALUE"""),0)</f>
        <v>0</v>
      </c>
      <c r="D8460" s="12" t="str">
        <f ca="1">IFERROR(__xludf.DUMMYFUNCTION("""COMPUTED_VALUE"""),"小関 麻起")</f>
        <v>小関 麻起</v>
      </c>
    </row>
    <row r="8461" spans="2:4" ht="13">
      <c r="B8461" s="12">
        <f ca="1">IFERROR(__xludf.DUMMYFUNCTION("""COMPUTED_VALUE"""),141664)</f>
        <v>141664</v>
      </c>
      <c r="C8461" s="14">
        <f ca="1">IFERROR(__xludf.DUMMYFUNCTION("""COMPUTED_VALUE"""),0)</f>
        <v>0</v>
      </c>
      <c r="D8461" s="12" t="str">
        <f ca="1">IFERROR(__xludf.DUMMYFUNCTION("""COMPUTED_VALUE"""),"荻曽 克輝")</f>
        <v>荻曽 克輝</v>
      </c>
    </row>
    <row r="8462" spans="2:4" ht="13">
      <c r="B8462" s="12">
        <f ca="1">IFERROR(__xludf.DUMMYFUNCTION("""COMPUTED_VALUE"""),141666)</f>
        <v>141666</v>
      </c>
      <c r="C8462" s="14">
        <f ca="1">IFERROR(__xludf.DUMMYFUNCTION("""COMPUTED_VALUE"""),0)</f>
        <v>0</v>
      </c>
      <c r="D8462" s="12" t="str">
        <f ca="1">IFERROR(__xludf.DUMMYFUNCTION("""COMPUTED_VALUE"""),"小関 麻起")</f>
        <v>小関 麻起</v>
      </c>
    </row>
    <row r="8463" spans="2:4" ht="13">
      <c r="B8463" s="12">
        <f ca="1">IFERROR(__xludf.DUMMYFUNCTION("""COMPUTED_VALUE"""),141672)</f>
        <v>141672</v>
      </c>
      <c r="C8463" s="14">
        <f ca="1">IFERROR(__xludf.DUMMYFUNCTION("""COMPUTED_VALUE"""),0)</f>
        <v>0</v>
      </c>
      <c r="D8463" s="12" t="str">
        <f ca="1">IFERROR(__xludf.DUMMYFUNCTION("""COMPUTED_VALUE"""),"菅野 ぎんが")</f>
        <v>菅野 ぎんが</v>
      </c>
    </row>
    <row r="8464" spans="2:4" ht="13">
      <c r="B8464" s="12">
        <f ca="1">IFERROR(__xludf.DUMMYFUNCTION("""COMPUTED_VALUE"""),141673)</f>
        <v>141673</v>
      </c>
      <c r="C8464" s="14">
        <f ca="1">IFERROR(__xludf.DUMMYFUNCTION("""COMPUTED_VALUE"""),0)</f>
        <v>0</v>
      </c>
      <c r="D8464" s="12" t="str">
        <f ca="1">IFERROR(__xludf.DUMMYFUNCTION("""COMPUTED_VALUE"""),"菅野 ぎんが")</f>
        <v>菅野 ぎんが</v>
      </c>
    </row>
    <row r="8465" spans="2:4" ht="13">
      <c r="B8465" s="12">
        <f ca="1">IFERROR(__xludf.DUMMYFUNCTION("""COMPUTED_VALUE"""),141674)</f>
        <v>141674</v>
      </c>
      <c r="C8465" s="14">
        <f ca="1">IFERROR(__xludf.DUMMYFUNCTION("""COMPUTED_VALUE"""),0)</f>
        <v>0</v>
      </c>
      <c r="D8465" s="12" t="str">
        <f ca="1">IFERROR(__xludf.DUMMYFUNCTION("""COMPUTED_VALUE"""),"松尾 尚樹")</f>
        <v>松尾 尚樹</v>
      </c>
    </row>
    <row r="8466" spans="2:4" ht="13">
      <c r="B8466" s="12">
        <f ca="1">IFERROR(__xludf.DUMMYFUNCTION("""COMPUTED_VALUE"""),141675)</f>
        <v>141675</v>
      </c>
      <c r="C8466" s="14">
        <f ca="1">IFERROR(__xludf.DUMMYFUNCTION("""COMPUTED_VALUE"""),0)</f>
        <v>0</v>
      </c>
      <c r="D8466" s="12" t="str">
        <f ca="1">IFERROR(__xludf.DUMMYFUNCTION("""COMPUTED_VALUE"""),"菅野 ぎんが")</f>
        <v>菅野 ぎんが</v>
      </c>
    </row>
    <row r="8467" spans="2:4" ht="13">
      <c r="B8467" s="12">
        <f ca="1">IFERROR(__xludf.DUMMYFUNCTION("""COMPUTED_VALUE"""),141676)</f>
        <v>141676</v>
      </c>
      <c r="C8467" s="14">
        <f ca="1">IFERROR(__xludf.DUMMYFUNCTION("""COMPUTED_VALUE"""),11)</f>
        <v>11</v>
      </c>
      <c r="D8467" s="12" t="str">
        <f ca="1">IFERROR(__xludf.DUMMYFUNCTION("""COMPUTED_VALUE"""),"桑原 明子")</f>
        <v>桑原 明子</v>
      </c>
    </row>
    <row r="8468" spans="2:4" ht="13">
      <c r="B8468" s="12">
        <f ca="1">IFERROR(__xludf.DUMMYFUNCTION("""COMPUTED_VALUE"""),141677)</f>
        <v>141677</v>
      </c>
      <c r="C8468" s="14">
        <f ca="1">IFERROR(__xludf.DUMMYFUNCTION("""COMPUTED_VALUE"""),0)</f>
        <v>0</v>
      </c>
      <c r="D8468" s="12" t="str">
        <f ca="1">IFERROR(__xludf.DUMMYFUNCTION("""COMPUTED_VALUE"""),"老田 純輝")</f>
        <v>老田 純輝</v>
      </c>
    </row>
    <row r="8469" spans="2:4" ht="13">
      <c r="B8469" s="12">
        <f ca="1">IFERROR(__xludf.DUMMYFUNCTION("""COMPUTED_VALUE"""),141678)</f>
        <v>141678</v>
      </c>
      <c r="C8469" s="14">
        <f ca="1">IFERROR(__xludf.DUMMYFUNCTION("""COMPUTED_VALUE"""),0)</f>
        <v>0</v>
      </c>
      <c r="D8469" s="12" t="str">
        <f ca="1">IFERROR(__xludf.DUMMYFUNCTION("""COMPUTED_VALUE"""),"荻曽 克輝")</f>
        <v>荻曽 克輝</v>
      </c>
    </row>
    <row r="8470" spans="2:4" ht="13">
      <c r="B8470" s="12">
        <f ca="1">IFERROR(__xludf.DUMMYFUNCTION("""COMPUTED_VALUE"""),141679)</f>
        <v>141679</v>
      </c>
      <c r="C8470" s="14">
        <f ca="1">IFERROR(__xludf.DUMMYFUNCTION("""COMPUTED_VALUE"""),0)</f>
        <v>0</v>
      </c>
      <c r="D8470" s="12" t="str">
        <f ca="1">IFERROR(__xludf.DUMMYFUNCTION("""COMPUTED_VALUE"""),"桐山 勝気")</f>
        <v>桐山 勝気</v>
      </c>
    </row>
    <row r="8471" spans="2:4" ht="13">
      <c r="B8471" s="12">
        <f ca="1">IFERROR(__xludf.DUMMYFUNCTION("""COMPUTED_VALUE"""),141681)</f>
        <v>141681</v>
      </c>
      <c r="C8471" s="14">
        <f ca="1">IFERROR(__xludf.DUMMYFUNCTION("""COMPUTED_VALUE"""),0)</f>
        <v>0</v>
      </c>
      <c r="D8471" s="12" t="str">
        <f ca="1">IFERROR(__xludf.DUMMYFUNCTION("""COMPUTED_VALUE"""),"長谷川 陸朗")</f>
        <v>長谷川 陸朗</v>
      </c>
    </row>
    <row r="8472" spans="2:4" ht="13">
      <c r="B8472" s="12">
        <f ca="1">IFERROR(__xludf.DUMMYFUNCTION("""COMPUTED_VALUE"""),141684)</f>
        <v>141684</v>
      </c>
      <c r="C8472" s="14">
        <f ca="1">IFERROR(__xludf.DUMMYFUNCTION("""COMPUTED_VALUE"""),0)</f>
        <v>0</v>
      </c>
      <c r="D8472" s="12" t="str">
        <f ca="1">IFERROR(__xludf.DUMMYFUNCTION("""COMPUTED_VALUE"""),"稲場 勇介")</f>
        <v>稲場 勇介</v>
      </c>
    </row>
    <row r="8473" spans="2:4" ht="13">
      <c r="B8473" s="12">
        <f ca="1">IFERROR(__xludf.DUMMYFUNCTION("""COMPUTED_VALUE"""),141685)</f>
        <v>141685</v>
      </c>
      <c r="C8473" s="14">
        <f ca="1">IFERROR(__xludf.DUMMYFUNCTION("""COMPUTED_VALUE"""),56)</f>
        <v>56</v>
      </c>
      <c r="D8473" s="12" t="str">
        <f ca="1">IFERROR(__xludf.DUMMYFUNCTION("""COMPUTED_VALUE"""),"小川 純")</f>
        <v>小川 純</v>
      </c>
    </row>
    <row r="8474" spans="2:4" ht="13">
      <c r="B8474" s="12">
        <f ca="1">IFERROR(__xludf.DUMMYFUNCTION("""COMPUTED_VALUE"""),141688)</f>
        <v>141688</v>
      </c>
      <c r="C8474" s="14">
        <f ca="1">IFERROR(__xludf.DUMMYFUNCTION("""COMPUTED_VALUE"""),0)</f>
        <v>0</v>
      </c>
      <c r="D8474" s="12" t="str">
        <f ca="1">IFERROR(__xludf.DUMMYFUNCTION("""COMPUTED_VALUE"""),"桐山 勝気")</f>
        <v>桐山 勝気</v>
      </c>
    </row>
    <row r="8475" spans="2:4" ht="13">
      <c r="B8475" s="12">
        <f ca="1">IFERROR(__xludf.DUMMYFUNCTION("""COMPUTED_VALUE"""),141692)</f>
        <v>141692</v>
      </c>
      <c r="C8475" s="14">
        <f ca="1">IFERROR(__xludf.DUMMYFUNCTION("""COMPUTED_VALUE"""),0)</f>
        <v>0</v>
      </c>
      <c r="D8475" s="12" t="str">
        <f ca="1">IFERROR(__xludf.DUMMYFUNCTION("""COMPUTED_VALUE"""),"村上 浩一朗")</f>
        <v>村上 浩一朗</v>
      </c>
    </row>
    <row r="8476" spans="2:4" ht="13">
      <c r="B8476" s="12">
        <f ca="1">IFERROR(__xludf.DUMMYFUNCTION("""COMPUTED_VALUE"""),141694)</f>
        <v>141694</v>
      </c>
      <c r="C8476" s="14">
        <f ca="1">IFERROR(__xludf.DUMMYFUNCTION("""COMPUTED_VALUE"""),2)</f>
        <v>2</v>
      </c>
      <c r="D8476" s="12" t="str">
        <f ca="1">IFERROR(__xludf.DUMMYFUNCTION("""COMPUTED_VALUE"""),"成嶋 夏未")</f>
        <v>成嶋 夏未</v>
      </c>
    </row>
    <row r="8477" spans="2:4" ht="13">
      <c r="B8477" s="12">
        <f ca="1">IFERROR(__xludf.DUMMYFUNCTION("""COMPUTED_VALUE"""),141695)</f>
        <v>141695</v>
      </c>
      <c r="C8477" s="14">
        <f ca="1">IFERROR(__xludf.DUMMYFUNCTION("""COMPUTED_VALUE"""),0)</f>
        <v>0</v>
      </c>
      <c r="D8477" s="12" t="str">
        <f ca="1">IFERROR(__xludf.DUMMYFUNCTION("""COMPUTED_VALUE"""),"桐山 勝気")</f>
        <v>桐山 勝気</v>
      </c>
    </row>
    <row r="8478" spans="2:4" ht="13">
      <c r="B8478" s="12">
        <f ca="1">IFERROR(__xludf.DUMMYFUNCTION("""COMPUTED_VALUE"""),141699)</f>
        <v>141699</v>
      </c>
      <c r="C8478" s="14">
        <f ca="1">IFERROR(__xludf.DUMMYFUNCTION("""COMPUTED_VALUE"""),0)</f>
        <v>0</v>
      </c>
      <c r="D8478" s="12" t="str">
        <f ca="1">IFERROR(__xludf.DUMMYFUNCTION("""COMPUTED_VALUE"""),"栗原 大武")</f>
        <v>栗原 大武</v>
      </c>
    </row>
    <row r="8479" spans="2:4" ht="13">
      <c r="B8479" s="12">
        <f ca="1">IFERROR(__xludf.DUMMYFUNCTION("""COMPUTED_VALUE"""),141702)</f>
        <v>141702</v>
      </c>
      <c r="C8479" s="14">
        <f ca="1">IFERROR(__xludf.DUMMYFUNCTION("""COMPUTED_VALUE"""),0)</f>
        <v>0</v>
      </c>
      <c r="D8479" s="12" t="str">
        <f ca="1">IFERROR(__xludf.DUMMYFUNCTION("""COMPUTED_VALUE"""),"松尾 尚樹")</f>
        <v>松尾 尚樹</v>
      </c>
    </row>
    <row r="8480" spans="2:4" ht="13">
      <c r="B8480" s="12">
        <f ca="1">IFERROR(__xludf.DUMMYFUNCTION("""COMPUTED_VALUE"""),141703)</f>
        <v>141703</v>
      </c>
      <c r="C8480" s="14">
        <f ca="1">IFERROR(__xludf.DUMMYFUNCTION("""COMPUTED_VALUE"""),0)</f>
        <v>0</v>
      </c>
      <c r="D8480" s="12" t="str">
        <f ca="1">IFERROR(__xludf.DUMMYFUNCTION("""COMPUTED_VALUE"""),"栗原 大武")</f>
        <v>栗原 大武</v>
      </c>
    </row>
    <row r="8481" spans="2:4" ht="13">
      <c r="B8481" s="12">
        <f ca="1">IFERROR(__xludf.DUMMYFUNCTION("""COMPUTED_VALUE"""),141707)</f>
        <v>141707</v>
      </c>
      <c r="C8481" s="14">
        <f ca="1">IFERROR(__xludf.DUMMYFUNCTION("""COMPUTED_VALUE"""),0)</f>
        <v>0</v>
      </c>
      <c r="D8481" s="12" t="str">
        <f ca="1">IFERROR(__xludf.DUMMYFUNCTION("""COMPUTED_VALUE"""),"荻曽 克輝")</f>
        <v>荻曽 克輝</v>
      </c>
    </row>
    <row r="8482" spans="2:4" ht="13">
      <c r="B8482" s="12">
        <f ca="1">IFERROR(__xludf.DUMMYFUNCTION("""COMPUTED_VALUE"""),141712)</f>
        <v>141712</v>
      </c>
      <c r="C8482" s="14">
        <f ca="1">IFERROR(__xludf.DUMMYFUNCTION("""COMPUTED_VALUE"""),0)</f>
        <v>0</v>
      </c>
      <c r="D8482" s="12" t="str">
        <f ca="1">IFERROR(__xludf.DUMMYFUNCTION("""COMPUTED_VALUE"""),"荻曽 克輝")</f>
        <v>荻曽 克輝</v>
      </c>
    </row>
    <row r="8483" spans="2:4" ht="13">
      <c r="B8483" s="12">
        <f ca="1">IFERROR(__xludf.DUMMYFUNCTION("""COMPUTED_VALUE"""),141713)</f>
        <v>141713</v>
      </c>
      <c r="C8483" s="14">
        <f ca="1">IFERROR(__xludf.DUMMYFUNCTION("""COMPUTED_VALUE"""),0)</f>
        <v>0</v>
      </c>
      <c r="D8483" s="12" t="str">
        <f ca="1">IFERROR(__xludf.DUMMYFUNCTION("""COMPUTED_VALUE"""),"荻曽 克輝")</f>
        <v>荻曽 克輝</v>
      </c>
    </row>
    <row r="8484" spans="2:4" ht="13">
      <c r="B8484" s="12">
        <f ca="1">IFERROR(__xludf.DUMMYFUNCTION("""COMPUTED_VALUE"""),141718)</f>
        <v>141718</v>
      </c>
      <c r="C8484" s="14">
        <f ca="1">IFERROR(__xludf.DUMMYFUNCTION("""COMPUTED_VALUE"""),0)</f>
        <v>0</v>
      </c>
      <c r="D8484" s="12" t="str">
        <f ca="1">IFERROR(__xludf.DUMMYFUNCTION("""COMPUTED_VALUE"""),"栗原 大武")</f>
        <v>栗原 大武</v>
      </c>
    </row>
    <row r="8485" spans="2:4" ht="13">
      <c r="B8485" s="12">
        <f ca="1">IFERROR(__xludf.DUMMYFUNCTION("""COMPUTED_VALUE"""),141723)</f>
        <v>141723</v>
      </c>
      <c r="C8485" s="14">
        <f ca="1">IFERROR(__xludf.DUMMYFUNCTION("""COMPUTED_VALUE"""),0)</f>
        <v>0</v>
      </c>
      <c r="D8485" s="12" t="str">
        <f ca="1">IFERROR(__xludf.DUMMYFUNCTION("""COMPUTED_VALUE"""),"荻曽 克輝")</f>
        <v>荻曽 克輝</v>
      </c>
    </row>
    <row r="8486" spans="2:4" ht="13">
      <c r="B8486" s="12">
        <f ca="1">IFERROR(__xludf.DUMMYFUNCTION("""COMPUTED_VALUE"""),141728)</f>
        <v>141728</v>
      </c>
      <c r="C8486" s="14">
        <f ca="1">IFERROR(__xludf.DUMMYFUNCTION("""COMPUTED_VALUE"""),0)</f>
        <v>0</v>
      </c>
      <c r="D8486" s="12" t="str">
        <f ca="1">IFERROR(__xludf.DUMMYFUNCTION("""COMPUTED_VALUE"""),"荻曽 克輝")</f>
        <v>荻曽 克輝</v>
      </c>
    </row>
    <row r="8487" spans="2:4" ht="13">
      <c r="B8487" s="12">
        <f ca="1">IFERROR(__xludf.DUMMYFUNCTION("""COMPUTED_VALUE"""),141732)</f>
        <v>141732</v>
      </c>
      <c r="C8487" s="14">
        <f ca="1">IFERROR(__xludf.DUMMYFUNCTION("""COMPUTED_VALUE"""),0)</f>
        <v>0</v>
      </c>
      <c r="D8487" s="12" t="str">
        <f ca="1">IFERROR(__xludf.DUMMYFUNCTION("""COMPUTED_VALUE"""),"長谷川 陸朗")</f>
        <v>長谷川 陸朗</v>
      </c>
    </row>
    <row r="8488" spans="2:4" ht="13">
      <c r="B8488" s="12">
        <f ca="1">IFERROR(__xludf.DUMMYFUNCTION("""COMPUTED_VALUE"""),141737)</f>
        <v>141737</v>
      </c>
      <c r="C8488" s="14">
        <f ca="1">IFERROR(__xludf.DUMMYFUNCTION("""COMPUTED_VALUE"""),0)</f>
        <v>0</v>
      </c>
      <c r="D8488" s="12" t="str">
        <f ca="1">IFERROR(__xludf.DUMMYFUNCTION("""COMPUTED_VALUE"""),"荻曽 克輝")</f>
        <v>荻曽 克輝</v>
      </c>
    </row>
    <row r="8489" spans="2:4" ht="13">
      <c r="B8489" s="12">
        <f ca="1">IFERROR(__xludf.DUMMYFUNCTION("""COMPUTED_VALUE"""),141738)</f>
        <v>141738</v>
      </c>
      <c r="C8489" s="14">
        <f ca="1">IFERROR(__xludf.DUMMYFUNCTION("""COMPUTED_VALUE"""),0)</f>
        <v>0</v>
      </c>
      <c r="D8489" s="12" t="str">
        <f ca="1">IFERROR(__xludf.DUMMYFUNCTION("""COMPUTED_VALUE"""),"成嶋 夏未")</f>
        <v>成嶋 夏未</v>
      </c>
    </row>
    <row r="8490" spans="2:4" ht="13">
      <c r="B8490" s="12">
        <f ca="1">IFERROR(__xludf.DUMMYFUNCTION("""COMPUTED_VALUE"""),141762)</f>
        <v>141762</v>
      </c>
      <c r="C8490" s="14">
        <f ca="1">IFERROR(__xludf.DUMMYFUNCTION("""COMPUTED_VALUE"""),24)</f>
        <v>24</v>
      </c>
      <c r="D8490" s="12" t="str">
        <f ca="1">IFERROR(__xludf.DUMMYFUNCTION("""COMPUTED_VALUE"""),"桐山 勝気")</f>
        <v>桐山 勝気</v>
      </c>
    </row>
    <row r="8491" spans="2:4" ht="13">
      <c r="B8491" s="12">
        <f ca="1">IFERROR(__xludf.DUMMYFUNCTION("""COMPUTED_VALUE"""),141766)</f>
        <v>141766</v>
      </c>
      <c r="C8491" s="14">
        <f ca="1">IFERROR(__xludf.DUMMYFUNCTION("""COMPUTED_VALUE"""),0)</f>
        <v>0</v>
      </c>
      <c r="D8491" s="12" t="str">
        <f ca="1">IFERROR(__xludf.DUMMYFUNCTION("""COMPUTED_VALUE"""),"長谷川 陸朗")</f>
        <v>長谷川 陸朗</v>
      </c>
    </row>
    <row r="8492" spans="2:4" ht="13">
      <c r="B8492" s="12">
        <f ca="1">IFERROR(__xludf.DUMMYFUNCTION("""COMPUTED_VALUE"""),141769)</f>
        <v>141769</v>
      </c>
      <c r="C8492" s="14">
        <f ca="1">IFERROR(__xludf.DUMMYFUNCTION("""COMPUTED_VALUE"""),0)</f>
        <v>0</v>
      </c>
      <c r="D8492" s="12" t="str">
        <f ca="1">IFERROR(__xludf.DUMMYFUNCTION("""COMPUTED_VALUE"""),"松尾 尚樹")</f>
        <v>松尾 尚樹</v>
      </c>
    </row>
    <row r="8493" spans="2:4" ht="13">
      <c r="B8493" s="12">
        <f ca="1">IFERROR(__xludf.DUMMYFUNCTION("""COMPUTED_VALUE"""),141770)</f>
        <v>141770</v>
      </c>
      <c r="C8493" s="14">
        <f ca="1">IFERROR(__xludf.DUMMYFUNCTION("""COMPUTED_VALUE"""),0)</f>
        <v>0</v>
      </c>
      <c r="D8493" s="12" t="str">
        <f ca="1">IFERROR(__xludf.DUMMYFUNCTION("""COMPUTED_VALUE"""),"荻曽 克輝")</f>
        <v>荻曽 克輝</v>
      </c>
    </row>
    <row r="8494" spans="2:4" ht="13">
      <c r="B8494" s="12">
        <f ca="1">IFERROR(__xludf.DUMMYFUNCTION("""COMPUTED_VALUE"""),141771)</f>
        <v>141771</v>
      </c>
      <c r="C8494" s="14">
        <f ca="1">IFERROR(__xludf.DUMMYFUNCTION("""COMPUTED_VALUE"""),0)</f>
        <v>0</v>
      </c>
      <c r="D8494" s="12" t="str">
        <f ca="1">IFERROR(__xludf.DUMMYFUNCTION("""COMPUTED_VALUE"""),"荻曽 克輝")</f>
        <v>荻曽 克輝</v>
      </c>
    </row>
    <row r="8495" spans="2:4" ht="13">
      <c r="B8495" s="12">
        <f ca="1">IFERROR(__xludf.DUMMYFUNCTION("""COMPUTED_VALUE"""),141773)</f>
        <v>141773</v>
      </c>
      <c r="C8495" s="14">
        <f ca="1">IFERROR(__xludf.DUMMYFUNCTION("""COMPUTED_VALUE"""),0)</f>
        <v>0</v>
      </c>
      <c r="D8495" s="12" t="str">
        <f ca="1">IFERROR(__xludf.DUMMYFUNCTION("""COMPUTED_VALUE"""),"小関 麻起")</f>
        <v>小関 麻起</v>
      </c>
    </row>
    <row r="8496" spans="2:4" ht="13">
      <c r="B8496" s="12">
        <f ca="1">IFERROR(__xludf.DUMMYFUNCTION("""COMPUTED_VALUE"""),141775)</f>
        <v>141775</v>
      </c>
      <c r="C8496" s="14">
        <f ca="1">IFERROR(__xludf.DUMMYFUNCTION("""COMPUTED_VALUE"""),0)</f>
        <v>0</v>
      </c>
      <c r="D8496" s="12" t="str">
        <f ca="1">IFERROR(__xludf.DUMMYFUNCTION("""COMPUTED_VALUE"""),"堀越 駿")</f>
        <v>堀越 駿</v>
      </c>
    </row>
    <row r="8497" spans="2:4" ht="13">
      <c r="B8497" s="12">
        <f ca="1">IFERROR(__xludf.DUMMYFUNCTION("""COMPUTED_VALUE"""),141779)</f>
        <v>141779</v>
      </c>
      <c r="C8497" s="14">
        <f ca="1">IFERROR(__xludf.DUMMYFUNCTION("""COMPUTED_VALUE"""),0)</f>
        <v>0</v>
      </c>
      <c r="D8497" s="12" t="str">
        <f ca="1">IFERROR(__xludf.DUMMYFUNCTION("""COMPUTED_VALUE"""),"小川 純")</f>
        <v>小川 純</v>
      </c>
    </row>
    <row r="8498" spans="2:4" ht="13">
      <c r="B8498" s="12">
        <f ca="1">IFERROR(__xludf.DUMMYFUNCTION("""COMPUTED_VALUE"""),141781)</f>
        <v>141781</v>
      </c>
      <c r="C8498" s="14">
        <f ca="1">IFERROR(__xludf.DUMMYFUNCTION("""COMPUTED_VALUE"""),0)</f>
        <v>0</v>
      </c>
      <c r="D8498" s="12" t="str">
        <f ca="1">IFERROR(__xludf.DUMMYFUNCTION("""COMPUTED_VALUE"""),"老田 純輝")</f>
        <v>老田 純輝</v>
      </c>
    </row>
    <row r="8499" spans="2:4" ht="13">
      <c r="B8499" s="12">
        <f ca="1">IFERROR(__xludf.DUMMYFUNCTION("""COMPUTED_VALUE"""),141793)</f>
        <v>141793</v>
      </c>
      <c r="C8499" s="14">
        <f ca="1">IFERROR(__xludf.DUMMYFUNCTION("""COMPUTED_VALUE"""),19)</f>
        <v>19</v>
      </c>
      <c r="D8499" s="12" t="str">
        <f ca="1">IFERROR(__xludf.DUMMYFUNCTION("""COMPUTED_VALUE"""),"老田 純輝")</f>
        <v>老田 純輝</v>
      </c>
    </row>
    <row r="8500" spans="2:4" ht="13">
      <c r="B8500" s="12">
        <f ca="1">IFERROR(__xludf.DUMMYFUNCTION("""COMPUTED_VALUE"""),141803)</f>
        <v>141803</v>
      </c>
      <c r="C8500" s="14">
        <f ca="1">IFERROR(__xludf.DUMMYFUNCTION("""COMPUTED_VALUE"""),0)</f>
        <v>0</v>
      </c>
      <c r="D8500" s="12" t="str">
        <f ca="1">IFERROR(__xludf.DUMMYFUNCTION("""COMPUTED_VALUE"""),"稲場 勇介")</f>
        <v>稲場 勇介</v>
      </c>
    </row>
    <row r="8501" spans="2:4" ht="13">
      <c r="B8501" s="12">
        <f ca="1">IFERROR(__xludf.DUMMYFUNCTION("""COMPUTED_VALUE"""),141805)</f>
        <v>141805</v>
      </c>
      <c r="C8501" s="14">
        <f ca="1">IFERROR(__xludf.DUMMYFUNCTION("""COMPUTED_VALUE"""),1)</f>
        <v>1</v>
      </c>
      <c r="D8501" s="12" t="str">
        <f ca="1">IFERROR(__xludf.DUMMYFUNCTION("""COMPUTED_VALUE"""),"辻村 将大")</f>
        <v>辻村 将大</v>
      </c>
    </row>
    <row r="8502" spans="2:4" ht="13">
      <c r="B8502" s="12">
        <f ca="1">IFERROR(__xludf.DUMMYFUNCTION("""COMPUTED_VALUE"""),141811)</f>
        <v>141811</v>
      </c>
      <c r="C8502" s="14">
        <f ca="1">IFERROR(__xludf.DUMMYFUNCTION("""COMPUTED_VALUE"""),0)</f>
        <v>0</v>
      </c>
      <c r="D8502" s="12" t="str">
        <f ca="1">IFERROR(__xludf.DUMMYFUNCTION("""COMPUTED_VALUE"""),"荻曽 克輝")</f>
        <v>荻曽 克輝</v>
      </c>
    </row>
    <row r="8503" spans="2:4" ht="13">
      <c r="B8503" s="12">
        <f ca="1">IFERROR(__xludf.DUMMYFUNCTION("""COMPUTED_VALUE"""),141813)</f>
        <v>141813</v>
      </c>
      <c r="C8503" s="14">
        <f ca="1">IFERROR(__xludf.DUMMYFUNCTION("""COMPUTED_VALUE"""),0)</f>
        <v>0</v>
      </c>
      <c r="D8503" s="12" t="str">
        <f ca="1">IFERROR(__xludf.DUMMYFUNCTION("""COMPUTED_VALUE"""),"稲場 勇介")</f>
        <v>稲場 勇介</v>
      </c>
    </row>
    <row r="8504" spans="2:4" ht="13">
      <c r="B8504" s="12">
        <f ca="1">IFERROR(__xludf.DUMMYFUNCTION("""COMPUTED_VALUE"""),141814)</f>
        <v>141814</v>
      </c>
      <c r="C8504" s="14">
        <f ca="1">IFERROR(__xludf.DUMMYFUNCTION("""COMPUTED_VALUE"""),0)</f>
        <v>0</v>
      </c>
      <c r="D8504" s="12" t="str">
        <f ca="1">IFERROR(__xludf.DUMMYFUNCTION("""COMPUTED_VALUE"""),"老田 純輝")</f>
        <v>老田 純輝</v>
      </c>
    </row>
    <row r="8505" spans="2:4" ht="13">
      <c r="B8505" s="12">
        <f ca="1">IFERROR(__xludf.DUMMYFUNCTION("""COMPUTED_VALUE"""),141815)</f>
        <v>141815</v>
      </c>
      <c r="C8505" s="14">
        <f ca="1">IFERROR(__xludf.DUMMYFUNCTION("""COMPUTED_VALUE"""),8)</f>
        <v>8</v>
      </c>
      <c r="D8505" s="12" t="str">
        <f ca="1">IFERROR(__xludf.DUMMYFUNCTION("""COMPUTED_VALUE"""),"稲場 勇介")</f>
        <v>稲場 勇介</v>
      </c>
    </row>
    <row r="8506" spans="2:4" ht="13">
      <c r="B8506" s="12">
        <f ca="1">IFERROR(__xludf.DUMMYFUNCTION("""COMPUTED_VALUE"""),141816)</f>
        <v>141816</v>
      </c>
      <c r="C8506" s="14">
        <f ca="1">IFERROR(__xludf.DUMMYFUNCTION("""COMPUTED_VALUE"""),0)</f>
        <v>0</v>
      </c>
      <c r="D8506" s="12" t="str">
        <f ca="1">IFERROR(__xludf.DUMMYFUNCTION("""COMPUTED_VALUE"""),"森 光智")</f>
        <v>森 光智</v>
      </c>
    </row>
    <row r="8507" spans="2:4" ht="13">
      <c r="B8507" s="12">
        <f ca="1">IFERROR(__xludf.DUMMYFUNCTION("""COMPUTED_VALUE"""),141825)</f>
        <v>141825</v>
      </c>
      <c r="C8507" s="14">
        <f ca="1">IFERROR(__xludf.DUMMYFUNCTION("""COMPUTED_VALUE"""),0)</f>
        <v>0</v>
      </c>
      <c r="D8507" s="12" t="str">
        <f ca="1">IFERROR(__xludf.DUMMYFUNCTION("""COMPUTED_VALUE"""),"小関 麻起")</f>
        <v>小関 麻起</v>
      </c>
    </row>
    <row r="8508" spans="2:4" ht="13">
      <c r="B8508" s="12">
        <f ca="1">IFERROR(__xludf.DUMMYFUNCTION("""COMPUTED_VALUE"""),141829)</f>
        <v>141829</v>
      </c>
      <c r="C8508" s="14">
        <f ca="1">IFERROR(__xludf.DUMMYFUNCTION("""COMPUTED_VALUE"""),0)</f>
        <v>0</v>
      </c>
      <c r="D8508" s="12" t="str">
        <f ca="1">IFERROR(__xludf.DUMMYFUNCTION("""COMPUTED_VALUE"""),"芳賀 亮輔")</f>
        <v>芳賀 亮輔</v>
      </c>
    </row>
    <row r="8509" spans="2:4" ht="13">
      <c r="B8509" s="12">
        <f ca="1">IFERROR(__xludf.DUMMYFUNCTION("""COMPUTED_VALUE"""),141830)</f>
        <v>141830</v>
      </c>
      <c r="C8509" s="14">
        <f ca="1">IFERROR(__xludf.DUMMYFUNCTION("""COMPUTED_VALUE"""),0)</f>
        <v>0</v>
      </c>
      <c r="D8509" s="12" t="str">
        <f ca="1">IFERROR(__xludf.DUMMYFUNCTION("""COMPUTED_VALUE"""),"内丸 裕子")</f>
        <v>内丸 裕子</v>
      </c>
    </row>
    <row r="8510" spans="2:4" ht="13">
      <c r="B8510" s="12">
        <f ca="1">IFERROR(__xludf.DUMMYFUNCTION("""COMPUTED_VALUE"""),141831)</f>
        <v>141831</v>
      </c>
      <c r="C8510" s="14">
        <f ca="1">IFERROR(__xludf.DUMMYFUNCTION("""COMPUTED_VALUE"""),0)</f>
        <v>0</v>
      </c>
      <c r="D8510" s="12" t="str">
        <f ca="1">IFERROR(__xludf.DUMMYFUNCTION("""COMPUTED_VALUE"""),"村上 浩一朗")</f>
        <v>村上 浩一朗</v>
      </c>
    </row>
    <row r="8511" spans="2:4" ht="13">
      <c r="B8511" s="12">
        <f ca="1">IFERROR(__xludf.DUMMYFUNCTION("""COMPUTED_VALUE"""),141835)</f>
        <v>141835</v>
      </c>
      <c r="C8511" s="14">
        <f ca="1">IFERROR(__xludf.DUMMYFUNCTION("""COMPUTED_VALUE"""),0)</f>
        <v>0</v>
      </c>
      <c r="D8511" s="12" t="str">
        <f ca="1">IFERROR(__xludf.DUMMYFUNCTION("""COMPUTED_VALUE"""),"成嶋 夏未")</f>
        <v>成嶋 夏未</v>
      </c>
    </row>
    <row r="8512" spans="2:4" ht="13">
      <c r="B8512" s="12">
        <f ca="1">IFERROR(__xludf.DUMMYFUNCTION("""COMPUTED_VALUE"""),141838)</f>
        <v>141838</v>
      </c>
      <c r="C8512" s="14">
        <f ca="1">IFERROR(__xludf.DUMMYFUNCTION("""COMPUTED_VALUE"""),0)</f>
        <v>0</v>
      </c>
      <c r="D8512" s="12" t="str">
        <f ca="1">IFERROR(__xludf.DUMMYFUNCTION("""COMPUTED_VALUE"""),"栗原 大武")</f>
        <v>栗原 大武</v>
      </c>
    </row>
    <row r="8513" spans="2:4" ht="13">
      <c r="B8513" s="12">
        <f ca="1">IFERROR(__xludf.DUMMYFUNCTION("""COMPUTED_VALUE"""),141839)</f>
        <v>141839</v>
      </c>
      <c r="C8513" s="14">
        <f ca="1">IFERROR(__xludf.DUMMYFUNCTION("""COMPUTED_VALUE"""),0)</f>
        <v>0</v>
      </c>
      <c r="D8513" s="12" t="str">
        <f ca="1">IFERROR(__xludf.DUMMYFUNCTION("""COMPUTED_VALUE"""),"菅野 ぎんが")</f>
        <v>菅野 ぎんが</v>
      </c>
    </row>
    <row r="8514" spans="2:4" ht="13">
      <c r="B8514" s="12">
        <f ca="1">IFERROR(__xludf.DUMMYFUNCTION("""COMPUTED_VALUE"""),141841)</f>
        <v>141841</v>
      </c>
      <c r="C8514" s="14">
        <f ca="1">IFERROR(__xludf.DUMMYFUNCTION("""COMPUTED_VALUE"""),0)</f>
        <v>0</v>
      </c>
      <c r="D8514" s="12" t="str">
        <f ca="1">IFERROR(__xludf.DUMMYFUNCTION("""COMPUTED_VALUE"""),"桑原 明子")</f>
        <v>桑原 明子</v>
      </c>
    </row>
    <row r="8515" spans="2:4" ht="13">
      <c r="B8515" s="12">
        <f ca="1">IFERROR(__xludf.DUMMYFUNCTION("""COMPUTED_VALUE"""),141843)</f>
        <v>141843</v>
      </c>
      <c r="C8515" s="14">
        <f ca="1">IFERROR(__xludf.DUMMYFUNCTION("""COMPUTED_VALUE"""),5)</f>
        <v>5</v>
      </c>
      <c r="D8515" s="12" t="str">
        <f ca="1">IFERROR(__xludf.DUMMYFUNCTION("""COMPUTED_VALUE"""),"栗原 大武")</f>
        <v>栗原 大武</v>
      </c>
    </row>
    <row r="8516" spans="2:4" ht="13">
      <c r="B8516" s="12">
        <f ca="1">IFERROR(__xludf.DUMMYFUNCTION("""COMPUTED_VALUE"""),141844)</f>
        <v>141844</v>
      </c>
      <c r="C8516" s="14">
        <f ca="1">IFERROR(__xludf.DUMMYFUNCTION("""COMPUTED_VALUE"""),0)</f>
        <v>0</v>
      </c>
      <c r="D8516" s="12" t="str">
        <f ca="1">IFERROR(__xludf.DUMMYFUNCTION("""COMPUTED_VALUE"""),"芳賀 亮輔")</f>
        <v>芳賀 亮輔</v>
      </c>
    </row>
    <row r="8517" spans="2:4" ht="13">
      <c r="B8517" s="12">
        <f ca="1">IFERROR(__xludf.DUMMYFUNCTION("""COMPUTED_VALUE"""),141846)</f>
        <v>141846</v>
      </c>
      <c r="C8517" s="14">
        <f ca="1">IFERROR(__xludf.DUMMYFUNCTION("""COMPUTED_VALUE"""),0)</f>
        <v>0</v>
      </c>
      <c r="D8517" s="12" t="str">
        <f ca="1">IFERROR(__xludf.DUMMYFUNCTION("""COMPUTED_VALUE"""),"荻曽 克輝")</f>
        <v>荻曽 克輝</v>
      </c>
    </row>
    <row r="8518" spans="2:4" ht="13">
      <c r="B8518" s="12">
        <f ca="1">IFERROR(__xludf.DUMMYFUNCTION("""COMPUTED_VALUE"""),141851)</f>
        <v>141851</v>
      </c>
      <c r="C8518" s="14">
        <f ca="1">IFERROR(__xludf.DUMMYFUNCTION("""COMPUTED_VALUE"""),0)</f>
        <v>0</v>
      </c>
      <c r="D8518" s="12" t="str">
        <f ca="1">IFERROR(__xludf.DUMMYFUNCTION("""COMPUTED_VALUE"""),"堀越 駿")</f>
        <v>堀越 駿</v>
      </c>
    </row>
    <row r="8519" spans="2:4" ht="13">
      <c r="B8519" s="12">
        <f ca="1">IFERROR(__xludf.DUMMYFUNCTION("""COMPUTED_VALUE"""),141854)</f>
        <v>141854</v>
      </c>
      <c r="C8519" s="14">
        <f ca="1">IFERROR(__xludf.DUMMYFUNCTION("""COMPUTED_VALUE"""),0)</f>
        <v>0</v>
      </c>
      <c r="D8519" s="12" t="str">
        <f ca="1">IFERROR(__xludf.DUMMYFUNCTION("""COMPUTED_VALUE"""),"成嶋 夏未")</f>
        <v>成嶋 夏未</v>
      </c>
    </row>
    <row r="8520" spans="2:4" ht="13">
      <c r="B8520" s="12">
        <f ca="1">IFERROR(__xludf.DUMMYFUNCTION("""COMPUTED_VALUE"""),141855)</f>
        <v>141855</v>
      </c>
      <c r="C8520" s="14">
        <f ca="1">IFERROR(__xludf.DUMMYFUNCTION("""COMPUTED_VALUE"""),0)</f>
        <v>0</v>
      </c>
      <c r="D8520" s="12" t="str">
        <f ca="1">IFERROR(__xludf.DUMMYFUNCTION("""COMPUTED_VALUE"""),"小川 純")</f>
        <v>小川 純</v>
      </c>
    </row>
    <row r="8521" spans="2:4" ht="13">
      <c r="B8521" s="12">
        <f ca="1">IFERROR(__xludf.DUMMYFUNCTION("""COMPUTED_VALUE"""),141859)</f>
        <v>141859</v>
      </c>
      <c r="C8521" s="14">
        <f ca="1">IFERROR(__xludf.DUMMYFUNCTION("""COMPUTED_VALUE"""),0)</f>
        <v>0</v>
      </c>
      <c r="D8521" s="12" t="str">
        <f ca="1">IFERROR(__xludf.DUMMYFUNCTION("""COMPUTED_VALUE"""),"菅野 ぎんが")</f>
        <v>菅野 ぎんが</v>
      </c>
    </row>
    <row r="8522" spans="2:4" ht="13">
      <c r="B8522" s="12">
        <f ca="1">IFERROR(__xludf.DUMMYFUNCTION("""COMPUTED_VALUE"""),141861)</f>
        <v>141861</v>
      </c>
      <c r="C8522" s="14">
        <f ca="1">IFERROR(__xludf.DUMMYFUNCTION("""COMPUTED_VALUE"""),0)</f>
        <v>0</v>
      </c>
      <c r="D8522" s="12" t="str">
        <f ca="1">IFERROR(__xludf.DUMMYFUNCTION("""COMPUTED_VALUE"""),"小川 純")</f>
        <v>小川 純</v>
      </c>
    </row>
    <row r="8523" spans="2:4" ht="13">
      <c r="B8523" s="12">
        <f ca="1">IFERROR(__xludf.DUMMYFUNCTION("""COMPUTED_VALUE"""),141862)</f>
        <v>141862</v>
      </c>
      <c r="C8523" s="14">
        <f ca="1">IFERROR(__xludf.DUMMYFUNCTION("""COMPUTED_VALUE"""),0)</f>
        <v>0</v>
      </c>
      <c r="D8523" s="12" t="str">
        <f ca="1">IFERROR(__xludf.DUMMYFUNCTION("""COMPUTED_VALUE"""),"小川 純")</f>
        <v>小川 純</v>
      </c>
    </row>
    <row r="8524" spans="2:4" ht="13">
      <c r="B8524" s="12">
        <f ca="1">IFERROR(__xludf.DUMMYFUNCTION("""COMPUTED_VALUE"""),141863)</f>
        <v>141863</v>
      </c>
      <c r="C8524" s="14">
        <f ca="1">IFERROR(__xludf.DUMMYFUNCTION("""COMPUTED_VALUE"""),0)</f>
        <v>0</v>
      </c>
      <c r="D8524" s="12" t="str">
        <f ca="1">IFERROR(__xludf.DUMMYFUNCTION("""COMPUTED_VALUE"""),"小川 純")</f>
        <v>小川 純</v>
      </c>
    </row>
    <row r="8525" spans="2:4" ht="13">
      <c r="B8525" s="12">
        <f ca="1">IFERROR(__xludf.DUMMYFUNCTION("""COMPUTED_VALUE"""),141864)</f>
        <v>141864</v>
      </c>
      <c r="C8525" s="14">
        <f ca="1">IFERROR(__xludf.DUMMYFUNCTION("""COMPUTED_VALUE"""),0)</f>
        <v>0</v>
      </c>
      <c r="D8525" s="12" t="str">
        <f ca="1">IFERROR(__xludf.DUMMYFUNCTION("""COMPUTED_VALUE"""),"小川 純")</f>
        <v>小川 純</v>
      </c>
    </row>
    <row r="8526" spans="2:4" ht="13">
      <c r="B8526" s="12">
        <f ca="1">IFERROR(__xludf.DUMMYFUNCTION("""COMPUTED_VALUE"""),141865)</f>
        <v>141865</v>
      </c>
      <c r="C8526" s="14">
        <f ca="1">IFERROR(__xludf.DUMMYFUNCTION("""COMPUTED_VALUE"""),0)</f>
        <v>0</v>
      </c>
      <c r="D8526" s="12" t="str">
        <f ca="1">IFERROR(__xludf.DUMMYFUNCTION("""COMPUTED_VALUE"""),"小川 純")</f>
        <v>小川 純</v>
      </c>
    </row>
    <row r="8527" spans="2:4" ht="13">
      <c r="B8527" s="12">
        <f ca="1">IFERROR(__xludf.DUMMYFUNCTION("""COMPUTED_VALUE"""),141866)</f>
        <v>141866</v>
      </c>
      <c r="C8527" s="14">
        <f ca="1">IFERROR(__xludf.DUMMYFUNCTION("""COMPUTED_VALUE"""),0)</f>
        <v>0</v>
      </c>
      <c r="D8527" s="12" t="str">
        <f ca="1">IFERROR(__xludf.DUMMYFUNCTION("""COMPUTED_VALUE"""),"小川 純")</f>
        <v>小川 純</v>
      </c>
    </row>
    <row r="8528" spans="2:4" ht="13">
      <c r="B8528" s="12">
        <f ca="1">IFERROR(__xludf.DUMMYFUNCTION("""COMPUTED_VALUE"""),141867)</f>
        <v>141867</v>
      </c>
      <c r="C8528" s="14">
        <f ca="1">IFERROR(__xludf.DUMMYFUNCTION("""COMPUTED_VALUE"""),0)</f>
        <v>0</v>
      </c>
      <c r="D8528" s="12" t="str">
        <f ca="1">IFERROR(__xludf.DUMMYFUNCTION("""COMPUTED_VALUE"""),"小川 純")</f>
        <v>小川 純</v>
      </c>
    </row>
    <row r="8529" spans="2:4" ht="13">
      <c r="B8529" s="12">
        <f ca="1">IFERROR(__xludf.DUMMYFUNCTION("""COMPUTED_VALUE"""),141870)</f>
        <v>141870</v>
      </c>
      <c r="C8529" s="14">
        <f ca="1">IFERROR(__xludf.DUMMYFUNCTION("""COMPUTED_VALUE"""),0)</f>
        <v>0</v>
      </c>
      <c r="D8529" s="12" t="str">
        <f ca="1">IFERROR(__xludf.DUMMYFUNCTION("""COMPUTED_VALUE"""),"田嶋 将太")</f>
        <v>田嶋 将太</v>
      </c>
    </row>
    <row r="8530" spans="2:4" ht="13">
      <c r="B8530" s="12">
        <f ca="1">IFERROR(__xludf.DUMMYFUNCTION("""COMPUTED_VALUE"""),141874)</f>
        <v>141874</v>
      </c>
      <c r="C8530" s="14">
        <f ca="1">IFERROR(__xludf.DUMMYFUNCTION("""COMPUTED_VALUE"""),0)</f>
        <v>0</v>
      </c>
      <c r="D8530" s="12" t="str">
        <f ca="1">IFERROR(__xludf.DUMMYFUNCTION("""COMPUTED_VALUE"""),"荻曽 克輝")</f>
        <v>荻曽 克輝</v>
      </c>
    </row>
    <row r="8531" spans="2:4" ht="13">
      <c r="B8531" s="12">
        <f ca="1">IFERROR(__xludf.DUMMYFUNCTION("""COMPUTED_VALUE"""),141875)</f>
        <v>141875</v>
      </c>
      <c r="C8531" s="14">
        <f ca="1">IFERROR(__xludf.DUMMYFUNCTION("""COMPUTED_VALUE"""),0)</f>
        <v>0</v>
      </c>
      <c r="D8531" s="12" t="str">
        <f ca="1">IFERROR(__xludf.DUMMYFUNCTION("""COMPUTED_VALUE"""),"小関 麻起")</f>
        <v>小関 麻起</v>
      </c>
    </row>
    <row r="8532" spans="2:4" ht="13">
      <c r="B8532" s="12">
        <f ca="1">IFERROR(__xludf.DUMMYFUNCTION("""COMPUTED_VALUE"""),141876)</f>
        <v>141876</v>
      </c>
      <c r="C8532" s="14">
        <f ca="1">IFERROR(__xludf.DUMMYFUNCTION("""COMPUTED_VALUE"""),17)</f>
        <v>17</v>
      </c>
      <c r="D8532" s="12" t="str">
        <f ca="1">IFERROR(__xludf.DUMMYFUNCTION("""COMPUTED_VALUE"""),"松尾 尚樹")</f>
        <v>松尾 尚樹</v>
      </c>
    </row>
    <row r="8533" spans="2:4" ht="13">
      <c r="B8533" s="12">
        <f ca="1">IFERROR(__xludf.DUMMYFUNCTION("""COMPUTED_VALUE"""),141877)</f>
        <v>141877</v>
      </c>
      <c r="C8533" s="14">
        <f ca="1">IFERROR(__xludf.DUMMYFUNCTION("""COMPUTED_VALUE"""),5)</f>
        <v>5</v>
      </c>
      <c r="D8533" s="12" t="str">
        <f ca="1">IFERROR(__xludf.DUMMYFUNCTION("""COMPUTED_VALUE"""),"稲場 勇介")</f>
        <v>稲場 勇介</v>
      </c>
    </row>
    <row r="8534" spans="2:4" ht="13">
      <c r="B8534" s="12">
        <f ca="1">IFERROR(__xludf.DUMMYFUNCTION("""COMPUTED_VALUE"""),141881)</f>
        <v>141881</v>
      </c>
      <c r="C8534" s="14">
        <f ca="1">IFERROR(__xludf.DUMMYFUNCTION("""COMPUTED_VALUE"""),0)</f>
        <v>0</v>
      </c>
      <c r="D8534" s="12" t="str">
        <f ca="1">IFERROR(__xludf.DUMMYFUNCTION("""COMPUTED_VALUE"""),"成嶋 夏未")</f>
        <v>成嶋 夏未</v>
      </c>
    </row>
    <row r="8535" spans="2:4" ht="13">
      <c r="B8535" s="12">
        <f ca="1">IFERROR(__xludf.DUMMYFUNCTION("""COMPUTED_VALUE"""),141885)</f>
        <v>141885</v>
      </c>
      <c r="C8535" s="14">
        <f ca="1">IFERROR(__xludf.DUMMYFUNCTION("""COMPUTED_VALUE"""),0)</f>
        <v>0</v>
      </c>
      <c r="D8535" s="12" t="str">
        <f ca="1">IFERROR(__xludf.DUMMYFUNCTION("""COMPUTED_VALUE"""),"稲場 勇介")</f>
        <v>稲場 勇介</v>
      </c>
    </row>
    <row r="8536" spans="2:4" ht="13">
      <c r="B8536" s="12">
        <f ca="1">IFERROR(__xludf.DUMMYFUNCTION("""COMPUTED_VALUE"""),141888)</f>
        <v>141888</v>
      </c>
      <c r="C8536" s="14">
        <f ca="1">IFERROR(__xludf.DUMMYFUNCTION("""COMPUTED_VALUE"""),0)</f>
        <v>0</v>
      </c>
      <c r="D8536" s="12" t="str">
        <f ca="1">IFERROR(__xludf.DUMMYFUNCTION("""COMPUTED_VALUE"""),"小関 麻起")</f>
        <v>小関 麻起</v>
      </c>
    </row>
    <row r="8537" spans="2:4" ht="13">
      <c r="B8537" s="12">
        <f ca="1">IFERROR(__xludf.DUMMYFUNCTION("""COMPUTED_VALUE"""),141889)</f>
        <v>141889</v>
      </c>
      <c r="C8537" s="14">
        <f ca="1">IFERROR(__xludf.DUMMYFUNCTION("""COMPUTED_VALUE"""),12)</f>
        <v>12</v>
      </c>
      <c r="D8537" s="12" t="str">
        <f ca="1">IFERROR(__xludf.DUMMYFUNCTION("""COMPUTED_VALUE"""),"桐山 勝気")</f>
        <v>桐山 勝気</v>
      </c>
    </row>
    <row r="8538" spans="2:4" ht="13">
      <c r="B8538" s="12">
        <f ca="1">IFERROR(__xludf.DUMMYFUNCTION("""COMPUTED_VALUE"""),141892)</f>
        <v>141892</v>
      </c>
      <c r="C8538" s="14">
        <f ca="1">IFERROR(__xludf.DUMMYFUNCTION("""COMPUTED_VALUE"""),0)</f>
        <v>0</v>
      </c>
      <c r="D8538" s="12" t="str">
        <f ca="1">IFERROR(__xludf.DUMMYFUNCTION("""COMPUTED_VALUE"""),"荻曽 克輝")</f>
        <v>荻曽 克輝</v>
      </c>
    </row>
    <row r="8539" spans="2:4" ht="13">
      <c r="B8539" s="12">
        <f ca="1">IFERROR(__xludf.DUMMYFUNCTION("""COMPUTED_VALUE"""),141899)</f>
        <v>141899</v>
      </c>
      <c r="C8539" s="14">
        <f ca="1">IFERROR(__xludf.DUMMYFUNCTION("""COMPUTED_VALUE"""),0)</f>
        <v>0</v>
      </c>
      <c r="D8539" s="12" t="str">
        <f ca="1">IFERROR(__xludf.DUMMYFUNCTION("""COMPUTED_VALUE"""),"成嶋 夏未")</f>
        <v>成嶋 夏未</v>
      </c>
    </row>
    <row r="8540" spans="2:4" ht="13">
      <c r="B8540" s="12">
        <f ca="1">IFERROR(__xludf.DUMMYFUNCTION("""COMPUTED_VALUE"""),141908)</f>
        <v>141908</v>
      </c>
      <c r="C8540" s="14">
        <f ca="1">IFERROR(__xludf.DUMMYFUNCTION("""COMPUTED_VALUE"""),4)</f>
        <v>4</v>
      </c>
      <c r="D8540" s="12" t="str">
        <f ca="1">IFERROR(__xludf.DUMMYFUNCTION("""COMPUTED_VALUE"""),"荻曽 克輝")</f>
        <v>荻曽 克輝</v>
      </c>
    </row>
    <row r="8541" spans="2:4" ht="13">
      <c r="B8541" s="12">
        <f ca="1">IFERROR(__xludf.DUMMYFUNCTION("""COMPUTED_VALUE"""),141914)</f>
        <v>141914</v>
      </c>
      <c r="C8541" s="14">
        <f ca="1">IFERROR(__xludf.DUMMYFUNCTION("""COMPUTED_VALUE"""),0)</f>
        <v>0</v>
      </c>
      <c r="D8541" s="12" t="str">
        <f ca="1">IFERROR(__xludf.DUMMYFUNCTION("""COMPUTED_VALUE"""),"成嶋 夏未")</f>
        <v>成嶋 夏未</v>
      </c>
    </row>
    <row r="8542" spans="2:4" ht="13">
      <c r="B8542" s="12">
        <f ca="1">IFERROR(__xludf.DUMMYFUNCTION("""COMPUTED_VALUE"""),141919)</f>
        <v>141919</v>
      </c>
      <c r="C8542" s="14">
        <f ca="1">IFERROR(__xludf.DUMMYFUNCTION("""COMPUTED_VALUE"""),0)</f>
        <v>0</v>
      </c>
      <c r="D8542" s="12" t="str">
        <f ca="1">IFERROR(__xludf.DUMMYFUNCTION("""COMPUTED_VALUE"""),"荻曽 克輝")</f>
        <v>荻曽 克輝</v>
      </c>
    </row>
    <row r="8543" spans="2:4" ht="13">
      <c r="B8543" s="12">
        <f ca="1">IFERROR(__xludf.DUMMYFUNCTION("""COMPUTED_VALUE"""),141928)</f>
        <v>141928</v>
      </c>
      <c r="C8543" s="14">
        <f ca="1">IFERROR(__xludf.DUMMYFUNCTION("""COMPUTED_VALUE"""),0)</f>
        <v>0</v>
      </c>
      <c r="D8543" s="12" t="str">
        <f ca="1">IFERROR(__xludf.DUMMYFUNCTION("""COMPUTED_VALUE"""),"長谷川 陸朗")</f>
        <v>長谷川 陸朗</v>
      </c>
    </row>
    <row r="8544" spans="2:4" ht="13">
      <c r="B8544" s="12">
        <f ca="1">IFERROR(__xludf.DUMMYFUNCTION("""COMPUTED_VALUE"""),141933)</f>
        <v>141933</v>
      </c>
      <c r="C8544" s="14">
        <f ca="1">IFERROR(__xludf.DUMMYFUNCTION("""COMPUTED_VALUE"""),0)</f>
        <v>0</v>
      </c>
      <c r="D8544" s="12" t="str">
        <f ca="1">IFERROR(__xludf.DUMMYFUNCTION("""COMPUTED_VALUE"""),"辻村 将大")</f>
        <v>辻村 将大</v>
      </c>
    </row>
    <row r="8545" spans="2:4" ht="13">
      <c r="B8545" s="12">
        <f ca="1">IFERROR(__xludf.DUMMYFUNCTION("""COMPUTED_VALUE"""),141935)</f>
        <v>141935</v>
      </c>
      <c r="C8545" s="14">
        <f ca="1">IFERROR(__xludf.DUMMYFUNCTION("""COMPUTED_VALUE"""),0)</f>
        <v>0</v>
      </c>
      <c r="D8545" s="12" t="str">
        <f ca="1">IFERROR(__xludf.DUMMYFUNCTION("""COMPUTED_VALUE"""),"小川 純")</f>
        <v>小川 純</v>
      </c>
    </row>
    <row r="8546" spans="2:4" ht="13">
      <c r="B8546" s="12">
        <f ca="1">IFERROR(__xludf.DUMMYFUNCTION("""COMPUTED_VALUE"""),141940)</f>
        <v>141940</v>
      </c>
      <c r="C8546" s="14">
        <f ca="1">IFERROR(__xludf.DUMMYFUNCTION("""COMPUTED_VALUE"""),0)</f>
        <v>0</v>
      </c>
      <c r="D8546" s="12" t="str">
        <f ca="1">IFERROR(__xludf.DUMMYFUNCTION("""COMPUTED_VALUE"""),"桐山 勝気")</f>
        <v>桐山 勝気</v>
      </c>
    </row>
    <row r="8547" spans="2:4" ht="13">
      <c r="B8547" s="12">
        <f ca="1">IFERROR(__xludf.DUMMYFUNCTION("""COMPUTED_VALUE"""),141941)</f>
        <v>141941</v>
      </c>
      <c r="C8547" s="14">
        <f ca="1">IFERROR(__xludf.DUMMYFUNCTION("""COMPUTED_VALUE"""),0)</f>
        <v>0</v>
      </c>
      <c r="D8547" s="12" t="str">
        <f ca="1">IFERROR(__xludf.DUMMYFUNCTION("""COMPUTED_VALUE"""),"松尾 尚樹")</f>
        <v>松尾 尚樹</v>
      </c>
    </row>
    <row r="8548" spans="2:4" ht="13">
      <c r="B8548" s="12">
        <f ca="1">IFERROR(__xludf.DUMMYFUNCTION("""COMPUTED_VALUE"""),141952)</f>
        <v>141952</v>
      </c>
      <c r="C8548" s="14">
        <f ca="1">IFERROR(__xludf.DUMMYFUNCTION("""COMPUTED_VALUE"""),0)</f>
        <v>0</v>
      </c>
      <c r="D8548" s="12" t="str">
        <f ca="1">IFERROR(__xludf.DUMMYFUNCTION("""COMPUTED_VALUE"""),"内丸 裕子")</f>
        <v>内丸 裕子</v>
      </c>
    </row>
    <row r="8549" spans="2:4" ht="13">
      <c r="B8549" s="12">
        <f ca="1">IFERROR(__xludf.DUMMYFUNCTION("""COMPUTED_VALUE"""),141963)</f>
        <v>141963</v>
      </c>
      <c r="C8549" s="14">
        <f ca="1">IFERROR(__xludf.DUMMYFUNCTION("""COMPUTED_VALUE"""),0)</f>
        <v>0</v>
      </c>
      <c r="D8549" s="12" t="str">
        <f ca="1">IFERROR(__xludf.DUMMYFUNCTION("""COMPUTED_VALUE"""),"稲場 勇介")</f>
        <v>稲場 勇介</v>
      </c>
    </row>
    <row r="8550" spans="2:4" ht="13">
      <c r="B8550" s="12">
        <f ca="1">IFERROR(__xludf.DUMMYFUNCTION("""COMPUTED_VALUE"""),141964)</f>
        <v>141964</v>
      </c>
      <c r="C8550" s="14">
        <f ca="1">IFERROR(__xludf.DUMMYFUNCTION("""COMPUTED_VALUE"""),0)</f>
        <v>0</v>
      </c>
      <c r="D8550" s="12" t="str">
        <f ca="1">IFERROR(__xludf.DUMMYFUNCTION("""COMPUTED_VALUE"""),"桑原 明子")</f>
        <v>桑原 明子</v>
      </c>
    </row>
    <row r="8551" spans="2:4" ht="13">
      <c r="B8551" s="12">
        <f ca="1">IFERROR(__xludf.DUMMYFUNCTION("""COMPUTED_VALUE"""),141970)</f>
        <v>141970</v>
      </c>
      <c r="C8551" s="14">
        <f ca="1">IFERROR(__xludf.DUMMYFUNCTION("""COMPUTED_VALUE"""),0)</f>
        <v>0</v>
      </c>
      <c r="D8551" s="12" t="str">
        <f ca="1">IFERROR(__xludf.DUMMYFUNCTION("""COMPUTED_VALUE"""),"栗原 大武")</f>
        <v>栗原 大武</v>
      </c>
    </row>
    <row r="8552" spans="2:4" ht="13">
      <c r="B8552" s="12">
        <f ca="1">IFERROR(__xludf.DUMMYFUNCTION("""COMPUTED_VALUE"""),141972)</f>
        <v>141972</v>
      </c>
      <c r="C8552" s="14">
        <f ca="1">IFERROR(__xludf.DUMMYFUNCTION("""COMPUTED_VALUE"""),0)</f>
        <v>0</v>
      </c>
      <c r="D8552" s="12" t="str">
        <f ca="1">IFERROR(__xludf.DUMMYFUNCTION("""COMPUTED_VALUE"""),"桑原 明子")</f>
        <v>桑原 明子</v>
      </c>
    </row>
    <row r="8553" spans="2:4" ht="13">
      <c r="B8553" s="12">
        <f ca="1">IFERROR(__xludf.DUMMYFUNCTION("""COMPUTED_VALUE"""),141983)</f>
        <v>141983</v>
      </c>
      <c r="C8553" s="14">
        <f ca="1">IFERROR(__xludf.DUMMYFUNCTION("""COMPUTED_VALUE"""),9)</f>
        <v>9</v>
      </c>
      <c r="D8553" s="12" t="str">
        <f ca="1">IFERROR(__xludf.DUMMYFUNCTION("""COMPUTED_VALUE"""),"菅野 ぎんが")</f>
        <v>菅野 ぎんが</v>
      </c>
    </row>
    <row r="8554" spans="2:4" ht="13">
      <c r="B8554" s="12">
        <f ca="1">IFERROR(__xludf.DUMMYFUNCTION("""COMPUTED_VALUE"""),141984)</f>
        <v>141984</v>
      </c>
      <c r="C8554" s="14">
        <f ca="1">IFERROR(__xludf.DUMMYFUNCTION("""COMPUTED_VALUE"""),0)</f>
        <v>0</v>
      </c>
      <c r="D8554" s="12" t="str">
        <f ca="1">IFERROR(__xludf.DUMMYFUNCTION("""COMPUTED_VALUE"""),"老田 純輝")</f>
        <v>老田 純輝</v>
      </c>
    </row>
    <row r="8555" spans="2:4" ht="13">
      <c r="B8555" s="12">
        <f ca="1">IFERROR(__xludf.DUMMYFUNCTION("""COMPUTED_VALUE"""),141994)</f>
        <v>141994</v>
      </c>
      <c r="C8555" s="14">
        <f ca="1">IFERROR(__xludf.DUMMYFUNCTION("""COMPUTED_VALUE"""),0)</f>
        <v>0</v>
      </c>
      <c r="D8555" s="12" t="str">
        <f ca="1">IFERROR(__xludf.DUMMYFUNCTION("""COMPUTED_VALUE"""),"松尾 尚樹")</f>
        <v>松尾 尚樹</v>
      </c>
    </row>
    <row r="8556" spans="2:4" ht="13">
      <c r="B8556" s="12">
        <f ca="1">IFERROR(__xludf.DUMMYFUNCTION("""COMPUTED_VALUE"""),142001)</f>
        <v>142001</v>
      </c>
      <c r="C8556" s="14">
        <f ca="1">IFERROR(__xludf.DUMMYFUNCTION("""COMPUTED_VALUE"""),0)</f>
        <v>0</v>
      </c>
      <c r="D8556" s="12" t="str">
        <f ca="1">IFERROR(__xludf.DUMMYFUNCTION("""COMPUTED_VALUE"""),"稲場 勇介")</f>
        <v>稲場 勇介</v>
      </c>
    </row>
    <row r="8557" spans="2:4" ht="13">
      <c r="B8557" s="12">
        <f ca="1">IFERROR(__xludf.DUMMYFUNCTION("""COMPUTED_VALUE"""),142006)</f>
        <v>142006</v>
      </c>
      <c r="C8557" s="14">
        <f ca="1">IFERROR(__xludf.DUMMYFUNCTION("""COMPUTED_VALUE"""),0)</f>
        <v>0</v>
      </c>
      <c r="D8557" s="12" t="str">
        <f ca="1">IFERROR(__xludf.DUMMYFUNCTION("""COMPUTED_VALUE"""),"老田 純輝")</f>
        <v>老田 純輝</v>
      </c>
    </row>
    <row r="8558" spans="2:4" ht="13">
      <c r="B8558" s="12">
        <f ca="1">IFERROR(__xludf.DUMMYFUNCTION("""COMPUTED_VALUE"""),142015)</f>
        <v>142015</v>
      </c>
      <c r="C8558" s="14">
        <f ca="1">IFERROR(__xludf.DUMMYFUNCTION("""COMPUTED_VALUE"""),0)</f>
        <v>0</v>
      </c>
      <c r="D8558" s="12" t="str">
        <f ca="1">IFERROR(__xludf.DUMMYFUNCTION("""COMPUTED_VALUE"""),"内丸 裕子")</f>
        <v>内丸 裕子</v>
      </c>
    </row>
    <row r="8559" spans="2:4" ht="13">
      <c r="B8559" s="12">
        <f ca="1">IFERROR(__xludf.DUMMYFUNCTION("""COMPUTED_VALUE"""),142022)</f>
        <v>142022</v>
      </c>
      <c r="C8559" s="14">
        <f ca="1">IFERROR(__xludf.DUMMYFUNCTION("""COMPUTED_VALUE"""),0)</f>
        <v>0</v>
      </c>
      <c r="D8559" s="12" t="str">
        <f ca="1">IFERROR(__xludf.DUMMYFUNCTION("""COMPUTED_VALUE"""),"稲場 勇介")</f>
        <v>稲場 勇介</v>
      </c>
    </row>
    <row r="8560" spans="2:4" ht="13">
      <c r="B8560" s="12">
        <f ca="1">IFERROR(__xludf.DUMMYFUNCTION("""COMPUTED_VALUE"""),142023)</f>
        <v>142023</v>
      </c>
      <c r="C8560" s="14">
        <f ca="1">IFERROR(__xludf.DUMMYFUNCTION("""COMPUTED_VALUE"""),0)</f>
        <v>0</v>
      </c>
      <c r="D8560" s="12" t="str">
        <f ca="1">IFERROR(__xludf.DUMMYFUNCTION("""COMPUTED_VALUE"""),"長谷川 陸朗")</f>
        <v>長谷川 陸朗</v>
      </c>
    </row>
    <row r="8561" spans="2:4" ht="13">
      <c r="B8561" s="12">
        <f ca="1">IFERROR(__xludf.DUMMYFUNCTION("""COMPUTED_VALUE"""),142031)</f>
        <v>142031</v>
      </c>
      <c r="C8561" s="14">
        <f ca="1">IFERROR(__xludf.DUMMYFUNCTION("""COMPUTED_VALUE"""),0)</f>
        <v>0</v>
      </c>
      <c r="D8561" s="12" t="str">
        <f ca="1">IFERROR(__xludf.DUMMYFUNCTION("""COMPUTED_VALUE"""),"長谷川 陸朗")</f>
        <v>長谷川 陸朗</v>
      </c>
    </row>
    <row r="8562" spans="2:4" ht="13">
      <c r="B8562" s="12">
        <f ca="1">IFERROR(__xludf.DUMMYFUNCTION("""COMPUTED_VALUE"""),142054)</f>
        <v>142054</v>
      </c>
      <c r="C8562" s="14">
        <f ca="1">IFERROR(__xludf.DUMMYFUNCTION("""COMPUTED_VALUE"""),0)</f>
        <v>0</v>
      </c>
      <c r="D8562" s="12" t="str">
        <f ca="1">IFERROR(__xludf.DUMMYFUNCTION("""COMPUTED_VALUE"""),"稲場 勇介")</f>
        <v>稲場 勇介</v>
      </c>
    </row>
    <row r="8563" spans="2:4" ht="13">
      <c r="B8563" s="12">
        <f ca="1">IFERROR(__xludf.DUMMYFUNCTION("""COMPUTED_VALUE"""),142055)</f>
        <v>142055</v>
      </c>
      <c r="C8563" s="14">
        <f ca="1">IFERROR(__xludf.DUMMYFUNCTION("""COMPUTED_VALUE"""),0)</f>
        <v>0</v>
      </c>
      <c r="D8563" s="12" t="str">
        <f ca="1">IFERROR(__xludf.DUMMYFUNCTION("""COMPUTED_VALUE"""),"稲場 勇介")</f>
        <v>稲場 勇介</v>
      </c>
    </row>
    <row r="8564" spans="2:4" ht="13">
      <c r="B8564" s="12">
        <f ca="1">IFERROR(__xludf.DUMMYFUNCTION("""COMPUTED_VALUE"""),142057)</f>
        <v>142057</v>
      </c>
      <c r="C8564" s="14">
        <f ca="1">IFERROR(__xludf.DUMMYFUNCTION("""COMPUTED_VALUE"""),0)</f>
        <v>0</v>
      </c>
      <c r="D8564" s="12" t="str">
        <f ca="1">IFERROR(__xludf.DUMMYFUNCTION("""COMPUTED_VALUE"""),"内丸 裕子")</f>
        <v>内丸 裕子</v>
      </c>
    </row>
    <row r="8565" spans="2:4" ht="13">
      <c r="B8565" s="12">
        <f ca="1">IFERROR(__xludf.DUMMYFUNCTION("""COMPUTED_VALUE"""),142058)</f>
        <v>142058</v>
      </c>
      <c r="C8565" s="14">
        <f ca="1">IFERROR(__xludf.DUMMYFUNCTION("""COMPUTED_VALUE"""),0)</f>
        <v>0</v>
      </c>
      <c r="D8565" s="12" t="str">
        <f ca="1">IFERROR(__xludf.DUMMYFUNCTION("""COMPUTED_VALUE"""),"稲場 勇介")</f>
        <v>稲場 勇介</v>
      </c>
    </row>
    <row r="8566" spans="2:4" ht="13">
      <c r="B8566" s="12">
        <f ca="1">IFERROR(__xludf.DUMMYFUNCTION("""COMPUTED_VALUE"""),142061)</f>
        <v>142061</v>
      </c>
      <c r="C8566" s="14">
        <f ca="1">IFERROR(__xludf.DUMMYFUNCTION("""COMPUTED_VALUE"""),0)</f>
        <v>0</v>
      </c>
      <c r="D8566" s="12" t="str">
        <f ca="1">IFERROR(__xludf.DUMMYFUNCTION("""COMPUTED_VALUE"""),"栗原 大武")</f>
        <v>栗原 大武</v>
      </c>
    </row>
    <row r="8567" spans="2:4" ht="13">
      <c r="B8567" s="12">
        <f ca="1">IFERROR(__xludf.DUMMYFUNCTION("""COMPUTED_VALUE"""),142085)</f>
        <v>142085</v>
      </c>
      <c r="C8567" s="14">
        <f ca="1">IFERROR(__xludf.DUMMYFUNCTION("""COMPUTED_VALUE"""),0)</f>
        <v>0</v>
      </c>
      <c r="D8567" s="12" t="str">
        <f ca="1">IFERROR(__xludf.DUMMYFUNCTION("""COMPUTED_VALUE"""),"小関 麻起")</f>
        <v>小関 麻起</v>
      </c>
    </row>
    <row r="8568" spans="2:4" ht="13">
      <c r="B8568" s="12">
        <f ca="1">IFERROR(__xludf.DUMMYFUNCTION("""COMPUTED_VALUE"""),142086)</f>
        <v>142086</v>
      </c>
      <c r="C8568" s="14">
        <f ca="1">IFERROR(__xludf.DUMMYFUNCTION("""COMPUTED_VALUE"""),0)</f>
        <v>0</v>
      </c>
      <c r="D8568" s="12" t="str">
        <f ca="1">IFERROR(__xludf.DUMMYFUNCTION("""COMPUTED_VALUE"""),"稲場 勇介")</f>
        <v>稲場 勇介</v>
      </c>
    </row>
    <row r="8569" spans="2:4" ht="13">
      <c r="B8569" s="12">
        <f ca="1">IFERROR(__xludf.DUMMYFUNCTION("""COMPUTED_VALUE"""),142104)</f>
        <v>142104</v>
      </c>
      <c r="C8569" s="14">
        <f ca="1">IFERROR(__xludf.DUMMYFUNCTION("""COMPUTED_VALUE"""),0)</f>
        <v>0</v>
      </c>
      <c r="D8569" s="12" t="str">
        <f ca="1">IFERROR(__xludf.DUMMYFUNCTION("""COMPUTED_VALUE"""),"栗原 大武")</f>
        <v>栗原 大武</v>
      </c>
    </row>
    <row r="8570" spans="2:4" ht="13">
      <c r="B8570" s="12">
        <f ca="1">IFERROR(__xludf.DUMMYFUNCTION("""COMPUTED_VALUE"""),142106)</f>
        <v>142106</v>
      </c>
      <c r="C8570" s="14">
        <f ca="1">IFERROR(__xludf.DUMMYFUNCTION("""COMPUTED_VALUE"""),0)</f>
        <v>0</v>
      </c>
      <c r="D8570" s="12" t="str">
        <f ca="1">IFERROR(__xludf.DUMMYFUNCTION("""COMPUTED_VALUE"""),"栗原 大武")</f>
        <v>栗原 大武</v>
      </c>
    </row>
    <row r="8571" spans="2:4" ht="13">
      <c r="B8571" s="12">
        <f ca="1">IFERROR(__xludf.DUMMYFUNCTION("""COMPUTED_VALUE"""),142109)</f>
        <v>142109</v>
      </c>
      <c r="C8571" s="14">
        <f ca="1">IFERROR(__xludf.DUMMYFUNCTION("""COMPUTED_VALUE"""),0)</f>
        <v>0</v>
      </c>
      <c r="D8571" s="12" t="str">
        <f ca="1">IFERROR(__xludf.DUMMYFUNCTION("""COMPUTED_VALUE"""),"内丸 裕子")</f>
        <v>内丸 裕子</v>
      </c>
    </row>
    <row r="8572" spans="2:4" ht="13">
      <c r="B8572" s="12">
        <f ca="1">IFERROR(__xludf.DUMMYFUNCTION("""COMPUTED_VALUE"""),142121)</f>
        <v>142121</v>
      </c>
      <c r="C8572" s="14">
        <f ca="1">IFERROR(__xludf.DUMMYFUNCTION("""COMPUTED_VALUE"""),0)</f>
        <v>0</v>
      </c>
      <c r="D8572" s="12" t="str">
        <f ca="1">IFERROR(__xludf.DUMMYFUNCTION("""COMPUTED_VALUE"""),"稲場 勇介")</f>
        <v>稲場 勇介</v>
      </c>
    </row>
    <row r="8573" spans="2:4" ht="13">
      <c r="B8573" s="12">
        <f ca="1">IFERROR(__xludf.DUMMYFUNCTION("""COMPUTED_VALUE"""),142139)</f>
        <v>142139</v>
      </c>
      <c r="C8573" s="14">
        <f ca="1">IFERROR(__xludf.DUMMYFUNCTION("""COMPUTED_VALUE"""),0)</f>
        <v>0</v>
      </c>
      <c r="D8573" s="12" t="str">
        <f ca="1">IFERROR(__xludf.DUMMYFUNCTION("""COMPUTED_VALUE"""),"辻村 将大")</f>
        <v>辻村 将大</v>
      </c>
    </row>
    <row r="8574" spans="2:4" ht="13">
      <c r="B8574" s="12">
        <f ca="1">IFERROR(__xludf.DUMMYFUNCTION("""COMPUTED_VALUE"""),142140)</f>
        <v>142140</v>
      </c>
      <c r="C8574" s="14">
        <f ca="1">IFERROR(__xludf.DUMMYFUNCTION("""COMPUTED_VALUE"""),0)</f>
        <v>0</v>
      </c>
      <c r="D8574" s="12" t="str">
        <f ca="1">IFERROR(__xludf.DUMMYFUNCTION("""COMPUTED_VALUE"""),"辻村 将大")</f>
        <v>辻村 将大</v>
      </c>
    </row>
    <row r="8575" spans="2:4" ht="13">
      <c r="B8575" s="12">
        <f ca="1">IFERROR(__xludf.DUMMYFUNCTION("""COMPUTED_VALUE"""),142141)</f>
        <v>142141</v>
      </c>
      <c r="C8575" s="14">
        <f ca="1">IFERROR(__xludf.DUMMYFUNCTION("""COMPUTED_VALUE"""),0)</f>
        <v>0</v>
      </c>
      <c r="D8575" s="12" t="str">
        <f ca="1">IFERROR(__xludf.DUMMYFUNCTION("""COMPUTED_VALUE"""),"小川 純")</f>
        <v>小川 純</v>
      </c>
    </row>
    <row r="8576" spans="2:4" ht="13">
      <c r="B8576" s="12">
        <f ca="1">IFERROR(__xludf.DUMMYFUNCTION("""COMPUTED_VALUE"""),142176)</f>
        <v>142176</v>
      </c>
      <c r="C8576" s="14">
        <f ca="1">IFERROR(__xludf.DUMMYFUNCTION("""COMPUTED_VALUE"""),0)</f>
        <v>0</v>
      </c>
      <c r="D8576" s="12" t="str">
        <f ca="1">IFERROR(__xludf.DUMMYFUNCTION("""COMPUTED_VALUE"""),"小川 純")</f>
        <v>小川 純</v>
      </c>
    </row>
    <row r="8577" spans="2:4" ht="13">
      <c r="B8577" s="12">
        <f ca="1">IFERROR(__xludf.DUMMYFUNCTION("""COMPUTED_VALUE"""),142187)</f>
        <v>142187</v>
      </c>
      <c r="C8577" s="14">
        <f ca="1">IFERROR(__xludf.DUMMYFUNCTION("""COMPUTED_VALUE"""),0)</f>
        <v>0</v>
      </c>
      <c r="D8577" s="12" t="str">
        <f ca="1">IFERROR(__xludf.DUMMYFUNCTION("""COMPUTED_VALUE"""),"小川 純")</f>
        <v>小川 純</v>
      </c>
    </row>
    <row r="8578" spans="2:4" ht="13">
      <c r="B8578" s="12">
        <f ca="1">IFERROR(__xludf.DUMMYFUNCTION("""COMPUTED_VALUE"""),142200)</f>
        <v>142200</v>
      </c>
      <c r="C8578" s="14">
        <f ca="1">IFERROR(__xludf.DUMMYFUNCTION("""COMPUTED_VALUE"""),0)</f>
        <v>0</v>
      </c>
      <c r="D8578" s="12" t="str">
        <f ca="1">IFERROR(__xludf.DUMMYFUNCTION("""COMPUTED_VALUE"""),"成嶋 夏未")</f>
        <v>成嶋 夏未</v>
      </c>
    </row>
    <row r="8579" spans="2:4" ht="13">
      <c r="B8579" s="12">
        <f ca="1">IFERROR(__xludf.DUMMYFUNCTION("""COMPUTED_VALUE"""),142203)</f>
        <v>142203</v>
      </c>
      <c r="C8579" s="14">
        <f ca="1">IFERROR(__xludf.DUMMYFUNCTION("""COMPUTED_VALUE"""),0)</f>
        <v>0</v>
      </c>
      <c r="D8579" s="12" t="str">
        <f ca="1">IFERROR(__xludf.DUMMYFUNCTION("""COMPUTED_VALUE"""),"田嶋 将太")</f>
        <v>田嶋 将太</v>
      </c>
    </row>
    <row r="8580" spans="2:4" ht="13">
      <c r="B8580" s="12">
        <f ca="1">IFERROR(__xludf.DUMMYFUNCTION("""COMPUTED_VALUE"""),3100000)</f>
        <v>3100000</v>
      </c>
      <c r="C8580" s="14">
        <f ca="1">IFERROR(__xludf.DUMMYFUNCTION("""COMPUTED_VALUE"""),0)</f>
        <v>0</v>
      </c>
      <c r="D8580" s="12" t="str">
        <f ca="1">IFERROR(__xludf.DUMMYFUNCTION("""COMPUTED_VALUE"""),"芳賀 亮輔")</f>
        <v>芳賀 亮輔</v>
      </c>
    </row>
    <row r="8581" spans="2:4" ht="13">
      <c r="B8581" s="12">
        <f ca="1">IFERROR(__xludf.DUMMYFUNCTION("""COMPUTED_VALUE"""),3100001)</f>
        <v>3100001</v>
      </c>
      <c r="C8581" s="14">
        <f ca="1">IFERROR(__xludf.DUMMYFUNCTION("""COMPUTED_VALUE"""),0)</f>
        <v>0</v>
      </c>
      <c r="D8581" s="12" t="str">
        <f ca="1">IFERROR(__xludf.DUMMYFUNCTION("""COMPUTED_VALUE"""),"柿崎 晃司")</f>
        <v>柿崎 晃司</v>
      </c>
    </row>
    <row r="8582" spans="2:4" ht="13">
      <c r="B8582" s="12">
        <f ca="1">IFERROR(__xludf.DUMMYFUNCTION("""COMPUTED_VALUE"""),3100002)</f>
        <v>3100002</v>
      </c>
      <c r="C8582" s="14">
        <f ca="1">IFERROR(__xludf.DUMMYFUNCTION("""COMPUTED_VALUE"""),0)</f>
        <v>0</v>
      </c>
      <c r="D8582" s="12" t="str">
        <f ca="1">IFERROR(__xludf.DUMMYFUNCTION("""COMPUTED_VALUE"""),"柿崎 晃司")</f>
        <v>柿崎 晃司</v>
      </c>
    </row>
    <row r="8583" spans="2:4" ht="13">
      <c r="B8583" s="12">
        <f ca="1">IFERROR(__xludf.DUMMYFUNCTION("""COMPUTED_VALUE"""),3100003)</f>
        <v>3100003</v>
      </c>
      <c r="C8583" s="14">
        <f ca="1">IFERROR(__xludf.DUMMYFUNCTION("""COMPUTED_VALUE"""),0)</f>
        <v>0</v>
      </c>
      <c r="D8583" s="12" t="str">
        <f ca="1">IFERROR(__xludf.DUMMYFUNCTION("""COMPUTED_VALUE"""),"柿崎 晃司")</f>
        <v>柿崎 晃司</v>
      </c>
    </row>
    <row r="8584" spans="2:4" ht="13">
      <c r="B8584" s="12">
        <f ca="1">IFERROR(__xludf.DUMMYFUNCTION("""COMPUTED_VALUE"""),3100004)</f>
        <v>3100004</v>
      </c>
      <c r="C8584" s="14">
        <f ca="1">IFERROR(__xludf.DUMMYFUNCTION("""COMPUTED_VALUE"""),0)</f>
        <v>0</v>
      </c>
      <c r="D8584" s="12" t="str">
        <f ca="1">IFERROR(__xludf.DUMMYFUNCTION("""COMPUTED_VALUE"""),"柿崎 晃司")</f>
        <v>柿崎 晃司</v>
      </c>
    </row>
    <row r="8585" spans="2:4" ht="13">
      <c r="B8585" s="12">
        <f ca="1">IFERROR(__xludf.DUMMYFUNCTION("""COMPUTED_VALUE"""),3100005)</f>
        <v>3100005</v>
      </c>
      <c r="C8585" s="14">
        <f ca="1">IFERROR(__xludf.DUMMYFUNCTION("""COMPUTED_VALUE"""),0)</f>
        <v>0</v>
      </c>
      <c r="D8585" s="12" t="str">
        <f ca="1">IFERROR(__xludf.DUMMYFUNCTION("""COMPUTED_VALUE"""),"柿崎 晃司")</f>
        <v>柿崎 晃司</v>
      </c>
    </row>
    <row r="8586" spans="2:4" ht="13">
      <c r="B8586" s="12">
        <f ca="1">IFERROR(__xludf.DUMMYFUNCTION("""COMPUTED_VALUE"""),3100006)</f>
        <v>3100006</v>
      </c>
      <c r="C8586" s="14">
        <f ca="1">IFERROR(__xludf.DUMMYFUNCTION("""COMPUTED_VALUE"""),0)</f>
        <v>0</v>
      </c>
      <c r="D8586" s="12" t="str">
        <f ca="1">IFERROR(__xludf.DUMMYFUNCTION("""COMPUTED_VALUE"""),"柿崎 晃司")</f>
        <v>柿崎 晃司</v>
      </c>
    </row>
    <row r="8587" spans="2:4" ht="13">
      <c r="B8587" s="12">
        <f ca="1">IFERROR(__xludf.DUMMYFUNCTION("""COMPUTED_VALUE"""),3100007)</f>
        <v>3100007</v>
      </c>
      <c r="C8587" s="14">
        <f ca="1">IFERROR(__xludf.DUMMYFUNCTION("""COMPUTED_VALUE"""),0)</f>
        <v>0</v>
      </c>
      <c r="D8587" s="12" t="str">
        <f ca="1">IFERROR(__xludf.DUMMYFUNCTION("""COMPUTED_VALUE"""),"柿崎 晃司")</f>
        <v>柿崎 晃司</v>
      </c>
    </row>
    <row r="8588" spans="2:4" ht="13">
      <c r="B8588" s="12">
        <f ca="1">IFERROR(__xludf.DUMMYFUNCTION("""COMPUTED_VALUE"""),3100008)</f>
        <v>3100008</v>
      </c>
      <c r="C8588" s="14">
        <f ca="1">IFERROR(__xludf.DUMMYFUNCTION("""COMPUTED_VALUE"""),0)</f>
        <v>0</v>
      </c>
      <c r="D8588" s="12" t="str">
        <f ca="1">IFERROR(__xludf.DUMMYFUNCTION("""COMPUTED_VALUE"""),"柿崎 晃司")</f>
        <v>柿崎 晃司</v>
      </c>
    </row>
    <row r="8589" spans="2:4" ht="13">
      <c r="B8589" s="12">
        <f ca="1">IFERROR(__xludf.DUMMYFUNCTION("""COMPUTED_VALUE"""),3100009)</f>
        <v>3100009</v>
      </c>
      <c r="C8589" s="14">
        <f ca="1">IFERROR(__xludf.DUMMYFUNCTION("""COMPUTED_VALUE"""),0)</f>
        <v>0</v>
      </c>
      <c r="D8589" s="12" t="str">
        <f ca="1">IFERROR(__xludf.DUMMYFUNCTION("""COMPUTED_VALUE"""),"柿崎 晃司")</f>
        <v>柿崎 晃司</v>
      </c>
    </row>
    <row r="8590" spans="2:4" ht="13">
      <c r="B8590" s="12">
        <f ca="1">IFERROR(__xludf.DUMMYFUNCTION("""COMPUTED_VALUE"""),3100055)</f>
        <v>3100055</v>
      </c>
      <c r="C8590" s="14">
        <f ca="1">IFERROR(__xludf.DUMMYFUNCTION("""COMPUTED_VALUE"""),3)</f>
        <v>3</v>
      </c>
      <c r="D8590" s="12" t="str">
        <f ca="1">IFERROR(__xludf.DUMMYFUNCTION("""COMPUTED_VALUE"""),"渋谷 雄大")</f>
        <v>渋谷 雄大</v>
      </c>
    </row>
    <row r="8591" spans="2:4" ht="13">
      <c r="B8591" s="12">
        <f ca="1">IFERROR(__xludf.DUMMYFUNCTION("""COMPUTED_VALUE"""),3100056)</f>
        <v>3100056</v>
      </c>
      <c r="C8591" s="14">
        <f ca="1">IFERROR(__xludf.DUMMYFUNCTION("""COMPUTED_VALUE"""),14)</f>
        <v>14</v>
      </c>
      <c r="D8591" s="12" t="str">
        <f ca="1">IFERROR(__xludf.DUMMYFUNCTION("""COMPUTED_VALUE"""),"渋谷 雄大")</f>
        <v>渋谷 雄大</v>
      </c>
    </row>
    <row r="8592" spans="2:4" ht="13">
      <c r="B8592" s="12">
        <f ca="1">IFERROR(__xludf.DUMMYFUNCTION("""COMPUTED_VALUE"""),3100057)</f>
        <v>3100057</v>
      </c>
      <c r="C8592" s="14">
        <f ca="1">IFERROR(__xludf.DUMMYFUNCTION("""COMPUTED_VALUE"""),1)</f>
        <v>1</v>
      </c>
      <c r="D8592" s="12" t="str">
        <f ca="1">IFERROR(__xludf.DUMMYFUNCTION("""COMPUTED_VALUE"""),"渋谷 雄大")</f>
        <v>渋谷 雄大</v>
      </c>
    </row>
    <row r="8593" spans="2:4" ht="13">
      <c r="B8593" s="12">
        <f ca="1">IFERROR(__xludf.DUMMYFUNCTION("""COMPUTED_VALUE"""),3100058)</f>
        <v>3100058</v>
      </c>
      <c r="C8593" s="14">
        <f ca="1">IFERROR(__xludf.DUMMYFUNCTION("""COMPUTED_VALUE"""),5)</f>
        <v>5</v>
      </c>
      <c r="D8593" s="12" t="str">
        <f ca="1">IFERROR(__xludf.DUMMYFUNCTION("""COMPUTED_VALUE"""),"渋谷 雄大")</f>
        <v>渋谷 雄大</v>
      </c>
    </row>
    <row r="8594" spans="2:4" ht="13">
      <c r="B8594" s="12">
        <f ca="1">IFERROR(__xludf.DUMMYFUNCTION("""COMPUTED_VALUE"""),3100060)</f>
        <v>3100060</v>
      </c>
      <c r="C8594" s="14">
        <f ca="1">IFERROR(__xludf.DUMMYFUNCTION("""COMPUTED_VALUE"""),5)</f>
        <v>5</v>
      </c>
      <c r="D8594" s="12" t="str">
        <f ca="1">IFERROR(__xludf.DUMMYFUNCTION("""COMPUTED_VALUE"""),"渋谷 雄大")</f>
        <v>渋谷 雄大</v>
      </c>
    </row>
    <row r="8595" spans="2:4" ht="13">
      <c r="B8595" s="12">
        <f ca="1">IFERROR(__xludf.DUMMYFUNCTION("""COMPUTED_VALUE"""),3100061)</f>
        <v>3100061</v>
      </c>
      <c r="C8595" s="14">
        <f ca="1">IFERROR(__xludf.DUMMYFUNCTION("""COMPUTED_VALUE"""),5)</f>
        <v>5</v>
      </c>
      <c r="D8595" s="12" t="str">
        <f ca="1">IFERROR(__xludf.DUMMYFUNCTION("""COMPUTED_VALUE"""),"渋谷 雄大")</f>
        <v>渋谷 雄大</v>
      </c>
    </row>
    <row r="8596" spans="2:4" ht="13">
      <c r="B8596" s="12">
        <f ca="1">IFERROR(__xludf.DUMMYFUNCTION("""COMPUTED_VALUE"""),3100062)</f>
        <v>3100062</v>
      </c>
      <c r="C8596" s="14">
        <f ca="1">IFERROR(__xludf.DUMMYFUNCTION("""COMPUTED_VALUE"""),1)</f>
        <v>1</v>
      </c>
      <c r="D8596" s="12" t="str">
        <f ca="1">IFERROR(__xludf.DUMMYFUNCTION("""COMPUTED_VALUE"""),"渋谷 雄大")</f>
        <v>渋谷 雄大</v>
      </c>
    </row>
    <row r="8597" spans="2:4" ht="13">
      <c r="B8597" s="12">
        <f ca="1">IFERROR(__xludf.DUMMYFUNCTION("""COMPUTED_VALUE"""),3100063)</f>
        <v>3100063</v>
      </c>
      <c r="C8597" s="14">
        <f ca="1">IFERROR(__xludf.DUMMYFUNCTION("""COMPUTED_VALUE"""),1)</f>
        <v>1</v>
      </c>
      <c r="D8597" s="12" t="str">
        <f ca="1">IFERROR(__xludf.DUMMYFUNCTION("""COMPUTED_VALUE"""),"渋谷 雄大")</f>
        <v>渋谷 雄大</v>
      </c>
    </row>
    <row r="8598" spans="2:4" ht="13">
      <c r="B8598" s="12">
        <f ca="1">IFERROR(__xludf.DUMMYFUNCTION("""COMPUTED_VALUE"""),3100090)</f>
        <v>3100090</v>
      </c>
      <c r="C8598" s="14">
        <f ca="1">IFERROR(__xludf.DUMMYFUNCTION("""COMPUTED_VALUE"""),5)</f>
        <v>5</v>
      </c>
      <c r="D8598" s="12" t="str">
        <f ca="1">IFERROR(__xludf.DUMMYFUNCTION("""COMPUTED_VALUE"""),"小関 麻起")</f>
        <v>小関 麻起</v>
      </c>
    </row>
    <row r="8599" spans="2:4" ht="13">
      <c r="B8599" s="12">
        <f ca="1">IFERROR(__xludf.DUMMYFUNCTION("""COMPUTED_VALUE"""),3100091)</f>
        <v>3100091</v>
      </c>
      <c r="C8599" s="14">
        <f ca="1">IFERROR(__xludf.DUMMYFUNCTION("""COMPUTED_VALUE"""),3)</f>
        <v>3</v>
      </c>
      <c r="D8599" s="12" t="str">
        <f ca="1">IFERROR(__xludf.DUMMYFUNCTION("""COMPUTED_VALUE"""),"小関 麻起")</f>
        <v>小関 麻起</v>
      </c>
    </row>
    <row r="8600" spans="2:4" ht="13">
      <c r="B8600" s="12">
        <f ca="1">IFERROR(__xludf.DUMMYFUNCTION("""COMPUTED_VALUE"""),3100093)</f>
        <v>3100093</v>
      </c>
      <c r="C8600" s="14">
        <f ca="1">IFERROR(__xludf.DUMMYFUNCTION("""COMPUTED_VALUE"""),4)</f>
        <v>4</v>
      </c>
      <c r="D8600" s="12" t="str">
        <f ca="1">IFERROR(__xludf.DUMMYFUNCTION("""COMPUTED_VALUE"""),"小関 麻起")</f>
        <v>小関 麻起</v>
      </c>
    </row>
    <row r="8601" spans="2:4" ht="13">
      <c r="B8601" s="12">
        <f ca="1">IFERROR(__xludf.DUMMYFUNCTION("""COMPUTED_VALUE"""),3100102)</f>
        <v>3100102</v>
      </c>
      <c r="C8601" s="14">
        <f ca="1">IFERROR(__xludf.DUMMYFUNCTION("""COMPUTED_VALUE"""),8)</f>
        <v>8</v>
      </c>
      <c r="D8601" s="12" t="str">
        <f ca="1">IFERROR(__xludf.DUMMYFUNCTION("""COMPUTED_VALUE"""),"松尾 尚樹")</f>
        <v>松尾 尚樹</v>
      </c>
    </row>
    <row r="8602" spans="2:4" ht="13">
      <c r="B8602" s="12">
        <f ca="1">IFERROR(__xludf.DUMMYFUNCTION("""COMPUTED_VALUE"""),3100131)</f>
        <v>3100131</v>
      </c>
      <c r="C8602" s="14">
        <f ca="1">IFERROR(__xludf.DUMMYFUNCTION("""COMPUTED_VALUE"""),0)</f>
        <v>0</v>
      </c>
      <c r="D8602" s="12" t="str">
        <f ca="1">IFERROR(__xludf.DUMMYFUNCTION("""COMPUTED_VALUE"""),"田嶋 将太")</f>
        <v>田嶋 将太</v>
      </c>
    </row>
    <row r="8603" spans="2:4" ht="13">
      <c r="B8603" s="12">
        <f ca="1">IFERROR(__xludf.DUMMYFUNCTION("""COMPUTED_VALUE"""),3100141)</f>
        <v>3100141</v>
      </c>
      <c r="C8603" s="14">
        <f ca="1">IFERROR(__xludf.DUMMYFUNCTION("""COMPUTED_VALUE"""),2)</f>
        <v>2</v>
      </c>
      <c r="D8603" s="12" t="str">
        <f ca="1">IFERROR(__xludf.DUMMYFUNCTION("""COMPUTED_VALUE"""),"老田 純輝")</f>
        <v>老田 純輝</v>
      </c>
    </row>
    <row r="8604" spans="2:4" ht="13">
      <c r="B8604" s="12">
        <f ca="1">IFERROR(__xludf.DUMMYFUNCTION("""COMPUTED_VALUE"""),3100219)</f>
        <v>3100219</v>
      </c>
      <c r="C8604" s="14">
        <f ca="1">IFERROR(__xludf.DUMMYFUNCTION("""COMPUTED_VALUE"""),0)</f>
        <v>0</v>
      </c>
      <c r="D8604" s="12" t="str">
        <f ca="1">IFERROR(__xludf.DUMMYFUNCTION("""COMPUTED_VALUE"""),"桑原 明子")</f>
        <v>桑原 明子</v>
      </c>
    </row>
    <row r="8605" spans="2:4" ht="13">
      <c r="B8605" s="12">
        <f ca="1">IFERROR(__xludf.DUMMYFUNCTION("""COMPUTED_VALUE"""),3100385)</f>
        <v>3100385</v>
      </c>
      <c r="C8605" s="14">
        <f ca="1">IFERROR(__xludf.DUMMYFUNCTION("""COMPUTED_VALUE"""),0)</f>
        <v>0</v>
      </c>
      <c r="D8605" s="12" t="str">
        <f ca="1">IFERROR(__xludf.DUMMYFUNCTION("""COMPUTED_VALUE"""),"田嶋 将太")</f>
        <v>田嶋 将太</v>
      </c>
    </row>
    <row r="8606" spans="2:4" ht="13">
      <c r="B8606" s="12">
        <f ca="1">IFERROR(__xludf.DUMMYFUNCTION("""COMPUTED_VALUE"""),3100399)</f>
        <v>3100399</v>
      </c>
      <c r="C8606" s="14">
        <f ca="1">IFERROR(__xludf.DUMMYFUNCTION("""COMPUTED_VALUE"""),7)</f>
        <v>7</v>
      </c>
      <c r="D8606" s="12" t="str">
        <f ca="1">IFERROR(__xludf.DUMMYFUNCTION("""COMPUTED_VALUE"""),"渋谷 雄大")</f>
        <v>渋谷 雄大</v>
      </c>
    </row>
    <row r="8607" spans="2:4" ht="13">
      <c r="B8607" s="12">
        <f ca="1">IFERROR(__xludf.DUMMYFUNCTION("""COMPUTED_VALUE"""),3100409)</f>
        <v>3100409</v>
      </c>
      <c r="C8607" s="14">
        <f ca="1">IFERROR(__xludf.DUMMYFUNCTION("""COMPUTED_VALUE"""),6)</f>
        <v>6</v>
      </c>
      <c r="D8607" s="12" t="str">
        <f ca="1">IFERROR(__xludf.DUMMYFUNCTION("""COMPUTED_VALUE"""),"渋谷 雄大")</f>
        <v>渋谷 雄大</v>
      </c>
    </row>
    <row r="8608" spans="2:4" ht="13">
      <c r="B8608" s="12">
        <f ca="1">IFERROR(__xludf.DUMMYFUNCTION("""COMPUTED_VALUE"""),3100473)</f>
        <v>3100473</v>
      </c>
      <c r="C8608" s="14">
        <f ca="1">IFERROR(__xludf.DUMMYFUNCTION("""COMPUTED_VALUE"""),2)</f>
        <v>2</v>
      </c>
      <c r="D8608" s="12" t="str">
        <f ca="1">IFERROR(__xludf.DUMMYFUNCTION("""COMPUTED_VALUE"""),"老田 純輝")</f>
        <v>老田 純輝</v>
      </c>
    </row>
    <row r="8609" spans="2:4" ht="13">
      <c r="B8609" s="12">
        <f ca="1">IFERROR(__xludf.DUMMYFUNCTION("""COMPUTED_VALUE"""),3100477)</f>
        <v>3100477</v>
      </c>
      <c r="C8609" s="14">
        <f ca="1">IFERROR(__xludf.DUMMYFUNCTION("""COMPUTED_VALUE"""),150)</f>
        <v>150</v>
      </c>
      <c r="D8609" s="12" t="str">
        <f ca="1">IFERROR(__xludf.DUMMYFUNCTION("""COMPUTED_VALUE"""),"内丸 裕子")</f>
        <v>内丸 裕子</v>
      </c>
    </row>
    <row r="8610" spans="2:4" ht="13">
      <c r="B8610" s="12">
        <f ca="1">IFERROR(__xludf.DUMMYFUNCTION("""COMPUTED_VALUE"""),3100510)</f>
        <v>3100510</v>
      </c>
      <c r="C8610" s="14">
        <f ca="1">IFERROR(__xludf.DUMMYFUNCTION("""COMPUTED_VALUE"""),2)</f>
        <v>2</v>
      </c>
      <c r="D8610" s="12" t="str">
        <f ca="1">IFERROR(__xludf.DUMMYFUNCTION("""COMPUTED_VALUE"""),"堀越 駿")</f>
        <v>堀越 駿</v>
      </c>
    </row>
    <row r="8611" spans="2:4" ht="13">
      <c r="B8611" s="12">
        <f ca="1">IFERROR(__xludf.DUMMYFUNCTION("""COMPUTED_VALUE"""),3100673)</f>
        <v>3100673</v>
      </c>
      <c r="C8611" s="14">
        <f ca="1">IFERROR(__xludf.DUMMYFUNCTION("""COMPUTED_VALUE"""),1)</f>
        <v>1</v>
      </c>
      <c r="D8611" s="12" t="str">
        <f ca="1">IFERROR(__xludf.DUMMYFUNCTION("""COMPUTED_VALUE"""),"渋谷 雄大")</f>
        <v>渋谷 雄大</v>
      </c>
    </row>
    <row r="8612" spans="2:4" ht="13">
      <c r="B8612" s="12">
        <f ca="1">IFERROR(__xludf.DUMMYFUNCTION("""COMPUTED_VALUE"""),3100696)</f>
        <v>3100696</v>
      </c>
      <c r="C8612" s="14">
        <f ca="1">IFERROR(__xludf.DUMMYFUNCTION("""COMPUTED_VALUE"""),1)</f>
        <v>1</v>
      </c>
      <c r="D8612" s="12" t="str">
        <f ca="1">IFERROR(__xludf.DUMMYFUNCTION("""COMPUTED_VALUE"""),"桑原 明子")</f>
        <v>桑原 明子</v>
      </c>
    </row>
    <row r="8613" spans="2:4" ht="13">
      <c r="B8613" s="12">
        <f ca="1">IFERROR(__xludf.DUMMYFUNCTION("""COMPUTED_VALUE"""),3100697)</f>
        <v>3100697</v>
      </c>
      <c r="C8613" s="14">
        <f ca="1">IFERROR(__xludf.DUMMYFUNCTION("""COMPUTED_VALUE"""),14)</f>
        <v>14</v>
      </c>
      <c r="D8613" s="12" t="str">
        <f ca="1">IFERROR(__xludf.DUMMYFUNCTION("""COMPUTED_VALUE"""),"田嶋 将太")</f>
        <v>田嶋 将太</v>
      </c>
    </row>
    <row r="8614" spans="2:4" ht="13">
      <c r="B8614" s="12">
        <f ca="1">IFERROR(__xludf.DUMMYFUNCTION("""COMPUTED_VALUE"""),3100759)</f>
        <v>3100759</v>
      </c>
      <c r="C8614" s="14">
        <f ca="1">IFERROR(__xludf.DUMMYFUNCTION("""COMPUTED_VALUE"""),20)</f>
        <v>20</v>
      </c>
      <c r="D8614" s="12" t="str">
        <f ca="1">IFERROR(__xludf.DUMMYFUNCTION("""COMPUTED_VALUE"""),"渋谷 雄大")</f>
        <v>渋谷 雄大</v>
      </c>
    </row>
    <row r="8615" spans="2:4" ht="13">
      <c r="B8615" s="12">
        <f ca="1">IFERROR(__xludf.DUMMYFUNCTION("""COMPUTED_VALUE"""),3100765)</f>
        <v>3100765</v>
      </c>
      <c r="C8615" s="14">
        <f ca="1">IFERROR(__xludf.DUMMYFUNCTION("""COMPUTED_VALUE"""),0)</f>
        <v>0</v>
      </c>
      <c r="D8615" s="12" t="str">
        <f ca="1">IFERROR(__xludf.DUMMYFUNCTION("""COMPUTED_VALUE"""),"渋谷 雄大")</f>
        <v>渋谷 雄大</v>
      </c>
    </row>
    <row r="8616" spans="2:4" ht="13">
      <c r="B8616" s="12">
        <f ca="1">IFERROR(__xludf.DUMMYFUNCTION("""COMPUTED_VALUE"""),3100782)</f>
        <v>3100782</v>
      </c>
      <c r="C8616" s="14">
        <f ca="1">IFERROR(__xludf.DUMMYFUNCTION("""COMPUTED_VALUE"""),5)</f>
        <v>5</v>
      </c>
      <c r="D8616" s="12" t="str">
        <f ca="1">IFERROR(__xludf.DUMMYFUNCTION("""COMPUTED_VALUE"""),"老田 純輝")</f>
        <v>老田 純輝</v>
      </c>
    </row>
    <row r="8617" spans="2:4" ht="13">
      <c r="B8617" s="12">
        <f ca="1">IFERROR(__xludf.DUMMYFUNCTION("""COMPUTED_VALUE"""),3100816)</f>
        <v>3100816</v>
      </c>
      <c r="C8617" s="14">
        <f ca="1">IFERROR(__xludf.DUMMYFUNCTION("""COMPUTED_VALUE"""),1)</f>
        <v>1</v>
      </c>
      <c r="D8617" s="12" t="str">
        <f ca="1">IFERROR(__xludf.DUMMYFUNCTION("""COMPUTED_VALUE"""),"老田 純輝")</f>
        <v>老田 純輝</v>
      </c>
    </row>
    <row r="8618" spans="2:4" ht="13">
      <c r="B8618" s="12">
        <f ca="1">IFERROR(__xludf.DUMMYFUNCTION("""COMPUTED_VALUE"""),3100861)</f>
        <v>3100861</v>
      </c>
      <c r="C8618" s="14">
        <f ca="1">IFERROR(__xludf.DUMMYFUNCTION("""COMPUTED_VALUE"""),5)</f>
        <v>5</v>
      </c>
      <c r="D8618" s="12" t="str">
        <f ca="1">IFERROR(__xludf.DUMMYFUNCTION("""COMPUTED_VALUE"""),"渋谷 雄大")</f>
        <v>渋谷 雄大</v>
      </c>
    </row>
    <row r="8619" spans="2:4" ht="13">
      <c r="B8619" s="12">
        <f ca="1">IFERROR(__xludf.DUMMYFUNCTION("""COMPUTED_VALUE"""),3100862)</f>
        <v>3100862</v>
      </c>
      <c r="C8619" s="14">
        <f ca="1">IFERROR(__xludf.DUMMYFUNCTION("""COMPUTED_VALUE"""),0)</f>
        <v>0</v>
      </c>
      <c r="D8619" s="12" t="str">
        <f ca="1">IFERROR(__xludf.DUMMYFUNCTION("""COMPUTED_VALUE"""),"菅野 ぎんが")</f>
        <v>菅野 ぎんが</v>
      </c>
    </row>
    <row r="8620" spans="2:4" ht="13">
      <c r="B8620" s="12">
        <f ca="1">IFERROR(__xludf.DUMMYFUNCTION("""COMPUTED_VALUE"""),3100915)</f>
        <v>3100915</v>
      </c>
      <c r="C8620" s="14">
        <f ca="1">IFERROR(__xludf.DUMMYFUNCTION("""COMPUTED_VALUE"""),0)</f>
        <v>0</v>
      </c>
      <c r="D8620" s="12" t="str">
        <f ca="1">IFERROR(__xludf.DUMMYFUNCTION("""COMPUTED_VALUE"""),"渋谷 雄大")</f>
        <v>渋谷 雄大</v>
      </c>
    </row>
    <row r="8621" spans="2:4" ht="13">
      <c r="B8621" s="12">
        <f ca="1">IFERROR(__xludf.DUMMYFUNCTION("""COMPUTED_VALUE"""),3100982)</f>
        <v>3100982</v>
      </c>
      <c r="C8621" s="14">
        <f ca="1">IFERROR(__xludf.DUMMYFUNCTION("""COMPUTED_VALUE"""),0)</f>
        <v>0</v>
      </c>
      <c r="D8621" s="12" t="str">
        <f ca="1">IFERROR(__xludf.DUMMYFUNCTION("""COMPUTED_VALUE"""),"渋谷 雄大")</f>
        <v>渋谷 雄大</v>
      </c>
    </row>
    <row r="8622" spans="2:4" ht="13">
      <c r="B8622" s="12">
        <f ca="1">IFERROR(__xludf.DUMMYFUNCTION("""COMPUTED_VALUE"""),3101033)</f>
        <v>3101033</v>
      </c>
      <c r="C8622" s="14">
        <f ca="1">IFERROR(__xludf.DUMMYFUNCTION("""COMPUTED_VALUE"""),11)</f>
        <v>11</v>
      </c>
      <c r="D8622" s="12" t="str">
        <f ca="1">IFERROR(__xludf.DUMMYFUNCTION("""COMPUTED_VALUE"""),"渋谷 雄大")</f>
        <v>渋谷 雄大</v>
      </c>
    </row>
    <row r="8623" spans="2:4" ht="13">
      <c r="B8623" s="12">
        <f ca="1">IFERROR(__xludf.DUMMYFUNCTION("""COMPUTED_VALUE"""),3101034)</f>
        <v>3101034</v>
      </c>
      <c r="C8623" s="14">
        <f ca="1">IFERROR(__xludf.DUMMYFUNCTION("""COMPUTED_VALUE"""),13)</f>
        <v>13</v>
      </c>
      <c r="D8623" s="12" t="str">
        <f ca="1">IFERROR(__xludf.DUMMYFUNCTION("""COMPUTED_VALUE"""),"長谷川 陸朗")</f>
        <v>長谷川 陸朗</v>
      </c>
    </row>
    <row r="8624" spans="2:4" ht="13">
      <c r="B8624" s="12">
        <f ca="1">IFERROR(__xludf.DUMMYFUNCTION("""COMPUTED_VALUE"""),3101035)</f>
        <v>3101035</v>
      </c>
      <c r="C8624" s="14">
        <f ca="1">IFERROR(__xludf.DUMMYFUNCTION("""COMPUTED_VALUE"""),17)</f>
        <v>17</v>
      </c>
      <c r="D8624" s="12" t="str">
        <f ca="1">IFERROR(__xludf.DUMMYFUNCTION("""COMPUTED_VALUE"""),"長谷川 陸朗")</f>
        <v>長谷川 陸朗</v>
      </c>
    </row>
    <row r="8625" spans="2:4" ht="13">
      <c r="B8625" s="12">
        <f ca="1">IFERROR(__xludf.DUMMYFUNCTION("""COMPUTED_VALUE"""),3101055)</f>
        <v>3101055</v>
      </c>
      <c r="C8625" s="14">
        <f ca="1">IFERROR(__xludf.DUMMYFUNCTION("""COMPUTED_VALUE"""),0)</f>
        <v>0</v>
      </c>
      <c r="D8625" s="12" t="str">
        <f ca="1">IFERROR(__xludf.DUMMYFUNCTION("""COMPUTED_VALUE"""),"小関 麻起")</f>
        <v>小関 麻起</v>
      </c>
    </row>
    <row r="8626" spans="2:4" ht="13">
      <c r="B8626" s="12">
        <f ca="1">IFERROR(__xludf.DUMMYFUNCTION("""COMPUTED_VALUE"""),3101061)</f>
        <v>3101061</v>
      </c>
      <c r="C8626" s="14">
        <f ca="1">IFERROR(__xludf.DUMMYFUNCTION("""COMPUTED_VALUE"""),33)</f>
        <v>33</v>
      </c>
      <c r="D8626" s="12" t="str">
        <f ca="1">IFERROR(__xludf.DUMMYFUNCTION("""COMPUTED_VALUE"""),"老田 純輝")</f>
        <v>老田 純輝</v>
      </c>
    </row>
    <row r="8627" spans="2:4" ht="13">
      <c r="B8627" s="12">
        <f ca="1">IFERROR(__xludf.DUMMYFUNCTION("""COMPUTED_VALUE"""),3101063)</f>
        <v>3101063</v>
      </c>
      <c r="C8627" s="14">
        <f ca="1">IFERROR(__xludf.DUMMYFUNCTION("""COMPUTED_VALUE"""),141)</f>
        <v>141</v>
      </c>
      <c r="D8627" s="12" t="str">
        <f ca="1">IFERROR(__xludf.DUMMYFUNCTION("""COMPUTED_VALUE"""),"堀越 駿")</f>
        <v>堀越 駿</v>
      </c>
    </row>
    <row r="8628" spans="2:4" ht="13">
      <c r="B8628" s="12">
        <f ca="1">IFERROR(__xludf.DUMMYFUNCTION("""COMPUTED_VALUE"""),3101064)</f>
        <v>3101064</v>
      </c>
      <c r="C8628" s="14">
        <f ca="1">IFERROR(__xludf.DUMMYFUNCTION("""COMPUTED_VALUE"""),236)</f>
        <v>236</v>
      </c>
      <c r="D8628" s="12" t="str">
        <f ca="1">IFERROR(__xludf.DUMMYFUNCTION("""COMPUTED_VALUE"""),"堀越 駿")</f>
        <v>堀越 駿</v>
      </c>
    </row>
    <row r="8629" spans="2:4" ht="13">
      <c r="B8629" s="12">
        <f ca="1">IFERROR(__xludf.DUMMYFUNCTION("""COMPUTED_VALUE"""),3101065)</f>
        <v>3101065</v>
      </c>
      <c r="C8629" s="14">
        <f ca="1">IFERROR(__xludf.DUMMYFUNCTION("""COMPUTED_VALUE"""),127)</f>
        <v>127</v>
      </c>
      <c r="D8629" s="12" t="str">
        <f ca="1">IFERROR(__xludf.DUMMYFUNCTION("""COMPUTED_VALUE"""),"堀越 駿")</f>
        <v>堀越 駿</v>
      </c>
    </row>
    <row r="8630" spans="2:4" ht="13">
      <c r="B8630" s="12">
        <f ca="1">IFERROR(__xludf.DUMMYFUNCTION("""COMPUTED_VALUE"""),3101066)</f>
        <v>3101066</v>
      </c>
      <c r="C8630" s="14">
        <f ca="1">IFERROR(__xludf.DUMMYFUNCTION("""COMPUTED_VALUE"""),2)</f>
        <v>2</v>
      </c>
      <c r="D8630" s="12" t="str">
        <f ca="1">IFERROR(__xludf.DUMMYFUNCTION("""COMPUTED_VALUE"""),"長谷川 陸朗")</f>
        <v>長谷川 陸朗</v>
      </c>
    </row>
    <row r="8631" spans="2:4" ht="13">
      <c r="B8631" s="12">
        <f ca="1">IFERROR(__xludf.DUMMYFUNCTION("""COMPUTED_VALUE"""),3101085)</f>
        <v>3101085</v>
      </c>
      <c r="C8631" s="14">
        <f ca="1">IFERROR(__xludf.DUMMYFUNCTION("""COMPUTED_VALUE"""),1)</f>
        <v>1</v>
      </c>
      <c r="D8631" s="12" t="str">
        <f ca="1">IFERROR(__xludf.DUMMYFUNCTION("""COMPUTED_VALUE"""),"堀越 駿")</f>
        <v>堀越 駿</v>
      </c>
    </row>
    <row r="8632" spans="2:4" ht="13">
      <c r="B8632" s="12">
        <f ca="1">IFERROR(__xludf.DUMMYFUNCTION("""COMPUTED_VALUE"""),3101110)</f>
        <v>3101110</v>
      </c>
      <c r="C8632" s="14">
        <f ca="1">IFERROR(__xludf.DUMMYFUNCTION("""COMPUTED_VALUE"""),1)</f>
        <v>1</v>
      </c>
      <c r="D8632" s="12" t="str">
        <f ca="1">IFERROR(__xludf.DUMMYFUNCTION("""COMPUTED_VALUE"""),"老田 純輝")</f>
        <v>老田 純輝</v>
      </c>
    </row>
    <row r="8633" spans="2:4" ht="13">
      <c r="B8633" s="12">
        <f ca="1">IFERROR(__xludf.DUMMYFUNCTION("""COMPUTED_VALUE"""),3101193)</f>
        <v>3101193</v>
      </c>
      <c r="C8633" s="14">
        <f ca="1">IFERROR(__xludf.DUMMYFUNCTION("""COMPUTED_VALUE"""),21)</f>
        <v>21</v>
      </c>
      <c r="D8633" s="12" t="str">
        <f ca="1">IFERROR(__xludf.DUMMYFUNCTION("""COMPUTED_VALUE"""),"老田 純輝")</f>
        <v>老田 純輝</v>
      </c>
    </row>
    <row r="8634" spans="2:4" ht="13">
      <c r="B8634" s="12">
        <f ca="1">IFERROR(__xludf.DUMMYFUNCTION("""COMPUTED_VALUE"""),3101194)</f>
        <v>3101194</v>
      </c>
      <c r="C8634" s="14">
        <f ca="1">IFERROR(__xludf.DUMMYFUNCTION("""COMPUTED_VALUE"""),7)</f>
        <v>7</v>
      </c>
      <c r="D8634" s="12" t="str">
        <f ca="1">IFERROR(__xludf.DUMMYFUNCTION("""COMPUTED_VALUE"""),"老田 純輝")</f>
        <v>老田 純輝</v>
      </c>
    </row>
    <row r="8635" spans="2:4" ht="13">
      <c r="B8635" s="12">
        <f ca="1">IFERROR(__xludf.DUMMYFUNCTION("""COMPUTED_VALUE"""),3101195)</f>
        <v>3101195</v>
      </c>
      <c r="C8635" s="14">
        <f ca="1">IFERROR(__xludf.DUMMYFUNCTION("""COMPUTED_VALUE"""),13)</f>
        <v>13</v>
      </c>
      <c r="D8635" s="12" t="str">
        <f ca="1">IFERROR(__xludf.DUMMYFUNCTION("""COMPUTED_VALUE"""),"老田 純輝")</f>
        <v>老田 純輝</v>
      </c>
    </row>
    <row r="8636" spans="2:4" ht="13">
      <c r="B8636" s="12">
        <f ca="1">IFERROR(__xludf.DUMMYFUNCTION("""COMPUTED_VALUE"""),3101237)</f>
        <v>3101237</v>
      </c>
      <c r="C8636" s="14">
        <f ca="1">IFERROR(__xludf.DUMMYFUNCTION("""COMPUTED_VALUE"""),21)</f>
        <v>21</v>
      </c>
      <c r="D8636" s="12" t="str">
        <f ca="1">IFERROR(__xludf.DUMMYFUNCTION("""COMPUTED_VALUE"""),"田嶋 将太")</f>
        <v>田嶋 将太</v>
      </c>
    </row>
    <row r="8637" spans="2:4" ht="13">
      <c r="B8637" s="12">
        <f ca="1">IFERROR(__xludf.DUMMYFUNCTION("""COMPUTED_VALUE"""),3101291)</f>
        <v>3101291</v>
      </c>
      <c r="C8637" s="14">
        <f ca="1">IFERROR(__xludf.DUMMYFUNCTION("""COMPUTED_VALUE"""),2)</f>
        <v>2</v>
      </c>
      <c r="D8637" s="12" t="str">
        <f ca="1">IFERROR(__xludf.DUMMYFUNCTION("""COMPUTED_VALUE"""),"老田 純輝")</f>
        <v>老田 純輝</v>
      </c>
    </row>
    <row r="8638" spans="2:4" ht="13">
      <c r="B8638" s="12">
        <f ca="1">IFERROR(__xludf.DUMMYFUNCTION("""COMPUTED_VALUE"""),3101292)</f>
        <v>3101292</v>
      </c>
      <c r="C8638" s="14">
        <f ca="1">IFERROR(__xludf.DUMMYFUNCTION("""COMPUTED_VALUE"""),1)</f>
        <v>1</v>
      </c>
      <c r="D8638" s="12" t="str">
        <f ca="1">IFERROR(__xludf.DUMMYFUNCTION("""COMPUTED_VALUE"""),"渋谷 雄大")</f>
        <v>渋谷 雄大</v>
      </c>
    </row>
    <row r="8639" spans="2:4" ht="13">
      <c r="B8639" s="12">
        <f ca="1">IFERROR(__xludf.DUMMYFUNCTION("""COMPUTED_VALUE"""),3101304)</f>
        <v>3101304</v>
      </c>
      <c r="C8639" s="14">
        <f ca="1">IFERROR(__xludf.DUMMYFUNCTION("""COMPUTED_VALUE"""),21)</f>
        <v>21</v>
      </c>
      <c r="D8639" s="12" t="str">
        <f ca="1">IFERROR(__xludf.DUMMYFUNCTION("""COMPUTED_VALUE"""),"松尾 尚樹")</f>
        <v>松尾 尚樹</v>
      </c>
    </row>
    <row r="8640" spans="2:4" ht="13">
      <c r="B8640" s="12">
        <f ca="1">IFERROR(__xludf.DUMMYFUNCTION("""COMPUTED_VALUE"""),3101319)</f>
        <v>3101319</v>
      </c>
      <c r="C8640" s="14">
        <f ca="1">IFERROR(__xludf.DUMMYFUNCTION("""COMPUTED_VALUE"""),29)</f>
        <v>29</v>
      </c>
      <c r="D8640" s="12" t="str">
        <f ca="1">IFERROR(__xludf.DUMMYFUNCTION("""COMPUTED_VALUE"""),"老田 純輝")</f>
        <v>老田 純輝</v>
      </c>
    </row>
    <row r="8641" spans="2:4" ht="13">
      <c r="B8641" s="12">
        <f ca="1">IFERROR(__xludf.DUMMYFUNCTION("""COMPUTED_VALUE"""),3101326)</f>
        <v>3101326</v>
      </c>
      <c r="C8641" s="14">
        <f ca="1">IFERROR(__xludf.DUMMYFUNCTION("""COMPUTED_VALUE"""),0)</f>
        <v>0</v>
      </c>
      <c r="D8641" s="12" t="str">
        <f ca="1">IFERROR(__xludf.DUMMYFUNCTION("""COMPUTED_VALUE"""),"小関 麻起")</f>
        <v>小関 麻起</v>
      </c>
    </row>
    <row r="8642" spans="2:4" ht="13">
      <c r="B8642" s="12">
        <f ca="1">IFERROR(__xludf.DUMMYFUNCTION("""COMPUTED_VALUE"""),3101328)</f>
        <v>3101328</v>
      </c>
      <c r="C8642" s="14">
        <f ca="1">IFERROR(__xludf.DUMMYFUNCTION("""COMPUTED_VALUE"""),4)</f>
        <v>4</v>
      </c>
      <c r="D8642" s="12" t="str">
        <f ca="1">IFERROR(__xludf.DUMMYFUNCTION("""COMPUTED_VALUE"""),"大木 優香")</f>
        <v>大木 優香</v>
      </c>
    </row>
    <row r="8643" spans="2:4" ht="13">
      <c r="B8643" s="12">
        <f ca="1">IFERROR(__xludf.DUMMYFUNCTION("""COMPUTED_VALUE"""),3101353)</f>
        <v>3101353</v>
      </c>
      <c r="C8643" s="14">
        <f ca="1">IFERROR(__xludf.DUMMYFUNCTION("""COMPUTED_VALUE"""),0)</f>
        <v>0</v>
      </c>
      <c r="D8643" s="12" t="str">
        <f ca="1">IFERROR(__xludf.DUMMYFUNCTION("""COMPUTED_VALUE"""),"川島 幹也")</f>
        <v>川島 幹也</v>
      </c>
    </row>
    <row r="8644" spans="2:4" ht="13">
      <c r="B8644" s="12">
        <f ca="1">IFERROR(__xludf.DUMMYFUNCTION("""COMPUTED_VALUE"""),3101381)</f>
        <v>3101381</v>
      </c>
      <c r="C8644" s="14">
        <f ca="1">IFERROR(__xludf.DUMMYFUNCTION("""COMPUTED_VALUE"""),14)</f>
        <v>14</v>
      </c>
      <c r="D8644" s="12" t="str">
        <f ca="1">IFERROR(__xludf.DUMMYFUNCTION("""COMPUTED_VALUE"""),"渋谷 雄大")</f>
        <v>渋谷 雄大</v>
      </c>
    </row>
    <row r="8645" spans="2:4" ht="13">
      <c r="B8645" s="12">
        <f ca="1">IFERROR(__xludf.DUMMYFUNCTION("""COMPUTED_VALUE"""),3101384)</f>
        <v>3101384</v>
      </c>
      <c r="C8645" s="14">
        <f ca="1">IFERROR(__xludf.DUMMYFUNCTION("""COMPUTED_VALUE"""),36)</f>
        <v>36</v>
      </c>
      <c r="D8645" s="12" t="str">
        <f ca="1">IFERROR(__xludf.DUMMYFUNCTION("""COMPUTED_VALUE"""),"小関 麻起")</f>
        <v>小関 麻起</v>
      </c>
    </row>
    <row r="8646" spans="2:4" ht="13">
      <c r="B8646" s="12">
        <f ca="1">IFERROR(__xludf.DUMMYFUNCTION("""COMPUTED_VALUE"""),3101419)</f>
        <v>3101419</v>
      </c>
      <c r="C8646" s="14">
        <f ca="1">IFERROR(__xludf.DUMMYFUNCTION("""COMPUTED_VALUE"""),9)</f>
        <v>9</v>
      </c>
      <c r="D8646" s="12" t="str">
        <f ca="1">IFERROR(__xludf.DUMMYFUNCTION("""COMPUTED_VALUE"""),"老田 純輝")</f>
        <v>老田 純輝</v>
      </c>
    </row>
    <row r="8647" spans="2:4" ht="13">
      <c r="B8647" s="12">
        <f ca="1">IFERROR(__xludf.DUMMYFUNCTION("""COMPUTED_VALUE"""),3101424)</f>
        <v>3101424</v>
      </c>
      <c r="C8647" s="14">
        <f ca="1">IFERROR(__xludf.DUMMYFUNCTION("""COMPUTED_VALUE"""),2)</f>
        <v>2</v>
      </c>
      <c r="D8647" s="12" t="str">
        <f ca="1">IFERROR(__xludf.DUMMYFUNCTION("""COMPUTED_VALUE"""),"成嶋 夏未")</f>
        <v>成嶋 夏未</v>
      </c>
    </row>
    <row r="8648" spans="2:4" ht="13">
      <c r="B8648" s="12">
        <f ca="1">IFERROR(__xludf.DUMMYFUNCTION("""COMPUTED_VALUE"""),3101477)</f>
        <v>3101477</v>
      </c>
      <c r="C8648" s="14">
        <f ca="1">IFERROR(__xludf.DUMMYFUNCTION("""COMPUTED_VALUE"""),127)</f>
        <v>127</v>
      </c>
      <c r="D8648" s="12" t="str">
        <f ca="1">IFERROR(__xludf.DUMMYFUNCTION("""COMPUTED_VALUE"""),"荻曽 克輝")</f>
        <v>荻曽 克輝</v>
      </c>
    </row>
    <row r="8649" spans="2:4" ht="13">
      <c r="B8649" s="12">
        <f ca="1">IFERROR(__xludf.DUMMYFUNCTION("""COMPUTED_VALUE"""),3101511)</f>
        <v>3101511</v>
      </c>
      <c r="C8649" s="14">
        <f ca="1">IFERROR(__xludf.DUMMYFUNCTION("""COMPUTED_VALUE"""),4)</f>
        <v>4</v>
      </c>
      <c r="D8649" s="12" t="str">
        <f ca="1">IFERROR(__xludf.DUMMYFUNCTION("""COMPUTED_VALUE"""),"長谷川 陸朗")</f>
        <v>長谷川 陸朗</v>
      </c>
    </row>
    <row r="8650" spans="2:4" ht="13">
      <c r="B8650" s="12">
        <f ca="1">IFERROR(__xludf.DUMMYFUNCTION("""COMPUTED_VALUE"""),3101512)</f>
        <v>3101512</v>
      </c>
      <c r="C8650" s="14">
        <f ca="1">IFERROR(__xludf.DUMMYFUNCTION("""COMPUTED_VALUE"""),0)</f>
        <v>0</v>
      </c>
      <c r="D8650" s="12" t="str">
        <f ca="1">IFERROR(__xludf.DUMMYFUNCTION("""COMPUTED_VALUE"""),"長谷川 陸朗")</f>
        <v>長谷川 陸朗</v>
      </c>
    </row>
    <row r="8651" spans="2:4" ht="13">
      <c r="B8651" s="12">
        <f ca="1">IFERROR(__xludf.DUMMYFUNCTION("""COMPUTED_VALUE"""),3101515)</f>
        <v>3101515</v>
      </c>
      <c r="C8651" s="14">
        <f ca="1">IFERROR(__xludf.DUMMYFUNCTION("""COMPUTED_VALUE"""),0)</f>
        <v>0</v>
      </c>
      <c r="D8651" s="12" t="str">
        <f ca="1">IFERROR(__xludf.DUMMYFUNCTION("""COMPUTED_VALUE"""),"小関 麻起")</f>
        <v>小関 麻起</v>
      </c>
    </row>
    <row r="8652" spans="2:4" ht="13">
      <c r="B8652" s="12">
        <f ca="1">IFERROR(__xludf.DUMMYFUNCTION("""COMPUTED_VALUE"""),3101537)</f>
        <v>3101537</v>
      </c>
      <c r="C8652" s="14">
        <f ca="1">IFERROR(__xludf.DUMMYFUNCTION("""COMPUTED_VALUE"""),85)</f>
        <v>85</v>
      </c>
      <c r="D8652" s="12" t="str">
        <f ca="1">IFERROR(__xludf.DUMMYFUNCTION("""COMPUTED_VALUE"""),"小川 純")</f>
        <v>小川 純</v>
      </c>
    </row>
    <row r="8653" spans="2:4" ht="13">
      <c r="B8653" s="12">
        <f ca="1">IFERROR(__xludf.DUMMYFUNCTION("""COMPUTED_VALUE"""),3101539)</f>
        <v>3101539</v>
      </c>
      <c r="C8653" s="14">
        <f ca="1">IFERROR(__xludf.DUMMYFUNCTION("""COMPUTED_VALUE"""),9)</f>
        <v>9</v>
      </c>
      <c r="D8653" s="12" t="str">
        <f ca="1">IFERROR(__xludf.DUMMYFUNCTION("""COMPUTED_VALUE"""),"小川 純")</f>
        <v>小川 純</v>
      </c>
    </row>
    <row r="8654" spans="2:4" ht="13">
      <c r="B8654" s="12">
        <f ca="1">IFERROR(__xludf.DUMMYFUNCTION("""COMPUTED_VALUE"""),3101541)</f>
        <v>3101541</v>
      </c>
      <c r="C8654" s="14">
        <f ca="1">IFERROR(__xludf.DUMMYFUNCTION("""COMPUTED_VALUE"""),62)</f>
        <v>62</v>
      </c>
      <c r="D8654" s="12" t="str">
        <f ca="1">IFERROR(__xludf.DUMMYFUNCTION("""COMPUTED_VALUE"""),"小川 純")</f>
        <v>小川 純</v>
      </c>
    </row>
    <row r="8655" spans="2:4" ht="13">
      <c r="B8655" s="12">
        <f ca="1">IFERROR(__xludf.DUMMYFUNCTION("""COMPUTED_VALUE"""),3101542)</f>
        <v>3101542</v>
      </c>
      <c r="C8655" s="14">
        <f ca="1">IFERROR(__xludf.DUMMYFUNCTION("""COMPUTED_VALUE"""),86)</f>
        <v>86</v>
      </c>
      <c r="D8655" s="12" t="str">
        <f ca="1">IFERROR(__xludf.DUMMYFUNCTION("""COMPUTED_VALUE"""),"小川 純")</f>
        <v>小川 純</v>
      </c>
    </row>
    <row r="8656" spans="2:4" ht="13">
      <c r="B8656" s="12">
        <f ca="1">IFERROR(__xludf.DUMMYFUNCTION("""COMPUTED_VALUE"""),3101551)</f>
        <v>3101551</v>
      </c>
      <c r="C8656" s="14">
        <f ca="1">IFERROR(__xludf.DUMMYFUNCTION("""COMPUTED_VALUE"""),74)</f>
        <v>74</v>
      </c>
      <c r="D8656" s="12" t="str">
        <f ca="1">IFERROR(__xludf.DUMMYFUNCTION("""COMPUTED_VALUE"""),"老田 純輝")</f>
        <v>老田 純輝</v>
      </c>
    </row>
    <row r="8657" spans="2:4" ht="13">
      <c r="B8657" s="12">
        <f ca="1">IFERROR(__xludf.DUMMYFUNCTION("""COMPUTED_VALUE"""),3101567)</f>
        <v>3101567</v>
      </c>
      <c r="C8657" s="14">
        <f ca="1">IFERROR(__xludf.DUMMYFUNCTION("""COMPUTED_VALUE"""),14)</f>
        <v>14</v>
      </c>
      <c r="D8657" s="12" t="str">
        <f ca="1">IFERROR(__xludf.DUMMYFUNCTION("""COMPUTED_VALUE"""),"田嶋 将太")</f>
        <v>田嶋 将太</v>
      </c>
    </row>
    <row r="8658" spans="2:4" ht="13">
      <c r="B8658" s="12">
        <f ca="1">IFERROR(__xludf.DUMMYFUNCTION("""COMPUTED_VALUE"""),3101568)</f>
        <v>3101568</v>
      </c>
      <c r="C8658" s="14">
        <f ca="1">IFERROR(__xludf.DUMMYFUNCTION("""COMPUTED_VALUE"""),0)</f>
        <v>0</v>
      </c>
      <c r="D8658" s="12" t="str">
        <f ca="1">IFERROR(__xludf.DUMMYFUNCTION("""COMPUTED_VALUE"""),"田嶋 将太")</f>
        <v>田嶋 将太</v>
      </c>
    </row>
    <row r="8659" spans="2:4" ht="13">
      <c r="B8659" s="12">
        <f ca="1">IFERROR(__xludf.DUMMYFUNCTION("""COMPUTED_VALUE"""),3101588)</f>
        <v>3101588</v>
      </c>
      <c r="C8659" s="14">
        <f ca="1">IFERROR(__xludf.DUMMYFUNCTION("""COMPUTED_VALUE"""),36)</f>
        <v>36</v>
      </c>
      <c r="D8659" s="12" t="str">
        <f ca="1">IFERROR(__xludf.DUMMYFUNCTION("""COMPUTED_VALUE"""),"堀越 駿")</f>
        <v>堀越 駿</v>
      </c>
    </row>
    <row r="8660" spans="2:4" ht="13">
      <c r="B8660" s="12">
        <f ca="1">IFERROR(__xludf.DUMMYFUNCTION("""COMPUTED_VALUE"""),3101603)</f>
        <v>3101603</v>
      </c>
      <c r="C8660" s="14">
        <f ca="1">IFERROR(__xludf.DUMMYFUNCTION("""COMPUTED_VALUE"""),4)</f>
        <v>4</v>
      </c>
      <c r="D8660" s="12" t="str">
        <f ca="1">IFERROR(__xludf.DUMMYFUNCTION("""COMPUTED_VALUE"""),"堀越 駿")</f>
        <v>堀越 駿</v>
      </c>
    </row>
    <row r="8661" spans="2:4" ht="13">
      <c r="B8661" s="12">
        <f ca="1">IFERROR(__xludf.DUMMYFUNCTION("""COMPUTED_VALUE"""),3101620)</f>
        <v>3101620</v>
      </c>
      <c r="C8661" s="14">
        <f ca="1">IFERROR(__xludf.DUMMYFUNCTION("""COMPUTED_VALUE"""),0)</f>
        <v>0</v>
      </c>
      <c r="D8661" s="12" t="str">
        <f ca="1">IFERROR(__xludf.DUMMYFUNCTION("""COMPUTED_VALUE"""),"栗原 大武")</f>
        <v>栗原 大武</v>
      </c>
    </row>
    <row r="8662" spans="2:4" ht="13">
      <c r="B8662" s="12">
        <f ca="1">IFERROR(__xludf.DUMMYFUNCTION("""COMPUTED_VALUE"""),3101644)</f>
        <v>3101644</v>
      </c>
      <c r="C8662" s="14">
        <f ca="1">IFERROR(__xludf.DUMMYFUNCTION("""COMPUTED_VALUE"""),9)</f>
        <v>9</v>
      </c>
      <c r="D8662" s="12" t="str">
        <f ca="1">IFERROR(__xludf.DUMMYFUNCTION("""COMPUTED_VALUE"""),"老田 純輝")</f>
        <v>老田 純輝</v>
      </c>
    </row>
    <row r="8663" spans="2:4" ht="13">
      <c r="B8663" s="12">
        <f ca="1">IFERROR(__xludf.DUMMYFUNCTION("""COMPUTED_VALUE"""),3101645)</f>
        <v>3101645</v>
      </c>
      <c r="C8663" s="14">
        <f ca="1">IFERROR(__xludf.DUMMYFUNCTION("""COMPUTED_VALUE"""),25)</f>
        <v>25</v>
      </c>
      <c r="D8663" s="12" t="str">
        <f ca="1">IFERROR(__xludf.DUMMYFUNCTION("""COMPUTED_VALUE"""),"老田 純輝")</f>
        <v>老田 純輝</v>
      </c>
    </row>
    <row r="8664" spans="2:4" ht="13">
      <c r="B8664" s="12">
        <f ca="1">IFERROR(__xludf.DUMMYFUNCTION("""COMPUTED_VALUE"""),3101646)</f>
        <v>3101646</v>
      </c>
      <c r="C8664" s="14">
        <f ca="1">IFERROR(__xludf.DUMMYFUNCTION("""COMPUTED_VALUE"""),5)</f>
        <v>5</v>
      </c>
      <c r="D8664" s="12" t="str">
        <f ca="1">IFERROR(__xludf.DUMMYFUNCTION("""COMPUTED_VALUE"""),"渋谷 雄大")</f>
        <v>渋谷 雄大</v>
      </c>
    </row>
    <row r="8665" spans="2:4" ht="13">
      <c r="B8665" s="12">
        <f ca="1">IFERROR(__xludf.DUMMYFUNCTION("""COMPUTED_VALUE"""),3101647)</f>
        <v>3101647</v>
      </c>
      <c r="C8665" s="14">
        <f ca="1">IFERROR(__xludf.DUMMYFUNCTION("""COMPUTED_VALUE"""),1)</f>
        <v>1</v>
      </c>
      <c r="D8665" s="12" t="str">
        <f ca="1">IFERROR(__xludf.DUMMYFUNCTION("""COMPUTED_VALUE"""),"渋谷 雄大")</f>
        <v>渋谷 雄大</v>
      </c>
    </row>
    <row r="8666" spans="2:4" ht="13">
      <c r="B8666" s="12">
        <f ca="1">IFERROR(__xludf.DUMMYFUNCTION("""COMPUTED_VALUE"""),3101649)</f>
        <v>3101649</v>
      </c>
      <c r="C8666" s="14">
        <f ca="1">IFERROR(__xludf.DUMMYFUNCTION("""COMPUTED_VALUE"""),6)</f>
        <v>6</v>
      </c>
      <c r="D8666" s="12" t="str">
        <f ca="1">IFERROR(__xludf.DUMMYFUNCTION("""COMPUTED_VALUE"""),"長谷川 陸朗")</f>
        <v>長谷川 陸朗</v>
      </c>
    </row>
    <row r="8667" spans="2:4" ht="13">
      <c r="B8667" s="12">
        <f ca="1">IFERROR(__xludf.DUMMYFUNCTION("""COMPUTED_VALUE"""),3101663)</f>
        <v>3101663</v>
      </c>
      <c r="C8667" s="14">
        <f ca="1">IFERROR(__xludf.DUMMYFUNCTION("""COMPUTED_VALUE"""),13)</f>
        <v>13</v>
      </c>
      <c r="D8667" s="12" t="str">
        <f ca="1">IFERROR(__xludf.DUMMYFUNCTION("""COMPUTED_VALUE"""),"田嶋 将太")</f>
        <v>田嶋 将太</v>
      </c>
    </row>
    <row r="8668" spans="2:4" ht="13">
      <c r="B8668" s="12">
        <f ca="1">IFERROR(__xludf.DUMMYFUNCTION("""COMPUTED_VALUE"""),3101706)</f>
        <v>3101706</v>
      </c>
      <c r="C8668" s="14">
        <f ca="1">IFERROR(__xludf.DUMMYFUNCTION("""COMPUTED_VALUE"""),0)</f>
        <v>0</v>
      </c>
      <c r="D8668" s="12" t="str">
        <f ca="1">IFERROR(__xludf.DUMMYFUNCTION("""COMPUTED_VALUE"""),"渋谷 雄大")</f>
        <v>渋谷 雄大</v>
      </c>
    </row>
    <row r="8669" spans="2:4" ht="13">
      <c r="B8669" s="12">
        <f ca="1">IFERROR(__xludf.DUMMYFUNCTION("""COMPUTED_VALUE"""),3101710)</f>
        <v>3101710</v>
      </c>
      <c r="C8669" s="14">
        <f ca="1">IFERROR(__xludf.DUMMYFUNCTION("""COMPUTED_VALUE"""),22)</f>
        <v>22</v>
      </c>
      <c r="D8669" s="12" t="str">
        <f ca="1">IFERROR(__xludf.DUMMYFUNCTION("""COMPUTED_VALUE"""),"菅野 ぎんが")</f>
        <v>菅野 ぎんが</v>
      </c>
    </row>
    <row r="8670" spans="2:4" ht="13">
      <c r="B8670" s="12">
        <f ca="1">IFERROR(__xludf.DUMMYFUNCTION("""COMPUTED_VALUE"""),3101741)</f>
        <v>3101741</v>
      </c>
      <c r="C8670" s="14">
        <f ca="1">IFERROR(__xludf.DUMMYFUNCTION("""COMPUTED_VALUE"""),22)</f>
        <v>22</v>
      </c>
      <c r="D8670" s="12" t="str">
        <f ca="1">IFERROR(__xludf.DUMMYFUNCTION("""COMPUTED_VALUE"""),"菅野 ぎんが")</f>
        <v>菅野 ぎんが</v>
      </c>
    </row>
    <row r="8671" spans="2:4" ht="13">
      <c r="B8671" s="12">
        <f ca="1">IFERROR(__xludf.DUMMYFUNCTION("""COMPUTED_VALUE"""),3101785)</f>
        <v>3101785</v>
      </c>
      <c r="C8671" s="14">
        <f ca="1">IFERROR(__xludf.DUMMYFUNCTION("""COMPUTED_VALUE"""),2)</f>
        <v>2</v>
      </c>
      <c r="D8671" s="12" t="str">
        <f ca="1">IFERROR(__xludf.DUMMYFUNCTION("""COMPUTED_VALUE"""),"長谷川 陸朗")</f>
        <v>長谷川 陸朗</v>
      </c>
    </row>
    <row r="8672" spans="2:4" ht="13">
      <c r="B8672" s="12">
        <f ca="1">IFERROR(__xludf.DUMMYFUNCTION("""COMPUTED_VALUE"""),3101793)</f>
        <v>3101793</v>
      </c>
      <c r="C8672" s="14">
        <f ca="1">IFERROR(__xludf.DUMMYFUNCTION("""COMPUTED_VALUE"""),0)</f>
        <v>0</v>
      </c>
      <c r="D8672" s="12" t="str">
        <f ca="1">IFERROR(__xludf.DUMMYFUNCTION("""COMPUTED_VALUE"""),"菅野 ぎんが")</f>
        <v>菅野 ぎんが</v>
      </c>
    </row>
    <row r="8673" spans="2:4" ht="13">
      <c r="B8673" s="12">
        <f ca="1">IFERROR(__xludf.DUMMYFUNCTION("""COMPUTED_VALUE"""),3101794)</f>
        <v>3101794</v>
      </c>
      <c r="C8673" s="14">
        <f ca="1">IFERROR(__xludf.DUMMYFUNCTION("""COMPUTED_VALUE"""),16)</f>
        <v>16</v>
      </c>
      <c r="D8673" s="12" t="str">
        <f ca="1">IFERROR(__xludf.DUMMYFUNCTION("""COMPUTED_VALUE"""),"菅野 ぎんが")</f>
        <v>菅野 ぎんが</v>
      </c>
    </row>
    <row r="8674" spans="2:4" ht="13">
      <c r="B8674" s="12">
        <f ca="1">IFERROR(__xludf.DUMMYFUNCTION("""COMPUTED_VALUE"""),3101819)</f>
        <v>3101819</v>
      </c>
      <c r="C8674" s="14">
        <f ca="1">IFERROR(__xludf.DUMMYFUNCTION("""COMPUTED_VALUE"""),1)</f>
        <v>1</v>
      </c>
      <c r="D8674" s="12" t="str">
        <f ca="1">IFERROR(__xludf.DUMMYFUNCTION("""COMPUTED_VALUE"""),"老田 純輝")</f>
        <v>老田 純輝</v>
      </c>
    </row>
    <row r="8675" spans="2:4" ht="13">
      <c r="B8675" s="12">
        <f ca="1">IFERROR(__xludf.DUMMYFUNCTION("""COMPUTED_VALUE"""),3101820)</f>
        <v>3101820</v>
      </c>
      <c r="C8675" s="14">
        <f ca="1">IFERROR(__xludf.DUMMYFUNCTION("""COMPUTED_VALUE"""),2)</f>
        <v>2</v>
      </c>
      <c r="D8675" s="12" t="str">
        <f ca="1">IFERROR(__xludf.DUMMYFUNCTION("""COMPUTED_VALUE"""),"長谷川 陸朗")</f>
        <v>長谷川 陸朗</v>
      </c>
    </row>
    <row r="8676" spans="2:4" ht="13">
      <c r="B8676" s="12">
        <f ca="1">IFERROR(__xludf.DUMMYFUNCTION("""COMPUTED_VALUE"""),3101824)</f>
        <v>3101824</v>
      </c>
      <c r="C8676" s="14">
        <f ca="1">IFERROR(__xludf.DUMMYFUNCTION("""COMPUTED_VALUE"""),70)</f>
        <v>70</v>
      </c>
      <c r="D8676" s="12" t="str">
        <f ca="1">IFERROR(__xludf.DUMMYFUNCTION("""COMPUTED_VALUE"""),"松尾 尚樹")</f>
        <v>松尾 尚樹</v>
      </c>
    </row>
    <row r="8677" spans="2:4" ht="13">
      <c r="B8677" s="12">
        <f ca="1">IFERROR(__xludf.DUMMYFUNCTION("""COMPUTED_VALUE"""),3101825)</f>
        <v>3101825</v>
      </c>
      <c r="C8677" s="14">
        <f ca="1">IFERROR(__xludf.DUMMYFUNCTION("""COMPUTED_VALUE"""),0)</f>
        <v>0</v>
      </c>
      <c r="D8677" s="12" t="str">
        <f ca="1">IFERROR(__xludf.DUMMYFUNCTION("""COMPUTED_VALUE"""),"稲場 勇介")</f>
        <v>稲場 勇介</v>
      </c>
    </row>
    <row r="8678" spans="2:4" ht="13">
      <c r="B8678" s="12">
        <f ca="1">IFERROR(__xludf.DUMMYFUNCTION("""COMPUTED_VALUE"""),3101832)</f>
        <v>3101832</v>
      </c>
      <c r="C8678" s="14">
        <f ca="1">IFERROR(__xludf.DUMMYFUNCTION("""COMPUTED_VALUE"""),80)</f>
        <v>80</v>
      </c>
      <c r="D8678" s="12" t="str">
        <f ca="1">IFERROR(__xludf.DUMMYFUNCTION("""COMPUTED_VALUE"""),"菅野 ぎんが")</f>
        <v>菅野 ぎんが</v>
      </c>
    </row>
    <row r="8679" spans="2:4" ht="13">
      <c r="B8679" s="12">
        <f ca="1">IFERROR(__xludf.DUMMYFUNCTION("""COMPUTED_VALUE"""),3101833)</f>
        <v>3101833</v>
      </c>
      <c r="C8679" s="14">
        <f ca="1">IFERROR(__xludf.DUMMYFUNCTION("""COMPUTED_VALUE"""),74)</f>
        <v>74</v>
      </c>
      <c r="D8679" s="12" t="str">
        <f ca="1">IFERROR(__xludf.DUMMYFUNCTION("""COMPUTED_VALUE"""),"菅野 ぎんが")</f>
        <v>菅野 ぎんが</v>
      </c>
    </row>
    <row r="8680" spans="2:4" ht="13">
      <c r="B8680" s="12">
        <f ca="1">IFERROR(__xludf.DUMMYFUNCTION("""COMPUTED_VALUE"""),3101834)</f>
        <v>3101834</v>
      </c>
      <c r="C8680" s="14">
        <f ca="1">IFERROR(__xludf.DUMMYFUNCTION("""COMPUTED_VALUE"""),77)</f>
        <v>77</v>
      </c>
      <c r="D8680" s="12" t="str">
        <f ca="1">IFERROR(__xludf.DUMMYFUNCTION("""COMPUTED_VALUE"""),"菅野 ぎんが")</f>
        <v>菅野 ぎんが</v>
      </c>
    </row>
    <row r="8681" spans="2:4" ht="13">
      <c r="B8681" s="12">
        <f ca="1">IFERROR(__xludf.DUMMYFUNCTION("""COMPUTED_VALUE"""),3101835)</f>
        <v>3101835</v>
      </c>
      <c r="C8681" s="14">
        <f ca="1">IFERROR(__xludf.DUMMYFUNCTION("""COMPUTED_VALUE"""),78)</f>
        <v>78</v>
      </c>
      <c r="D8681" s="12" t="str">
        <f ca="1">IFERROR(__xludf.DUMMYFUNCTION("""COMPUTED_VALUE"""),"菅野 ぎんが")</f>
        <v>菅野 ぎんが</v>
      </c>
    </row>
    <row r="8682" spans="2:4" ht="13">
      <c r="B8682" s="12">
        <f ca="1">IFERROR(__xludf.DUMMYFUNCTION("""COMPUTED_VALUE"""),3101836)</f>
        <v>3101836</v>
      </c>
      <c r="C8682" s="14">
        <f ca="1">IFERROR(__xludf.DUMMYFUNCTION("""COMPUTED_VALUE"""),32)</f>
        <v>32</v>
      </c>
      <c r="D8682" s="12" t="str">
        <f ca="1">IFERROR(__xludf.DUMMYFUNCTION("""COMPUTED_VALUE"""),"菅野 ぎんが")</f>
        <v>菅野 ぎんが</v>
      </c>
    </row>
    <row r="8683" spans="2:4" ht="13">
      <c r="B8683" s="12">
        <f ca="1">IFERROR(__xludf.DUMMYFUNCTION("""COMPUTED_VALUE"""),3101863)</f>
        <v>3101863</v>
      </c>
      <c r="C8683" s="14">
        <f ca="1">IFERROR(__xludf.DUMMYFUNCTION("""COMPUTED_VALUE"""),53)</f>
        <v>53</v>
      </c>
      <c r="D8683" s="12" t="str">
        <f ca="1">IFERROR(__xludf.DUMMYFUNCTION("""COMPUTED_VALUE"""),"桑原 明子")</f>
        <v>桑原 明子</v>
      </c>
    </row>
    <row r="8684" spans="2:4" ht="13">
      <c r="B8684" s="12">
        <f ca="1">IFERROR(__xludf.DUMMYFUNCTION("""COMPUTED_VALUE"""),3101864)</f>
        <v>3101864</v>
      </c>
      <c r="C8684" s="14">
        <f ca="1">IFERROR(__xludf.DUMMYFUNCTION("""COMPUTED_VALUE"""),48)</f>
        <v>48</v>
      </c>
      <c r="D8684" s="12" t="str">
        <f ca="1">IFERROR(__xludf.DUMMYFUNCTION("""COMPUTED_VALUE"""),"桑原 明子")</f>
        <v>桑原 明子</v>
      </c>
    </row>
    <row r="8685" spans="2:4" ht="13">
      <c r="B8685" s="12">
        <f ca="1">IFERROR(__xludf.DUMMYFUNCTION("""COMPUTED_VALUE"""),3101874)</f>
        <v>3101874</v>
      </c>
      <c r="C8685" s="14">
        <f ca="1">IFERROR(__xludf.DUMMYFUNCTION("""COMPUTED_VALUE"""),20)</f>
        <v>20</v>
      </c>
      <c r="D8685" s="12" t="str">
        <f ca="1">IFERROR(__xludf.DUMMYFUNCTION("""COMPUTED_VALUE"""),"長谷川 陸朗")</f>
        <v>長谷川 陸朗</v>
      </c>
    </row>
    <row r="8686" spans="2:4" ht="13">
      <c r="B8686" s="12">
        <f ca="1">IFERROR(__xludf.DUMMYFUNCTION("""COMPUTED_VALUE"""),3101876)</f>
        <v>3101876</v>
      </c>
      <c r="C8686" s="14">
        <f ca="1">IFERROR(__xludf.DUMMYFUNCTION("""COMPUTED_VALUE"""),2)</f>
        <v>2</v>
      </c>
      <c r="D8686" s="12" t="str">
        <f ca="1">IFERROR(__xludf.DUMMYFUNCTION("""COMPUTED_VALUE"""),"小関 麻起")</f>
        <v>小関 麻起</v>
      </c>
    </row>
    <row r="8687" spans="2:4" ht="13">
      <c r="B8687" s="12">
        <f ca="1">IFERROR(__xludf.DUMMYFUNCTION("""COMPUTED_VALUE"""),3101882)</f>
        <v>3101882</v>
      </c>
      <c r="C8687" s="14">
        <f ca="1">IFERROR(__xludf.DUMMYFUNCTION("""COMPUTED_VALUE"""),17)</f>
        <v>17</v>
      </c>
      <c r="D8687" s="12" t="str">
        <f ca="1">IFERROR(__xludf.DUMMYFUNCTION("""COMPUTED_VALUE"""),"田嶋 将太")</f>
        <v>田嶋 将太</v>
      </c>
    </row>
    <row r="8688" spans="2:4" ht="13">
      <c r="B8688" s="12">
        <f ca="1">IFERROR(__xludf.DUMMYFUNCTION("""COMPUTED_VALUE"""),3101886)</f>
        <v>3101886</v>
      </c>
      <c r="C8688" s="14">
        <f ca="1">IFERROR(__xludf.DUMMYFUNCTION("""COMPUTED_VALUE"""),7)</f>
        <v>7</v>
      </c>
      <c r="D8688" s="12" t="str">
        <f ca="1">IFERROR(__xludf.DUMMYFUNCTION("""COMPUTED_VALUE"""),"栗原 大武")</f>
        <v>栗原 大武</v>
      </c>
    </row>
    <row r="8689" spans="2:4" ht="13">
      <c r="B8689" s="12">
        <f ca="1">IFERROR(__xludf.DUMMYFUNCTION("""COMPUTED_VALUE"""),3101892)</f>
        <v>3101892</v>
      </c>
      <c r="C8689" s="14">
        <f ca="1">IFERROR(__xludf.DUMMYFUNCTION("""COMPUTED_VALUE"""),14)</f>
        <v>14</v>
      </c>
      <c r="D8689" s="12" t="str">
        <f ca="1">IFERROR(__xludf.DUMMYFUNCTION("""COMPUTED_VALUE"""),"長谷川 陸朗")</f>
        <v>長谷川 陸朗</v>
      </c>
    </row>
    <row r="8690" spans="2:4" ht="13">
      <c r="B8690" s="12">
        <f ca="1">IFERROR(__xludf.DUMMYFUNCTION("""COMPUTED_VALUE"""),3101893)</f>
        <v>3101893</v>
      </c>
      <c r="C8690" s="14">
        <f ca="1">IFERROR(__xludf.DUMMYFUNCTION("""COMPUTED_VALUE"""),2)</f>
        <v>2</v>
      </c>
      <c r="D8690" s="12" t="str">
        <f ca="1">IFERROR(__xludf.DUMMYFUNCTION("""COMPUTED_VALUE"""),"長谷川 陸朗")</f>
        <v>長谷川 陸朗</v>
      </c>
    </row>
    <row r="8691" spans="2:4" ht="13">
      <c r="B8691" s="12">
        <f ca="1">IFERROR(__xludf.DUMMYFUNCTION("""COMPUTED_VALUE"""),3101902)</f>
        <v>3101902</v>
      </c>
      <c r="C8691" s="14">
        <f ca="1">IFERROR(__xludf.DUMMYFUNCTION("""COMPUTED_VALUE"""),1)</f>
        <v>1</v>
      </c>
      <c r="D8691" s="12" t="str">
        <f ca="1">IFERROR(__xludf.DUMMYFUNCTION("""COMPUTED_VALUE"""),"田嶋 将太")</f>
        <v>田嶋 将太</v>
      </c>
    </row>
    <row r="8692" spans="2:4" ht="13">
      <c r="B8692" s="12">
        <f ca="1">IFERROR(__xludf.DUMMYFUNCTION("""COMPUTED_VALUE"""),3101911)</f>
        <v>3101911</v>
      </c>
      <c r="C8692" s="14">
        <f ca="1">IFERROR(__xludf.DUMMYFUNCTION("""COMPUTED_VALUE"""),63)</f>
        <v>63</v>
      </c>
      <c r="D8692" s="12" t="str">
        <f ca="1">IFERROR(__xludf.DUMMYFUNCTION("""COMPUTED_VALUE"""),"桐山 勝気")</f>
        <v>桐山 勝気</v>
      </c>
    </row>
    <row r="8693" spans="2:4" ht="13">
      <c r="B8693" s="12">
        <f ca="1">IFERROR(__xludf.DUMMYFUNCTION("""COMPUTED_VALUE"""),3101916)</f>
        <v>3101916</v>
      </c>
      <c r="C8693" s="14">
        <f ca="1">IFERROR(__xludf.DUMMYFUNCTION("""COMPUTED_VALUE"""),10)</f>
        <v>10</v>
      </c>
      <c r="D8693" s="12" t="str">
        <f ca="1">IFERROR(__xludf.DUMMYFUNCTION("""COMPUTED_VALUE"""),"村上 浩一朗")</f>
        <v>村上 浩一朗</v>
      </c>
    </row>
    <row r="8694" spans="2:4" ht="13">
      <c r="B8694" s="12">
        <f ca="1">IFERROR(__xludf.DUMMYFUNCTION("""COMPUTED_VALUE"""),3101926)</f>
        <v>3101926</v>
      </c>
      <c r="C8694" s="14">
        <f ca="1">IFERROR(__xludf.DUMMYFUNCTION("""COMPUTED_VALUE"""),116)</f>
        <v>116</v>
      </c>
      <c r="D8694" s="12" t="str">
        <f ca="1">IFERROR(__xludf.DUMMYFUNCTION("""COMPUTED_VALUE"""),"桑原 明子")</f>
        <v>桑原 明子</v>
      </c>
    </row>
    <row r="8695" spans="2:4" ht="13">
      <c r="B8695" s="12">
        <f ca="1">IFERROR(__xludf.DUMMYFUNCTION("""COMPUTED_VALUE"""),3101928)</f>
        <v>3101928</v>
      </c>
      <c r="C8695" s="14">
        <f ca="1">IFERROR(__xludf.DUMMYFUNCTION("""COMPUTED_VALUE"""),62)</f>
        <v>62</v>
      </c>
      <c r="D8695" s="12" t="str">
        <f ca="1">IFERROR(__xludf.DUMMYFUNCTION("""COMPUTED_VALUE"""),"桑原 明子")</f>
        <v>桑原 明子</v>
      </c>
    </row>
    <row r="8696" spans="2:4" ht="13">
      <c r="B8696" s="12">
        <f ca="1">IFERROR(__xludf.DUMMYFUNCTION("""COMPUTED_VALUE"""),3101936)</f>
        <v>3101936</v>
      </c>
      <c r="C8696" s="14">
        <f ca="1">IFERROR(__xludf.DUMMYFUNCTION("""COMPUTED_VALUE"""),4)</f>
        <v>4</v>
      </c>
      <c r="D8696" s="12" t="str">
        <f ca="1">IFERROR(__xludf.DUMMYFUNCTION("""COMPUTED_VALUE"""),"長谷川 陸朗")</f>
        <v>長谷川 陸朗</v>
      </c>
    </row>
    <row r="8697" spans="2:4" ht="13">
      <c r="B8697" s="12">
        <f ca="1">IFERROR(__xludf.DUMMYFUNCTION("""COMPUTED_VALUE"""),3101949)</f>
        <v>3101949</v>
      </c>
      <c r="C8697" s="14">
        <f ca="1">IFERROR(__xludf.DUMMYFUNCTION("""COMPUTED_VALUE"""),2)</f>
        <v>2</v>
      </c>
      <c r="D8697" s="12" t="str">
        <f ca="1">IFERROR(__xludf.DUMMYFUNCTION("""COMPUTED_VALUE"""),"老田 純輝")</f>
        <v>老田 純輝</v>
      </c>
    </row>
    <row r="8698" spans="2:4" ht="13">
      <c r="B8698" s="12">
        <f ca="1">IFERROR(__xludf.DUMMYFUNCTION("""COMPUTED_VALUE"""),3101974)</f>
        <v>3101974</v>
      </c>
      <c r="C8698" s="14">
        <f ca="1">IFERROR(__xludf.DUMMYFUNCTION("""COMPUTED_VALUE"""),0)</f>
        <v>0</v>
      </c>
      <c r="D8698" s="12" t="str">
        <f ca="1">IFERROR(__xludf.DUMMYFUNCTION("""COMPUTED_VALUE"""),"小川 純")</f>
        <v>小川 純</v>
      </c>
    </row>
    <row r="8699" spans="2:4" ht="13">
      <c r="B8699" s="12">
        <f ca="1">IFERROR(__xludf.DUMMYFUNCTION("""COMPUTED_VALUE"""),3101986)</f>
        <v>3101986</v>
      </c>
      <c r="C8699" s="14">
        <f ca="1">IFERROR(__xludf.DUMMYFUNCTION("""COMPUTED_VALUE"""),59)</f>
        <v>59</v>
      </c>
      <c r="D8699" s="12" t="str">
        <f ca="1">IFERROR(__xludf.DUMMYFUNCTION("""COMPUTED_VALUE"""),"渋谷 雄大")</f>
        <v>渋谷 雄大</v>
      </c>
    </row>
    <row r="8700" spans="2:4" ht="13">
      <c r="B8700" s="12">
        <f ca="1">IFERROR(__xludf.DUMMYFUNCTION("""COMPUTED_VALUE"""),3101992)</f>
        <v>3101992</v>
      </c>
      <c r="C8700" s="14">
        <f ca="1">IFERROR(__xludf.DUMMYFUNCTION("""COMPUTED_VALUE"""),38)</f>
        <v>38</v>
      </c>
      <c r="D8700" s="12" t="str">
        <f ca="1">IFERROR(__xludf.DUMMYFUNCTION("""COMPUTED_VALUE"""),"川島 幹也")</f>
        <v>川島 幹也</v>
      </c>
    </row>
    <row r="8701" spans="2:4" ht="13">
      <c r="B8701" s="12">
        <f ca="1">IFERROR(__xludf.DUMMYFUNCTION("""COMPUTED_VALUE"""),3101993)</f>
        <v>3101993</v>
      </c>
      <c r="C8701" s="14">
        <f ca="1">IFERROR(__xludf.DUMMYFUNCTION("""COMPUTED_VALUE"""),28)</f>
        <v>28</v>
      </c>
      <c r="D8701" s="12" t="str">
        <f ca="1">IFERROR(__xludf.DUMMYFUNCTION("""COMPUTED_VALUE"""),"川島 幹也")</f>
        <v>川島 幹也</v>
      </c>
    </row>
    <row r="8702" spans="2:4" ht="13">
      <c r="B8702" s="12">
        <f ca="1">IFERROR(__xludf.DUMMYFUNCTION("""COMPUTED_VALUE"""),3101994)</f>
        <v>3101994</v>
      </c>
      <c r="C8702" s="14">
        <f ca="1">IFERROR(__xludf.DUMMYFUNCTION("""COMPUTED_VALUE"""),7)</f>
        <v>7</v>
      </c>
      <c r="D8702" s="12" t="str">
        <f ca="1">IFERROR(__xludf.DUMMYFUNCTION("""COMPUTED_VALUE"""),"川島 幹也")</f>
        <v>川島 幹也</v>
      </c>
    </row>
    <row r="8703" spans="2:4" ht="13">
      <c r="B8703" s="12">
        <f ca="1">IFERROR(__xludf.DUMMYFUNCTION("""COMPUTED_VALUE"""),3102010)</f>
        <v>3102010</v>
      </c>
      <c r="C8703" s="14">
        <f ca="1">IFERROR(__xludf.DUMMYFUNCTION("""COMPUTED_VALUE"""),13)</f>
        <v>13</v>
      </c>
      <c r="D8703" s="12" t="str">
        <f ca="1">IFERROR(__xludf.DUMMYFUNCTION("""COMPUTED_VALUE"""),"村上 浩一朗")</f>
        <v>村上 浩一朗</v>
      </c>
    </row>
    <row r="8704" spans="2:4" ht="13">
      <c r="B8704" s="12">
        <f ca="1">IFERROR(__xludf.DUMMYFUNCTION("""COMPUTED_VALUE"""),3102019)</f>
        <v>3102019</v>
      </c>
      <c r="C8704" s="14">
        <f ca="1">IFERROR(__xludf.DUMMYFUNCTION("""COMPUTED_VALUE"""),39)</f>
        <v>39</v>
      </c>
      <c r="D8704" s="12" t="str">
        <f ca="1">IFERROR(__xludf.DUMMYFUNCTION("""COMPUTED_VALUE"""),"菅野 ぎんが")</f>
        <v>菅野 ぎんが</v>
      </c>
    </row>
    <row r="8705" spans="2:4" ht="13">
      <c r="B8705" s="12">
        <f ca="1">IFERROR(__xludf.DUMMYFUNCTION("""COMPUTED_VALUE"""),3102020)</f>
        <v>3102020</v>
      </c>
      <c r="C8705" s="14">
        <f ca="1">IFERROR(__xludf.DUMMYFUNCTION("""COMPUTED_VALUE"""),9)</f>
        <v>9</v>
      </c>
      <c r="D8705" s="12" t="str">
        <f ca="1">IFERROR(__xludf.DUMMYFUNCTION("""COMPUTED_VALUE"""),"老田 純輝")</f>
        <v>老田 純輝</v>
      </c>
    </row>
    <row r="8706" spans="2:4" ht="13">
      <c r="B8706" s="12">
        <f ca="1">IFERROR(__xludf.DUMMYFUNCTION("""COMPUTED_VALUE"""),3102033)</f>
        <v>3102033</v>
      </c>
      <c r="C8706" s="14">
        <f ca="1">IFERROR(__xludf.DUMMYFUNCTION("""COMPUTED_VALUE"""),134)</f>
        <v>134</v>
      </c>
      <c r="D8706" s="12" t="str">
        <f ca="1">IFERROR(__xludf.DUMMYFUNCTION("""COMPUTED_VALUE"""),"荻曽 克輝")</f>
        <v>荻曽 克輝</v>
      </c>
    </row>
    <row r="8707" spans="2:4" ht="13">
      <c r="B8707" s="12">
        <f ca="1">IFERROR(__xludf.DUMMYFUNCTION("""COMPUTED_VALUE"""),3102038)</f>
        <v>3102038</v>
      </c>
      <c r="C8707" s="14">
        <f ca="1">IFERROR(__xludf.DUMMYFUNCTION("""COMPUTED_VALUE"""),2)</f>
        <v>2</v>
      </c>
      <c r="D8707" s="12" t="str">
        <f ca="1">IFERROR(__xludf.DUMMYFUNCTION("""COMPUTED_VALUE"""),"老田 純輝")</f>
        <v>老田 純輝</v>
      </c>
    </row>
    <row r="8708" spans="2:4" ht="13">
      <c r="B8708" s="12">
        <f ca="1">IFERROR(__xludf.DUMMYFUNCTION("""COMPUTED_VALUE"""),3102042)</f>
        <v>3102042</v>
      </c>
      <c r="C8708" s="14">
        <f ca="1">IFERROR(__xludf.DUMMYFUNCTION("""COMPUTED_VALUE"""),0)</f>
        <v>0</v>
      </c>
      <c r="D8708" s="12" t="str">
        <f ca="1">IFERROR(__xludf.DUMMYFUNCTION("""COMPUTED_VALUE"""),"老田 純輝")</f>
        <v>老田 純輝</v>
      </c>
    </row>
    <row r="8709" spans="2:4" ht="13">
      <c r="B8709" s="12">
        <f ca="1">IFERROR(__xludf.DUMMYFUNCTION("""COMPUTED_VALUE"""),3102043)</f>
        <v>3102043</v>
      </c>
      <c r="C8709" s="14">
        <f ca="1">IFERROR(__xludf.DUMMYFUNCTION("""COMPUTED_VALUE"""),119)</f>
        <v>119</v>
      </c>
      <c r="D8709" s="12" t="str">
        <f ca="1">IFERROR(__xludf.DUMMYFUNCTION("""COMPUTED_VALUE"""),"堀越 駿")</f>
        <v>堀越 駿</v>
      </c>
    </row>
    <row r="8710" spans="2:4" ht="13">
      <c r="B8710" s="12">
        <f ca="1">IFERROR(__xludf.DUMMYFUNCTION("""COMPUTED_VALUE"""),3102053)</f>
        <v>3102053</v>
      </c>
      <c r="C8710" s="14">
        <f ca="1">IFERROR(__xludf.DUMMYFUNCTION("""COMPUTED_VALUE"""),187)</f>
        <v>187</v>
      </c>
      <c r="D8710" s="12" t="str">
        <f ca="1">IFERROR(__xludf.DUMMYFUNCTION("""COMPUTED_VALUE"""),"成嶋 夏未")</f>
        <v>成嶋 夏未</v>
      </c>
    </row>
    <row r="8711" spans="2:4" ht="13">
      <c r="B8711" s="12">
        <f ca="1">IFERROR(__xludf.DUMMYFUNCTION("""COMPUTED_VALUE"""),3102071)</f>
        <v>3102071</v>
      </c>
      <c r="C8711" s="14">
        <f ca="1">IFERROR(__xludf.DUMMYFUNCTION("""COMPUTED_VALUE"""),0)</f>
        <v>0</v>
      </c>
      <c r="D8711" s="12" t="str">
        <f ca="1">IFERROR(__xludf.DUMMYFUNCTION("""COMPUTED_VALUE"""),"荻曽 克輝")</f>
        <v>荻曽 克輝</v>
      </c>
    </row>
    <row r="8712" spans="2:4" ht="13">
      <c r="B8712" s="12">
        <f ca="1">IFERROR(__xludf.DUMMYFUNCTION("""COMPUTED_VALUE"""),3102075)</f>
        <v>3102075</v>
      </c>
      <c r="C8712" s="14">
        <f ca="1">IFERROR(__xludf.DUMMYFUNCTION("""COMPUTED_VALUE"""),0)</f>
        <v>0</v>
      </c>
      <c r="D8712" s="12" t="str">
        <f ca="1">IFERROR(__xludf.DUMMYFUNCTION("""COMPUTED_VALUE"""),"栗原 大武")</f>
        <v>栗原 大武</v>
      </c>
    </row>
    <row r="8713" spans="2:4" ht="13">
      <c r="B8713" s="12">
        <f ca="1">IFERROR(__xludf.DUMMYFUNCTION("""COMPUTED_VALUE"""),3102082)</f>
        <v>3102082</v>
      </c>
      <c r="C8713" s="14">
        <f ca="1">IFERROR(__xludf.DUMMYFUNCTION("""COMPUTED_VALUE"""),3)</f>
        <v>3</v>
      </c>
      <c r="D8713" s="12" t="str">
        <f ca="1">IFERROR(__xludf.DUMMYFUNCTION("""COMPUTED_VALUE"""),"小川 純")</f>
        <v>小川 純</v>
      </c>
    </row>
    <row r="8714" spans="2:4" ht="13">
      <c r="B8714" s="12">
        <f ca="1">IFERROR(__xludf.DUMMYFUNCTION("""COMPUTED_VALUE"""),3102092)</f>
        <v>3102092</v>
      </c>
      <c r="C8714" s="14">
        <f ca="1">IFERROR(__xludf.DUMMYFUNCTION("""COMPUTED_VALUE"""),5)</f>
        <v>5</v>
      </c>
      <c r="D8714" s="12" t="str">
        <f ca="1">IFERROR(__xludf.DUMMYFUNCTION("""COMPUTED_VALUE"""),"長谷川 陸朗")</f>
        <v>長谷川 陸朗</v>
      </c>
    </row>
    <row r="8715" spans="2:4" ht="13">
      <c r="B8715" s="12">
        <f ca="1">IFERROR(__xludf.DUMMYFUNCTION("""COMPUTED_VALUE"""),3102098)</f>
        <v>3102098</v>
      </c>
      <c r="C8715" s="14">
        <f ca="1">IFERROR(__xludf.DUMMYFUNCTION("""COMPUTED_VALUE"""),0)</f>
        <v>0</v>
      </c>
      <c r="D8715" s="12" t="str">
        <f ca="1">IFERROR(__xludf.DUMMYFUNCTION("""COMPUTED_VALUE"""),"大木 優香")</f>
        <v>大木 優香</v>
      </c>
    </row>
    <row r="8716" spans="2:4" ht="13">
      <c r="B8716" s="12">
        <f ca="1">IFERROR(__xludf.DUMMYFUNCTION("""COMPUTED_VALUE"""),3102101)</f>
        <v>3102101</v>
      </c>
      <c r="C8716" s="14">
        <f ca="1">IFERROR(__xludf.DUMMYFUNCTION("""COMPUTED_VALUE"""),26)</f>
        <v>26</v>
      </c>
      <c r="D8716" s="12" t="str">
        <f ca="1">IFERROR(__xludf.DUMMYFUNCTION("""COMPUTED_VALUE"""),"内丸 裕子")</f>
        <v>内丸 裕子</v>
      </c>
    </row>
    <row r="8717" spans="2:4" ht="13">
      <c r="B8717" s="12">
        <f ca="1">IFERROR(__xludf.DUMMYFUNCTION("""COMPUTED_VALUE"""),3102136)</f>
        <v>3102136</v>
      </c>
      <c r="C8717" s="14">
        <f ca="1">IFERROR(__xludf.DUMMYFUNCTION("""COMPUTED_VALUE"""),12)</f>
        <v>12</v>
      </c>
      <c r="D8717" s="12" t="str">
        <f ca="1">IFERROR(__xludf.DUMMYFUNCTION("""COMPUTED_VALUE"""),"内丸 裕子")</f>
        <v>内丸 裕子</v>
      </c>
    </row>
    <row r="8718" spans="2:4" ht="13">
      <c r="B8718" s="12">
        <f ca="1">IFERROR(__xludf.DUMMYFUNCTION("""COMPUTED_VALUE"""),3102137)</f>
        <v>3102137</v>
      </c>
      <c r="C8718" s="14">
        <f ca="1">IFERROR(__xludf.DUMMYFUNCTION("""COMPUTED_VALUE"""),6)</f>
        <v>6</v>
      </c>
      <c r="D8718" s="12" t="str">
        <f ca="1">IFERROR(__xludf.DUMMYFUNCTION("""COMPUTED_VALUE"""),"内丸 裕子")</f>
        <v>内丸 裕子</v>
      </c>
    </row>
    <row r="8719" spans="2:4" ht="13">
      <c r="B8719" s="12">
        <f ca="1">IFERROR(__xludf.DUMMYFUNCTION("""COMPUTED_VALUE"""),3102153)</f>
        <v>3102153</v>
      </c>
      <c r="C8719" s="14">
        <f ca="1">IFERROR(__xludf.DUMMYFUNCTION("""COMPUTED_VALUE"""),93)</f>
        <v>93</v>
      </c>
      <c r="D8719" s="12" t="str">
        <f ca="1">IFERROR(__xludf.DUMMYFUNCTION("""COMPUTED_VALUE"""),"荻曽 克輝")</f>
        <v>荻曽 克輝</v>
      </c>
    </row>
    <row r="8720" spans="2:4" ht="13">
      <c r="B8720" s="12">
        <f ca="1">IFERROR(__xludf.DUMMYFUNCTION("""COMPUTED_VALUE"""),3102167)</f>
        <v>3102167</v>
      </c>
      <c r="C8720" s="14">
        <f ca="1">IFERROR(__xludf.DUMMYFUNCTION("""COMPUTED_VALUE"""),3)</f>
        <v>3</v>
      </c>
      <c r="D8720" s="12" t="str">
        <f ca="1">IFERROR(__xludf.DUMMYFUNCTION("""COMPUTED_VALUE"""),"森 光智")</f>
        <v>森 光智</v>
      </c>
    </row>
    <row r="8721" spans="2:4" ht="13">
      <c r="B8721" s="12">
        <f ca="1">IFERROR(__xludf.DUMMYFUNCTION("""COMPUTED_VALUE"""),3102169)</f>
        <v>3102169</v>
      </c>
      <c r="C8721" s="14">
        <f ca="1">IFERROR(__xludf.DUMMYFUNCTION("""COMPUTED_VALUE"""),1)</f>
        <v>1</v>
      </c>
      <c r="D8721" s="12" t="str">
        <f ca="1">IFERROR(__xludf.DUMMYFUNCTION("""COMPUTED_VALUE"""),"老田 純輝")</f>
        <v>老田 純輝</v>
      </c>
    </row>
    <row r="8722" spans="2:4" ht="13">
      <c r="B8722" s="12">
        <f ca="1">IFERROR(__xludf.DUMMYFUNCTION("""COMPUTED_VALUE"""),3102179)</f>
        <v>3102179</v>
      </c>
      <c r="C8722" s="14">
        <f ca="1">IFERROR(__xludf.DUMMYFUNCTION("""COMPUTED_VALUE"""),0)</f>
        <v>0</v>
      </c>
      <c r="D8722" s="12" t="str">
        <f ca="1">IFERROR(__xludf.DUMMYFUNCTION("""COMPUTED_VALUE"""),"菅野 ぎんが")</f>
        <v>菅野 ぎんが</v>
      </c>
    </row>
    <row r="8723" spans="2:4" ht="13">
      <c r="B8723" s="12">
        <f ca="1">IFERROR(__xludf.DUMMYFUNCTION("""COMPUTED_VALUE"""),3102180)</f>
        <v>3102180</v>
      </c>
      <c r="C8723" s="14">
        <f ca="1">IFERROR(__xludf.DUMMYFUNCTION("""COMPUTED_VALUE"""),8)</f>
        <v>8</v>
      </c>
      <c r="D8723" s="12" t="str">
        <f ca="1">IFERROR(__xludf.DUMMYFUNCTION("""COMPUTED_VALUE"""),"老田 純輝")</f>
        <v>老田 純輝</v>
      </c>
    </row>
    <row r="8724" spans="2:4" ht="13">
      <c r="B8724" s="12">
        <f ca="1">IFERROR(__xludf.DUMMYFUNCTION("""COMPUTED_VALUE"""),3102181)</f>
        <v>3102181</v>
      </c>
      <c r="C8724" s="14">
        <f ca="1">IFERROR(__xludf.DUMMYFUNCTION("""COMPUTED_VALUE"""),84)</f>
        <v>84</v>
      </c>
      <c r="D8724" s="12" t="str">
        <f ca="1">IFERROR(__xludf.DUMMYFUNCTION("""COMPUTED_VALUE"""),"内丸 裕子")</f>
        <v>内丸 裕子</v>
      </c>
    </row>
    <row r="8725" spans="2:4" ht="13">
      <c r="B8725" s="12">
        <f ca="1">IFERROR(__xludf.DUMMYFUNCTION("""COMPUTED_VALUE"""),3102196)</f>
        <v>3102196</v>
      </c>
      <c r="C8725" s="14">
        <f ca="1">IFERROR(__xludf.DUMMYFUNCTION("""COMPUTED_VALUE"""),99)</f>
        <v>99</v>
      </c>
      <c r="D8725" s="12" t="str">
        <f ca="1">IFERROR(__xludf.DUMMYFUNCTION("""COMPUTED_VALUE"""),"小川 純")</f>
        <v>小川 純</v>
      </c>
    </row>
    <row r="8726" spans="2:4" ht="13">
      <c r="B8726" s="12">
        <f ca="1">IFERROR(__xludf.DUMMYFUNCTION("""COMPUTED_VALUE"""),3102197)</f>
        <v>3102197</v>
      </c>
      <c r="C8726" s="14">
        <f ca="1">IFERROR(__xludf.DUMMYFUNCTION("""COMPUTED_VALUE"""),2)</f>
        <v>2</v>
      </c>
      <c r="D8726" s="12" t="str">
        <f ca="1">IFERROR(__xludf.DUMMYFUNCTION("""COMPUTED_VALUE"""),"小川 純")</f>
        <v>小川 純</v>
      </c>
    </row>
    <row r="8727" spans="2:4" ht="13">
      <c r="B8727" s="12">
        <f ca="1">IFERROR(__xludf.DUMMYFUNCTION("""COMPUTED_VALUE"""),3102206)</f>
        <v>3102206</v>
      </c>
      <c r="C8727" s="14">
        <f ca="1">IFERROR(__xludf.DUMMYFUNCTION("""COMPUTED_VALUE"""),0)</f>
        <v>0</v>
      </c>
      <c r="D8727" s="12" t="str">
        <f ca="1">IFERROR(__xludf.DUMMYFUNCTION("""COMPUTED_VALUE"""),"小関 麻起")</f>
        <v>小関 麻起</v>
      </c>
    </row>
    <row r="8728" spans="2:4" ht="13">
      <c r="B8728" s="12">
        <f ca="1">IFERROR(__xludf.DUMMYFUNCTION("""COMPUTED_VALUE"""),3102208)</f>
        <v>3102208</v>
      </c>
      <c r="C8728" s="14">
        <f ca="1">IFERROR(__xludf.DUMMYFUNCTION("""COMPUTED_VALUE"""),0)</f>
        <v>0</v>
      </c>
      <c r="D8728" s="12" t="str">
        <f ca="1">IFERROR(__xludf.DUMMYFUNCTION("""COMPUTED_VALUE"""),"小関 麻起")</f>
        <v>小関 麻起</v>
      </c>
    </row>
    <row r="8729" spans="2:4" ht="13">
      <c r="B8729" s="12">
        <f ca="1">IFERROR(__xludf.DUMMYFUNCTION("""COMPUTED_VALUE"""),3102210)</f>
        <v>3102210</v>
      </c>
      <c r="C8729" s="14">
        <f ca="1">IFERROR(__xludf.DUMMYFUNCTION("""COMPUTED_VALUE"""),21)</f>
        <v>21</v>
      </c>
      <c r="D8729" s="12" t="str">
        <f ca="1">IFERROR(__xludf.DUMMYFUNCTION("""COMPUTED_VALUE"""),"大木 優香")</f>
        <v>大木 優香</v>
      </c>
    </row>
    <row r="8730" spans="2:4" ht="13">
      <c r="B8730" s="12">
        <f ca="1">IFERROR(__xludf.DUMMYFUNCTION("""COMPUTED_VALUE"""),3102212)</f>
        <v>3102212</v>
      </c>
      <c r="C8730" s="14">
        <f ca="1">IFERROR(__xludf.DUMMYFUNCTION("""COMPUTED_VALUE"""),16)</f>
        <v>16</v>
      </c>
      <c r="D8730" s="12" t="str">
        <f ca="1">IFERROR(__xludf.DUMMYFUNCTION("""COMPUTED_VALUE"""),"稲場 勇介")</f>
        <v>稲場 勇介</v>
      </c>
    </row>
    <row r="8731" spans="2:4" ht="13">
      <c r="B8731" s="12">
        <f ca="1">IFERROR(__xludf.DUMMYFUNCTION("""COMPUTED_VALUE"""),3102217)</f>
        <v>3102217</v>
      </c>
      <c r="C8731" s="14">
        <f ca="1">IFERROR(__xludf.DUMMYFUNCTION("""COMPUTED_VALUE"""),6)</f>
        <v>6</v>
      </c>
      <c r="D8731" s="12" t="str">
        <f ca="1">IFERROR(__xludf.DUMMYFUNCTION("""COMPUTED_VALUE"""),"内丸 裕子")</f>
        <v>内丸 裕子</v>
      </c>
    </row>
    <row r="8732" spans="2:4" ht="13">
      <c r="B8732" s="12">
        <f ca="1">IFERROR(__xludf.DUMMYFUNCTION("""COMPUTED_VALUE"""),3102219)</f>
        <v>3102219</v>
      </c>
      <c r="C8732" s="14">
        <f ca="1">IFERROR(__xludf.DUMMYFUNCTION("""COMPUTED_VALUE"""),70)</f>
        <v>70</v>
      </c>
      <c r="D8732" s="12" t="str">
        <f ca="1">IFERROR(__xludf.DUMMYFUNCTION("""COMPUTED_VALUE"""),"内丸 裕子")</f>
        <v>内丸 裕子</v>
      </c>
    </row>
    <row r="8733" spans="2:4" ht="13">
      <c r="B8733" s="12">
        <f ca="1">IFERROR(__xludf.DUMMYFUNCTION("""COMPUTED_VALUE"""),3102224)</f>
        <v>3102224</v>
      </c>
      <c r="C8733" s="14">
        <f ca="1">IFERROR(__xludf.DUMMYFUNCTION("""COMPUTED_VALUE"""),0)</f>
        <v>0</v>
      </c>
      <c r="D8733" s="12" t="str">
        <f ca="1">IFERROR(__xludf.DUMMYFUNCTION("""COMPUTED_VALUE"""),"荻曽 克輝")</f>
        <v>荻曽 克輝</v>
      </c>
    </row>
    <row r="8734" spans="2:4" ht="13">
      <c r="B8734" s="12">
        <f ca="1">IFERROR(__xludf.DUMMYFUNCTION("""COMPUTED_VALUE"""),3102246)</f>
        <v>3102246</v>
      </c>
      <c r="C8734" s="14">
        <f ca="1">IFERROR(__xludf.DUMMYFUNCTION("""COMPUTED_VALUE"""),17)</f>
        <v>17</v>
      </c>
      <c r="D8734" s="12" t="str">
        <f ca="1">IFERROR(__xludf.DUMMYFUNCTION("""COMPUTED_VALUE"""),"長谷川 陸朗")</f>
        <v>長谷川 陸朗</v>
      </c>
    </row>
    <row r="8735" spans="2:4" ht="13">
      <c r="B8735" s="12">
        <f ca="1">IFERROR(__xludf.DUMMYFUNCTION("""COMPUTED_VALUE"""),3102247)</f>
        <v>3102247</v>
      </c>
      <c r="C8735" s="14">
        <f ca="1">IFERROR(__xludf.DUMMYFUNCTION("""COMPUTED_VALUE"""),13)</f>
        <v>13</v>
      </c>
      <c r="D8735" s="12" t="str">
        <f ca="1">IFERROR(__xludf.DUMMYFUNCTION("""COMPUTED_VALUE"""),"長谷川 陸朗")</f>
        <v>長谷川 陸朗</v>
      </c>
    </row>
    <row r="8736" spans="2:4" ht="13">
      <c r="B8736" s="12">
        <f ca="1">IFERROR(__xludf.DUMMYFUNCTION("""COMPUTED_VALUE"""),3102249)</f>
        <v>3102249</v>
      </c>
      <c r="C8736" s="14">
        <f ca="1">IFERROR(__xludf.DUMMYFUNCTION("""COMPUTED_VALUE"""),1)</f>
        <v>1</v>
      </c>
      <c r="D8736" s="12" t="str">
        <f ca="1">IFERROR(__xludf.DUMMYFUNCTION("""COMPUTED_VALUE"""),"長谷川 陸朗")</f>
        <v>長谷川 陸朗</v>
      </c>
    </row>
    <row r="8737" spans="2:4" ht="13">
      <c r="B8737" s="12">
        <f ca="1">IFERROR(__xludf.DUMMYFUNCTION("""COMPUTED_VALUE"""),3102250)</f>
        <v>3102250</v>
      </c>
      <c r="C8737" s="14">
        <f ca="1">IFERROR(__xludf.DUMMYFUNCTION("""COMPUTED_VALUE"""),1)</f>
        <v>1</v>
      </c>
      <c r="D8737" s="12" t="str">
        <f ca="1">IFERROR(__xludf.DUMMYFUNCTION("""COMPUTED_VALUE"""),"小関 麻起")</f>
        <v>小関 麻起</v>
      </c>
    </row>
    <row r="8738" spans="2:4" ht="13">
      <c r="B8738" s="12">
        <f ca="1">IFERROR(__xludf.DUMMYFUNCTION("""COMPUTED_VALUE"""),3102251)</f>
        <v>3102251</v>
      </c>
      <c r="C8738" s="14">
        <f ca="1">IFERROR(__xludf.DUMMYFUNCTION("""COMPUTED_VALUE"""),1)</f>
        <v>1</v>
      </c>
      <c r="D8738" s="12" t="str">
        <f ca="1">IFERROR(__xludf.DUMMYFUNCTION("""COMPUTED_VALUE"""),"松尾 尚樹")</f>
        <v>松尾 尚樹</v>
      </c>
    </row>
    <row r="8739" spans="2:4" ht="13">
      <c r="B8739" s="12">
        <f ca="1">IFERROR(__xludf.DUMMYFUNCTION("""COMPUTED_VALUE"""),3102252)</f>
        <v>3102252</v>
      </c>
      <c r="C8739" s="14">
        <f ca="1">IFERROR(__xludf.DUMMYFUNCTION("""COMPUTED_VALUE"""),25)</f>
        <v>25</v>
      </c>
      <c r="D8739" s="12" t="str">
        <f ca="1">IFERROR(__xludf.DUMMYFUNCTION("""COMPUTED_VALUE"""),"稲場 勇介")</f>
        <v>稲場 勇介</v>
      </c>
    </row>
    <row r="8740" spans="2:4" ht="13">
      <c r="B8740" s="12">
        <f ca="1">IFERROR(__xludf.DUMMYFUNCTION("""COMPUTED_VALUE"""),3102261)</f>
        <v>3102261</v>
      </c>
      <c r="C8740" s="14">
        <f ca="1">IFERROR(__xludf.DUMMYFUNCTION("""COMPUTED_VALUE"""),67)</f>
        <v>67</v>
      </c>
      <c r="D8740" s="12" t="str">
        <f ca="1">IFERROR(__xludf.DUMMYFUNCTION("""COMPUTED_VALUE"""),"内丸 裕子")</f>
        <v>内丸 裕子</v>
      </c>
    </row>
    <row r="8741" spans="2:4" ht="13">
      <c r="B8741" s="12">
        <f ca="1">IFERROR(__xludf.DUMMYFUNCTION("""COMPUTED_VALUE"""),3102262)</f>
        <v>3102262</v>
      </c>
      <c r="C8741" s="14">
        <f ca="1">IFERROR(__xludf.DUMMYFUNCTION("""COMPUTED_VALUE"""),8)</f>
        <v>8</v>
      </c>
      <c r="D8741" s="12" t="str">
        <f ca="1">IFERROR(__xludf.DUMMYFUNCTION("""COMPUTED_VALUE"""),"内丸 裕子")</f>
        <v>内丸 裕子</v>
      </c>
    </row>
    <row r="8742" spans="2:4" ht="13">
      <c r="B8742" s="12">
        <f ca="1">IFERROR(__xludf.DUMMYFUNCTION("""COMPUTED_VALUE"""),3102263)</f>
        <v>3102263</v>
      </c>
      <c r="C8742" s="14">
        <f ca="1">IFERROR(__xludf.DUMMYFUNCTION("""COMPUTED_VALUE"""),12)</f>
        <v>12</v>
      </c>
      <c r="D8742" s="12" t="str">
        <f ca="1">IFERROR(__xludf.DUMMYFUNCTION("""COMPUTED_VALUE"""),"内丸 裕子")</f>
        <v>内丸 裕子</v>
      </c>
    </row>
    <row r="8743" spans="2:4" ht="13">
      <c r="B8743" s="12">
        <f ca="1">IFERROR(__xludf.DUMMYFUNCTION("""COMPUTED_VALUE"""),3102285)</f>
        <v>3102285</v>
      </c>
      <c r="C8743" s="14">
        <f ca="1">IFERROR(__xludf.DUMMYFUNCTION("""COMPUTED_VALUE"""),2)</f>
        <v>2</v>
      </c>
      <c r="D8743" s="12" t="str">
        <f ca="1">IFERROR(__xludf.DUMMYFUNCTION("""COMPUTED_VALUE"""),"老田 純輝")</f>
        <v>老田 純輝</v>
      </c>
    </row>
    <row r="8744" spans="2:4" ht="13">
      <c r="B8744" s="12">
        <f ca="1">IFERROR(__xludf.DUMMYFUNCTION("""COMPUTED_VALUE"""),3102286)</f>
        <v>3102286</v>
      </c>
      <c r="C8744" s="14">
        <f ca="1">IFERROR(__xludf.DUMMYFUNCTION("""COMPUTED_VALUE"""),7)</f>
        <v>7</v>
      </c>
      <c r="D8744" s="12" t="str">
        <f ca="1">IFERROR(__xludf.DUMMYFUNCTION("""COMPUTED_VALUE"""),"長谷川 陸朗")</f>
        <v>長谷川 陸朗</v>
      </c>
    </row>
    <row r="8745" spans="2:4" ht="13">
      <c r="B8745" s="12">
        <f ca="1">IFERROR(__xludf.DUMMYFUNCTION("""COMPUTED_VALUE"""),3102292)</f>
        <v>3102292</v>
      </c>
      <c r="C8745" s="14">
        <f ca="1">IFERROR(__xludf.DUMMYFUNCTION("""COMPUTED_VALUE"""),0)</f>
        <v>0</v>
      </c>
      <c r="D8745" s="12" t="str">
        <f ca="1">IFERROR(__xludf.DUMMYFUNCTION("""COMPUTED_VALUE"""),"成嶋 夏未")</f>
        <v>成嶋 夏未</v>
      </c>
    </row>
    <row r="8746" spans="2:4" ht="13">
      <c r="B8746" s="12">
        <f ca="1">IFERROR(__xludf.DUMMYFUNCTION("""COMPUTED_VALUE"""),3102293)</f>
        <v>3102293</v>
      </c>
      <c r="C8746" s="14">
        <f ca="1">IFERROR(__xludf.DUMMYFUNCTION("""COMPUTED_VALUE"""),0)</f>
        <v>0</v>
      </c>
      <c r="D8746" s="12" t="str">
        <f ca="1">IFERROR(__xludf.DUMMYFUNCTION("""COMPUTED_VALUE"""),"菅野 ぎんが")</f>
        <v>菅野 ぎんが</v>
      </c>
    </row>
    <row r="8747" spans="2:4" ht="13">
      <c r="B8747" s="12">
        <f ca="1">IFERROR(__xludf.DUMMYFUNCTION("""COMPUTED_VALUE"""),3102305)</f>
        <v>3102305</v>
      </c>
      <c r="C8747" s="14">
        <f ca="1">IFERROR(__xludf.DUMMYFUNCTION("""COMPUTED_VALUE"""),5)</f>
        <v>5</v>
      </c>
      <c r="D8747" s="12" t="str">
        <f ca="1">IFERROR(__xludf.DUMMYFUNCTION("""COMPUTED_VALUE"""),"桑原 明子")</f>
        <v>桑原 明子</v>
      </c>
    </row>
    <row r="8748" spans="2:4" ht="13">
      <c r="B8748" s="12">
        <f ca="1">IFERROR(__xludf.DUMMYFUNCTION("""COMPUTED_VALUE"""),3102316)</f>
        <v>3102316</v>
      </c>
      <c r="C8748" s="14">
        <f ca="1">IFERROR(__xludf.DUMMYFUNCTION("""COMPUTED_VALUE"""),1)</f>
        <v>1</v>
      </c>
      <c r="D8748" s="12" t="str">
        <f ca="1">IFERROR(__xludf.DUMMYFUNCTION("""COMPUTED_VALUE"""),"田嶋 将太")</f>
        <v>田嶋 将太</v>
      </c>
    </row>
    <row r="8749" spans="2:4" ht="13">
      <c r="B8749" s="12">
        <f ca="1">IFERROR(__xludf.DUMMYFUNCTION("""COMPUTED_VALUE"""),3102318)</f>
        <v>3102318</v>
      </c>
      <c r="C8749" s="14">
        <f ca="1">IFERROR(__xludf.DUMMYFUNCTION("""COMPUTED_VALUE"""),4)</f>
        <v>4</v>
      </c>
      <c r="D8749" s="12" t="str">
        <f ca="1">IFERROR(__xludf.DUMMYFUNCTION("""COMPUTED_VALUE"""),"川島 幹也")</f>
        <v>川島 幹也</v>
      </c>
    </row>
    <row r="8750" spans="2:4" ht="13">
      <c r="B8750" s="12">
        <f ca="1">IFERROR(__xludf.DUMMYFUNCTION("""COMPUTED_VALUE"""),3102320)</f>
        <v>3102320</v>
      </c>
      <c r="C8750" s="14">
        <f ca="1">IFERROR(__xludf.DUMMYFUNCTION("""COMPUTED_VALUE"""),64)</f>
        <v>64</v>
      </c>
      <c r="D8750" s="12" t="str">
        <f ca="1">IFERROR(__xludf.DUMMYFUNCTION("""COMPUTED_VALUE"""),"内丸 裕子")</f>
        <v>内丸 裕子</v>
      </c>
    </row>
    <row r="8751" spans="2:4" ht="13">
      <c r="B8751" s="12">
        <f ca="1">IFERROR(__xludf.DUMMYFUNCTION("""COMPUTED_VALUE"""),3102323)</f>
        <v>3102323</v>
      </c>
      <c r="C8751" s="14">
        <f ca="1">IFERROR(__xludf.DUMMYFUNCTION("""COMPUTED_VALUE"""),19)</f>
        <v>19</v>
      </c>
      <c r="D8751" s="12" t="str">
        <f ca="1">IFERROR(__xludf.DUMMYFUNCTION("""COMPUTED_VALUE"""),"荻曽 克輝")</f>
        <v>荻曽 克輝</v>
      </c>
    </row>
    <row r="8752" spans="2:4" ht="13">
      <c r="B8752" s="12">
        <f ca="1">IFERROR(__xludf.DUMMYFUNCTION("""COMPUTED_VALUE"""),3102327)</f>
        <v>3102327</v>
      </c>
      <c r="C8752" s="14">
        <f ca="1">IFERROR(__xludf.DUMMYFUNCTION("""COMPUTED_VALUE"""),17)</f>
        <v>17</v>
      </c>
      <c r="D8752" s="12" t="str">
        <f ca="1">IFERROR(__xludf.DUMMYFUNCTION("""COMPUTED_VALUE"""),"荻曽 克輝")</f>
        <v>荻曽 克輝</v>
      </c>
    </row>
    <row r="8753" spans="2:4" ht="13">
      <c r="B8753" s="12">
        <f ca="1">IFERROR(__xludf.DUMMYFUNCTION("""COMPUTED_VALUE"""),3102328)</f>
        <v>3102328</v>
      </c>
      <c r="C8753" s="14">
        <f ca="1">IFERROR(__xludf.DUMMYFUNCTION("""COMPUTED_VALUE"""),29)</f>
        <v>29</v>
      </c>
      <c r="D8753" s="12" t="str">
        <f ca="1">IFERROR(__xludf.DUMMYFUNCTION("""COMPUTED_VALUE"""),"荻曽 克輝")</f>
        <v>荻曽 克輝</v>
      </c>
    </row>
    <row r="8754" spans="2:4" ht="13">
      <c r="B8754" s="12">
        <f ca="1">IFERROR(__xludf.DUMMYFUNCTION("""COMPUTED_VALUE"""),3102329)</f>
        <v>3102329</v>
      </c>
      <c r="C8754" s="14">
        <f ca="1">IFERROR(__xludf.DUMMYFUNCTION("""COMPUTED_VALUE"""),1)</f>
        <v>1</v>
      </c>
      <c r="D8754" s="12" t="str">
        <f ca="1">IFERROR(__xludf.DUMMYFUNCTION("""COMPUTED_VALUE"""),"桑原 明子")</f>
        <v>桑原 明子</v>
      </c>
    </row>
    <row r="8755" spans="2:4" ht="13">
      <c r="B8755" s="12">
        <f ca="1">IFERROR(__xludf.DUMMYFUNCTION("""COMPUTED_VALUE"""),3102338)</f>
        <v>3102338</v>
      </c>
      <c r="C8755" s="14">
        <f ca="1">IFERROR(__xludf.DUMMYFUNCTION("""COMPUTED_VALUE"""),0)</f>
        <v>0</v>
      </c>
      <c r="D8755" s="12" t="str">
        <f ca="1">IFERROR(__xludf.DUMMYFUNCTION("""COMPUTED_VALUE"""),"菅野 ぎんが")</f>
        <v>菅野 ぎんが</v>
      </c>
    </row>
    <row r="8756" spans="2:4" ht="13">
      <c r="B8756" s="12">
        <f ca="1">IFERROR(__xludf.DUMMYFUNCTION("""COMPUTED_VALUE"""),3102339)</f>
        <v>3102339</v>
      </c>
      <c r="C8756" s="14">
        <f ca="1">IFERROR(__xludf.DUMMYFUNCTION("""COMPUTED_VALUE"""),19)</f>
        <v>19</v>
      </c>
      <c r="D8756" s="12" t="str">
        <f ca="1">IFERROR(__xludf.DUMMYFUNCTION("""COMPUTED_VALUE"""),"内丸 裕子")</f>
        <v>内丸 裕子</v>
      </c>
    </row>
    <row r="8757" spans="2:4" ht="13">
      <c r="B8757" s="12">
        <f ca="1">IFERROR(__xludf.DUMMYFUNCTION("""COMPUTED_VALUE"""),3102352)</f>
        <v>3102352</v>
      </c>
      <c r="C8757" s="14">
        <f ca="1">IFERROR(__xludf.DUMMYFUNCTION("""COMPUTED_VALUE"""),0)</f>
        <v>0</v>
      </c>
      <c r="D8757" s="12" t="str">
        <f ca="1">IFERROR(__xludf.DUMMYFUNCTION("""COMPUTED_VALUE"""),"荻曽 克輝")</f>
        <v>荻曽 克輝</v>
      </c>
    </row>
    <row r="8758" spans="2:4" ht="13">
      <c r="B8758" s="12">
        <f ca="1">IFERROR(__xludf.DUMMYFUNCTION("""COMPUTED_VALUE"""),3102355)</f>
        <v>3102355</v>
      </c>
      <c r="C8758" s="14">
        <f ca="1">IFERROR(__xludf.DUMMYFUNCTION("""COMPUTED_VALUE"""),0)</f>
        <v>0</v>
      </c>
      <c r="D8758" s="12" t="str">
        <f ca="1">IFERROR(__xludf.DUMMYFUNCTION("""COMPUTED_VALUE"""),"田嶋 将太")</f>
        <v>田嶋 将太</v>
      </c>
    </row>
    <row r="8759" spans="2:4" ht="13">
      <c r="B8759" s="12">
        <f ca="1">IFERROR(__xludf.DUMMYFUNCTION("""COMPUTED_VALUE"""),3102356)</f>
        <v>3102356</v>
      </c>
      <c r="C8759" s="14">
        <f ca="1">IFERROR(__xludf.DUMMYFUNCTION("""COMPUTED_VALUE"""),1)</f>
        <v>1</v>
      </c>
      <c r="D8759" s="12" t="str">
        <f ca="1">IFERROR(__xludf.DUMMYFUNCTION("""COMPUTED_VALUE"""),"堀越 駿")</f>
        <v>堀越 駿</v>
      </c>
    </row>
    <row r="8760" spans="2:4" ht="13">
      <c r="B8760" s="12">
        <f ca="1">IFERROR(__xludf.DUMMYFUNCTION("""COMPUTED_VALUE"""),3102357)</f>
        <v>3102357</v>
      </c>
      <c r="C8760" s="14">
        <f ca="1">IFERROR(__xludf.DUMMYFUNCTION("""COMPUTED_VALUE"""),2)</f>
        <v>2</v>
      </c>
      <c r="D8760" s="12" t="str">
        <f ca="1">IFERROR(__xludf.DUMMYFUNCTION("""COMPUTED_VALUE"""),"老田 純輝")</f>
        <v>老田 純輝</v>
      </c>
    </row>
    <row r="8761" spans="2:4" ht="13">
      <c r="B8761" s="12">
        <f ca="1">IFERROR(__xludf.DUMMYFUNCTION("""COMPUTED_VALUE"""),3102375)</f>
        <v>3102375</v>
      </c>
      <c r="C8761" s="14">
        <f ca="1">IFERROR(__xludf.DUMMYFUNCTION("""COMPUTED_VALUE"""),9)</f>
        <v>9</v>
      </c>
      <c r="D8761" s="12" t="str">
        <f ca="1">IFERROR(__xludf.DUMMYFUNCTION("""COMPUTED_VALUE"""),"老田 純輝")</f>
        <v>老田 純輝</v>
      </c>
    </row>
    <row r="8762" spans="2:4" ht="13">
      <c r="B8762" s="12">
        <f ca="1">IFERROR(__xludf.DUMMYFUNCTION("""COMPUTED_VALUE"""),3102379)</f>
        <v>3102379</v>
      </c>
      <c r="C8762" s="14">
        <f ca="1">IFERROR(__xludf.DUMMYFUNCTION("""COMPUTED_VALUE"""),0)</f>
        <v>0</v>
      </c>
      <c r="D8762" s="12" t="str">
        <f ca="1">IFERROR(__xludf.DUMMYFUNCTION("""COMPUTED_VALUE"""),"荻曽 克輝")</f>
        <v>荻曽 克輝</v>
      </c>
    </row>
    <row r="8763" spans="2:4" ht="13">
      <c r="B8763" s="12">
        <f ca="1">IFERROR(__xludf.DUMMYFUNCTION("""COMPUTED_VALUE"""),3102383)</f>
        <v>3102383</v>
      </c>
      <c r="C8763" s="14">
        <f ca="1">IFERROR(__xludf.DUMMYFUNCTION("""COMPUTED_VALUE"""),46)</f>
        <v>46</v>
      </c>
      <c r="D8763" s="12" t="str">
        <f ca="1">IFERROR(__xludf.DUMMYFUNCTION("""COMPUTED_VALUE"""),"桑原 明子")</f>
        <v>桑原 明子</v>
      </c>
    </row>
    <row r="8764" spans="2:4" ht="13">
      <c r="B8764" s="12">
        <f ca="1">IFERROR(__xludf.DUMMYFUNCTION("""COMPUTED_VALUE"""),3102385)</f>
        <v>3102385</v>
      </c>
      <c r="C8764" s="14">
        <f ca="1">IFERROR(__xludf.DUMMYFUNCTION("""COMPUTED_VALUE"""),25)</f>
        <v>25</v>
      </c>
      <c r="D8764" s="12" t="str">
        <f ca="1">IFERROR(__xludf.DUMMYFUNCTION("""COMPUTED_VALUE"""),"奥野 貴大")</f>
        <v>奥野 貴大</v>
      </c>
    </row>
    <row r="8765" spans="2:4" ht="13">
      <c r="B8765" s="12">
        <f ca="1">IFERROR(__xludf.DUMMYFUNCTION("""COMPUTED_VALUE"""),3102389)</f>
        <v>3102389</v>
      </c>
      <c r="C8765" s="14">
        <f ca="1">IFERROR(__xludf.DUMMYFUNCTION("""COMPUTED_VALUE"""),0)</f>
        <v>0</v>
      </c>
      <c r="D8765" s="12" t="str">
        <f ca="1">IFERROR(__xludf.DUMMYFUNCTION("""COMPUTED_VALUE"""),"小関 麻起")</f>
        <v>小関 麻起</v>
      </c>
    </row>
    <row r="8766" spans="2:4" ht="13">
      <c r="B8766" s="12">
        <f ca="1">IFERROR(__xludf.DUMMYFUNCTION("""COMPUTED_VALUE"""),3102390)</f>
        <v>3102390</v>
      </c>
      <c r="C8766" s="14">
        <f ca="1">IFERROR(__xludf.DUMMYFUNCTION("""COMPUTED_VALUE"""),0)</f>
        <v>0</v>
      </c>
      <c r="D8766" s="12" t="str">
        <f ca="1">IFERROR(__xludf.DUMMYFUNCTION("""COMPUTED_VALUE"""),"稲場 勇介")</f>
        <v>稲場 勇介</v>
      </c>
    </row>
    <row r="8767" spans="2:4" ht="13">
      <c r="B8767" s="12">
        <f ca="1">IFERROR(__xludf.DUMMYFUNCTION("""COMPUTED_VALUE"""),3102392)</f>
        <v>3102392</v>
      </c>
      <c r="C8767" s="14">
        <f ca="1">IFERROR(__xludf.DUMMYFUNCTION("""COMPUTED_VALUE"""),0)</f>
        <v>0</v>
      </c>
      <c r="D8767" s="12" t="str">
        <f ca="1">IFERROR(__xludf.DUMMYFUNCTION("""COMPUTED_VALUE"""),"菅野 ぎんが")</f>
        <v>菅野 ぎんが</v>
      </c>
    </row>
    <row r="8768" spans="2:4" ht="13">
      <c r="B8768" s="12">
        <f ca="1">IFERROR(__xludf.DUMMYFUNCTION("""COMPUTED_VALUE"""),3102393)</f>
        <v>3102393</v>
      </c>
      <c r="C8768" s="14">
        <f ca="1">IFERROR(__xludf.DUMMYFUNCTION("""COMPUTED_VALUE"""),2)</f>
        <v>2</v>
      </c>
      <c r="D8768" s="12" t="str">
        <f ca="1">IFERROR(__xludf.DUMMYFUNCTION("""COMPUTED_VALUE"""),"菅野 ぎんが")</f>
        <v>菅野 ぎんが</v>
      </c>
    </row>
    <row r="8769" spans="2:4" ht="13">
      <c r="B8769" s="12">
        <f ca="1">IFERROR(__xludf.DUMMYFUNCTION("""COMPUTED_VALUE"""),3102396)</f>
        <v>3102396</v>
      </c>
      <c r="C8769" s="14">
        <f ca="1">IFERROR(__xludf.DUMMYFUNCTION("""COMPUTED_VALUE"""),0)</f>
        <v>0</v>
      </c>
      <c r="D8769" s="12" t="str">
        <f ca="1">IFERROR(__xludf.DUMMYFUNCTION("""COMPUTED_VALUE"""),"老田 純輝")</f>
        <v>老田 純輝</v>
      </c>
    </row>
    <row r="8770" spans="2:4" ht="13">
      <c r="B8770" s="12">
        <f ca="1">IFERROR(__xludf.DUMMYFUNCTION("""COMPUTED_VALUE"""),3102399)</f>
        <v>3102399</v>
      </c>
      <c r="C8770" s="14">
        <f ca="1">IFERROR(__xludf.DUMMYFUNCTION("""COMPUTED_VALUE"""),2)</f>
        <v>2</v>
      </c>
      <c r="D8770" s="12" t="str">
        <f ca="1">IFERROR(__xludf.DUMMYFUNCTION("""COMPUTED_VALUE"""),"川島 幹也")</f>
        <v>川島 幹也</v>
      </c>
    </row>
    <row r="8771" spans="2:4" ht="13">
      <c r="B8771" s="12">
        <f ca="1">IFERROR(__xludf.DUMMYFUNCTION("""COMPUTED_VALUE"""),3102400)</f>
        <v>3102400</v>
      </c>
      <c r="C8771" s="14">
        <f ca="1">IFERROR(__xludf.DUMMYFUNCTION("""COMPUTED_VALUE"""),0)</f>
        <v>0</v>
      </c>
      <c r="D8771" s="12" t="str">
        <f ca="1">IFERROR(__xludf.DUMMYFUNCTION("""COMPUTED_VALUE"""),"川島 幹也")</f>
        <v>川島 幹也</v>
      </c>
    </row>
    <row r="8772" spans="2:4" ht="13">
      <c r="B8772" s="12">
        <f ca="1">IFERROR(__xludf.DUMMYFUNCTION("""COMPUTED_VALUE"""),3102412)</f>
        <v>3102412</v>
      </c>
      <c r="C8772" s="14">
        <f ca="1">IFERROR(__xludf.DUMMYFUNCTION("""COMPUTED_VALUE"""),13)</f>
        <v>13</v>
      </c>
      <c r="D8772" s="12" t="str">
        <f ca="1">IFERROR(__xludf.DUMMYFUNCTION("""COMPUTED_VALUE"""),"小川 純")</f>
        <v>小川 純</v>
      </c>
    </row>
    <row r="8773" spans="2:4" ht="13">
      <c r="B8773" s="12">
        <f ca="1">IFERROR(__xludf.DUMMYFUNCTION("""COMPUTED_VALUE"""),3102416)</f>
        <v>3102416</v>
      </c>
      <c r="C8773" s="14">
        <f ca="1">IFERROR(__xludf.DUMMYFUNCTION("""COMPUTED_VALUE"""),17)</f>
        <v>17</v>
      </c>
      <c r="D8773" s="12" t="str">
        <f ca="1">IFERROR(__xludf.DUMMYFUNCTION("""COMPUTED_VALUE"""),"小関 麻起")</f>
        <v>小関 麻起</v>
      </c>
    </row>
    <row r="8774" spans="2:4" ht="13">
      <c r="B8774" s="12">
        <f ca="1">IFERROR(__xludf.DUMMYFUNCTION("""COMPUTED_VALUE"""),3102417)</f>
        <v>3102417</v>
      </c>
      <c r="C8774" s="14">
        <f ca="1">IFERROR(__xludf.DUMMYFUNCTION("""COMPUTED_VALUE"""),0)</f>
        <v>0</v>
      </c>
      <c r="D8774" s="12" t="str">
        <f ca="1">IFERROR(__xludf.DUMMYFUNCTION("""COMPUTED_VALUE"""),"小関 麻起")</f>
        <v>小関 麻起</v>
      </c>
    </row>
    <row r="8775" spans="2:4" ht="13">
      <c r="B8775" s="12">
        <f ca="1">IFERROR(__xludf.DUMMYFUNCTION("""COMPUTED_VALUE"""),3102418)</f>
        <v>3102418</v>
      </c>
      <c r="C8775" s="14">
        <f ca="1">IFERROR(__xludf.DUMMYFUNCTION("""COMPUTED_VALUE"""),0)</f>
        <v>0</v>
      </c>
      <c r="D8775" s="12" t="str">
        <f ca="1">IFERROR(__xludf.DUMMYFUNCTION("""COMPUTED_VALUE"""),"小関 麻起")</f>
        <v>小関 麻起</v>
      </c>
    </row>
    <row r="8776" spans="2:4" ht="13">
      <c r="B8776" s="12">
        <f ca="1">IFERROR(__xludf.DUMMYFUNCTION("""COMPUTED_VALUE"""),3102423)</f>
        <v>3102423</v>
      </c>
      <c r="C8776" s="14">
        <f ca="1">IFERROR(__xludf.DUMMYFUNCTION("""COMPUTED_VALUE"""),2)</f>
        <v>2</v>
      </c>
      <c r="D8776" s="12" t="str">
        <f ca="1">IFERROR(__xludf.DUMMYFUNCTION("""COMPUTED_VALUE"""),"小関 麻起")</f>
        <v>小関 麻起</v>
      </c>
    </row>
    <row r="8777" spans="2:4" ht="13">
      <c r="B8777" s="12">
        <f ca="1">IFERROR(__xludf.DUMMYFUNCTION("""COMPUTED_VALUE"""),3102430)</f>
        <v>3102430</v>
      </c>
      <c r="C8777" s="14">
        <f ca="1">IFERROR(__xludf.DUMMYFUNCTION("""COMPUTED_VALUE"""),2)</f>
        <v>2</v>
      </c>
      <c r="D8777" s="12" t="str">
        <f ca="1">IFERROR(__xludf.DUMMYFUNCTION("""COMPUTED_VALUE"""),"田嶋 将太")</f>
        <v>田嶋 将太</v>
      </c>
    </row>
    <row r="8778" spans="2:4" ht="13">
      <c r="B8778" s="12">
        <f ca="1">IFERROR(__xludf.DUMMYFUNCTION("""COMPUTED_VALUE"""),3102431)</f>
        <v>3102431</v>
      </c>
      <c r="C8778" s="14">
        <f ca="1">IFERROR(__xludf.DUMMYFUNCTION("""COMPUTED_VALUE"""),21)</f>
        <v>21</v>
      </c>
      <c r="D8778" s="12" t="str">
        <f ca="1">IFERROR(__xludf.DUMMYFUNCTION("""COMPUTED_VALUE"""),"内丸 裕子")</f>
        <v>内丸 裕子</v>
      </c>
    </row>
    <row r="8779" spans="2:4" ht="13">
      <c r="B8779" s="12">
        <f ca="1">IFERROR(__xludf.DUMMYFUNCTION("""COMPUTED_VALUE"""),3102432)</f>
        <v>3102432</v>
      </c>
      <c r="C8779" s="14">
        <f ca="1">IFERROR(__xludf.DUMMYFUNCTION("""COMPUTED_VALUE"""),21)</f>
        <v>21</v>
      </c>
      <c r="D8779" s="12" t="str">
        <f ca="1">IFERROR(__xludf.DUMMYFUNCTION("""COMPUTED_VALUE"""),"内丸 裕子")</f>
        <v>内丸 裕子</v>
      </c>
    </row>
    <row r="8780" spans="2:4" ht="13">
      <c r="B8780" s="12">
        <f ca="1">IFERROR(__xludf.DUMMYFUNCTION("""COMPUTED_VALUE"""),3102440)</f>
        <v>3102440</v>
      </c>
      <c r="C8780" s="14">
        <f ca="1">IFERROR(__xludf.DUMMYFUNCTION("""COMPUTED_VALUE"""),0)</f>
        <v>0</v>
      </c>
      <c r="D8780" s="12" t="str">
        <f ca="1">IFERROR(__xludf.DUMMYFUNCTION("""COMPUTED_VALUE"""),"荻曽 克輝")</f>
        <v>荻曽 克輝</v>
      </c>
    </row>
    <row r="8781" spans="2:4" ht="13">
      <c r="B8781" s="12">
        <f ca="1">IFERROR(__xludf.DUMMYFUNCTION("""COMPUTED_VALUE"""),3102441)</f>
        <v>3102441</v>
      </c>
      <c r="C8781" s="14">
        <f ca="1">IFERROR(__xludf.DUMMYFUNCTION("""COMPUTED_VALUE"""),82)</f>
        <v>82</v>
      </c>
      <c r="D8781" s="12" t="str">
        <f ca="1">IFERROR(__xludf.DUMMYFUNCTION("""COMPUTED_VALUE"""),"桐山 勝気")</f>
        <v>桐山 勝気</v>
      </c>
    </row>
    <row r="8782" spans="2:4" ht="13">
      <c r="B8782" s="12">
        <f ca="1">IFERROR(__xludf.DUMMYFUNCTION("""COMPUTED_VALUE"""),3102446)</f>
        <v>3102446</v>
      </c>
      <c r="C8782" s="14">
        <f ca="1">IFERROR(__xludf.DUMMYFUNCTION("""COMPUTED_VALUE"""),38)</f>
        <v>38</v>
      </c>
      <c r="D8782" s="12" t="str">
        <f ca="1">IFERROR(__xludf.DUMMYFUNCTION("""COMPUTED_VALUE"""),"堀越 駿")</f>
        <v>堀越 駿</v>
      </c>
    </row>
    <row r="8783" spans="2:4" ht="13">
      <c r="B8783" s="12">
        <f ca="1">IFERROR(__xludf.DUMMYFUNCTION("""COMPUTED_VALUE"""),3102448)</f>
        <v>3102448</v>
      </c>
      <c r="C8783" s="14">
        <f ca="1">IFERROR(__xludf.DUMMYFUNCTION("""COMPUTED_VALUE"""),30)</f>
        <v>30</v>
      </c>
      <c r="D8783" s="12" t="str">
        <f ca="1">IFERROR(__xludf.DUMMYFUNCTION("""COMPUTED_VALUE"""),"菅野 ぎんが")</f>
        <v>菅野 ぎんが</v>
      </c>
    </row>
    <row r="8784" spans="2:4" ht="13">
      <c r="B8784" s="12">
        <f ca="1">IFERROR(__xludf.DUMMYFUNCTION("""COMPUTED_VALUE"""),3102449)</f>
        <v>3102449</v>
      </c>
      <c r="C8784" s="14">
        <f ca="1">IFERROR(__xludf.DUMMYFUNCTION("""COMPUTED_VALUE"""),0)</f>
        <v>0</v>
      </c>
      <c r="D8784" s="12" t="str">
        <f ca="1">IFERROR(__xludf.DUMMYFUNCTION("""COMPUTED_VALUE"""),"内丸 裕子")</f>
        <v>内丸 裕子</v>
      </c>
    </row>
    <row r="8785" spans="2:4" ht="13">
      <c r="B8785" s="12">
        <f ca="1">IFERROR(__xludf.DUMMYFUNCTION("""COMPUTED_VALUE"""),3102455)</f>
        <v>3102455</v>
      </c>
      <c r="C8785" s="14">
        <f ca="1">IFERROR(__xludf.DUMMYFUNCTION("""COMPUTED_VALUE"""),55)</f>
        <v>55</v>
      </c>
      <c r="D8785" s="12" t="str">
        <f ca="1">IFERROR(__xludf.DUMMYFUNCTION("""COMPUTED_VALUE"""),"辻村 将大")</f>
        <v>辻村 将大</v>
      </c>
    </row>
    <row r="8786" spans="2:4" ht="13">
      <c r="B8786" s="12">
        <f ca="1">IFERROR(__xludf.DUMMYFUNCTION("""COMPUTED_VALUE"""),3102456)</f>
        <v>3102456</v>
      </c>
      <c r="C8786" s="14">
        <f ca="1">IFERROR(__xludf.DUMMYFUNCTION("""COMPUTED_VALUE"""),41)</f>
        <v>41</v>
      </c>
      <c r="D8786" s="12" t="str">
        <f ca="1">IFERROR(__xludf.DUMMYFUNCTION("""COMPUTED_VALUE"""),"奥野 貴大")</f>
        <v>奥野 貴大</v>
      </c>
    </row>
    <row r="8787" spans="2:4" ht="13">
      <c r="B8787" s="12">
        <f ca="1">IFERROR(__xludf.DUMMYFUNCTION("""COMPUTED_VALUE"""),3102458)</f>
        <v>3102458</v>
      </c>
      <c r="C8787" s="14">
        <f ca="1">IFERROR(__xludf.DUMMYFUNCTION("""COMPUTED_VALUE"""),0)</f>
        <v>0</v>
      </c>
      <c r="D8787" s="12" t="str">
        <f ca="1">IFERROR(__xludf.DUMMYFUNCTION("""COMPUTED_VALUE"""),"森 光智")</f>
        <v>森 光智</v>
      </c>
    </row>
    <row r="8788" spans="2:4" ht="13">
      <c r="B8788" s="12">
        <f ca="1">IFERROR(__xludf.DUMMYFUNCTION("""COMPUTED_VALUE"""),3102459)</f>
        <v>3102459</v>
      </c>
      <c r="C8788" s="14">
        <f ca="1">IFERROR(__xludf.DUMMYFUNCTION("""COMPUTED_VALUE"""),0)</f>
        <v>0</v>
      </c>
      <c r="D8788" s="12" t="str">
        <f ca="1">IFERROR(__xludf.DUMMYFUNCTION("""COMPUTED_VALUE"""),"森 光智")</f>
        <v>森 光智</v>
      </c>
    </row>
    <row r="8789" spans="2:4" ht="13">
      <c r="B8789" s="12">
        <f ca="1">IFERROR(__xludf.DUMMYFUNCTION("""COMPUTED_VALUE"""),3102461)</f>
        <v>3102461</v>
      </c>
      <c r="C8789" s="14">
        <f ca="1">IFERROR(__xludf.DUMMYFUNCTION("""COMPUTED_VALUE"""),9)</f>
        <v>9</v>
      </c>
      <c r="D8789" s="12" t="str">
        <f ca="1">IFERROR(__xludf.DUMMYFUNCTION("""COMPUTED_VALUE"""),"成嶋 夏未")</f>
        <v>成嶋 夏未</v>
      </c>
    </row>
    <row r="8790" spans="2:4" ht="13">
      <c r="B8790" s="12">
        <f ca="1">IFERROR(__xludf.DUMMYFUNCTION("""COMPUTED_VALUE"""),3102463)</f>
        <v>3102463</v>
      </c>
      <c r="C8790" s="14">
        <f ca="1">IFERROR(__xludf.DUMMYFUNCTION("""COMPUTED_VALUE"""),3)</f>
        <v>3</v>
      </c>
      <c r="D8790" s="12" t="str">
        <f ca="1">IFERROR(__xludf.DUMMYFUNCTION("""COMPUTED_VALUE"""),"森 光智")</f>
        <v>森 光智</v>
      </c>
    </row>
    <row r="8791" spans="2:4" ht="13">
      <c r="B8791" s="12">
        <f ca="1">IFERROR(__xludf.DUMMYFUNCTION("""COMPUTED_VALUE"""),3102465)</f>
        <v>3102465</v>
      </c>
      <c r="C8791" s="14">
        <f ca="1">IFERROR(__xludf.DUMMYFUNCTION("""COMPUTED_VALUE"""),6)</f>
        <v>6</v>
      </c>
      <c r="D8791" s="12" t="str">
        <f ca="1">IFERROR(__xludf.DUMMYFUNCTION("""COMPUTED_VALUE"""),"大木 優香")</f>
        <v>大木 優香</v>
      </c>
    </row>
    <row r="8792" spans="2:4" ht="13">
      <c r="B8792" s="12">
        <f ca="1">IFERROR(__xludf.DUMMYFUNCTION("""COMPUTED_VALUE"""),3102467)</f>
        <v>3102467</v>
      </c>
      <c r="C8792" s="14">
        <f ca="1">IFERROR(__xludf.DUMMYFUNCTION("""COMPUTED_VALUE"""),27)</f>
        <v>27</v>
      </c>
      <c r="D8792" s="12" t="str">
        <f ca="1">IFERROR(__xludf.DUMMYFUNCTION("""COMPUTED_VALUE"""),"稲場 勇介")</f>
        <v>稲場 勇介</v>
      </c>
    </row>
    <row r="8793" spans="2:4" ht="13">
      <c r="B8793" s="12">
        <f ca="1">IFERROR(__xludf.DUMMYFUNCTION("""COMPUTED_VALUE"""),3102470)</f>
        <v>3102470</v>
      </c>
      <c r="C8793" s="14">
        <f ca="1">IFERROR(__xludf.DUMMYFUNCTION("""COMPUTED_VALUE"""),0)</f>
        <v>0</v>
      </c>
      <c r="D8793" s="12" t="str">
        <f ca="1">IFERROR(__xludf.DUMMYFUNCTION("""COMPUTED_VALUE"""),"大木 優香")</f>
        <v>大木 優香</v>
      </c>
    </row>
    <row r="8794" spans="2:4" ht="13">
      <c r="B8794" s="12">
        <f ca="1">IFERROR(__xludf.DUMMYFUNCTION("""COMPUTED_VALUE"""),3102480)</f>
        <v>3102480</v>
      </c>
      <c r="C8794" s="14">
        <f ca="1">IFERROR(__xludf.DUMMYFUNCTION("""COMPUTED_VALUE"""),91)</f>
        <v>91</v>
      </c>
      <c r="D8794" s="12" t="str">
        <f ca="1">IFERROR(__xludf.DUMMYFUNCTION("""COMPUTED_VALUE"""),"成嶋 夏未")</f>
        <v>成嶋 夏未</v>
      </c>
    </row>
    <row r="8795" spans="2:4" ht="13">
      <c r="B8795" s="12">
        <f ca="1">IFERROR(__xludf.DUMMYFUNCTION("""COMPUTED_VALUE"""),3102482)</f>
        <v>3102482</v>
      </c>
      <c r="C8795" s="14">
        <f ca="1">IFERROR(__xludf.DUMMYFUNCTION("""COMPUTED_VALUE"""),4)</f>
        <v>4</v>
      </c>
      <c r="D8795" s="12" t="str">
        <f ca="1">IFERROR(__xludf.DUMMYFUNCTION("""COMPUTED_VALUE"""),"老田 純輝")</f>
        <v>老田 純輝</v>
      </c>
    </row>
    <row r="8796" spans="2:4" ht="13">
      <c r="B8796" s="12">
        <f ca="1">IFERROR(__xludf.DUMMYFUNCTION("""COMPUTED_VALUE"""),3102483)</f>
        <v>3102483</v>
      </c>
      <c r="C8796" s="14">
        <f ca="1">IFERROR(__xludf.DUMMYFUNCTION("""COMPUTED_VALUE"""),32)</f>
        <v>32</v>
      </c>
      <c r="D8796" s="12" t="str">
        <f ca="1">IFERROR(__xludf.DUMMYFUNCTION("""COMPUTED_VALUE"""),"荻曽 克輝")</f>
        <v>荻曽 克輝</v>
      </c>
    </row>
    <row r="8797" spans="2:4" ht="13">
      <c r="B8797" s="12">
        <f ca="1">IFERROR(__xludf.DUMMYFUNCTION("""COMPUTED_VALUE"""),3102484)</f>
        <v>3102484</v>
      </c>
      <c r="C8797" s="14">
        <f ca="1">IFERROR(__xludf.DUMMYFUNCTION("""COMPUTED_VALUE"""),57)</f>
        <v>57</v>
      </c>
      <c r="D8797" s="12" t="str">
        <f ca="1">IFERROR(__xludf.DUMMYFUNCTION("""COMPUTED_VALUE"""),"栗原 大武")</f>
        <v>栗原 大武</v>
      </c>
    </row>
    <row r="8798" spans="2:4" ht="13">
      <c r="B8798" s="12">
        <f ca="1">IFERROR(__xludf.DUMMYFUNCTION("""COMPUTED_VALUE"""),3102485)</f>
        <v>3102485</v>
      </c>
      <c r="C8798" s="14">
        <f ca="1">IFERROR(__xludf.DUMMYFUNCTION("""COMPUTED_VALUE"""),42)</f>
        <v>42</v>
      </c>
      <c r="D8798" s="12" t="str">
        <f ca="1">IFERROR(__xludf.DUMMYFUNCTION("""COMPUTED_VALUE"""),"奥野 貴大")</f>
        <v>奥野 貴大</v>
      </c>
    </row>
    <row r="8799" spans="2:4" ht="13">
      <c r="B8799" s="12">
        <f ca="1">IFERROR(__xludf.DUMMYFUNCTION("""COMPUTED_VALUE"""),3102487)</f>
        <v>3102487</v>
      </c>
      <c r="C8799" s="14">
        <f ca="1">IFERROR(__xludf.DUMMYFUNCTION("""COMPUTED_VALUE"""),0)</f>
        <v>0</v>
      </c>
      <c r="D8799" s="12" t="str">
        <f ca="1">IFERROR(__xludf.DUMMYFUNCTION("""COMPUTED_VALUE"""),"芳賀 亮輔")</f>
        <v>芳賀 亮輔</v>
      </c>
    </row>
    <row r="8800" spans="2:4" ht="13">
      <c r="B8800" s="12">
        <f ca="1">IFERROR(__xludf.DUMMYFUNCTION("""COMPUTED_VALUE"""),3102489)</f>
        <v>3102489</v>
      </c>
      <c r="C8800" s="14">
        <f ca="1">IFERROR(__xludf.DUMMYFUNCTION("""COMPUTED_VALUE"""),9)</f>
        <v>9</v>
      </c>
      <c r="D8800" s="12" t="str">
        <f ca="1">IFERROR(__xludf.DUMMYFUNCTION("""COMPUTED_VALUE"""),"大木 優香")</f>
        <v>大木 優香</v>
      </c>
    </row>
    <row r="8801" spans="2:4" ht="13">
      <c r="B8801" s="12">
        <f ca="1">IFERROR(__xludf.DUMMYFUNCTION("""COMPUTED_VALUE"""),3102491)</f>
        <v>3102491</v>
      </c>
      <c r="C8801" s="14">
        <f ca="1">IFERROR(__xludf.DUMMYFUNCTION("""COMPUTED_VALUE"""),45)</f>
        <v>45</v>
      </c>
      <c r="D8801" s="12" t="str">
        <f ca="1">IFERROR(__xludf.DUMMYFUNCTION("""COMPUTED_VALUE"""),"大木 優香")</f>
        <v>大木 優香</v>
      </c>
    </row>
    <row r="8802" spans="2:4" ht="13">
      <c r="B8802" s="12">
        <f ca="1">IFERROR(__xludf.DUMMYFUNCTION("""COMPUTED_VALUE"""),3102492)</f>
        <v>3102492</v>
      </c>
      <c r="C8802" s="14">
        <f ca="1">IFERROR(__xludf.DUMMYFUNCTION("""COMPUTED_VALUE"""),0)</f>
        <v>0</v>
      </c>
      <c r="D8802" s="12" t="str">
        <f ca="1">IFERROR(__xludf.DUMMYFUNCTION("""COMPUTED_VALUE"""),"大木 優香")</f>
        <v>大木 優香</v>
      </c>
    </row>
    <row r="8803" spans="2:4" ht="13">
      <c r="B8803" s="12">
        <f ca="1">IFERROR(__xludf.DUMMYFUNCTION("""COMPUTED_VALUE"""),3102494)</f>
        <v>3102494</v>
      </c>
      <c r="C8803" s="14">
        <f ca="1">IFERROR(__xludf.DUMMYFUNCTION("""COMPUTED_VALUE"""),0)</f>
        <v>0</v>
      </c>
      <c r="D8803" s="12" t="str">
        <f ca="1">IFERROR(__xludf.DUMMYFUNCTION("""COMPUTED_VALUE"""),"大木 優香")</f>
        <v>大木 優香</v>
      </c>
    </row>
    <row r="8804" spans="2:4" ht="13">
      <c r="B8804" s="12">
        <f ca="1">IFERROR(__xludf.DUMMYFUNCTION("""COMPUTED_VALUE"""),3102495)</f>
        <v>3102495</v>
      </c>
      <c r="C8804" s="14">
        <f ca="1">IFERROR(__xludf.DUMMYFUNCTION("""COMPUTED_VALUE"""),6)</f>
        <v>6</v>
      </c>
      <c r="D8804" s="12" t="str">
        <f ca="1">IFERROR(__xludf.DUMMYFUNCTION("""COMPUTED_VALUE"""),"大木 優香")</f>
        <v>大木 優香</v>
      </c>
    </row>
    <row r="8805" spans="2:4" ht="13">
      <c r="B8805" s="12">
        <f ca="1">IFERROR(__xludf.DUMMYFUNCTION("""COMPUTED_VALUE"""),3102496)</f>
        <v>3102496</v>
      </c>
      <c r="C8805" s="14">
        <f ca="1">IFERROR(__xludf.DUMMYFUNCTION("""COMPUTED_VALUE"""),68)</f>
        <v>68</v>
      </c>
      <c r="D8805" s="12" t="str">
        <f ca="1">IFERROR(__xludf.DUMMYFUNCTION("""COMPUTED_VALUE"""),"大木 優香")</f>
        <v>大木 優香</v>
      </c>
    </row>
    <row r="8806" spans="2:4" ht="13">
      <c r="B8806" s="12">
        <f ca="1">IFERROR(__xludf.DUMMYFUNCTION("""COMPUTED_VALUE"""),3102497)</f>
        <v>3102497</v>
      </c>
      <c r="C8806" s="14">
        <f ca="1">IFERROR(__xludf.DUMMYFUNCTION("""COMPUTED_VALUE"""),24)</f>
        <v>24</v>
      </c>
      <c r="D8806" s="12" t="str">
        <f ca="1">IFERROR(__xludf.DUMMYFUNCTION("""COMPUTED_VALUE"""),"大木 優香")</f>
        <v>大木 優香</v>
      </c>
    </row>
    <row r="8807" spans="2:4" ht="13">
      <c r="B8807" s="12">
        <f ca="1">IFERROR(__xludf.DUMMYFUNCTION("""COMPUTED_VALUE"""),3102498)</f>
        <v>3102498</v>
      </c>
      <c r="C8807" s="14">
        <f ca="1">IFERROR(__xludf.DUMMYFUNCTION("""COMPUTED_VALUE"""),0)</f>
        <v>0</v>
      </c>
      <c r="D8807" s="12" t="str">
        <f ca="1">IFERROR(__xludf.DUMMYFUNCTION("""COMPUTED_VALUE"""),"大木 優香")</f>
        <v>大木 優香</v>
      </c>
    </row>
    <row r="8808" spans="2:4" ht="13">
      <c r="B8808" s="12">
        <f ca="1">IFERROR(__xludf.DUMMYFUNCTION("""COMPUTED_VALUE"""),3102499)</f>
        <v>3102499</v>
      </c>
      <c r="C8808" s="14">
        <f ca="1">IFERROR(__xludf.DUMMYFUNCTION("""COMPUTED_VALUE"""),0)</f>
        <v>0</v>
      </c>
      <c r="D8808" s="12" t="str">
        <f ca="1">IFERROR(__xludf.DUMMYFUNCTION("""COMPUTED_VALUE"""),"大木 優香")</f>
        <v>大木 優香</v>
      </c>
    </row>
    <row r="8809" spans="2:4" ht="13">
      <c r="B8809" s="12">
        <f ca="1">IFERROR(__xludf.DUMMYFUNCTION("""COMPUTED_VALUE"""),3102501)</f>
        <v>3102501</v>
      </c>
      <c r="C8809" s="14">
        <f ca="1">IFERROR(__xludf.DUMMYFUNCTION("""COMPUTED_VALUE"""),0)</f>
        <v>0</v>
      </c>
      <c r="D8809" s="12" t="str">
        <f ca="1">IFERROR(__xludf.DUMMYFUNCTION("""COMPUTED_VALUE"""),"大木 優香")</f>
        <v>大木 優香</v>
      </c>
    </row>
    <row r="8810" spans="2:4" ht="13">
      <c r="B8810" s="12">
        <f ca="1">IFERROR(__xludf.DUMMYFUNCTION("""COMPUTED_VALUE"""),3102502)</f>
        <v>3102502</v>
      </c>
      <c r="C8810" s="14">
        <f ca="1">IFERROR(__xludf.DUMMYFUNCTION("""COMPUTED_VALUE"""),31)</f>
        <v>31</v>
      </c>
      <c r="D8810" s="12" t="str">
        <f ca="1">IFERROR(__xludf.DUMMYFUNCTION("""COMPUTED_VALUE"""),"大木 優香")</f>
        <v>大木 優香</v>
      </c>
    </row>
    <row r="8811" spans="2:4" ht="13">
      <c r="B8811" s="12">
        <f ca="1">IFERROR(__xludf.DUMMYFUNCTION("""COMPUTED_VALUE"""),3102504)</f>
        <v>3102504</v>
      </c>
      <c r="C8811" s="14">
        <f ca="1">IFERROR(__xludf.DUMMYFUNCTION("""COMPUTED_VALUE"""),28)</f>
        <v>28</v>
      </c>
      <c r="D8811" s="12" t="str">
        <f ca="1">IFERROR(__xludf.DUMMYFUNCTION("""COMPUTED_VALUE"""),"大木 優香")</f>
        <v>大木 優香</v>
      </c>
    </row>
    <row r="8812" spans="2:4" ht="13">
      <c r="B8812" s="12">
        <f ca="1">IFERROR(__xludf.DUMMYFUNCTION("""COMPUTED_VALUE"""),3102505)</f>
        <v>3102505</v>
      </c>
      <c r="C8812" s="14">
        <f ca="1">IFERROR(__xludf.DUMMYFUNCTION("""COMPUTED_VALUE"""),0)</f>
        <v>0</v>
      </c>
      <c r="D8812" s="12" t="str">
        <f ca="1">IFERROR(__xludf.DUMMYFUNCTION("""COMPUTED_VALUE"""),"大木 優香")</f>
        <v>大木 優香</v>
      </c>
    </row>
    <row r="8813" spans="2:4" ht="13">
      <c r="B8813" s="12">
        <f ca="1">IFERROR(__xludf.DUMMYFUNCTION("""COMPUTED_VALUE"""),3102506)</f>
        <v>3102506</v>
      </c>
      <c r="C8813" s="14">
        <f ca="1">IFERROR(__xludf.DUMMYFUNCTION("""COMPUTED_VALUE"""),14)</f>
        <v>14</v>
      </c>
      <c r="D8813" s="12" t="str">
        <f ca="1">IFERROR(__xludf.DUMMYFUNCTION("""COMPUTED_VALUE"""),"大木 優香")</f>
        <v>大木 優香</v>
      </c>
    </row>
    <row r="8814" spans="2:4" ht="13">
      <c r="B8814" s="12">
        <f ca="1">IFERROR(__xludf.DUMMYFUNCTION("""COMPUTED_VALUE"""),3102507)</f>
        <v>3102507</v>
      </c>
      <c r="C8814" s="14">
        <f ca="1">IFERROR(__xludf.DUMMYFUNCTION("""COMPUTED_VALUE"""),19)</f>
        <v>19</v>
      </c>
      <c r="D8814" s="12" t="str">
        <f ca="1">IFERROR(__xludf.DUMMYFUNCTION("""COMPUTED_VALUE"""),"大木 優香")</f>
        <v>大木 優香</v>
      </c>
    </row>
    <row r="8815" spans="2:4" ht="13">
      <c r="B8815" s="12">
        <f ca="1">IFERROR(__xludf.DUMMYFUNCTION("""COMPUTED_VALUE"""),3102508)</f>
        <v>3102508</v>
      </c>
      <c r="C8815" s="14">
        <f ca="1">IFERROR(__xludf.DUMMYFUNCTION("""COMPUTED_VALUE"""),20)</f>
        <v>20</v>
      </c>
      <c r="D8815" s="12" t="str">
        <f ca="1">IFERROR(__xludf.DUMMYFUNCTION("""COMPUTED_VALUE"""),"大木 優香")</f>
        <v>大木 優香</v>
      </c>
    </row>
    <row r="8816" spans="2:4" ht="13">
      <c r="B8816" s="12">
        <f ca="1">IFERROR(__xludf.DUMMYFUNCTION("""COMPUTED_VALUE"""),3102509)</f>
        <v>3102509</v>
      </c>
      <c r="C8816" s="14">
        <f ca="1">IFERROR(__xludf.DUMMYFUNCTION("""COMPUTED_VALUE"""),13)</f>
        <v>13</v>
      </c>
      <c r="D8816" s="12" t="str">
        <f ca="1">IFERROR(__xludf.DUMMYFUNCTION("""COMPUTED_VALUE"""),"大木 優香")</f>
        <v>大木 優香</v>
      </c>
    </row>
    <row r="8817" spans="2:4" ht="13">
      <c r="B8817" s="12">
        <f ca="1">IFERROR(__xludf.DUMMYFUNCTION("""COMPUTED_VALUE"""),3102511)</f>
        <v>3102511</v>
      </c>
      <c r="C8817" s="14">
        <f ca="1">IFERROR(__xludf.DUMMYFUNCTION("""COMPUTED_VALUE"""),0)</f>
        <v>0</v>
      </c>
      <c r="D8817" s="12" t="str">
        <f ca="1">IFERROR(__xludf.DUMMYFUNCTION("""COMPUTED_VALUE"""),"小川 純")</f>
        <v>小川 純</v>
      </c>
    </row>
    <row r="8818" spans="2:4" ht="13">
      <c r="B8818" s="12">
        <f ca="1">IFERROR(__xludf.DUMMYFUNCTION("""COMPUTED_VALUE"""),3102512)</f>
        <v>3102512</v>
      </c>
      <c r="C8818" s="14">
        <f ca="1">IFERROR(__xludf.DUMMYFUNCTION("""COMPUTED_VALUE"""),0)</f>
        <v>0</v>
      </c>
      <c r="D8818" s="12" t="str">
        <f ca="1">IFERROR(__xludf.DUMMYFUNCTION("""COMPUTED_VALUE"""),"小川 純")</f>
        <v>小川 純</v>
      </c>
    </row>
    <row r="8819" spans="2:4" ht="13">
      <c r="B8819" s="12">
        <f ca="1">IFERROR(__xludf.DUMMYFUNCTION("""COMPUTED_VALUE"""),3102515)</f>
        <v>3102515</v>
      </c>
      <c r="C8819" s="14">
        <f ca="1">IFERROR(__xludf.DUMMYFUNCTION("""COMPUTED_VALUE"""),0)</f>
        <v>0</v>
      </c>
      <c r="D8819" s="12" t="str">
        <f ca="1">IFERROR(__xludf.DUMMYFUNCTION("""COMPUTED_VALUE"""),"小川 純")</f>
        <v>小川 純</v>
      </c>
    </row>
    <row r="8820" spans="2:4" ht="13">
      <c r="B8820" s="12">
        <f ca="1">IFERROR(__xludf.DUMMYFUNCTION("""COMPUTED_VALUE"""),3102518)</f>
        <v>3102518</v>
      </c>
      <c r="C8820" s="14">
        <f ca="1">IFERROR(__xludf.DUMMYFUNCTION("""COMPUTED_VALUE"""),0)</f>
        <v>0</v>
      </c>
      <c r="D8820" s="12" t="str">
        <f ca="1">IFERROR(__xludf.DUMMYFUNCTION("""COMPUTED_VALUE"""),"小川 純")</f>
        <v>小川 純</v>
      </c>
    </row>
    <row r="8821" spans="2:4" ht="13">
      <c r="B8821" s="12">
        <f ca="1">IFERROR(__xludf.DUMMYFUNCTION("""COMPUTED_VALUE"""),3102522)</f>
        <v>3102522</v>
      </c>
      <c r="C8821" s="14">
        <f ca="1">IFERROR(__xludf.DUMMYFUNCTION("""COMPUTED_VALUE"""),0)</f>
        <v>0</v>
      </c>
      <c r="D8821" s="12" t="str">
        <f ca="1">IFERROR(__xludf.DUMMYFUNCTION("""COMPUTED_VALUE"""),"小川 純")</f>
        <v>小川 純</v>
      </c>
    </row>
    <row r="8822" spans="2:4" ht="13">
      <c r="B8822" s="12">
        <f ca="1">IFERROR(__xludf.DUMMYFUNCTION("""COMPUTED_VALUE"""),3102523)</f>
        <v>3102523</v>
      </c>
      <c r="C8822" s="14">
        <f ca="1">IFERROR(__xludf.DUMMYFUNCTION("""COMPUTED_VALUE"""),0)</f>
        <v>0</v>
      </c>
      <c r="D8822" s="12" t="str">
        <f ca="1">IFERROR(__xludf.DUMMYFUNCTION("""COMPUTED_VALUE"""),"大木 優香")</f>
        <v>大木 優香</v>
      </c>
    </row>
    <row r="8823" spans="2:4" ht="13">
      <c r="B8823" s="12">
        <f ca="1">IFERROR(__xludf.DUMMYFUNCTION("""COMPUTED_VALUE"""),3102524)</f>
        <v>3102524</v>
      </c>
      <c r="C8823" s="14">
        <f ca="1">IFERROR(__xludf.DUMMYFUNCTION("""COMPUTED_VALUE"""),0)</f>
        <v>0</v>
      </c>
      <c r="D8823" s="12" t="str">
        <f ca="1">IFERROR(__xludf.DUMMYFUNCTION("""COMPUTED_VALUE"""),"大木 優香")</f>
        <v>大木 優香</v>
      </c>
    </row>
    <row r="8824" spans="2:4" ht="13">
      <c r="B8824" s="12">
        <f ca="1">IFERROR(__xludf.DUMMYFUNCTION("""COMPUTED_VALUE"""),3102529)</f>
        <v>3102529</v>
      </c>
      <c r="C8824" s="14">
        <f ca="1">IFERROR(__xludf.DUMMYFUNCTION("""COMPUTED_VALUE"""),0)</f>
        <v>0</v>
      </c>
      <c r="D8824" s="12" t="str">
        <f ca="1">IFERROR(__xludf.DUMMYFUNCTION("""COMPUTED_VALUE"""),"桐山 勝気")</f>
        <v>桐山 勝気</v>
      </c>
    </row>
    <row r="8825" spans="2:4" ht="13">
      <c r="B8825" s="12">
        <f ca="1">IFERROR(__xludf.DUMMYFUNCTION("""COMPUTED_VALUE"""),3102530)</f>
        <v>3102530</v>
      </c>
      <c r="C8825" s="14">
        <f ca="1">IFERROR(__xludf.DUMMYFUNCTION("""COMPUTED_VALUE"""),43)</f>
        <v>43</v>
      </c>
      <c r="D8825" s="12" t="str">
        <f ca="1">IFERROR(__xludf.DUMMYFUNCTION("""COMPUTED_VALUE"""),"奥野 貴大")</f>
        <v>奥野 貴大</v>
      </c>
    </row>
    <row r="8826" spans="2:4" ht="13">
      <c r="B8826" s="12">
        <f ca="1">IFERROR(__xludf.DUMMYFUNCTION("""COMPUTED_VALUE"""),3102531)</f>
        <v>3102531</v>
      </c>
      <c r="C8826" s="14">
        <f ca="1">IFERROR(__xludf.DUMMYFUNCTION("""COMPUTED_VALUE"""),28)</f>
        <v>28</v>
      </c>
      <c r="D8826" s="12" t="str">
        <f ca="1">IFERROR(__xludf.DUMMYFUNCTION("""COMPUTED_VALUE"""),"奥野 貴大")</f>
        <v>奥野 貴大</v>
      </c>
    </row>
    <row r="8827" spans="2:4" ht="13">
      <c r="B8827" s="12">
        <f ca="1">IFERROR(__xludf.DUMMYFUNCTION("""COMPUTED_VALUE"""),3102532)</f>
        <v>3102532</v>
      </c>
      <c r="C8827" s="14">
        <f ca="1">IFERROR(__xludf.DUMMYFUNCTION("""COMPUTED_VALUE"""),13)</f>
        <v>13</v>
      </c>
      <c r="D8827" s="12" t="str">
        <f ca="1">IFERROR(__xludf.DUMMYFUNCTION("""COMPUTED_VALUE"""),"堀越 駿")</f>
        <v>堀越 駿</v>
      </c>
    </row>
    <row r="8828" spans="2:4" ht="13">
      <c r="B8828" s="12">
        <f ca="1">IFERROR(__xludf.DUMMYFUNCTION("""COMPUTED_VALUE"""),3102535)</f>
        <v>3102535</v>
      </c>
      <c r="C8828" s="14">
        <f ca="1">IFERROR(__xludf.DUMMYFUNCTION("""COMPUTED_VALUE"""),0)</f>
        <v>0</v>
      </c>
      <c r="D8828" s="12" t="str">
        <f ca="1">IFERROR(__xludf.DUMMYFUNCTION("""COMPUTED_VALUE"""),"川島 幹也")</f>
        <v>川島 幹也</v>
      </c>
    </row>
    <row r="8829" spans="2:4" ht="13">
      <c r="B8829" s="12">
        <f ca="1">IFERROR(__xludf.DUMMYFUNCTION("""COMPUTED_VALUE"""),3102536)</f>
        <v>3102536</v>
      </c>
      <c r="C8829" s="14">
        <f ca="1">IFERROR(__xludf.DUMMYFUNCTION("""COMPUTED_VALUE"""),0)</f>
        <v>0</v>
      </c>
      <c r="D8829" s="12" t="str">
        <f ca="1">IFERROR(__xludf.DUMMYFUNCTION("""COMPUTED_VALUE"""),"川島 幹也")</f>
        <v>川島 幹也</v>
      </c>
    </row>
    <row r="8830" spans="2:4" ht="13">
      <c r="B8830" s="12">
        <f ca="1">IFERROR(__xludf.DUMMYFUNCTION("""COMPUTED_VALUE"""),3102537)</f>
        <v>3102537</v>
      </c>
      <c r="C8830" s="14">
        <f ca="1">IFERROR(__xludf.DUMMYFUNCTION("""COMPUTED_VALUE"""),2)</f>
        <v>2</v>
      </c>
      <c r="D8830" s="12" t="str">
        <f ca="1">IFERROR(__xludf.DUMMYFUNCTION("""COMPUTED_VALUE"""),"桑原 明子")</f>
        <v>桑原 明子</v>
      </c>
    </row>
    <row r="8831" spans="2:4" ht="13">
      <c r="B8831" s="12">
        <f ca="1">IFERROR(__xludf.DUMMYFUNCTION("""COMPUTED_VALUE"""),3102538)</f>
        <v>3102538</v>
      </c>
      <c r="C8831" s="14">
        <f ca="1">IFERROR(__xludf.DUMMYFUNCTION("""COMPUTED_VALUE"""),0)</f>
        <v>0</v>
      </c>
      <c r="D8831" s="12" t="str">
        <f ca="1">IFERROR(__xludf.DUMMYFUNCTION("""COMPUTED_VALUE"""),"小川 純")</f>
        <v>小川 純</v>
      </c>
    </row>
    <row r="8832" spans="2:4" ht="13">
      <c r="B8832" s="12">
        <f ca="1">IFERROR(__xludf.DUMMYFUNCTION("""COMPUTED_VALUE"""),3102540)</f>
        <v>3102540</v>
      </c>
      <c r="C8832" s="14">
        <f ca="1">IFERROR(__xludf.DUMMYFUNCTION("""COMPUTED_VALUE"""),37)</f>
        <v>37</v>
      </c>
      <c r="D8832" s="12" t="str">
        <f ca="1">IFERROR(__xludf.DUMMYFUNCTION("""COMPUTED_VALUE"""),"小川 純")</f>
        <v>小川 純</v>
      </c>
    </row>
    <row r="8833" spans="2:4" ht="13">
      <c r="B8833" s="12">
        <f ca="1">IFERROR(__xludf.DUMMYFUNCTION("""COMPUTED_VALUE"""),3102545)</f>
        <v>3102545</v>
      </c>
      <c r="C8833" s="14">
        <f ca="1">IFERROR(__xludf.DUMMYFUNCTION("""COMPUTED_VALUE"""),22)</f>
        <v>22</v>
      </c>
      <c r="D8833" s="12" t="str">
        <f ca="1">IFERROR(__xludf.DUMMYFUNCTION("""COMPUTED_VALUE"""),"小川 純")</f>
        <v>小川 純</v>
      </c>
    </row>
    <row r="8834" spans="2:4" ht="13">
      <c r="B8834" s="12">
        <f ca="1">IFERROR(__xludf.DUMMYFUNCTION("""COMPUTED_VALUE"""),3102548)</f>
        <v>3102548</v>
      </c>
      <c r="C8834" s="14">
        <f ca="1">IFERROR(__xludf.DUMMYFUNCTION("""COMPUTED_VALUE"""),18)</f>
        <v>18</v>
      </c>
      <c r="D8834" s="12" t="str">
        <f ca="1">IFERROR(__xludf.DUMMYFUNCTION("""COMPUTED_VALUE"""),"小川 純")</f>
        <v>小川 純</v>
      </c>
    </row>
    <row r="8835" spans="2:4" ht="13">
      <c r="B8835" s="12">
        <f ca="1">IFERROR(__xludf.DUMMYFUNCTION("""COMPUTED_VALUE"""),3102550)</f>
        <v>3102550</v>
      </c>
      <c r="C8835" s="14">
        <f ca="1">IFERROR(__xludf.DUMMYFUNCTION("""COMPUTED_VALUE"""),1)</f>
        <v>1</v>
      </c>
      <c r="D8835" s="12" t="str">
        <f ca="1">IFERROR(__xludf.DUMMYFUNCTION("""COMPUTED_VALUE"""),"川島 幹也")</f>
        <v>川島 幹也</v>
      </c>
    </row>
    <row r="8836" spans="2:4" ht="13">
      <c r="B8836" s="12">
        <f ca="1">IFERROR(__xludf.DUMMYFUNCTION("""COMPUTED_VALUE"""),3102551)</f>
        <v>3102551</v>
      </c>
      <c r="C8836" s="14">
        <f ca="1">IFERROR(__xludf.DUMMYFUNCTION("""COMPUTED_VALUE"""),1)</f>
        <v>1</v>
      </c>
      <c r="D8836" s="12" t="str">
        <f ca="1">IFERROR(__xludf.DUMMYFUNCTION("""COMPUTED_VALUE"""),"老田 純輝")</f>
        <v>老田 純輝</v>
      </c>
    </row>
    <row r="8837" spans="2:4" ht="13">
      <c r="B8837" s="12">
        <f ca="1">IFERROR(__xludf.DUMMYFUNCTION("""COMPUTED_VALUE"""),3102554)</f>
        <v>3102554</v>
      </c>
      <c r="C8837" s="14">
        <f ca="1">IFERROR(__xludf.DUMMYFUNCTION("""COMPUTED_VALUE"""),29)</f>
        <v>29</v>
      </c>
      <c r="D8837" s="12" t="str">
        <f ca="1">IFERROR(__xludf.DUMMYFUNCTION("""COMPUTED_VALUE"""),"栗原 大武")</f>
        <v>栗原 大武</v>
      </c>
    </row>
    <row r="8838" spans="2:4" ht="13">
      <c r="B8838" s="12">
        <f ca="1">IFERROR(__xludf.DUMMYFUNCTION("""COMPUTED_VALUE"""),3102555)</f>
        <v>3102555</v>
      </c>
      <c r="C8838" s="14">
        <f ca="1">IFERROR(__xludf.DUMMYFUNCTION("""COMPUTED_VALUE"""),43)</f>
        <v>43</v>
      </c>
      <c r="D8838" s="12" t="str">
        <f ca="1">IFERROR(__xludf.DUMMYFUNCTION("""COMPUTED_VALUE"""),"村上 浩一朗")</f>
        <v>村上 浩一朗</v>
      </c>
    </row>
    <row r="8839" spans="2:4" ht="13">
      <c r="B8839" s="12">
        <f ca="1">IFERROR(__xludf.DUMMYFUNCTION("""COMPUTED_VALUE"""),3102556)</f>
        <v>3102556</v>
      </c>
      <c r="C8839" s="14">
        <f ca="1">IFERROR(__xludf.DUMMYFUNCTION("""COMPUTED_VALUE"""),7)</f>
        <v>7</v>
      </c>
      <c r="D8839" s="12" t="str">
        <f ca="1">IFERROR(__xludf.DUMMYFUNCTION("""COMPUTED_VALUE"""),"村上 浩一朗")</f>
        <v>村上 浩一朗</v>
      </c>
    </row>
    <row r="8840" spans="2:4" ht="13">
      <c r="B8840" s="12">
        <f ca="1">IFERROR(__xludf.DUMMYFUNCTION("""COMPUTED_VALUE"""),3102557)</f>
        <v>3102557</v>
      </c>
      <c r="C8840" s="14">
        <f ca="1">IFERROR(__xludf.DUMMYFUNCTION("""COMPUTED_VALUE"""),2)</f>
        <v>2</v>
      </c>
      <c r="D8840" s="12" t="str">
        <f ca="1">IFERROR(__xludf.DUMMYFUNCTION("""COMPUTED_VALUE"""),"村上 浩一朗")</f>
        <v>村上 浩一朗</v>
      </c>
    </row>
    <row r="8841" spans="2:4" ht="13">
      <c r="B8841" s="12">
        <f ca="1">IFERROR(__xludf.DUMMYFUNCTION("""COMPUTED_VALUE"""),3102558)</f>
        <v>3102558</v>
      </c>
      <c r="C8841" s="14">
        <f ca="1">IFERROR(__xludf.DUMMYFUNCTION("""COMPUTED_VALUE"""),49)</f>
        <v>49</v>
      </c>
      <c r="D8841" s="12" t="str">
        <f ca="1">IFERROR(__xludf.DUMMYFUNCTION("""COMPUTED_VALUE"""),"村上 浩一朗")</f>
        <v>村上 浩一朗</v>
      </c>
    </row>
    <row r="8842" spans="2:4" ht="13">
      <c r="B8842" s="12">
        <f ca="1">IFERROR(__xludf.DUMMYFUNCTION("""COMPUTED_VALUE"""),3102560)</f>
        <v>3102560</v>
      </c>
      <c r="C8842" s="14">
        <f ca="1">IFERROR(__xludf.DUMMYFUNCTION("""COMPUTED_VALUE"""),0)</f>
        <v>0</v>
      </c>
      <c r="D8842" s="12" t="str">
        <f ca="1">IFERROR(__xludf.DUMMYFUNCTION("""COMPUTED_VALUE"""),"小川 純")</f>
        <v>小川 純</v>
      </c>
    </row>
    <row r="8843" spans="2:4" ht="13">
      <c r="B8843" s="12">
        <f ca="1">IFERROR(__xludf.DUMMYFUNCTION("""COMPUTED_VALUE"""),3102562)</f>
        <v>3102562</v>
      </c>
      <c r="C8843" s="14">
        <f ca="1">IFERROR(__xludf.DUMMYFUNCTION("""COMPUTED_VALUE"""),6)</f>
        <v>6</v>
      </c>
      <c r="D8843" s="12" t="str">
        <f ca="1">IFERROR(__xludf.DUMMYFUNCTION("""COMPUTED_VALUE"""),"小川 純")</f>
        <v>小川 純</v>
      </c>
    </row>
    <row r="8844" spans="2:4" ht="13">
      <c r="B8844" s="12">
        <f ca="1">IFERROR(__xludf.DUMMYFUNCTION("""COMPUTED_VALUE"""),3102563)</f>
        <v>3102563</v>
      </c>
      <c r="C8844" s="14">
        <f ca="1">IFERROR(__xludf.DUMMYFUNCTION("""COMPUTED_VALUE"""),11)</f>
        <v>11</v>
      </c>
      <c r="D8844" s="12" t="str">
        <f ca="1">IFERROR(__xludf.DUMMYFUNCTION("""COMPUTED_VALUE"""),"小川 純")</f>
        <v>小川 純</v>
      </c>
    </row>
    <row r="8845" spans="2:4" ht="13">
      <c r="B8845" s="12">
        <f ca="1">IFERROR(__xludf.DUMMYFUNCTION("""COMPUTED_VALUE"""),3102564)</f>
        <v>3102564</v>
      </c>
      <c r="C8845" s="14">
        <f ca="1">IFERROR(__xludf.DUMMYFUNCTION("""COMPUTED_VALUE"""),7)</f>
        <v>7</v>
      </c>
      <c r="D8845" s="12" t="str">
        <f ca="1">IFERROR(__xludf.DUMMYFUNCTION("""COMPUTED_VALUE"""),"小川 純")</f>
        <v>小川 純</v>
      </c>
    </row>
    <row r="8846" spans="2:4" ht="13">
      <c r="B8846" s="12">
        <f ca="1">IFERROR(__xludf.DUMMYFUNCTION("""COMPUTED_VALUE"""),3102568)</f>
        <v>3102568</v>
      </c>
      <c r="C8846" s="14">
        <f ca="1">IFERROR(__xludf.DUMMYFUNCTION("""COMPUTED_VALUE"""),40)</f>
        <v>40</v>
      </c>
      <c r="D8846" s="12" t="str">
        <f ca="1">IFERROR(__xludf.DUMMYFUNCTION("""COMPUTED_VALUE"""),"桐山 勝気")</f>
        <v>桐山 勝気</v>
      </c>
    </row>
    <row r="8847" spans="2:4" ht="13">
      <c r="B8847" s="12">
        <f ca="1">IFERROR(__xludf.DUMMYFUNCTION("""COMPUTED_VALUE"""),3102569)</f>
        <v>3102569</v>
      </c>
      <c r="C8847" s="14">
        <f ca="1">IFERROR(__xludf.DUMMYFUNCTION("""COMPUTED_VALUE"""),17)</f>
        <v>17</v>
      </c>
      <c r="D8847" s="12" t="str">
        <f ca="1">IFERROR(__xludf.DUMMYFUNCTION("""COMPUTED_VALUE"""),"桐山 勝気")</f>
        <v>桐山 勝気</v>
      </c>
    </row>
    <row r="8848" spans="2:4" ht="13">
      <c r="B8848" s="12">
        <f ca="1">IFERROR(__xludf.DUMMYFUNCTION("""COMPUTED_VALUE"""),3102570)</f>
        <v>3102570</v>
      </c>
      <c r="C8848" s="14">
        <f ca="1">IFERROR(__xludf.DUMMYFUNCTION("""COMPUTED_VALUE"""),12)</f>
        <v>12</v>
      </c>
      <c r="D8848" s="12" t="str">
        <f ca="1">IFERROR(__xludf.DUMMYFUNCTION("""COMPUTED_VALUE"""),"村上 浩一朗")</f>
        <v>村上 浩一朗</v>
      </c>
    </row>
    <row r="8849" spans="2:4" ht="13">
      <c r="B8849" s="12">
        <f ca="1">IFERROR(__xludf.DUMMYFUNCTION("""COMPUTED_VALUE"""),3102571)</f>
        <v>3102571</v>
      </c>
      <c r="C8849" s="14">
        <f ca="1">IFERROR(__xludf.DUMMYFUNCTION("""COMPUTED_VALUE"""),0)</f>
        <v>0</v>
      </c>
      <c r="D8849" s="12" t="str">
        <f ca="1">IFERROR(__xludf.DUMMYFUNCTION("""COMPUTED_VALUE"""),"小川 純")</f>
        <v>小川 純</v>
      </c>
    </row>
    <row r="8850" spans="2:4" ht="13">
      <c r="B8850" s="12">
        <f ca="1">IFERROR(__xludf.DUMMYFUNCTION("""COMPUTED_VALUE"""),3102574)</f>
        <v>3102574</v>
      </c>
      <c r="C8850" s="14">
        <f ca="1">IFERROR(__xludf.DUMMYFUNCTION("""COMPUTED_VALUE"""),115)</f>
        <v>115</v>
      </c>
      <c r="D8850" s="12" t="str">
        <f ca="1">IFERROR(__xludf.DUMMYFUNCTION("""COMPUTED_VALUE"""),"芳賀 亮輔")</f>
        <v>芳賀 亮輔</v>
      </c>
    </row>
    <row r="8851" spans="2:4" ht="13">
      <c r="B8851" s="12">
        <f ca="1">IFERROR(__xludf.DUMMYFUNCTION("""COMPUTED_VALUE"""),3102581)</f>
        <v>3102581</v>
      </c>
      <c r="C8851" s="14">
        <f ca="1">IFERROR(__xludf.DUMMYFUNCTION("""COMPUTED_VALUE"""),107)</f>
        <v>107</v>
      </c>
      <c r="D8851" s="12" t="str">
        <f ca="1">IFERROR(__xludf.DUMMYFUNCTION("""COMPUTED_VALUE"""),"芳賀 亮輔")</f>
        <v>芳賀 亮輔</v>
      </c>
    </row>
    <row r="8852" spans="2:4" ht="13">
      <c r="B8852" s="12">
        <f ca="1">IFERROR(__xludf.DUMMYFUNCTION("""COMPUTED_VALUE"""),3102582)</f>
        <v>3102582</v>
      </c>
      <c r="C8852" s="14">
        <f ca="1">IFERROR(__xludf.DUMMYFUNCTION("""COMPUTED_VALUE"""),71)</f>
        <v>71</v>
      </c>
      <c r="D8852" s="12" t="str">
        <f ca="1">IFERROR(__xludf.DUMMYFUNCTION("""COMPUTED_VALUE"""),"芳賀 亮輔")</f>
        <v>芳賀 亮輔</v>
      </c>
    </row>
    <row r="8853" spans="2:4" ht="13">
      <c r="B8853" s="12">
        <f ca="1">IFERROR(__xludf.DUMMYFUNCTION("""COMPUTED_VALUE"""),3102583)</f>
        <v>3102583</v>
      </c>
      <c r="C8853" s="14">
        <f ca="1">IFERROR(__xludf.DUMMYFUNCTION("""COMPUTED_VALUE"""),0)</f>
        <v>0</v>
      </c>
      <c r="D8853" s="12" t="str">
        <f ca="1">IFERROR(__xludf.DUMMYFUNCTION("""COMPUTED_VALUE"""),"芳賀 亮輔")</f>
        <v>芳賀 亮輔</v>
      </c>
    </row>
    <row r="8854" spans="2:4" ht="13">
      <c r="B8854" s="12">
        <f ca="1">IFERROR(__xludf.DUMMYFUNCTION("""COMPUTED_VALUE"""),3102584)</f>
        <v>3102584</v>
      </c>
      <c r="C8854" s="14">
        <f ca="1">IFERROR(__xludf.DUMMYFUNCTION("""COMPUTED_VALUE"""),0)</f>
        <v>0</v>
      </c>
      <c r="D8854" s="12" t="str">
        <f ca="1">IFERROR(__xludf.DUMMYFUNCTION("""COMPUTED_VALUE"""),"芳賀 亮輔")</f>
        <v>芳賀 亮輔</v>
      </c>
    </row>
    <row r="8855" spans="2:4" ht="13">
      <c r="B8855" s="12">
        <f ca="1">IFERROR(__xludf.DUMMYFUNCTION("""COMPUTED_VALUE"""),3102589)</f>
        <v>3102589</v>
      </c>
      <c r="C8855" s="14">
        <f ca="1">IFERROR(__xludf.DUMMYFUNCTION("""COMPUTED_VALUE"""),0)</f>
        <v>0</v>
      </c>
      <c r="D8855" s="12" t="str">
        <f ca="1">IFERROR(__xludf.DUMMYFUNCTION("""COMPUTED_VALUE"""),"芳賀 亮輔")</f>
        <v>芳賀 亮輔</v>
      </c>
    </row>
    <row r="8856" spans="2:4" ht="13">
      <c r="B8856" s="12">
        <f ca="1">IFERROR(__xludf.DUMMYFUNCTION("""COMPUTED_VALUE"""),3102595)</f>
        <v>3102595</v>
      </c>
      <c r="C8856" s="14">
        <f ca="1">IFERROR(__xludf.DUMMYFUNCTION("""COMPUTED_VALUE"""),71)</f>
        <v>71</v>
      </c>
      <c r="D8856" s="12" t="str">
        <f ca="1">IFERROR(__xludf.DUMMYFUNCTION("""COMPUTED_VALUE"""),"芳賀 亮輔")</f>
        <v>芳賀 亮輔</v>
      </c>
    </row>
    <row r="8857" spans="2:4" ht="13">
      <c r="B8857" s="12">
        <f ca="1">IFERROR(__xludf.DUMMYFUNCTION("""COMPUTED_VALUE"""),3102596)</f>
        <v>3102596</v>
      </c>
      <c r="C8857" s="14">
        <f ca="1">IFERROR(__xludf.DUMMYFUNCTION("""COMPUTED_VALUE"""),73)</f>
        <v>73</v>
      </c>
      <c r="D8857" s="12" t="str">
        <f ca="1">IFERROR(__xludf.DUMMYFUNCTION("""COMPUTED_VALUE"""),"芳賀 亮輔")</f>
        <v>芳賀 亮輔</v>
      </c>
    </row>
    <row r="8858" spans="2:4" ht="13">
      <c r="B8858" s="12">
        <f ca="1">IFERROR(__xludf.DUMMYFUNCTION("""COMPUTED_VALUE"""),3102597)</f>
        <v>3102597</v>
      </c>
      <c r="C8858" s="14">
        <f ca="1">IFERROR(__xludf.DUMMYFUNCTION("""COMPUTED_VALUE"""),39)</f>
        <v>39</v>
      </c>
      <c r="D8858" s="12" t="str">
        <f ca="1">IFERROR(__xludf.DUMMYFUNCTION("""COMPUTED_VALUE"""),"芳賀 亮輔")</f>
        <v>芳賀 亮輔</v>
      </c>
    </row>
    <row r="8859" spans="2:4" ht="13">
      <c r="B8859" s="12">
        <f ca="1">IFERROR(__xludf.DUMMYFUNCTION("""COMPUTED_VALUE"""),3102598)</f>
        <v>3102598</v>
      </c>
      <c r="C8859" s="14">
        <f ca="1">IFERROR(__xludf.DUMMYFUNCTION("""COMPUTED_VALUE"""),107)</f>
        <v>107</v>
      </c>
      <c r="D8859" s="12" t="str">
        <f ca="1">IFERROR(__xludf.DUMMYFUNCTION("""COMPUTED_VALUE"""),"芳賀 亮輔")</f>
        <v>芳賀 亮輔</v>
      </c>
    </row>
    <row r="8860" spans="2:4" ht="13">
      <c r="B8860" s="12">
        <f ca="1">IFERROR(__xludf.DUMMYFUNCTION("""COMPUTED_VALUE"""),3102599)</f>
        <v>3102599</v>
      </c>
      <c r="C8860" s="14">
        <f ca="1">IFERROR(__xludf.DUMMYFUNCTION("""COMPUTED_VALUE"""),76)</f>
        <v>76</v>
      </c>
      <c r="D8860" s="12" t="str">
        <f ca="1">IFERROR(__xludf.DUMMYFUNCTION("""COMPUTED_VALUE"""),"芳賀 亮輔")</f>
        <v>芳賀 亮輔</v>
      </c>
    </row>
    <row r="8861" spans="2:4" ht="13">
      <c r="B8861" s="12">
        <f ca="1">IFERROR(__xludf.DUMMYFUNCTION("""COMPUTED_VALUE"""),3102607)</f>
        <v>3102607</v>
      </c>
      <c r="C8861" s="14">
        <f ca="1">IFERROR(__xludf.DUMMYFUNCTION("""COMPUTED_VALUE"""),40)</f>
        <v>40</v>
      </c>
      <c r="D8861" s="12" t="str">
        <f ca="1">IFERROR(__xludf.DUMMYFUNCTION("""COMPUTED_VALUE"""),"芳賀 亮輔")</f>
        <v>芳賀 亮輔</v>
      </c>
    </row>
    <row r="8862" spans="2:4" ht="13">
      <c r="B8862" s="12">
        <f ca="1">IFERROR(__xludf.DUMMYFUNCTION("""COMPUTED_VALUE"""),3102633)</f>
        <v>3102633</v>
      </c>
      <c r="C8862" s="14">
        <f ca="1">IFERROR(__xludf.DUMMYFUNCTION("""COMPUTED_VALUE"""),4)</f>
        <v>4</v>
      </c>
      <c r="D8862" s="12" t="str">
        <f ca="1">IFERROR(__xludf.DUMMYFUNCTION("""COMPUTED_VALUE"""),"堀越 駿")</f>
        <v>堀越 駿</v>
      </c>
    </row>
    <row r="8863" spans="2:4" ht="13">
      <c r="B8863" s="12">
        <f ca="1">IFERROR(__xludf.DUMMYFUNCTION("""COMPUTED_VALUE"""),3102642)</f>
        <v>3102642</v>
      </c>
      <c r="C8863" s="14">
        <f ca="1">IFERROR(__xludf.DUMMYFUNCTION("""COMPUTED_VALUE"""),8)</f>
        <v>8</v>
      </c>
      <c r="D8863" s="12" t="str">
        <f ca="1">IFERROR(__xludf.DUMMYFUNCTION("""COMPUTED_VALUE"""),"田嶋 将太")</f>
        <v>田嶋 将太</v>
      </c>
    </row>
    <row r="8864" spans="2:4" ht="13">
      <c r="B8864" s="12">
        <f ca="1">IFERROR(__xludf.DUMMYFUNCTION("""COMPUTED_VALUE"""),3102646)</f>
        <v>3102646</v>
      </c>
      <c r="C8864" s="14">
        <f ca="1">IFERROR(__xludf.DUMMYFUNCTION("""COMPUTED_VALUE"""),4)</f>
        <v>4</v>
      </c>
      <c r="D8864" s="12" t="str">
        <f ca="1">IFERROR(__xludf.DUMMYFUNCTION("""COMPUTED_VALUE"""),"老田 純輝")</f>
        <v>老田 純輝</v>
      </c>
    </row>
    <row r="8865" spans="2:4" ht="13">
      <c r="B8865" s="12">
        <f ca="1">IFERROR(__xludf.DUMMYFUNCTION("""COMPUTED_VALUE"""),3102654)</f>
        <v>3102654</v>
      </c>
      <c r="C8865" s="14">
        <f ca="1">IFERROR(__xludf.DUMMYFUNCTION("""COMPUTED_VALUE"""),0)</f>
        <v>0</v>
      </c>
      <c r="D8865" s="12" t="str">
        <f ca="1">IFERROR(__xludf.DUMMYFUNCTION("""COMPUTED_VALUE"""),"老田 純輝")</f>
        <v>老田 純輝</v>
      </c>
    </row>
    <row r="8866" spans="2:4" ht="13">
      <c r="B8866" s="12">
        <f ca="1">IFERROR(__xludf.DUMMYFUNCTION("""COMPUTED_VALUE"""),3102656)</f>
        <v>3102656</v>
      </c>
      <c r="C8866" s="14">
        <f ca="1">IFERROR(__xludf.DUMMYFUNCTION("""COMPUTED_VALUE"""),4)</f>
        <v>4</v>
      </c>
      <c r="D8866" s="12" t="str">
        <f ca="1">IFERROR(__xludf.DUMMYFUNCTION("""COMPUTED_VALUE"""),"堀越 駿")</f>
        <v>堀越 駿</v>
      </c>
    </row>
    <row r="8867" spans="2:4" ht="13">
      <c r="B8867" s="12">
        <f ca="1">IFERROR(__xludf.DUMMYFUNCTION("""COMPUTED_VALUE"""),3102657)</f>
        <v>3102657</v>
      </c>
      <c r="C8867" s="14">
        <f ca="1">IFERROR(__xludf.DUMMYFUNCTION("""COMPUTED_VALUE"""),2)</f>
        <v>2</v>
      </c>
      <c r="D8867" s="12" t="str">
        <f ca="1">IFERROR(__xludf.DUMMYFUNCTION("""COMPUTED_VALUE"""),"堀越 駿")</f>
        <v>堀越 駿</v>
      </c>
    </row>
    <row r="8868" spans="2:4" ht="13">
      <c r="B8868" s="12">
        <f ca="1">IFERROR(__xludf.DUMMYFUNCTION("""COMPUTED_VALUE"""),3102658)</f>
        <v>3102658</v>
      </c>
      <c r="C8868" s="14">
        <f ca="1">IFERROR(__xludf.DUMMYFUNCTION("""COMPUTED_VALUE"""),10)</f>
        <v>10</v>
      </c>
      <c r="D8868" s="12" t="str">
        <f ca="1">IFERROR(__xludf.DUMMYFUNCTION("""COMPUTED_VALUE"""),"堀越 駿")</f>
        <v>堀越 駿</v>
      </c>
    </row>
    <row r="8869" spans="2:4" ht="13">
      <c r="B8869" s="12">
        <f ca="1">IFERROR(__xludf.DUMMYFUNCTION("""COMPUTED_VALUE"""),3102659)</f>
        <v>3102659</v>
      </c>
      <c r="C8869" s="14">
        <f ca="1">IFERROR(__xludf.DUMMYFUNCTION("""COMPUTED_VALUE"""),50)</f>
        <v>50</v>
      </c>
      <c r="D8869" s="12" t="str">
        <f ca="1">IFERROR(__xludf.DUMMYFUNCTION("""COMPUTED_VALUE"""),"堀越 駿")</f>
        <v>堀越 駿</v>
      </c>
    </row>
    <row r="8870" spans="2:4" ht="13">
      <c r="B8870" s="12">
        <f ca="1">IFERROR(__xludf.DUMMYFUNCTION("""COMPUTED_VALUE"""),3102660)</f>
        <v>3102660</v>
      </c>
      <c r="C8870" s="14">
        <f ca="1">IFERROR(__xludf.DUMMYFUNCTION("""COMPUTED_VALUE"""),0)</f>
        <v>0</v>
      </c>
      <c r="D8870" s="12" t="str">
        <f ca="1">IFERROR(__xludf.DUMMYFUNCTION("""COMPUTED_VALUE"""),"堀越 駿")</f>
        <v>堀越 駿</v>
      </c>
    </row>
    <row r="8871" spans="2:4" ht="13">
      <c r="B8871" s="12">
        <f ca="1">IFERROR(__xludf.DUMMYFUNCTION("""COMPUTED_VALUE"""),3102661)</f>
        <v>3102661</v>
      </c>
      <c r="C8871" s="14">
        <f ca="1">IFERROR(__xludf.DUMMYFUNCTION("""COMPUTED_VALUE"""),13)</f>
        <v>13</v>
      </c>
      <c r="D8871" s="12" t="str">
        <f ca="1">IFERROR(__xludf.DUMMYFUNCTION("""COMPUTED_VALUE"""),"堀越 駿")</f>
        <v>堀越 駿</v>
      </c>
    </row>
    <row r="8872" spans="2:4" ht="13">
      <c r="B8872" s="12">
        <f ca="1">IFERROR(__xludf.DUMMYFUNCTION("""COMPUTED_VALUE"""),3102662)</f>
        <v>3102662</v>
      </c>
      <c r="C8872" s="14">
        <f ca="1">IFERROR(__xludf.DUMMYFUNCTION("""COMPUTED_VALUE"""),12)</f>
        <v>12</v>
      </c>
      <c r="D8872" s="12" t="str">
        <f ca="1">IFERROR(__xludf.DUMMYFUNCTION("""COMPUTED_VALUE"""),"堀越 駿")</f>
        <v>堀越 駿</v>
      </c>
    </row>
    <row r="8873" spans="2:4" ht="13">
      <c r="B8873" s="12">
        <f ca="1">IFERROR(__xludf.DUMMYFUNCTION("""COMPUTED_VALUE"""),3102665)</f>
        <v>3102665</v>
      </c>
      <c r="C8873" s="14">
        <f ca="1">IFERROR(__xludf.DUMMYFUNCTION("""COMPUTED_VALUE"""),12)</f>
        <v>12</v>
      </c>
      <c r="D8873" s="12" t="str">
        <f ca="1">IFERROR(__xludf.DUMMYFUNCTION("""COMPUTED_VALUE"""),"堀越 駿")</f>
        <v>堀越 駿</v>
      </c>
    </row>
    <row r="8874" spans="2:4" ht="13">
      <c r="B8874" s="12">
        <f ca="1">IFERROR(__xludf.DUMMYFUNCTION("""COMPUTED_VALUE"""),3102672)</f>
        <v>3102672</v>
      </c>
      <c r="C8874" s="14">
        <f ca="1">IFERROR(__xludf.DUMMYFUNCTION("""COMPUTED_VALUE"""),0)</f>
        <v>0</v>
      </c>
      <c r="D8874" s="12" t="str">
        <f ca="1">IFERROR(__xludf.DUMMYFUNCTION("""COMPUTED_VALUE"""),"堀越 駿")</f>
        <v>堀越 駿</v>
      </c>
    </row>
    <row r="8875" spans="2:4" ht="13">
      <c r="B8875" s="12">
        <f ca="1">IFERROR(__xludf.DUMMYFUNCTION("""COMPUTED_VALUE"""),3102673)</f>
        <v>3102673</v>
      </c>
      <c r="C8875" s="14">
        <f ca="1">IFERROR(__xludf.DUMMYFUNCTION("""COMPUTED_VALUE"""),0)</f>
        <v>0</v>
      </c>
      <c r="D8875" s="12" t="str">
        <f ca="1">IFERROR(__xludf.DUMMYFUNCTION("""COMPUTED_VALUE"""),"堀越 駿")</f>
        <v>堀越 駿</v>
      </c>
    </row>
    <row r="8876" spans="2:4" ht="13">
      <c r="B8876" s="12">
        <f ca="1">IFERROR(__xludf.DUMMYFUNCTION("""COMPUTED_VALUE"""),3102682)</f>
        <v>3102682</v>
      </c>
      <c r="C8876" s="14">
        <f ca="1">IFERROR(__xludf.DUMMYFUNCTION("""COMPUTED_VALUE"""),9)</f>
        <v>9</v>
      </c>
      <c r="D8876" s="12" t="str">
        <f ca="1">IFERROR(__xludf.DUMMYFUNCTION("""COMPUTED_VALUE"""),"堀越 駿")</f>
        <v>堀越 駿</v>
      </c>
    </row>
    <row r="8877" spans="2:4" ht="13">
      <c r="B8877" s="12">
        <f ca="1">IFERROR(__xludf.DUMMYFUNCTION("""COMPUTED_VALUE"""),3102689)</f>
        <v>3102689</v>
      </c>
      <c r="C8877" s="14">
        <f ca="1">IFERROR(__xludf.DUMMYFUNCTION("""COMPUTED_VALUE"""),1)</f>
        <v>1</v>
      </c>
      <c r="D8877" s="12" t="str">
        <f ca="1">IFERROR(__xludf.DUMMYFUNCTION("""COMPUTED_VALUE"""),"長谷川 陸朗")</f>
        <v>長谷川 陸朗</v>
      </c>
    </row>
    <row r="8878" spans="2:4" ht="13">
      <c r="B8878" s="12">
        <f ca="1">IFERROR(__xludf.DUMMYFUNCTION("""COMPUTED_VALUE"""),3102690)</f>
        <v>3102690</v>
      </c>
      <c r="C8878" s="14">
        <f ca="1">IFERROR(__xludf.DUMMYFUNCTION("""COMPUTED_VALUE"""),4)</f>
        <v>4</v>
      </c>
      <c r="D8878" s="12" t="str">
        <f ca="1">IFERROR(__xludf.DUMMYFUNCTION("""COMPUTED_VALUE"""),"長谷川 陸朗")</f>
        <v>長谷川 陸朗</v>
      </c>
    </row>
    <row r="8879" spans="2:4" ht="13">
      <c r="B8879" s="12">
        <f ca="1">IFERROR(__xludf.DUMMYFUNCTION("""COMPUTED_VALUE"""),3102697)</f>
        <v>3102697</v>
      </c>
      <c r="C8879" s="14">
        <f ca="1">IFERROR(__xludf.DUMMYFUNCTION("""COMPUTED_VALUE"""),0)</f>
        <v>0</v>
      </c>
      <c r="D8879" s="12" t="str">
        <f ca="1">IFERROR(__xludf.DUMMYFUNCTION("""COMPUTED_VALUE"""),"小関 麻起")</f>
        <v>小関 麻起</v>
      </c>
    </row>
    <row r="8880" spans="2:4" ht="13">
      <c r="B8880" s="12">
        <f ca="1">IFERROR(__xludf.DUMMYFUNCTION("""COMPUTED_VALUE"""),3102698)</f>
        <v>3102698</v>
      </c>
      <c r="C8880" s="14">
        <f ca="1">IFERROR(__xludf.DUMMYFUNCTION("""COMPUTED_VALUE"""),0)</f>
        <v>0</v>
      </c>
      <c r="D8880" s="12" t="str">
        <f ca="1">IFERROR(__xludf.DUMMYFUNCTION("""COMPUTED_VALUE"""),"小関 麻起")</f>
        <v>小関 麻起</v>
      </c>
    </row>
    <row r="8881" spans="2:4" ht="13">
      <c r="B8881" s="12">
        <f ca="1">IFERROR(__xludf.DUMMYFUNCTION("""COMPUTED_VALUE"""),3102699)</f>
        <v>3102699</v>
      </c>
      <c r="C8881" s="14">
        <f ca="1">IFERROR(__xludf.DUMMYFUNCTION("""COMPUTED_VALUE"""),3)</f>
        <v>3</v>
      </c>
      <c r="D8881" s="12" t="str">
        <f ca="1">IFERROR(__xludf.DUMMYFUNCTION("""COMPUTED_VALUE"""),"小関 麻起")</f>
        <v>小関 麻起</v>
      </c>
    </row>
    <row r="8882" spans="2:4" ht="13">
      <c r="B8882" s="12">
        <f ca="1">IFERROR(__xludf.DUMMYFUNCTION("""COMPUTED_VALUE"""),3102700)</f>
        <v>3102700</v>
      </c>
      <c r="C8882" s="14">
        <f ca="1">IFERROR(__xludf.DUMMYFUNCTION("""COMPUTED_VALUE"""),1)</f>
        <v>1</v>
      </c>
      <c r="D8882" s="12" t="str">
        <f ca="1">IFERROR(__xludf.DUMMYFUNCTION("""COMPUTED_VALUE"""),"小関 麻起")</f>
        <v>小関 麻起</v>
      </c>
    </row>
    <row r="8883" spans="2:4" ht="13">
      <c r="B8883" s="12">
        <f ca="1">IFERROR(__xludf.DUMMYFUNCTION("""COMPUTED_VALUE"""),3102702)</f>
        <v>3102702</v>
      </c>
      <c r="C8883" s="14">
        <f ca="1">IFERROR(__xludf.DUMMYFUNCTION("""COMPUTED_VALUE"""),55)</f>
        <v>55</v>
      </c>
      <c r="D8883" s="12" t="str">
        <f ca="1">IFERROR(__xludf.DUMMYFUNCTION("""COMPUTED_VALUE"""),"渋谷 雄大")</f>
        <v>渋谷 雄大</v>
      </c>
    </row>
    <row r="8884" spans="2:4" ht="13">
      <c r="B8884" s="12">
        <f ca="1">IFERROR(__xludf.DUMMYFUNCTION("""COMPUTED_VALUE"""),3102703)</f>
        <v>3102703</v>
      </c>
      <c r="C8884" s="14">
        <f ca="1">IFERROR(__xludf.DUMMYFUNCTION("""COMPUTED_VALUE"""),55)</f>
        <v>55</v>
      </c>
      <c r="D8884" s="12" t="str">
        <f ca="1">IFERROR(__xludf.DUMMYFUNCTION("""COMPUTED_VALUE"""),"渋谷 雄大")</f>
        <v>渋谷 雄大</v>
      </c>
    </row>
    <row r="8885" spans="2:4" ht="13">
      <c r="B8885" s="12">
        <f ca="1">IFERROR(__xludf.DUMMYFUNCTION("""COMPUTED_VALUE"""),3102704)</f>
        <v>3102704</v>
      </c>
      <c r="C8885" s="14">
        <f ca="1">IFERROR(__xludf.DUMMYFUNCTION("""COMPUTED_VALUE"""),52)</f>
        <v>52</v>
      </c>
      <c r="D8885" s="12" t="str">
        <f ca="1">IFERROR(__xludf.DUMMYFUNCTION("""COMPUTED_VALUE"""),"渋谷 雄大")</f>
        <v>渋谷 雄大</v>
      </c>
    </row>
    <row r="8886" spans="2:4" ht="13">
      <c r="B8886" s="12">
        <f ca="1">IFERROR(__xludf.DUMMYFUNCTION("""COMPUTED_VALUE"""),3102705)</f>
        <v>3102705</v>
      </c>
      <c r="C8886" s="14">
        <f ca="1">IFERROR(__xludf.DUMMYFUNCTION("""COMPUTED_VALUE"""),0)</f>
        <v>0</v>
      </c>
      <c r="D8886" s="12" t="str">
        <f ca="1">IFERROR(__xludf.DUMMYFUNCTION("""COMPUTED_VALUE"""),"渋谷 雄大")</f>
        <v>渋谷 雄大</v>
      </c>
    </row>
    <row r="8887" spans="2:4" ht="13">
      <c r="B8887" s="12">
        <f ca="1">IFERROR(__xludf.DUMMYFUNCTION("""COMPUTED_VALUE"""),3102706)</f>
        <v>3102706</v>
      </c>
      <c r="C8887" s="14">
        <f ca="1">IFERROR(__xludf.DUMMYFUNCTION("""COMPUTED_VALUE"""),28)</f>
        <v>28</v>
      </c>
      <c r="D8887" s="12" t="str">
        <f ca="1">IFERROR(__xludf.DUMMYFUNCTION("""COMPUTED_VALUE"""),"渋谷 雄大")</f>
        <v>渋谷 雄大</v>
      </c>
    </row>
    <row r="8888" spans="2:4" ht="13">
      <c r="B8888" s="12">
        <f ca="1">IFERROR(__xludf.DUMMYFUNCTION("""COMPUTED_VALUE"""),3102707)</f>
        <v>3102707</v>
      </c>
      <c r="C8888" s="14">
        <f ca="1">IFERROR(__xludf.DUMMYFUNCTION("""COMPUTED_VALUE"""),83)</f>
        <v>83</v>
      </c>
      <c r="D8888" s="12" t="str">
        <f ca="1">IFERROR(__xludf.DUMMYFUNCTION("""COMPUTED_VALUE"""),"渋谷 雄大")</f>
        <v>渋谷 雄大</v>
      </c>
    </row>
    <row r="8889" spans="2:4" ht="13">
      <c r="B8889" s="12">
        <f ca="1">IFERROR(__xludf.DUMMYFUNCTION("""COMPUTED_VALUE"""),3102708)</f>
        <v>3102708</v>
      </c>
      <c r="C8889" s="14">
        <f ca="1">IFERROR(__xludf.DUMMYFUNCTION("""COMPUTED_VALUE"""),14)</f>
        <v>14</v>
      </c>
      <c r="D8889" s="12" t="str">
        <f ca="1">IFERROR(__xludf.DUMMYFUNCTION("""COMPUTED_VALUE"""),"稲場 勇介")</f>
        <v>稲場 勇介</v>
      </c>
    </row>
    <row r="8890" spans="2:4" ht="13">
      <c r="B8890" s="12">
        <f ca="1">IFERROR(__xludf.DUMMYFUNCTION("""COMPUTED_VALUE"""),3102719)</f>
        <v>3102719</v>
      </c>
      <c r="C8890" s="14">
        <f ca="1">IFERROR(__xludf.DUMMYFUNCTION("""COMPUTED_VALUE"""),44)</f>
        <v>44</v>
      </c>
      <c r="D8890" s="12" t="str">
        <f ca="1">IFERROR(__xludf.DUMMYFUNCTION("""COMPUTED_VALUE"""),"松尾 尚樹")</f>
        <v>松尾 尚樹</v>
      </c>
    </row>
    <row r="8891" spans="2:4" ht="13">
      <c r="B8891" s="12">
        <f ca="1">IFERROR(__xludf.DUMMYFUNCTION("""COMPUTED_VALUE"""),3102720)</f>
        <v>3102720</v>
      </c>
      <c r="C8891" s="14">
        <f ca="1">IFERROR(__xludf.DUMMYFUNCTION("""COMPUTED_VALUE"""),12)</f>
        <v>12</v>
      </c>
      <c r="D8891" s="12" t="str">
        <f ca="1">IFERROR(__xludf.DUMMYFUNCTION("""COMPUTED_VALUE"""),"松尾 尚樹")</f>
        <v>松尾 尚樹</v>
      </c>
    </row>
    <row r="8892" spans="2:4" ht="13">
      <c r="B8892" s="12">
        <f ca="1">IFERROR(__xludf.DUMMYFUNCTION("""COMPUTED_VALUE"""),3102728)</f>
        <v>3102728</v>
      </c>
      <c r="C8892" s="14">
        <f ca="1">IFERROR(__xludf.DUMMYFUNCTION("""COMPUTED_VALUE"""),186)</f>
        <v>186</v>
      </c>
      <c r="D8892" s="12" t="str">
        <f ca="1">IFERROR(__xludf.DUMMYFUNCTION("""COMPUTED_VALUE"""),"松尾 尚樹")</f>
        <v>松尾 尚樹</v>
      </c>
    </row>
    <row r="8893" spans="2:4" ht="13">
      <c r="B8893" s="12">
        <f ca="1">IFERROR(__xludf.DUMMYFUNCTION("""COMPUTED_VALUE"""),3102732)</f>
        <v>3102732</v>
      </c>
      <c r="C8893" s="14">
        <f ca="1">IFERROR(__xludf.DUMMYFUNCTION("""COMPUTED_VALUE"""),262)</f>
        <v>262</v>
      </c>
      <c r="D8893" s="12" t="str">
        <f ca="1">IFERROR(__xludf.DUMMYFUNCTION("""COMPUTED_VALUE"""),"成嶋 夏未")</f>
        <v>成嶋 夏未</v>
      </c>
    </row>
    <row r="8894" spans="2:4" ht="13">
      <c r="B8894" s="12">
        <f ca="1">IFERROR(__xludf.DUMMYFUNCTION("""COMPUTED_VALUE"""),3102741)</f>
        <v>3102741</v>
      </c>
      <c r="C8894" s="14">
        <f ca="1">IFERROR(__xludf.DUMMYFUNCTION("""COMPUTED_VALUE"""),3)</f>
        <v>3</v>
      </c>
      <c r="D8894" s="12" t="str">
        <f ca="1">IFERROR(__xludf.DUMMYFUNCTION("""COMPUTED_VALUE"""),"菅野 ぎんが")</f>
        <v>菅野 ぎんが</v>
      </c>
    </row>
    <row r="8895" spans="2:4" ht="13">
      <c r="B8895" s="12">
        <f ca="1">IFERROR(__xludf.DUMMYFUNCTION("""COMPUTED_VALUE"""),3102744)</f>
        <v>3102744</v>
      </c>
      <c r="C8895" s="14">
        <f ca="1">IFERROR(__xludf.DUMMYFUNCTION("""COMPUTED_VALUE"""),0)</f>
        <v>0</v>
      </c>
      <c r="D8895" s="12" t="str">
        <f ca="1">IFERROR(__xludf.DUMMYFUNCTION("""COMPUTED_VALUE"""),"菅野 ぎんが")</f>
        <v>菅野 ぎんが</v>
      </c>
    </row>
    <row r="8896" spans="2:4" ht="13">
      <c r="B8896" s="12">
        <f ca="1">IFERROR(__xludf.DUMMYFUNCTION("""COMPUTED_VALUE"""),3102752)</f>
        <v>3102752</v>
      </c>
      <c r="C8896" s="14">
        <f ca="1">IFERROR(__xludf.DUMMYFUNCTION("""COMPUTED_VALUE"""),21)</f>
        <v>21</v>
      </c>
      <c r="D8896" s="12" t="str">
        <f ca="1">IFERROR(__xludf.DUMMYFUNCTION("""COMPUTED_VALUE"""),"老田 純輝")</f>
        <v>老田 純輝</v>
      </c>
    </row>
    <row r="8897" spans="2:4" ht="13">
      <c r="B8897" s="12">
        <f ca="1">IFERROR(__xludf.DUMMYFUNCTION("""COMPUTED_VALUE"""),3102756)</f>
        <v>3102756</v>
      </c>
      <c r="C8897" s="14">
        <f ca="1">IFERROR(__xludf.DUMMYFUNCTION("""COMPUTED_VALUE"""),5)</f>
        <v>5</v>
      </c>
      <c r="D8897" s="12" t="str">
        <f ca="1">IFERROR(__xludf.DUMMYFUNCTION("""COMPUTED_VALUE"""),"老田 純輝")</f>
        <v>老田 純輝</v>
      </c>
    </row>
    <row r="8898" spans="2:4" ht="13">
      <c r="B8898" s="12">
        <f ca="1">IFERROR(__xludf.DUMMYFUNCTION("""COMPUTED_VALUE"""),3102763)</f>
        <v>3102763</v>
      </c>
      <c r="C8898" s="14">
        <f ca="1">IFERROR(__xludf.DUMMYFUNCTION("""COMPUTED_VALUE"""),6)</f>
        <v>6</v>
      </c>
      <c r="D8898" s="12" t="str">
        <f ca="1">IFERROR(__xludf.DUMMYFUNCTION("""COMPUTED_VALUE"""),"田嶋 将太")</f>
        <v>田嶋 将太</v>
      </c>
    </row>
    <row r="8899" spans="2:4" ht="13">
      <c r="B8899" s="12">
        <f ca="1">IFERROR(__xludf.DUMMYFUNCTION("""COMPUTED_VALUE"""),3102771)</f>
        <v>3102771</v>
      </c>
      <c r="C8899" s="14">
        <f ca="1">IFERROR(__xludf.DUMMYFUNCTION("""COMPUTED_VALUE"""),3)</f>
        <v>3</v>
      </c>
      <c r="D8899" s="12" t="str">
        <f ca="1">IFERROR(__xludf.DUMMYFUNCTION("""COMPUTED_VALUE"""),"老田 純輝")</f>
        <v>老田 純輝</v>
      </c>
    </row>
    <row r="8900" spans="2:4" ht="13">
      <c r="B8900" s="12">
        <f ca="1">IFERROR(__xludf.DUMMYFUNCTION("""COMPUTED_VALUE"""),3102772)</f>
        <v>3102772</v>
      </c>
      <c r="C8900" s="14">
        <f ca="1">IFERROR(__xludf.DUMMYFUNCTION("""COMPUTED_VALUE"""),1)</f>
        <v>1</v>
      </c>
      <c r="D8900" s="12" t="str">
        <f ca="1">IFERROR(__xludf.DUMMYFUNCTION("""COMPUTED_VALUE"""),"老田 純輝")</f>
        <v>老田 純輝</v>
      </c>
    </row>
    <row r="8901" spans="2:4" ht="13">
      <c r="B8901" s="12">
        <f ca="1">IFERROR(__xludf.DUMMYFUNCTION("""COMPUTED_VALUE"""),3102773)</f>
        <v>3102773</v>
      </c>
      <c r="C8901" s="14">
        <f ca="1">IFERROR(__xludf.DUMMYFUNCTION("""COMPUTED_VALUE"""),0)</f>
        <v>0</v>
      </c>
      <c r="D8901" s="12" t="str">
        <f ca="1">IFERROR(__xludf.DUMMYFUNCTION("""COMPUTED_VALUE"""),"老田 純輝")</f>
        <v>老田 純輝</v>
      </c>
    </row>
    <row r="8902" spans="2:4" ht="13">
      <c r="B8902" s="12">
        <f ca="1">IFERROR(__xludf.DUMMYFUNCTION("""COMPUTED_VALUE"""),3102775)</f>
        <v>3102775</v>
      </c>
      <c r="C8902" s="14">
        <f ca="1">IFERROR(__xludf.DUMMYFUNCTION("""COMPUTED_VALUE"""),3)</f>
        <v>3</v>
      </c>
      <c r="D8902" s="12" t="str">
        <f ca="1">IFERROR(__xludf.DUMMYFUNCTION("""COMPUTED_VALUE"""),"老田 純輝")</f>
        <v>老田 純輝</v>
      </c>
    </row>
    <row r="8903" spans="2:4" ht="13">
      <c r="B8903" s="12">
        <f ca="1">IFERROR(__xludf.DUMMYFUNCTION("""COMPUTED_VALUE"""),3102776)</f>
        <v>3102776</v>
      </c>
      <c r="C8903" s="14">
        <f ca="1">IFERROR(__xludf.DUMMYFUNCTION("""COMPUTED_VALUE"""),1)</f>
        <v>1</v>
      </c>
      <c r="D8903" s="12" t="str">
        <f ca="1">IFERROR(__xludf.DUMMYFUNCTION("""COMPUTED_VALUE"""),"老田 純輝")</f>
        <v>老田 純輝</v>
      </c>
    </row>
    <row r="8904" spans="2:4" ht="13">
      <c r="B8904" s="12">
        <f ca="1">IFERROR(__xludf.DUMMYFUNCTION("""COMPUTED_VALUE"""),3102777)</f>
        <v>3102777</v>
      </c>
      <c r="C8904" s="14">
        <f ca="1">IFERROR(__xludf.DUMMYFUNCTION("""COMPUTED_VALUE"""),0)</f>
        <v>0</v>
      </c>
      <c r="D8904" s="12" t="str">
        <f ca="1">IFERROR(__xludf.DUMMYFUNCTION("""COMPUTED_VALUE"""),"老田 純輝")</f>
        <v>老田 純輝</v>
      </c>
    </row>
    <row r="8905" spans="2:4" ht="13">
      <c r="B8905" s="12">
        <f ca="1">IFERROR(__xludf.DUMMYFUNCTION("""COMPUTED_VALUE"""),3102778)</f>
        <v>3102778</v>
      </c>
      <c r="C8905" s="14">
        <f ca="1">IFERROR(__xludf.DUMMYFUNCTION("""COMPUTED_VALUE"""),1)</f>
        <v>1</v>
      </c>
      <c r="D8905" s="12" t="str">
        <f ca="1">IFERROR(__xludf.DUMMYFUNCTION("""COMPUTED_VALUE"""),"老田 純輝")</f>
        <v>老田 純輝</v>
      </c>
    </row>
    <row r="8906" spans="2:4" ht="13">
      <c r="B8906" s="12">
        <f ca="1">IFERROR(__xludf.DUMMYFUNCTION("""COMPUTED_VALUE"""),3102779)</f>
        <v>3102779</v>
      </c>
      <c r="C8906" s="14">
        <f ca="1">IFERROR(__xludf.DUMMYFUNCTION("""COMPUTED_VALUE"""),9)</f>
        <v>9</v>
      </c>
      <c r="D8906" s="12" t="str">
        <f ca="1">IFERROR(__xludf.DUMMYFUNCTION("""COMPUTED_VALUE"""),"老田 純輝")</f>
        <v>老田 純輝</v>
      </c>
    </row>
    <row r="8907" spans="2:4" ht="13">
      <c r="B8907" s="12">
        <f ca="1">IFERROR(__xludf.DUMMYFUNCTION("""COMPUTED_VALUE"""),3102780)</f>
        <v>3102780</v>
      </c>
      <c r="C8907" s="14">
        <f ca="1">IFERROR(__xludf.DUMMYFUNCTION("""COMPUTED_VALUE"""),2)</f>
        <v>2</v>
      </c>
      <c r="D8907" s="12" t="str">
        <f ca="1">IFERROR(__xludf.DUMMYFUNCTION("""COMPUTED_VALUE"""),"老田 純輝")</f>
        <v>老田 純輝</v>
      </c>
    </row>
    <row r="8908" spans="2:4" ht="13">
      <c r="B8908" s="12">
        <f ca="1">IFERROR(__xludf.DUMMYFUNCTION("""COMPUTED_VALUE"""),3102781)</f>
        <v>3102781</v>
      </c>
      <c r="C8908" s="14">
        <f ca="1">IFERROR(__xludf.DUMMYFUNCTION("""COMPUTED_VALUE"""),1)</f>
        <v>1</v>
      </c>
      <c r="D8908" s="12" t="str">
        <f ca="1">IFERROR(__xludf.DUMMYFUNCTION("""COMPUTED_VALUE"""),"老田 純輝")</f>
        <v>老田 純輝</v>
      </c>
    </row>
    <row r="8909" spans="2:4" ht="13">
      <c r="B8909" s="12">
        <f ca="1">IFERROR(__xludf.DUMMYFUNCTION("""COMPUTED_VALUE"""),3102782)</f>
        <v>3102782</v>
      </c>
      <c r="C8909" s="14">
        <f ca="1">IFERROR(__xludf.DUMMYFUNCTION("""COMPUTED_VALUE"""),1)</f>
        <v>1</v>
      </c>
      <c r="D8909" s="12" t="str">
        <f ca="1">IFERROR(__xludf.DUMMYFUNCTION("""COMPUTED_VALUE"""),"老田 純輝")</f>
        <v>老田 純輝</v>
      </c>
    </row>
    <row r="8910" spans="2:4" ht="13">
      <c r="B8910" s="12">
        <f ca="1">IFERROR(__xludf.DUMMYFUNCTION("""COMPUTED_VALUE"""),3102784)</f>
        <v>3102784</v>
      </c>
      <c r="C8910" s="14">
        <f ca="1">IFERROR(__xludf.DUMMYFUNCTION("""COMPUTED_VALUE"""),0)</f>
        <v>0</v>
      </c>
      <c r="D8910" s="12" t="str">
        <f ca="1">IFERROR(__xludf.DUMMYFUNCTION("""COMPUTED_VALUE"""),"老田 純輝")</f>
        <v>老田 純輝</v>
      </c>
    </row>
    <row r="8911" spans="2:4" ht="13">
      <c r="B8911" s="12">
        <f ca="1">IFERROR(__xludf.DUMMYFUNCTION("""COMPUTED_VALUE"""),3102786)</f>
        <v>3102786</v>
      </c>
      <c r="C8911" s="14">
        <f ca="1">IFERROR(__xludf.DUMMYFUNCTION("""COMPUTED_VALUE"""),92)</f>
        <v>92</v>
      </c>
      <c r="D8911" s="12" t="str">
        <f ca="1">IFERROR(__xludf.DUMMYFUNCTION("""COMPUTED_VALUE"""),"川島 幹也")</f>
        <v>川島 幹也</v>
      </c>
    </row>
    <row r="8912" spans="2:4" ht="13">
      <c r="B8912" s="12">
        <f ca="1">IFERROR(__xludf.DUMMYFUNCTION("""COMPUTED_VALUE"""),3102788)</f>
        <v>3102788</v>
      </c>
      <c r="C8912" s="14">
        <f ca="1">IFERROR(__xludf.DUMMYFUNCTION("""COMPUTED_VALUE"""),61)</f>
        <v>61</v>
      </c>
      <c r="D8912" s="12" t="str">
        <f ca="1">IFERROR(__xludf.DUMMYFUNCTION("""COMPUTED_VALUE"""),"川島 幹也")</f>
        <v>川島 幹也</v>
      </c>
    </row>
    <row r="8913" spans="2:4" ht="13">
      <c r="B8913" s="12">
        <f ca="1">IFERROR(__xludf.DUMMYFUNCTION("""COMPUTED_VALUE"""),3102793)</f>
        <v>3102793</v>
      </c>
      <c r="C8913" s="14">
        <f ca="1">IFERROR(__xludf.DUMMYFUNCTION("""COMPUTED_VALUE"""),2)</f>
        <v>2</v>
      </c>
      <c r="D8913" s="12" t="str">
        <f ca="1">IFERROR(__xludf.DUMMYFUNCTION("""COMPUTED_VALUE"""),"川島 幹也")</f>
        <v>川島 幹也</v>
      </c>
    </row>
    <row r="8914" spans="2:4" ht="13">
      <c r="B8914" s="12">
        <f ca="1">IFERROR(__xludf.DUMMYFUNCTION("""COMPUTED_VALUE"""),3102794)</f>
        <v>3102794</v>
      </c>
      <c r="C8914" s="14">
        <f ca="1">IFERROR(__xludf.DUMMYFUNCTION("""COMPUTED_VALUE"""),1)</f>
        <v>1</v>
      </c>
      <c r="D8914" s="12" t="str">
        <f ca="1">IFERROR(__xludf.DUMMYFUNCTION("""COMPUTED_VALUE"""),"川島 幹也")</f>
        <v>川島 幹也</v>
      </c>
    </row>
    <row r="8915" spans="2:4" ht="13">
      <c r="B8915" s="12">
        <f ca="1">IFERROR(__xludf.DUMMYFUNCTION("""COMPUTED_VALUE"""),3102798)</f>
        <v>3102798</v>
      </c>
      <c r="C8915" s="14">
        <f ca="1">IFERROR(__xludf.DUMMYFUNCTION("""COMPUTED_VALUE"""),0)</f>
        <v>0</v>
      </c>
      <c r="D8915" s="12" t="str">
        <f ca="1">IFERROR(__xludf.DUMMYFUNCTION("""COMPUTED_VALUE"""),"川島 幹也")</f>
        <v>川島 幹也</v>
      </c>
    </row>
    <row r="8916" spans="2:4" ht="13">
      <c r="B8916" s="12">
        <f ca="1">IFERROR(__xludf.DUMMYFUNCTION("""COMPUTED_VALUE"""),3102799)</f>
        <v>3102799</v>
      </c>
      <c r="C8916" s="14">
        <f ca="1">IFERROR(__xludf.DUMMYFUNCTION("""COMPUTED_VALUE"""),2)</f>
        <v>2</v>
      </c>
      <c r="D8916" s="12" t="str">
        <f ca="1">IFERROR(__xludf.DUMMYFUNCTION("""COMPUTED_VALUE"""),"川島 幹也")</f>
        <v>川島 幹也</v>
      </c>
    </row>
    <row r="8917" spans="2:4" ht="13">
      <c r="B8917" s="12">
        <f ca="1">IFERROR(__xludf.DUMMYFUNCTION("""COMPUTED_VALUE"""),3102811)</f>
        <v>3102811</v>
      </c>
      <c r="C8917" s="14">
        <f ca="1">IFERROR(__xludf.DUMMYFUNCTION("""COMPUTED_VALUE"""),25)</f>
        <v>25</v>
      </c>
      <c r="D8917" s="12" t="str">
        <f ca="1">IFERROR(__xludf.DUMMYFUNCTION("""COMPUTED_VALUE"""),"内丸 裕子")</f>
        <v>内丸 裕子</v>
      </c>
    </row>
    <row r="8918" spans="2:4" ht="13">
      <c r="B8918" s="12">
        <f ca="1">IFERROR(__xludf.DUMMYFUNCTION("""COMPUTED_VALUE"""),3102812)</f>
        <v>3102812</v>
      </c>
      <c r="C8918" s="14">
        <f ca="1">IFERROR(__xludf.DUMMYFUNCTION("""COMPUTED_VALUE"""),14)</f>
        <v>14</v>
      </c>
      <c r="D8918" s="12" t="str">
        <f ca="1">IFERROR(__xludf.DUMMYFUNCTION("""COMPUTED_VALUE"""),"内丸 裕子")</f>
        <v>内丸 裕子</v>
      </c>
    </row>
    <row r="8919" spans="2:4" ht="13">
      <c r="B8919" s="12">
        <f ca="1">IFERROR(__xludf.DUMMYFUNCTION("""COMPUTED_VALUE"""),3102817)</f>
        <v>3102817</v>
      </c>
      <c r="C8919" s="14">
        <f ca="1">IFERROR(__xludf.DUMMYFUNCTION("""COMPUTED_VALUE"""),4)</f>
        <v>4</v>
      </c>
      <c r="D8919" s="12" t="str">
        <f ca="1">IFERROR(__xludf.DUMMYFUNCTION("""COMPUTED_VALUE"""),"内丸 裕子")</f>
        <v>内丸 裕子</v>
      </c>
    </row>
    <row r="8920" spans="2:4" ht="13">
      <c r="B8920" s="12">
        <f ca="1">IFERROR(__xludf.DUMMYFUNCTION("""COMPUTED_VALUE"""),3102824)</f>
        <v>3102824</v>
      </c>
      <c r="C8920" s="14">
        <f ca="1">IFERROR(__xludf.DUMMYFUNCTION("""COMPUTED_VALUE"""),0)</f>
        <v>0</v>
      </c>
      <c r="D8920" s="12" t="str">
        <f ca="1">IFERROR(__xludf.DUMMYFUNCTION("""COMPUTED_VALUE"""),"内丸 裕子")</f>
        <v>内丸 裕子</v>
      </c>
    </row>
    <row r="8921" spans="2:4" ht="13">
      <c r="B8921" s="12">
        <f ca="1">IFERROR(__xludf.DUMMYFUNCTION("""COMPUTED_VALUE"""),3102826)</f>
        <v>3102826</v>
      </c>
      <c r="C8921" s="14">
        <f ca="1">IFERROR(__xludf.DUMMYFUNCTION("""COMPUTED_VALUE"""),0)</f>
        <v>0</v>
      </c>
      <c r="D8921" s="12" t="str">
        <f ca="1">IFERROR(__xludf.DUMMYFUNCTION("""COMPUTED_VALUE"""),"内丸 裕子")</f>
        <v>内丸 裕子</v>
      </c>
    </row>
    <row r="8922" spans="2:4" ht="13">
      <c r="B8922" s="12">
        <f ca="1">IFERROR(__xludf.DUMMYFUNCTION("""COMPUTED_VALUE"""),3102827)</f>
        <v>3102827</v>
      </c>
      <c r="C8922" s="14">
        <f ca="1">IFERROR(__xludf.DUMMYFUNCTION("""COMPUTED_VALUE"""),0)</f>
        <v>0</v>
      </c>
      <c r="D8922" s="12" t="str">
        <f ca="1">IFERROR(__xludf.DUMMYFUNCTION("""COMPUTED_VALUE"""),"内丸 裕子")</f>
        <v>内丸 裕子</v>
      </c>
    </row>
    <row r="8923" spans="2:4" ht="13">
      <c r="B8923" s="12">
        <f ca="1">IFERROR(__xludf.DUMMYFUNCTION("""COMPUTED_VALUE"""),3102840)</f>
        <v>3102840</v>
      </c>
      <c r="C8923" s="14">
        <f ca="1">IFERROR(__xludf.DUMMYFUNCTION("""COMPUTED_VALUE"""),0)</f>
        <v>0</v>
      </c>
      <c r="D8923" s="12" t="str">
        <f ca="1">IFERROR(__xludf.DUMMYFUNCTION("""COMPUTED_VALUE"""),"内丸 裕子")</f>
        <v>内丸 裕子</v>
      </c>
    </row>
    <row r="8924" spans="2:4" ht="13">
      <c r="B8924" s="12">
        <f ca="1">IFERROR(__xludf.DUMMYFUNCTION("""COMPUTED_VALUE"""),3102841)</f>
        <v>3102841</v>
      </c>
      <c r="C8924" s="14">
        <f ca="1">IFERROR(__xludf.DUMMYFUNCTION("""COMPUTED_VALUE"""),0)</f>
        <v>0</v>
      </c>
      <c r="D8924" s="12" t="str">
        <f ca="1">IFERROR(__xludf.DUMMYFUNCTION("""COMPUTED_VALUE"""),"内丸 裕子")</f>
        <v>内丸 裕子</v>
      </c>
    </row>
    <row r="8925" spans="2:4" ht="13">
      <c r="B8925" s="12">
        <f ca="1">IFERROR(__xludf.DUMMYFUNCTION("""COMPUTED_VALUE"""),3102847)</f>
        <v>3102847</v>
      </c>
      <c r="C8925" s="14">
        <f ca="1">IFERROR(__xludf.DUMMYFUNCTION("""COMPUTED_VALUE"""),145)</f>
        <v>145</v>
      </c>
      <c r="D8925" s="12" t="str">
        <f ca="1">IFERROR(__xludf.DUMMYFUNCTION("""COMPUTED_VALUE"""),"内丸 裕子")</f>
        <v>内丸 裕子</v>
      </c>
    </row>
    <row r="8926" spans="2:4" ht="13">
      <c r="B8926" s="12">
        <f ca="1">IFERROR(__xludf.DUMMYFUNCTION("""COMPUTED_VALUE"""),3102854)</f>
        <v>3102854</v>
      </c>
      <c r="C8926" s="14">
        <f ca="1">IFERROR(__xludf.DUMMYFUNCTION("""COMPUTED_VALUE"""),0)</f>
        <v>0</v>
      </c>
      <c r="D8926" s="12" t="str">
        <f ca="1">IFERROR(__xludf.DUMMYFUNCTION("""COMPUTED_VALUE"""),"内丸 裕子")</f>
        <v>内丸 裕子</v>
      </c>
    </row>
    <row r="8927" spans="2:4" ht="13">
      <c r="B8927" s="12">
        <f ca="1">IFERROR(__xludf.DUMMYFUNCTION("""COMPUTED_VALUE"""),3102860)</f>
        <v>3102860</v>
      </c>
      <c r="C8927" s="14">
        <f ca="1">IFERROR(__xludf.DUMMYFUNCTION("""COMPUTED_VALUE"""),0)</f>
        <v>0</v>
      </c>
      <c r="D8927" s="12" t="str">
        <f ca="1">IFERROR(__xludf.DUMMYFUNCTION("""COMPUTED_VALUE"""),"川島 幹也")</f>
        <v>川島 幹也</v>
      </c>
    </row>
    <row r="8928" spans="2:4" ht="13">
      <c r="B8928" s="12">
        <f ca="1">IFERROR(__xludf.DUMMYFUNCTION("""COMPUTED_VALUE"""),3102861)</f>
        <v>3102861</v>
      </c>
      <c r="C8928" s="14">
        <f ca="1">IFERROR(__xludf.DUMMYFUNCTION("""COMPUTED_VALUE"""),0)</f>
        <v>0</v>
      </c>
      <c r="D8928" s="12" t="str">
        <f ca="1">IFERROR(__xludf.DUMMYFUNCTION("""COMPUTED_VALUE"""),"川島 幹也")</f>
        <v>川島 幹也</v>
      </c>
    </row>
    <row r="8929" spans="2:4" ht="13">
      <c r="B8929" s="12">
        <f ca="1">IFERROR(__xludf.DUMMYFUNCTION("""COMPUTED_VALUE"""),3102864)</f>
        <v>3102864</v>
      </c>
      <c r="C8929" s="14">
        <f ca="1">IFERROR(__xludf.DUMMYFUNCTION("""COMPUTED_VALUE"""),5)</f>
        <v>5</v>
      </c>
      <c r="D8929" s="12" t="str">
        <f ca="1">IFERROR(__xludf.DUMMYFUNCTION("""COMPUTED_VALUE"""),"桑原 明子")</f>
        <v>桑原 明子</v>
      </c>
    </row>
    <row r="8930" spans="2:4" ht="13">
      <c r="B8930" s="12">
        <f ca="1">IFERROR(__xludf.DUMMYFUNCTION("""COMPUTED_VALUE"""),3102869)</f>
        <v>3102869</v>
      </c>
      <c r="C8930" s="14">
        <f ca="1">IFERROR(__xludf.DUMMYFUNCTION("""COMPUTED_VALUE"""),1)</f>
        <v>1</v>
      </c>
      <c r="D8930" s="12" t="str">
        <f ca="1">IFERROR(__xludf.DUMMYFUNCTION("""COMPUTED_VALUE"""),"桑原 明子")</f>
        <v>桑原 明子</v>
      </c>
    </row>
    <row r="8931" spans="2:4" ht="13">
      <c r="B8931" s="12">
        <f ca="1">IFERROR(__xludf.DUMMYFUNCTION("""COMPUTED_VALUE"""),3102870)</f>
        <v>3102870</v>
      </c>
      <c r="C8931" s="14">
        <f ca="1">IFERROR(__xludf.DUMMYFUNCTION("""COMPUTED_VALUE"""),9)</f>
        <v>9</v>
      </c>
      <c r="D8931" s="12" t="str">
        <f ca="1">IFERROR(__xludf.DUMMYFUNCTION("""COMPUTED_VALUE"""),"桑原 明子")</f>
        <v>桑原 明子</v>
      </c>
    </row>
    <row r="8932" spans="2:4" ht="13">
      <c r="B8932" s="12">
        <f ca="1">IFERROR(__xludf.DUMMYFUNCTION("""COMPUTED_VALUE"""),3102871)</f>
        <v>3102871</v>
      </c>
      <c r="C8932" s="14">
        <f ca="1">IFERROR(__xludf.DUMMYFUNCTION("""COMPUTED_VALUE"""),16)</f>
        <v>16</v>
      </c>
      <c r="D8932" s="12" t="str">
        <f ca="1">IFERROR(__xludf.DUMMYFUNCTION("""COMPUTED_VALUE"""),"桑原 明子")</f>
        <v>桑原 明子</v>
      </c>
    </row>
    <row r="8933" spans="2:4" ht="13">
      <c r="B8933" s="12">
        <f ca="1">IFERROR(__xludf.DUMMYFUNCTION("""COMPUTED_VALUE"""),3102873)</f>
        <v>3102873</v>
      </c>
      <c r="C8933" s="14">
        <f ca="1">IFERROR(__xludf.DUMMYFUNCTION("""COMPUTED_VALUE"""),5)</f>
        <v>5</v>
      </c>
      <c r="D8933" s="12" t="str">
        <f ca="1">IFERROR(__xludf.DUMMYFUNCTION("""COMPUTED_VALUE"""),"桑原 明子")</f>
        <v>桑原 明子</v>
      </c>
    </row>
    <row r="8934" spans="2:4" ht="13">
      <c r="B8934" s="12">
        <f ca="1">IFERROR(__xludf.DUMMYFUNCTION("""COMPUTED_VALUE"""),3102874)</f>
        <v>3102874</v>
      </c>
      <c r="C8934" s="14">
        <f ca="1">IFERROR(__xludf.DUMMYFUNCTION("""COMPUTED_VALUE"""),2)</f>
        <v>2</v>
      </c>
      <c r="D8934" s="12" t="str">
        <f ca="1">IFERROR(__xludf.DUMMYFUNCTION("""COMPUTED_VALUE"""),"桑原 明子")</f>
        <v>桑原 明子</v>
      </c>
    </row>
    <row r="8935" spans="2:4" ht="13">
      <c r="B8935" s="12">
        <f ca="1">IFERROR(__xludf.DUMMYFUNCTION("""COMPUTED_VALUE"""),3102876)</f>
        <v>3102876</v>
      </c>
      <c r="C8935" s="14">
        <f ca="1">IFERROR(__xludf.DUMMYFUNCTION("""COMPUTED_VALUE"""),0)</f>
        <v>0</v>
      </c>
      <c r="D8935" s="12" t="str">
        <f ca="1">IFERROR(__xludf.DUMMYFUNCTION("""COMPUTED_VALUE"""),"辻村 将大")</f>
        <v>辻村 将大</v>
      </c>
    </row>
    <row r="8936" spans="2:4" ht="13">
      <c r="B8936" s="12">
        <f ca="1">IFERROR(__xludf.DUMMYFUNCTION("""COMPUTED_VALUE"""),3102886)</f>
        <v>3102886</v>
      </c>
      <c r="C8936" s="14">
        <f ca="1">IFERROR(__xludf.DUMMYFUNCTION("""COMPUTED_VALUE"""),3)</f>
        <v>3</v>
      </c>
      <c r="D8936" s="12" t="str">
        <f ca="1">IFERROR(__xludf.DUMMYFUNCTION("""COMPUTED_VALUE"""),"辻村 将大")</f>
        <v>辻村 将大</v>
      </c>
    </row>
    <row r="8937" spans="2:4" ht="13">
      <c r="B8937" s="12">
        <f ca="1">IFERROR(__xludf.DUMMYFUNCTION("""COMPUTED_VALUE"""),3102887)</f>
        <v>3102887</v>
      </c>
      <c r="C8937" s="14">
        <f ca="1">IFERROR(__xludf.DUMMYFUNCTION("""COMPUTED_VALUE"""),2)</f>
        <v>2</v>
      </c>
      <c r="D8937" s="12" t="str">
        <f ca="1">IFERROR(__xludf.DUMMYFUNCTION("""COMPUTED_VALUE"""),"辻村 将大")</f>
        <v>辻村 将大</v>
      </c>
    </row>
    <row r="8938" spans="2:4" ht="13">
      <c r="B8938" s="12">
        <f ca="1">IFERROR(__xludf.DUMMYFUNCTION("""COMPUTED_VALUE"""),3102888)</f>
        <v>3102888</v>
      </c>
      <c r="C8938" s="14">
        <f ca="1">IFERROR(__xludf.DUMMYFUNCTION("""COMPUTED_VALUE"""),1)</f>
        <v>1</v>
      </c>
      <c r="D8938" s="12" t="str">
        <f ca="1">IFERROR(__xludf.DUMMYFUNCTION("""COMPUTED_VALUE"""),"辻村 将大")</f>
        <v>辻村 将大</v>
      </c>
    </row>
    <row r="8939" spans="2:4" ht="13">
      <c r="B8939" s="12">
        <f ca="1">IFERROR(__xludf.DUMMYFUNCTION("""COMPUTED_VALUE"""),3102894)</f>
        <v>3102894</v>
      </c>
      <c r="C8939" s="14">
        <f ca="1">IFERROR(__xludf.DUMMYFUNCTION("""COMPUTED_VALUE"""),46)</f>
        <v>46</v>
      </c>
      <c r="D8939" s="12" t="str">
        <f ca="1">IFERROR(__xludf.DUMMYFUNCTION("""COMPUTED_VALUE"""),"荻曽 克輝")</f>
        <v>荻曽 克輝</v>
      </c>
    </row>
    <row r="8940" spans="2:4" ht="13">
      <c r="B8940" s="12">
        <f ca="1">IFERROR(__xludf.DUMMYFUNCTION("""COMPUTED_VALUE"""),3102895)</f>
        <v>3102895</v>
      </c>
      <c r="C8940" s="14">
        <f ca="1">IFERROR(__xludf.DUMMYFUNCTION("""COMPUTED_VALUE"""),104)</f>
        <v>104</v>
      </c>
      <c r="D8940" s="12" t="str">
        <f ca="1">IFERROR(__xludf.DUMMYFUNCTION("""COMPUTED_VALUE"""),"荻曽 克輝")</f>
        <v>荻曽 克輝</v>
      </c>
    </row>
    <row r="8941" spans="2:4" ht="13">
      <c r="B8941" s="12">
        <f ca="1">IFERROR(__xludf.DUMMYFUNCTION("""COMPUTED_VALUE"""),3102896)</f>
        <v>3102896</v>
      </c>
      <c r="C8941" s="14">
        <f ca="1">IFERROR(__xludf.DUMMYFUNCTION("""COMPUTED_VALUE"""),121)</f>
        <v>121</v>
      </c>
      <c r="D8941" s="12" t="str">
        <f ca="1">IFERROR(__xludf.DUMMYFUNCTION("""COMPUTED_VALUE"""),"荻曽 克輝")</f>
        <v>荻曽 克輝</v>
      </c>
    </row>
    <row r="8942" spans="2:4" ht="13">
      <c r="B8942" s="12">
        <f ca="1">IFERROR(__xludf.DUMMYFUNCTION("""COMPUTED_VALUE"""),3102897)</f>
        <v>3102897</v>
      </c>
      <c r="C8942" s="14">
        <f ca="1">IFERROR(__xludf.DUMMYFUNCTION("""COMPUTED_VALUE"""),180)</f>
        <v>180</v>
      </c>
      <c r="D8942" s="12" t="str">
        <f ca="1">IFERROR(__xludf.DUMMYFUNCTION("""COMPUTED_VALUE"""),"荻曽 克輝")</f>
        <v>荻曽 克輝</v>
      </c>
    </row>
    <row r="8943" spans="2:4" ht="13">
      <c r="B8943" s="12">
        <f ca="1">IFERROR(__xludf.DUMMYFUNCTION("""COMPUTED_VALUE"""),3102900)</f>
        <v>3102900</v>
      </c>
      <c r="C8943" s="14">
        <f ca="1">IFERROR(__xludf.DUMMYFUNCTION("""COMPUTED_VALUE"""),67)</f>
        <v>67</v>
      </c>
      <c r="D8943" s="12" t="str">
        <f ca="1">IFERROR(__xludf.DUMMYFUNCTION("""COMPUTED_VALUE"""),"荻曽 克輝")</f>
        <v>荻曽 克輝</v>
      </c>
    </row>
    <row r="8944" spans="2:4" ht="13">
      <c r="B8944" s="12">
        <f ca="1">IFERROR(__xludf.DUMMYFUNCTION("""COMPUTED_VALUE"""),3102901)</f>
        <v>3102901</v>
      </c>
      <c r="C8944" s="14">
        <f ca="1">IFERROR(__xludf.DUMMYFUNCTION("""COMPUTED_VALUE"""),49)</f>
        <v>49</v>
      </c>
      <c r="D8944" s="12" t="str">
        <f ca="1">IFERROR(__xludf.DUMMYFUNCTION("""COMPUTED_VALUE"""),"荻曽 克輝")</f>
        <v>荻曽 克輝</v>
      </c>
    </row>
    <row r="8945" spans="2:4" ht="13">
      <c r="B8945" s="12">
        <f ca="1">IFERROR(__xludf.DUMMYFUNCTION("""COMPUTED_VALUE"""),3102902)</f>
        <v>3102902</v>
      </c>
      <c r="C8945" s="14">
        <f ca="1">IFERROR(__xludf.DUMMYFUNCTION("""COMPUTED_VALUE"""),35)</f>
        <v>35</v>
      </c>
      <c r="D8945" s="12" t="str">
        <f ca="1">IFERROR(__xludf.DUMMYFUNCTION("""COMPUTED_VALUE"""),"荻曽 克輝")</f>
        <v>荻曽 克輝</v>
      </c>
    </row>
    <row r="8946" spans="2:4" ht="13">
      <c r="B8946" s="12">
        <f ca="1">IFERROR(__xludf.DUMMYFUNCTION("""COMPUTED_VALUE"""),3102904)</f>
        <v>3102904</v>
      </c>
      <c r="C8946" s="14">
        <f ca="1">IFERROR(__xludf.DUMMYFUNCTION("""COMPUTED_VALUE"""),74)</f>
        <v>74</v>
      </c>
      <c r="D8946" s="12" t="str">
        <f ca="1">IFERROR(__xludf.DUMMYFUNCTION("""COMPUTED_VALUE"""),"辻村 将大")</f>
        <v>辻村 将大</v>
      </c>
    </row>
    <row r="8947" spans="2:4" ht="13">
      <c r="B8947" s="12">
        <f ca="1">IFERROR(__xludf.DUMMYFUNCTION("""COMPUTED_VALUE"""),3102905)</f>
        <v>3102905</v>
      </c>
      <c r="C8947" s="14">
        <f ca="1">IFERROR(__xludf.DUMMYFUNCTION("""COMPUTED_VALUE"""),51)</f>
        <v>51</v>
      </c>
      <c r="D8947" s="12" t="str">
        <f ca="1">IFERROR(__xludf.DUMMYFUNCTION("""COMPUTED_VALUE"""),"辻村 将大")</f>
        <v>辻村 将大</v>
      </c>
    </row>
    <row r="8948" spans="2:4" ht="13">
      <c r="B8948" s="12">
        <f ca="1">IFERROR(__xludf.DUMMYFUNCTION("""COMPUTED_VALUE"""),3102906)</f>
        <v>3102906</v>
      </c>
      <c r="C8948" s="14">
        <f ca="1">IFERROR(__xludf.DUMMYFUNCTION("""COMPUTED_VALUE"""),55)</f>
        <v>55</v>
      </c>
      <c r="D8948" s="12" t="str">
        <f ca="1">IFERROR(__xludf.DUMMYFUNCTION("""COMPUTED_VALUE"""),"辻村 将大")</f>
        <v>辻村 将大</v>
      </c>
    </row>
    <row r="8949" spans="2:4" ht="13">
      <c r="B8949" s="12">
        <f ca="1">IFERROR(__xludf.DUMMYFUNCTION("""COMPUTED_VALUE"""),3102907)</f>
        <v>3102907</v>
      </c>
      <c r="C8949" s="14">
        <f ca="1">IFERROR(__xludf.DUMMYFUNCTION("""COMPUTED_VALUE"""),43)</f>
        <v>43</v>
      </c>
      <c r="D8949" s="12" t="str">
        <f ca="1">IFERROR(__xludf.DUMMYFUNCTION("""COMPUTED_VALUE"""),"辻村 将大")</f>
        <v>辻村 将大</v>
      </c>
    </row>
    <row r="8950" spans="2:4" ht="13">
      <c r="B8950" s="12">
        <f ca="1">IFERROR(__xludf.DUMMYFUNCTION("""COMPUTED_VALUE"""),3102908)</f>
        <v>3102908</v>
      </c>
      <c r="C8950" s="14">
        <f ca="1">IFERROR(__xludf.DUMMYFUNCTION("""COMPUTED_VALUE"""),40)</f>
        <v>40</v>
      </c>
      <c r="D8950" s="12" t="str">
        <f ca="1">IFERROR(__xludf.DUMMYFUNCTION("""COMPUTED_VALUE"""),"辻村 将大")</f>
        <v>辻村 将大</v>
      </c>
    </row>
    <row r="8951" spans="2:4" ht="13">
      <c r="B8951" s="12">
        <f ca="1">IFERROR(__xludf.DUMMYFUNCTION("""COMPUTED_VALUE"""),3102909)</f>
        <v>3102909</v>
      </c>
      <c r="C8951" s="14">
        <f ca="1">IFERROR(__xludf.DUMMYFUNCTION("""COMPUTED_VALUE"""),75)</f>
        <v>75</v>
      </c>
      <c r="D8951" s="12" t="str">
        <f ca="1">IFERROR(__xludf.DUMMYFUNCTION("""COMPUTED_VALUE"""),"辻村 将大")</f>
        <v>辻村 将大</v>
      </c>
    </row>
    <row r="8952" spans="2:4" ht="13">
      <c r="B8952" s="12">
        <f ca="1">IFERROR(__xludf.DUMMYFUNCTION("""COMPUTED_VALUE"""),3102912)</f>
        <v>3102912</v>
      </c>
      <c r="C8952" s="14">
        <f ca="1">IFERROR(__xludf.DUMMYFUNCTION("""COMPUTED_VALUE"""),0)</f>
        <v>0</v>
      </c>
      <c r="D8952" s="12" t="str">
        <f ca="1">IFERROR(__xludf.DUMMYFUNCTION("""COMPUTED_VALUE"""),"辻村 将大")</f>
        <v>辻村 将大</v>
      </c>
    </row>
    <row r="8953" spans="2:4" ht="13">
      <c r="B8953" s="12">
        <f ca="1">IFERROR(__xludf.DUMMYFUNCTION("""COMPUTED_VALUE"""),3102914)</f>
        <v>3102914</v>
      </c>
      <c r="C8953" s="14">
        <f ca="1">IFERROR(__xludf.DUMMYFUNCTION("""COMPUTED_VALUE"""),16)</f>
        <v>16</v>
      </c>
      <c r="D8953" s="12" t="str">
        <f ca="1">IFERROR(__xludf.DUMMYFUNCTION("""COMPUTED_VALUE"""),"辻村 将大")</f>
        <v>辻村 将大</v>
      </c>
    </row>
    <row r="8954" spans="2:4" ht="13">
      <c r="B8954" s="12">
        <f ca="1">IFERROR(__xludf.DUMMYFUNCTION("""COMPUTED_VALUE"""),3102915)</f>
        <v>3102915</v>
      </c>
      <c r="C8954" s="14">
        <f ca="1">IFERROR(__xludf.DUMMYFUNCTION("""COMPUTED_VALUE"""),0)</f>
        <v>0</v>
      </c>
      <c r="D8954" s="12" t="str">
        <f ca="1">IFERROR(__xludf.DUMMYFUNCTION("""COMPUTED_VALUE"""),"辻村 将大")</f>
        <v>辻村 将大</v>
      </c>
    </row>
    <row r="8955" spans="2:4" ht="13">
      <c r="B8955" s="12">
        <f ca="1">IFERROR(__xludf.DUMMYFUNCTION("""COMPUTED_VALUE"""),3102916)</f>
        <v>3102916</v>
      </c>
      <c r="C8955" s="14">
        <f ca="1">IFERROR(__xludf.DUMMYFUNCTION("""COMPUTED_VALUE"""),54)</f>
        <v>54</v>
      </c>
      <c r="D8955" s="12" t="str">
        <f ca="1">IFERROR(__xludf.DUMMYFUNCTION("""COMPUTED_VALUE"""),"辻村 将大")</f>
        <v>辻村 将大</v>
      </c>
    </row>
    <row r="8956" spans="2:4" ht="13">
      <c r="B8956" s="12">
        <f ca="1">IFERROR(__xludf.DUMMYFUNCTION("""COMPUTED_VALUE"""),3102917)</f>
        <v>3102917</v>
      </c>
      <c r="C8956" s="14">
        <f ca="1">IFERROR(__xludf.DUMMYFUNCTION("""COMPUTED_VALUE"""),47)</f>
        <v>47</v>
      </c>
      <c r="D8956" s="12" t="str">
        <f ca="1">IFERROR(__xludf.DUMMYFUNCTION("""COMPUTED_VALUE"""),"辻村 将大")</f>
        <v>辻村 将大</v>
      </c>
    </row>
    <row r="8957" spans="2:4" ht="13">
      <c r="B8957" s="12">
        <f ca="1">IFERROR(__xludf.DUMMYFUNCTION("""COMPUTED_VALUE"""),3102918)</f>
        <v>3102918</v>
      </c>
      <c r="C8957" s="14">
        <f ca="1">IFERROR(__xludf.DUMMYFUNCTION("""COMPUTED_VALUE"""),36)</f>
        <v>36</v>
      </c>
      <c r="D8957" s="12" t="str">
        <f ca="1">IFERROR(__xludf.DUMMYFUNCTION("""COMPUTED_VALUE"""),"辻村 将大")</f>
        <v>辻村 将大</v>
      </c>
    </row>
    <row r="8958" spans="2:4" ht="13">
      <c r="B8958" s="12">
        <f ca="1">IFERROR(__xludf.DUMMYFUNCTION("""COMPUTED_VALUE"""),3102920)</f>
        <v>3102920</v>
      </c>
      <c r="C8958" s="14">
        <f ca="1">IFERROR(__xludf.DUMMYFUNCTION("""COMPUTED_VALUE"""),14)</f>
        <v>14</v>
      </c>
      <c r="D8958" s="12" t="str">
        <f ca="1">IFERROR(__xludf.DUMMYFUNCTION("""COMPUTED_VALUE"""),"桐山 勝気")</f>
        <v>桐山 勝気</v>
      </c>
    </row>
    <row r="8959" spans="2:4" ht="13">
      <c r="B8959" s="12">
        <f ca="1">IFERROR(__xludf.DUMMYFUNCTION("""COMPUTED_VALUE"""),3102921)</f>
        <v>3102921</v>
      </c>
      <c r="C8959" s="14">
        <f ca="1">IFERROR(__xludf.DUMMYFUNCTION("""COMPUTED_VALUE"""),26)</f>
        <v>26</v>
      </c>
      <c r="D8959" s="12" t="str">
        <f ca="1">IFERROR(__xludf.DUMMYFUNCTION("""COMPUTED_VALUE"""),"桐山 勝気")</f>
        <v>桐山 勝気</v>
      </c>
    </row>
    <row r="8960" spans="2:4" ht="13">
      <c r="B8960" s="12">
        <f ca="1">IFERROR(__xludf.DUMMYFUNCTION("""COMPUTED_VALUE"""),3102922)</f>
        <v>3102922</v>
      </c>
      <c r="C8960" s="14">
        <f ca="1">IFERROR(__xludf.DUMMYFUNCTION("""COMPUTED_VALUE"""),36)</f>
        <v>36</v>
      </c>
      <c r="D8960" s="12" t="str">
        <f ca="1">IFERROR(__xludf.DUMMYFUNCTION("""COMPUTED_VALUE"""),"桐山 勝気")</f>
        <v>桐山 勝気</v>
      </c>
    </row>
    <row r="8961" spans="2:4" ht="13">
      <c r="B8961" s="12">
        <f ca="1">IFERROR(__xludf.DUMMYFUNCTION("""COMPUTED_VALUE"""),3102927)</f>
        <v>3102927</v>
      </c>
      <c r="C8961" s="14">
        <f ca="1">IFERROR(__xludf.DUMMYFUNCTION("""COMPUTED_VALUE"""),82)</f>
        <v>82</v>
      </c>
      <c r="D8961" s="12" t="str">
        <f ca="1">IFERROR(__xludf.DUMMYFUNCTION("""COMPUTED_VALUE"""),"村上 浩一朗")</f>
        <v>村上 浩一朗</v>
      </c>
    </row>
    <row r="8962" spans="2:4" ht="13">
      <c r="B8962" s="12">
        <f ca="1">IFERROR(__xludf.DUMMYFUNCTION("""COMPUTED_VALUE"""),3102933)</f>
        <v>3102933</v>
      </c>
      <c r="C8962" s="14">
        <f ca="1">IFERROR(__xludf.DUMMYFUNCTION("""COMPUTED_VALUE"""),0)</f>
        <v>0</v>
      </c>
      <c r="D8962" s="12" t="str">
        <f ca="1">IFERROR(__xludf.DUMMYFUNCTION("""COMPUTED_VALUE"""),"荻曽 克輝")</f>
        <v>荻曽 克輝</v>
      </c>
    </row>
    <row r="8963" spans="2:4" ht="13">
      <c r="B8963" s="12">
        <f ca="1">IFERROR(__xludf.DUMMYFUNCTION("""COMPUTED_VALUE"""),3102934)</f>
        <v>3102934</v>
      </c>
      <c r="C8963" s="14">
        <f ca="1">IFERROR(__xludf.DUMMYFUNCTION("""COMPUTED_VALUE"""),7)</f>
        <v>7</v>
      </c>
      <c r="D8963" s="12" t="str">
        <f ca="1">IFERROR(__xludf.DUMMYFUNCTION("""COMPUTED_VALUE"""),"荻曽 克輝")</f>
        <v>荻曽 克輝</v>
      </c>
    </row>
    <row r="8964" spans="2:4" ht="13">
      <c r="B8964" s="12">
        <f ca="1">IFERROR(__xludf.DUMMYFUNCTION("""COMPUTED_VALUE"""),3102935)</f>
        <v>3102935</v>
      </c>
      <c r="C8964" s="14">
        <f ca="1">IFERROR(__xludf.DUMMYFUNCTION("""COMPUTED_VALUE"""),7)</f>
        <v>7</v>
      </c>
      <c r="D8964" s="12" t="str">
        <f ca="1">IFERROR(__xludf.DUMMYFUNCTION("""COMPUTED_VALUE"""),"荻曽 克輝")</f>
        <v>荻曽 克輝</v>
      </c>
    </row>
    <row r="8965" spans="2:4" ht="13">
      <c r="B8965" s="12">
        <f ca="1">IFERROR(__xludf.DUMMYFUNCTION("""COMPUTED_VALUE"""),3102936)</f>
        <v>3102936</v>
      </c>
      <c r="C8965" s="14">
        <f ca="1">IFERROR(__xludf.DUMMYFUNCTION("""COMPUTED_VALUE"""),0)</f>
        <v>0</v>
      </c>
      <c r="D8965" s="12" t="str">
        <f ca="1">IFERROR(__xludf.DUMMYFUNCTION("""COMPUTED_VALUE"""),"荻曽 克輝")</f>
        <v>荻曽 克輝</v>
      </c>
    </row>
    <row r="8966" spans="2:4" ht="13">
      <c r="B8966" s="12">
        <f ca="1">IFERROR(__xludf.DUMMYFUNCTION("""COMPUTED_VALUE"""),3102937)</f>
        <v>3102937</v>
      </c>
      <c r="C8966" s="14">
        <f ca="1">IFERROR(__xludf.DUMMYFUNCTION("""COMPUTED_VALUE"""),0)</f>
        <v>0</v>
      </c>
      <c r="D8966" s="12" t="str">
        <f ca="1">IFERROR(__xludf.DUMMYFUNCTION("""COMPUTED_VALUE"""),"荻曽 克輝")</f>
        <v>荻曽 克輝</v>
      </c>
    </row>
    <row r="8967" spans="2:4" ht="13">
      <c r="B8967" s="12">
        <f ca="1">IFERROR(__xludf.DUMMYFUNCTION("""COMPUTED_VALUE"""),3102938)</f>
        <v>3102938</v>
      </c>
      <c r="C8967" s="14">
        <f ca="1">IFERROR(__xludf.DUMMYFUNCTION("""COMPUTED_VALUE"""),0)</f>
        <v>0</v>
      </c>
      <c r="D8967" s="12" t="str">
        <f ca="1">IFERROR(__xludf.DUMMYFUNCTION("""COMPUTED_VALUE"""),"荻曽 克輝")</f>
        <v>荻曽 克輝</v>
      </c>
    </row>
    <row r="8968" spans="2:4" ht="13">
      <c r="B8968" s="12">
        <f ca="1">IFERROR(__xludf.DUMMYFUNCTION("""COMPUTED_VALUE"""),3102943)</f>
        <v>3102943</v>
      </c>
      <c r="C8968" s="14">
        <f ca="1">IFERROR(__xludf.DUMMYFUNCTION("""COMPUTED_VALUE"""),46)</f>
        <v>46</v>
      </c>
      <c r="D8968" s="12" t="str">
        <f ca="1">IFERROR(__xludf.DUMMYFUNCTION("""COMPUTED_VALUE"""),"桐山 勝気")</f>
        <v>桐山 勝気</v>
      </c>
    </row>
    <row r="8969" spans="2:4" ht="13">
      <c r="B8969" s="12">
        <f ca="1">IFERROR(__xludf.DUMMYFUNCTION("""COMPUTED_VALUE"""),3102944)</f>
        <v>3102944</v>
      </c>
      <c r="C8969" s="14">
        <f ca="1">IFERROR(__xludf.DUMMYFUNCTION("""COMPUTED_VALUE"""),28)</f>
        <v>28</v>
      </c>
      <c r="D8969" s="12" t="str">
        <f ca="1">IFERROR(__xludf.DUMMYFUNCTION("""COMPUTED_VALUE"""),"荻曽 克輝")</f>
        <v>荻曽 克輝</v>
      </c>
    </row>
    <row r="8970" spans="2:4" ht="13">
      <c r="B8970" s="12">
        <f ca="1">IFERROR(__xludf.DUMMYFUNCTION("""COMPUTED_VALUE"""),3102946)</f>
        <v>3102946</v>
      </c>
      <c r="C8970" s="14">
        <f ca="1">IFERROR(__xludf.DUMMYFUNCTION("""COMPUTED_VALUE"""),0)</f>
        <v>0</v>
      </c>
      <c r="D8970" s="12" t="str">
        <f ca="1">IFERROR(__xludf.DUMMYFUNCTION("""COMPUTED_VALUE"""),"荻曽 克輝")</f>
        <v>荻曽 克輝</v>
      </c>
    </row>
    <row r="8971" spans="2:4" ht="13">
      <c r="B8971" s="12">
        <f ca="1">IFERROR(__xludf.DUMMYFUNCTION("""COMPUTED_VALUE"""),3102952)</f>
        <v>3102952</v>
      </c>
      <c r="C8971" s="14">
        <f ca="1">IFERROR(__xludf.DUMMYFUNCTION("""COMPUTED_VALUE"""),74)</f>
        <v>74</v>
      </c>
      <c r="D8971" s="12" t="str">
        <f ca="1">IFERROR(__xludf.DUMMYFUNCTION("""COMPUTED_VALUE"""),"桐山 勝気")</f>
        <v>桐山 勝気</v>
      </c>
    </row>
    <row r="8972" spans="2:4" ht="13">
      <c r="B8972" s="12">
        <f ca="1">IFERROR(__xludf.DUMMYFUNCTION("""COMPUTED_VALUE"""),3102953)</f>
        <v>3102953</v>
      </c>
      <c r="C8972" s="14">
        <f ca="1">IFERROR(__xludf.DUMMYFUNCTION("""COMPUTED_VALUE"""),42)</f>
        <v>42</v>
      </c>
      <c r="D8972" s="12" t="str">
        <f ca="1">IFERROR(__xludf.DUMMYFUNCTION("""COMPUTED_VALUE"""),"桐山 勝気")</f>
        <v>桐山 勝気</v>
      </c>
    </row>
    <row r="8973" spans="2:4" ht="13">
      <c r="B8973" s="12">
        <f ca="1">IFERROR(__xludf.DUMMYFUNCTION("""COMPUTED_VALUE"""),3102956)</f>
        <v>3102956</v>
      </c>
      <c r="C8973" s="14">
        <f ca="1">IFERROR(__xludf.DUMMYFUNCTION("""COMPUTED_VALUE"""),0)</f>
        <v>0</v>
      </c>
      <c r="D8973" s="12" t="str">
        <f ca="1">IFERROR(__xludf.DUMMYFUNCTION("""COMPUTED_VALUE"""),"村上 浩一朗")</f>
        <v>村上 浩一朗</v>
      </c>
    </row>
    <row r="8974" spans="2:4" ht="13">
      <c r="B8974" s="12">
        <f ca="1">IFERROR(__xludf.DUMMYFUNCTION("""COMPUTED_VALUE"""),3102958)</f>
        <v>3102958</v>
      </c>
      <c r="C8974" s="14">
        <f ca="1">IFERROR(__xludf.DUMMYFUNCTION("""COMPUTED_VALUE"""),2)</f>
        <v>2</v>
      </c>
      <c r="D8974" s="12" t="str">
        <f ca="1">IFERROR(__xludf.DUMMYFUNCTION("""COMPUTED_VALUE"""),"桐山 勝気")</f>
        <v>桐山 勝気</v>
      </c>
    </row>
    <row r="8975" spans="2:4" ht="13">
      <c r="B8975" s="12">
        <f ca="1">IFERROR(__xludf.DUMMYFUNCTION("""COMPUTED_VALUE"""),3102970)</f>
        <v>3102970</v>
      </c>
      <c r="C8975" s="14">
        <f ca="1">IFERROR(__xludf.DUMMYFUNCTION("""COMPUTED_VALUE"""),37)</f>
        <v>37</v>
      </c>
      <c r="D8975" s="12" t="str">
        <f ca="1">IFERROR(__xludf.DUMMYFUNCTION("""COMPUTED_VALUE"""),"辻村 将大")</f>
        <v>辻村 将大</v>
      </c>
    </row>
    <row r="8976" spans="2:4" ht="13">
      <c r="B8976" s="12">
        <f ca="1">IFERROR(__xludf.DUMMYFUNCTION("""COMPUTED_VALUE"""),3102972)</f>
        <v>3102972</v>
      </c>
      <c r="C8976" s="14">
        <f ca="1">IFERROR(__xludf.DUMMYFUNCTION("""COMPUTED_VALUE"""),41)</f>
        <v>41</v>
      </c>
      <c r="D8976" s="12" t="str">
        <f ca="1">IFERROR(__xludf.DUMMYFUNCTION("""COMPUTED_VALUE"""),"辻村 将大")</f>
        <v>辻村 将大</v>
      </c>
    </row>
    <row r="8977" spans="2:4" ht="13">
      <c r="B8977" s="12">
        <f ca="1">IFERROR(__xludf.DUMMYFUNCTION("""COMPUTED_VALUE"""),3102976)</f>
        <v>3102976</v>
      </c>
      <c r="C8977" s="14">
        <f ca="1">IFERROR(__xludf.DUMMYFUNCTION("""COMPUTED_VALUE"""),17)</f>
        <v>17</v>
      </c>
      <c r="D8977" s="12" t="str">
        <f ca="1">IFERROR(__xludf.DUMMYFUNCTION("""COMPUTED_VALUE"""),"栗原 大武")</f>
        <v>栗原 大武</v>
      </c>
    </row>
    <row r="8978" spans="2:4" ht="13">
      <c r="B8978" s="12">
        <f ca="1">IFERROR(__xludf.DUMMYFUNCTION("""COMPUTED_VALUE"""),3102979)</f>
        <v>3102979</v>
      </c>
      <c r="C8978" s="14">
        <f ca="1">IFERROR(__xludf.DUMMYFUNCTION("""COMPUTED_VALUE"""),85)</f>
        <v>85</v>
      </c>
      <c r="D8978" s="12" t="str">
        <f ca="1">IFERROR(__xludf.DUMMYFUNCTION("""COMPUTED_VALUE"""),"栗原 大武")</f>
        <v>栗原 大武</v>
      </c>
    </row>
    <row r="8979" spans="2:4" ht="13">
      <c r="B8979" s="12">
        <f ca="1">IFERROR(__xludf.DUMMYFUNCTION("""COMPUTED_VALUE"""),3102980)</f>
        <v>3102980</v>
      </c>
      <c r="C8979" s="14">
        <f ca="1">IFERROR(__xludf.DUMMYFUNCTION("""COMPUTED_VALUE"""),75)</f>
        <v>75</v>
      </c>
      <c r="D8979" s="12" t="str">
        <f ca="1">IFERROR(__xludf.DUMMYFUNCTION("""COMPUTED_VALUE"""),"栗原 大武")</f>
        <v>栗原 大武</v>
      </c>
    </row>
    <row r="8980" spans="2:4" ht="13">
      <c r="B8980" s="12">
        <f ca="1">IFERROR(__xludf.DUMMYFUNCTION("""COMPUTED_VALUE"""),3102981)</f>
        <v>3102981</v>
      </c>
      <c r="C8980" s="14">
        <f ca="1">IFERROR(__xludf.DUMMYFUNCTION("""COMPUTED_VALUE"""),73)</f>
        <v>73</v>
      </c>
      <c r="D8980" s="12" t="str">
        <f ca="1">IFERROR(__xludf.DUMMYFUNCTION("""COMPUTED_VALUE"""),"栗原 大武")</f>
        <v>栗原 大武</v>
      </c>
    </row>
    <row r="8981" spans="2:4" ht="13">
      <c r="B8981" s="12">
        <f ca="1">IFERROR(__xludf.DUMMYFUNCTION("""COMPUTED_VALUE"""),3102985)</f>
        <v>3102985</v>
      </c>
      <c r="C8981" s="14">
        <f ca="1">IFERROR(__xludf.DUMMYFUNCTION("""COMPUTED_VALUE"""),1)</f>
        <v>1</v>
      </c>
      <c r="D8981" s="12" t="str">
        <f ca="1">IFERROR(__xludf.DUMMYFUNCTION("""COMPUTED_VALUE"""),"栗原 大武")</f>
        <v>栗原 大武</v>
      </c>
    </row>
    <row r="8982" spans="2:4" ht="13">
      <c r="B8982" s="12">
        <f ca="1">IFERROR(__xludf.DUMMYFUNCTION("""COMPUTED_VALUE"""),3102993)</f>
        <v>3102993</v>
      </c>
      <c r="C8982" s="14">
        <f ca="1">IFERROR(__xludf.DUMMYFUNCTION("""COMPUTED_VALUE"""),5)</f>
        <v>5</v>
      </c>
      <c r="D8982" s="12" t="str">
        <f ca="1">IFERROR(__xludf.DUMMYFUNCTION("""COMPUTED_VALUE"""),"辻村 将大")</f>
        <v>辻村 将大</v>
      </c>
    </row>
    <row r="8983" spans="2:4" ht="13">
      <c r="B8983" s="12">
        <f ca="1">IFERROR(__xludf.DUMMYFUNCTION("""COMPUTED_VALUE"""),3102995)</f>
        <v>3102995</v>
      </c>
      <c r="C8983" s="14">
        <f ca="1">IFERROR(__xludf.DUMMYFUNCTION("""COMPUTED_VALUE"""),34)</f>
        <v>34</v>
      </c>
      <c r="D8983" s="12" t="str">
        <f ca="1">IFERROR(__xludf.DUMMYFUNCTION("""COMPUTED_VALUE"""),"辻村 将大")</f>
        <v>辻村 将大</v>
      </c>
    </row>
    <row r="8984" spans="2:4" ht="13">
      <c r="B8984" s="12">
        <f ca="1">IFERROR(__xludf.DUMMYFUNCTION("""COMPUTED_VALUE"""),3102997)</f>
        <v>3102997</v>
      </c>
      <c r="C8984" s="14">
        <f ca="1">IFERROR(__xludf.DUMMYFUNCTION("""COMPUTED_VALUE"""),17)</f>
        <v>17</v>
      </c>
      <c r="D8984" s="12" t="str">
        <f ca="1">IFERROR(__xludf.DUMMYFUNCTION("""COMPUTED_VALUE"""),"辻村 将大")</f>
        <v>辻村 将大</v>
      </c>
    </row>
    <row r="8985" spans="2:4" ht="13">
      <c r="B8985" s="12">
        <f ca="1">IFERROR(__xludf.DUMMYFUNCTION("""COMPUTED_VALUE"""),3102998)</f>
        <v>3102998</v>
      </c>
      <c r="C8985" s="14">
        <f ca="1">IFERROR(__xludf.DUMMYFUNCTION("""COMPUTED_VALUE"""),21)</f>
        <v>21</v>
      </c>
      <c r="D8985" s="12" t="str">
        <f ca="1">IFERROR(__xludf.DUMMYFUNCTION("""COMPUTED_VALUE"""),"辻村 将大")</f>
        <v>辻村 将大</v>
      </c>
    </row>
    <row r="8986" spans="2:4" ht="13">
      <c r="B8986" s="12">
        <f ca="1">IFERROR(__xludf.DUMMYFUNCTION("""COMPUTED_VALUE"""),3102999)</f>
        <v>3102999</v>
      </c>
      <c r="C8986" s="14">
        <f ca="1">IFERROR(__xludf.DUMMYFUNCTION("""COMPUTED_VALUE"""),6)</f>
        <v>6</v>
      </c>
      <c r="D8986" s="12" t="str">
        <f ca="1">IFERROR(__xludf.DUMMYFUNCTION("""COMPUTED_VALUE"""),"辻村 将大")</f>
        <v>辻村 将大</v>
      </c>
    </row>
    <row r="8987" spans="2:4" ht="13">
      <c r="B8987" s="12">
        <f ca="1">IFERROR(__xludf.DUMMYFUNCTION("""COMPUTED_VALUE"""),3103000)</f>
        <v>3103000</v>
      </c>
      <c r="C8987" s="14">
        <f ca="1">IFERROR(__xludf.DUMMYFUNCTION("""COMPUTED_VALUE"""),14)</f>
        <v>14</v>
      </c>
      <c r="D8987" s="12" t="str">
        <f ca="1">IFERROR(__xludf.DUMMYFUNCTION("""COMPUTED_VALUE"""),"辻村 将大")</f>
        <v>辻村 将大</v>
      </c>
    </row>
    <row r="8988" spans="2:4" ht="13">
      <c r="B8988" s="12">
        <f ca="1">IFERROR(__xludf.DUMMYFUNCTION("""COMPUTED_VALUE"""),3103001)</f>
        <v>3103001</v>
      </c>
      <c r="C8988" s="14">
        <f ca="1">IFERROR(__xludf.DUMMYFUNCTION("""COMPUTED_VALUE"""),18)</f>
        <v>18</v>
      </c>
      <c r="D8988" s="12" t="str">
        <f ca="1">IFERROR(__xludf.DUMMYFUNCTION("""COMPUTED_VALUE"""),"辻村 将大")</f>
        <v>辻村 将大</v>
      </c>
    </row>
    <row r="8989" spans="2:4" ht="13">
      <c r="B8989" s="12">
        <f ca="1">IFERROR(__xludf.DUMMYFUNCTION("""COMPUTED_VALUE"""),3103002)</f>
        <v>3103002</v>
      </c>
      <c r="C8989" s="14">
        <f ca="1">IFERROR(__xludf.DUMMYFUNCTION("""COMPUTED_VALUE"""),6)</f>
        <v>6</v>
      </c>
      <c r="D8989" s="12" t="str">
        <f ca="1">IFERROR(__xludf.DUMMYFUNCTION("""COMPUTED_VALUE"""),"桑原 明子")</f>
        <v>桑原 明子</v>
      </c>
    </row>
    <row r="8990" spans="2:4" ht="13">
      <c r="B8990" s="12">
        <f ca="1">IFERROR(__xludf.DUMMYFUNCTION("""COMPUTED_VALUE"""),3103003)</f>
        <v>3103003</v>
      </c>
      <c r="C8990" s="14">
        <f ca="1">IFERROR(__xludf.DUMMYFUNCTION("""COMPUTED_VALUE"""),9)</f>
        <v>9</v>
      </c>
      <c r="D8990" s="12" t="str">
        <f ca="1">IFERROR(__xludf.DUMMYFUNCTION("""COMPUTED_VALUE"""),"桑原 明子")</f>
        <v>桑原 明子</v>
      </c>
    </row>
    <row r="8991" spans="2:4" ht="13">
      <c r="B8991" s="12">
        <f ca="1">IFERROR(__xludf.DUMMYFUNCTION("""COMPUTED_VALUE"""),3103004)</f>
        <v>3103004</v>
      </c>
      <c r="C8991" s="14">
        <f ca="1">IFERROR(__xludf.DUMMYFUNCTION("""COMPUTED_VALUE"""),1)</f>
        <v>1</v>
      </c>
      <c r="D8991" s="12" t="str">
        <f ca="1">IFERROR(__xludf.DUMMYFUNCTION("""COMPUTED_VALUE"""),"桑原 明子")</f>
        <v>桑原 明子</v>
      </c>
    </row>
    <row r="8992" spans="2:4" ht="13">
      <c r="B8992" s="12">
        <f ca="1">IFERROR(__xludf.DUMMYFUNCTION("""COMPUTED_VALUE"""),3103005)</f>
        <v>3103005</v>
      </c>
      <c r="C8992" s="14">
        <f ca="1">IFERROR(__xludf.DUMMYFUNCTION("""COMPUTED_VALUE"""),1)</f>
        <v>1</v>
      </c>
      <c r="D8992" s="12" t="str">
        <f ca="1">IFERROR(__xludf.DUMMYFUNCTION("""COMPUTED_VALUE"""),"桑原 明子")</f>
        <v>桑原 明子</v>
      </c>
    </row>
    <row r="8993" spans="2:4" ht="13">
      <c r="B8993" s="12">
        <f ca="1">IFERROR(__xludf.DUMMYFUNCTION("""COMPUTED_VALUE"""),3103014)</f>
        <v>3103014</v>
      </c>
      <c r="C8993" s="14">
        <f ca="1">IFERROR(__xludf.DUMMYFUNCTION("""COMPUTED_VALUE"""),0)</f>
        <v>0</v>
      </c>
      <c r="D8993" s="12" t="str">
        <f ca="1">IFERROR(__xludf.DUMMYFUNCTION("""COMPUTED_VALUE"""),"森 光智")</f>
        <v>森 光智</v>
      </c>
    </row>
    <row r="8994" spans="2:4" ht="13">
      <c r="B8994" s="12">
        <f ca="1">IFERROR(__xludf.DUMMYFUNCTION("""COMPUTED_VALUE"""),3103019)</f>
        <v>3103019</v>
      </c>
      <c r="C8994" s="14">
        <f ca="1">IFERROR(__xludf.DUMMYFUNCTION("""COMPUTED_VALUE"""),21)</f>
        <v>21</v>
      </c>
      <c r="D8994" s="12" t="str">
        <f ca="1">IFERROR(__xludf.DUMMYFUNCTION("""COMPUTED_VALUE"""),"森 光智")</f>
        <v>森 光智</v>
      </c>
    </row>
    <row r="8995" spans="2:4" ht="13">
      <c r="B8995" s="12">
        <f ca="1">IFERROR(__xludf.DUMMYFUNCTION("""COMPUTED_VALUE"""),3103023)</f>
        <v>3103023</v>
      </c>
      <c r="C8995" s="14">
        <f ca="1">IFERROR(__xludf.DUMMYFUNCTION("""COMPUTED_VALUE"""),26)</f>
        <v>26</v>
      </c>
      <c r="D8995" s="12" t="str">
        <f ca="1">IFERROR(__xludf.DUMMYFUNCTION("""COMPUTED_VALUE"""),"村上 浩一朗")</f>
        <v>村上 浩一朗</v>
      </c>
    </row>
    <row r="8996" spans="2:4" ht="13">
      <c r="B8996" s="12">
        <f ca="1">IFERROR(__xludf.DUMMYFUNCTION("""COMPUTED_VALUE"""),3103024)</f>
        <v>3103024</v>
      </c>
      <c r="C8996" s="14">
        <f ca="1">IFERROR(__xludf.DUMMYFUNCTION("""COMPUTED_VALUE"""),36)</f>
        <v>36</v>
      </c>
      <c r="D8996" s="12" t="str">
        <f ca="1">IFERROR(__xludf.DUMMYFUNCTION("""COMPUTED_VALUE"""),"村上 浩一朗")</f>
        <v>村上 浩一朗</v>
      </c>
    </row>
    <row r="8997" spans="2:4" ht="13">
      <c r="B8997" s="12">
        <f ca="1">IFERROR(__xludf.DUMMYFUNCTION("""COMPUTED_VALUE"""),3103025)</f>
        <v>3103025</v>
      </c>
      <c r="C8997" s="14">
        <f ca="1">IFERROR(__xludf.DUMMYFUNCTION("""COMPUTED_VALUE"""),39)</f>
        <v>39</v>
      </c>
      <c r="D8997" s="12" t="str">
        <f ca="1">IFERROR(__xludf.DUMMYFUNCTION("""COMPUTED_VALUE"""),"村上 浩一朗")</f>
        <v>村上 浩一朗</v>
      </c>
    </row>
    <row r="8998" spans="2:4" ht="13">
      <c r="B8998" s="12">
        <f ca="1">IFERROR(__xludf.DUMMYFUNCTION("""COMPUTED_VALUE"""),3103026)</f>
        <v>3103026</v>
      </c>
      <c r="C8998" s="14">
        <f ca="1">IFERROR(__xludf.DUMMYFUNCTION("""COMPUTED_VALUE"""),17)</f>
        <v>17</v>
      </c>
      <c r="D8998" s="12" t="str">
        <f ca="1">IFERROR(__xludf.DUMMYFUNCTION("""COMPUTED_VALUE"""),"村上 浩一朗")</f>
        <v>村上 浩一朗</v>
      </c>
    </row>
    <row r="8999" spans="2:4" ht="13">
      <c r="B8999" s="12">
        <f ca="1">IFERROR(__xludf.DUMMYFUNCTION("""COMPUTED_VALUE"""),3103027)</f>
        <v>3103027</v>
      </c>
      <c r="C8999" s="14">
        <f ca="1">IFERROR(__xludf.DUMMYFUNCTION("""COMPUTED_VALUE"""),50)</f>
        <v>50</v>
      </c>
      <c r="D8999" s="12" t="str">
        <f ca="1">IFERROR(__xludf.DUMMYFUNCTION("""COMPUTED_VALUE"""),"村上 浩一朗")</f>
        <v>村上 浩一朗</v>
      </c>
    </row>
    <row r="9000" spans="2:4" ht="13">
      <c r="B9000" s="12">
        <f ca="1">IFERROR(__xludf.DUMMYFUNCTION("""COMPUTED_VALUE"""),3103028)</f>
        <v>3103028</v>
      </c>
      <c r="C9000" s="14">
        <f ca="1">IFERROR(__xludf.DUMMYFUNCTION("""COMPUTED_VALUE"""),14)</f>
        <v>14</v>
      </c>
      <c r="D9000" s="12" t="str">
        <f ca="1">IFERROR(__xludf.DUMMYFUNCTION("""COMPUTED_VALUE"""),"村上 浩一朗")</f>
        <v>村上 浩一朗</v>
      </c>
    </row>
    <row r="9001" spans="2:4" ht="13">
      <c r="B9001" s="12">
        <f ca="1">IFERROR(__xludf.DUMMYFUNCTION("""COMPUTED_VALUE"""),3103032)</f>
        <v>3103032</v>
      </c>
      <c r="C9001" s="14">
        <f ca="1">IFERROR(__xludf.DUMMYFUNCTION("""COMPUTED_VALUE"""),0)</f>
        <v>0</v>
      </c>
      <c r="D9001" s="12" t="str">
        <f ca="1">IFERROR(__xludf.DUMMYFUNCTION("""COMPUTED_VALUE"""),"村上 浩一朗")</f>
        <v>村上 浩一朗</v>
      </c>
    </row>
    <row r="9002" spans="2:4" ht="13">
      <c r="B9002" s="12">
        <f ca="1">IFERROR(__xludf.DUMMYFUNCTION("""COMPUTED_VALUE"""),3103033)</f>
        <v>3103033</v>
      </c>
      <c r="C9002" s="14">
        <f ca="1">IFERROR(__xludf.DUMMYFUNCTION("""COMPUTED_VALUE"""),0)</f>
        <v>0</v>
      </c>
      <c r="D9002" s="12" t="str">
        <f ca="1">IFERROR(__xludf.DUMMYFUNCTION("""COMPUTED_VALUE"""),"村上 浩一朗")</f>
        <v>村上 浩一朗</v>
      </c>
    </row>
    <row r="9003" spans="2:4" ht="13">
      <c r="B9003" s="12">
        <f ca="1">IFERROR(__xludf.DUMMYFUNCTION("""COMPUTED_VALUE"""),3103035)</f>
        <v>3103035</v>
      </c>
      <c r="C9003" s="14">
        <f ca="1">IFERROR(__xludf.DUMMYFUNCTION("""COMPUTED_VALUE"""),3)</f>
        <v>3</v>
      </c>
      <c r="D9003" s="12" t="str">
        <f ca="1">IFERROR(__xludf.DUMMYFUNCTION("""COMPUTED_VALUE"""),"村上 浩一朗")</f>
        <v>村上 浩一朗</v>
      </c>
    </row>
    <row r="9004" spans="2:4" ht="13">
      <c r="B9004" s="12">
        <f ca="1">IFERROR(__xludf.DUMMYFUNCTION("""COMPUTED_VALUE"""),3103044)</f>
        <v>3103044</v>
      </c>
      <c r="C9004" s="14">
        <f ca="1">IFERROR(__xludf.DUMMYFUNCTION("""COMPUTED_VALUE"""),0)</f>
        <v>0</v>
      </c>
      <c r="D9004" s="12" t="str">
        <f ca="1">IFERROR(__xludf.DUMMYFUNCTION("""COMPUTED_VALUE"""),"村上 浩一朗")</f>
        <v>村上 浩一朗</v>
      </c>
    </row>
    <row r="9005" spans="2:4" ht="13">
      <c r="B9005" s="12">
        <f ca="1">IFERROR(__xludf.DUMMYFUNCTION("""COMPUTED_VALUE"""),3103045)</f>
        <v>3103045</v>
      </c>
      <c r="C9005" s="14">
        <f ca="1">IFERROR(__xludf.DUMMYFUNCTION("""COMPUTED_VALUE"""),0)</f>
        <v>0</v>
      </c>
      <c r="D9005" s="12" t="str">
        <f ca="1">IFERROR(__xludf.DUMMYFUNCTION("""COMPUTED_VALUE"""),"村上 浩一朗")</f>
        <v>村上 浩一朗</v>
      </c>
    </row>
    <row r="9006" spans="2:4" ht="13">
      <c r="B9006" s="12">
        <f ca="1">IFERROR(__xludf.DUMMYFUNCTION("""COMPUTED_VALUE"""),3103048)</f>
        <v>3103048</v>
      </c>
      <c r="C9006" s="14">
        <f ca="1">IFERROR(__xludf.DUMMYFUNCTION("""COMPUTED_VALUE"""),5)</f>
        <v>5</v>
      </c>
      <c r="D9006" s="12" t="str">
        <f ca="1">IFERROR(__xludf.DUMMYFUNCTION("""COMPUTED_VALUE"""),"村上 浩一朗")</f>
        <v>村上 浩一朗</v>
      </c>
    </row>
    <row r="9007" spans="2:4" ht="13">
      <c r="B9007" s="12">
        <f ca="1">IFERROR(__xludf.DUMMYFUNCTION("""COMPUTED_VALUE"""),3103055)</f>
        <v>3103055</v>
      </c>
      <c r="C9007" s="14">
        <f ca="1">IFERROR(__xludf.DUMMYFUNCTION("""COMPUTED_VALUE"""),110)</f>
        <v>110</v>
      </c>
      <c r="D9007" s="12" t="str">
        <f ca="1">IFERROR(__xludf.DUMMYFUNCTION("""COMPUTED_VALUE"""),"桑原 明子")</f>
        <v>桑原 明子</v>
      </c>
    </row>
    <row r="9008" spans="2:4" ht="13">
      <c r="B9008" s="12">
        <f ca="1">IFERROR(__xludf.DUMMYFUNCTION("""COMPUTED_VALUE"""),3103057)</f>
        <v>3103057</v>
      </c>
      <c r="C9008" s="14">
        <f ca="1">IFERROR(__xludf.DUMMYFUNCTION("""COMPUTED_VALUE"""),130)</f>
        <v>130</v>
      </c>
      <c r="D9008" s="12" t="str">
        <f ca="1">IFERROR(__xludf.DUMMYFUNCTION("""COMPUTED_VALUE"""),"桑原 明子")</f>
        <v>桑原 明子</v>
      </c>
    </row>
    <row r="9009" spans="2:4" ht="13">
      <c r="B9009" s="12">
        <f ca="1">IFERROR(__xludf.DUMMYFUNCTION("""COMPUTED_VALUE"""),3103060)</f>
        <v>3103060</v>
      </c>
      <c r="C9009" s="14">
        <f ca="1">IFERROR(__xludf.DUMMYFUNCTION("""COMPUTED_VALUE"""),6)</f>
        <v>6</v>
      </c>
      <c r="D9009" s="12" t="str">
        <f ca="1">IFERROR(__xludf.DUMMYFUNCTION("""COMPUTED_VALUE"""),"桑原 明子")</f>
        <v>桑原 明子</v>
      </c>
    </row>
    <row r="9010" spans="2:4" ht="13">
      <c r="B9010" s="12">
        <f ca="1">IFERROR(__xludf.DUMMYFUNCTION("""COMPUTED_VALUE"""),3103063)</f>
        <v>3103063</v>
      </c>
      <c r="C9010" s="14">
        <f ca="1">IFERROR(__xludf.DUMMYFUNCTION("""COMPUTED_VALUE"""),0)</f>
        <v>0</v>
      </c>
      <c r="D9010" s="12" t="str">
        <f ca="1">IFERROR(__xludf.DUMMYFUNCTION("""COMPUTED_VALUE"""),"奥野 貴大")</f>
        <v>奥野 貴大</v>
      </c>
    </row>
    <row r="9011" spans="2:4" ht="13">
      <c r="B9011" s="12">
        <f ca="1">IFERROR(__xludf.DUMMYFUNCTION("""COMPUTED_VALUE"""),3103067)</f>
        <v>3103067</v>
      </c>
      <c r="C9011" s="14">
        <f ca="1">IFERROR(__xludf.DUMMYFUNCTION("""COMPUTED_VALUE"""),5)</f>
        <v>5</v>
      </c>
      <c r="D9011" s="12" t="str">
        <f ca="1">IFERROR(__xludf.DUMMYFUNCTION("""COMPUTED_VALUE"""),"奥野 貴大")</f>
        <v>奥野 貴大</v>
      </c>
    </row>
    <row r="9012" spans="2:4" ht="13">
      <c r="B9012" s="12">
        <f ca="1">IFERROR(__xludf.DUMMYFUNCTION("""COMPUTED_VALUE"""),3103068)</f>
        <v>3103068</v>
      </c>
      <c r="C9012" s="14">
        <f ca="1">IFERROR(__xludf.DUMMYFUNCTION("""COMPUTED_VALUE"""),256)</f>
        <v>256</v>
      </c>
      <c r="D9012" s="12" t="str">
        <f ca="1">IFERROR(__xludf.DUMMYFUNCTION("""COMPUTED_VALUE"""),"森 光智")</f>
        <v>森 光智</v>
      </c>
    </row>
    <row r="9013" spans="2:4" ht="13">
      <c r="B9013" s="12">
        <f ca="1">IFERROR(__xludf.DUMMYFUNCTION("""COMPUTED_VALUE"""),3103069)</f>
        <v>3103069</v>
      </c>
      <c r="C9013" s="14">
        <f ca="1">IFERROR(__xludf.DUMMYFUNCTION("""COMPUTED_VALUE"""),241)</f>
        <v>241</v>
      </c>
      <c r="D9013" s="12" t="str">
        <f ca="1">IFERROR(__xludf.DUMMYFUNCTION("""COMPUTED_VALUE"""),"森 光智")</f>
        <v>森 光智</v>
      </c>
    </row>
    <row r="9014" spans="2:4" ht="13">
      <c r="B9014" s="12">
        <f ca="1">IFERROR(__xludf.DUMMYFUNCTION("""COMPUTED_VALUE"""),3103070)</f>
        <v>3103070</v>
      </c>
      <c r="C9014" s="14">
        <f ca="1">IFERROR(__xludf.DUMMYFUNCTION("""COMPUTED_VALUE"""),11)</f>
        <v>11</v>
      </c>
      <c r="D9014" s="12" t="str">
        <f ca="1">IFERROR(__xludf.DUMMYFUNCTION("""COMPUTED_VALUE"""),"森 光智")</f>
        <v>森 光智</v>
      </c>
    </row>
    <row r="9015" spans="2:4" ht="13">
      <c r="B9015" s="12">
        <f ca="1">IFERROR(__xludf.DUMMYFUNCTION("""COMPUTED_VALUE"""),3103091)</f>
        <v>3103091</v>
      </c>
      <c r="C9015" s="14">
        <f ca="1">IFERROR(__xludf.DUMMYFUNCTION("""COMPUTED_VALUE"""),0)</f>
        <v>0</v>
      </c>
      <c r="D9015" s="12" t="str">
        <f ca="1">IFERROR(__xludf.DUMMYFUNCTION("""COMPUTED_VALUE"""),"小川 純")</f>
        <v>小川 純</v>
      </c>
    </row>
    <row r="9016" spans="2:4" ht="13">
      <c r="B9016" s="12">
        <f ca="1">IFERROR(__xludf.DUMMYFUNCTION("""COMPUTED_VALUE"""),3103092)</f>
        <v>3103092</v>
      </c>
      <c r="C9016" s="14">
        <f ca="1">IFERROR(__xludf.DUMMYFUNCTION("""COMPUTED_VALUE"""),0)</f>
        <v>0</v>
      </c>
      <c r="D9016" s="12" t="str">
        <f ca="1">IFERROR(__xludf.DUMMYFUNCTION("""COMPUTED_VALUE"""),"小川 純")</f>
        <v>小川 純</v>
      </c>
    </row>
    <row r="9017" spans="2:4" ht="13">
      <c r="B9017" s="12">
        <f ca="1">IFERROR(__xludf.DUMMYFUNCTION("""COMPUTED_VALUE"""),3103093)</f>
        <v>3103093</v>
      </c>
      <c r="C9017" s="14">
        <f ca="1">IFERROR(__xludf.DUMMYFUNCTION("""COMPUTED_VALUE"""),0)</f>
        <v>0</v>
      </c>
      <c r="D9017" s="12" t="str">
        <f ca="1">IFERROR(__xludf.DUMMYFUNCTION("""COMPUTED_VALUE"""),"森 光智")</f>
        <v>森 光智</v>
      </c>
    </row>
    <row r="9018" spans="2:4" ht="13">
      <c r="B9018" s="12">
        <f ca="1">IFERROR(__xludf.DUMMYFUNCTION("""COMPUTED_VALUE"""),3103094)</f>
        <v>3103094</v>
      </c>
      <c r="C9018" s="14">
        <f ca="1">IFERROR(__xludf.DUMMYFUNCTION("""COMPUTED_VALUE"""),8)</f>
        <v>8</v>
      </c>
      <c r="D9018" s="12" t="str">
        <f ca="1">IFERROR(__xludf.DUMMYFUNCTION("""COMPUTED_VALUE"""),"森 光智")</f>
        <v>森 光智</v>
      </c>
    </row>
    <row r="9019" spans="2:4" ht="13">
      <c r="B9019" s="12">
        <f ca="1">IFERROR(__xludf.DUMMYFUNCTION("""COMPUTED_VALUE"""),3103095)</f>
        <v>3103095</v>
      </c>
      <c r="C9019" s="14">
        <f ca="1">IFERROR(__xludf.DUMMYFUNCTION("""COMPUTED_VALUE"""),2)</f>
        <v>2</v>
      </c>
      <c r="D9019" s="12" t="str">
        <f ca="1">IFERROR(__xludf.DUMMYFUNCTION("""COMPUTED_VALUE"""),"森 光智")</f>
        <v>森 光智</v>
      </c>
    </row>
    <row r="9020" spans="2:4" ht="13">
      <c r="B9020" s="12">
        <f ca="1">IFERROR(__xludf.DUMMYFUNCTION("""COMPUTED_VALUE"""),3103099)</f>
        <v>3103099</v>
      </c>
      <c r="C9020" s="14">
        <f ca="1">IFERROR(__xludf.DUMMYFUNCTION("""COMPUTED_VALUE"""),1)</f>
        <v>1</v>
      </c>
      <c r="D9020" s="12" t="str">
        <f ca="1">IFERROR(__xludf.DUMMYFUNCTION("""COMPUTED_VALUE"""),"森 光智")</f>
        <v>森 光智</v>
      </c>
    </row>
    <row r="9021" spans="2:4" ht="13">
      <c r="B9021" s="12">
        <f ca="1">IFERROR(__xludf.DUMMYFUNCTION("""COMPUTED_VALUE"""),3103100)</f>
        <v>3103100</v>
      </c>
      <c r="C9021" s="14">
        <f ca="1">IFERROR(__xludf.DUMMYFUNCTION("""COMPUTED_VALUE"""),0)</f>
        <v>0</v>
      </c>
      <c r="D9021" s="12" t="str">
        <f ca="1">IFERROR(__xludf.DUMMYFUNCTION("""COMPUTED_VALUE"""),"森 光智")</f>
        <v>森 光智</v>
      </c>
    </row>
    <row r="9022" spans="2:4" ht="13">
      <c r="B9022" s="12">
        <f ca="1">IFERROR(__xludf.DUMMYFUNCTION("""COMPUTED_VALUE"""),3103102)</f>
        <v>3103102</v>
      </c>
      <c r="C9022" s="14">
        <f ca="1">IFERROR(__xludf.DUMMYFUNCTION("""COMPUTED_VALUE"""),30)</f>
        <v>30</v>
      </c>
      <c r="D9022" s="12" t="str">
        <f ca="1">IFERROR(__xludf.DUMMYFUNCTION("""COMPUTED_VALUE"""),"小川 純")</f>
        <v>小川 純</v>
      </c>
    </row>
    <row r="9023" spans="2:4" ht="13">
      <c r="B9023" s="12">
        <f ca="1">IFERROR(__xludf.DUMMYFUNCTION("""COMPUTED_VALUE"""),3103107)</f>
        <v>3103107</v>
      </c>
      <c r="C9023" s="14">
        <f ca="1">IFERROR(__xludf.DUMMYFUNCTION("""COMPUTED_VALUE"""),5)</f>
        <v>5</v>
      </c>
      <c r="D9023" s="12" t="str">
        <f ca="1">IFERROR(__xludf.DUMMYFUNCTION("""COMPUTED_VALUE"""),"小川 純")</f>
        <v>小川 純</v>
      </c>
    </row>
    <row r="9024" spans="2:4" ht="13">
      <c r="B9024" s="12">
        <f ca="1">IFERROR(__xludf.DUMMYFUNCTION("""COMPUTED_VALUE"""),3103108)</f>
        <v>3103108</v>
      </c>
      <c r="C9024" s="14">
        <f ca="1">IFERROR(__xludf.DUMMYFUNCTION("""COMPUTED_VALUE"""),0)</f>
        <v>0</v>
      </c>
      <c r="D9024" s="12" t="str">
        <f ca="1">IFERROR(__xludf.DUMMYFUNCTION("""COMPUTED_VALUE"""),"小川 純")</f>
        <v>小川 純</v>
      </c>
    </row>
    <row r="9025" spans="2:4" ht="13">
      <c r="B9025" s="12">
        <f ca="1">IFERROR(__xludf.DUMMYFUNCTION("""COMPUTED_VALUE"""),3103113)</f>
        <v>3103113</v>
      </c>
      <c r="C9025" s="14">
        <f ca="1">IFERROR(__xludf.DUMMYFUNCTION("""COMPUTED_VALUE"""),0)</f>
        <v>0</v>
      </c>
      <c r="D9025" s="12" t="str">
        <f ca="1">IFERROR(__xludf.DUMMYFUNCTION("""COMPUTED_VALUE"""),"小川 純")</f>
        <v>小川 純</v>
      </c>
    </row>
    <row r="9026" spans="2:4" ht="13">
      <c r="B9026" s="12">
        <f ca="1">IFERROR(__xludf.DUMMYFUNCTION("""COMPUTED_VALUE"""),3103114)</f>
        <v>3103114</v>
      </c>
      <c r="C9026" s="14">
        <f ca="1">IFERROR(__xludf.DUMMYFUNCTION("""COMPUTED_VALUE"""),0)</f>
        <v>0</v>
      </c>
      <c r="D9026" s="12" t="str">
        <f ca="1">IFERROR(__xludf.DUMMYFUNCTION("""COMPUTED_VALUE"""),"小川 純")</f>
        <v>小川 純</v>
      </c>
    </row>
    <row r="9027" spans="2:4" ht="13">
      <c r="B9027" s="12">
        <f ca="1">IFERROR(__xludf.DUMMYFUNCTION("""COMPUTED_VALUE"""),3103116)</f>
        <v>3103116</v>
      </c>
      <c r="C9027" s="14">
        <f ca="1">IFERROR(__xludf.DUMMYFUNCTION("""COMPUTED_VALUE"""),40)</f>
        <v>40</v>
      </c>
      <c r="D9027" s="12" t="str">
        <f ca="1">IFERROR(__xludf.DUMMYFUNCTION("""COMPUTED_VALUE"""),"森 光智")</f>
        <v>森 光智</v>
      </c>
    </row>
    <row r="9028" spans="2:4" ht="13">
      <c r="B9028" s="12">
        <f ca="1">IFERROR(__xludf.DUMMYFUNCTION("""COMPUTED_VALUE"""),3103117)</f>
        <v>3103117</v>
      </c>
      <c r="C9028" s="14">
        <f ca="1">IFERROR(__xludf.DUMMYFUNCTION("""COMPUTED_VALUE"""),45)</f>
        <v>45</v>
      </c>
      <c r="D9028" s="12" t="str">
        <f ca="1">IFERROR(__xludf.DUMMYFUNCTION("""COMPUTED_VALUE"""),"森 光智")</f>
        <v>森 光智</v>
      </c>
    </row>
    <row r="9029" spans="2:4" ht="13">
      <c r="B9029" s="12">
        <f ca="1">IFERROR(__xludf.DUMMYFUNCTION("""COMPUTED_VALUE"""),3103138)</f>
        <v>3103138</v>
      </c>
      <c r="C9029" s="14">
        <f ca="1">IFERROR(__xludf.DUMMYFUNCTION("""COMPUTED_VALUE"""),0)</f>
        <v>0</v>
      </c>
      <c r="D9029" s="12" t="str">
        <f ca="1">IFERROR(__xludf.DUMMYFUNCTION("""COMPUTED_VALUE"""),"大木 優香")</f>
        <v>大木 優香</v>
      </c>
    </row>
    <row r="9030" spans="2:4" ht="13">
      <c r="B9030" s="12">
        <f ca="1">IFERROR(__xludf.DUMMYFUNCTION("""COMPUTED_VALUE"""),3103139)</f>
        <v>3103139</v>
      </c>
      <c r="C9030" s="14">
        <f ca="1">IFERROR(__xludf.DUMMYFUNCTION("""COMPUTED_VALUE"""),2)</f>
        <v>2</v>
      </c>
      <c r="D9030" s="12" t="str">
        <f ca="1">IFERROR(__xludf.DUMMYFUNCTION("""COMPUTED_VALUE"""),"渋谷 雄大")</f>
        <v>渋谷 雄大</v>
      </c>
    </row>
    <row r="9031" spans="2:4" ht="13">
      <c r="B9031" s="12">
        <f ca="1">IFERROR(__xludf.DUMMYFUNCTION("""COMPUTED_VALUE"""),3103140)</f>
        <v>3103140</v>
      </c>
      <c r="C9031" s="14">
        <f ca="1">IFERROR(__xludf.DUMMYFUNCTION("""COMPUTED_VALUE"""),0)</f>
        <v>0</v>
      </c>
      <c r="D9031" s="12" t="str">
        <f ca="1">IFERROR(__xludf.DUMMYFUNCTION("""COMPUTED_VALUE"""),"堀越 駿")</f>
        <v>堀越 駿</v>
      </c>
    </row>
    <row r="9032" spans="2:4" ht="13">
      <c r="B9032" s="12">
        <f ca="1">IFERROR(__xludf.DUMMYFUNCTION("""COMPUTED_VALUE"""),3103142)</f>
        <v>3103142</v>
      </c>
      <c r="C9032" s="14">
        <f ca="1">IFERROR(__xludf.DUMMYFUNCTION("""COMPUTED_VALUE"""),45)</f>
        <v>45</v>
      </c>
      <c r="D9032" s="12" t="str">
        <f ca="1">IFERROR(__xludf.DUMMYFUNCTION("""COMPUTED_VALUE"""),"大木 優香")</f>
        <v>大木 優香</v>
      </c>
    </row>
    <row r="9033" spans="2:4" ht="13">
      <c r="B9033" s="12">
        <f ca="1">IFERROR(__xludf.DUMMYFUNCTION("""COMPUTED_VALUE"""),3103143)</f>
        <v>3103143</v>
      </c>
      <c r="C9033" s="14">
        <f ca="1">IFERROR(__xludf.DUMMYFUNCTION("""COMPUTED_VALUE"""),0)</f>
        <v>0</v>
      </c>
      <c r="D9033" s="12" t="str">
        <f ca="1">IFERROR(__xludf.DUMMYFUNCTION("""COMPUTED_VALUE"""),"柿崎 晃司")</f>
        <v>柿崎 晃司</v>
      </c>
    </row>
    <row r="9034" spans="2:4" ht="13">
      <c r="B9034" s="12">
        <f ca="1">IFERROR(__xludf.DUMMYFUNCTION("""COMPUTED_VALUE"""),3103144)</f>
        <v>3103144</v>
      </c>
      <c r="C9034" s="14">
        <f ca="1">IFERROR(__xludf.DUMMYFUNCTION("""COMPUTED_VALUE"""),2)</f>
        <v>2</v>
      </c>
      <c r="D9034" s="12" t="str">
        <f ca="1">IFERROR(__xludf.DUMMYFUNCTION("""COMPUTED_VALUE"""),"菅野 ぎんが")</f>
        <v>菅野 ぎんが</v>
      </c>
    </row>
    <row r="9035" spans="2:4" ht="13">
      <c r="B9035" s="12">
        <f ca="1">IFERROR(__xludf.DUMMYFUNCTION("""COMPUTED_VALUE"""),3103146)</f>
        <v>3103146</v>
      </c>
      <c r="C9035" s="14">
        <f ca="1">IFERROR(__xludf.DUMMYFUNCTION("""COMPUTED_VALUE"""),0)</f>
        <v>0</v>
      </c>
      <c r="D9035" s="12" t="str">
        <f ca="1">IFERROR(__xludf.DUMMYFUNCTION("""COMPUTED_VALUE"""),"川島 幹也")</f>
        <v>川島 幹也</v>
      </c>
    </row>
    <row r="9036" spans="2:4" ht="13">
      <c r="B9036" s="12">
        <f ca="1">IFERROR(__xludf.DUMMYFUNCTION("""COMPUTED_VALUE"""),3103147)</f>
        <v>3103147</v>
      </c>
      <c r="C9036" s="14">
        <f ca="1">IFERROR(__xludf.DUMMYFUNCTION("""COMPUTED_VALUE"""),5)</f>
        <v>5</v>
      </c>
      <c r="D9036" s="12" t="str">
        <f ca="1">IFERROR(__xludf.DUMMYFUNCTION("""COMPUTED_VALUE"""),"桑原 明子")</f>
        <v>桑原 明子</v>
      </c>
    </row>
    <row r="9037" spans="2:4" ht="13">
      <c r="B9037" s="12">
        <f ca="1">IFERROR(__xludf.DUMMYFUNCTION("""COMPUTED_VALUE"""),3103149)</f>
        <v>3103149</v>
      </c>
      <c r="C9037" s="14">
        <f ca="1">IFERROR(__xludf.DUMMYFUNCTION("""COMPUTED_VALUE"""),37)</f>
        <v>37</v>
      </c>
      <c r="D9037" s="12" t="str">
        <f ca="1">IFERROR(__xludf.DUMMYFUNCTION("""COMPUTED_VALUE"""),"辻村 将大")</f>
        <v>辻村 将大</v>
      </c>
    </row>
    <row r="9038" spans="2:4" ht="13">
      <c r="B9038" s="12">
        <f ca="1">IFERROR(__xludf.DUMMYFUNCTION("""COMPUTED_VALUE"""),3103150)</f>
        <v>3103150</v>
      </c>
      <c r="C9038" s="14">
        <f ca="1">IFERROR(__xludf.DUMMYFUNCTION("""COMPUTED_VALUE"""),0)</f>
        <v>0</v>
      </c>
      <c r="D9038" s="12" t="str">
        <f ca="1">IFERROR(__xludf.DUMMYFUNCTION("""COMPUTED_VALUE"""),"荻曽 克輝")</f>
        <v>荻曽 克輝</v>
      </c>
    </row>
    <row r="9039" spans="2:4" ht="13">
      <c r="B9039" s="12">
        <f ca="1">IFERROR(__xludf.DUMMYFUNCTION("""COMPUTED_VALUE"""),3103151)</f>
        <v>3103151</v>
      </c>
      <c r="C9039" s="14">
        <f ca="1">IFERROR(__xludf.DUMMYFUNCTION("""COMPUTED_VALUE"""),0)</f>
        <v>0</v>
      </c>
      <c r="D9039" s="12" t="str">
        <f ca="1">IFERROR(__xludf.DUMMYFUNCTION("""COMPUTED_VALUE"""),"村上 浩一朗")</f>
        <v>村上 浩一朗</v>
      </c>
    </row>
    <row r="9040" spans="2:4" ht="13">
      <c r="B9040" s="12">
        <f ca="1">IFERROR(__xludf.DUMMYFUNCTION("""COMPUTED_VALUE"""),3103153)</f>
        <v>3103153</v>
      </c>
      <c r="C9040" s="14">
        <f ca="1">IFERROR(__xludf.DUMMYFUNCTION("""COMPUTED_VALUE"""),1)</f>
        <v>1</v>
      </c>
      <c r="D9040" s="12" t="str">
        <f ca="1">IFERROR(__xludf.DUMMYFUNCTION("""COMPUTED_VALUE"""),"辻村 将大")</f>
        <v>辻村 将大</v>
      </c>
    </row>
    <row r="9041" spans="2:4" ht="13">
      <c r="B9041" s="12">
        <f ca="1">IFERROR(__xludf.DUMMYFUNCTION("""COMPUTED_VALUE"""),3103155)</f>
        <v>3103155</v>
      </c>
      <c r="C9041" s="14">
        <f ca="1">IFERROR(__xludf.DUMMYFUNCTION("""COMPUTED_VALUE"""),40)</f>
        <v>40</v>
      </c>
      <c r="D9041" s="12" t="str">
        <f ca="1">IFERROR(__xludf.DUMMYFUNCTION("""COMPUTED_VALUE"""),"内丸 裕子")</f>
        <v>内丸 裕子</v>
      </c>
    </row>
    <row r="9042" spans="2:4" ht="13">
      <c r="B9042" s="12">
        <f ca="1">IFERROR(__xludf.DUMMYFUNCTION("""COMPUTED_VALUE"""),3103156)</f>
        <v>3103156</v>
      </c>
      <c r="C9042" s="14">
        <f ca="1">IFERROR(__xludf.DUMMYFUNCTION("""COMPUTED_VALUE"""),59)</f>
        <v>59</v>
      </c>
      <c r="D9042" s="12" t="str">
        <f ca="1">IFERROR(__xludf.DUMMYFUNCTION("""COMPUTED_VALUE"""),"小川 純")</f>
        <v>小川 純</v>
      </c>
    </row>
    <row r="9043" spans="2:4" ht="13">
      <c r="B9043" s="12">
        <f ca="1">IFERROR(__xludf.DUMMYFUNCTION("""COMPUTED_VALUE"""),3103157)</f>
        <v>3103157</v>
      </c>
      <c r="C9043" s="14">
        <f ca="1">IFERROR(__xludf.DUMMYFUNCTION("""COMPUTED_VALUE"""),17)</f>
        <v>17</v>
      </c>
      <c r="D9043" s="12" t="str">
        <f ca="1">IFERROR(__xludf.DUMMYFUNCTION("""COMPUTED_VALUE"""),"小川 純")</f>
        <v>小川 純</v>
      </c>
    </row>
    <row r="9044" spans="2:4" ht="13">
      <c r="B9044" s="12">
        <f ca="1">IFERROR(__xludf.DUMMYFUNCTION("""COMPUTED_VALUE"""),3103159)</f>
        <v>3103159</v>
      </c>
      <c r="C9044" s="14">
        <f ca="1">IFERROR(__xludf.DUMMYFUNCTION("""COMPUTED_VALUE"""),74)</f>
        <v>74</v>
      </c>
      <c r="D9044" s="12" t="str">
        <f ca="1">IFERROR(__xludf.DUMMYFUNCTION("""COMPUTED_VALUE"""),"渋谷 雄大")</f>
        <v>渋谷 雄大</v>
      </c>
    </row>
    <row r="9045" spans="2:4" ht="13">
      <c r="B9045" s="12">
        <f ca="1">IFERROR(__xludf.DUMMYFUNCTION("""COMPUTED_VALUE"""),3103161)</f>
        <v>3103161</v>
      </c>
      <c r="C9045" s="14">
        <f ca="1">IFERROR(__xludf.DUMMYFUNCTION("""COMPUTED_VALUE"""),186)</f>
        <v>186</v>
      </c>
      <c r="D9045" s="12" t="str">
        <f ca="1">IFERROR(__xludf.DUMMYFUNCTION("""COMPUTED_VALUE"""),"松尾 尚樹")</f>
        <v>松尾 尚樹</v>
      </c>
    </row>
    <row r="9046" spans="2:4" ht="13">
      <c r="B9046" s="12">
        <f ca="1">IFERROR(__xludf.DUMMYFUNCTION("""COMPUTED_VALUE"""),3103163)</f>
        <v>3103163</v>
      </c>
      <c r="C9046" s="14">
        <f ca="1">IFERROR(__xludf.DUMMYFUNCTION("""COMPUTED_VALUE"""),0)</f>
        <v>0</v>
      </c>
      <c r="D9046" s="12" t="str">
        <f ca="1">IFERROR(__xludf.DUMMYFUNCTION("""COMPUTED_VALUE"""),"菅野 ぎんが")</f>
        <v>菅野 ぎんが</v>
      </c>
    </row>
    <row r="9047" spans="2:4" ht="13">
      <c r="B9047" s="12">
        <f ca="1">IFERROR(__xludf.DUMMYFUNCTION("""COMPUTED_VALUE"""),3103165)</f>
        <v>3103165</v>
      </c>
      <c r="C9047" s="14">
        <f ca="1">IFERROR(__xludf.DUMMYFUNCTION("""COMPUTED_VALUE"""),6)</f>
        <v>6</v>
      </c>
      <c r="D9047" s="12" t="str">
        <f ca="1">IFERROR(__xludf.DUMMYFUNCTION("""COMPUTED_VALUE"""),"桑原 明子")</f>
        <v>桑原 明子</v>
      </c>
    </row>
    <row r="9048" spans="2:4" ht="13">
      <c r="B9048" s="12">
        <f ca="1">IFERROR(__xludf.DUMMYFUNCTION("""COMPUTED_VALUE"""),3103167)</f>
        <v>3103167</v>
      </c>
      <c r="C9048" s="14">
        <f ca="1">IFERROR(__xludf.DUMMYFUNCTION("""COMPUTED_VALUE"""),0)</f>
        <v>0</v>
      </c>
      <c r="D9048" s="12" t="str">
        <f ca="1">IFERROR(__xludf.DUMMYFUNCTION("""COMPUTED_VALUE"""),"桐山 勝気")</f>
        <v>桐山 勝気</v>
      </c>
    </row>
    <row r="9049" spans="2:4" ht="13">
      <c r="B9049" s="12">
        <f ca="1">IFERROR(__xludf.DUMMYFUNCTION("""COMPUTED_VALUE"""),3103171)</f>
        <v>3103171</v>
      </c>
      <c r="C9049" s="14">
        <f ca="1">IFERROR(__xludf.DUMMYFUNCTION("""COMPUTED_VALUE"""),0)</f>
        <v>0</v>
      </c>
      <c r="D9049" s="12" t="str">
        <f ca="1">IFERROR(__xludf.DUMMYFUNCTION("""COMPUTED_VALUE"""),"小川 純")</f>
        <v>小川 純</v>
      </c>
    </row>
    <row r="9050" spans="2:4" ht="13">
      <c r="B9050" s="12">
        <f ca="1">IFERROR(__xludf.DUMMYFUNCTION("""COMPUTED_VALUE"""),3103172)</f>
        <v>3103172</v>
      </c>
      <c r="C9050" s="14">
        <f ca="1">IFERROR(__xludf.DUMMYFUNCTION("""COMPUTED_VALUE"""),41)</f>
        <v>41</v>
      </c>
      <c r="D9050" s="12" t="str">
        <f ca="1">IFERROR(__xludf.DUMMYFUNCTION("""COMPUTED_VALUE"""),"小川 純")</f>
        <v>小川 純</v>
      </c>
    </row>
    <row r="9051" spans="2:4" ht="13">
      <c r="B9051" s="12">
        <f ca="1">IFERROR(__xludf.DUMMYFUNCTION("""COMPUTED_VALUE"""),3103173)</f>
        <v>3103173</v>
      </c>
      <c r="C9051" s="14">
        <f ca="1">IFERROR(__xludf.DUMMYFUNCTION("""COMPUTED_VALUE"""),35)</f>
        <v>35</v>
      </c>
      <c r="D9051" s="12" t="str">
        <f ca="1">IFERROR(__xludf.DUMMYFUNCTION("""COMPUTED_VALUE"""),"小川 純")</f>
        <v>小川 純</v>
      </c>
    </row>
    <row r="9052" spans="2:4" ht="13">
      <c r="B9052" s="12">
        <f ca="1">IFERROR(__xludf.DUMMYFUNCTION("""COMPUTED_VALUE"""),3103174)</f>
        <v>3103174</v>
      </c>
      <c r="C9052" s="14">
        <f ca="1">IFERROR(__xludf.DUMMYFUNCTION("""COMPUTED_VALUE"""),96)</f>
        <v>96</v>
      </c>
      <c r="D9052" s="12" t="str">
        <f ca="1">IFERROR(__xludf.DUMMYFUNCTION("""COMPUTED_VALUE"""),"小川 純")</f>
        <v>小川 純</v>
      </c>
    </row>
    <row r="9053" spans="2:4" ht="13">
      <c r="B9053" s="12">
        <f ca="1">IFERROR(__xludf.DUMMYFUNCTION("""COMPUTED_VALUE"""),3103176)</f>
        <v>3103176</v>
      </c>
      <c r="C9053" s="14">
        <f ca="1">IFERROR(__xludf.DUMMYFUNCTION("""COMPUTED_VALUE"""),27)</f>
        <v>27</v>
      </c>
      <c r="D9053" s="12" t="str">
        <f ca="1">IFERROR(__xludf.DUMMYFUNCTION("""COMPUTED_VALUE"""),"大木 優香")</f>
        <v>大木 優香</v>
      </c>
    </row>
    <row r="9054" spans="2:4" ht="13">
      <c r="B9054" s="12">
        <f ca="1">IFERROR(__xludf.DUMMYFUNCTION("""COMPUTED_VALUE"""),3103178)</f>
        <v>3103178</v>
      </c>
      <c r="C9054" s="14">
        <f ca="1">IFERROR(__xludf.DUMMYFUNCTION("""COMPUTED_VALUE"""),6)</f>
        <v>6</v>
      </c>
      <c r="D9054" s="12" t="str">
        <f ca="1">IFERROR(__xludf.DUMMYFUNCTION("""COMPUTED_VALUE"""),"桑原 明子")</f>
        <v>桑原 明子</v>
      </c>
    </row>
    <row r="9055" spans="2:4" ht="13">
      <c r="B9055" s="12">
        <f ca="1">IFERROR(__xludf.DUMMYFUNCTION("""COMPUTED_VALUE"""),3103180)</f>
        <v>3103180</v>
      </c>
      <c r="C9055" s="14">
        <f ca="1">IFERROR(__xludf.DUMMYFUNCTION("""COMPUTED_VALUE"""),0)</f>
        <v>0</v>
      </c>
      <c r="D9055" s="12" t="str">
        <f ca="1">IFERROR(__xludf.DUMMYFUNCTION("""COMPUTED_VALUE"""),"小川 純")</f>
        <v>小川 純</v>
      </c>
    </row>
    <row r="9056" spans="2:4" ht="13">
      <c r="B9056" s="12">
        <f ca="1">IFERROR(__xludf.DUMMYFUNCTION("""COMPUTED_VALUE"""),3103181)</f>
        <v>3103181</v>
      </c>
      <c r="C9056" s="14">
        <f ca="1">IFERROR(__xludf.DUMMYFUNCTION("""COMPUTED_VALUE"""),0)</f>
        <v>0</v>
      </c>
      <c r="D9056" s="12" t="str">
        <f ca="1">IFERROR(__xludf.DUMMYFUNCTION("""COMPUTED_VALUE"""),"小川 純")</f>
        <v>小川 純</v>
      </c>
    </row>
    <row r="9057" spans="2:4" ht="13">
      <c r="B9057" s="12">
        <f ca="1">IFERROR(__xludf.DUMMYFUNCTION("""COMPUTED_VALUE"""),3103182)</f>
        <v>3103182</v>
      </c>
      <c r="C9057" s="14">
        <f ca="1">IFERROR(__xludf.DUMMYFUNCTION("""COMPUTED_VALUE"""),17)</f>
        <v>17</v>
      </c>
      <c r="D9057" s="12" t="str">
        <f ca="1">IFERROR(__xludf.DUMMYFUNCTION("""COMPUTED_VALUE"""),"小川 純")</f>
        <v>小川 純</v>
      </c>
    </row>
    <row r="9058" spans="2:4" ht="13">
      <c r="B9058" s="12">
        <f ca="1">IFERROR(__xludf.DUMMYFUNCTION("""COMPUTED_VALUE"""),3103183)</f>
        <v>3103183</v>
      </c>
      <c r="C9058" s="14">
        <f ca="1">IFERROR(__xludf.DUMMYFUNCTION("""COMPUTED_VALUE"""),17)</f>
        <v>17</v>
      </c>
      <c r="D9058" s="12" t="str">
        <f ca="1">IFERROR(__xludf.DUMMYFUNCTION("""COMPUTED_VALUE"""),"小川 純")</f>
        <v>小川 純</v>
      </c>
    </row>
    <row r="9059" spans="2:4" ht="13">
      <c r="B9059" s="12">
        <f ca="1">IFERROR(__xludf.DUMMYFUNCTION("""COMPUTED_VALUE"""),3103184)</f>
        <v>3103184</v>
      </c>
      <c r="C9059" s="14">
        <f ca="1">IFERROR(__xludf.DUMMYFUNCTION("""COMPUTED_VALUE"""),18)</f>
        <v>18</v>
      </c>
      <c r="D9059" s="12" t="str">
        <f ca="1">IFERROR(__xludf.DUMMYFUNCTION("""COMPUTED_VALUE"""),"小川 純")</f>
        <v>小川 純</v>
      </c>
    </row>
    <row r="9060" spans="2:4" ht="13">
      <c r="B9060" s="12">
        <f ca="1">IFERROR(__xludf.DUMMYFUNCTION("""COMPUTED_VALUE"""),3103185)</f>
        <v>3103185</v>
      </c>
      <c r="C9060" s="14">
        <f ca="1">IFERROR(__xludf.DUMMYFUNCTION("""COMPUTED_VALUE"""),17)</f>
        <v>17</v>
      </c>
      <c r="D9060" s="12" t="str">
        <f ca="1">IFERROR(__xludf.DUMMYFUNCTION("""COMPUTED_VALUE"""),"小川 純")</f>
        <v>小川 純</v>
      </c>
    </row>
    <row r="9061" spans="2:4" ht="13">
      <c r="B9061" s="12">
        <f ca="1">IFERROR(__xludf.DUMMYFUNCTION("""COMPUTED_VALUE"""),3103186)</f>
        <v>3103186</v>
      </c>
      <c r="C9061" s="14">
        <f ca="1">IFERROR(__xludf.DUMMYFUNCTION("""COMPUTED_VALUE"""),15)</f>
        <v>15</v>
      </c>
      <c r="D9061" s="12" t="str">
        <f ca="1">IFERROR(__xludf.DUMMYFUNCTION("""COMPUTED_VALUE"""),"老田 純輝")</f>
        <v>老田 純輝</v>
      </c>
    </row>
    <row r="9062" spans="2:4" ht="13">
      <c r="B9062" s="12">
        <f ca="1">IFERROR(__xludf.DUMMYFUNCTION("""COMPUTED_VALUE"""),3103187)</f>
        <v>3103187</v>
      </c>
      <c r="C9062" s="14">
        <f ca="1">IFERROR(__xludf.DUMMYFUNCTION("""COMPUTED_VALUE"""),2)</f>
        <v>2</v>
      </c>
      <c r="D9062" s="12" t="str">
        <f ca="1">IFERROR(__xludf.DUMMYFUNCTION("""COMPUTED_VALUE"""),"小関 麻起")</f>
        <v>小関 麻起</v>
      </c>
    </row>
    <row r="9063" spans="2:4" ht="13">
      <c r="B9063" s="12">
        <f ca="1">IFERROR(__xludf.DUMMYFUNCTION("""COMPUTED_VALUE"""),3103188)</f>
        <v>3103188</v>
      </c>
      <c r="C9063" s="14">
        <f ca="1">IFERROR(__xludf.DUMMYFUNCTION("""COMPUTED_VALUE"""),15)</f>
        <v>15</v>
      </c>
      <c r="D9063" s="12" t="str">
        <f ca="1">IFERROR(__xludf.DUMMYFUNCTION("""COMPUTED_VALUE"""),"稲場 勇介")</f>
        <v>稲場 勇介</v>
      </c>
    </row>
    <row r="9064" spans="2:4" ht="13">
      <c r="B9064" s="12">
        <f ca="1">IFERROR(__xludf.DUMMYFUNCTION("""COMPUTED_VALUE"""),3103189)</f>
        <v>3103189</v>
      </c>
      <c r="C9064" s="14">
        <f ca="1">IFERROR(__xludf.DUMMYFUNCTION("""COMPUTED_VALUE"""),25)</f>
        <v>25</v>
      </c>
      <c r="D9064" s="12" t="str">
        <f ca="1">IFERROR(__xludf.DUMMYFUNCTION("""COMPUTED_VALUE"""),"稲場 勇介")</f>
        <v>稲場 勇介</v>
      </c>
    </row>
    <row r="9065" spans="2:4" ht="13">
      <c r="B9065" s="12">
        <f ca="1">IFERROR(__xludf.DUMMYFUNCTION("""COMPUTED_VALUE"""),3103192)</f>
        <v>3103192</v>
      </c>
      <c r="C9065" s="14">
        <f ca="1">IFERROR(__xludf.DUMMYFUNCTION("""COMPUTED_VALUE"""),1)</f>
        <v>1</v>
      </c>
      <c r="D9065" s="12" t="str">
        <f ca="1">IFERROR(__xludf.DUMMYFUNCTION("""COMPUTED_VALUE"""),"小関 麻起")</f>
        <v>小関 麻起</v>
      </c>
    </row>
    <row r="9066" spans="2:4" ht="13">
      <c r="B9066" s="12">
        <f ca="1">IFERROR(__xludf.DUMMYFUNCTION("""COMPUTED_VALUE"""),3103193)</f>
        <v>3103193</v>
      </c>
      <c r="C9066" s="14">
        <f ca="1">IFERROR(__xludf.DUMMYFUNCTION("""COMPUTED_VALUE"""),24)</f>
        <v>24</v>
      </c>
      <c r="D9066" s="12" t="str">
        <f ca="1">IFERROR(__xludf.DUMMYFUNCTION("""COMPUTED_VALUE"""),"松尾 尚樹")</f>
        <v>松尾 尚樹</v>
      </c>
    </row>
    <row r="9067" spans="2:4" ht="13">
      <c r="B9067" s="12">
        <f ca="1">IFERROR(__xludf.DUMMYFUNCTION("""COMPUTED_VALUE"""),3103194)</f>
        <v>3103194</v>
      </c>
      <c r="C9067" s="14">
        <f ca="1">IFERROR(__xludf.DUMMYFUNCTION("""COMPUTED_VALUE"""),11)</f>
        <v>11</v>
      </c>
      <c r="D9067" s="12" t="str">
        <f ca="1">IFERROR(__xludf.DUMMYFUNCTION("""COMPUTED_VALUE"""),"大木 優香")</f>
        <v>大木 優香</v>
      </c>
    </row>
    <row r="9068" spans="2:4" ht="13">
      <c r="B9068" s="12">
        <f ca="1">IFERROR(__xludf.DUMMYFUNCTION("""COMPUTED_VALUE"""),3103195)</f>
        <v>3103195</v>
      </c>
      <c r="C9068" s="14">
        <f ca="1">IFERROR(__xludf.DUMMYFUNCTION("""COMPUTED_VALUE"""),0)</f>
        <v>0</v>
      </c>
      <c r="D9068" s="12" t="str">
        <f ca="1">IFERROR(__xludf.DUMMYFUNCTION("""COMPUTED_VALUE"""),"小関 麻起")</f>
        <v>小関 麻起</v>
      </c>
    </row>
    <row r="9069" spans="2:4" ht="13">
      <c r="B9069" s="12">
        <f ca="1">IFERROR(__xludf.DUMMYFUNCTION("""COMPUTED_VALUE"""),3103198)</f>
        <v>3103198</v>
      </c>
      <c r="C9069" s="14">
        <f ca="1">IFERROR(__xludf.DUMMYFUNCTION("""COMPUTED_VALUE"""),0)</f>
        <v>0</v>
      </c>
      <c r="D9069" s="12" t="str">
        <f ca="1">IFERROR(__xludf.DUMMYFUNCTION("""COMPUTED_VALUE"""),"小川 純")</f>
        <v>小川 純</v>
      </c>
    </row>
    <row r="9070" spans="2:4" ht="13">
      <c r="B9070" s="12">
        <f ca="1">IFERROR(__xludf.DUMMYFUNCTION("""COMPUTED_VALUE"""),3103199)</f>
        <v>3103199</v>
      </c>
      <c r="C9070" s="14">
        <f ca="1">IFERROR(__xludf.DUMMYFUNCTION("""COMPUTED_VALUE"""),17)</f>
        <v>17</v>
      </c>
      <c r="D9070" s="12" t="str">
        <f ca="1">IFERROR(__xludf.DUMMYFUNCTION("""COMPUTED_VALUE"""),"小川 純")</f>
        <v>小川 純</v>
      </c>
    </row>
    <row r="9071" spans="2:4" ht="13">
      <c r="B9071" s="12">
        <f ca="1">IFERROR(__xludf.DUMMYFUNCTION("""COMPUTED_VALUE"""),3103201)</f>
        <v>3103201</v>
      </c>
      <c r="C9071" s="14">
        <f ca="1">IFERROR(__xludf.DUMMYFUNCTION("""COMPUTED_VALUE"""),22)</f>
        <v>22</v>
      </c>
      <c r="D9071" s="12" t="str">
        <f ca="1">IFERROR(__xludf.DUMMYFUNCTION("""COMPUTED_VALUE"""),"小関 麻起")</f>
        <v>小関 麻起</v>
      </c>
    </row>
    <row r="9072" spans="2:4" ht="13">
      <c r="B9072" s="12">
        <f ca="1">IFERROR(__xludf.DUMMYFUNCTION("""COMPUTED_VALUE"""),3103203)</f>
        <v>3103203</v>
      </c>
      <c r="C9072" s="14">
        <f ca="1">IFERROR(__xludf.DUMMYFUNCTION("""COMPUTED_VALUE"""),92)</f>
        <v>92</v>
      </c>
      <c r="D9072" s="12" t="str">
        <f ca="1">IFERROR(__xludf.DUMMYFUNCTION("""COMPUTED_VALUE"""),"渋谷 雄大")</f>
        <v>渋谷 雄大</v>
      </c>
    </row>
    <row r="9073" spans="2:4" ht="13">
      <c r="B9073" s="12">
        <f ca="1">IFERROR(__xludf.DUMMYFUNCTION("""COMPUTED_VALUE"""),3103204)</f>
        <v>3103204</v>
      </c>
      <c r="C9073" s="14">
        <f ca="1">IFERROR(__xludf.DUMMYFUNCTION("""COMPUTED_VALUE"""),27)</f>
        <v>27</v>
      </c>
      <c r="D9073" s="12" t="str">
        <f ca="1">IFERROR(__xludf.DUMMYFUNCTION("""COMPUTED_VALUE"""),"稲場 勇介")</f>
        <v>稲場 勇介</v>
      </c>
    </row>
    <row r="9074" spans="2:4" ht="13">
      <c r="B9074" s="12">
        <f ca="1">IFERROR(__xludf.DUMMYFUNCTION("""COMPUTED_VALUE"""),3103206)</f>
        <v>3103206</v>
      </c>
      <c r="C9074" s="14">
        <f ca="1">IFERROR(__xludf.DUMMYFUNCTION("""COMPUTED_VALUE"""),8)</f>
        <v>8</v>
      </c>
      <c r="D9074" s="12" t="str">
        <f ca="1">IFERROR(__xludf.DUMMYFUNCTION("""COMPUTED_VALUE"""),"桑原 明子")</f>
        <v>桑原 明子</v>
      </c>
    </row>
    <row r="9075" spans="2:4" ht="13">
      <c r="B9075" s="12">
        <f ca="1">IFERROR(__xludf.DUMMYFUNCTION("""COMPUTED_VALUE"""),3103207)</f>
        <v>3103207</v>
      </c>
      <c r="C9075" s="14">
        <f ca="1">IFERROR(__xludf.DUMMYFUNCTION("""COMPUTED_VALUE"""),0)</f>
        <v>0</v>
      </c>
      <c r="D9075" s="12" t="str">
        <f ca="1">IFERROR(__xludf.DUMMYFUNCTION("""COMPUTED_VALUE"""),"荻曽 克輝")</f>
        <v>荻曽 克輝</v>
      </c>
    </row>
    <row r="9076" spans="2:4" ht="13">
      <c r="B9076" s="12">
        <f ca="1">IFERROR(__xludf.DUMMYFUNCTION("""COMPUTED_VALUE"""),3103208)</f>
        <v>3103208</v>
      </c>
      <c r="C9076" s="14">
        <f ca="1">IFERROR(__xludf.DUMMYFUNCTION("""COMPUTED_VALUE"""),0)</f>
        <v>0</v>
      </c>
      <c r="D9076" s="12" t="str">
        <f ca="1">IFERROR(__xludf.DUMMYFUNCTION("""COMPUTED_VALUE"""),"荻曽 克輝")</f>
        <v>荻曽 克輝</v>
      </c>
    </row>
    <row r="9077" spans="2:4" ht="13">
      <c r="B9077" s="12">
        <f ca="1">IFERROR(__xludf.DUMMYFUNCTION("""COMPUTED_VALUE"""),3103211)</f>
        <v>3103211</v>
      </c>
      <c r="C9077" s="14">
        <f ca="1">IFERROR(__xludf.DUMMYFUNCTION("""COMPUTED_VALUE"""),9)</f>
        <v>9</v>
      </c>
      <c r="D9077" s="12" t="str">
        <f ca="1">IFERROR(__xludf.DUMMYFUNCTION("""COMPUTED_VALUE"""),"辻村 将大")</f>
        <v>辻村 将大</v>
      </c>
    </row>
    <row r="9078" spans="2:4" ht="13">
      <c r="B9078" s="12">
        <f ca="1">IFERROR(__xludf.DUMMYFUNCTION("""COMPUTED_VALUE"""),3103212)</f>
        <v>3103212</v>
      </c>
      <c r="C9078" s="14">
        <f ca="1">IFERROR(__xludf.DUMMYFUNCTION("""COMPUTED_VALUE"""),3)</f>
        <v>3</v>
      </c>
      <c r="D9078" s="12" t="str">
        <f ca="1">IFERROR(__xludf.DUMMYFUNCTION("""COMPUTED_VALUE"""),"森 光智")</f>
        <v>森 光智</v>
      </c>
    </row>
    <row r="9079" spans="2:4" ht="13">
      <c r="B9079" s="12">
        <f ca="1">IFERROR(__xludf.DUMMYFUNCTION("""COMPUTED_VALUE"""),3103213)</f>
        <v>3103213</v>
      </c>
      <c r="C9079" s="14">
        <f ca="1">IFERROR(__xludf.DUMMYFUNCTION("""COMPUTED_VALUE"""),5)</f>
        <v>5</v>
      </c>
      <c r="D9079" s="12" t="str">
        <f ca="1">IFERROR(__xludf.DUMMYFUNCTION("""COMPUTED_VALUE"""),"森 光智")</f>
        <v>森 光智</v>
      </c>
    </row>
    <row r="9080" spans="2:4" ht="13">
      <c r="B9080" s="12">
        <f ca="1">IFERROR(__xludf.DUMMYFUNCTION("""COMPUTED_VALUE"""),3103215)</f>
        <v>3103215</v>
      </c>
      <c r="C9080" s="14">
        <f ca="1">IFERROR(__xludf.DUMMYFUNCTION("""COMPUTED_VALUE"""),3)</f>
        <v>3</v>
      </c>
      <c r="D9080" s="12" t="str">
        <f ca="1">IFERROR(__xludf.DUMMYFUNCTION("""COMPUTED_VALUE"""),"小関 麻起")</f>
        <v>小関 麻起</v>
      </c>
    </row>
    <row r="9081" spans="2:4" ht="13">
      <c r="B9081" s="12">
        <f ca="1">IFERROR(__xludf.DUMMYFUNCTION("""COMPUTED_VALUE"""),3103217)</f>
        <v>3103217</v>
      </c>
      <c r="C9081" s="14">
        <f ca="1">IFERROR(__xludf.DUMMYFUNCTION("""COMPUTED_VALUE"""),68)</f>
        <v>68</v>
      </c>
      <c r="D9081" s="12" t="str">
        <f ca="1">IFERROR(__xludf.DUMMYFUNCTION("""COMPUTED_VALUE"""),"渋谷 雄大")</f>
        <v>渋谷 雄大</v>
      </c>
    </row>
    <row r="9082" spans="2:4" ht="13">
      <c r="B9082" s="12">
        <f ca="1">IFERROR(__xludf.DUMMYFUNCTION("""COMPUTED_VALUE"""),3103220)</f>
        <v>3103220</v>
      </c>
      <c r="C9082" s="14">
        <f ca="1">IFERROR(__xludf.DUMMYFUNCTION("""COMPUTED_VALUE"""),24)</f>
        <v>24</v>
      </c>
      <c r="D9082" s="12" t="str">
        <f ca="1">IFERROR(__xludf.DUMMYFUNCTION("""COMPUTED_VALUE"""),"菅野 ぎんが")</f>
        <v>菅野 ぎんが</v>
      </c>
    </row>
    <row r="9083" spans="2:4" ht="13">
      <c r="B9083" s="12">
        <f ca="1">IFERROR(__xludf.DUMMYFUNCTION("""COMPUTED_VALUE"""),3103221)</f>
        <v>3103221</v>
      </c>
      <c r="C9083" s="14">
        <f ca="1">IFERROR(__xludf.DUMMYFUNCTION("""COMPUTED_VALUE"""),13)</f>
        <v>13</v>
      </c>
      <c r="D9083" s="12" t="str">
        <f ca="1">IFERROR(__xludf.DUMMYFUNCTION("""COMPUTED_VALUE"""),"大木 優香")</f>
        <v>大木 優香</v>
      </c>
    </row>
    <row r="9084" spans="2:4" ht="13">
      <c r="B9084" s="12">
        <f ca="1">IFERROR(__xludf.DUMMYFUNCTION("""COMPUTED_VALUE"""),3103222)</f>
        <v>3103222</v>
      </c>
      <c r="C9084" s="14">
        <f ca="1">IFERROR(__xludf.DUMMYFUNCTION("""COMPUTED_VALUE"""),6)</f>
        <v>6</v>
      </c>
      <c r="D9084" s="12" t="str">
        <f ca="1">IFERROR(__xludf.DUMMYFUNCTION("""COMPUTED_VALUE"""),"桑原 明子")</f>
        <v>桑原 明子</v>
      </c>
    </row>
    <row r="9085" spans="2:4" ht="13">
      <c r="B9085" s="12">
        <f ca="1">IFERROR(__xludf.DUMMYFUNCTION("""COMPUTED_VALUE"""),3103223)</f>
        <v>3103223</v>
      </c>
      <c r="C9085" s="14">
        <f ca="1">IFERROR(__xludf.DUMMYFUNCTION("""COMPUTED_VALUE"""),0)</f>
        <v>0</v>
      </c>
      <c r="D9085" s="12" t="str">
        <f ca="1">IFERROR(__xludf.DUMMYFUNCTION("""COMPUTED_VALUE"""),"辻村 将大")</f>
        <v>辻村 将大</v>
      </c>
    </row>
    <row r="9086" spans="2:4" ht="13">
      <c r="B9086" s="12">
        <f ca="1">IFERROR(__xludf.DUMMYFUNCTION("""COMPUTED_VALUE"""),3103224)</f>
        <v>3103224</v>
      </c>
      <c r="C9086" s="14">
        <f ca="1">IFERROR(__xludf.DUMMYFUNCTION("""COMPUTED_VALUE"""),43)</f>
        <v>43</v>
      </c>
      <c r="D9086" s="12" t="str">
        <f ca="1">IFERROR(__xludf.DUMMYFUNCTION("""COMPUTED_VALUE"""),"辻村 将大")</f>
        <v>辻村 将大</v>
      </c>
    </row>
    <row r="9087" spans="2:4" ht="13">
      <c r="B9087" s="12">
        <f ca="1">IFERROR(__xludf.DUMMYFUNCTION("""COMPUTED_VALUE"""),3103225)</f>
        <v>3103225</v>
      </c>
      <c r="C9087" s="14">
        <f ca="1">IFERROR(__xludf.DUMMYFUNCTION("""COMPUTED_VALUE"""),0)</f>
        <v>0</v>
      </c>
      <c r="D9087" s="12" t="str">
        <f ca="1">IFERROR(__xludf.DUMMYFUNCTION("""COMPUTED_VALUE"""),"辻村 将大")</f>
        <v>辻村 将大</v>
      </c>
    </row>
    <row r="9088" spans="2:4" ht="13">
      <c r="B9088" s="12">
        <f ca="1">IFERROR(__xludf.DUMMYFUNCTION("""COMPUTED_VALUE"""),3103227)</f>
        <v>3103227</v>
      </c>
      <c r="C9088" s="14">
        <f ca="1">IFERROR(__xludf.DUMMYFUNCTION("""COMPUTED_VALUE"""),32)</f>
        <v>32</v>
      </c>
      <c r="D9088" s="12" t="str">
        <f ca="1">IFERROR(__xludf.DUMMYFUNCTION("""COMPUTED_VALUE"""),"辻村 将大")</f>
        <v>辻村 将大</v>
      </c>
    </row>
    <row r="9089" spans="2:4" ht="13">
      <c r="B9089" s="12">
        <f ca="1">IFERROR(__xludf.DUMMYFUNCTION("""COMPUTED_VALUE"""),3103229)</f>
        <v>3103229</v>
      </c>
      <c r="C9089" s="14">
        <f ca="1">IFERROR(__xludf.DUMMYFUNCTION("""COMPUTED_VALUE"""),2)</f>
        <v>2</v>
      </c>
      <c r="D9089" s="12" t="str">
        <f ca="1">IFERROR(__xludf.DUMMYFUNCTION("""COMPUTED_VALUE"""),"栗原 大武")</f>
        <v>栗原 大武</v>
      </c>
    </row>
    <row r="9090" spans="2:4" ht="13">
      <c r="B9090" s="12">
        <f ca="1">IFERROR(__xludf.DUMMYFUNCTION("""COMPUTED_VALUE"""),3103230)</f>
        <v>3103230</v>
      </c>
      <c r="C9090" s="14">
        <f ca="1">IFERROR(__xludf.DUMMYFUNCTION("""COMPUTED_VALUE"""),6)</f>
        <v>6</v>
      </c>
      <c r="D9090" s="12" t="str">
        <f ca="1">IFERROR(__xludf.DUMMYFUNCTION("""COMPUTED_VALUE"""),"森 光智")</f>
        <v>森 光智</v>
      </c>
    </row>
    <row r="9091" spans="2:4" ht="13">
      <c r="B9091" s="12">
        <f ca="1">IFERROR(__xludf.DUMMYFUNCTION("""COMPUTED_VALUE"""),3103231)</f>
        <v>3103231</v>
      </c>
      <c r="C9091" s="14">
        <f ca="1">IFERROR(__xludf.DUMMYFUNCTION("""COMPUTED_VALUE"""),22)</f>
        <v>22</v>
      </c>
      <c r="D9091" s="12" t="str">
        <f ca="1">IFERROR(__xludf.DUMMYFUNCTION("""COMPUTED_VALUE"""),"村上 浩一朗")</f>
        <v>村上 浩一朗</v>
      </c>
    </row>
    <row r="9092" spans="2:4" ht="13">
      <c r="B9092" s="12">
        <f ca="1">IFERROR(__xludf.DUMMYFUNCTION("""COMPUTED_VALUE"""),3103232)</f>
        <v>3103232</v>
      </c>
      <c r="C9092" s="14">
        <f ca="1">IFERROR(__xludf.DUMMYFUNCTION("""COMPUTED_VALUE"""),0)</f>
        <v>0</v>
      </c>
      <c r="D9092" s="12" t="str">
        <f ca="1">IFERROR(__xludf.DUMMYFUNCTION("""COMPUTED_VALUE"""),"小川 純")</f>
        <v>小川 純</v>
      </c>
    </row>
    <row r="9093" spans="2:4" ht="13">
      <c r="B9093" s="12">
        <f ca="1">IFERROR(__xludf.DUMMYFUNCTION("""COMPUTED_VALUE"""),3103233)</f>
        <v>3103233</v>
      </c>
      <c r="C9093" s="14">
        <f ca="1">IFERROR(__xludf.DUMMYFUNCTION("""COMPUTED_VALUE"""),0)</f>
        <v>0</v>
      </c>
      <c r="D9093" s="12" t="str">
        <f ca="1">IFERROR(__xludf.DUMMYFUNCTION("""COMPUTED_VALUE"""),"森 光智")</f>
        <v>森 光智</v>
      </c>
    </row>
    <row r="9094" spans="2:4" ht="13">
      <c r="B9094" s="12">
        <f ca="1">IFERROR(__xludf.DUMMYFUNCTION("""COMPUTED_VALUE"""),3103235)</f>
        <v>3103235</v>
      </c>
      <c r="C9094" s="14">
        <f ca="1">IFERROR(__xludf.DUMMYFUNCTION("""COMPUTED_VALUE"""),34)</f>
        <v>34</v>
      </c>
      <c r="D9094" s="12" t="str">
        <f ca="1">IFERROR(__xludf.DUMMYFUNCTION("""COMPUTED_VALUE"""),"小川 純")</f>
        <v>小川 純</v>
      </c>
    </row>
    <row r="9095" spans="2:4" ht="13">
      <c r="B9095" s="12">
        <f ca="1">IFERROR(__xludf.DUMMYFUNCTION("""COMPUTED_VALUE"""),3103236)</f>
        <v>3103236</v>
      </c>
      <c r="C9095" s="14">
        <f ca="1">IFERROR(__xludf.DUMMYFUNCTION("""COMPUTED_VALUE"""),15)</f>
        <v>15</v>
      </c>
      <c r="D9095" s="12" t="str">
        <f ca="1">IFERROR(__xludf.DUMMYFUNCTION("""COMPUTED_VALUE"""),"川島 幹也")</f>
        <v>川島 幹也</v>
      </c>
    </row>
    <row r="9096" spans="2:4" ht="13">
      <c r="B9096" s="12">
        <f ca="1">IFERROR(__xludf.DUMMYFUNCTION("""COMPUTED_VALUE"""),3103237)</f>
        <v>3103237</v>
      </c>
      <c r="C9096" s="14">
        <f ca="1">IFERROR(__xludf.DUMMYFUNCTION("""COMPUTED_VALUE"""),3)</f>
        <v>3</v>
      </c>
      <c r="D9096" s="12" t="str">
        <f ca="1">IFERROR(__xludf.DUMMYFUNCTION("""COMPUTED_VALUE"""),"川島 幹也")</f>
        <v>川島 幹也</v>
      </c>
    </row>
    <row r="9097" spans="2:4" ht="13">
      <c r="B9097" s="12">
        <f ca="1">IFERROR(__xludf.DUMMYFUNCTION("""COMPUTED_VALUE"""),3103238)</f>
        <v>3103238</v>
      </c>
      <c r="C9097" s="14">
        <f ca="1">IFERROR(__xludf.DUMMYFUNCTION("""COMPUTED_VALUE"""),6)</f>
        <v>6</v>
      </c>
      <c r="D9097" s="12" t="str">
        <f ca="1">IFERROR(__xludf.DUMMYFUNCTION("""COMPUTED_VALUE"""),"川島 幹也")</f>
        <v>川島 幹也</v>
      </c>
    </row>
    <row r="9098" spans="2:4" ht="13">
      <c r="B9098" s="12">
        <f ca="1">IFERROR(__xludf.DUMMYFUNCTION("""COMPUTED_VALUE"""),3103239)</f>
        <v>3103239</v>
      </c>
      <c r="C9098" s="14">
        <f ca="1">IFERROR(__xludf.DUMMYFUNCTION("""COMPUTED_VALUE"""),0)</f>
        <v>0</v>
      </c>
      <c r="D9098" s="12" t="str">
        <f ca="1">IFERROR(__xludf.DUMMYFUNCTION("""COMPUTED_VALUE"""),"堀越 駿")</f>
        <v>堀越 駿</v>
      </c>
    </row>
    <row r="9099" spans="2:4" ht="13">
      <c r="B9099" s="12">
        <f ca="1">IFERROR(__xludf.DUMMYFUNCTION("""COMPUTED_VALUE"""),3103240)</f>
        <v>3103240</v>
      </c>
      <c r="C9099" s="14">
        <f ca="1">IFERROR(__xludf.DUMMYFUNCTION("""COMPUTED_VALUE"""),2)</f>
        <v>2</v>
      </c>
      <c r="D9099" s="12" t="str">
        <f ca="1">IFERROR(__xludf.DUMMYFUNCTION("""COMPUTED_VALUE"""),"小関 麻起")</f>
        <v>小関 麻起</v>
      </c>
    </row>
    <row r="9100" spans="2:4" ht="13">
      <c r="B9100" s="12">
        <f ca="1">IFERROR(__xludf.DUMMYFUNCTION("""COMPUTED_VALUE"""),3103243)</f>
        <v>3103243</v>
      </c>
      <c r="C9100" s="14">
        <f ca="1">IFERROR(__xludf.DUMMYFUNCTION("""COMPUTED_VALUE"""),146)</f>
        <v>146</v>
      </c>
      <c r="D9100" s="12" t="str">
        <f ca="1">IFERROR(__xludf.DUMMYFUNCTION("""COMPUTED_VALUE"""),"荻曽 克輝")</f>
        <v>荻曽 克輝</v>
      </c>
    </row>
    <row r="9101" spans="2:4" ht="13">
      <c r="B9101" s="12">
        <f ca="1">IFERROR(__xludf.DUMMYFUNCTION("""COMPUTED_VALUE"""),3103244)</f>
        <v>3103244</v>
      </c>
      <c r="C9101" s="14">
        <f ca="1">IFERROR(__xludf.DUMMYFUNCTION("""COMPUTED_VALUE"""),44)</f>
        <v>44</v>
      </c>
      <c r="D9101" s="12" t="str">
        <f ca="1">IFERROR(__xludf.DUMMYFUNCTION("""COMPUTED_VALUE"""),"辻村 将大")</f>
        <v>辻村 将大</v>
      </c>
    </row>
    <row r="9102" spans="2:4" ht="13">
      <c r="B9102" s="12">
        <f ca="1">IFERROR(__xludf.DUMMYFUNCTION("""COMPUTED_VALUE"""),3103245)</f>
        <v>3103245</v>
      </c>
      <c r="C9102" s="14">
        <f ca="1">IFERROR(__xludf.DUMMYFUNCTION("""COMPUTED_VALUE"""),1)</f>
        <v>1</v>
      </c>
      <c r="D9102" s="12" t="str">
        <f ca="1">IFERROR(__xludf.DUMMYFUNCTION("""COMPUTED_VALUE"""),"荻曽 克輝")</f>
        <v>荻曽 克輝</v>
      </c>
    </row>
    <row r="9103" spans="2:4" ht="13">
      <c r="B9103" s="12">
        <f ca="1">IFERROR(__xludf.DUMMYFUNCTION("""COMPUTED_VALUE"""),3103246)</f>
        <v>3103246</v>
      </c>
      <c r="C9103" s="14">
        <f ca="1">IFERROR(__xludf.DUMMYFUNCTION("""COMPUTED_VALUE"""),24)</f>
        <v>24</v>
      </c>
      <c r="D9103" s="12" t="str">
        <f ca="1">IFERROR(__xludf.DUMMYFUNCTION("""COMPUTED_VALUE"""),"荻曽 克輝")</f>
        <v>荻曽 克輝</v>
      </c>
    </row>
    <row r="9104" spans="2:4" ht="13">
      <c r="B9104" s="12">
        <f ca="1">IFERROR(__xludf.DUMMYFUNCTION("""COMPUTED_VALUE"""),3103248)</f>
        <v>3103248</v>
      </c>
      <c r="C9104" s="14">
        <f ca="1">IFERROR(__xludf.DUMMYFUNCTION("""COMPUTED_VALUE"""),25)</f>
        <v>25</v>
      </c>
      <c r="D9104" s="12" t="str">
        <f ca="1">IFERROR(__xludf.DUMMYFUNCTION("""COMPUTED_VALUE"""),"村上 浩一朗")</f>
        <v>村上 浩一朗</v>
      </c>
    </row>
    <row r="9105" spans="2:4" ht="13">
      <c r="B9105" s="12">
        <f ca="1">IFERROR(__xludf.DUMMYFUNCTION("""COMPUTED_VALUE"""),3103249)</f>
        <v>3103249</v>
      </c>
      <c r="C9105" s="14">
        <f ca="1">IFERROR(__xludf.DUMMYFUNCTION("""COMPUTED_VALUE"""),113)</f>
        <v>113</v>
      </c>
      <c r="D9105" s="12" t="str">
        <f ca="1">IFERROR(__xludf.DUMMYFUNCTION("""COMPUTED_VALUE"""),"桑原 明子")</f>
        <v>桑原 明子</v>
      </c>
    </row>
    <row r="9106" spans="2:4" ht="13">
      <c r="B9106" s="12">
        <f ca="1">IFERROR(__xludf.DUMMYFUNCTION("""COMPUTED_VALUE"""),3103251)</f>
        <v>3103251</v>
      </c>
      <c r="C9106" s="14">
        <f ca="1">IFERROR(__xludf.DUMMYFUNCTION("""COMPUTED_VALUE"""),17)</f>
        <v>17</v>
      </c>
      <c r="D9106" s="12" t="str">
        <f ca="1">IFERROR(__xludf.DUMMYFUNCTION("""COMPUTED_VALUE"""),"芳賀 亮輔")</f>
        <v>芳賀 亮輔</v>
      </c>
    </row>
    <row r="9107" spans="2:4" ht="13">
      <c r="B9107" s="12">
        <f ca="1">IFERROR(__xludf.DUMMYFUNCTION("""COMPUTED_VALUE"""),3103252)</f>
        <v>3103252</v>
      </c>
      <c r="C9107" s="14">
        <f ca="1">IFERROR(__xludf.DUMMYFUNCTION("""COMPUTED_VALUE"""),41)</f>
        <v>41</v>
      </c>
      <c r="D9107" s="12" t="str">
        <f ca="1">IFERROR(__xludf.DUMMYFUNCTION("""COMPUTED_VALUE"""),"芳賀 亮輔")</f>
        <v>芳賀 亮輔</v>
      </c>
    </row>
    <row r="9108" spans="2:4" ht="13">
      <c r="B9108" s="12">
        <f ca="1">IFERROR(__xludf.DUMMYFUNCTION("""COMPUTED_VALUE"""),3103253)</f>
        <v>3103253</v>
      </c>
      <c r="C9108" s="14">
        <f ca="1">IFERROR(__xludf.DUMMYFUNCTION("""COMPUTED_VALUE"""),116)</f>
        <v>116</v>
      </c>
      <c r="D9108" s="12" t="str">
        <f ca="1">IFERROR(__xludf.DUMMYFUNCTION("""COMPUTED_VALUE"""),"芳賀 亮輔")</f>
        <v>芳賀 亮輔</v>
      </c>
    </row>
    <row r="9109" spans="2:4" ht="13">
      <c r="B9109" s="12">
        <f ca="1">IFERROR(__xludf.DUMMYFUNCTION("""COMPUTED_VALUE"""),3103254)</f>
        <v>3103254</v>
      </c>
      <c r="C9109" s="14">
        <f ca="1">IFERROR(__xludf.DUMMYFUNCTION("""COMPUTED_VALUE"""),0)</f>
        <v>0</v>
      </c>
      <c r="D9109" s="12" t="str">
        <f ca="1">IFERROR(__xludf.DUMMYFUNCTION("""COMPUTED_VALUE"""),"芳賀 亮輔")</f>
        <v>芳賀 亮輔</v>
      </c>
    </row>
    <row r="9110" spans="2:4" ht="13">
      <c r="B9110" s="12">
        <f ca="1">IFERROR(__xludf.DUMMYFUNCTION("""COMPUTED_VALUE"""),3103255)</f>
        <v>3103255</v>
      </c>
      <c r="C9110" s="14">
        <f ca="1">IFERROR(__xludf.DUMMYFUNCTION("""COMPUTED_VALUE"""),0)</f>
        <v>0</v>
      </c>
      <c r="D9110" s="12" t="str">
        <f ca="1">IFERROR(__xludf.DUMMYFUNCTION("""COMPUTED_VALUE"""),"芳賀 亮輔")</f>
        <v>芳賀 亮輔</v>
      </c>
    </row>
    <row r="9111" spans="2:4" ht="13">
      <c r="B9111" s="12">
        <f ca="1">IFERROR(__xludf.DUMMYFUNCTION("""COMPUTED_VALUE"""),3103256)</f>
        <v>3103256</v>
      </c>
      <c r="C9111" s="14">
        <f ca="1">IFERROR(__xludf.DUMMYFUNCTION("""COMPUTED_VALUE"""),0)</f>
        <v>0</v>
      </c>
      <c r="D9111" s="12" t="str">
        <f ca="1">IFERROR(__xludf.DUMMYFUNCTION("""COMPUTED_VALUE"""),"芳賀 亮輔")</f>
        <v>芳賀 亮輔</v>
      </c>
    </row>
    <row r="9112" spans="2:4" ht="13">
      <c r="B9112" s="12">
        <f ca="1">IFERROR(__xludf.DUMMYFUNCTION("""COMPUTED_VALUE"""),3103257)</f>
        <v>3103257</v>
      </c>
      <c r="C9112" s="14">
        <f ca="1">IFERROR(__xludf.DUMMYFUNCTION("""COMPUTED_VALUE"""),0)</f>
        <v>0</v>
      </c>
      <c r="D9112" s="12" t="str">
        <f ca="1">IFERROR(__xludf.DUMMYFUNCTION("""COMPUTED_VALUE"""),"芳賀 亮輔")</f>
        <v>芳賀 亮輔</v>
      </c>
    </row>
    <row r="9113" spans="2:4" ht="13">
      <c r="B9113" s="12">
        <f ca="1">IFERROR(__xludf.DUMMYFUNCTION("""COMPUTED_VALUE"""),3103258)</f>
        <v>3103258</v>
      </c>
      <c r="C9113" s="14">
        <f ca="1">IFERROR(__xludf.DUMMYFUNCTION("""COMPUTED_VALUE"""),45)</f>
        <v>45</v>
      </c>
      <c r="D9113" s="12" t="str">
        <f ca="1">IFERROR(__xludf.DUMMYFUNCTION("""COMPUTED_VALUE"""),"芳賀 亮輔")</f>
        <v>芳賀 亮輔</v>
      </c>
    </row>
    <row r="9114" spans="2:4" ht="13">
      <c r="B9114" s="12">
        <f ca="1">IFERROR(__xludf.DUMMYFUNCTION("""COMPUTED_VALUE"""),3103259)</f>
        <v>3103259</v>
      </c>
      <c r="C9114" s="14">
        <f ca="1">IFERROR(__xludf.DUMMYFUNCTION("""COMPUTED_VALUE"""),43)</f>
        <v>43</v>
      </c>
      <c r="D9114" s="12" t="str">
        <f ca="1">IFERROR(__xludf.DUMMYFUNCTION("""COMPUTED_VALUE"""),"芳賀 亮輔")</f>
        <v>芳賀 亮輔</v>
      </c>
    </row>
    <row r="9115" spans="2:4" ht="13">
      <c r="B9115" s="12">
        <f ca="1">IFERROR(__xludf.DUMMYFUNCTION("""COMPUTED_VALUE"""),3103260)</f>
        <v>3103260</v>
      </c>
      <c r="C9115" s="14">
        <f ca="1">IFERROR(__xludf.DUMMYFUNCTION("""COMPUTED_VALUE"""),49)</f>
        <v>49</v>
      </c>
      <c r="D9115" s="12" t="str">
        <f ca="1">IFERROR(__xludf.DUMMYFUNCTION("""COMPUTED_VALUE"""),"芳賀 亮輔")</f>
        <v>芳賀 亮輔</v>
      </c>
    </row>
    <row r="9116" spans="2:4" ht="13">
      <c r="B9116" s="12">
        <f ca="1">IFERROR(__xludf.DUMMYFUNCTION("""COMPUTED_VALUE"""),3103261)</f>
        <v>3103261</v>
      </c>
      <c r="C9116" s="14">
        <f ca="1">IFERROR(__xludf.DUMMYFUNCTION("""COMPUTED_VALUE"""),0)</f>
        <v>0</v>
      </c>
      <c r="D9116" s="12" t="str">
        <f ca="1">IFERROR(__xludf.DUMMYFUNCTION("""COMPUTED_VALUE"""),"芳賀 亮輔")</f>
        <v>芳賀 亮輔</v>
      </c>
    </row>
    <row r="9117" spans="2:4" ht="13">
      <c r="B9117" s="12">
        <f ca="1">IFERROR(__xludf.DUMMYFUNCTION("""COMPUTED_VALUE"""),3103262)</f>
        <v>3103262</v>
      </c>
      <c r="C9117" s="14">
        <f ca="1">IFERROR(__xludf.DUMMYFUNCTION("""COMPUTED_VALUE"""),91)</f>
        <v>91</v>
      </c>
      <c r="D9117" s="12" t="str">
        <f ca="1">IFERROR(__xludf.DUMMYFUNCTION("""COMPUTED_VALUE"""),"芳賀 亮輔")</f>
        <v>芳賀 亮輔</v>
      </c>
    </row>
    <row r="9118" spans="2:4" ht="13">
      <c r="B9118" s="12">
        <f ca="1">IFERROR(__xludf.DUMMYFUNCTION("""COMPUTED_VALUE"""),3103263)</f>
        <v>3103263</v>
      </c>
      <c r="C9118" s="14">
        <f ca="1">IFERROR(__xludf.DUMMYFUNCTION("""COMPUTED_VALUE"""),91)</f>
        <v>91</v>
      </c>
      <c r="D9118" s="12" t="str">
        <f ca="1">IFERROR(__xludf.DUMMYFUNCTION("""COMPUTED_VALUE"""),"芳賀 亮輔")</f>
        <v>芳賀 亮輔</v>
      </c>
    </row>
    <row r="9119" spans="2:4" ht="13">
      <c r="B9119" s="12">
        <f ca="1">IFERROR(__xludf.DUMMYFUNCTION("""COMPUTED_VALUE"""),3103264)</f>
        <v>3103264</v>
      </c>
      <c r="C9119" s="14">
        <f ca="1">IFERROR(__xludf.DUMMYFUNCTION("""COMPUTED_VALUE"""),3)</f>
        <v>3</v>
      </c>
      <c r="D9119" s="12" t="str">
        <f ca="1">IFERROR(__xludf.DUMMYFUNCTION("""COMPUTED_VALUE"""),"芳賀 亮輔")</f>
        <v>芳賀 亮輔</v>
      </c>
    </row>
    <row r="9120" spans="2:4" ht="13">
      <c r="B9120" s="12">
        <f ca="1">IFERROR(__xludf.DUMMYFUNCTION("""COMPUTED_VALUE"""),3103265)</f>
        <v>3103265</v>
      </c>
      <c r="C9120" s="14">
        <f ca="1">IFERROR(__xludf.DUMMYFUNCTION("""COMPUTED_VALUE"""),2)</f>
        <v>2</v>
      </c>
      <c r="D9120" s="12" t="str">
        <f ca="1">IFERROR(__xludf.DUMMYFUNCTION("""COMPUTED_VALUE"""),"芳賀 亮輔")</f>
        <v>芳賀 亮輔</v>
      </c>
    </row>
    <row r="9121" spans="2:4" ht="13">
      <c r="B9121" s="12">
        <f ca="1">IFERROR(__xludf.DUMMYFUNCTION("""COMPUTED_VALUE"""),3103266)</f>
        <v>3103266</v>
      </c>
      <c r="C9121" s="14">
        <f ca="1">IFERROR(__xludf.DUMMYFUNCTION("""COMPUTED_VALUE"""),0)</f>
        <v>0</v>
      </c>
      <c r="D9121" s="12" t="str">
        <f ca="1">IFERROR(__xludf.DUMMYFUNCTION("""COMPUTED_VALUE"""),"芳賀 亮輔")</f>
        <v>芳賀 亮輔</v>
      </c>
    </row>
    <row r="9122" spans="2:4" ht="13">
      <c r="B9122" s="12">
        <f ca="1">IFERROR(__xludf.DUMMYFUNCTION("""COMPUTED_VALUE"""),3103267)</f>
        <v>3103267</v>
      </c>
      <c r="C9122" s="14">
        <f ca="1">IFERROR(__xludf.DUMMYFUNCTION("""COMPUTED_VALUE"""),66)</f>
        <v>66</v>
      </c>
      <c r="D9122" s="12" t="str">
        <f ca="1">IFERROR(__xludf.DUMMYFUNCTION("""COMPUTED_VALUE"""),"芳賀 亮輔")</f>
        <v>芳賀 亮輔</v>
      </c>
    </row>
    <row r="9123" spans="2:4" ht="13">
      <c r="B9123" s="12">
        <f ca="1">IFERROR(__xludf.DUMMYFUNCTION("""COMPUTED_VALUE"""),3103268)</f>
        <v>3103268</v>
      </c>
      <c r="C9123" s="14">
        <f ca="1">IFERROR(__xludf.DUMMYFUNCTION("""COMPUTED_VALUE"""),66)</f>
        <v>66</v>
      </c>
      <c r="D9123" s="12" t="str">
        <f ca="1">IFERROR(__xludf.DUMMYFUNCTION("""COMPUTED_VALUE"""),"芳賀 亮輔")</f>
        <v>芳賀 亮輔</v>
      </c>
    </row>
    <row r="9124" spans="2:4" ht="13">
      <c r="B9124" s="12">
        <f ca="1">IFERROR(__xludf.DUMMYFUNCTION("""COMPUTED_VALUE"""),3103269)</f>
        <v>3103269</v>
      </c>
      <c r="C9124" s="14">
        <f ca="1">IFERROR(__xludf.DUMMYFUNCTION("""COMPUTED_VALUE"""),0)</f>
        <v>0</v>
      </c>
      <c r="D9124" s="12" t="str">
        <f ca="1">IFERROR(__xludf.DUMMYFUNCTION("""COMPUTED_VALUE"""),"芳賀 亮輔")</f>
        <v>芳賀 亮輔</v>
      </c>
    </row>
    <row r="9125" spans="2:4" ht="13">
      <c r="B9125" s="12">
        <f ca="1">IFERROR(__xludf.DUMMYFUNCTION("""COMPUTED_VALUE"""),3103270)</f>
        <v>3103270</v>
      </c>
      <c r="C9125" s="14">
        <f ca="1">IFERROR(__xludf.DUMMYFUNCTION("""COMPUTED_VALUE"""),0)</f>
        <v>0</v>
      </c>
      <c r="D9125" s="12" t="str">
        <f ca="1">IFERROR(__xludf.DUMMYFUNCTION("""COMPUTED_VALUE"""),"芳賀 亮輔")</f>
        <v>芳賀 亮輔</v>
      </c>
    </row>
    <row r="9126" spans="2:4" ht="13">
      <c r="B9126" s="12">
        <f ca="1">IFERROR(__xludf.DUMMYFUNCTION("""COMPUTED_VALUE"""),3103271)</f>
        <v>3103271</v>
      </c>
      <c r="C9126" s="14">
        <f ca="1">IFERROR(__xludf.DUMMYFUNCTION("""COMPUTED_VALUE"""),21)</f>
        <v>21</v>
      </c>
      <c r="D9126" s="12" t="str">
        <f ca="1">IFERROR(__xludf.DUMMYFUNCTION("""COMPUTED_VALUE"""),"芳賀 亮輔")</f>
        <v>芳賀 亮輔</v>
      </c>
    </row>
    <row r="9127" spans="2:4" ht="13">
      <c r="B9127" s="12">
        <f ca="1">IFERROR(__xludf.DUMMYFUNCTION("""COMPUTED_VALUE"""),3103272)</f>
        <v>3103272</v>
      </c>
      <c r="C9127" s="14">
        <f ca="1">IFERROR(__xludf.DUMMYFUNCTION("""COMPUTED_VALUE"""),0)</f>
        <v>0</v>
      </c>
      <c r="D9127" s="12" t="str">
        <f ca="1">IFERROR(__xludf.DUMMYFUNCTION("""COMPUTED_VALUE"""),"芳賀 亮輔")</f>
        <v>芳賀 亮輔</v>
      </c>
    </row>
    <row r="9128" spans="2:4" ht="13">
      <c r="B9128" s="12">
        <f ca="1">IFERROR(__xludf.DUMMYFUNCTION("""COMPUTED_VALUE"""),3103273)</f>
        <v>3103273</v>
      </c>
      <c r="C9128" s="14">
        <f ca="1">IFERROR(__xludf.DUMMYFUNCTION("""COMPUTED_VALUE"""),0)</f>
        <v>0</v>
      </c>
      <c r="D9128" s="12" t="str">
        <f ca="1">IFERROR(__xludf.DUMMYFUNCTION("""COMPUTED_VALUE"""),"芳賀 亮輔")</f>
        <v>芳賀 亮輔</v>
      </c>
    </row>
    <row r="9129" spans="2:4" ht="13">
      <c r="B9129" s="12">
        <f ca="1">IFERROR(__xludf.DUMMYFUNCTION("""COMPUTED_VALUE"""),3103274)</f>
        <v>3103274</v>
      </c>
      <c r="C9129" s="14">
        <f ca="1">IFERROR(__xludf.DUMMYFUNCTION("""COMPUTED_VALUE"""),4)</f>
        <v>4</v>
      </c>
      <c r="D9129" s="12" t="str">
        <f ca="1">IFERROR(__xludf.DUMMYFUNCTION("""COMPUTED_VALUE"""),"堀越 駿")</f>
        <v>堀越 駿</v>
      </c>
    </row>
    <row r="9130" spans="2:4" ht="13">
      <c r="B9130" s="12">
        <f ca="1">IFERROR(__xludf.DUMMYFUNCTION("""COMPUTED_VALUE"""),3103275)</f>
        <v>3103275</v>
      </c>
      <c r="C9130" s="14">
        <f ca="1">IFERROR(__xludf.DUMMYFUNCTION("""COMPUTED_VALUE"""),0)</f>
        <v>0</v>
      </c>
      <c r="D9130" s="12" t="str">
        <f ca="1">IFERROR(__xludf.DUMMYFUNCTION("""COMPUTED_VALUE"""),"堀越 駿")</f>
        <v>堀越 駿</v>
      </c>
    </row>
    <row r="9131" spans="2:4" ht="13">
      <c r="B9131" s="12">
        <f ca="1">IFERROR(__xludf.DUMMYFUNCTION("""COMPUTED_VALUE"""),3103276)</f>
        <v>3103276</v>
      </c>
      <c r="C9131" s="14">
        <f ca="1">IFERROR(__xludf.DUMMYFUNCTION("""COMPUTED_VALUE"""),13)</f>
        <v>13</v>
      </c>
      <c r="D9131" s="12" t="str">
        <f ca="1">IFERROR(__xludf.DUMMYFUNCTION("""COMPUTED_VALUE"""),"渋谷 雄大")</f>
        <v>渋谷 雄大</v>
      </c>
    </row>
    <row r="9132" spans="2:4" ht="13">
      <c r="B9132" s="12">
        <f ca="1">IFERROR(__xludf.DUMMYFUNCTION("""COMPUTED_VALUE"""),3103279)</f>
        <v>3103279</v>
      </c>
      <c r="C9132" s="14">
        <f ca="1">IFERROR(__xludf.DUMMYFUNCTION("""COMPUTED_VALUE"""),359)</f>
        <v>359</v>
      </c>
      <c r="D9132" s="12" t="str">
        <f ca="1">IFERROR(__xludf.DUMMYFUNCTION("""COMPUTED_VALUE"""),"田嶋 将太")</f>
        <v>田嶋 将太</v>
      </c>
    </row>
    <row r="9133" spans="2:4" ht="13">
      <c r="B9133" s="12">
        <f ca="1">IFERROR(__xludf.DUMMYFUNCTION("""COMPUTED_VALUE"""),3103280)</f>
        <v>3103280</v>
      </c>
      <c r="C9133" s="14">
        <f ca="1">IFERROR(__xludf.DUMMYFUNCTION("""COMPUTED_VALUE"""),559)</f>
        <v>559</v>
      </c>
      <c r="D9133" s="12" t="str">
        <f ca="1">IFERROR(__xludf.DUMMYFUNCTION("""COMPUTED_VALUE"""),"田嶋 将太")</f>
        <v>田嶋 将太</v>
      </c>
    </row>
    <row r="9134" spans="2:4" ht="13">
      <c r="B9134" s="12">
        <f ca="1">IFERROR(__xludf.DUMMYFUNCTION("""COMPUTED_VALUE"""),3103281)</f>
        <v>3103281</v>
      </c>
      <c r="C9134" s="14">
        <f ca="1">IFERROR(__xludf.DUMMYFUNCTION("""COMPUTED_VALUE"""),0)</f>
        <v>0</v>
      </c>
      <c r="D9134" s="12" t="str">
        <f ca="1">IFERROR(__xludf.DUMMYFUNCTION("""COMPUTED_VALUE"""),"田嶋 将太")</f>
        <v>田嶋 将太</v>
      </c>
    </row>
    <row r="9135" spans="2:4" ht="13">
      <c r="B9135" s="12">
        <f ca="1">IFERROR(__xludf.DUMMYFUNCTION("""COMPUTED_VALUE"""),3103283)</f>
        <v>3103283</v>
      </c>
      <c r="C9135" s="14">
        <f ca="1">IFERROR(__xludf.DUMMYFUNCTION("""COMPUTED_VALUE"""),11)</f>
        <v>11</v>
      </c>
      <c r="D9135" s="12" t="str">
        <f ca="1">IFERROR(__xludf.DUMMYFUNCTION("""COMPUTED_VALUE"""),"老田 純輝")</f>
        <v>老田 純輝</v>
      </c>
    </row>
    <row r="9136" spans="2:4" ht="13">
      <c r="B9136" s="12">
        <f ca="1">IFERROR(__xludf.DUMMYFUNCTION("""COMPUTED_VALUE"""),3103284)</f>
        <v>3103284</v>
      </c>
      <c r="C9136" s="14">
        <f ca="1">IFERROR(__xludf.DUMMYFUNCTION("""COMPUTED_VALUE"""),140)</f>
        <v>140</v>
      </c>
      <c r="D9136" s="12" t="str">
        <f ca="1">IFERROR(__xludf.DUMMYFUNCTION("""COMPUTED_VALUE"""),"老田 純輝")</f>
        <v>老田 純輝</v>
      </c>
    </row>
    <row r="9137" spans="2:4" ht="13">
      <c r="B9137" s="12">
        <f ca="1">IFERROR(__xludf.DUMMYFUNCTION("""COMPUTED_VALUE"""),3103285)</f>
        <v>3103285</v>
      </c>
      <c r="C9137" s="14">
        <f ca="1">IFERROR(__xludf.DUMMYFUNCTION("""COMPUTED_VALUE"""),0)</f>
        <v>0</v>
      </c>
      <c r="D9137" s="12" t="str">
        <f ca="1">IFERROR(__xludf.DUMMYFUNCTION("""COMPUTED_VALUE"""),"老田 純輝")</f>
        <v>老田 純輝</v>
      </c>
    </row>
    <row r="9138" spans="2:4" ht="13">
      <c r="B9138" s="12">
        <f ca="1">IFERROR(__xludf.DUMMYFUNCTION("""COMPUTED_VALUE"""),3103287)</f>
        <v>3103287</v>
      </c>
      <c r="C9138" s="14">
        <f ca="1">IFERROR(__xludf.DUMMYFUNCTION("""COMPUTED_VALUE"""),1)</f>
        <v>1</v>
      </c>
      <c r="D9138" s="12" t="str">
        <f ca="1">IFERROR(__xludf.DUMMYFUNCTION("""COMPUTED_VALUE"""),"老田 純輝")</f>
        <v>老田 純輝</v>
      </c>
    </row>
    <row r="9139" spans="2:4" ht="13">
      <c r="B9139" s="12">
        <f ca="1">IFERROR(__xludf.DUMMYFUNCTION("""COMPUTED_VALUE"""),3103288)</f>
        <v>3103288</v>
      </c>
      <c r="C9139" s="14">
        <f ca="1">IFERROR(__xludf.DUMMYFUNCTION("""COMPUTED_VALUE"""),1)</f>
        <v>1</v>
      </c>
      <c r="D9139" s="12" t="str">
        <f ca="1">IFERROR(__xludf.DUMMYFUNCTION("""COMPUTED_VALUE"""),"老田 純輝")</f>
        <v>老田 純輝</v>
      </c>
    </row>
    <row r="9140" spans="2:4" ht="13">
      <c r="B9140" s="12">
        <f ca="1">IFERROR(__xludf.DUMMYFUNCTION("""COMPUTED_VALUE"""),3103289)</f>
        <v>3103289</v>
      </c>
      <c r="C9140" s="14">
        <f ca="1">IFERROR(__xludf.DUMMYFUNCTION("""COMPUTED_VALUE"""),0)</f>
        <v>0</v>
      </c>
      <c r="D9140" s="12" t="str">
        <f ca="1">IFERROR(__xludf.DUMMYFUNCTION("""COMPUTED_VALUE"""),"老田 純輝")</f>
        <v>老田 純輝</v>
      </c>
    </row>
    <row r="9141" spans="2:4" ht="13">
      <c r="B9141" s="12">
        <f ca="1">IFERROR(__xludf.DUMMYFUNCTION("""COMPUTED_VALUE"""),3103290)</f>
        <v>3103290</v>
      </c>
      <c r="C9141" s="14">
        <f ca="1">IFERROR(__xludf.DUMMYFUNCTION("""COMPUTED_VALUE"""),0)</f>
        <v>0</v>
      </c>
      <c r="D9141" s="12" t="str">
        <f ca="1">IFERROR(__xludf.DUMMYFUNCTION("""COMPUTED_VALUE"""),"老田 純輝")</f>
        <v>老田 純輝</v>
      </c>
    </row>
    <row r="9142" spans="2:4" ht="13">
      <c r="B9142" s="12">
        <f ca="1">IFERROR(__xludf.DUMMYFUNCTION("""COMPUTED_VALUE"""),3103291)</f>
        <v>3103291</v>
      </c>
      <c r="C9142" s="14">
        <f ca="1">IFERROR(__xludf.DUMMYFUNCTION("""COMPUTED_VALUE"""),15)</f>
        <v>15</v>
      </c>
      <c r="D9142" s="12" t="str">
        <f ca="1">IFERROR(__xludf.DUMMYFUNCTION("""COMPUTED_VALUE"""),"老田 純輝")</f>
        <v>老田 純輝</v>
      </c>
    </row>
    <row r="9143" spans="2:4" ht="13">
      <c r="B9143" s="12">
        <f ca="1">IFERROR(__xludf.DUMMYFUNCTION("""COMPUTED_VALUE"""),3103292)</f>
        <v>3103292</v>
      </c>
      <c r="C9143" s="14">
        <f ca="1">IFERROR(__xludf.DUMMYFUNCTION("""COMPUTED_VALUE"""),0)</f>
        <v>0</v>
      </c>
      <c r="D9143" s="12" t="str">
        <f ca="1">IFERROR(__xludf.DUMMYFUNCTION("""COMPUTED_VALUE"""),"堀越 駿")</f>
        <v>堀越 駿</v>
      </c>
    </row>
    <row r="9144" spans="2:4" ht="13">
      <c r="B9144" s="12">
        <f ca="1">IFERROR(__xludf.DUMMYFUNCTION("""COMPUTED_VALUE"""),3103293)</f>
        <v>3103293</v>
      </c>
      <c r="C9144" s="14">
        <f ca="1">IFERROR(__xludf.DUMMYFUNCTION("""COMPUTED_VALUE"""),0)</f>
        <v>0</v>
      </c>
      <c r="D9144" s="12" t="str">
        <f ca="1">IFERROR(__xludf.DUMMYFUNCTION("""COMPUTED_VALUE"""),"堀越 駿")</f>
        <v>堀越 駿</v>
      </c>
    </row>
    <row r="9145" spans="2:4" ht="13">
      <c r="B9145" s="12">
        <f ca="1">IFERROR(__xludf.DUMMYFUNCTION("""COMPUTED_VALUE"""),3103294)</f>
        <v>3103294</v>
      </c>
      <c r="C9145" s="14">
        <f ca="1">IFERROR(__xludf.DUMMYFUNCTION("""COMPUTED_VALUE"""),0)</f>
        <v>0</v>
      </c>
      <c r="D9145" s="12" t="str">
        <f ca="1">IFERROR(__xludf.DUMMYFUNCTION("""COMPUTED_VALUE"""),"堀越 駿")</f>
        <v>堀越 駿</v>
      </c>
    </row>
    <row r="9146" spans="2:4" ht="13">
      <c r="B9146" s="12">
        <f ca="1">IFERROR(__xludf.DUMMYFUNCTION("""COMPUTED_VALUE"""),3103295)</f>
        <v>3103295</v>
      </c>
      <c r="C9146" s="14">
        <f ca="1">IFERROR(__xludf.DUMMYFUNCTION("""COMPUTED_VALUE"""),0)</f>
        <v>0</v>
      </c>
      <c r="D9146" s="12" t="str">
        <f ca="1">IFERROR(__xludf.DUMMYFUNCTION("""COMPUTED_VALUE"""),"堀越 駿")</f>
        <v>堀越 駿</v>
      </c>
    </row>
    <row r="9147" spans="2:4" ht="13">
      <c r="B9147" s="12">
        <f ca="1">IFERROR(__xludf.DUMMYFUNCTION("""COMPUTED_VALUE"""),3103296)</f>
        <v>3103296</v>
      </c>
      <c r="C9147" s="14">
        <f ca="1">IFERROR(__xludf.DUMMYFUNCTION("""COMPUTED_VALUE"""),0)</f>
        <v>0</v>
      </c>
      <c r="D9147" s="12" t="str">
        <f ca="1">IFERROR(__xludf.DUMMYFUNCTION("""COMPUTED_VALUE"""),"堀越 駿")</f>
        <v>堀越 駿</v>
      </c>
    </row>
    <row r="9148" spans="2:4" ht="13">
      <c r="B9148" s="12">
        <f ca="1">IFERROR(__xludf.DUMMYFUNCTION("""COMPUTED_VALUE"""),3103297)</f>
        <v>3103297</v>
      </c>
      <c r="C9148" s="14">
        <f ca="1">IFERROR(__xludf.DUMMYFUNCTION("""COMPUTED_VALUE"""),0)</f>
        <v>0</v>
      </c>
      <c r="D9148" s="12" t="str">
        <f ca="1">IFERROR(__xludf.DUMMYFUNCTION("""COMPUTED_VALUE"""),"堀越 駿")</f>
        <v>堀越 駿</v>
      </c>
    </row>
    <row r="9149" spans="2:4" ht="13">
      <c r="B9149" s="12">
        <f ca="1">IFERROR(__xludf.DUMMYFUNCTION("""COMPUTED_VALUE"""),3103298)</f>
        <v>3103298</v>
      </c>
      <c r="C9149" s="14">
        <f ca="1">IFERROR(__xludf.DUMMYFUNCTION("""COMPUTED_VALUE"""),0)</f>
        <v>0</v>
      </c>
      <c r="D9149" s="12" t="str">
        <f ca="1">IFERROR(__xludf.DUMMYFUNCTION("""COMPUTED_VALUE"""),"堀越 駿")</f>
        <v>堀越 駿</v>
      </c>
    </row>
    <row r="9150" spans="2:4" ht="13">
      <c r="B9150" s="12">
        <f ca="1">IFERROR(__xludf.DUMMYFUNCTION("""COMPUTED_VALUE"""),3103299)</f>
        <v>3103299</v>
      </c>
      <c r="C9150" s="14">
        <f ca="1">IFERROR(__xludf.DUMMYFUNCTION("""COMPUTED_VALUE"""),0)</f>
        <v>0</v>
      </c>
      <c r="D9150" s="12" t="str">
        <f ca="1">IFERROR(__xludf.DUMMYFUNCTION("""COMPUTED_VALUE"""),"堀越 駿")</f>
        <v>堀越 駿</v>
      </c>
    </row>
    <row r="9151" spans="2:4" ht="13">
      <c r="B9151" s="12">
        <f ca="1">IFERROR(__xludf.DUMMYFUNCTION("""COMPUTED_VALUE"""),3103300)</f>
        <v>3103300</v>
      </c>
      <c r="C9151" s="14">
        <f ca="1">IFERROR(__xludf.DUMMYFUNCTION("""COMPUTED_VALUE"""),0)</f>
        <v>0</v>
      </c>
      <c r="D9151" s="12" t="str">
        <f ca="1">IFERROR(__xludf.DUMMYFUNCTION("""COMPUTED_VALUE"""),"老田 純輝")</f>
        <v>老田 純輝</v>
      </c>
    </row>
    <row r="9152" spans="2:4" ht="13">
      <c r="B9152" s="12">
        <f ca="1">IFERROR(__xludf.DUMMYFUNCTION("""COMPUTED_VALUE"""),3103301)</f>
        <v>3103301</v>
      </c>
      <c r="C9152" s="14">
        <f ca="1">IFERROR(__xludf.DUMMYFUNCTION("""COMPUTED_VALUE"""),0)</f>
        <v>0</v>
      </c>
      <c r="D9152" s="12" t="str">
        <f ca="1">IFERROR(__xludf.DUMMYFUNCTION("""COMPUTED_VALUE"""),"老田 純輝")</f>
        <v>老田 純輝</v>
      </c>
    </row>
    <row r="9153" spans="2:4" ht="13">
      <c r="B9153" s="12">
        <f ca="1">IFERROR(__xludf.DUMMYFUNCTION("""COMPUTED_VALUE"""),3103302)</f>
        <v>3103302</v>
      </c>
      <c r="C9153" s="14">
        <f ca="1">IFERROR(__xludf.DUMMYFUNCTION("""COMPUTED_VALUE"""),0)</f>
        <v>0</v>
      </c>
      <c r="D9153" s="12" t="str">
        <f ca="1">IFERROR(__xludf.DUMMYFUNCTION("""COMPUTED_VALUE"""),"堀越 駿")</f>
        <v>堀越 駿</v>
      </c>
    </row>
    <row r="9154" spans="2:4" ht="13">
      <c r="B9154" s="12">
        <f ca="1">IFERROR(__xludf.DUMMYFUNCTION("""COMPUTED_VALUE"""),3103304)</f>
        <v>3103304</v>
      </c>
      <c r="C9154" s="14">
        <f ca="1">IFERROR(__xludf.DUMMYFUNCTION("""COMPUTED_VALUE"""),0)</f>
        <v>0</v>
      </c>
      <c r="D9154" s="12" t="str">
        <f ca="1">IFERROR(__xludf.DUMMYFUNCTION("""COMPUTED_VALUE"""),"堀越 駿")</f>
        <v>堀越 駿</v>
      </c>
    </row>
    <row r="9155" spans="2:4" ht="13">
      <c r="B9155" s="12">
        <f ca="1">IFERROR(__xludf.DUMMYFUNCTION("""COMPUTED_VALUE"""),3103305)</f>
        <v>3103305</v>
      </c>
      <c r="C9155" s="14">
        <f ca="1">IFERROR(__xludf.DUMMYFUNCTION("""COMPUTED_VALUE"""),149)</f>
        <v>149</v>
      </c>
      <c r="D9155" s="12" t="str">
        <f ca="1">IFERROR(__xludf.DUMMYFUNCTION("""COMPUTED_VALUE"""),"堀越 駿")</f>
        <v>堀越 駿</v>
      </c>
    </row>
    <row r="9156" spans="2:4" ht="13">
      <c r="B9156" s="12">
        <f ca="1">IFERROR(__xludf.DUMMYFUNCTION("""COMPUTED_VALUE"""),3103307)</f>
        <v>3103307</v>
      </c>
      <c r="C9156" s="14">
        <f ca="1">IFERROR(__xludf.DUMMYFUNCTION("""COMPUTED_VALUE"""),3)</f>
        <v>3</v>
      </c>
      <c r="D9156" s="12" t="str">
        <f ca="1">IFERROR(__xludf.DUMMYFUNCTION("""COMPUTED_VALUE"""),"長谷川 陸朗")</f>
        <v>長谷川 陸朗</v>
      </c>
    </row>
    <row r="9157" spans="2:4" ht="13">
      <c r="B9157" s="12">
        <f ca="1">IFERROR(__xludf.DUMMYFUNCTION("""COMPUTED_VALUE"""),3103309)</f>
        <v>3103309</v>
      </c>
      <c r="C9157" s="14">
        <f ca="1">IFERROR(__xludf.DUMMYFUNCTION("""COMPUTED_VALUE"""),26)</f>
        <v>26</v>
      </c>
      <c r="D9157" s="12" t="str">
        <f ca="1">IFERROR(__xludf.DUMMYFUNCTION("""COMPUTED_VALUE"""),"小関 麻起")</f>
        <v>小関 麻起</v>
      </c>
    </row>
    <row r="9158" spans="2:4" ht="13">
      <c r="B9158" s="12">
        <f ca="1">IFERROR(__xludf.DUMMYFUNCTION("""COMPUTED_VALUE"""),3103310)</f>
        <v>3103310</v>
      </c>
      <c r="C9158" s="14">
        <f ca="1">IFERROR(__xludf.DUMMYFUNCTION("""COMPUTED_VALUE"""),36)</f>
        <v>36</v>
      </c>
      <c r="D9158" s="12" t="str">
        <f ca="1">IFERROR(__xludf.DUMMYFUNCTION("""COMPUTED_VALUE"""),"小関 麻起")</f>
        <v>小関 麻起</v>
      </c>
    </row>
    <row r="9159" spans="2:4" ht="13">
      <c r="B9159" s="12">
        <f ca="1">IFERROR(__xludf.DUMMYFUNCTION("""COMPUTED_VALUE"""),3103312)</f>
        <v>3103312</v>
      </c>
      <c r="C9159" s="14">
        <f ca="1">IFERROR(__xludf.DUMMYFUNCTION("""COMPUTED_VALUE"""),0)</f>
        <v>0</v>
      </c>
      <c r="D9159" s="12" t="str">
        <f ca="1">IFERROR(__xludf.DUMMYFUNCTION("""COMPUTED_VALUE"""),"小関 麻起")</f>
        <v>小関 麻起</v>
      </c>
    </row>
    <row r="9160" spans="2:4" ht="13">
      <c r="B9160" s="12">
        <f ca="1">IFERROR(__xludf.DUMMYFUNCTION("""COMPUTED_VALUE"""),3103313)</f>
        <v>3103313</v>
      </c>
      <c r="C9160" s="14">
        <f ca="1">IFERROR(__xludf.DUMMYFUNCTION("""COMPUTED_VALUE"""),0)</f>
        <v>0</v>
      </c>
      <c r="D9160" s="12" t="str">
        <f ca="1">IFERROR(__xludf.DUMMYFUNCTION("""COMPUTED_VALUE"""),"小関 麻起")</f>
        <v>小関 麻起</v>
      </c>
    </row>
    <row r="9161" spans="2:4" ht="13">
      <c r="B9161" s="12">
        <f ca="1">IFERROR(__xludf.DUMMYFUNCTION("""COMPUTED_VALUE"""),3103314)</f>
        <v>3103314</v>
      </c>
      <c r="C9161" s="14">
        <f ca="1">IFERROR(__xludf.DUMMYFUNCTION("""COMPUTED_VALUE"""),0)</f>
        <v>0</v>
      </c>
      <c r="D9161" s="12" t="str">
        <f ca="1">IFERROR(__xludf.DUMMYFUNCTION("""COMPUTED_VALUE"""),"小関 麻起")</f>
        <v>小関 麻起</v>
      </c>
    </row>
    <row r="9162" spans="2:4" ht="13">
      <c r="B9162" s="12">
        <f ca="1">IFERROR(__xludf.DUMMYFUNCTION("""COMPUTED_VALUE"""),3103316)</f>
        <v>3103316</v>
      </c>
      <c r="C9162" s="14">
        <f ca="1">IFERROR(__xludf.DUMMYFUNCTION("""COMPUTED_VALUE"""),1)</f>
        <v>1</v>
      </c>
      <c r="D9162" s="12" t="str">
        <f ca="1">IFERROR(__xludf.DUMMYFUNCTION("""COMPUTED_VALUE"""),"小関 麻起")</f>
        <v>小関 麻起</v>
      </c>
    </row>
    <row r="9163" spans="2:4" ht="13">
      <c r="B9163" s="12">
        <f ca="1">IFERROR(__xludf.DUMMYFUNCTION("""COMPUTED_VALUE"""),3103317)</f>
        <v>3103317</v>
      </c>
      <c r="C9163" s="14">
        <f ca="1">IFERROR(__xludf.DUMMYFUNCTION("""COMPUTED_VALUE"""),5)</f>
        <v>5</v>
      </c>
      <c r="D9163" s="12" t="str">
        <f ca="1">IFERROR(__xludf.DUMMYFUNCTION("""COMPUTED_VALUE"""),"稲場 勇介")</f>
        <v>稲場 勇介</v>
      </c>
    </row>
    <row r="9164" spans="2:4" ht="13">
      <c r="B9164" s="12">
        <f ca="1">IFERROR(__xludf.DUMMYFUNCTION("""COMPUTED_VALUE"""),3103318)</f>
        <v>3103318</v>
      </c>
      <c r="C9164" s="14">
        <f ca="1">IFERROR(__xludf.DUMMYFUNCTION("""COMPUTED_VALUE"""),3)</f>
        <v>3</v>
      </c>
      <c r="D9164" s="12" t="str">
        <f ca="1">IFERROR(__xludf.DUMMYFUNCTION("""COMPUTED_VALUE"""),"小関 麻起")</f>
        <v>小関 麻起</v>
      </c>
    </row>
    <row r="9165" spans="2:4" ht="13">
      <c r="B9165" s="12">
        <f ca="1">IFERROR(__xludf.DUMMYFUNCTION("""COMPUTED_VALUE"""),3103320)</f>
        <v>3103320</v>
      </c>
      <c r="C9165" s="14">
        <f ca="1">IFERROR(__xludf.DUMMYFUNCTION("""COMPUTED_VALUE"""),0)</f>
        <v>0</v>
      </c>
      <c r="D9165" s="12" t="str">
        <f ca="1">IFERROR(__xludf.DUMMYFUNCTION("""COMPUTED_VALUE"""),"稲場 勇介")</f>
        <v>稲場 勇介</v>
      </c>
    </row>
    <row r="9166" spans="2:4" ht="13">
      <c r="B9166" s="12">
        <f ca="1">IFERROR(__xludf.DUMMYFUNCTION("""COMPUTED_VALUE"""),3103325)</f>
        <v>3103325</v>
      </c>
      <c r="C9166" s="14">
        <f ca="1">IFERROR(__xludf.DUMMYFUNCTION("""COMPUTED_VALUE"""),0)</f>
        <v>0</v>
      </c>
      <c r="D9166" s="12" t="str">
        <f ca="1">IFERROR(__xludf.DUMMYFUNCTION("""COMPUTED_VALUE"""),"松尾 尚樹")</f>
        <v>松尾 尚樹</v>
      </c>
    </row>
    <row r="9167" spans="2:4" ht="13">
      <c r="B9167" s="12">
        <f ca="1">IFERROR(__xludf.DUMMYFUNCTION("""COMPUTED_VALUE"""),3103327)</f>
        <v>3103327</v>
      </c>
      <c r="C9167" s="14">
        <f ca="1">IFERROR(__xludf.DUMMYFUNCTION("""COMPUTED_VALUE"""),0)</f>
        <v>0</v>
      </c>
      <c r="D9167" s="12" t="str">
        <f ca="1">IFERROR(__xludf.DUMMYFUNCTION("""COMPUTED_VALUE"""),"松尾 尚樹")</f>
        <v>松尾 尚樹</v>
      </c>
    </row>
    <row r="9168" spans="2:4" ht="13">
      <c r="B9168" s="12">
        <f ca="1">IFERROR(__xludf.DUMMYFUNCTION("""COMPUTED_VALUE"""),3103328)</f>
        <v>3103328</v>
      </c>
      <c r="C9168" s="14">
        <f ca="1">IFERROR(__xludf.DUMMYFUNCTION("""COMPUTED_VALUE"""),0)</f>
        <v>0</v>
      </c>
      <c r="D9168" s="12" t="str">
        <f ca="1">IFERROR(__xludf.DUMMYFUNCTION("""COMPUTED_VALUE"""),"松尾 尚樹")</f>
        <v>松尾 尚樹</v>
      </c>
    </row>
    <row r="9169" spans="2:4" ht="13">
      <c r="B9169" s="12">
        <f ca="1">IFERROR(__xludf.DUMMYFUNCTION("""COMPUTED_VALUE"""),3103331)</f>
        <v>3103331</v>
      </c>
      <c r="C9169" s="14">
        <f ca="1">IFERROR(__xludf.DUMMYFUNCTION("""COMPUTED_VALUE"""),0)</f>
        <v>0</v>
      </c>
      <c r="D9169" s="12" t="str">
        <f ca="1">IFERROR(__xludf.DUMMYFUNCTION("""COMPUTED_VALUE"""),"稲場 勇介")</f>
        <v>稲場 勇介</v>
      </c>
    </row>
    <row r="9170" spans="2:4" ht="13">
      <c r="B9170" s="12">
        <f ca="1">IFERROR(__xludf.DUMMYFUNCTION("""COMPUTED_VALUE"""),3103332)</f>
        <v>3103332</v>
      </c>
      <c r="C9170" s="14">
        <f ca="1">IFERROR(__xludf.DUMMYFUNCTION("""COMPUTED_VALUE"""),0)</f>
        <v>0</v>
      </c>
      <c r="D9170" s="12" t="str">
        <f ca="1">IFERROR(__xludf.DUMMYFUNCTION("""COMPUTED_VALUE"""),"松尾 尚樹")</f>
        <v>松尾 尚樹</v>
      </c>
    </row>
    <row r="9171" spans="2:4" ht="13">
      <c r="B9171" s="12">
        <f ca="1">IFERROR(__xludf.DUMMYFUNCTION("""COMPUTED_VALUE"""),3103333)</f>
        <v>3103333</v>
      </c>
      <c r="C9171" s="14">
        <f ca="1">IFERROR(__xludf.DUMMYFUNCTION("""COMPUTED_VALUE"""),0)</f>
        <v>0</v>
      </c>
      <c r="D9171" s="12" t="str">
        <f ca="1">IFERROR(__xludf.DUMMYFUNCTION("""COMPUTED_VALUE"""),"松尾 尚樹")</f>
        <v>松尾 尚樹</v>
      </c>
    </row>
    <row r="9172" spans="2:4" ht="13">
      <c r="B9172" s="12">
        <f ca="1">IFERROR(__xludf.DUMMYFUNCTION("""COMPUTED_VALUE"""),3103334)</f>
        <v>3103334</v>
      </c>
      <c r="C9172" s="14">
        <f ca="1">IFERROR(__xludf.DUMMYFUNCTION("""COMPUTED_VALUE"""),0)</f>
        <v>0</v>
      </c>
      <c r="D9172" s="12" t="str">
        <f ca="1">IFERROR(__xludf.DUMMYFUNCTION("""COMPUTED_VALUE"""),"松尾 尚樹")</f>
        <v>松尾 尚樹</v>
      </c>
    </row>
    <row r="9173" spans="2:4" ht="13">
      <c r="B9173" s="12">
        <f ca="1">IFERROR(__xludf.DUMMYFUNCTION("""COMPUTED_VALUE"""),3103335)</f>
        <v>3103335</v>
      </c>
      <c r="C9173" s="14">
        <f ca="1">IFERROR(__xludf.DUMMYFUNCTION("""COMPUTED_VALUE"""),0)</f>
        <v>0</v>
      </c>
      <c r="D9173" s="12" t="str">
        <f ca="1">IFERROR(__xludf.DUMMYFUNCTION("""COMPUTED_VALUE"""),"稲場 勇介")</f>
        <v>稲場 勇介</v>
      </c>
    </row>
    <row r="9174" spans="2:4" ht="13">
      <c r="B9174" s="12">
        <f ca="1">IFERROR(__xludf.DUMMYFUNCTION("""COMPUTED_VALUE"""),3103336)</f>
        <v>3103336</v>
      </c>
      <c r="C9174" s="14">
        <f ca="1">IFERROR(__xludf.DUMMYFUNCTION("""COMPUTED_VALUE"""),0)</f>
        <v>0</v>
      </c>
      <c r="D9174" s="12" t="str">
        <f ca="1">IFERROR(__xludf.DUMMYFUNCTION("""COMPUTED_VALUE"""),"松尾 尚樹")</f>
        <v>松尾 尚樹</v>
      </c>
    </row>
    <row r="9175" spans="2:4" ht="13">
      <c r="B9175" s="12">
        <f ca="1">IFERROR(__xludf.DUMMYFUNCTION("""COMPUTED_VALUE"""),3103337)</f>
        <v>3103337</v>
      </c>
      <c r="C9175" s="14">
        <f ca="1">IFERROR(__xludf.DUMMYFUNCTION("""COMPUTED_VALUE"""),4)</f>
        <v>4</v>
      </c>
      <c r="D9175" s="12" t="str">
        <f ca="1">IFERROR(__xludf.DUMMYFUNCTION("""COMPUTED_VALUE"""),"小関 麻起")</f>
        <v>小関 麻起</v>
      </c>
    </row>
    <row r="9176" spans="2:4" ht="13">
      <c r="B9176" s="12">
        <f ca="1">IFERROR(__xludf.DUMMYFUNCTION("""COMPUTED_VALUE"""),3103339)</f>
        <v>3103339</v>
      </c>
      <c r="C9176" s="14">
        <f ca="1">IFERROR(__xludf.DUMMYFUNCTION("""COMPUTED_VALUE"""),0)</f>
        <v>0</v>
      </c>
      <c r="D9176" s="12" t="str">
        <f ca="1">IFERROR(__xludf.DUMMYFUNCTION("""COMPUTED_VALUE"""),"菅野 ぎんが")</f>
        <v>菅野 ぎんが</v>
      </c>
    </row>
    <row r="9177" spans="2:4" ht="13">
      <c r="B9177" s="12">
        <f ca="1">IFERROR(__xludf.DUMMYFUNCTION("""COMPUTED_VALUE"""),3103340)</f>
        <v>3103340</v>
      </c>
      <c r="C9177" s="14">
        <f ca="1">IFERROR(__xludf.DUMMYFUNCTION("""COMPUTED_VALUE"""),0)</f>
        <v>0</v>
      </c>
      <c r="D9177" s="12" t="str">
        <f ca="1">IFERROR(__xludf.DUMMYFUNCTION("""COMPUTED_VALUE"""),"菅野 ぎんが")</f>
        <v>菅野 ぎんが</v>
      </c>
    </row>
    <row r="9178" spans="2:4" ht="13">
      <c r="B9178" s="12">
        <f ca="1">IFERROR(__xludf.DUMMYFUNCTION("""COMPUTED_VALUE"""),3103342)</f>
        <v>3103342</v>
      </c>
      <c r="C9178" s="14">
        <f ca="1">IFERROR(__xludf.DUMMYFUNCTION("""COMPUTED_VALUE"""),10)</f>
        <v>10</v>
      </c>
      <c r="D9178" s="12" t="str">
        <f ca="1">IFERROR(__xludf.DUMMYFUNCTION("""COMPUTED_VALUE"""),"老田 純輝")</f>
        <v>老田 純輝</v>
      </c>
    </row>
    <row r="9179" spans="2:4" ht="13">
      <c r="B9179" s="12">
        <f ca="1">IFERROR(__xludf.DUMMYFUNCTION("""COMPUTED_VALUE"""),3103343)</f>
        <v>3103343</v>
      </c>
      <c r="C9179" s="14">
        <f ca="1">IFERROR(__xludf.DUMMYFUNCTION("""COMPUTED_VALUE"""),0)</f>
        <v>0</v>
      </c>
      <c r="D9179" s="12" t="str">
        <f ca="1">IFERROR(__xludf.DUMMYFUNCTION("""COMPUTED_VALUE"""),"老田 純輝")</f>
        <v>老田 純輝</v>
      </c>
    </row>
    <row r="9180" spans="2:4" ht="13">
      <c r="B9180" s="12">
        <f ca="1">IFERROR(__xludf.DUMMYFUNCTION("""COMPUTED_VALUE"""),3103345)</f>
        <v>3103345</v>
      </c>
      <c r="C9180" s="14">
        <f ca="1">IFERROR(__xludf.DUMMYFUNCTION("""COMPUTED_VALUE"""),0)</f>
        <v>0</v>
      </c>
      <c r="D9180" s="12" t="str">
        <f ca="1">IFERROR(__xludf.DUMMYFUNCTION("""COMPUTED_VALUE"""),"老田 純輝")</f>
        <v>老田 純輝</v>
      </c>
    </row>
    <row r="9181" spans="2:4" ht="13">
      <c r="B9181" s="12">
        <f ca="1">IFERROR(__xludf.DUMMYFUNCTION("""COMPUTED_VALUE"""),3103346)</f>
        <v>3103346</v>
      </c>
      <c r="C9181" s="14">
        <f ca="1">IFERROR(__xludf.DUMMYFUNCTION("""COMPUTED_VALUE"""),0)</f>
        <v>0</v>
      </c>
      <c r="D9181" s="12" t="str">
        <f ca="1">IFERROR(__xludf.DUMMYFUNCTION("""COMPUTED_VALUE"""),"老田 純輝")</f>
        <v>老田 純輝</v>
      </c>
    </row>
    <row r="9182" spans="2:4" ht="13">
      <c r="B9182" s="12">
        <f ca="1">IFERROR(__xludf.DUMMYFUNCTION("""COMPUTED_VALUE"""),3103347)</f>
        <v>3103347</v>
      </c>
      <c r="C9182" s="14">
        <f ca="1">IFERROR(__xludf.DUMMYFUNCTION("""COMPUTED_VALUE"""),0)</f>
        <v>0</v>
      </c>
      <c r="D9182" s="12" t="str">
        <f ca="1">IFERROR(__xludf.DUMMYFUNCTION("""COMPUTED_VALUE"""),"老田 純輝")</f>
        <v>老田 純輝</v>
      </c>
    </row>
    <row r="9183" spans="2:4" ht="13">
      <c r="B9183" s="12">
        <f ca="1">IFERROR(__xludf.DUMMYFUNCTION("""COMPUTED_VALUE"""),3103348)</f>
        <v>3103348</v>
      </c>
      <c r="C9183" s="14">
        <f ca="1">IFERROR(__xludf.DUMMYFUNCTION("""COMPUTED_VALUE"""),2)</f>
        <v>2</v>
      </c>
      <c r="D9183" s="12" t="str">
        <f ca="1">IFERROR(__xludf.DUMMYFUNCTION("""COMPUTED_VALUE"""),"老田 純輝")</f>
        <v>老田 純輝</v>
      </c>
    </row>
    <row r="9184" spans="2:4" ht="13">
      <c r="B9184" s="12">
        <f ca="1">IFERROR(__xludf.DUMMYFUNCTION("""COMPUTED_VALUE"""),3103349)</f>
        <v>3103349</v>
      </c>
      <c r="C9184" s="14">
        <f ca="1">IFERROR(__xludf.DUMMYFUNCTION("""COMPUTED_VALUE"""),0)</f>
        <v>0</v>
      </c>
      <c r="D9184" s="12" t="str">
        <f ca="1">IFERROR(__xludf.DUMMYFUNCTION("""COMPUTED_VALUE"""),"田嶋 将太")</f>
        <v>田嶋 将太</v>
      </c>
    </row>
    <row r="9185" spans="2:4" ht="13">
      <c r="B9185" s="12">
        <f ca="1">IFERROR(__xludf.DUMMYFUNCTION("""COMPUTED_VALUE"""),3103350)</f>
        <v>3103350</v>
      </c>
      <c r="C9185" s="14">
        <f ca="1">IFERROR(__xludf.DUMMYFUNCTION("""COMPUTED_VALUE"""),20)</f>
        <v>20</v>
      </c>
      <c r="D9185" s="12" t="str">
        <f ca="1">IFERROR(__xludf.DUMMYFUNCTION("""COMPUTED_VALUE"""),"田嶋 将太")</f>
        <v>田嶋 将太</v>
      </c>
    </row>
    <row r="9186" spans="2:4" ht="13">
      <c r="B9186" s="12">
        <f ca="1">IFERROR(__xludf.DUMMYFUNCTION("""COMPUTED_VALUE"""),3103351)</f>
        <v>3103351</v>
      </c>
      <c r="C9186" s="14">
        <f ca="1">IFERROR(__xludf.DUMMYFUNCTION("""COMPUTED_VALUE"""),5)</f>
        <v>5</v>
      </c>
      <c r="D9186" s="12" t="str">
        <f ca="1">IFERROR(__xludf.DUMMYFUNCTION("""COMPUTED_VALUE"""),"田嶋 将太")</f>
        <v>田嶋 将太</v>
      </c>
    </row>
    <row r="9187" spans="2:4" ht="13">
      <c r="B9187" s="12">
        <f ca="1">IFERROR(__xludf.DUMMYFUNCTION("""COMPUTED_VALUE"""),3103352)</f>
        <v>3103352</v>
      </c>
      <c r="C9187" s="14">
        <f ca="1">IFERROR(__xludf.DUMMYFUNCTION("""COMPUTED_VALUE"""),0)</f>
        <v>0</v>
      </c>
      <c r="D9187" s="12" t="str">
        <f ca="1">IFERROR(__xludf.DUMMYFUNCTION("""COMPUTED_VALUE"""),"堀越 駿")</f>
        <v>堀越 駿</v>
      </c>
    </row>
    <row r="9188" spans="2:4" ht="13">
      <c r="B9188" s="12">
        <f ca="1">IFERROR(__xludf.DUMMYFUNCTION("""COMPUTED_VALUE"""),3103353)</f>
        <v>3103353</v>
      </c>
      <c r="C9188" s="14">
        <f ca="1">IFERROR(__xludf.DUMMYFUNCTION("""COMPUTED_VALUE"""),0)</f>
        <v>0</v>
      </c>
      <c r="D9188" s="12" t="str">
        <f ca="1">IFERROR(__xludf.DUMMYFUNCTION("""COMPUTED_VALUE"""),"堀越 駿")</f>
        <v>堀越 駿</v>
      </c>
    </row>
    <row r="9189" spans="2:4" ht="13">
      <c r="B9189" s="12">
        <f ca="1">IFERROR(__xludf.DUMMYFUNCTION("""COMPUTED_VALUE"""),3103354)</f>
        <v>3103354</v>
      </c>
      <c r="C9189" s="14">
        <f ca="1">IFERROR(__xludf.DUMMYFUNCTION("""COMPUTED_VALUE"""),0)</f>
        <v>0</v>
      </c>
      <c r="D9189" s="12" t="str">
        <f ca="1">IFERROR(__xludf.DUMMYFUNCTION("""COMPUTED_VALUE"""),"堀越 駿")</f>
        <v>堀越 駿</v>
      </c>
    </row>
    <row r="9190" spans="2:4" ht="13">
      <c r="B9190" s="12">
        <f ca="1">IFERROR(__xludf.DUMMYFUNCTION("""COMPUTED_VALUE"""),3103355)</f>
        <v>3103355</v>
      </c>
      <c r="C9190" s="14">
        <f ca="1">IFERROR(__xludf.DUMMYFUNCTION("""COMPUTED_VALUE"""),0)</f>
        <v>0</v>
      </c>
      <c r="D9190" s="12" t="str">
        <f ca="1">IFERROR(__xludf.DUMMYFUNCTION("""COMPUTED_VALUE"""),"堀越 駿")</f>
        <v>堀越 駿</v>
      </c>
    </row>
    <row r="9191" spans="2:4" ht="13">
      <c r="B9191" s="12">
        <f ca="1">IFERROR(__xludf.DUMMYFUNCTION("""COMPUTED_VALUE"""),3103356)</f>
        <v>3103356</v>
      </c>
      <c r="C9191" s="14">
        <f ca="1">IFERROR(__xludf.DUMMYFUNCTION("""COMPUTED_VALUE"""),0)</f>
        <v>0</v>
      </c>
      <c r="D9191" s="12" t="str">
        <f ca="1">IFERROR(__xludf.DUMMYFUNCTION("""COMPUTED_VALUE"""),"堀越 駿")</f>
        <v>堀越 駿</v>
      </c>
    </row>
    <row r="9192" spans="2:4" ht="13">
      <c r="B9192" s="12">
        <f ca="1">IFERROR(__xludf.DUMMYFUNCTION("""COMPUTED_VALUE"""),3103358)</f>
        <v>3103358</v>
      </c>
      <c r="C9192" s="14">
        <f ca="1">IFERROR(__xludf.DUMMYFUNCTION("""COMPUTED_VALUE"""),56)</f>
        <v>56</v>
      </c>
      <c r="D9192" s="12" t="str">
        <f ca="1">IFERROR(__xludf.DUMMYFUNCTION("""COMPUTED_VALUE"""),"川島 幹也")</f>
        <v>川島 幹也</v>
      </c>
    </row>
    <row r="9193" spans="2:4" ht="13">
      <c r="B9193" s="12">
        <f ca="1">IFERROR(__xludf.DUMMYFUNCTION("""COMPUTED_VALUE"""),3103359)</f>
        <v>3103359</v>
      </c>
      <c r="C9193" s="14">
        <f ca="1">IFERROR(__xludf.DUMMYFUNCTION("""COMPUTED_VALUE"""),0)</f>
        <v>0</v>
      </c>
      <c r="D9193" s="12" t="str">
        <f ca="1">IFERROR(__xludf.DUMMYFUNCTION("""COMPUTED_VALUE"""),"川島 幹也")</f>
        <v>川島 幹也</v>
      </c>
    </row>
    <row r="9194" spans="2:4" ht="13">
      <c r="B9194" s="12">
        <f ca="1">IFERROR(__xludf.DUMMYFUNCTION("""COMPUTED_VALUE"""),3103360)</f>
        <v>3103360</v>
      </c>
      <c r="C9194" s="14">
        <f ca="1">IFERROR(__xludf.DUMMYFUNCTION("""COMPUTED_VALUE"""),0)</f>
        <v>0</v>
      </c>
      <c r="D9194" s="12" t="str">
        <f ca="1">IFERROR(__xludf.DUMMYFUNCTION("""COMPUTED_VALUE"""),"川島 幹也")</f>
        <v>川島 幹也</v>
      </c>
    </row>
    <row r="9195" spans="2:4" ht="13">
      <c r="B9195" s="12">
        <f ca="1">IFERROR(__xludf.DUMMYFUNCTION("""COMPUTED_VALUE"""),3103362)</f>
        <v>3103362</v>
      </c>
      <c r="C9195" s="14">
        <f ca="1">IFERROR(__xludf.DUMMYFUNCTION("""COMPUTED_VALUE"""),35)</f>
        <v>35</v>
      </c>
      <c r="D9195" s="12" t="str">
        <f ca="1">IFERROR(__xludf.DUMMYFUNCTION("""COMPUTED_VALUE"""),"川島 幹也")</f>
        <v>川島 幹也</v>
      </c>
    </row>
    <row r="9196" spans="2:4" ht="13">
      <c r="B9196" s="12">
        <f ca="1">IFERROR(__xludf.DUMMYFUNCTION("""COMPUTED_VALUE"""),3103363)</f>
        <v>3103363</v>
      </c>
      <c r="C9196" s="14">
        <f ca="1">IFERROR(__xludf.DUMMYFUNCTION("""COMPUTED_VALUE"""),0)</f>
        <v>0</v>
      </c>
      <c r="D9196" s="12" t="str">
        <f ca="1">IFERROR(__xludf.DUMMYFUNCTION("""COMPUTED_VALUE"""),"川島 幹也")</f>
        <v>川島 幹也</v>
      </c>
    </row>
    <row r="9197" spans="2:4" ht="13">
      <c r="B9197" s="12">
        <f ca="1">IFERROR(__xludf.DUMMYFUNCTION("""COMPUTED_VALUE"""),3103364)</f>
        <v>3103364</v>
      </c>
      <c r="C9197" s="14">
        <f ca="1">IFERROR(__xludf.DUMMYFUNCTION("""COMPUTED_VALUE"""),9)</f>
        <v>9</v>
      </c>
      <c r="D9197" s="12" t="str">
        <f ca="1">IFERROR(__xludf.DUMMYFUNCTION("""COMPUTED_VALUE"""),"川島 幹也")</f>
        <v>川島 幹也</v>
      </c>
    </row>
    <row r="9198" spans="2:4" ht="13">
      <c r="B9198" s="12">
        <f ca="1">IFERROR(__xludf.DUMMYFUNCTION("""COMPUTED_VALUE"""),3103365)</f>
        <v>3103365</v>
      </c>
      <c r="C9198" s="14">
        <f ca="1">IFERROR(__xludf.DUMMYFUNCTION("""COMPUTED_VALUE"""),0)</f>
        <v>0</v>
      </c>
      <c r="D9198" s="12" t="str">
        <f ca="1">IFERROR(__xludf.DUMMYFUNCTION("""COMPUTED_VALUE"""),"川島 幹也")</f>
        <v>川島 幹也</v>
      </c>
    </row>
    <row r="9199" spans="2:4" ht="13">
      <c r="B9199" s="12">
        <f ca="1">IFERROR(__xludf.DUMMYFUNCTION("""COMPUTED_VALUE"""),3103366)</f>
        <v>3103366</v>
      </c>
      <c r="C9199" s="14">
        <f ca="1">IFERROR(__xludf.DUMMYFUNCTION("""COMPUTED_VALUE"""),0)</f>
        <v>0</v>
      </c>
      <c r="D9199" s="12" t="str">
        <f ca="1">IFERROR(__xludf.DUMMYFUNCTION("""COMPUTED_VALUE"""),"川島 幹也")</f>
        <v>川島 幹也</v>
      </c>
    </row>
    <row r="9200" spans="2:4" ht="13">
      <c r="B9200" s="12">
        <f ca="1">IFERROR(__xludf.DUMMYFUNCTION("""COMPUTED_VALUE"""),3103367)</f>
        <v>3103367</v>
      </c>
      <c r="C9200" s="14">
        <f ca="1">IFERROR(__xludf.DUMMYFUNCTION("""COMPUTED_VALUE"""),3)</f>
        <v>3</v>
      </c>
      <c r="D9200" s="12" t="str">
        <f ca="1">IFERROR(__xludf.DUMMYFUNCTION("""COMPUTED_VALUE"""),"川島 幹也")</f>
        <v>川島 幹也</v>
      </c>
    </row>
    <row r="9201" spans="2:4" ht="13">
      <c r="B9201" s="12">
        <f ca="1">IFERROR(__xludf.DUMMYFUNCTION("""COMPUTED_VALUE"""),3103368)</f>
        <v>3103368</v>
      </c>
      <c r="C9201" s="14">
        <f ca="1">IFERROR(__xludf.DUMMYFUNCTION("""COMPUTED_VALUE"""),37)</f>
        <v>37</v>
      </c>
      <c r="D9201" s="12" t="str">
        <f ca="1">IFERROR(__xludf.DUMMYFUNCTION("""COMPUTED_VALUE"""),"川島 幹也")</f>
        <v>川島 幹也</v>
      </c>
    </row>
    <row r="9202" spans="2:4" ht="13">
      <c r="B9202" s="12">
        <f ca="1">IFERROR(__xludf.DUMMYFUNCTION("""COMPUTED_VALUE"""),3103369)</f>
        <v>3103369</v>
      </c>
      <c r="C9202" s="14">
        <f ca="1">IFERROR(__xludf.DUMMYFUNCTION("""COMPUTED_VALUE"""),1)</f>
        <v>1</v>
      </c>
      <c r="D9202" s="12" t="str">
        <f ca="1">IFERROR(__xludf.DUMMYFUNCTION("""COMPUTED_VALUE"""),"川島 幹也")</f>
        <v>川島 幹也</v>
      </c>
    </row>
    <row r="9203" spans="2:4" ht="13">
      <c r="B9203" s="12">
        <f ca="1">IFERROR(__xludf.DUMMYFUNCTION("""COMPUTED_VALUE"""),3103370)</f>
        <v>3103370</v>
      </c>
      <c r="C9203" s="14">
        <f ca="1">IFERROR(__xludf.DUMMYFUNCTION("""COMPUTED_VALUE"""),2)</f>
        <v>2</v>
      </c>
      <c r="D9203" s="12" t="str">
        <f ca="1">IFERROR(__xludf.DUMMYFUNCTION("""COMPUTED_VALUE"""),"川島 幹也")</f>
        <v>川島 幹也</v>
      </c>
    </row>
    <row r="9204" spans="2:4" ht="13">
      <c r="B9204" s="12">
        <f ca="1">IFERROR(__xludf.DUMMYFUNCTION("""COMPUTED_VALUE"""),3103371)</f>
        <v>3103371</v>
      </c>
      <c r="C9204" s="14">
        <f ca="1">IFERROR(__xludf.DUMMYFUNCTION("""COMPUTED_VALUE"""),0)</f>
        <v>0</v>
      </c>
      <c r="D9204" s="12" t="str">
        <f ca="1">IFERROR(__xludf.DUMMYFUNCTION("""COMPUTED_VALUE"""),"内丸 裕子")</f>
        <v>内丸 裕子</v>
      </c>
    </row>
    <row r="9205" spans="2:4" ht="13">
      <c r="B9205" s="12">
        <f ca="1">IFERROR(__xludf.DUMMYFUNCTION("""COMPUTED_VALUE"""),3103372)</f>
        <v>3103372</v>
      </c>
      <c r="C9205" s="14">
        <f ca="1">IFERROR(__xludf.DUMMYFUNCTION("""COMPUTED_VALUE"""),0)</f>
        <v>0</v>
      </c>
      <c r="D9205" s="12" t="str">
        <f ca="1">IFERROR(__xludf.DUMMYFUNCTION("""COMPUTED_VALUE"""),"内丸 裕子")</f>
        <v>内丸 裕子</v>
      </c>
    </row>
    <row r="9206" spans="2:4" ht="13">
      <c r="B9206" s="12">
        <f ca="1">IFERROR(__xludf.DUMMYFUNCTION("""COMPUTED_VALUE"""),3103373)</f>
        <v>3103373</v>
      </c>
      <c r="C9206" s="14">
        <f ca="1">IFERROR(__xludf.DUMMYFUNCTION("""COMPUTED_VALUE"""),0)</f>
        <v>0</v>
      </c>
      <c r="D9206" s="12" t="str">
        <f ca="1">IFERROR(__xludf.DUMMYFUNCTION("""COMPUTED_VALUE"""),"内丸 裕子")</f>
        <v>内丸 裕子</v>
      </c>
    </row>
    <row r="9207" spans="2:4" ht="13">
      <c r="B9207" s="12">
        <f ca="1">IFERROR(__xludf.DUMMYFUNCTION("""COMPUTED_VALUE"""),3103374)</f>
        <v>3103374</v>
      </c>
      <c r="C9207" s="14">
        <f ca="1">IFERROR(__xludf.DUMMYFUNCTION("""COMPUTED_VALUE"""),0)</f>
        <v>0</v>
      </c>
      <c r="D9207" s="12" t="str">
        <f ca="1">IFERROR(__xludf.DUMMYFUNCTION("""COMPUTED_VALUE"""),"内丸 裕子")</f>
        <v>内丸 裕子</v>
      </c>
    </row>
    <row r="9208" spans="2:4" ht="13">
      <c r="B9208" s="12">
        <f ca="1">IFERROR(__xludf.DUMMYFUNCTION("""COMPUTED_VALUE"""),3103375)</f>
        <v>3103375</v>
      </c>
      <c r="C9208" s="14">
        <f ca="1">IFERROR(__xludf.DUMMYFUNCTION("""COMPUTED_VALUE"""),0)</f>
        <v>0</v>
      </c>
      <c r="D9208" s="12" t="str">
        <f ca="1">IFERROR(__xludf.DUMMYFUNCTION("""COMPUTED_VALUE"""),"内丸 裕子")</f>
        <v>内丸 裕子</v>
      </c>
    </row>
    <row r="9209" spans="2:4" ht="13">
      <c r="B9209" s="12">
        <f ca="1">IFERROR(__xludf.DUMMYFUNCTION("""COMPUTED_VALUE"""),3103377)</f>
        <v>3103377</v>
      </c>
      <c r="C9209" s="14">
        <f ca="1">IFERROR(__xludf.DUMMYFUNCTION("""COMPUTED_VALUE"""),6)</f>
        <v>6</v>
      </c>
      <c r="D9209" s="12" t="str">
        <f ca="1">IFERROR(__xludf.DUMMYFUNCTION("""COMPUTED_VALUE"""),"内丸 裕子")</f>
        <v>内丸 裕子</v>
      </c>
    </row>
    <row r="9210" spans="2:4" ht="13">
      <c r="B9210" s="12">
        <f ca="1">IFERROR(__xludf.DUMMYFUNCTION("""COMPUTED_VALUE"""),3103378)</f>
        <v>3103378</v>
      </c>
      <c r="C9210" s="14">
        <f ca="1">IFERROR(__xludf.DUMMYFUNCTION("""COMPUTED_VALUE"""),9)</f>
        <v>9</v>
      </c>
      <c r="D9210" s="12" t="str">
        <f ca="1">IFERROR(__xludf.DUMMYFUNCTION("""COMPUTED_VALUE"""),"内丸 裕子")</f>
        <v>内丸 裕子</v>
      </c>
    </row>
    <row r="9211" spans="2:4" ht="13">
      <c r="B9211" s="12">
        <f ca="1">IFERROR(__xludf.DUMMYFUNCTION("""COMPUTED_VALUE"""),3103379)</f>
        <v>3103379</v>
      </c>
      <c r="C9211" s="14">
        <f ca="1">IFERROR(__xludf.DUMMYFUNCTION("""COMPUTED_VALUE"""),23)</f>
        <v>23</v>
      </c>
      <c r="D9211" s="12" t="str">
        <f ca="1">IFERROR(__xludf.DUMMYFUNCTION("""COMPUTED_VALUE"""),"内丸 裕子")</f>
        <v>内丸 裕子</v>
      </c>
    </row>
    <row r="9212" spans="2:4" ht="13">
      <c r="B9212" s="12">
        <f ca="1">IFERROR(__xludf.DUMMYFUNCTION("""COMPUTED_VALUE"""),3103380)</f>
        <v>3103380</v>
      </c>
      <c r="C9212" s="14">
        <f ca="1">IFERROR(__xludf.DUMMYFUNCTION("""COMPUTED_VALUE"""),9)</f>
        <v>9</v>
      </c>
      <c r="D9212" s="12" t="str">
        <f ca="1">IFERROR(__xludf.DUMMYFUNCTION("""COMPUTED_VALUE"""),"内丸 裕子")</f>
        <v>内丸 裕子</v>
      </c>
    </row>
    <row r="9213" spans="2:4" ht="13">
      <c r="B9213" s="12">
        <f ca="1">IFERROR(__xludf.DUMMYFUNCTION("""COMPUTED_VALUE"""),3103381)</f>
        <v>3103381</v>
      </c>
      <c r="C9213" s="14">
        <f ca="1">IFERROR(__xludf.DUMMYFUNCTION("""COMPUTED_VALUE"""),31)</f>
        <v>31</v>
      </c>
      <c r="D9213" s="12" t="str">
        <f ca="1">IFERROR(__xludf.DUMMYFUNCTION("""COMPUTED_VALUE"""),"内丸 裕子")</f>
        <v>内丸 裕子</v>
      </c>
    </row>
    <row r="9214" spans="2:4" ht="13">
      <c r="B9214" s="12">
        <f ca="1">IFERROR(__xludf.DUMMYFUNCTION("""COMPUTED_VALUE"""),3103382)</f>
        <v>3103382</v>
      </c>
      <c r="C9214" s="14">
        <f ca="1">IFERROR(__xludf.DUMMYFUNCTION("""COMPUTED_VALUE"""),35)</f>
        <v>35</v>
      </c>
      <c r="D9214" s="12" t="str">
        <f ca="1">IFERROR(__xludf.DUMMYFUNCTION("""COMPUTED_VALUE"""),"内丸 裕子")</f>
        <v>内丸 裕子</v>
      </c>
    </row>
    <row r="9215" spans="2:4" ht="13">
      <c r="B9215" s="12">
        <f ca="1">IFERROR(__xludf.DUMMYFUNCTION("""COMPUTED_VALUE"""),3103383)</f>
        <v>3103383</v>
      </c>
      <c r="C9215" s="14">
        <f ca="1">IFERROR(__xludf.DUMMYFUNCTION("""COMPUTED_VALUE"""),30)</f>
        <v>30</v>
      </c>
      <c r="D9215" s="12" t="str">
        <f ca="1">IFERROR(__xludf.DUMMYFUNCTION("""COMPUTED_VALUE"""),"内丸 裕子")</f>
        <v>内丸 裕子</v>
      </c>
    </row>
    <row r="9216" spans="2:4" ht="13">
      <c r="B9216" s="12">
        <f ca="1">IFERROR(__xludf.DUMMYFUNCTION("""COMPUTED_VALUE"""),3103384)</f>
        <v>3103384</v>
      </c>
      <c r="C9216" s="14">
        <f ca="1">IFERROR(__xludf.DUMMYFUNCTION("""COMPUTED_VALUE"""),29)</f>
        <v>29</v>
      </c>
      <c r="D9216" s="12" t="str">
        <f ca="1">IFERROR(__xludf.DUMMYFUNCTION("""COMPUTED_VALUE"""),"内丸 裕子")</f>
        <v>内丸 裕子</v>
      </c>
    </row>
    <row r="9217" spans="2:4" ht="13">
      <c r="B9217" s="12">
        <f ca="1">IFERROR(__xludf.DUMMYFUNCTION("""COMPUTED_VALUE"""),3103386)</f>
        <v>3103386</v>
      </c>
      <c r="C9217" s="14">
        <f ca="1">IFERROR(__xludf.DUMMYFUNCTION("""COMPUTED_VALUE"""),0)</f>
        <v>0</v>
      </c>
      <c r="D9217" s="12" t="str">
        <f ca="1">IFERROR(__xludf.DUMMYFUNCTION("""COMPUTED_VALUE"""),"内丸 裕子")</f>
        <v>内丸 裕子</v>
      </c>
    </row>
    <row r="9218" spans="2:4" ht="13">
      <c r="B9218" s="12">
        <f ca="1">IFERROR(__xludf.DUMMYFUNCTION("""COMPUTED_VALUE"""),3103387)</f>
        <v>3103387</v>
      </c>
      <c r="C9218" s="14">
        <f ca="1">IFERROR(__xludf.DUMMYFUNCTION("""COMPUTED_VALUE"""),3)</f>
        <v>3</v>
      </c>
      <c r="D9218" s="12" t="str">
        <f ca="1">IFERROR(__xludf.DUMMYFUNCTION("""COMPUTED_VALUE"""),"内丸 裕子")</f>
        <v>内丸 裕子</v>
      </c>
    </row>
    <row r="9219" spans="2:4" ht="13">
      <c r="B9219" s="12">
        <f ca="1">IFERROR(__xludf.DUMMYFUNCTION("""COMPUTED_VALUE"""),3103388)</f>
        <v>3103388</v>
      </c>
      <c r="C9219" s="14">
        <f ca="1">IFERROR(__xludf.DUMMYFUNCTION("""COMPUTED_VALUE"""),16)</f>
        <v>16</v>
      </c>
      <c r="D9219" s="12" t="str">
        <f ca="1">IFERROR(__xludf.DUMMYFUNCTION("""COMPUTED_VALUE"""),"内丸 裕子")</f>
        <v>内丸 裕子</v>
      </c>
    </row>
    <row r="9220" spans="2:4" ht="13">
      <c r="B9220" s="12">
        <f ca="1">IFERROR(__xludf.DUMMYFUNCTION("""COMPUTED_VALUE"""),3103389)</f>
        <v>3103389</v>
      </c>
      <c r="C9220" s="14">
        <f ca="1">IFERROR(__xludf.DUMMYFUNCTION("""COMPUTED_VALUE"""),188)</f>
        <v>188</v>
      </c>
      <c r="D9220" s="12" t="str">
        <f ca="1">IFERROR(__xludf.DUMMYFUNCTION("""COMPUTED_VALUE"""),"内丸 裕子")</f>
        <v>内丸 裕子</v>
      </c>
    </row>
    <row r="9221" spans="2:4" ht="13">
      <c r="B9221" s="12">
        <f ca="1">IFERROR(__xludf.DUMMYFUNCTION("""COMPUTED_VALUE"""),3103390)</f>
        <v>3103390</v>
      </c>
      <c r="C9221" s="14">
        <f ca="1">IFERROR(__xludf.DUMMYFUNCTION("""COMPUTED_VALUE"""),30)</f>
        <v>30</v>
      </c>
      <c r="D9221" s="12" t="str">
        <f ca="1">IFERROR(__xludf.DUMMYFUNCTION("""COMPUTED_VALUE"""),"内丸 裕子")</f>
        <v>内丸 裕子</v>
      </c>
    </row>
    <row r="9222" spans="2:4" ht="13">
      <c r="B9222" s="12">
        <f ca="1">IFERROR(__xludf.DUMMYFUNCTION("""COMPUTED_VALUE"""),3103391)</f>
        <v>3103391</v>
      </c>
      <c r="C9222" s="14">
        <f ca="1">IFERROR(__xludf.DUMMYFUNCTION("""COMPUTED_VALUE"""),0)</f>
        <v>0</v>
      </c>
      <c r="D9222" s="12" t="str">
        <f ca="1">IFERROR(__xludf.DUMMYFUNCTION("""COMPUTED_VALUE"""),"内丸 裕子")</f>
        <v>内丸 裕子</v>
      </c>
    </row>
    <row r="9223" spans="2:4" ht="13">
      <c r="B9223" s="12">
        <f ca="1">IFERROR(__xludf.DUMMYFUNCTION("""COMPUTED_VALUE"""),3103392)</f>
        <v>3103392</v>
      </c>
      <c r="C9223" s="14">
        <f ca="1">IFERROR(__xludf.DUMMYFUNCTION("""COMPUTED_VALUE"""),0)</f>
        <v>0</v>
      </c>
      <c r="D9223" s="12" t="str">
        <f ca="1">IFERROR(__xludf.DUMMYFUNCTION("""COMPUTED_VALUE"""),"内丸 裕子")</f>
        <v>内丸 裕子</v>
      </c>
    </row>
    <row r="9224" spans="2:4" ht="13">
      <c r="B9224" s="12">
        <f ca="1">IFERROR(__xludf.DUMMYFUNCTION("""COMPUTED_VALUE"""),3103394)</f>
        <v>3103394</v>
      </c>
      <c r="C9224" s="14">
        <f ca="1">IFERROR(__xludf.DUMMYFUNCTION("""COMPUTED_VALUE"""),104)</f>
        <v>104</v>
      </c>
      <c r="D9224" s="12" t="str">
        <f ca="1">IFERROR(__xludf.DUMMYFUNCTION("""COMPUTED_VALUE"""),"内丸 裕子")</f>
        <v>内丸 裕子</v>
      </c>
    </row>
    <row r="9225" spans="2:4" ht="13">
      <c r="B9225" s="12">
        <f ca="1">IFERROR(__xludf.DUMMYFUNCTION("""COMPUTED_VALUE"""),3103395)</f>
        <v>3103395</v>
      </c>
      <c r="C9225" s="14">
        <f ca="1">IFERROR(__xludf.DUMMYFUNCTION("""COMPUTED_VALUE"""),0)</f>
        <v>0</v>
      </c>
      <c r="D9225" s="12" t="str">
        <f ca="1">IFERROR(__xludf.DUMMYFUNCTION("""COMPUTED_VALUE"""),"内丸 裕子")</f>
        <v>内丸 裕子</v>
      </c>
    </row>
    <row r="9226" spans="2:4" ht="13">
      <c r="B9226" s="12">
        <f ca="1">IFERROR(__xludf.DUMMYFUNCTION("""COMPUTED_VALUE"""),3103396)</f>
        <v>3103396</v>
      </c>
      <c r="C9226" s="14">
        <f ca="1">IFERROR(__xludf.DUMMYFUNCTION("""COMPUTED_VALUE"""),0)</f>
        <v>0</v>
      </c>
      <c r="D9226" s="12" t="str">
        <f ca="1">IFERROR(__xludf.DUMMYFUNCTION("""COMPUTED_VALUE"""),"内丸 裕子")</f>
        <v>内丸 裕子</v>
      </c>
    </row>
    <row r="9227" spans="2:4" ht="13">
      <c r="B9227" s="12">
        <f ca="1">IFERROR(__xludf.DUMMYFUNCTION("""COMPUTED_VALUE"""),3103397)</f>
        <v>3103397</v>
      </c>
      <c r="C9227" s="14">
        <f ca="1">IFERROR(__xludf.DUMMYFUNCTION("""COMPUTED_VALUE"""),70)</f>
        <v>70</v>
      </c>
      <c r="D9227" s="12" t="str">
        <f ca="1">IFERROR(__xludf.DUMMYFUNCTION("""COMPUTED_VALUE"""),"川島 幹也")</f>
        <v>川島 幹也</v>
      </c>
    </row>
    <row r="9228" spans="2:4" ht="13">
      <c r="B9228" s="12">
        <f ca="1">IFERROR(__xludf.DUMMYFUNCTION("""COMPUTED_VALUE"""),3103398)</f>
        <v>3103398</v>
      </c>
      <c r="C9228" s="14">
        <f ca="1">IFERROR(__xludf.DUMMYFUNCTION("""COMPUTED_VALUE"""),0)</f>
        <v>0</v>
      </c>
      <c r="D9228" s="12" t="str">
        <f ca="1">IFERROR(__xludf.DUMMYFUNCTION("""COMPUTED_VALUE"""),"桑原 明子")</f>
        <v>桑原 明子</v>
      </c>
    </row>
    <row r="9229" spans="2:4" ht="13">
      <c r="B9229" s="12">
        <f ca="1">IFERROR(__xludf.DUMMYFUNCTION("""COMPUTED_VALUE"""),3103399)</f>
        <v>3103399</v>
      </c>
      <c r="C9229" s="14">
        <f ca="1">IFERROR(__xludf.DUMMYFUNCTION("""COMPUTED_VALUE"""),1)</f>
        <v>1</v>
      </c>
      <c r="D9229" s="12" t="str">
        <f ca="1">IFERROR(__xludf.DUMMYFUNCTION("""COMPUTED_VALUE"""),"桑原 明子")</f>
        <v>桑原 明子</v>
      </c>
    </row>
    <row r="9230" spans="2:4" ht="13">
      <c r="B9230" s="12">
        <f ca="1">IFERROR(__xludf.DUMMYFUNCTION("""COMPUTED_VALUE"""),3103401)</f>
        <v>3103401</v>
      </c>
      <c r="C9230" s="14">
        <f ca="1">IFERROR(__xludf.DUMMYFUNCTION("""COMPUTED_VALUE"""),0)</f>
        <v>0</v>
      </c>
      <c r="D9230" s="12" t="str">
        <f ca="1">IFERROR(__xludf.DUMMYFUNCTION("""COMPUTED_VALUE"""),"辻村 将大")</f>
        <v>辻村 将大</v>
      </c>
    </row>
    <row r="9231" spans="2:4" ht="13">
      <c r="B9231" s="12">
        <f ca="1">IFERROR(__xludf.DUMMYFUNCTION("""COMPUTED_VALUE"""),3103404)</f>
        <v>3103404</v>
      </c>
      <c r="C9231" s="14">
        <f ca="1">IFERROR(__xludf.DUMMYFUNCTION("""COMPUTED_VALUE"""),0)</f>
        <v>0</v>
      </c>
      <c r="D9231" s="12" t="str">
        <f ca="1">IFERROR(__xludf.DUMMYFUNCTION("""COMPUTED_VALUE"""),"荻曽 克輝")</f>
        <v>荻曽 克輝</v>
      </c>
    </row>
    <row r="9232" spans="2:4" ht="13">
      <c r="B9232" s="12">
        <f ca="1">IFERROR(__xludf.DUMMYFUNCTION("""COMPUTED_VALUE"""),3103405)</f>
        <v>3103405</v>
      </c>
      <c r="C9232" s="14">
        <f ca="1">IFERROR(__xludf.DUMMYFUNCTION("""COMPUTED_VALUE"""),22)</f>
        <v>22</v>
      </c>
      <c r="D9232" s="12" t="str">
        <f ca="1">IFERROR(__xludf.DUMMYFUNCTION("""COMPUTED_VALUE"""),"桐山 勝気")</f>
        <v>桐山 勝気</v>
      </c>
    </row>
    <row r="9233" spans="2:4" ht="13">
      <c r="B9233" s="12">
        <f ca="1">IFERROR(__xludf.DUMMYFUNCTION("""COMPUTED_VALUE"""),3103406)</f>
        <v>3103406</v>
      </c>
      <c r="C9233" s="14">
        <f ca="1">IFERROR(__xludf.DUMMYFUNCTION("""COMPUTED_VALUE"""),54)</f>
        <v>54</v>
      </c>
      <c r="D9233" s="12" t="str">
        <f ca="1">IFERROR(__xludf.DUMMYFUNCTION("""COMPUTED_VALUE"""),"桐山 勝気")</f>
        <v>桐山 勝気</v>
      </c>
    </row>
    <row r="9234" spans="2:4" ht="13">
      <c r="B9234" s="12">
        <f ca="1">IFERROR(__xludf.DUMMYFUNCTION("""COMPUTED_VALUE"""),3103407)</f>
        <v>3103407</v>
      </c>
      <c r="C9234" s="14">
        <f ca="1">IFERROR(__xludf.DUMMYFUNCTION("""COMPUTED_VALUE"""),85)</f>
        <v>85</v>
      </c>
      <c r="D9234" s="12" t="str">
        <f ca="1">IFERROR(__xludf.DUMMYFUNCTION("""COMPUTED_VALUE"""),"荻曽 克輝")</f>
        <v>荻曽 克輝</v>
      </c>
    </row>
    <row r="9235" spans="2:4" ht="13">
      <c r="B9235" s="12">
        <f ca="1">IFERROR(__xludf.DUMMYFUNCTION("""COMPUTED_VALUE"""),3103408)</f>
        <v>3103408</v>
      </c>
      <c r="C9235" s="14">
        <f ca="1">IFERROR(__xludf.DUMMYFUNCTION("""COMPUTED_VALUE"""),0)</f>
        <v>0</v>
      </c>
      <c r="D9235" s="12" t="str">
        <f ca="1">IFERROR(__xludf.DUMMYFUNCTION("""COMPUTED_VALUE"""),"荻曽 克輝")</f>
        <v>荻曽 克輝</v>
      </c>
    </row>
    <row r="9236" spans="2:4" ht="13">
      <c r="B9236" s="12">
        <f ca="1">IFERROR(__xludf.DUMMYFUNCTION("""COMPUTED_VALUE"""),3103410)</f>
        <v>3103410</v>
      </c>
      <c r="C9236" s="14">
        <f ca="1">IFERROR(__xludf.DUMMYFUNCTION("""COMPUTED_VALUE"""),84)</f>
        <v>84</v>
      </c>
      <c r="D9236" s="12" t="str">
        <f ca="1">IFERROR(__xludf.DUMMYFUNCTION("""COMPUTED_VALUE"""),"荻曽 克輝")</f>
        <v>荻曽 克輝</v>
      </c>
    </row>
    <row r="9237" spans="2:4" ht="13">
      <c r="B9237" s="12">
        <f ca="1">IFERROR(__xludf.DUMMYFUNCTION("""COMPUTED_VALUE"""),3103412)</f>
        <v>3103412</v>
      </c>
      <c r="C9237" s="14">
        <f ca="1">IFERROR(__xludf.DUMMYFUNCTION("""COMPUTED_VALUE"""),51)</f>
        <v>51</v>
      </c>
      <c r="D9237" s="12" t="str">
        <f ca="1">IFERROR(__xludf.DUMMYFUNCTION("""COMPUTED_VALUE"""),"桐山 勝気")</f>
        <v>桐山 勝気</v>
      </c>
    </row>
    <row r="9238" spans="2:4" ht="13">
      <c r="B9238" s="12">
        <f ca="1">IFERROR(__xludf.DUMMYFUNCTION("""COMPUTED_VALUE"""),3103417)</f>
        <v>3103417</v>
      </c>
      <c r="C9238" s="14">
        <f ca="1">IFERROR(__xludf.DUMMYFUNCTION("""COMPUTED_VALUE"""),0)</f>
        <v>0</v>
      </c>
      <c r="D9238" s="12" t="str">
        <f ca="1">IFERROR(__xludf.DUMMYFUNCTION("""COMPUTED_VALUE"""),"荻曽 克輝")</f>
        <v>荻曽 克輝</v>
      </c>
    </row>
    <row r="9239" spans="2:4" ht="13">
      <c r="B9239" s="12">
        <f ca="1">IFERROR(__xludf.DUMMYFUNCTION("""COMPUTED_VALUE"""),3103418)</f>
        <v>3103418</v>
      </c>
      <c r="C9239" s="14">
        <f ca="1">IFERROR(__xludf.DUMMYFUNCTION("""COMPUTED_VALUE"""),0)</f>
        <v>0</v>
      </c>
      <c r="D9239" s="12" t="str">
        <f ca="1">IFERROR(__xludf.DUMMYFUNCTION("""COMPUTED_VALUE"""),"荻曽 克輝")</f>
        <v>荻曽 克輝</v>
      </c>
    </row>
    <row r="9240" spans="2:4" ht="13">
      <c r="B9240" s="12">
        <f ca="1">IFERROR(__xludf.DUMMYFUNCTION("""COMPUTED_VALUE"""),3103419)</f>
        <v>3103419</v>
      </c>
      <c r="C9240" s="14">
        <f ca="1">IFERROR(__xludf.DUMMYFUNCTION("""COMPUTED_VALUE"""),0)</f>
        <v>0</v>
      </c>
      <c r="D9240" s="12" t="str">
        <f ca="1">IFERROR(__xludf.DUMMYFUNCTION("""COMPUTED_VALUE"""),"村上 浩一朗")</f>
        <v>村上 浩一朗</v>
      </c>
    </row>
    <row r="9241" spans="2:4" ht="13">
      <c r="B9241" s="12">
        <f ca="1">IFERROR(__xludf.DUMMYFUNCTION("""COMPUTED_VALUE"""),3103422)</f>
        <v>3103422</v>
      </c>
      <c r="C9241" s="14">
        <f ca="1">IFERROR(__xludf.DUMMYFUNCTION("""COMPUTED_VALUE"""),0)</f>
        <v>0</v>
      </c>
      <c r="D9241" s="12" t="str">
        <f ca="1">IFERROR(__xludf.DUMMYFUNCTION("""COMPUTED_VALUE"""),"桐山 勝気")</f>
        <v>桐山 勝気</v>
      </c>
    </row>
    <row r="9242" spans="2:4" ht="13">
      <c r="B9242" s="12">
        <f ca="1">IFERROR(__xludf.DUMMYFUNCTION("""COMPUTED_VALUE"""),3103423)</f>
        <v>3103423</v>
      </c>
      <c r="C9242" s="14">
        <f ca="1">IFERROR(__xludf.DUMMYFUNCTION("""COMPUTED_VALUE"""),0)</f>
        <v>0</v>
      </c>
      <c r="D9242" s="12" t="str">
        <f ca="1">IFERROR(__xludf.DUMMYFUNCTION("""COMPUTED_VALUE"""),"村上 浩一朗")</f>
        <v>村上 浩一朗</v>
      </c>
    </row>
    <row r="9243" spans="2:4" ht="13">
      <c r="B9243" s="12">
        <f ca="1">IFERROR(__xludf.DUMMYFUNCTION("""COMPUTED_VALUE"""),3103424)</f>
        <v>3103424</v>
      </c>
      <c r="C9243" s="14">
        <f ca="1">IFERROR(__xludf.DUMMYFUNCTION("""COMPUTED_VALUE"""),0)</f>
        <v>0</v>
      </c>
      <c r="D9243" s="12" t="str">
        <f ca="1">IFERROR(__xludf.DUMMYFUNCTION("""COMPUTED_VALUE"""),"村上 浩一朗")</f>
        <v>村上 浩一朗</v>
      </c>
    </row>
    <row r="9244" spans="2:4" ht="13">
      <c r="B9244" s="12">
        <f ca="1">IFERROR(__xludf.DUMMYFUNCTION("""COMPUTED_VALUE"""),3103425)</f>
        <v>3103425</v>
      </c>
      <c r="C9244" s="14">
        <f ca="1">IFERROR(__xludf.DUMMYFUNCTION("""COMPUTED_VALUE"""),0)</f>
        <v>0</v>
      </c>
      <c r="D9244" s="12" t="str">
        <f ca="1">IFERROR(__xludf.DUMMYFUNCTION("""COMPUTED_VALUE"""),"荻曽 克輝")</f>
        <v>荻曽 克輝</v>
      </c>
    </row>
    <row r="9245" spans="2:4" ht="13">
      <c r="B9245" s="12">
        <f ca="1">IFERROR(__xludf.DUMMYFUNCTION("""COMPUTED_VALUE"""),3103426)</f>
        <v>3103426</v>
      </c>
      <c r="C9245" s="14">
        <f ca="1">IFERROR(__xludf.DUMMYFUNCTION("""COMPUTED_VALUE"""),0)</f>
        <v>0</v>
      </c>
      <c r="D9245" s="12" t="str">
        <f ca="1">IFERROR(__xludf.DUMMYFUNCTION("""COMPUTED_VALUE"""),"栗原 大武")</f>
        <v>栗原 大武</v>
      </c>
    </row>
    <row r="9246" spans="2:4" ht="13">
      <c r="B9246" s="12">
        <f ca="1">IFERROR(__xludf.DUMMYFUNCTION("""COMPUTED_VALUE"""),3103427)</f>
        <v>3103427</v>
      </c>
      <c r="C9246" s="14">
        <f ca="1">IFERROR(__xludf.DUMMYFUNCTION("""COMPUTED_VALUE"""),0)</f>
        <v>0</v>
      </c>
      <c r="D9246" s="12" t="str">
        <f ca="1">IFERROR(__xludf.DUMMYFUNCTION("""COMPUTED_VALUE"""),"栗原 大武")</f>
        <v>栗原 大武</v>
      </c>
    </row>
    <row r="9247" spans="2:4" ht="13">
      <c r="B9247" s="12">
        <f ca="1">IFERROR(__xludf.DUMMYFUNCTION("""COMPUTED_VALUE"""),3103428)</f>
        <v>3103428</v>
      </c>
      <c r="C9247" s="14">
        <f ca="1">IFERROR(__xludf.DUMMYFUNCTION("""COMPUTED_VALUE"""),40)</f>
        <v>40</v>
      </c>
      <c r="D9247" s="12" t="str">
        <f ca="1">IFERROR(__xludf.DUMMYFUNCTION("""COMPUTED_VALUE"""),"辻村 将大")</f>
        <v>辻村 将大</v>
      </c>
    </row>
    <row r="9248" spans="2:4" ht="13">
      <c r="B9248" s="12">
        <f ca="1">IFERROR(__xludf.DUMMYFUNCTION("""COMPUTED_VALUE"""),3103429)</f>
        <v>3103429</v>
      </c>
      <c r="C9248" s="14">
        <f ca="1">IFERROR(__xludf.DUMMYFUNCTION("""COMPUTED_VALUE"""),29)</f>
        <v>29</v>
      </c>
      <c r="D9248" s="12" t="str">
        <f ca="1">IFERROR(__xludf.DUMMYFUNCTION("""COMPUTED_VALUE"""),"栗原 大武")</f>
        <v>栗原 大武</v>
      </c>
    </row>
    <row r="9249" spans="2:4" ht="13">
      <c r="B9249" s="12">
        <f ca="1">IFERROR(__xludf.DUMMYFUNCTION("""COMPUTED_VALUE"""),3103432)</f>
        <v>3103432</v>
      </c>
      <c r="C9249" s="14">
        <f ca="1">IFERROR(__xludf.DUMMYFUNCTION("""COMPUTED_VALUE"""),0)</f>
        <v>0</v>
      </c>
      <c r="D9249" s="12" t="str">
        <f ca="1">IFERROR(__xludf.DUMMYFUNCTION("""COMPUTED_VALUE"""),"栗原 大武")</f>
        <v>栗原 大武</v>
      </c>
    </row>
    <row r="9250" spans="2:4" ht="13">
      <c r="B9250" s="12">
        <f ca="1">IFERROR(__xludf.DUMMYFUNCTION("""COMPUTED_VALUE"""),3103435)</f>
        <v>3103435</v>
      </c>
      <c r="C9250" s="14">
        <f ca="1">IFERROR(__xludf.DUMMYFUNCTION("""COMPUTED_VALUE"""),0)</f>
        <v>0</v>
      </c>
      <c r="D9250" s="12" t="str">
        <f ca="1">IFERROR(__xludf.DUMMYFUNCTION("""COMPUTED_VALUE"""),"辻村 将大")</f>
        <v>辻村 将大</v>
      </c>
    </row>
    <row r="9251" spans="2:4" ht="13">
      <c r="B9251" s="12">
        <f ca="1">IFERROR(__xludf.DUMMYFUNCTION("""COMPUTED_VALUE"""),3103438)</f>
        <v>3103438</v>
      </c>
      <c r="C9251" s="14">
        <f ca="1">IFERROR(__xludf.DUMMYFUNCTION("""COMPUTED_VALUE"""),24)</f>
        <v>24</v>
      </c>
      <c r="D9251" s="12" t="str">
        <f ca="1">IFERROR(__xludf.DUMMYFUNCTION("""COMPUTED_VALUE"""),"辻村 将大")</f>
        <v>辻村 将大</v>
      </c>
    </row>
    <row r="9252" spans="2:4" ht="13">
      <c r="B9252" s="12">
        <f ca="1">IFERROR(__xludf.DUMMYFUNCTION("""COMPUTED_VALUE"""),3103439)</f>
        <v>3103439</v>
      </c>
      <c r="C9252" s="14">
        <f ca="1">IFERROR(__xludf.DUMMYFUNCTION("""COMPUTED_VALUE"""),0)</f>
        <v>0</v>
      </c>
      <c r="D9252" s="12" t="str">
        <f ca="1">IFERROR(__xludf.DUMMYFUNCTION("""COMPUTED_VALUE"""),"桑原 明子")</f>
        <v>桑原 明子</v>
      </c>
    </row>
    <row r="9253" spans="2:4" ht="13">
      <c r="B9253" s="12">
        <f ca="1">IFERROR(__xludf.DUMMYFUNCTION("""COMPUTED_VALUE"""),3103440)</f>
        <v>3103440</v>
      </c>
      <c r="C9253" s="14">
        <f ca="1">IFERROR(__xludf.DUMMYFUNCTION("""COMPUTED_VALUE"""),0)</f>
        <v>0</v>
      </c>
      <c r="D9253" s="12" t="str">
        <f ca="1">IFERROR(__xludf.DUMMYFUNCTION("""COMPUTED_VALUE"""),"桑原 明子")</f>
        <v>桑原 明子</v>
      </c>
    </row>
    <row r="9254" spans="2:4" ht="13">
      <c r="B9254" s="12">
        <f ca="1">IFERROR(__xludf.DUMMYFUNCTION("""COMPUTED_VALUE"""),3103441)</f>
        <v>3103441</v>
      </c>
      <c r="C9254" s="14">
        <f ca="1">IFERROR(__xludf.DUMMYFUNCTION("""COMPUTED_VALUE"""),0)</f>
        <v>0</v>
      </c>
      <c r="D9254" s="12" t="str">
        <f ca="1">IFERROR(__xludf.DUMMYFUNCTION("""COMPUTED_VALUE"""),"桑原 明子")</f>
        <v>桑原 明子</v>
      </c>
    </row>
    <row r="9255" spans="2:4" ht="13">
      <c r="B9255" s="12">
        <f ca="1">IFERROR(__xludf.DUMMYFUNCTION("""COMPUTED_VALUE"""),3103443)</f>
        <v>3103443</v>
      </c>
      <c r="C9255" s="14">
        <f ca="1">IFERROR(__xludf.DUMMYFUNCTION("""COMPUTED_VALUE"""),74)</f>
        <v>74</v>
      </c>
      <c r="D9255" s="12" t="str">
        <f ca="1">IFERROR(__xludf.DUMMYFUNCTION("""COMPUTED_VALUE"""),"森 光智")</f>
        <v>森 光智</v>
      </c>
    </row>
    <row r="9256" spans="2:4" ht="13">
      <c r="B9256" s="12">
        <f ca="1">IFERROR(__xludf.DUMMYFUNCTION("""COMPUTED_VALUE"""),3103445)</f>
        <v>3103445</v>
      </c>
      <c r="C9256" s="14">
        <f ca="1">IFERROR(__xludf.DUMMYFUNCTION("""COMPUTED_VALUE"""),1)</f>
        <v>1</v>
      </c>
      <c r="D9256" s="12" t="str">
        <f ca="1">IFERROR(__xludf.DUMMYFUNCTION("""COMPUTED_VALUE"""),"森 光智")</f>
        <v>森 光智</v>
      </c>
    </row>
    <row r="9257" spans="2:4" ht="13">
      <c r="B9257" s="12">
        <f ca="1">IFERROR(__xludf.DUMMYFUNCTION("""COMPUTED_VALUE"""),3103446)</f>
        <v>3103446</v>
      </c>
      <c r="C9257" s="14">
        <f ca="1">IFERROR(__xludf.DUMMYFUNCTION("""COMPUTED_VALUE"""),3)</f>
        <v>3</v>
      </c>
      <c r="D9257" s="12" t="str">
        <f ca="1">IFERROR(__xludf.DUMMYFUNCTION("""COMPUTED_VALUE"""),"森 光智")</f>
        <v>森 光智</v>
      </c>
    </row>
    <row r="9258" spans="2:4" ht="13">
      <c r="B9258" s="12">
        <f ca="1">IFERROR(__xludf.DUMMYFUNCTION("""COMPUTED_VALUE"""),3103447)</f>
        <v>3103447</v>
      </c>
      <c r="C9258" s="14">
        <f ca="1">IFERROR(__xludf.DUMMYFUNCTION("""COMPUTED_VALUE"""),0)</f>
        <v>0</v>
      </c>
      <c r="D9258" s="12" t="str">
        <f ca="1">IFERROR(__xludf.DUMMYFUNCTION("""COMPUTED_VALUE"""),"森 光智")</f>
        <v>森 光智</v>
      </c>
    </row>
    <row r="9259" spans="2:4" ht="13">
      <c r="B9259" s="12">
        <f ca="1">IFERROR(__xludf.DUMMYFUNCTION("""COMPUTED_VALUE"""),3103448)</f>
        <v>3103448</v>
      </c>
      <c r="C9259" s="14">
        <f ca="1">IFERROR(__xludf.DUMMYFUNCTION("""COMPUTED_VALUE"""),27)</f>
        <v>27</v>
      </c>
      <c r="D9259" s="12" t="str">
        <f ca="1">IFERROR(__xludf.DUMMYFUNCTION("""COMPUTED_VALUE"""),"村上 浩一朗")</f>
        <v>村上 浩一朗</v>
      </c>
    </row>
    <row r="9260" spans="2:4" ht="13">
      <c r="B9260" s="12">
        <f ca="1">IFERROR(__xludf.DUMMYFUNCTION("""COMPUTED_VALUE"""),3103449)</f>
        <v>3103449</v>
      </c>
      <c r="C9260" s="14">
        <f ca="1">IFERROR(__xludf.DUMMYFUNCTION("""COMPUTED_VALUE"""),18)</f>
        <v>18</v>
      </c>
      <c r="D9260" s="12" t="str">
        <f ca="1">IFERROR(__xludf.DUMMYFUNCTION("""COMPUTED_VALUE"""),"村上 浩一朗")</f>
        <v>村上 浩一朗</v>
      </c>
    </row>
    <row r="9261" spans="2:4" ht="13">
      <c r="B9261" s="12">
        <f ca="1">IFERROR(__xludf.DUMMYFUNCTION("""COMPUTED_VALUE"""),3103450)</f>
        <v>3103450</v>
      </c>
      <c r="C9261" s="14">
        <f ca="1">IFERROR(__xludf.DUMMYFUNCTION("""COMPUTED_VALUE"""),54)</f>
        <v>54</v>
      </c>
      <c r="D9261" s="12" t="str">
        <f ca="1">IFERROR(__xludf.DUMMYFUNCTION("""COMPUTED_VALUE"""),"村上 浩一朗")</f>
        <v>村上 浩一朗</v>
      </c>
    </row>
    <row r="9262" spans="2:4" ht="13">
      <c r="B9262" s="12">
        <f ca="1">IFERROR(__xludf.DUMMYFUNCTION("""COMPUTED_VALUE"""),3103451)</f>
        <v>3103451</v>
      </c>
      <c r="C9262" s="14">
        <f ca="1">IFERROR(__xludf.DUMMYFUNCTION("""COMPUTED_VALUE"""),0)</f>
        <v>0</v>
      </c>
      <c r="D9262" s="12" t="str">
        <f ca="1">IFERROR(__xludf.DUMMYFUNCTION("""COMPUTED_VALUE"""),"村上 浩一朗")</f>
        <v>村上 浩一朗</v>
      </c>
    </row>
    <row r="9263" spans="2:4" ht="13">
      <c r="B9263" s="12">
        <f ca="1">IFERROR(__xludf.DUMMYFUNCTION("""COMPUTED_VALUE"""),3103452)</f>
        <v>3103452</v>
      </c>
      <c r="C9263" s="14">
        <f ca="1">IFERROR(__xludf.DUMMYFUNCTION("""COMPUTED_VALUE"""),0)</f>
        <v>0</v>
      </c>
      <c r="D9263" s="12" t="str">
        <f ca="1">IFERROR(__xludf.DUMMYFUNCTION("""COMPUTED_VALUE"""),"村上 浩一朗")</f>
        <v>村上 浩一朗</v>
      </c>
    </row>
    <row r="9264" spans="2:4" ht="13">
      <c r="B9264" s="12">
        <f ca="1">IFERROR(__xludf.DUMMYFUNCTION("""COMPUTED_VALUE"""),3103453)</f>
        <v>3103453</v>
      </c>
      <c r="C9264" s="14">
        <f ca="1">IFERROR(__xludf.DUMMYFUNCTION("""COMPUTED_VALUE"""),45)</f>
        <v>45</v>
      </c>
      <c r="D9264" s="12" t="str">
        <f ca="1">IFERROR(__xludf.DUMMYFUNCTION("""COMPUTED_VALUE"""),"村上 浩一朗")</f>
        <v>村上 浩一朗</v>
      </c>
    </row>
    <row r="9265" spans="2:4" ht="13">
      <c r="B9265" s="12">
        <f ca="1">IFERROR(__xludf.DUMMYFUNCTION("""COMPUTED_VALUE"""),3103454)</f>
        <v>3103454</v>
      </c>
      <c r="C9265" s="14">
        <f ca="1">IFERROR(__xludf.DUMMYFUNCTION("""COMPUTED_VALUE"""),59)</f>
        <v>59</v>
      </c>
      <c r="D9265" s="12" t="str">
        <f ca="1">IFERROR(__xludf.DUMMYFUNCTION("""COMPUTED_VALUE"""),"村上 浩一朗")</f>
        <v>村上 浩一朗</v>
      </c>
    </row>
    <row r="9266" spans="2:4" ht="13">
      <c r="B9266" s="12">
        <f ca="1">IFERROR(__xludf.DUMMYFUNCTION("""COMPUTED_VALUE"""),3103455)</f>
        <v>3103455</v>
      </c>
      <c r="C9266" s="14">
        <f ca="1">IFERROR(__xludf.DUMMYFUNCTION("""COMPUTED_VALUE"""),62)</f>
        <v>62</v>
      </c>
      <c r="D9266" s="12" t="str">
        <f ca="1">IFERROR(__xludf.DUMMYFUNCTION("""COMPUTED_VALUE"""),"村上 浩一朗")</f>
        <v>村上 浩一朗</v>
      </c>
    </row>
    <row r="9267" spans="2:4" ht="13">
      <c r="B9267" s="12">
        <f ca="1">IFERROR(__xludf.DUMMYFUNCTION("""COMPUTED_VALUE"""),3103456)</f>
        <v>3103456</v>
      </c>
      <c r="C9267" s="14">
        <f ca="1">IFERROR(__xludf.DUMMYFUNCTION("""COMPUTED_VALUE"""),64)</f>
        <v>64</v>
      </c>
      <c r="D9267" s="12" t="str">
        <f ca="1">IFERROR(__xludf.DUMMYFUNCTION("""COMPUTED_VALUE"""),"村上 浩一朗")</f>
        <v>村上 浩一朗</v>
      </c>
    </row>
    <row r="9268" spans="2:4" ht="13">
      <c r="B9268" s="12">
        <f ca="1">IFERROR(__xludf.DUMMYFUNCTION("""COMPUTED_VALUE"""),3103457)</f>
        <v>3103457</v>
      </c>
      <c r="C9268" s="14">
        <f ca="1">IFERROR(__xludf.DUMMYFUNCTION("""COMPUTED_VALUE"""),62)</f>
        <v>62</v>
      </c>
      <c r="D9268" s="12" t="str">
        <f ca="1">IFERROR(__xludf.DUMMYFUNCTION("""COMPUTED_VALUE"""),"村上 浩一朗")</f>
        <v>村上 浩一朗</v>
      </c>
    </row>
    <row r="9269" spans="2:4" ht="13">
      <c r="B9269" s="12">
        <f ca="1">IFERROR(__xludf.DUMMYFUNCTION("""COMPUTED_VALUE"""),3103458)</f>
        <v>3103458</v>
      </c>
      <c r="C9269" s="14">
        <f ca="1">IFERROR(__xludf.DUMMYFUNCTION("""COMPUTED_VALUE"""),0)</f>
        <v>0</v>
      </c>
      <c r="D9269" s="12" t="str">
        <f ca="1">IFERROR(__xludf.DUMMYFUNCTION("""COMPUTED_VALUE"""),"村上 浩一朗")</f>
        <v>村上 浩一朗</v>
      </c>
    </row>
    <row r="9270" spans="2:4" ht="13">
      <c r="B9270" s="12">
        <f ca="1">IFERROR(__xludf.DUMMYFUNCTION("""COMPUTED_VALUE"""),3103459)</f>
        <v>3103459</v>
      </c>
      <c r="C9270" s="14">
        <f ca="1">IFERROR(__xludf.DUMMYFUNCTION("""COMPUTED_VALUE"""),0)</f>
        <v>0</v>
      </c>
      <c r="D9270" s="12" t="str">
        <f ca="1">IFERROR(__xludf.DUMMYFUNCTION("""COMPUTED_VALUE"""),"村上 浩一朗")</f>
        <v>村上 浩一朗</v>
      </c>
    </row>
    <row r="9271" spans="2:4" ht="13">
      <c r="B9271" s="12">
        <f ca="1">IFERROR(__xludf.DUMMYFUNCTION("""COMPUTED_VALUE"""),3103460)</f>
        <v>3103460</v>
      </c>
      <c r="C9271" s="14">
        <f ca="1">IFERROR(__xludf.DUMMYFUNCTION("""COMPUTED_VALUE"""),0)</f>
        <v>0</v>
      </c>
      <c r="D9271" s="12" t="str">
        <f ca="1">IFERROR(__xludf.DUMMYFUNCTION("""COMPUTED_VALUE"""),"村上 浩一朗")</f>
        <v>村上 浩一朗</v>
      </c>
    </row>
    <row r="9272" spans="2:4" ht="13">
      <c r="B9272" s="12">
        <f ca="1">IFERROR(__xludf.DUMMYFUNCTION("""COMPUTED_VALUE"""),3103461)</f>
        <v>3103461</v>
      </c>
      <c r="C9272" s="14">
        <f ca="1">IFERROR(__xludf.DUMMYFUNCTION("""COMPUTED_VALUE"""),0)</f>
        <v>0</v>
      </c>
      <c r="D9272" s="12" t="str">
        <f ca="1">IFERROR(__xludf.DUMMYFUNCTION("""COMPUTED_VALUE"""),"村上 浩一朗")</f>
        <v>村上 浩一朗</v>
      </c>
    </row>
    <row r="9273" spans="2:4" ht="13">
      <c r="B9273" s="12">
        <f ca="1">IFERROR(__xludf.DUMMYFUNCTION("""COMPUTED_VALUE"""),3103462)</f>
        <v>3103462</v>
      </c>
      <c r="C9273" s="14">
        <f ca="1">IFERROR(__xludf.DUMMYFUNCTION("""COMPUTED_VALUE"""),37)</f>
        <v>37</v>
      </c>
      <c r="D9273" s="12" t="str">
        <f ca="1">IFERROR(__xludf.DUMMYFUNCTION("""COMPUTED_VALUE"""),"桑原 明子")</f>
        <v>桑原 明子</v>
      </c>
    </row>
    <row r="9274" spans="2:4" ht="13">
      <c r="B9274" s="12">
        <f ca="1">IFERROR(__xludf.DUMMYFUNCTION("""COMPUTED_VALUE"""),3103463)</f>
        <v>3103463</v>
      </c>
      <c r="C9274" s="14">
        <f ca="1">IFERROR(__xludf.DUMMYFUNCTION("""COMPUTED_VALUE"""),42)</f>
        <v>42</v>
      </c>
      <c r="D9274" s="12" t="str">
        <f ca="1">IFERROR(__xludf.DUMMYFUNCTION("""COMPUTED_VALUE"""),"桑原 明子")</f>
        <v>桑原 明子</v>
      </c>
    </row>
    <row r="9275" spans="2:4" ht="13">
      <c r="B9275" s="12">
        <f ca="1">IFERROR(__xludf.DUMMYFUNCTION("""COMPUTED_VALUE"""),3103464)</f>
        <v>3103464</v>
      </c>
      <c r="C9275" s="14">
        <f ca="1">IFERROR(__xludf.DUMMYFUNCTION("""COMPUTED_VALUE"""),59)</f>
        <v>59</v>
      </c>
      <c r="D9275" s="12" t="str">
        <f ca="1">IFERROR(__xludf.DUMMYFUNCTION("""COMPUTED_VALUE"""),"桑原 明子")</f>
        <v>桑原 明子</v>
      </c>
    </row>
    <row r="9276" spans="2:4" ht="13">
      <c r="B9276" s="12">
        <f ca="1">IFERROR(__xludf.DUMMYFUNCTION("""COMPUTED_VALUE"""),3103465)</f>
        <v>3103465</v>
      </c>
      <c r="C9276" s="14">
        <f ca="1">IFERROR(__xludf.DUMMYFUNCTION("""COMPUTED_VALUE"""),0)</f>
        <v>0</v>
      </c>
      <c r="D9276" s="12" t="str">
        <f ca="1">IFERROR(__xludf.DUMMYFUNCTION("""COMPUTED_VALUE"""),"桑原 明子")</f>
        <v>桑原 明子</v>
      </c>
    </row>
    <row r="9277" spans="2:4" ht="13">
      <c r="B9277" s="12">
        <f ca="1">IFERROR(__xludf.DUMMYFUNCTION("""COMPUTED_VALUE"""),3103466)</f>
        <v>3103466</v>
      </c>
      <c r="C9277" s="14">
        <f ca="1">IFERROR(__xludf.DUMMYFUNCTION("""COMPUTED_VALUE"""),0)</f>
        <v>0</v>
      </c>
      <c r="D9277" s="12" t="str">
        <f ca="1">IFERROR(__xludf.DUMMYFUNCTION("""COMPUTED_VALUE"""),"桑原 明子")</f>
        <v>桑原 明子</v>
      </c>
    </row>
    <row r="9278" spans="2:4" ht="13">
      <c r="B9278" s="12">
        <f ca="1">IFERROR(__xludf.DUMMYFUNCTION("""COMPUTED_VALUE"""),3103467)</f>
        <v>3103467</v>
      </c>
      <c r="C9278" s="14">
        <f ca="1">IFERROR(__xludf.DUMMYFUNCTION("""COMPUTED_VALUE"""),0)</f>
        <v>0</v>
      </c>
      <c r="D9278" s="12" t="str">
        <f ca="1">IFERROR(__xludf.DUMMYFUNCTION("""COMPUTED_VALUE"""),"桑原 明子")</f>
        <v>桑原 明子</v>
      </c>
    </row>
    <row r="9279" spans="2:4" ht="13">
      <c r="B9279" s="12">
        <f ca="1">IFERROR(__xludf.DUMMYFUNCTION("""COMPUTED_VALUE"""),3103468)</f>
        <v>3103468</v>
      </c>
      <c r="C9279" s="14">
        <f ca="1">IFERROR(__xludf.DUMMYFUNCTION("""COMPUTED_VALUE"""),20)</f>
        <v>20</v>
      </c>
      <c r="D9279" s="12" t="str">
        <f ca="1">IFERROR(__xludf.DUMMYFUNCTION("""COMPUTED_VALUE"""),"桑原 明子")</f>
        <v>桑原 明子</v>
      </c>
    </row>
    <row r="9280" spans="2:4" ht="13">
      <c r="B9280" s="12">
        <f ca="1">IFERROR(__xludf.DUMMYFUNCTION("""COMPUTED_VALUE"""),3103469)</f>
        <v>3103469</v>
      </c>
      <c r="C9280" s="14">
        <f ca="1">IFERROR(__xludf.DUMMYFUNCTION("""COMPUTED_VALUE"""),10)</f>
        <v>10</v>
      </c>
      <c r="D9280" s="12" t="str">
        <f ca="1">IFERROR(__xludf.DUMMYFUNCTION("""COMPUTED_VALUE"""),"桑原 明子")</f>
        <v>桑原 明子</v>
      </c>
    </row>
    <row r="9281" spans="2:4" ht="13">
      <c r="B9281" s="12">
        <f ca="1">IFERROR(__xludf.DUMMYFUNCTION("""COMPUTED_VALUE"""),3103470)</f>
        <v>3103470</v>
      </c>
      <c r="C9281" s="14">
        <f ca="1">IFERROR(__xludf.DUMMYFUNCTION("""COMPUTED_VALUE"""),0)</f>
        <v>0</v>
      </c>
      <c r="D9281" s="12" t="str">
        <f ca="1">IFERROR(__xludf.DUMMYFUNCTION("""COMPUTED_VALUE"""),"桑原 明子")</f>
        <v>桑原 明子</v>
      </c>
    </row>
    <row r="9282" spans="2:4" ht="13">
      <c r="B9282" s="12">
        <f ca="1">IFERROR(__xludf.DUMMYFUNCTION("""COMPUTED_VALUE"""),3103471)</f>
        <v>3103471</v>
      </c>
      <c r="C9282" s="14">
        <f ca="1">IFERROR(__xludf.DUMMYFUNCTION("""COMPUTED_VALUE"""),0)</f>
        <v>0</v>
      </c>
      <c r="D9282" s="12" t="str">
        <f ca="1">IFERROR(__xludf.DUMMYFUNCTION("""COMPUTED_VALUE"""),"奥野 貴大")</f>
        <v>奥野 貴大</v>
      </c>
    </row>
    <row r="9283" spans="2:4" ht="13">
      <c r="B9283" s="12">
        <f ca="1">IFERROR(__xludf.DUMMYFUNCTION("""COMPUTED_VALUE"""),3103472)</f>
        <v>3103472</v>
      </c>
      <c r="C9283" s="14">
        <f ca="1">IFERROR(__xludf.DUMMYFUNCTION("""COMPUTED_VALUE"""),0)</f>
        <v>0</v>
      </c>
      <c r="D9283" s="12" t="str">
        <f ca="1">IFERROR(__xludf.DUMMYFUNCTION("""COMPUTED_VALUE"""),"奥野 貴大")</f>
        <v>奥野 貴大</v>
      </c>
    </row>
    <row r="9284" spans="2:4" ht="13">
      <c r="B9284" s="12">
        <f ca="1">IFERROR(__xludf.DUMMYFUNCTION("""COMPUTED_VALUE"""),3103473)</f>
        <v>3103473</v>
      </c>
      <c r="C9284" s="14">
        <f ca="1">IFERROR(__xludf.DUMMYFUNCTION("""COMPUTED_VALUE"""),9)</f>
        <v>9</v>
      </c>
      <c r="D9284" s="12" t="str">
        <f ca="1">IFERROR(__xludf.DUMMYFUNCTION("""COMPUTED_VALUE"""),"奥野 貴大")</f>
        <v>奥野 貴大</v>
      </c>
    </row>
    <row r="9285" spans="2:4" ht="13">
      <c r="B9285" s="12">
        <f ca="1">IFERROR(__xludf.DUMMYFUNCTION("""COMPUTED_VALUE"""),3103474)</f>
        <v>3103474</v>
      </c>
      <c r="C9285" s="14">
        <f ca="1">IFERROR(__xludf.DUMMYFUNCTION("""COMPUTED_VALUE"""),2)</f>
        <v>2</v>
      </c>
      <c r="D9285" s="12" t="str">
        <f ca="1">IFERROR(__xludf.DUMMYFUNCTION("""COMPUTED_VALUE"""),"奥野 貴大")</f>
        <v>奥野 貴大</v>
      </c>
    </row>
    <row r="9286" spans="2:4" ht="13">
      <c r="B9286" s="12">
        <f ca="1">IFERROR(__xludf.DUMMYFUNCTION("""COMPUTED_VALUE"""),3103475)</f>
        <v>3103475</v>
      </c>
      <c r="C9286" s="14">
        <f ca="1">IFERROR(__xludf.DUMMYFUNCTION("""COMPUTED_VALUE"""),5)</f>
        <v>5</v>
      </c>
      <c r="D9286" s="12" t="str">
        <f ca="1">IFERROR(__xludf.DUMMYFUNCTION("""COMPUTED_VALUE"""),"森 光智")</f>
        <v>森 光智</v>
      </c>
    </row>
    <row r="9287" spans="2:4" ht="13">
      <c r="B9287" s="12">
        <f ca="1">IFERROR(__xludf.DUMMYFUNCTION("""COMPUTED_VALUE"""),3103476)</f>
        <v>3103476</v>
      </c>
      <c r="C9287" s="14">
        <f ca="1">IFERROR(__xludf.DUMMYFUNCTION("""COMPUTED_VALUE"""),0)</f>
        <v>0</v>
      </c>
      <c r="D9287" s="12" t="str">
        <f ca="1">IFERROR(__xludf.DUMMYFUNCTION("""COMPUTED_VALUE"""),"小川 純")</f>
        <v>小川 純</v>
      </c>
    </row>
    <row r="9288" spans="2:4" ht="13">
      <c r="B9288" s="12">
        <f ca="1">IFERROR(__xludf.DUMMYFUNCTION("""COMPUTED_VALUE"""),3103482)</f>
        <v>3103482</v>
      </c>
      <c r="C9288" s="14">
        <f ca="1">IFERROR(__xludf.DUMMYFUNCTION("""COMPUTED_VALUE"""),0)</f>
        <v>0</v>
      </c>
      <c r="D9288" s="12" t="str">
        <f ca="1">IFERROR(__xludf.DUMMYFUNCTION("""COMPUTED_VALUE"""),"小川 純")</f>
        <v>小川 純</v>
      </c>
    </row>
    <row r="9289" spans="2:4" ht="13">
      <c r="B9289" s="12">
        <f ca="1">IFERROR(__xludf.DUMMYFUNCTION("""COMPUTED_VALUE"""),3103483)</f>
        <v>3103483</v>
      </c>
      <c r="C9289" s="14">
        <f ca="1">IFERROR(__xludf.DUMMYFUNCTION("""COMPUTED_VALUE"""),0)</f>
        <v>0</v>
      </c>
      <c r="D9289" s="12" t="str">
        <f ca="1">IFERROR(__xludf.DUMMYFUNCTION("""COMPUTED_VALUE"""),"小川 純")</f>
        <v>小川 純</v>
      </c>
    </row>
    <row r="9290" spans="2:4" ht="13">
      <c r="B9290" s="12">
        <f ca="1">IFERROR(__xludf.DUMMYFUNCTION("""COMPUTED_VALUE"""),3103484)</f>
        <v>3103484</v>
      </c>
      <c r="C9290" s="14">
        <f ca="1">IFERROR(__xludf.DUMMYFUNCTION("""COMPUTED_VALUE"""),0)</f>
        <v>0</v>
      </c>
      <c r="D9290" s="12" t="str">
        <f ca="1">IFERROR(__xludf.DUMMYFUNCTION("""COMPUTED_VALUE"""),"小川 純")</f>
        <v>小川 純</v>
      </c>
    </row>
    <row r="9291" spans="2:4" ht="13">
      <c r="B9291" s="12">
        <f ca="1">IFERROR(__xludf.DUMMYFUNCTION("""COMPUTED_VALUE"""),3103485)</f>
        <v>3103485</v>
      </c>
      <c r="C9291" s="14">
        <f ca="1">IFERROR(__xludf.DUMMYFUNCTION("""COMPUTED_VALUE"""),0)</f>
        <v>0</v>
      </c>
      <c r="D9291" s="12" t="str">
        <f ca="1">IFERROR(__xludf.DUMMYFUNCTION("""COMPUTED_VALUE"""),"小川 純")</f>
        <v>小川 純</v>
      </c>
    </row>
    <row r="9292" spans="2:4" ht="13">
      <c r="B9292" s="12">
        <f ca="1">IFERROR(__xludf.DUMMYFUNCTION("""COMPUTED_VALUE"""),3103486)</f>
        <v>3103486</v>
      </c>
      <c r="C9292" s="14">
        <f ca="1">IFERROR(__xludf.DUMMYFUNCTION("""COMPUTED_VALUE"""),0)</f>
        <v>0</v>
      </c>
      <c r="D9292" s="12" t="str">
        <f ca="1">IFERROR(__xludf.DUMMYFUNCTION("""COMPUTED_VALUE"""),"小川 純")</f>
        <v>小川 純</v>
      </c>
    </row>
    <row r="9293" spans="2:4" ht="13">
      <c r="B9293" s="12">
        <f ca="1">IFERROR(__xludf.DUMMYFUNCTION("""COMPUTED_VALUE"""),3103487)</f>
        <v>3103487</v>
      </c>
      <c r="C9293" s="14">
        <f ca="1">IFERROR(__xludf.DUMMYFUNCTION("""COMPUTED_VALUE"""),0)</f>
        <v>0</v>
      </c>
      <c r="D9293" s="12" t="str">
        <f ca="1">IFERROR(__xludf.DUMMYFUNCTION("""COMPUTED_VALUE"""),"小川 純")</f>
        <v>小川 純</v>
      </c>
    </row>
    <row r="9294" spans="2:4" ht="13">
      <c r="B9294" s="12">
        <f ca="1">IFERROR(__xludf.DUMMYFUNCTION("""COMPUTED_VALUE"""),3103489)</f>
        <v>3103489</v>
      </c>
      <c r="C9294" s="14">
        <f ca="1">IFERROR(__xludf.DUMMYFUNCTION("""COMPUTED_VALUE"""),0)</f>
        <v>0</v>
      </c>
      <c r="D9294" s="12" t="str">
        <f ca="1">IFERROR(__xludf.DUMMYFUNCTION("""COMPUTED_VALUE"""),"小川 純")</f>
        <v>小川 純</v>
      </c>
    </row>
    <row r="9295" spans="2:4" ht="13">
      <c r="B9295" s="12">
        <f ca="1">IFERROR(__xludf.DUMMYFUNCTION("""COMPUTED_VALUE"""),3103490)</f>
        <v>3103490</v>
      </c>
      <c r="C9295" s="14">
        <f ca="1">IFERROR(__xludf.DUMMYFUNCTION("""COMPUTED_VALUE"""),0)</f>
        <v>0</v>
      </c>
      <c r="D9295" s="12" t="str">
        <f ca="1">IFERROR(__xludf.DUMMYFUNCTION("""COMPUTED_VALUE"""),"小川 純")</f>
        <v>小川 純</v>
      </c>
    </row>
    <row r="9296" spans="2:4" ht="13">
      <c r="B9296" s="12">
        <f ca="1">IFERROR(__xludf.DUMMYFUNCTION("""COMPUTED_VALUE"""),3103491)</f>
        <v>3103491</v>
      </c>
      <c r="C9296" s="14">
        <f ca="1">IFERROR(__xludf.DUMMYFUNCTION("""COMPUTED_VALUE"""),0)</f>
        <v>0</v>
      </c>
      <c r="D9296" s="12" t="str">
        <f ca="1">IFERROR(__xludf.DUMMYFUNCTION("""COMPUTED_VALUE"""),"小川 純")</f>
        <v>小川 純</v>
      </c>
    </row>
    <row r="9297" spans="2:4" ht="13">
      <c r="B9297" s="12">
        <f ca="1">IFERROR(__xludf.DUMMYFUNCTION("""COMPUTED_VALUE"""),3103492)</f>
        <v>3103492</v>
      </c>
      <c r="C9297" s="14">
        <f ca="1">IFERROR(__xludf.DUMMYFUNCTION("""COMPUTED_VALUE"""),3)</f>
        <v>3</v>
      </c>
      <c r="D9297" s="12" t="str">
        <f ca="1">IFERROR(__xludf.DUMMYFUNCTION("""COMPUTED_VALUE"""),"森 光智")</f>
        <v>森 光智</v>
      </c>
    </row>
    <row r="9298" spans="2:4" ht="13">
      <c r="B9298" s="12">
        <f ca="1">IFERROR(__xludf.DUMMYFUNCTION("""COMPUTED_VALUE"""),3103493)</f>
        <v>3103493</v>
      </c>
      <c r="C9298" s="14">
        <f ca="1">IFERROR(__xludf.DUMMYFUNCTION("""COMPUTED_VALUE"""),0)</f>
        <v>0</v>
      </c>
      <c r="D9298" s="12" t="str">
        <f ca="1">IFERROR(__xludf.DUMMYFUNCTION("""COMPUTED_VALUE"""),"森 光智")</f>
        <v>森 光智</v>
      </c>
    </row>
    <row r="9299" spans="2:4" ht="13">
      <c r="B9299" s="12">
        <f ca="1">IFERROR(__xludf.DUMMYFUNCTION("""COMPUTED_VALUE"""),3103494)</f>
        <v>3103494</v>
      </c>
      <c r="C9299" s="14">
        <f ca="1">IFERROR(__xludf.DUMMYFUNCTION("""COMPUTED_VALUE"""),0)</f>
        <v>0</v>
      </c>
      <c r="D9299" s="12" t="str">
        <f ca="1">IFERROR(__xludf.DUMMYFUNCTION("""COMPUTED_VALUE"""),"森 光智")</f>
        <v>森 光智</v>
      </c>
    </row>
    <row r="9300" spans="2:4" ht="13">
      <c r="B9300" s="12">
        <f ca="1">IFERROR(__xludf.DUMMYFUNCTION("""COMPUTED_VALUE"""),3103495)</f>
        <v>3103495</v>
      </c>
      <c r="C9300" s="14">
        <f ca="1">IFERROR(__xludf.DUMMYFUNCTION("""COMPUTED_VALUE"""),0)</f>
        <v>0</v>
      </c>
      <c r="D9300" s="12" t="str">
        <f ca="1">IFERROR(__xludf.DUMMYFUNCTION("""COMPUTED_VALUE"""),"小川 純")</f>
        <v>小川 純</v>
      </c>
    </row>
    <row r="9301" spans="2:4" ht="13">
      <c r="B9301" s="12">
        <f ca="1">IFERROR(__xludf.DUMMYFUNCTION("""COMPUTED_VALUE"""),3103496)</f>
        <v>3103496</v>
      </c>
      <c r="C9301" s="14">
        <f ca="1">IFERROR(__xludf.DUMMYFUNCTION("""COMPUTED_VALUE"""),0)</f>
        <v>0</v>
      </c>
      <c r="D9301" s="12" t="str">
        <f ca="1">IFERROR(__xludf.DUMMYFUNCTION("""COMPUTED_VALUE"""),"小川 純")</f>
        <v>小川 純</v>
      </c>
    </row>
    <row r="9302" spans="2:4" ht="13">
      <c r="B9302" s="12">
        <f ca="1">IFERROR(__xludf.DUMMYFUNCTION("""COMPUTED_VALUE"""),3103497)</f>
        <v>3103497</v>
      </c>
      <c r="C9302" s="14">
        <f ca="1">IFERROR(__xludf.DUMMYFUNCTION("""COMPUTED_VALUE"""),3)</f>
        <v>3</v>
      </c>
      <c r="D9302" s="12" t="str">
        <f ca="1">IFERROR(__xludf.DUMMYFUNCTION("""COMPUTED_VALUE"""),"小川 純")</f>
        <v>小川 純</v>
      </c>
    </row>
    <row r="9303" spans="2:4" ht="13">
      <c r="B9303" s="12">
        <f ca="1">IFERROR(__xludf.DUMMYFUNCTION("""COMPUTED_VALUE"""),3103498)</f>
        <v>3103498</v>
      </c>
      <c r="C9303" s="14">
        <f ca="1">IFERROR(__xludf.DUMMYFUNCTION("""COMPUTED_VALUE"""),4)</f>
        <v>4</v>
      </c>
      <c r="D9303" s="12" t="str">
        <f ca="1">IFERROR(__xludf.DUMMYFUNCTION("""COMPUTED_VALUE"""),"小川 純")</f>
        <v>小川 純</v>
      </c>
    </row>
    <row r="9304" spans="2:4" ht="13">
      <c r="B9304" s="12">
        <f ca="1">IFERROR(__xludf.DUMMYFUNCTION("""COMPUTED_VALUE"""),3103499)</f>
        <v>3103499</v>
      </c>
      <c r="C9304" s="14">
        <f ca="1">IFERROR(__xludf.DUMMYFUNCTION("""COMPUTED_VALUE"""),0)</f>
        <v>0</v>
      </c>
      <c r="D9304" s="12" t="str">
        <f ca="1">IFERROR(__xludf.DUMMYFUNCTION("""COMPUTED_VALUE"""),"小川 純")</f>
        <v>小川 純</v>
      </c>
    </row>
    <row r="9305" spans="2:4" ht="13">
      <c r="B9305" s="12">
        <f ca="1">IFERROR(__xludf.DUMMYFUNCTION("""COMPUTED_VALUE"""),3103500)</f>
        <v>3103500</v>
      </c>
      <c r="C9305" s="14">
        <f ca="1">IFERROR(__xludf.DUMMYFUNCTION("""COMPUTED_VALUE"""),0)</f>
        <v>0</v>
      </c>
      <c r="D9305" s="12" t="str">
        <f ca="1">IFERROR(__xludf.DUMMYFUNCTION("""COMPUTED_VALUE"""),"小川 純")</f>
        <v>小川 純</v>
      </c>
    </row>
    <row r="9306" spans="2:4" ht="13">
      <c r="B9306" s="12">
        <f ca="1">IFERROR(__xludf.DUMMYFUNCTION("""COMPUTED_VALUE"""),3103501)</f>
        <v>3103501</v>
      </c>
      <c r="C9306" s="14">
        <f ca="1">IFERROR(__xludf.DUMMYFUNCTION("""COMPUTED_VALUE"""),0)</f>
        <v>0</v>
      </c>
      <c r="D9306" s="12" t="str">
        <f ca="1">IFERROR(__xludf.DUMMYFUNCTION("""COMPUTED_VALUE"""),"小川 純")</f>
        <v>小川 純</v>
      </c>
    </row>
    <row r="9307" spans="2:4" ht="13">
      <c r="B9307" s="12">
        <f ca="1">IFERROR(__xludf.DUMMYFUNCTION("""COMPUTED_VALUE"""),3103502)</f>
        <v>3103502</v>
      </c>
      <c r="C9307" s="14">
        <f ca="1">IFERROR(__xludf.DUMMYFUNCTION("""COMPUTED_VALUE"""),13)</f>
        <v>13</v>
      </c>
      <c r="D9307" s="12" t="str">
        <f ca="1">IFERROR(__xludf.DUMMYFUNCTION("""COMPUTED_VALUE"""),"小川 純")</f>
        <v>小川 純</v>
      </c>
    </row>
    <row r="9308" spans="2:4" ht="13">
      <c r="B9308" s="12">
        <f ca="1">IFERROR(__xludf.DUMMYFUNCTION("""COMPUTED_VALUE"""),3103503)</f>
        <v>3103503</v>
      </c>
      <c r="C9308" s="14">
        <f ca="1">IFERROR(__xludf.DUMMYFUNCTION("""COMPUTED_VALUE"""),0)</f>
        <v>0</v>
      </c>
      <c r="D9308" s="12" t="str">
        <f ca="1">IFERROR(__xludf.DUMMYFUNCTION("""COMPUTED_VALUE"""),"森 光智")</f>
        <v>森 光智</v>
      </c>
    </row>
    <row r="9309" spans="2:4" ht="13">
      <c r="B9309" s="12">
        <f ca="1">IFERROR(__xludf.DUMMYFUNCTION("""COMPUTED_VALUE"""),3103505)</f>
        <v>3103505</v>
      </c>
      <c r="C9309" s="14">
        <f ca="1">IFERROR(__xludf.DUMMYFUNCTION("""COMPUTED_VALUE"""),0)</f>
        <v>0</v>
      </c>
      <c r="D9309" s="12" t="str">
        <f ca="1">IFERROR(__xludf.DUMMYFUNCTION("""COMPUTED_VALUE"""),"森 光智")</f>
        <v>森 光智</v>
      </c>
    </row>
    <row r="9310" spans="2:4" ht="13">
      <c r="B9310" s="12">
        <f ca="1">IFERROR(__xludf.DUMMYFUNCTION("""COMPUTED_VALUE"""),3103507)</f>
        <v>3103507</v>
      </c>
      <c r="C9310" s="14">
        <f ca="1">IFERROR(__xludf.DUMMYFUNCTION("""COMPUTED_VALUE"""),57)</f>
        <v>57</v>
      </c>
      <c r="D9310" s="12" t="str">
        <f ca="1">IFERROR(__xludf.DUMMYFUNCTION("""COMPUTED_VALUE"""),"小川 純")</f>
        <v>小川 純</v>
      </c>
    </row>
    <row r="9311" spans="2:4" ht="13">
      <c r="B9311" s="12">
        <f ca="1">IFERROR(__xludf.DUMMYFUNCTION("""COMPUTED_VALUE"""),3103508)</f>
        <v>3103508</v>
      </c>
      <c r="C9311" s="14">
        <f ca="1">IFERROR(__xludf.DUMMYFUNCTION("""COMPUTED_VALUE"""),1)</f>
        <v>1</v>
      </c>
      <c r="D9311" s="12" t="str">
        <f ca="1">IFERROR(__xludf.DUMMYFUNCTION("""COMPUTED_VALUE"""),"小川 純")</f>
        <v>小川 純</v>
      </c>
    </row>
    <row r="9312" spans="2:4" ht="13">
      <c r="B9312" s="12">
        <f ca="1">IFERROR(__xludf.DUMMYFUNCTION("""COMPUTED_VALUE"""),3103509)</f>
        <v>3103509</v>
      </c>
      <c r="C9312" s="14">
        <f ca="1">IFERROR(__xludf.DUMMYFUNCTION("""COMPUTED_VALUE"""),2)</f>
        <v>2</v>
      </c>
      <c r="D9312" s="12" t="str">
        <f ca="1">IFERROR(__xludf.DUMMYFUNCTION("""COMPUTED_VALUE"""),"小川 純")</f>
        <v>小川 純</v>
      </c>
    </row>
    <row r="9313" spans="2:4" ht="13">
      <c r="B9313" s="12">
        <f ca="1">IFERROR(__xludf.DUMMYFUNCTION("""COMPUTED_VALUE"""),3103510)</f>
        <v>3103510</v>
      </c>
      <c r="C9313" s="14">
        <f ca="1">IFERROR(__xludf.DUMMYFUNCTION("""COMPUTED_VALUE"""),0)</f>
        <v>0</v>
      </c>
      <c r="D9313" s="12" t="str">
        <f ca="1">IFERROR(__xludf.DUMMYFUNCTION("""COMPUTED_VALUE"""),"森 光智")</f>
        <v>森 光智</v>
      </c>
    </row>
    <row r="9314" spans="2:4" ht="13">
      <c r="B9314" s="12">
        <f ca="1">IFERROR(__xludf.DUMMYFUNCTION("""COMPUTED_VALUE"""),3103511)</f>
        <v>3103511</v>
      </c>
      <c r="C9314" s="14">
        <f ca="1">IFERROR(__xludf.DUMMYFUNCTION("""COMPUTED_VALUE"""),0)</f>
        <v>0</v>
      </c>
      <c r="D9314" s="12" t="str">
        <f ca="1">IFERROR(__xludf.DUMMYFUNCTION("""COMPUTED_VALUE"""),"森 光智")</f>
        <v>森 光智</v>
      </c>
    </row>
    <row r="9315" spans="2:4" ht="13">
      <c r="B9315" s="12">
        <f ca="1">IFERROR(__xludf.DUMMYFUNCTION("""COMPUTED_VALUE"""),3103512)</f>
        <v>3103512</v>
      </c>
      <c r="C9315" s="14">
        <f ca="1">IFERROR(__xludf.DUMMYFUNCTION("""COMPUTED_VALUE"""),0)</f>
        <v>0</v>
      </c>
      <c r="D9315" s="12" t="str">
        <f ca="1">IFERROR(__xludf.DUMMYFUNCTION("""COMPUTED_VALUE"""),"森 光智")</f>
        <v>森 光智</v>
      </c>
    </row>
    <row r="9316" spans="2:4" ht="13">
      <c r="B9316" s="12">
        <f ca="1">IFERROR(__xludf.DUMMYFUNCTION("""COMPUTED_VALUE"""),3103513)</f>
        <v>3103513</v>
      </c>
      <c r="C9316" s="14">
        <f ca="1">IFERROR(__xludf.DUMMYFUNCTION("""COMPUTED_VALUE"""),0)</f>
        <v>0</v>
      </c>
      <c r="D9316" s="12" t="str">
        <f ca="1">IFERROR(__xludf.DUMMYFUNCTION("""COMPUTED_VALUE"""),"森 光智")</f>
        <v>森 光智</v>
      </c>
    </row>
    <row r="9317" spans="2:4" ht="13">
      <c r="B9317" s="12">
        <f ca="1">IFERROR(__xludf.DUMMYFUNCTION("""COMPUTED_VALUE"""),3103514)</f>
        <v>3103514</v>
      </c>
      <c r="C9317" s="14">
        <f ca="1">IFERROR(__xludf.DUMMYFUNCTION("""COMPUTED_VALUE"""),0)</f>
        <v>0</v>
      </c>
      <c r="D9317" s="12" t="str">
        <f ca="1">IFERROR(__xludf.DUMMYFUNCTION("""COMPUTED_VALUE"""),"森 光智")</f>
        <v>森 光智</v>
      </c>
    </row>
    <row r="9318" spans="2:4" ht="13">
      <c r="B9318" s="12">
        <f ca="1">IFERROR(__xludf.DUMMYFUNCTION("""COMPUTED_VALUE"""),3103515)</f>
        <v>3103515</v>
      </c>
      <c r="C9318" s="14">
        <f ca="1">IFERROR(__xludf.DUMMYFUNCTION("""COMPUTED_VALUE"""),0)</f>
        <v>0</v>
      </c>
      <c r="D9318" s="12" t="str">
        <f ca="1">IFERROR(__xludf.DUMMYFUNCTION("""COMPUTED_VALUE"""),"森 光智")</f>
        <v>森 光智</v>
      </c>
    </row>
    <row r="9319" spans="2:4" ht="13">
      <c r="B9319" s="12">
        <f ca="1">IFERROR(__xludf.DUMMYFUNCTION("""COMPUTED_VALUE"""),3103516)</f>
        <v>3103516</v>
      </c>
      <c r="C9319" s="14">
        <f ca="1">IFERROR(__xludf.DUMMYFUNCTION("""COMPUTED_VALUE"""),0)</f>
        <v>0</v>
      </c>
      <c r="D9319" s="12" t="str">
        <f ca="1">IFERROR(__xludf.DUMMYFUNCTION("""COMPUTED_VALUE"""),"森 光智")</f>
        <v>森 光智</v>
      </c>
    </row>
    <row r="9320" spans="2:4" ht="13">
      <c r="B9320" s="12">
        <f ca="1">IFERROR(__xludf.DUMMYFUNCTION("""COMPUTED_VALUE"""),3103517)</f>
        <v>3103517</v>
      </c>
      <c r="C9320" s="14">
        <f ca="1">IFERROR(__xludf.DUMMYFUNCTION("""COMPUTED_VALUE"""),0)</f>
        <v>0</v>
      </c>
      <c r="D9320" s="12" t="str">
        <f ca="1">IFERROR(__xludf.DUMMYFUNCTION("""COMPUTED_VALUE"""),"森 光智")</f>
        <v>森 光智</v>
      </c>
    </row>
    <row r="9321" spans="2:4" ht="13">
      <c r="B9321" s="12">
        <f ca="1">IFERROR(__xludf.DUMMYFUNCTION("""COMPUTED_VALUE"""),3103518)</f>
        <v>3103518</v>
      </c>
      <c r="C9321" s="14">
        <f ca="1">IFERROR(__xludf.DUMMYFUNCTION("""COMPUTED_VALUE"""),0)</f>
        <v>0</v>
      </c>
      <c r="D9321" s="12" t="str">
        <f ca="1">IFERROR(__xludf.DUMMYFUNCTION("""COMPUTED_VALUE"""),"森 光智")</f>
        <v>森 光智</v>
      </c>
    </row>
    <row r="9322" spans="2:4" ht="13">
      <c r="B9322" s="12">
        <f ca="1">IFERROR(__xludf.DUMMYFUNCTION("""COMPUTED_VALUE"""),3103519)</f>
        <v>3103519</v>
      </c>
      <c r="C9322" s="14">
        <f ca="1">IFERROR(__xludf.DUMMYFUNCTION("""COMPUTED_VALUE"""),0)</f>
        <v>0</v>
      </c>
      <c r="D9322" s="12" t="str">
        <f ca="1">IFERROR(__xludf.DUMMYFUNCTION("""COMPUTED_VALUE"""),"森 光智")</f>
        <v>森 光智</v>
      </c>
    </row>
    <row r="9323" spans="2:4" ht="13">
      <c r="B9323" s="12">
        <f ca="1">IFERROR(__xludf.DUMMYFUNCTION("""COMPUTED_VALUE"""),3103520)</f>
        <v>3103520</v>
      </c>
      <c r="C9323" s="14">
        <f ca="1">IFERROR(__xludf.DUMMYFUNCTION("""COMPUTED_VALUE"""),0)</f>
        <v>0</v>
      </c>
      <c r="D9323" s="12" t="str">
        <f ca="1">IFERROR(__xludf.DUMMYFUNCTION("""COMPUTED_VALUE"""),"森 光智")</f>
        <v>森 光智</v>
      </c>
    </row>
    <row r="9324" spans="2:4" ht="13">
      <c r="B9324" s="12">
        <f ca="1">IFERROR(__xludf.DUMMYFUNCTION("""COMPUTED_VALUE"""),3103521)</f>
        <v>3103521</v>
      </c>
      <c r="C9324" s="14">
        <f ca="1">IFERROR(__xludf.DUMMYFUNCTION("""COMPUTED_VALUE"""),8)</f>
        <v>8</v>
      </c>
      <c r="D9324" s="12" t="str">
        <f ca="1">IFERROR(__xludf.DUMMYFUNCTION("""COMPUTED_VALUE"""),"長谷川 陸朗")</f>
        <v>長谷川 陸朗</v>
      </c>
    </row>
    <row r="9325" spans="2:4" ht="13">
      <c r="B9325" s="12">
        <f ca="1">IFERROR(__xludf.DUMMYFUNCTION("""COMPUTED_VALUE"""),3103523)</f>
        <v>3103523</v>
      </c>
      <c r="C9325" s="14">
        <f ca="1">IFERROR(__xludf.DUMMYFUNCTION("""COMPUTED_VALUE"""),0)</f>
        <v>0</v>
      </c>
      <c r="D9325" s="12" t="str">
        <f ca="1">IFERROR(__xludf.DUMMYFUNCTION("""COMPUTED_VALUE"""),"桑原 明子")</f>
        <v>桑原 明子</v>
      </c>
    </row>
    <row r="9326" spans="2:4" ht="13">
      <c r="B9326" s="12">
        <f ca="1">IFERROR(__xludf.DUMMYFUNCTION("""COMPUTED_VALUE"""),3103525)</f>
        <v>3103525</v>
      </c>
      <c r="C9326" s="14">
        <f ca="1">IFERROR(__xludf.DUMMYFUNCTION("""COMPUTED_VALUE"""),24)</f>
        <v>24</v>
      </c>
      <c r="D9326" s="12" t="str">
        <f ca="1">IFERROR(__xludf.DUMMYFUNCTION("""COMPUTED_VALUE"""),"荻曽 克輝")</f>
        <v>荻曽 克輝</v>
      </c>
    </row>
    <row r="9327" spans="2:4" ht="13">
      <c r="B9327" s="12">
        <f ca="1">IFERROR(__xludf.DUMMYFUNCTION("""COMPUTED_VALUE"""),3103526)</f>
        <v>3103526</v>
      </c>
      <c r="C9327" s="14">
        <f ca="1">IFERROR(__xludf.DUMMYFUNCTION("""COMPUTED_VALUE"""),28)</f>
        <v>28</v>
      </c>
      <c r="D9327" s="12" t="str">
        <f ca="1">IFERROR(__xludf.DUMMYFUNCTION("""COMPUTED_VALUE"""),"辻村 将大")</f>
        <v>辻村 将大</v>
      </c>
    </row>
    <row r="9328" spans="2:4" ht="13">
      <c r="B9328" s="12">
        <f ca="1">IFERROR(__xludf.DUMMYFUNCTION("""COMPUTED_VALUE"""),3103527)</f>
        <v>3103527</v>
      </c>
      <c r="C9328" s="14">
        <f ca="1">IFERROR(__xludf.DUMMYFUNCTION("""COMPUTED_VALUE"""),114)</f>
        <v>114</v>
      </c>
      <c r="D9328" s="12" t="str">
        <f ca="1">IFERROR(__xludf.DUMMYFUNCTION("""COMPUTED_VALUE"""),"桐山 勝気")</f>
        <v>桐山 勝気</v>
      </c>
    </row>
    <row r="9329" spans="2:4" ht="13">
      <c r="B9329" s="12">
        <f ca="1">IFERROR(__xludf.DUMMYFUNCTION("""COMPUTED_VALUE"""),3103529)</f>
        <v>3103529</v>
      </c>
      <c r="C9329" s="14">
        <f ca="1">IFERROR(__xludf.DUMMYFUNCTION("""COMPUTED_VALUE"""),0)</f>
        <v>0</v>
      </c>
      <c r="D9329" s="12" t="str">
        <f ca="1">IFERROR(__xludf.DUMMYFUNCTION("""COMPUTED_VALUE"""),"内丸 裕子")</f>
        <v>内丸 裕子</v>
      </c>
    </row>
    <row r="9330" spans="2:4" ht="13">
      <c r="B9330" s="12">
        <f ca="1">IFERROR(__xludf.DUMMYFUNCTION("""COMPUTED_VALUE"""),3103530)</f>
        <v>3103530</v>
      </c>
      <c r="C9330" s="14">
        <f ca="1">IFERROR(__xludf.DUMMYFUNCTION("""COMPUTED_VALUE"""),0)</f>
        <v>0</v>
      </c>
      <c r="D9330" s="12" t="str">
        <f ca="1">IFERROR(__xludf.DUMMYFUNCTION("""COMPUTED_VALUE"""),"内丸 裕子")</f>
        <v>内丸 裕子</v>
      </c>
    </row>
    <row r="9331" spans="2:4" ht="13">
      <c r="B9331" s="12">
        <f ca="1">IFERROR(__xludf.DUMMYFUNCTION("""COMPUTED_VALUE"""),3103531)</f>
        <v>3103531</v>
      </c>
      <c r="C9331" s="14">
        <f ca="1">IFERROR(__xludf.DUMMYFUNCTION("""COMPUTED_VALUE"""),59)</f>
        <v>59</v>
      </c>
      <c r="D9331" s="12" t="str">
        <f ca="1">IFERROR(__xludf.DUMMYFUNCTION("""COMPUTED_VALUE"""),"村上 浩一朗")</f>
        <v>村上 浩一朗</v>
      </c>
    </row>
    <row r="9332" spans="2:4" ht="13">
      <c r="B9332" s="12">
        <f ca="1">IFERROR(__xludf.DUMMYFUNCTION("""COMPUTED_VALUE"""),3103532)</f>
        <v>3103532</v>
      </c>
      <c r="C9332" s="14">
        <f ca="1">IFERROR(__xludf.DUMMYFUNCTION("""COMPUTED_VALUE"""),0)</f>
        <v>0</v>
      </c>
      <c r="D9332" s="12" t="str">
        <f ca="1">IFERROR(__xludf.DUMMYFUNCTION("""COMPUTED_VALUE"""),"老田 純輝")</f>
        <v>老田 純輝</v>
      </c>
    </row>
    <row r="9333" spans="2:4" ht="13">
      <c r="B9333" s="12">
        <f ca="1">IFERROR(__xludf.DUMMYFUNCTION("""COMPUTED_VALUE"""),3103534)</f>
        <v>3103534</v>
      </c>
      <c r="C9333" s="14">
        <f ca="1">IFERROR(__xludf.DUMMYFUNCTION("""COMPUTED_VALUE"""),33)</f>
        <v>33</v>
      </c>
      <c r="D9333" s="12" t="str">
        <f ca="1">IFERROR(__xludf.DUMMYFUNCTION("""COMPUTED_VALUE"""),"大木 優香")</f>
        <v>大木 優香</v>
      </c>
    </row>
    <row r="9334" spans="2:4" ht="13">
      <c r="B9334" s="12">
        <f ca="1">IFERROR(__xludf.DUMMYFUNCTION("""COMPUTED_VALUE"""),3103537)</f>
        <v>3103537</v>
      </c>
      <c r="C9334" s="14">
        <f ca="1">IFERROR(__xludf.DUMMYFUNCTION("""COMPUTED_VALUE"""),0)</f>
        <v>0</v>
      </c>
      <c r="D9334" s="12" t="str">
        <f ca="1">IFERROR(__xludf.DUMMYFUNCTION("""COMPUTED_VALUE"""),"村上 浩一朗")</f>
        <v>村上 浩一朗</v>
      </c>
    </row>
    <row r="9335" spans="2:4" ht="13">
      <c r="B9335" s="12">
        <f ca="1">IFERROR(__xludf.DUMMYFUNCTION("""COMPUTED_VALUE"""),3103538)</f>
        <v>3103538</v>
      </c>
      <c r="C9335" s="14">
        <f ca="1">IFERROR(__xludf.DUMMYFUNCTION("""COMPUTED_VALUE"""),12)</f>
        <v>12</v>
      </c>
      <c r="D9335" s="12" t="str">
        <f ca="1">IFERROR(__xludf.DUMMYFUNCTION("""COMPUTED_VALUE"""),"村上 浩一朗")</f>
        <v>村上 浩一朗</v>
      </c>
    </row>
    <row r="9336" spans="2:4" ht="13">
      <c r="B9336" s="12">
        <f ca="1">IFERROR(__xludf.DUMMYFUNCTION("""COMPUTED_VALUE"""),3103539)</f>
        <v>3103539</v>
      </c>
      <c r="C9336" s="14">
        <f ca="1">IFERROR(__xludf.DUMMYFUNCTION("""COMPUTED_VALUE"""),23)</f>
        <v>23</v>
      </c>
      <c r="D9336" s="12" t="str">
        <f ca="1">IFERROR(__xludf.DUMMYFUNCTION("""COMPUTED_VALUE"""),"村上 浩一朗")</f>
        <v>村上 浩一朗</v>
      </c>
    </row>
    <row r="9337" spans="2:4" ht="13">
      <c r="B9337" s="12">
        <f ca="1">IFERROR(__xludf.DUMMYFUNCTION("""COMPUTED_VALUE"""),3103540)</f>
        <v>3103540</v>
      </c>
      <c r="C9337" s="14">
        <f ca="1">IFERROR(__xludf.DUMMYFUNCTION("""COMPUTED_VALUE"""),15)</f>
        <v>15</v>
      </c>
      <c r="D9337" s="12" t="str">
        <f ca="1">IFERROR(__xludf.DUMMYFUNCTION("""COMPUTED_VALUE"""),"村上 浩一朗")</f>
        <v>村上 浩一朗</v>
      </c>
    </row>
    <row r="9338" spans="2:4" ht="13">
      <c r="B9338" s="12">
        <f ca="1">IFERROR(__xludf.DUMMYFUNCTION("""COMPUTED_VALUE"""),3103542)</f>
        <v>3103542</v>
      </c>
      <c r="C9338" s="14">
        <f ca="1">IFERROR(__xludf.DUMMYFUNCTION("""COMPUTED_VALUE"""),2)</f>
        <v>2</v>
      </c>
      <c r="D9338" s="12" t="str">
        <f ca="1">IFERROR(__xludf.DUMMYFUNCTION("""COMPUTED_VALUE"""),"老田 純輝")</f>
        <v>老田 純輝</v>
      </c>
    </row>
    <row r="9339" spans="2:4" ht="13">
      <c r="B9339" s="12">
        <f ca="1">IFERROR(__xludf.DUMMYFUNCTION("""COMPUTED_VALUE"""),3103544)</f>
        <v>3103544</v>
      </c>
      <c r="C9339" s="14">
        <f ca="1">IFERROR(__xludf.DUMMYFUNCTION("""COMPUTED_VALUE"""),37)</f>
        <v>37</v>
      </c>
      <c r="D9339" s="12" t="str">
        <f ca="1">IFERROR(__xludf.DUMMYFUNCTION("""COMPUTED_VALUE"""),"老田 純輝")</f>
        <v>老田 純輝</v>
      </c>
    </row>
    <row r="9340" spans="2:4" ht="13">
      <c r="B9340" s="12">
        <f ca="1">IFERROR(__xludf.DUMMYFUNCTION("""COMPUTED_VALUE"""),3103545)</f>
        <v>3103545</v>
      </c>
      <c r="C9340" s="14">
        <f ca="1">IFERROR(__xludf.DUMMYFUNCTION("""COMPUTED_VALUE"""),0)</f>
        <v>0</v>
      </c>
      <c r="D9340" s="12" t="str">
        <f ca="1">IFERROR(__xludf.DUMMYFUNCTION("""COMPUTED_VALUE"""),"村上 浩一朗")</f>
        <v>村上 浩一朗</v>
      </c>
    </row>
    <row r="9341" spans="2:4" ht="13">
      <c r="B9341" s="12">
        <f ca="1">IFERROR(__xludf.DUMMYFUNCTION("""COMPUTED_VALUE"""),3103546)</f>
        <v>3103546</v>
      </c>
      <c r="C9341" s="14">
        <f ca="1">IFERROR(__xludf.DUMMYFUNCTION("""COMPUTED_VALUE"""),0)</f>
        <v>0</v>
      </c>
      <c r="D9341" s="12" t="str">
        <f ca="1">IFERROR(__xludf.DUMMYFUNCTION("""COMPUTED_VALUE"""),"小川 純")</f>
        <v>小川 純</v>
      </c>
    </row>
    <row r="9342" spans="2:4" ht="13">
      <c r="B9342" s="12">
        <f ca="1">IFERROR(__xludf.DUMMYFUNCTION("""COMPUTED_VALUE"""),3103547)</f>
        <v>3103547</v>
      </c>
      <c r="C9342" s="14">
        <f ca="1">IFERROR(__xludf.DUMMYFUNCTION("""COMPUTED_VALUE"""),1)</f>
        <v>1</v>
      </c>
      <c r="D9342" s="12" t="str">
        <f ca="1">IFERROR(__xludf.DUMMYFUNCTION("""COMPUTED_VALUE"""),"小川 純")</f>
        <v>小川 純</v>
      </c>
    </row>
    <row r="9343" spans="2:4" ht="13">
      <c r="B9343" s="12">
        <f ca="1">IFERROR(__xludf.DUMMYFUNCTION("""COMPUTED_VALUE"""),3103548)</f>
        <v>3103548</v>
      </c>
      <c r="C9343" s="14">
        <f ca="1">IFERROR(__xludf.DUMMYFUNCTION("""COMPUTED_VALUE"""),35)</f>
        <v>35</v>
      </c>
      <c r="D9343" s="12" t="str">
        <f ca="1">IFERROR(__xludf.DUMMYFUNCTION("""COMPUTED_VALUE"""),"辻村 将大")</f>
        <v>辻村 将大</v>
      </c>
    </row>
    <row r="9344" spans="2:4" ht="13">
      <c r="B9344" s="12">
        <f ca="1">IFERROR(__xludf.DUMMYFUNCTION("""COMPUTED_VALUE"""),3103550)</f>
        <v>3103550</v>
      </c>
      <c r="C9344" s="14">
        <f ca="1">IFERROR(__xludf.DUMMYFUNCTION("""COMPUTED_VALUE"""),9)</f>
        <v>9</v>
      </c>
      <c r="D9344" s="12" t="str">
        <f ca="1">IFERROR(__xludf.DUMMYFUNCTION("""COMPUTED_VALUE"""),"村上 浩一朗")</f>
        <v>村上 浩一朗</v>
      </c>
    </row>
    <row r="9345" spans="2:4" ht="13">
      <c r="B9345" s="12">
        <f ca="1">IFERROR(__xludf.DUMMYFUNCTION("""COMPUTED_VALUE"""),3103552)</f>
        <v>3103552</v>
      </c>
      <c r="C9345" s="14">
        <f ca="1">IFERROR(__xludf.DUMMYFUNCTION("""COMPUTED_VALUE"""),3)</f>
        <v>3</v>
      </c>
      <c r="D9345" s="12" t="str">
        <f ca="1">IFERROR(__xludf.DUMMYFUNCTION("""COMPUTED_VALUE"""),"老田 純輝")</f>
        <v>老田 純輝</v>
      </c>
    </row>
    <row r="9346" spans="2:4" ht="13">
      <c r="B9346" s="12">
        <f ca="1">IFERROR(__xludf.DUMMYFUNCTION("""COMPUTED_VALUE"""),3103553)</f>
        <v>3103553</v>
      </c>
      <c r="C9346" s="14">
        <f ca="1">IFERROR(__xludf.DUMMYFUNCTION("""COMPUTED_VALUE"""),0)</f>
        <v>0</v>
      </c>
      <c r="D9346" s="12" t="str">
        <f ca="1">IFERROR(__xludf.DUMMYFUNCTION("""COMPUTED_VALUE"""),"小川 純")</f>
        <v>小川 純</v>
      </c>
    </row>
    <row r="9347" spans="2:4" ht="13">
      <c r="B9347" s="12">
        <f ca="1">IFERROR(__xludf.DUMMYFUNCTION("""COMPUTED_VALUE"""),3103554)</f>
        <v>3103554</v>
      </c>
      <c r="C9347" s="14">
        <f ca="1">IFERROR(__xludf.DUMMYFUNCTION("""COMPUTED_VALUE"""),58)</f>
        <v>58</v>
      </c>
      <c r="D9347" s="12" t="str">
        <f ca="1">IFERROR(__xludf.DUMMYFUNCTION("""COMPUTED_VALUE"""),"村上 浩一朗")</f>
        <v>村上 浩一朗</v>
      </c>
    </row>
    <row r="9348" spans="2:4" ht="13">
      <c r="B9348" s="12">
        <f ca="1">IFERROR(__xludf.DUMMYFUNCTION("""COMPUTED_VALUE"""),3103556)</f>
        <v>3103556</v>
      </c>
      <c r="C9348" s="14">
        <f ca="1">IFERROR(__xludf.DUMMYFUNCTION("""COMPUTED_VALUE"""),33)</f>
        <v>33</v>
      </c>
      <c r="D9348" s="12" t="str">
        <f ca="1">IFERROR(__xludf.DUMMYFUNCTION("""COMPUTED_VALUE"""),"芳賀 亮輔")</f>
        <v>芳賀 亮輔</v>
      </c>
    </row>
    <row r="9349" spans="2:4" ht="13">
      <c r="B9349" s="12">
        <f ca="1">IFERROR(__xludf.DUMMYFUNCTION("""COMPUTED_VALUE"""),3103558)</f>
        <v>3103558</v>
      </c>
      <c r="C9349" s="14">
        <f ca="1">IFERROR(__xludf.DUMMYFUNCTION("""COMPUTED_VALUE"""),134)</f>
        <v>134</v>
      </c>
      <c r="D9349" s="12" t="str">
        <f ca="1">IFERROR(__xludf.DUMMYFUNCTION("""COMPUTED_VALUE"""),"成嶋 夏未")</f>
        <v>成嶋 夏未</v>
      </c>
    </row>
    <row r="9350" spans="2:4" ht="13">
      <c r="B9350" s="12">
        <f ca="1">IFERROR(__xludf.DUMMYFUNCTION("""COMPUTED_VALUE"""),3103559)</f>
        <v>3103559</v>
      </c>
      <c r="C9350" s="14">
        <f ca="1">IFERROR(__xludf.DUMMYFUNCTION("""COMPUTED_VALUE"""),17)</f>
        <v>17</v>
      </c>
      <c r="D9350" s="12" t="str">
        <f ca="1">IFERROR(__xludf.DUMMYFUNCTION("""COMPUTED_VALUE"""),"小川 純")</f>
        <v>小川 純</v>
      </c>
    </row>
    <row r="9351" spans="2:4" ht="13">
      <c r="B9351" s="12">
        <f ca="1">IFERROR(__xludf.DUMMYFUNCTION("""COMPUTED_VALUE"""),3103562)</f>
        <v>3103562</v>
      </c>
      <c r="C9351" s="14">
        <f ca="1">IFERROR(__xludf.DUMMYFUNCTION("""COMPUTED_VALUE"""),0)</f>
        <v>0</v>
      </c>
      <c r="D9351" s="12" t="str">
        <f ca="1">IFERROR(__xludf.DUMMYFUNCTION("""COMPUTED_VALUE"""),"成嶋 夏未")</f>
        <v>成嶋 夏未</v>
      </c>
    </row>
    <row r="9352" spans="2:4" ht="13">
      <c r="B9352" s="12">
        <f ca="1">IFERROR(__xludf.DUMMYFUNCTION("""COMPUTED_VALUE"""),3103564)</f>
        <v>3103564</v>
      </c>
      <c r="C9352" s="14">
        <f ca="1">IFERROR(__xludf.DUMMYFUNCTION("""COMPUTED_VALUE"""),10)</f>
        <v>10</v>
      </c>
      <c r="D9352" s="12" t="str">
        <f ca="1">IFERROR(__xludf.DUMMYFUNCTION("""COMPUTED_VALUE"""),"村上 浩一朗")</f>
        <v>村上 浩一朗</v>
      </c>
    </row>
    <row r="9353" spans="2:4" ht="13">
      <c r="B9353" s="12">
        <f ca="1">IFERROR(__xludf.DUMMYFUNCTION("""COMPUTED_VALUE"""),3103565)</f>
        <v>3103565</v>
      </c>
      <c r="C9353" s="14">
        <f ca="1">IFERROR(__xludf.DUMMYFUNCTION("""COMPUTED_VALUE"""),40)</f>
        <v>40</v>
      </c>
      <c r="D9353" s="12" t="str">
        <f ca="1">IFERROR(__xludf.DUMMYFUNCTION("""COMPUTED_VALUE"""),"渋谷 雄大")</f>
        <v>渋谷 雄大</v>
      </c>
    </row>
    <row r="9354" spans="2:4" ht="13">
      <c r="B9354" s="12">
        <f ca="1">IFERROR(__xludf.DUMMYFUNCTION("""COMPUTED_VALUE"""),3103566)</f>
        <v>3103566</v>
      </c>
      <c r="C9354" s="14">
        <f ca="1">IFERROR(__xludf.DUMMYFUNCTION("""COMPUTED_VALUE"""),0)</f>
        <v>0</v>
      </c>
      <c r="D9354" s="12" t="str">
        <f ca="1">IFERROR(__xludf.DUMMYFUNCTION("""COMPUTED_VALUE"""),"荻曽 克輝")</f>
        <v>荻曽 克輝</v>
      </c>
    </row>
    <row r="9355" spans="2:4" ht="13">
      <c r="B9355" s="12">
        <f ca="1">IFERROR(__xludf.DUMMYFUNCTION("""COMPUTED_VALUE"""),3103567)</f>
        <v>3103567</v>
      </c>
      <c r="C9355" s="14">
        <f ca="1">IFERROR(__xludf.DUMMYFUNCTION("""COMPUTED_VALUE"""),0)</f>
        <v>0</v>
      </c>
      <c r="D9355" s="12" t="str">
        <f ca="1">IFERROR(__xludf.DUMMYFUNCTION("""COMPUTED_VALUE"""),"辻村 将大")</f>
        <v>辻村 将大</v>
      </c>
    </row>
    <row r="9356" spans="2:4" ht="13">
      <c r="B9356" s="12">
        <f ca="1">IFERROR(__xludf.DUMMYFUNCTION("""COMPUTED_VALUE"""),3103568)</f>
        <v>3103568</v>
      </c>
      <c r="C9356" s="14">
        <f ca="1">IFERROR(__xludf.DUMMYFUNCTION("""COMPUTED_VALUE"""),4)</f>
        <v>4</v>
      </c>
      <c r="D9356" s="12" t="str">
        <f ca="1">IFERROR(__xludf.DUMMYFUNCTION("""COMPUTED_VALUE"""),"渋谷 雄大")</f>
        <v>渋谷 雄大</v>
      </c>
    </row>
    <row r="9357" spans="2:4" ht="13">
      <c r="B9357" s="12">
        <f ca="1">IFERROR(__xludf.DUMMYFUNCTION("""COMPUTED_VALUE"""),3103569)</f>
        <v>3103569</v>
      </c>
      <c r="C9357" s="14">
        <f ca="1">IFERROR(__xludf.DUMMYFUNCTION("""COMPUTED_VALUE"""),5)</f>
        <v>5</v>
      </c>
      <c r="D9357" s="12" t="str">
        <f ca="1">IFERROR(__xludf.DUMMYFUNCTION("""COMPUTED_VALUE"""),"長谷川 陸朗")</f>
        <v>長谷川 陸朗</v>
      </c>
    </row>
    <row r="9358" spans="2:4" ht="13">
      <c r="B9358" s="12">
        <f ca="1">IFERROR(__xludf.DUMMYFUNCTION("""COMPUTED_VALUE"""),3103570)</f>
        <v>3103570</v>
      </c>
      <c r="C9358" s="14">
        <f ca="1">IFERROR(__xludf.DUMMYFUNCTION("""COMPUTED_VALUE"""),5)</f>
        <v>5</v>
      </c>
      <c r="D9358" s="12" t="str">
        <f ca="1">IFERROR(__xludf.DUMMYFUNCTION("""COMPUTED_VALUE"""),"大木 優香")</f>
        <v>大木 優香</v>
      </c>
    </row>
    <row r="9359" spans="2:4" ht="13">
      <c r="B9359" s="12">
        <f ca="1">IFERROR(__xludf.DUMMYFUNCTION("""COMPUTED_VALUE"""),3103572)</f>
        <v>3103572</v>
      </c>
      <c r="C9359" s="14">
        <f ca="1">IFERROR(__xludf.DUMMYFUNCTION("""COMPUTED_VALUE"""),68)</f>
        <v>68</v>
      </c>
      <c r="D9359" s="12" t="str">
        <f ca="1">IFERROR(__xludf.DUMMYFUNCTION("""COMPUTED_VALUE"""),"菅野 ぎんが")</f>
        <v>菅野 ぎんが</v>
      </c>
    </row>
    <row r="9360" spans="2:4" ht="13">
      <c r="B9360" s="12">
        <f ca="1">IFERROR(__xludf.DUMMYFUNCTION("""COMPUTED_VALUE"""),3103573)</f>
        <v>3103573</v>
      </c>
      <c r="C9360" s="14">
        <f ca="1">IFERROR(__xludf.DUMMYFUNCTION("""COMPUTED_VALUE"""),0)</f>
        <v>0</v>
      </c>
      <c r="D9360" s="12" t="str">
        <f ca="1">IFERROR(__xludf.DUMMYFUNCTION("""COMPUTED_VALUE"""),"小川 純")</f>
        <v>小川 純</v>
      </c>
    </row>
    <row r="9361" spans="2:4" ht="13">
      <c r="B9361" s="12">
        <f ca="1">IFERROR(__xludf.DUMMYFUNCTION("""COMPUTED_VALUE"""),3103574)</f>
        <v>3103574</v>
      </c>
      <c r="C9361" s="14">
        <f ca="1">IFERROR(__xludf.DUMMYFUNCTION("""COMPUTED_VALUE"""),0)</f>
        <v>0</v>
      </c>
      <c r="D9361" s="12" t="str">
        <f ca="1">IFERROR(__xludf.DUMMYFUNCTION("""COMPUTED_VALUE"""),"荻曽 克輝")</f>
        <v>荻曽 克輝</v>
      </c>
    </row>
    <row r="9362" spans="2:4" ht="13">
      <c r="B9362" s="12">
        <f ca="1">IFERROR(__xludf.DUMMYFUNCTION("""COMPUTED_VALUE"""),3103575)</f>
        <v>3103575</v>
      </c>
      <c r="C9362" s="14">
        <f ca="1">IFERROR(__xludf.DUMMYFUNCTION("""COMPUTED_VALUE"""),0)</f>
        <v>0</v>
      </c>
      <c r="D9362" s="12" t="str">
        <f ca="1">IFERROR(__xludf.DUMMYFUNCTION("""COMPUTED_VALUE"""),"芳賀 亮輔")</f>
        <v>芳賀 亮輔</v>
      </c>
    </row>
    <row r="9363" spans="2:4" ht="13">
      <c r="B9363" s="12">
        <f ca="1">IFERROR(__xludf.DUMMYFUNCTION("""COMPUTED_VALUE"""),3103576)</f>
        <v>3103576</v>
      </c>
      <c r="C9363" s="14">
        <f ca="1">IFERROR(__xludf.DUMMYFUNCTION("""COMPUTED_VALUE"""),96)</f>
        <v>96</v>
      </c>
      <c r="D9363" s="12" t="str">
        <f ca="1">IFERROR(__xludf.DUMMYFUNCTION("""COMPUTED_VALUE"""),"芳賀 亮輔")</f>
        <v>芳賀 亮輔</v>
      </c>
    </row>
    <row r="9364" spans="2:4" ht="13">
      <c r="B9364" s="12">
        <f ca="1">IFERROR(__xludf.DUMMYFUNCTION("""COMPUTED_VALUE"""),3103577)</f>
        <v>3103577</v>
      </c>
      <c r="C9364" s="14">
        <f ca="1">IFERROR(__xludf.DUMMYFUNCTION("""COMPUTED_VALUE"""),0)</f>
        <v>0</v>
      </c>
      <c r="D9364" s="12" t="str">
        <f ca="1">IFERROR(__xludf.DUMMYFUNCTION("""COMPUTED_VALUE"""),"大木 優香")</f>
        <v>大木 優香</v>
      </c>
    </row>
    <row r="9365" spans="2:4" ht="13">
      <c r="B9365" s="12">
        <f ca="1">IFERROR(__xludf.DUMMYFUNCTION("""COMPUTED_VALUE"""),3103578)</f>
        <v>3103578</v>
      </c>
      <c r="C9365" s="14">
        <f ca="1">IFERROR(__xludf.DUMMYFUNCTION("""COMPUTED_VALUE"""),25)</f>
        <v>25</v>
      </c>
      <c r="D9365" s="12" t="str">
        <f ca="1">IFERROR(__xludf.DUMMYFUNCTION("""COMPUTED_VALUE"""),"大木 優香")</f>
        <v>大木 優香</v>
      </c>
    </row>
    <row r="9366" spans="2:4" ht="13">
      <c r="B9366" s="12">
        <f ca="1">IFERROR(__xludf.DUMMYFUNCTION("""COMPUTED_VALUE"""),3103579)</f>
        <v>3103579</v>
      </c>
      <c r="C9366" s="14">
        <f ca="1">IFERROR(__xludf.DUMMYFUNCTION("""COMPUTED_VALUE"""),0)</f>
        <v>0</v>
      </c>
      <c r="D9366" s="12" t="str">
        <f ca="1">IFERROR(__xludf.DUMMYFUNCTION("""COMPUTED_VALUE"""),"桐山 勝気")</f>
        <v>桐山 勝気</v>
      </c>
    </row>
    <row r="9367" spans="2:4" ht="13">
      <c r="B9367" s="12">
        <f ca="1">IFERROR(__xludf.DUMMYFUNCTION("""COMPUTED_VALUE"""),3103580)</f>
        <v>3103580</v>
      </c>
      <c r="C9367" s="14">
        <f ca="1">IFERROR(__xludf.DUMMYFUNCTION("""COMPUTED_VALUE"""),0)</f>
        <v>0</v>
      </c>
      <c r="D9367" s="12" t="str">
        <f ca="1">IFERROR(__xludf.DUMMYFUNCTION("""COMPUTED_VALUE"""),"小川 純")</f>
        <v>小川 純</v>
      </c>
    </row>
    <row r="9368" spans="2:4" ht="13">
      <c r="B9368" s="12">
        <f ca="1">IFERROR(__xludf.DUMMYFUNCTION("""COMPUTED_VALUE"""),3103581)</f>
        <v>3103581</v>
      </c>
      <c r="C9368" s="14">
        <f ca="1">IFERROR(__xludf.DUMMYFUNCTION("""COMPUTED_VALUE"""),17)</f>
        <v>17</v>
      </c>
      <c r="D9368" s="12" t="str">
        <f ca="1">IFERROR(__xludf.DUMMYFUNCTION("""COMPUTED_VALUE"""),"小川 純")</f>
        <v>小川 純</v>
      </c>
    </row>
    <row r="9369" spans="2:4" ht="13">
      <c r="B9369" s="12">
        <f ca="1">IFERROR(__xludf.DUMMYFUNCTION("""COMPUTED_VALUE"""),3103583)</f>
        <v>3103583</v>
      </c>
      <c r="C9369" s="14">
        <f ca="1">IFERROR(__xludf.DUMMYFUNCTION("""COMPUTED_VALUE"""),25)</f>
        <v>25</v>
      </c>
      <c r="D9369" s="12" t="str">
        <f ca="1">IFERROR(__xludf.DUMMYFUNCTION("""COMPUTED_VALUE"""),"辻村 将大")</f>
        <v>辻村 将大</v>
      </c>
    </row>
    <row r="9370" spans="2:4" ht="13">
      <c r="B9370" s="12">
        <f ca="1">IFERROR(__xludf.DUMMYFUNCTION("""COMPUTED_VALUE"""),3103584)</f>
        <v>3103584</v>
      </c>
      <c r="C9370" s="14">
        <f ca="1">IFERROR(__xludf.DUMMYFUNCTION("""COMPUTED_VALUE"""),0)</f>
        <v>0</v>
      </c>
      <c r="D9370" s="12" t="str">
        <f ca="1">IFERROR(__xludf.DUMMYFUNCTION("""COMPUTED_VALUE"""),"村上 浩一朗")</f>
        <v>村上 浩一朗</v>
      </c>
    </row>
    <row r="9371" spans="2:4" ht="13">
      <c r="B9371" s="12">
        <f ca="1">IFERROR(__xludf.DUMMYFUNCTION("""COMPUTED_VALUE"""),3103585)</f>
        <v>3103585</v>
      </c>
      <c r="C9371" s="14">
        <f ca="1">IFERROR(__xludf.DUMMYFUNCTION("""COMPUTED_VALUE"""),97)</f>
        <v>97</v>
      </c>
      <c r="D9371" s="12" t="str">
        <f ca="1">IFERROR(__xludf.DUMMYFUNCTION("""COMPUTED_VALUE"""),"桐山 勝気")</f>
        <v>桐山 勝気</v>
      </c>
    </row>
    <row r="9372" spans="2:4" ht="13">
      <c r="B9372" s="12">
        <f ca="1">IFERROR(__xludf.DUMMYFUNCTION("""COMPUTED_VALUE"""),3103586)</f>
        <v>3103586</v>
      </c>
      <c r="C9372" s="14">
        <f ca="1">IFERROR(__xludf.DUMMYFUNCTION("""COMPUTED_VALUE"""),0)</f>
        <v>0</v>
      </c>
      <c r="D9372" s="12" t="str">
        <f ca="1">IFERROR(__xludf.DUMMYFUNCTION("""COMPUTED_VALUE"""),"芳賀 亮輔")</f>
        <v>芳賀 亮輔</v>
      </c>
    </row>
    <row r="9373" spans="2:4" ht="13">
      <c r="B9373" s="12">
        <f ca="1">IFERROR(__xludf.DUMMYFUNCTION("""COMPUTED_VALUE"""),3103588)</f>
        <v>3103588</v>
      </c>
      <c r="C9373" s="14">
        <f ca="1">IFERROR(__xludf.DUMMYFUNCTION("""COMPUTED_VALUE"""),0)</f>
        <v>0</v>
      </c>
      <c r="D9373" s="12" t="str">
        <f ca="1">IFERROR(__xludf.DUMMYFUNCTION("""COMPUTED_VALUE"""),"芳賀 亮輔")</f>
        <v>芳賀 亮輔</v>
      </c>
    </row>
    <row r="9374" spans="2:4" ht="13">
      <c r="B9374" s="12">
        <f ca="1">IFERROR(__xludf.DUMMYFUNCTION("""COMPUTED_VALUE"""),3103590)</f>
        <v>3103590</v>
      </c>
      <c r="C9374" s="14">
        <f ca="1">IFERROR(__xludf.DUMMYFUNCTION("""COMPUTED_VALUE"""),0)</f>
        <v>0</v>
      </c>
      <c r="D9374" s="12" t="str">
        <f ca="1">IFERROR(__xludf.DUMMYFUNCTION("""COMPUTED_VALUE"""),"芳賀 亮輔")</f>
        <v>芳賀 亮輔</v>
      </c>
    </row>
    <row r="9375" spans="2:4" ht="13">
      <c r="B9375" s="12">
        <f ca="1">IFERROR(__xludf.DUMMYFUNCTION("""COMPUTED_VALUE"""),3103591)</f>
        <v>3103591</v>
      </c>
      <c r="C9375" s="14">
        <f ca="1">IFERROR(__xludf.DUMMYFUNCTION("""COMPUTED_VALUE"""),0)</f>
        <v>0</v>
      </c>
      <c r="D9375" s="12" t="str">
        <f ca="1">IFERROR(__xludf.DUMMYFUNCTION("""COMPUTED_VALUE"""),"芳賀 亮輔")</f>
        <v>芳賀 亮輔</v>
      </c>
    </row>
    <row r="9376" spans="2:4" ht="13">
      <c r="B9376" s="12">
        <f ca="1">IFERROR(__xludf.DUMMYFUNCTION("""COMPUTED_VALUE"""),3103592)</f>
        <v>3103592</v>
      </c>
      <c r="C9376" s="14">
        <f ca="1">IFERROR(__xludf.DUMMYFUNCTION("""COMPUTED_VALUE"""),0)</f>
        <v>0</v>
      </c>
      <c r="D9376" s="12" t="str">
        <f ca="1">IFERROR(__xludf.DUMMYFUNCTION("""COMPUTED_VALUE"""),"芳賀 亮輔")</f>
        <v>芳賀 亮輔</v>
      </c>
    </row>
    <row r="9377" spans="2:4" ht="13">
      <c r="B9377" s="12">
        <f ca="1">IFERROR(__xludf.DUMMYFUNCTION("""COMPUTED_VALUE"""),3103593)</f>
        <v>3103593</v>
      </c>
      <c r="C9377" s="14">
        <f ca="1">IFERROR(__xludf.DUMMYFUNCTION("""COMPUTED_VALUE"""),0)</f>
        <v>0</v>
      </c>
      <c r="D9377" s="12" t="str">
        <f ca="1">IFERROR(__xludf.DUMMYFUNCTION("""COMPUTED_VALUE"""),"芳賀 亮輔")</f>
        <v>芳賀 亮輔</v>
      </c>
    </row>
    <row r="9378" spans="2:4" ht="13">
      <c r="B9378" s="12">
        <f ca="1">IFERROR(__xludf.DUMMYFUNCTION("""COMPUTED_VALUE"""),3103594)</f>
        <v>3103594</v>
      </c>
      <c r="C9378" s="14">
        <f ca="1">IFERROR(__xludf.DUMMYFUNCTION("""COMPUTED_VALUE"""),0)</f>
        <v>0</v>
      </c>
      <c r="D9378" s="12" t="str">
        <f ca="1">IFERROR(__xludf.DUMMYFUNCTION("""COMPUTED_VALUE"""),"芳賀 亮輔")</f>
        <v>芳賀 亮輔</v>
      </c>
    </row>
    <row r="9379" spans="2:4" ht="13">
      <c r="B9379" s="12">
        <f ca="1">IFERROR(__xludf.DUMMYFUNCTION("""COMPUTED_VALUE"""),3103595)</f>
        <v>3103595</v>
      </c>
      <c r="C9379" s="14">
        <f ca="1">IFERROR(__xludf.DUMMYFUNCTION("""COMPUTED_VALUE"""),0)</f>
        <v>0</v>
      </c>
      <c r="D9379" s="12" t="str">
        <f ca="1">IFERROR(__xludf.DUMMYFUNCTION("""COMPUTED_VALUE"""),"芳賀 亮輔")</f>
        <v>芳賀 亮輔</v>
      </c>
    </row>
    <row r="9380" spans="2:4" ht="13">
      <c r="B9380" s="12">
        <f ca="1">IFERROR(__xludf.DUMMYFUNCTION("""COMPUTED_VALUE"""),3103596)</f>
        <v>3103596</v>
      </c>
      <c r="C9380" s="14">
        <f ca="1">IFERROR(__xludf.DUMMYFUNCTION("""COMPUTED_VALUE"""),34)</f>
        <v>34</v>
      </c>
      <c r="D9380" s="12" t="str">
        <f ca="1">IFERROR(__xludf.DUMMYFUNCTION("""COMPUTED_VALUE"""),"成嶋 夏未")</f>
        <v>成嶋 夏未</v>
      </c>
    </row>
    <row r="9381" spans="2:4" ht="13">
      <c r="B9381" s="12">
        <f ca="1">IFERROR(__xludf.DUMMYFUNCTION("""COMPUTED_VALUE"""),3103597)</f>
        <v>3103597</v>
      </c>
      <c r="C9381" s="14">
        <f ca="1">IFERROR(__xludf.DUMMYFUNCTION("""COMPUTED_VALUE"""),46)</f>
        <v>46</v>
      </c>
      <c r="D9381" s="12" t="str">
        <f ca="1">IFERROR(__xludf.DUMMYFUNCTION("""COMPUTED_VALUE"""),"小川 純")</f>
        <v>小川 純</v>
      </c>
    </row>
    <row r="9382" spans="2:4" ht="13">
      <c r="B9382" s="12">
        <f ca="1">IFERROR(__xludf.DUMMYFUNCTION("""COMPUTED_VALUE"""),3103598)</f>
        <v>3103598</v>
      </c>
      <c r="C9382" s="14">
        <f ca="1">IFERROR(__xludf.DUMMYFUNCTION("""COMPUTED_VALUE"""),0)</f>
        <v>0</v>
      </c>
      <c r="D9382" s="12" t="str">
        <f ca="1">IFERROR(__xludf.DUMMYFUNCTION("""COMPUTED_VALUE"""),"柿崎 晃司")</f>
        <v>柿崎 晃司</v>
      </c>
    </row>
    <row r="9383" spans="2:4" ht="13">
      <c r="B9383" s="12">
        <f ca="1">IFERROR(__xludf.DUMMYFUNCTION("""COMPUTED_VALUE"""),3103602)</f>
        <v>3103602</v>
      </c>
      <c r="C9383" s="14">
        <f ca="1">IFERROR(__xludf.DUMMYFUNCTION("""COMPUTED_VALUE"""),0)</f>
        <v>0</v>
      </c>
      <c r="D9383" s="12" t="str">
        <f ca="1">IFERROR(__xludf.DUMMYFUNCTION("""COMPUTED_VALUE"""),"小川 純")</f>
        <v>小川 純</v>
      </c>
    </row>
    <row r="9384" spans="2:4" ht="13">
      <c r="B9384" s="12">
        <f ca="1">IFERROR(__xludf.DUMMYFUNCTION("""COMPUTED_VALUE"""),3103604)</f>
        <v>3103604</v>
      </c>
      <c r="C9384" s="14">
        <f ca="1">IFERROR(__xludf.DUMMYFUNCTION("""COMPUTED_VALUE"""),0)</f>
        <v>0</v>
      </c>
      <c r="D9384" s="12" t="str">
        <f ca="1">IFERROR(__xludf.DUMMYFUNCTION("""COMPUTED_VALUE"""),"村上 浩一朗")</f>
        <v>村上 浩一朗</v>
      </c>
    </row>
    <row r="9385" spans="2:4" ht="13">
      <c r="B9385" s="12">
        <f ca="1">IFERROR(__xludf.DUMMYFUNCTION("""COMPUTED_VALUE"""),3103605)</f>
        <v>3103605</v>
      </c>
      <c r="C9385" s="14">
        <f ca="1">IFERROR(__xludf.DUMMYFUNCTION("""COMPUTED_VALUE"""),0)</f>
        <v>0</v>
      </c>
      <c r="D9385" s="12" t="str">
        <f ca="1">IFERROR(__xludf.DUMMYFUNCTION("""COMPUTED_VALUE"""),"小川 純")</f>
        <v>小川 純</v>
      </c>
    </row>
    <row r="9386" spans="2:4" ht="13">
      <c r="B9386" s="12">
        <f ca="1">IFERROR(__xludf.DUMMYFUNCTION("""COMPUTED_VALUE"""),3103606)</f>
        <v>3103606</v>
      </c>
      <c r="C9386" s="14">
        <f ca="1">IFERROR(__xludf.DUMMYFUNCTION("""COMPUTED_VALUE"""),0)</f>
        <v>0</v>
      </c>
      <c r="D9386" s="12" t="str">
        <f ca="1">IFERROR(__xludf.DUMMYFUNCTION("""COMPUTED_VALUE"""),"渋谷 雄大")</f>
        <v>渋谷 雄大</v>
      </c>
    </row>
    <row r="9387" spans="2:4" ht="13">
      <c r="B9387" s="12">
        <f ca="1">IFERROR(__xludf.DUMMYFUNCTION("""COMPUTED_VALUE"""),3103607)</f>
        <v>3103607</v>
      </c>
      <c r="C9387" s="14">
        <f ca="1">IFERROR(__xludf.DUMMYFUNCTION("""COMPUTED_VALUE"""),30)</f>
        <v>30</v>
      </c>
      <c r="D9387" s="12" t="str">
        <f ca="1">IFERROR(__xludf.DUMMYFUNCTION("""COMPUTED_VALUE"""),"渋谷 雄大")</f>
        <v>渋谷 雄大</v>
      </c>
    </row>
    <row r="9388" spans="2:4" ht="13">
      <c r="B9388" s="12">
        <f ca="1">IFERROR(__xludf.DUMMYFUNCTION("""COMPUTED_VALUE"""),3103608)</f>
        <v>3103608</v>
      </c>
      <c r="C9388" s="14">
        <f ca="1">IFERROR(__xludf.DUMMYFUNCTION("""COMPUTED_VALUE"""),13)</f>
        <v>13</v>
      </c>
      <c r="D9388" s="12" t="str">
        <f ca="1">IFERROR(__xludf.DUMMYFUNCTION("""COMPUTED_VALUE"""),"稲場 勇介")</f>
        <v>稲場 勇介</v>
      </c>
    </row>
    <row r="9389" spans="2:4" ht="13">
      <c r="B9389" s="12">
        <f ca="1">IFERROR(__xludf.DUMMYFUNCTION("""COMPUTED_VALUE"""),3103610)</f>
        <v>3103610</v>
      </c>
      <c r="C9389" s="14">
        <f ca="1">IFERROR(__xludf.DUMMYFUNCTION("""COMPUTED_VALUE"""),2)</f>
        <v>2</v>
      </c>
      <c r="D9389" s="12" t="str">
        <f ca="1">IFERROR(__xludf.DUMMYFUNCTION("""COMPUTED_VALUE"""),"老田 純輝")</f>
        <v>老田 純輝</v>
      </c>
    </row>
    <row r="9390" spans="2:4" ht="13">
      <c r="B9390" s="12">
        <f ca="1">IFERROR(__xludf.DUMMYFUNCTION("""COMPUTED_VALUE"""),3103611)</f>
        <v>3103611</v>
      </c>
      <c r="C9390" s="14">
        <f ca="1">IFERROR(__xludf.DUMMYFUNCTION("""COMPUTED_VALUE"""),0)</f>
        <v>0</v>
      </c>
      <c r="D9390" s="12" t="str">
        <f ca="1">IFERROR(__xludf.DUMMYFUNCTION("""COMPUTED_VALUE"""),"松尾 尚樹")</f>
        <v>松尾 尚樹</v>
      </c>
    </row>
    <row r="9391" spans="2:4" ht="13">
      <c r="B9391" s="12">
        <f ca="1">IFERROR(__xludf.DUMMYFUNCTION("""COMPUTED_VALUE"""),3103612)</f>
        <v>3103612</v>
      </c>
      <c r="C9391" s="14">
        <f ca="1">IFERROR(__xludf.DUMMYFUNCTION("""COMPUTED_VALUE"""),0)</f>
        <v>0</v>
      </c>
      <c r="D9391" s="12" t="str">
        <f ca="1">IFERROR(__xludf.DUMMYFUNCTION("""COMPUTED_VALUE"""),"小関 麻起")</f>
        <v>小関 麻起</v>
      </c>
    </row>
    <row r="9392" spans="2:4" ht="13">
      <c r="B9392" s="12">
        <f ca="1">IFERROR(__xludf.DUMMYFUNCTION("""COMPUTED_VALUE"""),3103613)</f>
        <v>3103613</v>
      </c>
      <c r="C9392" s="14">
        <f ca="1">IFERROR(__xludf.DUMMYFUNCTION("""COMPUTED_VALUE"""),0)</f>
        <v>0</v>
      </c>
      <c r="D9392" s="12" t="str">
        <f ca="1">IFERROR(__xludf.DUMMYFUNCTION("""COMPUTED_VALUE"""),"柿崎 晃司")</f>
        <v>柿崎 晃司</v>
      </c>
    </row>
    <row r="9393" spans="2:4" ht="13">
      <c r="B9393" s="12">
        <f ca="1">IFERROR(__xludf.DUMMYFUNCTION("""COMPUTED_VALUE"""),3103614)</f>
        <v>3103614</v>
      </c>
      <c r="C9393" s="14">
        <f ca="1">IFERROR(__xludf.DUMMYFUNCTION("""COMPUTED_VALUE"""),19)</f>
        <v>19</v>
      </c>
      <c r="D9393" s="12" t="str">
        <f ca="1">IFERROR(__xludf.DUMMYFUNCTION("""COMPUTED_VALUE"""),"松尾 尚樹")</f>
        <v>松尾 尚樹</v>
      </c>
    </row>
    <row r="9394" spans="2:4" ht="13">
      <c r="B9394" s="12">
        <f ca="1">IFERROR(__xludf.DUMMYFUNCTION("""COMPUTED_VALUE"""),3103615)</f>
        <v>3103615</v>
      </c>
      <c r="C9394" s="14">
        <f ca="1">IFERROR(__xludf.DUMMYFUNCTION("""COMPUTED_VALUE"""),50)</f>
        <v>50</v>
      </c>
      <c r="D9394" s="12" t="str">
        <f ca="1">IFERROR(__xludf.DUMMYFUNCTION("""COMPUTED_VALUE"""),"内丸 裕子")</f>
        <v>内丸 裕子</v>
      </c>
    </row>
    <row r="9395" spans="2:4" ht="13">
      <c r="B9395" s="12">
        <f ca="1">IFERROR(__xludf.DUMMYFUNCTION("""COMPUTED_VALUE"""),3103617)</f>
        <v>3103617</v>
      </c>
      <c r="C9395" s="14">
        <f ca="1">IFERROR(__xludf.DUMMYFUNCTION("""COMPUTED_VALUE"""),0)</f>
        <v>0</v>
      </c>
      <c r="D9395" s="12" t="str">
        <f ca="1">IFERROR(__xludf.DUMMYFUNCTION("""COMPUTED_VALUE"""),"荻曽 克輝")</f>
        <v>荻曽 克輝</v>
      </c>
    </row>
    <row r="9396" spans="2:4" ht="13">
      <c r="B9396" s="12">
        <f ca="1">IFERROR(__xludf.DUMMYFUNCTION("""COMPUTED_VALUE"""),3103618)</f>
        <v>3103618</v>
      </c>
      <c r="C9396" s="14">
        <f ca="1">IFERROR(__xludf.DUMMYFUNCTION("""COMPUTED_VALUE"""),0)</f>
        <v>0</v>
      </c>
      <c r="D9396" s="12" t="str">
        <f ca="1">IFERROR(__xludf.DUMMYFUNCTION("""COMPUTED_VALUE"""),"栗原 大武")</f>
        <v>栗原 大武</v>
      </c>
    </row>
    <row r="9397" spans="2:4" ht="13">
      <c r="B9397" s="12">
        <f ca="1">IFERROR(__xludf.DUMMYFUNCTION("""COMPUTED_VALUE"""),3103619)</f>
        <v>3103619</v>
      </c>
      <c r="C9397" s="14">
        <f ca="1">IFERROR(__xludf.DUMMYFUNCTION("""COMPUTED_VALUE"""),2)</f>
        <v>2</v>
      </c>
      <c r="D9397" s="12" t="str">
        <f ca="1">IFERROR(__xludf.DUMMYFUNCTION("""COMPUTED_VALUE"""),"辻村 将大")</f>
        <v>辻村 将大</v>
      </c>
    </row>
    <row r="9398" spans="2:4" ht="13">
      <c r="B9398" s="12">
        <f ca="1">IFERROR(__xludf.DUMMYFUNCTION("""COMPUTED_VALUE"""),3103620)</f>
        <v>3103620</v>
      </c>
      <c r="C9398" s="14">
        <f ca="1">IFERROR(__xludf.DUMMYFUNCTION("""COMPUTED_VALUE"""),2)</f>
        <v>2</v>
      </c>
      <c r="D9398" s="12" t="str">
        <f ca="1">IFERROR(__xludf.DUMMYFUNCTION("""COMPUTED_VALUE"""),"辻村 将大")</f>
        <v>辻村 将大</v>
      </c>
    </row>
    <row r="9399" spans="2:4" ht="13">
      <c r="B9399" s="12">
        <f ca="1">IFERROR(__xludf.DUMMYFUNCTION("""COMPUTED_VALUE"""),3103621)</f>
        <v>3103621</v>
      </c>
      <c r="C9399" s="14">
        <f ca="1">IFERROR(__xludf.DUMMYFUNCTION("""COMPUTED_VALUE"""),0)</f>
        <v>0</v>
      </c>
      <c r="D9399" s="12" t="str">
        <f ca="1">IFERROR(__xludf.DUMMYFUNCTION("""COMPUTED_VALUE"""),"辻村 将大")</f>
        <v>辻村 将大</v>
      </c>
    </row>
    <row r="9400" spans="2:4" ht="13">
      <c r="B9400" s="12">
        <f ca="1">IFERROR(__xludf.DUMMYFUNCTION("""COMPUTED_VALUE"""),3103622)</f>
        <v>3103622</v>
      </c>
      <c r="C9400" s="14">
        <f ca="1">IFERROR(__xludf.DUMMYFUNCTION("""COMPUTED_VALUE"""),0)</f>
        <v>0</v>
      </c>
      <c r="D9400" s="12" t="str">
        <f ca="1">IFERROR(__xludf.DUMMYFUNCTION("""COMPUTED_VALUE"""),"辻村 将大")</f>
        <v>辻村 将大</v>
      </c>
    </row>
    <row r="9401" spans="2:4" ht="13">
      <c r="B9401" s="12">
        <f ca="1">IFERROR(__xludf.DUMMYFUNCTION("""COMPUTED_VALUE"""),3103623)</f>
        <v>3103623</v>
      </c>
      <c r="C9401" s="14">
        <f ca="1">IFERROR(__xludf.DUMMYFUNCTION("""COMPUTED_VALUE"""),0)</f>
        <v>0</v>
      </c>
      <c r="D9401" s="12" t="str">
        <f ca="1">IFERROR(__xludf.DUMMYFUNCTION("""COMPUTED_VALUE"""),"小川 純")</f>
        <v>小川 純</v>
      </c>
    </row>
    <row r="9402" spans="2:4" ht="13">
      <c r="B9402" s="12">
        <f ca="1">IFERROR(__xludf.DUMMYFUNCTION("""COMPUTED_VALUE"""),3103624)</f>
        <v>3103624</v>
      </c>
      <c r="C9402" s="14">
        <f ca="1">IFERROR(__xludf.DUMMYFUNCTION("""COMPUTED_VALUE"""),0)</f>
        <v>0</v>
      </c>
      <c r="D9402" s="12" t="str">
        <f ca="1">IFERROR(__xludf.DUMMYFUNCTION("""COMPUTED_VALUE"""),"森 光智")</f>
        <v>森 光智</v>
      </c>
    </row>
    <row r="9403" spans="2:4" ht="13">
      <c r="B9403" s="12">
        <f ca="1">IFERROR(__xludf.DUMMYFUNCTION("""COMPUTED_VALUE"""),3103625)</f>
        <v>3103625</v>
      </c>
      <c r="C9403" s="14">
        <f ca="1">IFERROR(__xludf.DUMMYFUNCTION("""COMPUTED_VALUE"""),109)</f>
        <v>109</v>
      </c>
      <c r="D9403" s="12" t="str">
        <f ca="1">IFERROR(__xludf.DUMMYFUNCTION("""COMPUTED_VALUE"""),"芳賀 亮輔")</f>
        <v>芳賀 亮輔</v>
      </c>
    </row>
    <row r="9404" spans="2:4" ht="13">
      <c r="B9404" s="12">
        <f ca="1">IFERROR(__xludf.DUMMYFUNCTION("""COMPUTED_VALUE"""),3103626)</f>
        <v>3103626</v>
      </c>
      <c r="C9404" s="14">
        <f ca="1">IFERROR(__xludf.DUMMYFUNCTION("""COMPUTED_VALUE"""),113)</f>
        <v>113</v>
      </c>
      <c r="D9404" s="12" t="str">
        <f ca="1">IFERROR(__xludf.DUMMYFUNCTION("""COMPUTED_VALUE"""),"芳賀 亮輔")</f>
        <v>芳賀 亮輔</v>
      </c>
    </row>
    <row r="9405" spans="2:4" ht="13">
      <c r="B9405" s="12">
        <f ca="1">IFERROR(__xludf.DUMMYFUNCTION("""COMPUTED_VALUE"""),3103627)</f>
        <v>3103627</v>
      </c>
      <c r="C9405" s="14">
        <f ca="1">IFERROR(__xludf.DUMMYFUNCTION("""COMPUTED_VALUE"""),113)</f>
        <v>113</v>
      </c>
      <c r="D9405" s="12" t="str">
        <f ca="1">IFERROR(__xludf.DUMMYFUNCTION("""COMPUTED_VALUE"""),"芳賀 亮輔")</f>
        <v>芳賀 亮輔</v>
      </c>
    </row>
    <row r="9406" spans="2:4" ht="13">
      <c r="B9406" s="12">
        <f ca="1">IFERROR(__xludf.DUMMYFUNCTION("""COMPUTED_VALUE"""),3103628)</f>
        <v>3103628</v>
      </c>
      <c r="C9406" s="14">
        <f ca="1">IFERROR(__xludf.DUMMYFUNCTION("""COMPUTED_VALUE"""),66)</f>
        <v>66</v>
      </c>
      <c r="D9406" s="12" t="str">
        <f ca="1">IFERROR(__xludf.DUMMYFUNCTION("""COMPUTED_VALUE"""),"芳賀 亮輔")</f>
        <v>芳賀 亮輔</v>
      </c>
    </row>
    <row r="9407" spans="2:4" ht="13">
      <c r="B9407" s="12">
        <f ca="1">IFERROR(__xludf.DUMMYFUNCTION("""COMPUTED_VALUE"""),3103629)</f>
        <v>3103629</v>
      </c>
      <c r="C9407" s="14">
        <f ca="1">IFERROR(__xludf.DUMMYFUNCTION("""COMPUTED_VALUE"""),0)</f>
        <v>0</v>
      </c>
      <c r="D9407" s="12" t="str">
        <f ca="1">IFERROR(__xludf.DUMMYFUNCTION("""COMPUTED_VALUE"""),"芳賀 亮輔")</f>
        <v>芳賀 亮輔</v>
      </c>
    </row>
    <row r="9408" spans="2:4" ht="13">
      <c r="B9408" s="12">
        <f ca="1">IFERROR(__xludf.DUMMYFUNCTION("""COMPUTED_VALUE"""),3103630)</f>
        <v>3103630</v>
      </c>
      <c r="C9408" s="14">
        <f ca="1">IFERROR(__xludf.DUMMYFUNCTION("""COMPUTED_VALUE"""),66)</f>
        <v>66</v>
      </c>
      <c r="D9408" s="12" t="str">
        <f ca="1">IFERROR(__xludf.DUMMYFUNCTION("""COMPUTED_VALUE"""),"芳賀 亮輔")</f>
        <v>芳賀 亮輔</v>
      </c>
    </row>
    <row r="9409" spans="2:4" ht="13">
      <c r="B9409" s="12">
        <f ca="1">IFERROR(__xludf.DUMMYFUNCTION("""COMPUTED_VALUE"""),3103631)</f>
        <v>3103631</v>
      </c>
      <c r="C9409" s="14">
        <f ca="1">IFERROR(__xludf.DUMMYFUNCTION("""COMPUTED_VALUE"""),0)</f>
        <v>0</v>
      </c>
      <c r="D9409" s="12" t="str">
        <f ca="1">IFERROR(__xludf.DUMMYFUNCTION("""COMPUTED_VALUE"""),"芳賀 亮輔")</f>
        <v>芳賀 亮輔</v>
      </c>
    </row>
    <row r="9410" spans="2:4" ht="13">
      <c r="B9410" s="12">
        <f ca="1">IFERROR(__xludf.DUMMYFUNCTION("""COMPUTED_VALUE"""),3103632)</f>
        <v>3103632</v>
      </c>
      <c r="C9410" s="14">
        <f ca="1">IFERROR(__xludf.DUMMYFUNCTION("""COMPUTED_VALUE"""),138)</f>
        <v>138</v>
      </c>
      <c r="D9410" s="12" t="str">
        <f ca="1">IFERROR(__xludf.DUMMYFUNCTION("""COMPUTED_VALUE"""),"堀越 駿")</f>
        <v>堀越 駿</v>
      </c>
    </row>
    <row r="9411" spans="2:4" ht="13">
      <c r="B9411" s="12">
        <f ca="1">IFERROR(__xludf.DUMMYFUNCTION("""COMPUTED_VALUE"""),3103633)</f>
        <v>3103633</v>
      </c>
      <c r="C9411" s="14">
        <f ca="1">IFERROR(__xludf.DUMMYFUNCTION("""COMPUTED_VALUE"""),0)</f>
        <v>0</v>
      </c>
      <c r="D9411" s="12" t="str">
        <f ca="1">IFERROR(__xludf.DUMMYFUNCTION("""COMPUTED_VALUE"""),"堀越 駿")</f>
        <v>堀越 駿</v>
      </c>
    </row>
    <row r="9412" spans="2:4" ht="13">
      <c r="B9412" s="12">
        <f ca="1">IFERROR(__xludf.DUMMYFUNCTION("""COMPUTED_VALUE"""),3103634)</f>
        <v>3103634</v>
      </c>
      <c r="C9412" s="14">
        <f ca="1">IFERROR(__xludf.DUMMYFUNCTION("""COMPUTED_VALUE"""),0)</f>
        <v>0</v>
      </c>
      <c r="D9412" s="12" t="str">
        <f ca="1">IFERROR(__xludf.DUMMYFUNCTION("""COMPUTED_VALUE"""),"堀越 駿")</f>
        <v>堀越 駿</v>
      </c>
    </row>
    <row r="9413" spans="2:4" ht="13">
      <c r="B9413" s="12">
        <f ca="1">IFERROR(__xludf.DUMMYFUNCTION("""COMPUTED_VALUE"""),3103635)</f>
        <v>3103635</v>
      </c>
      <c r="C9413" s="14">
        <f ca="1">IFERROR(__xludf.DUMMYFUNCTION("""COMPUTED_VALUE"""),0)</f>
        <v>0</v>
      </c>
      <c r="D9413" s="12" t="str">
        <f ca="1">IFERROR(__xludf.DUMMYFUNCTION("""COMPUTED_VALUE"""),"老田 純輝")</f>
        <v>老田 純輝</v>
      </c>
    </row>
    <row r="9414" spans="2:4" ht="13">
      <c r="B9414" s="12">
        <f ca="1">IFERROR(__xludf.DUMMYFUNCTION("""COMPUTED_VALUE"""),3103636)</f>
        <v>3103636</v>
      </c>
      <c r="C9414" s="14">
        <f ca="1">IFERROR(__xludf.DUMMYFUNCTION("""COMPUTED_VALUE"""),0)</f>
        <v>0</v>
      </c>
      <c r="D9414" s="12" t="str">
        <f ca="1">IFERROR(__xludf.DUMMYFUNCTION("""COMPUTED_VALUE"""),"松尾 尚樹")</f>
        <v>松尾 尚樹</v>
      </c>
    </row>
    <row r="9415" spans="2:4" ht="13">
      <c r="B9415" s="12">
        <f ca="1">IFERROR(__xludf.DUMMYFUNCTION("""COMPUTED_VALUE"""),3103637)</f>
        <v>3103637</v>
      </c>
      <c r="C9415" s="14">
        <f ca="1">IFERROR(__xludf.DUMMYFUNCTION("""COMPUTED_VALUE"""),2)</f>
        <v>2</v>
      </c>
      <c r="D9415" s="12" t="str">
        <f ca="1">IFERROR(__xludf.DUMMYFUNCTION("""COMPUTED_VALUE"""),"桑原 明子")</f>
        <v>桑原 明子</v>
      </c>
    </row>
    <row r="9416" spans="2:4" ht="13">
      <c r="B9416" s="12">
        <f ca="1">IFERROR(__xludf.DUMMYFUNCTION("""COMPUTED_VALUE"""),3103638)</f>
        <v>3103638</v>
      </c>
      <c r="C9416" s="14">
        <f ca="1">IFERROR(__xludf.DUMMYFUNCTION("""COMPUTED_VALUE"""),2)</f>
        <v>2</v>
      </c>
      <c r="D9416" s="12" t="str">
        <f ca="1">IFERROR(__xludf.DUMMYFUNCTION("""COMPUTED_VALUE"""),"森 光智")</f>
        <v>森 光智</v>
      </c>
    </row>
    <row r="9417" spans="2:4" ht="13">
      <c r="B9417" s="12">
        <f ca="1">IFERROR(__xludf.DUMMYFUNCTION("""COMPUTED_VALUE"""),3103639)</f>
        <v>3103639</v>
      </c>
      <c r="C9417" s="14">
        <f ca="1">IFERROR(__xludf.DUMMYFUNCTION("""COMPUTED_VALUE"""),0)</f>
        <v>0</v>
      </c>
      <c r="D9417" s="12" t="str">
        <f ca="1">IFERROR(__xludf.DUMMYFUNCTION("""COMPUTED_VALUE"""),"村上 浩一朗")</f>
        <v>村上 浩一朗</v>
      </c>
    </row>
    <row r="9418" spans="2:4" ht="13">
      <c r="B9418" s="12">
        <f ca="1">IFERROR(__xludf.DUMMYFUNCTION("""COMPUTED_VALUE"""),3103640)</f>
        <v>3103640</v>
      </c>
      <c r="C9418" s="14">
        <f ca="1">IFERROR(__xludf.DUMMYFUNCTION("""COMPUTED_VALUE"""),0)</f>
        <v>0</v>
      </c>
      <c r="D9418" s="12" t="str">
        <f ca="1">IFERROR(__xludf.DUMMYFUNCTION("""COMPUTED_VALUE"""),"村上 浩一朗")</f>
        <v>村上 浩一朗</v>
      </c>
    </row>
    <row r="9419" spans="2:4" ht="13">
      <c r="B9419" s="12">
        <f ca="1">IFERROR(__xludf.DUMMYFUNCTION("""COMPUTED_VALUE"""),3103641)</f>
        <v>3103641</v>
      </c>
      <c r="C9419" s="14">
        <f ca="1">IFERROR(__xludf.DUMMYFUNCTION("""COMPUTED_VALUE"""),0)</f>
        <v>0</v>
      </c>
      <c r="D9419" s="12" t="str">
        <f ca="1">IFERROR(__xludf.DUMMYFUNCTION("""COMPUTED_VALUE"""),"小川 純")</f>
        <v>小川 純</v>
      </c>
    </row>
    <row r="9420" spans="2:4" ht="13">
      <c r="B9420" s="12">
        <f ca="1">IFERROR(__xludf.DUMMYFUNCTION("""COMPUTED_VALUE"""),3103642)</f>
        <v>3103642</v>
      </c>
      <c r="C9420" s="14">
        <f ca="1">IFERROR(__xludf.DUMMYFUNCTION("""COMPUTED_VALUE"""),9)</f>
        <v>9</v>
      </c>
      <c r="D9420" s="12" t="str">
        <f ca="1">IFERROR(__xludf.DUMMYFUNCTION("""COMPUTED_VALUE"""),"小川 純")</f>
        <v>小川 純</v>
      </c>
    </row>
    <row r="9421" spans="2:4" ht="13">
      <c r="B9421" s="12">
        <f ca="1">IFERROR(__xludf.DUMMYFUNCTION("""COMPUTED_VALUE"""),3103643)</f>
        <v>3103643</v>
      </c>
      <c r="C9421" s="14">
        <f ca="1">IFERROR(__xludf.DUMMYFUNCTION("""COMPUTED_VALUE"""),0)</f>
        <v>0</v>
      </c>
      <c r="D9421" s="12" t="str">
        <f ca="1">IFERROR(__xludf.DUMMYFUNCTION("""COMPUTED_VALUE"""),"小関 麻起")</f>
        <v>小関 麻起</v>
      </c>
    </row>
    <row r="9422" spans="2:4" ht="13">
      <c r="B9422" s="12">
        <f ca="1">IFERROR(__xludf.DUMMYFUNCTION("""COMPUTED_VALUE"""),3103644)</f>
        <v>3103644</v>
      </c>
      <c r="C9422" s="14">
        <f ca="1">IFERROR(__xludf.DUMMYFUNCTION("""COMPUTED_VALUE"""),0)</f>
        <v>0</v>
      </c>
      <c r="D9422" s="12" t="str">
        <f ca="1">IFERROR(__xludf.DUMMYFUNCTION("""COMPUTED_VALUE"""),"辻村 将大")</f>
        <v>辻村 将大</v>
      </c>
    </row>
    <row r="9423" spans="2:4" ht="13">
      <c r="B9423" s="12">
        <f ca="1">IFERROR(__xludf.DUMMYFUNCTION("""COMPUTED_VALUE"""),3103645)</f>
        <v>3103645</v>
      </c>
      <c r="C9423" s="14">
        <f ca="1">IFERROR(__xludf.DUMMYFUNCTION("""COMPUTED_VALUE"""),0)</f>
        <v>0</v>
      </c>
      <c r="D9423" s="12" t="str">
        <f ca="1">IFERROR(__xludf.DUMMYFUNCTION("""COMPUTED_VALUE"""),"辻村 将大")</f>
        <v>辻村 将大</v>
      </c>
    </row>
    <row r="9424" spans="2:4" ht="13">
      <c r="B9424" s="12">
        <f ca="1">IFERROR(__xludf.DUMMYFUNCTION("""COMPUTED_VALUE"""),3103647)</f>
        <v>3103647</v>
      </c>
      <c r="C9424" s="14">
        <f ca="1">IFERROR(__xludf.DUMMYFUNCTION("""COMPUTED_VALUE"""),87)</f>
        <v>87</v>
      </c>
      <c r="D9424" s="12" t="str">
        <f ca="1">IFERROR(__xludf.DUMMYFUNCTION("""COMPUTED_VALUE"""),"森 光智")</f>
        <v>森 光智</v>
      </c>
    </row>
    <row r="9425" spans="2:4" ht="13">
      <c r="B9425" s="12">
        <f ca="1">IFERROR(__xludf.DUMMYFUNCTION("""COMPUTED_VALUE"""),3103648)</f>
        <v>3103648</v>
      </c>
      <c r="C9425" s="14">
        <f ca="1">IFERROR(__xludf.DUMMYFUNCTION("""COMPUTED_VALUE"""),0)</f>
        <v>0</v>
      </c>
      <c r="D9425" s="12" t="str">
        <f ca="1">IFERROR(__xludf.DUMMYFUNCTION("""COMPUTED_VALUE"""),"小川 純")</f>
        <v>小川 純</v>
      </c>
    </row>
    <row r="9426" spans="2:4" ht="13">
      <c r="B9426" s="12">
        <f ca="1">IFERROR(__xludf.DUMMYFUNCTION("""COMPUTED_VALUE"""),3103649)</f>
        <v>3103649</v>
      </c>
      <c r="C9426" s="14">
        <f ca="1">IFERROR(__xludf.DUMMYFUNCTION("""COMPUTED_VALUE"""),0)</f>
        <v>0</v>
      </c>
      <c r="D9426" s="12" t="str">
        <f ca="1">IFERROR(__xludf.DUMMYFUNCTION("""COMPUTED_VALUE"""),"小川 純")</f>
        <v>小川 純</v>
      </c>
    </row>
    <row r="9427" spans="2:4" ht="13">
      <c r="B9427" s="12">
        <f ca="1">IFERROR(__xludf.DUMMYFUNCTION("""COMPUTED_VALUE"""),3103650)</f>
        <v>3103650</v>
      </c>
      <c r="C9427" s="14">
        <f ca="1">IFERROR(__xludf.DUMMYFUNCTION("""COMPUTED_VALUE"""),0)</f>
        <v>0</v>
      </c>
      <c r="D9427" s="12" t="str">
        <f ca="1">IFERROR(__xludf.DUMMYFUNCTION("""COMPUTED_VALUE"""),"森 光智")</f>
        <v>森 光智</v>
      </c>
    </row>
    <row r="9428" spans="2:4" ht="13">
      <c r="B9428" s="12">
        <f ca="1">IFERROR(__xludf.DUMMYFUNCTION("""COMPUTED_VALUE"""),3103651)</f>
        <v>3103651</v>
      </c>
      <c r="C9428" s="14">
        <f ca="1">IFERROR(__xludf.DUMMYFUNCTION("""COMPUTED_VALUE"""),0)</f>
        <v>0</v>
      </c>
      <c r="D9428" s="12" t="str">
        <f ca="1">IFERROR(__xludf.DUMMYFUNCTION("""COMPUTED_VALUE"""),"芳賀 亮輔")</f>
        <v>芳賀 亮輔</v>
      </c>
    </row>
    <row r="9429" spans="2:4" ht="13">
      <c r="B9429" s="12">
        <f ca="1">IFERROR(__xludf.DUMMYFUNCTION("""COMPUTED_VALUE"""),3103652)</f>
        <v>3103652</v>
      </c>
      <c r="C9429" s="14">
        <f ca="1">IFERROR(__xludf.DUMMYFUNCTION("""COMPUTED_VALUE"""),0)</f>
        <v>0</v>
      </c>
      <c r="D9429" s="12" t="str">
        <f ca="1">IFERROR(__xludf.DUMMYFUNCTION("""COMPUTED_VALUE"""),"長谷川 陸朗")</f>
        <v>長谷川 陸朗</v>
      </c>
    </row>
    <row r="9430" spans="2:4" ht="13">
      <c r="B9430" s="12">
        <f ca="1">IFERROR(__xludf.DUMMYFUNCTION("""COMPUTED_VALUE"""),3103653)</f>
        <v>3103653</v>
      </c>
      <c r="C9430" s="14">
        <f ca="1">IFERROR(__xludf.DUMMYFUNCTION("""COMPUTED_VALUE"""),0)</f>
        <v>0</v>
      </c>
      <c r="D9430" s="12" t="str">
        <f ca="1">IFERROR(__xludf.DUMMYFUNCTION("""COMPUTED_VALUE"""),"小関 麻起")</f>
        <v>小関 麻起</v>
      </c>
    </row>
    <row r="9431" spans="2:4" ht="13">
      <c r="B9431" s="12">
        <f ca="1">IFERROR(__xludf.DUMMYFUNCTION("""COMPUTED_VALUE"""),3103654)</f>
        <v>3103654</v>
      </c>
      <c r="C9431" s="14">
        <f ca="1">IFERROR(__xludf.DUMMYFUNCTION("""COMPUTED_VALUE"""),82)</f>
        <v>82</v>
      </c>
      <c r="D9431" s="12" t="str">
        <f ca="1">IFERROR(__xludf.DUMMYFUNCTION("""COMPUTED_VALUE"""),"渋谷 雄大")</f>
        <v>渋谷 雄大</v>
      </c>
    </row>
    <row r="9432" spans="2:4" ht="13">
      <c r="B9432" s="12">
        <f ca="1">IFERROR(__xludf.DUMMYFUNCTION("""COMPUTED_VALUE"""),3103655)</f>
        <v>3103655</v>
      </c>
      <c r="C9432" s="14">
        <f ca="1">IFERROR(__xludf.DUMMYFUNCTION("""COMPUTED_VALUE"""),0)</f>
        <v>0</v>
      </c>
      <c r="D9432" s="12" t="str">
        <f ca="1">IFERROR(__xludf.DUMMYFUNCTION("""COMPUTED_VALUE"""),"小関 麻起")</f>
        <v>小関 麻起</v>
      </c>
    </row>
    <row r="9433" spans="2:4" ht="13">
      <c r="B9433" s="12">
        <f ca="1">IFERROR(__xludf.DUMMYFUNCTION("""COMPUTED_VALUE"""),3103656)</f>
        <v>3103656</v>
      </c>
      <c r="C9433" s="14">
        <f ca="1">IFERROR(__xludf.DUMMYFUNCTION("""COMPUTED_VALUE"""),0)</f>
        <v>0</v>
      </c>
      <c r="D9433" s="12" t="str">
        <f ca="1">IFERROR(__xludf.DUMMYFUNCTION("""COMPUTED_VALUE"""),"松尾 尚樹")</f>
        <v>松尾 尚樹</v>
      </c>
    </row>
    <row r="9434" spans="2:4" ht="13">
      <c r="B9434" s="12">
        <f ca="1">IFERROR(__xludf.DUMMYFUNCTION("""COMPUTED_VALUE"""),3103658)</f>
        <v>3103658</v>
      </c>
      <c r="C9434" s="14">
        <f ca="1">IFERROR(__xludf.DUMMYFUNCTION("""COMPUTED_VALUE"""),0)</f>
        <v>0</v>
      </c>
      <c r="D9434" s="12" t="str">
        <f ca="1">IFERROR(__xludf.DUMMYFUNCTION("""COMPUTED_VALUE"""),"稲場 勇介")</f>
        <v>稲場 勇介</v>
      </c>
    </row>
    <row r="9435" spans="2:4" ht="13">
      <c r="B9435" s="12">
        <f ca="1">IFERROR(__xludf.DUMMYFUNCTION("""COMPUTED_VALUE"""),3103659)</f>
        <v>3103659</v>
      </c>
      <c r="C9435" s="14">
        <f ca="1">IFERROR(__xludf.DUMMYFUNCTION("""COMPUTED_VALUE"""),24)</f>
        <v>24</v>
      </c>
      <c r="D9435" s="12" t="str">
        <f ca="1">IFERROR(__xludf.DUMMYFUNCTION("""COMPUTED_VALUE"""),"辻村 将大")</f>
        <v>辻村 将大</v>
      </c>
    </row>
    <row r="9436" spans="2:4" ht="13">
      <c r="B9436" s="12">
        <f ca="1">IFERROR(__xludf.DUMMYFUNCTION("""COMPUTED_VALUE"""),3103660)</f>
        <v>3103660</v>
      </c>
      <c r="C9436" s="14">
        <f ca="1">IFERROR(__xludf.DUMMYFUNCTION("""COMPUTED_VALUE"""),2)</f>
        <v>2</v>
      </c>
      <c r="D9436" s="12" t="str">
        <f ca="1">IFERROR(__xludf.DUMMYFUNCTION("""COMPUTED_VALUE"""),"小川 純")</f>
        <v>小川 純</v>
      </c>
    </row>
    <row r="9437" spans="2:4" ht="13">
      <c r="B9437" s="12">
        <f ca="1">IFERROR(__xludf.DUMMYFUNCTION("""COMPUTED_VALUE"""),3103661)</f>
        <v>3103661</v>
      </c>
      <c r="C9437" s="14">
        <f ca="1">IFERROR(__xludf.DUMMYFUNCTION("""COMPUTED_VALUE"""),66)</f>
        <v>66</v>
      </c>
      <c r="D9437" s="12" t="str">
        <f ca="1">IFERROR(__xludf.DUMMYFUNCTION("""COMPUTED_VALUE"""),"内丸 裕子")</f>
        <v>内丸 裕子</v>
      </c>
    </row>
    <row r="9438" spans="2:4" ht="13">
      <c r="B9438" s="12">
        <f ca="1">IFERROR(__xludf.DUMMYFUNCTION("""COMPUTED_VALUE"""),3103662)</f>
        <v>3103662</v>
      </c>
      <c r="C9438" s="14">
        <f ca="1">IFERROR(__xludf.DUMMYFUNCTION("""COMPUTED_VALUE"""),61)</f>
        <v>61</v>
      </c>
      <c r="D9438" s="12" t="str">
        <f ca="1">IFERROR(__xludf.DUMMYFUNCTION("""COMPUTED_VALUE"""),"堀越 駿")</f>
        <v>堀越 駿</v>
      </c>
    </row>
    <row r="9439" spans="2:4" ht="13">
      <c r="B9439" s="12">
        <f ca="1">IFERROR(__xludf.DUMMYFUNCTION("""COMPUTED_VALUE"""),3103663)</f>
        <v>3103663</v>
      </c>
      <c r="C9439" s="14">
        <f ca="1">IFERROR(__xludf.DUMMYFUNCTION("""COMPUTED_VALUE"""),0)</f>
        <v>0</v>
      </c>
      <c r="D9439" s="12" t="str">
        <f ca="1">IFERROR(__xludf.DUMMYFUNCTION("""COMPUTED_VALUE"""),"堀越 駿")</f>
        <v>堀越 駿</v>
      </c>
    </row>
    <row r="9440" spans="2:4" ht="13">
      <c r="B9440" s="12">
        <f ca="1">IFERROR(__xludf.DUMMYFUNCTION("""COMPUTED_VALUE"""),3103664)</f>
        <v>3103664</v>
      </c>
      <c r="C9440" s="14">
        <f ca="1">IFERROR(__xludf.DUMMYFUNCTION("""COMPUTED_VALUE"""),15)</f>
        <v>15</v>
      </c>
      <c r="D9440" s="12" t="str">
        <f ca="1">IFERROR(__xludf.DUMMYFUNCTION("""COMPUTED_VALUE"""),"川島 幹也")</f>
        <v>川島 幹也</v>
      </c>
    </row>
    <row r="9441" spans="2:4" ht="13">
      <c r="B9441" s="12">
        <f ca="1">IFERROR(__xludf.DUMMYFUNCTION("""COMPUTED_VALUE"""),3103665)</f>
        <v>3103665</v>
      </c>
      <c r="C9441" s="14">
        <f ca="1">IFERROR(__xludf.DUMMYFUNCTION("""COMPUTED_VALUE"""),0)</f>
        <v>0</v>
      </c>
      <c r="D9441" s="12" t="str">
        <f ca="1">IFERROR(__xludf.DUMMYFUNCTION("""COMPUTED_VALUE"""),"老田 純輝")</f>
        <v>老田 純輝</v>
      </c>
    </row>
    <row r="9442" spans="2:4" ht="13">
      <c r="B9442" s="12">
        <f ca="1">IFERROR(__xludf.DUMMYFUNCTION("""COMPUTED_VALUE"""),3103666)</f>
        <v>3103666</v>
      </c>
      <c r="C9442" s="14">
        <f ca="1">IFERROR(__xludf.DUMMYFUNCTION("""COMPUTED_VALUE"""),0)</f>
        <v>0</v>
      </c>
      <c r="D9442" s="12" t="str">
        <f ca="1">IFERROR(__xludf.DUMMYFUNCTION("""COMPUTED_VALUE"""),"桑原 明子")</f>
        <v>桑原 明子</v>
      </c>
    </row>
    <row r="9443" spans="2:4" ht="13">
      <c r="B9443" s="12">
        <f ca="1">IFERROR(__xludf.DUMMYFUNCTION("""COMPUTED_VALUE"""),3103667)</f>
        <v>3103667</v>
      </c>
      <c r="C9443" s="14">
        <f ca="1">IFERROR(__xludf.DUMMYFUNCTION("""COMPUTED_VALUE"""),0)</f>
        <v>0</v>
      </c>
      <c r="D9443" s="12" t="str">
        <f ca="1">IFERROR(__xludf.DUMMYFUNCTION("""COMPUTED_VALUE"""),"奥野 貴大")</f>
        <v>奥野 貴大</v>
      </c>
    </row>
    <row r="9444" spans="2:4" ht="13">
      <c r="B9444" s="12">
        <f ca="1">IFERROR(__xludf.DUMMYFUNCTION("""COMPUTED_VALUE"""),3103668)</f>
        <v>3103668</v>
      </c>
      <c r="C9444" s="14">
        <f ca="1">IFERROR(__xludf.DUMMYFUNCTION("""COMPUTED_VALUE"""),40)</f>
        <v>40</v>
      </c>
      <c r="D9444" s="12" t="str">
        <f ca="1">IFERROR(__xludf.DUMMYFUNCTION("""COMPUTED_VALUE"""),"芳賀 亮輔")</f>
        <v>芳賀 亮輔</v>
      </c>
    </row>
    <row r="9445" spans="2:4" ht="13">
      <c r="B9445" s="12">
        <f ca="1">IFERROR(__xludf.DUMMYFUNCTION("""COMPUTED_VALUE"""),3103669)</f>
        <v>3103669</v>
      </c>
      <c r="C9445" s="14">
        <f ca="1">IFERROR(__xludf.DUMMYFUNCTION("""COMPUTED_VALUE"""),11)</f>
        <v>11</v>
      </c>
      <c r="D9445" s="12" t="str">
        <f ca="1">IFERROR(__xludf.DUMMYFUNCTION("""COMPUTED_VALUE"""),"老田 純輝")</f>
        <v>老田 純輝</v>
      </c>
    </row>
    <row r="9446" spans="2:4" ht="13">
      <c r="B9446" s="12">
        <f ca="1">IFERROR(__xludf.DUMMYFUNCTION("""COMPUTED_VALUE"""),3103670)</f>
        <v>3103670</v>
      </c>
      <c r="C9446" s="14">
        <f ca="1">IFERROR(__xludf.DUMMYFUNCTION("""COMPUTED_VALUE"""),0)</f>
        <v>0</v>
      </c>
      <c r="D9446" s="12" t="str">
        <f ca="1">IFERROR(__xludf.DUMMYFUNCTION("""COMPUTED_VALUE"""),"長谷川 陸朗")</f>
        <v>長谷川 陸朗</v>
      </c>
    </row>
    <row r="9447" spans="2:4" ht="13">
      <c r="B9447" s="12">
        <f ca="1">IFERROR(__xludf.DUMMYFUNCTION("""COMPUTED_VALUE"""),3103672)</f>
        <v>3103672</v>
      </c>
      <c r="C9447" s="14">
        <f ca="1">IFERROR(__xludf.DUMMYFUNCTION("""COMPUTED_VALUE"""),1)</f>
        <v>1</v>
      </c>
      <c r="D9447" s="12" t="str">
        <f ca="1">IFERROR(__xludf.DUMMYFUNCTION("""COMPUTED_VALUE"""),"内丸 裕子")</f>
        <v>内丸 裕子</v>
      </c>
    </row>
    <row r="9448" spans="2:4" ht="13">
      <c r="B9448" s="12">
        <f ca="1">IFERROR(__xludf.DUMMYFUNCTION("""COMPUTED_VALUE"""),3103674)</f>
        <v>3103674</v>
      </c>
      <c r="C9448" s="14">
        <f ca="1">IFERROR(__xludf.DUMMYFUNCTION("""COMPUTED_VALUE"""),55)</f>
        <v>55</v>
      </c>
      <c r="D9448" s="12" t="str">
        <f ca="1">IFERROR(__xludf.DUMMYFUNCTION("""COMPUTED_VALUE"""),"小川 純")</f>
        <v>小川 純</v>
      </c>
    </row>
    <row r="9449" spans="2:4" ht="13">
      <c r="B9449" s="12">
        <f ca="1">IFERROR(__xludf.DUMMYFUNCTION("""COMPUTED_VALUE"""),3103675)</f>
        <v>3103675</v>
      </c>
      <c r="C9449" s="14">
        <f ca="1">IFERROR(__xludf.DUMMYFUNCTION("""COMPUTED_VALUE"""),5)</f>
        <v>5</v>
      </c>
      <c r="D9449" s="12" t="str">
        <f ca="1">IFERROR(__xludf.DUMMYFUNCTION("""COMPUTED_VALUE"""),"松尾 尚樹")</f>
        <v>松尾 尚樹</v>
      </c>
    </row>
    <row r="9450" spans="2:4" ht="13">
      <c r="B9450" s="12">
        <f ca="1">IFERROR(__xludf.DUMMYFUNCTION("""COMPUTED_VALUE"""),3103676)</f>
        <v>3103676</v>
      </c>
      <c r="C9450" s="14">
        <f ca="1">IFERROR(__xludf.DUMMYFUNCTION("""COMPUTED_VALUE"""),0)</f>
        <v>0</v>
      </c>
      <c r="D9450" s="12" t="str">
        <f ca="1">IFERROR(__xludf.DUMMYFUNCTION("""COMPUTED_VALUE"""),"松尾 尚樹")</f>
        <v>松尾 尚樹</v>
      </c>
    </row>
    <row r="9451" spans="2:4" ht="13">
      <c r="B9451" s="12">
        <f ca="1">IFERROR(__xludf.DUMMYFUNCTION("""COMPUTED_VALUE"""),3103679)</f>
        <v>3103679</v>
      </c>
      <c r="C9451" s="14">
        <f ca="1">IFERROR(__xludf.DUMMYFUNCTION("""COMPUTED_VALUE"""),0)</f>
        <v>0</v>
      </c>
      <c r="D9451" s="12" t="str">
        <f ca="1">IFERROR(__xludf.DUMMYFUNCTION("""COMPUTED_VALUE"""),"菅野 ぎんが")</f>
        <v>菅野 ぎんが</v>
      </c>
    </row>
    <row r="9452" spans="2:4" ht="13">
      <c r="B9452" s="12">
        <f ca="1">IFERROR(__xludf.DUMMYFUNCTION("""COMPUTED_VALUE"""),3103680)</f>
        <v>3103680</v>
      </c>
      <c r="C9452" s="14">
        <f ca="1">IFERROR(__xludf.DUMMYFUNCTION("""COMPUTED_VALUE"""),0)</f>
        <v>0</v>
      </c>
      <c r="D9452" s="12" t="str">
        <f ca="1">IFERROR(__xludf.DUMMYFUNCTION("""COMPUTED_VALUE"""),"内丸 裕子")</f>
        <v>内丸 裕子</v>
      </c>
    </row>
    <row r="9453" spans="2:4" ht="13">
      <c r="B9453" s="12">
        <f ca="1">IFERROR(__xludf.DUMMYFUNCTION("""COMPUTED_VALUE"""),3103681)</f>
        <v>3103681</v>
      </c>
      <c r="C9453" s="14">
        <f ca="1">IFERROR(__xludf.DUMMYFUNCTION("""COMPUTED_VALUE"""),9)</f>
        <v>9</v>
      </c>
      <c r="D9453" s="12" t="str">
        <f ca="1">IFERROR(__xludf.DUMMYFUNCTION("""COMPUTED_VALUE"""),"村上 浩一朗")</f>
        <v>村上 浩一朗</v>
      </c>
    </row>
    <row r="9454" spans="2:4" ht="13">
      <c r="B9454" s="12">
        <f ca="1">IFERROR(__xludf.DUMMYFUNCTION("""COMPUTED_VALUE"""),3103682)</f>
        <v>3103682</v>
      </c>
      <c r="C9454" s="14">
        <f ca="1">IFERROR(__xludf.DUMMYFUNCTION("""COMPUTED_VALUE"""),0)</f>
        <v>0</v>
      </c>
      <c r="D9454" s="12" t="str">
        <f ca="1">IFERROR(__xludf.DUMMYFUNCTION("""COMPUTED_VALUE"""),"小川 純")</f>
        <v>小川 純</v>
      </c>
    </row>
    <row r="9455" spans="2:4" ht="13">
      <c r="B9455" s="12">
        <f ca="1">IFERROR(__xludf.DUMMYFUNCTION("""COMPUTED_VALUE"""),3103683)</f>
        <v>3103683</v>
      </c>
      <c r="C9455" s="14">
        <f ca="1">IFERROR(__xludf.DUMMYFUNCTION("""COMPUTED_VALUE"""),0)</f>
        <v>0</v>
      </c>
      <c r="D9455" s="12" t="str">
        <f ca="1">IFERROR(__xludf.DUMMYFUNCTION("""COMPUTED_VALUE"""),"渋谷 雄大")</f>
        <v>渋谷 雄大</v>
      </c>
    </row>
    <row r="9456" spans="2:4" ht="13">
      <c r="B9456" s="12">
        <f ca="1">IFERROR(__xludf.DUMMYFUNCTION("""COMPUTED_VALUE"""),3103684)</f>
        <v>3103684</v>
      </c>
      <c r="C9456" s="14">
        <f ca="1">IFERROR(__xludf.DUMMYFUNCTION("""COMPUTED_VALUE"""),0)</f>
        <v>0</v>
      </c>
      <c r="D9456" s="12" t="str">
        <f ca="1">IFERROR(__xludf.DUMMYFUNCTION("""COMPUTED_VALUE"""),"成嶋 夏未")</f>
        <v>成嶋 夏未</v>
      </c>
    </row>
    <row r="9457" spans="2:4" ht="13">
      <c r="B9457" s="12">
        <f ca="1">IFERROR(__xludf.DUMMYFUNCTION("""COMPUTED_VALUE"""),3103685)</f>
        <v>3103685</v>
      </c>
      <c r="C9457" s="14">
        <f ca="1">IFERROR(__xludf.DUMMYFUNCTION("""COMPUTED_VALUE"""),19)</f>
        <v>19</v>
      </c>
      <c r="D9457" s="12" t="str">
        <f ca="1">IFERROR(__xludf.DUMMYFUNCTION("""COMPUTED_VALUE"""),"辻村 将大")</f>
        <v>辻村 将大</v>
      </c>
    </row>
    <row r="9458" spans="2:4" ht="13">
      <c r="B9458" s="12">
        <f ca="1">IFERROR(__xludf.DUMMYFUNCTION("""COMPUTED_VALUE"""),3103686)</f>
        <v>3103686</v>
      </c>
      <c r="C9458" s="14">
        <f ca="1">IFERROR(__xludf.DUMMYFUNCTION("""COMPUTED_VALUE"""),66)</f>
        <v>66</v>
      </c>
      <c r="D9458" s="12" t="str">
        <f ca="1">IFERROR(__xludf.DUMMYFUNCTION("""COMPUTED_VALUE"""),"小川 純")</f>
        <v>小川 純</v>
      </c>
    </row>
    <row r="9459" spans="2:4" ht="13">
      <c r="B9459" s="12">
        <f ca="1">IFERROR(__xludf.DUMMYFUNCTION("""COMPUTED_VALUE"""),3103687)</f>
        <v>3103687</v>
      </c>
      <c r="C9459" s="14">
        <f ca="1">IFERROR(__xludf.DUMMYFUNCTION("""COMPUTED_VALUE"""),81)</f>
        <v>81</v>
      </c>
      <c r="D9459" s="12" t="str">
        <f ca="1">IFERROR(__xludf.DUMMYFUNCTION("""COMPUTED_VALUE"""),"小川 純")</f>
        <v>小川 純</v>
      </c>
    </row>
    <row r="9460" spans="2:4" ht="13">
      <c r="B9460" s="12">
        <f ca="1">IFERROR(__xludf.DUMMYFUNCTION("""COMPUTED_VALUE"""),3103688)</f>
        <v>3103688</v>
      </c>
      <c r="C9460" s="14">
        <f ca="1">IFERROR(__xludf.DUMMYFUNCTION("""COMPUTED_VALUE"""),3)</f>
        <v>3</v>
      </c>
      <c r="D9460" s="12" t="str">
        <f ca="1">IFERROR(__xludf.DUMMYFUNCTION("""COMPUTED_VALUE"""),"渋谷 雄大")</f>
        <v>渋谷 雄大</v>
      </c>
    </row>
    <row r="9461" spans="2:4" ht="13">
      <c r="B9461" s="12">
        <f ca="1">IFERROR(__xludf.DUMMYFUNCTION("""COMPUTED_VALUE"""),3103689)</f>
        <v>3103689</v>
      </c>
      <c r="C9461" s="14">
        <f ca="1">IFERROR(__xludf.DUMMYFUNCTION("""COMPUTED_VALUE"""),49)</f>
        <v>49</v>
      </c>
      <c r="D9461" s="12" t="str">
        <f ca="1">IFERROR(__xludf.DUMMYFUNCTION("""COMPUTED_VALUE"""),"渋谷 雄大")</f>
        <v>渋谷 雄大</v>
      </c>
    </row>
    <row r="9462" spans="2:4" ht="13">
      <c r="B9462" s="12">
        <f ca="1">IFERROR(__xludf.DUMMYFUNCTION("""COMPUTED_VALUE"""),3103690)</f>
        <v>3103690</v>
      </c>
      <c r="C9462" s="14">
        <f ca="1">IFERROR(__xludf.DUMMYFUNCTION("""COMPUTED_VALUE"""),0)</f>
        <v>0</v>
      </c>
      <c r="D9462" s="12" t="str">
        <f ca="1">IFERROR(__xludf.DUMMYFUNCTION("""COMPUTED_VALUE"""),"菅野 ぎんが")</f>
        <v>菅野 ぎんが</v>
      </c>
    </row>
    <row r="9463" spans="2:4" ht="13">
      <c r="B9463" s="12">
        <f ca="1">IFERROR(__xludf.DUMMYFUNCTION("""COMPUTED_VALUE"""),3103691)</f>
        <v>3103691</v>
      </c>
      <c r="C9463" s="14">
        <f ca="1">IFERROR(__xludf.DUMMYFUNCTION("""COMPUTED_VALUE"""),0)</f>
        <v>0</v>
      </c>
      <c r="D9463" s="12" t="str">
        <f ca="1">IFERROR(__xludf.DUMMYFUNCTION("""COMPUTED_VALUE"""),"村上 浩一朗")</f>
        <v>村上 浩一朗</v>
      </c>
    </row>
    <row r="9464" spans="2:4" ht="13">
      <c r="B9464" s="12">
        <f ca="1">IFERROR(__xludf.DUMMYFUNCTION("""COMPUTED_VALUE"""),3103692)</f>
        <v>3103692</v>
      </c>
      <c r="C9464" s="14">
        <f ca="1">IFERROR(__xludf.DUMMYFUNCTION("""COMPUTED_VALUE"""),36)</f>
        <v>36</v>
      </c>
      <c r="D9464" s="12" t="str">
        <f ca="1">IFERROR(__xludf.DUMMYFUNCTION("""COMPUTED_VALUE"""),"栗原 大武")</f>
        <v>栗原 大武</v>
      </c>
    </row>
    <row r="9465" spans="2:4" ht="13">
      <c r="B9465" s="12">
        <f ca="1">IFERROR(__xludf.DUMMYFUNCTION("""COMPUTED_VALUE"""),3103693)</f>
        <v>3103693</v>
      </c>
      <c r="C9465" s="14">
        <f ca="1">IFERROR(__xludf.DUMMYFUNCTION("""COMPUTED_VALUE"""),29)</f>
        <v>29</v>
      </c>
      <c r="D9465" s="12" t="str">
        <f ca="1">IFERROR(__xludf.DUMMYFUNCTION("""COMPUTED_VALUE"""),"村上 浩一朗")</f>
        <v>村上 浩一朗</v>
      </c>
    </row>
    <row r="9466" spans="2:4" ht="13">
      <c r="B9466" s="12">
        <f ca="1">IFERROR(__xludf.DUMMYFUNCTION("""COMPUTED_VALUE"""),3103694)</f>
        <v>3103694</v>
      </c>
      <c r="C9466" s="14">
        <f ca="1">IFERROR(__xludf.DUMMYFUNCTION("""COMPUTED_VALUE"""),0)</f>
        <v>0</v>
      </c>
      <c r="D9466" s="12" t="str">
        <f ca="1">IFERROR(__xludf.DUMMYFUNCTION("""COMPUTED_VALUE"""),"村上 浩一朗")</f>
        <v>村上 浩一朗</v>
      </c>
    </row>
    <row r="9467" spans="2:4" ht="13">
      <c r="B9467" s="12">
        <f ca="1">IFERROR(__xludf.DUMMYFUNCTION("""COMPUTED_VALUE"""),3103695)</f>
        <v>3103695</v>
      </c>
      <c r="C9467" s="14">
        <f ca="1">IFERROR(__xludf.DUMMYFUNCTION("""COMPUTED_VALUE"""),0)</f>
        <v>0</v>
      </c>
      <c r="D9467" s="12" t="str">
        <f ca="1">IFERROR(__xludf.DUMMYFUNCTION("""COMPUTED_VALUE"""),"小川 純")</f>
        <v>小川 純</v>
      </c>
    </row>
    <row r="9468" spans="2:4" ht="13">
      <c r="B9468" s="12">
        <f ca="1">IFERROR(__xludf.DUMMYFUNCTION("""COMPUTED_VALUE"""),3103696)</f>
        <v>3103696</v>
      </c>
      <c r="C9468" s="14">
        <f ca="1">IFERROR(__xludf.DUMMYFUNCTION("""COMPUTED_VALUE"""),2)</f>
        <v>2</v>
      </c>
      <c r="D9468" s="12" t="str">
        <f ca="1">IFERROR(__xludf.DUMMYFUNCTION("""COMPUTED_VALUE"""),"長谷川 陸朗")</f>
        <v>長谷川 陸朗</v>
      </c>
    </row>
    <row r="9469" spans="2:4" ht="13">
      <c r="B9469" s="12">
        <f ca="1">IFERROR(__xludf.DUMMYFUNCTION("""COMPUTED_VALUE"""),3103697)</f>
        <v>3103697</v>
      </c>
      <c r="C9469" s="14">
        <f ca="1">IFERROR(__xludf.DUMMYFUNCTION("""COMPUTED_VALUE"""),17)</f>
        <v>17</v>
      </c>
      <c r="D9469" s="12" t="str">
        <f ca="1">IFERROR(__xludf.DUMMYFUNCTION("""COMPUTED_VALUE"""),"松尾 尚樹")</f>
        <v>松尾 尚樹</v>
      </c>
    </row>
    <row r="9470" spans="2:4" ht="13">
      <c r="B9470" s="12">
        <f ca="1">IFERROR(__xludf.DUMMYFUNCTION("""COMPUTED_VALUE"""),3103698)</f>
        <v>3103698</v>
      </c>
      <c r="C9470" s="14">
        <f ca="1">IFERROR(__xludf.DUMMYFUNCTION("""COMPUTED_VALUE"""),0)</f>
        <v>0</v>
      </c>
      <c r="D9470" s="12" t="str">
        <f ca="1">IFERROR(__xludf.DUMMYFUNCTION("""COMPUTED_VALUE"""),"成嶋 夏未")</f>
        <v>成嶋 夏未</v>
      </c>
    </row>
    <row r="9471" spans="2:4" ht="13">
      <c r="B9471" s="12">
        <f ca="1">IFERROR(__xludf.DUMMYFUNCTION("""COMPUTED_VALUE"""),3103699)</f>
        <v>3103699</v>
      </c>
      <c r="C9471" s="14">
        <f ca="1">IFERROR(__xludf.DUMMYFUNCTION("""COMPUTED_VALUE"""),31)</f>
        <v>31</v>
      </c>
      <c r="D9471" s="12" t="str">
        <f ca="1">IFERROR(__xludf.DUMMYFUNCTION("""COMPUTED_VALUE"""),"菅野 ぎんが")</f>
        <v>菅野 ぎんが</v>
      </c>
    </row>
    <row r="9472" spans="2:4" ht="13">
      <c r="B9472" s="12">
        <f ca="1">IFERROR(__xludf.DUMMYFUNCTION("""COMPUTED_VALUE"""),3103700)</f>
        <v>3103700</v>
      </c>
      <c r="C9472" s="14">
        <f ca="1">IFERROR(__xludf.DUMMYFUNCTION("""COMPUTED_VALUE"""),7)</f>
        <v>7</v>
      </c>
      <c r="D9472" s="12" t="str">
        <f ca="1">IFERROR(__xludf.DUMMYFUNCTION("""COMPUTED_VALUE"""),"老田 純輝")</f>
        <v>老田 純輝</v>
      </c>
    </row>
    <row r="9473" spans="2:4" ht="13">
      <c r="B9473" s="12">
        <f ca="1">IFERROR(__xludf.DUMMYFUNCTION("""COMPUTED_VALUE"""),3103701)</f>
        <v>3103701</v>
      </c>
      <c r="C9473" s="14">
        <f ca="1">IFERROR(__xludf.DUMMYFUNCTION("""COMPUTED_VALUE"""),10)</f>
        <v>10</v>
      </c>
      <c r="D9473" s="12" t="str">
        <f ca="1">IFERROR(__xludf.DUMMYFUNCTION("""COMPUTED_VALUE"""),"村上 浩一朗")</f>
        <v>村上 浩一朗</v>
      </c>
    </row>
    <row r="9474" spans="2:4" ht="13">
      <c r="B9474" s="12">
        <f ca="1">IFERROR(__xludf.DUMMYFUNCTION("""COMPUTED_VALUE"""),3103702)</f>
        <v>3103702</v>
      </c>
      <c r="C9474" s="14">
        <f ca="1">IFERROR(__xludf.DUMMYFUNCTION("""COMPUTED_VALUE"""),0)</f>
        <v>0</v>
      </c>
      <c r="D9474" s="12" t="str">
        <f ca="1">IFERROR(__xludf.DUMMYFUNCTION("""COMPUTED_VALUE"""),"村上 浩一朗")</f>
        <v>村上 浩一朗</v>
      </c>
    </row>
    <row r="9475" spans="2:4" ht="13">
      <c r="B9475" s="12">
        <f ca="1">IFERROR(__xludf.DUMMYFUNCTION("""COMPUTED_VALUE"""),3103703)</f>
        <v>3103703</v>
      </c>
      <c r="C9475" s="14">
        <f ca="1">IFERROR(__xludf.DUMMYFUNCTION("""COMPUTED_VALUE"""),13)</f>
        <v>13</v>
      </c>
      <c r="D9475" s="12" t="str">
        <f ca="1">IFERROR(__xludf.DUMMYFUNCTION("""COMPUTED_VALUE"""),"村上 浩一朗")</f>
        <v>村上 浩一朗</v>
      </c>
    </row>
    <row r="9476" spans="2:4" ht="13">
      <c r="B9476" s="12">
        <f ca="1">IFERROR(__xludf.DUMMYFUNCTION("""COMPUTED_VALUE"""),3103704)</f>
        <v>3103704</v>
      </c>
      <c r="C9476" s="14">
        <f ca="1">IFERROR(__xludf.DUMMYFUNCTION("""COMPUTED_VALUE"""),9)</f>
        <v>9</v>
      </c>
      <c r="D9476" s="12" t="str">
        <f ca="1">IFERROR(__xludf.DUMMYFUNCTION("""COMPUTED_VALUE"""),"小川 純")</f>
        <v>小川 純</v>
      </c>
    </row>
    <row r="9477" spans="2:4" ht="13">
      <c r="B9477" s="12">
        <f ca="1">IFERROR(__xludf.DUMMYFUNCTION("""COMPUTED_VALUE"""),3103705)</f>
        <v>3103705</v>
      </c>
      <c r="C9477" s="14">
        <f ca="1">IFERROR(__xludf.DUMMYFUNCTION("""COMPUTED_VALUE"""),0)</f>
        <v>0</v>
      </c>
      <c r="D9477" s="12" t="str">
        <f ca="1">IFERROR(__xludf.DUMMYFUNCTION("""COMPUTED_VALUE"""),"小川 純")</f>
        <v>小川 純</v>
      </c>
    </row>
    <row r="9478" spans="2:4" ht="13">
      <c r="B9478" s="12">
        <f ca="1">IFERROR(__xludf.DUMMYFUNCTION("""COMPUTED_VALUE"""),3103706)</f>
        <v>3103706</v>
      </c>
      <c r="C9478" s="14">
        <f ca="1">IFERROR(__xludf.DUMMYFUNCTION("""COMPUTED_VALUE"""),151)</f>
        <v>151</v>
      </c>
      <c r="D9478" s="12" t="str">
        <f ca="1">IFERROR(__xludf.DUMMYFUNCTION("""COMPUTED_VALUE"""),"堀越 駿")</f>
        <v>堀越 駿</v>
      </c>
    </row>
    <row r="9479" spans="2:4" ht="13">
      <c r="B9479" s="12">
        <f ca="1">IFERROR(__xludf.DUMMYFUNCTION("""COMPUTED_VALUE"""),3103707)</f>
        <v>3103707</v>
      </c>
      <c r="C9479" s="14">
        <f ca="1">IFERROR(__xludf.DUMMYFUNCTION("""COMPUTED_VALUE"""),42)</f>
        <v>42</v>
      </c>
      <c r="D9479" s="12" t="str">
        <f ca="1">IFERROR(__xludf.DUMMYFUNCTION("""COMPUTED_VALUE"""),"老田 純輝")</f>
        <v>老田 純輝</v>
      </c>
    </row>
    <row r="9480" spans="2:4" ht="13">
      <c r="B9480" s="12">
        <f ca="1">IFERROR(__xludf.DUMMYFUNCTION("""COMPUTED_VALUE"""),3103708)</f>
        <v>3103708</v>
      </c>
      <c r="C9480" s="14">
        <f ca="1">IFERROR(__xludf.DUMMYFUNCTION("""COMPUTED_VALUE"""),27)</f>
        <v>27</v>
      </c>
      <c r="D9480" s="12" t="str">
        <f ca="1">IFERROR(__xludf.DUMMYFUNCTION("""COMPUTED_VALUE"""),"渋谷 雄大")</f>
        <v>渋谷 雄大</v>
      </c>
    </row>
    <row r="9481" spans="2:4" ht="13">
      <c r="B9481" s="12">
        <f ca="1">IFERROR(__xludf.DUMMYFUNCTION("""COMPUTED_VALUE"""),3103709)</f>
        <v>3103709</v>
      </c>
      <c r="C9481" s="14">
        <f ca="1">IFERROR(__xludf.DUMMYFUNCTION("""COMPUTED_VALUE"""),13)</f>
        <v>13</v>
      </c>
      <c r="D9481" s="12" t="str">
        <f ca="1">IFERROR(__xludf.DUMMYFUNCTION("""COMPUTED_VALUE"""),"川島 幹也")</f>
        <v>川島 幹也</v>
      </c>
    </row>
    <row r="9482" spans="2:4" ht="13">
      <c r="B9482" s="12">
        <f ca="1">IFERROR(__xludf.DUMMYFUNCTION("""COMPUTED_VALUE"""),3103710)</f>
        <v>3103710</v>
      </c>
      <c r="C9482" s="14">
        <f ca="1">IFERROR(__xludf.DUMMYFUNCTION("""COMPUTED_VALUE"""),0)</f>
        <v>0</v>
      </c>
      <c r="D9482" s="12" t="str">
        <f ca="1">IFERROR(__xludf.DUMMYFUNCTION("""COMPUTED_VALUE"""),"小川 純")</f>
        <v>小川 純</v>
      </c>
    </row>
    <row r="9483" spans="2:4" ht="13">
      <c r="B9483" s="12">
        <f ca="1">IFERROR(__xludf.DUMMYFUNCTION("""COMPUTED_VALUE"""),3103711)</f>
        <v>3103711</v>
      </c>
      <c r="C9483" s="14">
        <f ca="1">IFERROR(__xludf.DUMMYFUNCTION("""COMPUTED_VALUE"""),1)</f>
        <v>1</v>
      </c>
      <c r="D9483" s="12" t="str">
        <f ca="1">IFERROR(__xludf.DUMMYFUNCTION("""COMPUTED_VALUE"""),"小関 麻起")</f>
        <v>小関 麻起</v>
      </c>
    </row>
    <row r="9484" spans="2:4" ht="13">
      <c r="B9484" s="12">
        <f ca="1">IFERROR(__xludf.DUMMYFUNCTION("""COMPUTED_VALUE"""),3103712)</f>
        <v>3103712</v>
      </c>
      <c r="C9484" s="14">
        <f ca="1">IFERROR(__xludf.DUMMYFUNCTION("""COMPUTED_VALUE"""),0)</f>
        <v>0</v>
      </c>
      <c r="D9484" s="12" t="str">
        <f ca="1">IFERROR(__xludf.DUMMYFUNCTION("""COMPUTED_VALUE"""),"渋谷 雄大")</f>
        <v>渋谷 雄大</v>
      </c>
    </row>
    <row r="9485" spans="2:4" ht="13">
      <c r="B9485" s="12">
        <f ca="1">IFERROR(__xludf.DUMMYFUNCTION("""COMPUTED_VALUE"""),3103713)</f>
        <v>3103713</v>
      </c>
      <c r="C9485" s="14">
        <f ca="1">IFERROR(__xludf.DUMMYFUNCTION("""COMPUTED_VALUE"""),6)</f>
        <v>6</v>
      </c>
      <c r="D9485" s="12" t="str">
        <f ca="1">IFERROR(__xludf.DUMMYFUNCTION("""COMPUTED_VALUE"""),"松尾 尚樹")</f>
        <v>松尾 尚樹</v>
      </c>
    </row>
    <row r="9486" spans="2:4" ht="13">
      <c r="B9486" s="12">
        <f ca="1">IFERROR(__xludf.DUMMYFUNCTION("""COMPUTED_VALUE"""),3103714)</f>
        <v>3103714</v>
      </c>
      <c r="C9486" s="14">
        <f ca="1">IFERROR(__xludf.DUMMYFUNCTION("""COMPUTED_VALUE"""),0)</f>
        <v>0</v>
      </c>
      <c r="D9486" s="12" t="str">
        <f ca="1">IFERROR(__xludf.DUMMYFUNCTION("""COMPUTED_VALUE"""),"大木 優香")</f>
        <v>大木 優香</v>
      </c>
    </row>
    <row r="9487" spans="2:4" ht="13">
      <c r="B9487" s="12">
        <f ca="1">IFERROR(__xludf.DUMMYFUNCTION("""COMPUTED_VALUE"""),3103715)</f>
        <v>3103715</v>
      </c>
      <c r="C9487" s="14">
        <f ca="1">IFERROR(__xludf.DUMMYFUNCTION("""COMPUTED_VALUE"""),41)</f>
        <v>41</v>
      </c>
      <c r="D9487" s="12" t="str">
        <f ca="1">IFERROR(__xludf.DUMMYFUNCTION("""COMPUTED_VALUE"""),"大木 優香")</f>
        <v>大木 優香</v>
      </c>
    </row>
    <row r="9488" spans="2:4" ht="13">
      <c r="B9488" s="12">
        <f ca="1">IFERROR(__xludf.DUMMYFUNCTION("""COMPUTED_VALUE"""),3103716)</f>
        <v>3103716</v>
      </c>
      <c r="C9488" s="14">
        <f ca="1">IFERROR(__xludf.DUMMYFUNCTION("""COMPUTED_VALUE"""),0)</f>
        <v>0</v>
      </c>
      <c r="D9488" s="12" t="str">
        <f ca="1">IFERROR(__xludf.DUMMYFUNCTION("""COMPUTED_VALUE"""),"小川 純")</f>
        <v>小川 純</v>
      </c>
    </row>
    <row r="9489" spans="2:4" ht="13">
      <c r="B9489" s="12">
        <f ca="1">IFERROR(__xludf.DUMMYFUNCTION("""COMPUTED_VALUE"""),3103717)</f>
        <v>3103717</v>
      </c>
      <c r="C9489" s="14">
        <f ca="1">IFERROR(__xludf.DUMMYFUNCTION("""COMPUTED_VALUE"""),23)</f>
        <v>23</v>
      </c>
      <c r="D9489" s="12" t="str">
        <f ca="1">IFERROR(__xludf.DUMMYFUNCTION("""COMPUTED_VALUE"""),"小川 純")</f>
        <v>小川 純</v>
      </c>
    </row>
    <row r="9490" spans="2:4" ht="13">
      <c r="B9490" s="12">
        <f ca="1">IFERROR(__xludf.DUMMYFUNCTION("""COMPUTED_VALUE"""),3103718)</f>
        <v>3103718</v>
      </c>
      <c r="C9490" s="14">
        <f ca="1">IFERROR(__xludf.DUMMYFUNCTION("""COMPUTED_VALUE"""),5)</f>
        <v>5</v>
      </c>
      <c r="D9490" s="12" t="str">
        <f ca="1">IFERROR(__xludf.DUMMYFUNCTION("""COMPUTED_VALUE"""),"長谷川 陸朗")</f>
        <v>長谷川 陸朗</v>
      </c>
    </row>
    <row r="9491" spans="2:4" ht="13">
      <c r="B9491" s="12">
        <f ca="1">IFERROR(__xludf.DUMMYFUNCTION("""COMPUTED_VALUE"""),3103719)</f>
        <v>3103719</v>
      </c>
      <c r="C9491" s="14">
        <f ca="1">IFERROR(__xludf.DUMMYFUNCTION("""COMPUTED_VALUE"""),0)</f>
        <v>0</v>
      </c>
      <c r="D9491" s="12" t="str">
        <f ca="1">IFERROR(__xludf.DUMMYFUNCTION("""COMPUTED_VALUE"""),"芳賀 亮輔")</f>
        <v>芳賀 亮輔</v>
      </c>
    </row>
    <row r="9492" spans="2:4" ht="13">
      <c r="B9492" s="12">
        <f ca="1">IFERROR(__xludf.DUMMYFUNCTION("""COMPUTED_VALUE"""),3103720)</f>
        <v>3103720</v>
      </c>
      <c r="C9492" s="14">
        <f ca="1">IFERROR(__xludf.DUMMYFUNCTION("""COMPUTED_VALUE"""),55)</f>
        <v>55</v>
      </c>
      <c r="D9492" s="12" t="str">
        <f ca="1">IFERROR(__xludf.DUMMYFUNCTION("""COMPUTED_VALUE"""),"菅野 ぎんが")</f>
        <v>菅野 ぎんが</v>
      </c>
    </row>
    <row r="9493" spans="2:4" ht="13">
      <c r="B9493" s="12">
        <f ca="1">IFERROR(__xludf.DUMMYFUNCTION("""COMPUTED_VALUE"""),3103721)</f>
        <v>3103721</v>
      </c>
      <c r="C9493" s="14">
        <f ca="1">IFERROR(__xludf.DUMMYFUNCTION("""COMPUTED_VALUE"""),0)</f>
        <v>0</v>
      </c>
      <c r="D9493" s="12" t="str">
        <f ca="1">IFERROR(__xludf.DUMMYFUNCTION("""COMPUTED_VALUE"""),"大木 優香")</f>
        <v>大木 優香</v>
      </c>
    </row>
    <row r="9494" spans="2:4" ht="13">
      <c r="B9494" s="12">
        <f ca="1">IFERROR(__xludf.DUMMYFUNCTION("""COMPUTED_VALUE"""),3103722)</f>
        <v>3103722</v>
      </c>
      <c r="C9494" s="14">
        <f ca="1">IFERROR(__xludf.DUMMYFUNCTION("""COMPUTED_VALUE"""),45)</f>
        <v>45</v>
      </c>
      <c r="D9494" s="12" t="str">
        <f ca="1">IFERROR(__xludf.DUMMYFUNCTION("""COMPUTED_VALUE"""),"大木 優香")</f>
        <v>大木 優香</v>
      </c>
    </row>
    <row r="9495" spans="2:4" ht="13">
      <c r="B9495" s="12">
        <f ca="1">IFERROR(__xludf.DUMMYFUNCTION("""COMPUTED_VALUE"""),3103723)</f>
        <v>3103723</v>
      </c>
      <c r="C9495" s="14">
        <f ca="1">IFERROR(__xludf.DUMMYFUNCTION("""COMPUTED_VALUE"""),0)</f>
        <v>0</v>
      </c>
      <c r="D9495" s="12" t="str">
        <f ca="1">IFERROR(__xludf.DUMMYFUNCTION("""COMPUTED_VALUE"""),"大木 優香")</f>
        <v>大木 優香</v>
      </c>
    </row>
    <row r="9496" spans="2:4" ht="13">
      <c r="B9496" s="12">
        <f ca="1">IFERROR(__xludf.DUMMYFUNCTION("""COMPUTED_VALUE"""),3103724)</f>
        <v>3103724</v>
      </c>
      <c r="C9496" s="14">
        <f ca="1">IFERROR(__xludf.DUMMYFUNCTION("""COMPUTED_VALUE"""),13)</f>
        <v>13</v>
      </c>
      <c r="D9496" s="12" t="str">
        <f ca="1">IFERROR(__xludf.DUMMYFUNCTION("""COMPUTED_VALUE"""),"老田 純輝")</f>
        <v>老田 純輝</v>
      </c>
    </row>
    <row r="9497" spans="2:4" ht="13">
      <c r="B9497" s="12">
        <f ca="1">IFERROR(__xludf.DUMMYFUNCTION("""COMPUTED_VALUE"""),3103725)</f>
        <v>3103725</v>
      </c>
      <c r="C9497" s="14">
        <f ca="1">IFERROR(__xludf.DUMMYFUNCTION("""COMPUTED_VALUE"""),1)</f>
        <v>1</v>
      </c>
      <c r="D9497" s="12" t="str">
        <f ca="1">IFERROR(__xludf.DUMMYFUNCTION("""COMPUTED_VALUE"""),"老田 純輝")</f>
        <v>老田 純輝</v>
      </c>
    </row>
    <row r="9498" spans="2:4" ht="13">
      <c r="B9498" s="12">
        <f ca="1">IFERROR(__xludf.DUMMYFUNCTION("""COMPUTED_VALUE"""),3103726)</f>
        <v>3103726</v>
      </c>
      <c r="C9498" s="14">
        <f ca="1">IFERROR(__xludf.DUMMYFUNCTION("""COMPUTED_VALUE"""),1)</f>
        <v>1</v>
      </c>
      <c r="D9498" s="12" t="str">
        <f ca="1">IFERROR(__xludf.DUMMYFUNCTION("""COMPUTED_VALUE"""),"川島 幹也")</f>
        <v>川島 幹也</v>
      </c>
    </row>
    <row r="9499" spans="2:4" ht="13">
      <c r="B9499" s="12">
        <f ca="1">IFERROR(__xludf.DUMMYFUNCTION("""COMPUTED_VALUE"""),3103727)</f>
        <v>3103727</v>
      </c>
      <c r="C9499" s="14">
        <f ca="1">IFERROR(__xludf.DUMMYFUNCTION("""COMPUTED_VALUE"""),0)</f>
        <v>0</v>
      </c>
      <c r="D9499" s="12" t="str">
        <f ca="1">IFERROR(__xludf.DUMMYFUNCTION("""COMPUTED_VALUE"""),"小川 純")</f>
        <v>小川 純</v>
      </c>
    </row>
    <row r="9500" spans="2:4" ht="13">
      <c r="B9500" s="12">
        <f ca="1">IFERROR(__xludf.DUMMYFUNCTION("""COMPUTED_VALUE"""),3103728)</f>
        <v>3103728</v>
      </c>
      <c r="C9500" s="14">
        <f ca="1">IFERROR(__xludf.DUMMYFUNCTION("""COMPUTED_VALUE"""),0)</f>
        <v>0</v>
      </c>
      <c r="D9500" s="12" t="str">
        <f ca="1">IFERROR(__xludf.DUMMYFUNCTION("""COMPUTED_VALUE"""),"小川 純")</f>
        <v>小川 純</v>
      </c>
    </row>
    <row r="9501" spans="2:4" ht="13">
      <c r="B9501" s="12">
        <f ca="1">IFERROR(__xludf.DUMMYFUNCTION("""COMPUTED_VALUE"""),3103729)</f>
        <v>3103729</v>
      </c>
      <c r="C9501" s="14">
        <f ca="1">IFERROR(__xludf.DUMMYFUNCTION("""COMPUTED_VALUE"""),0)</f>
        <v>0</v>
      </c>
      <c r="D9501" s="12" t="str">
        <f ca="1">IFERROR(__xludf.DUMMYFUNCTION("""COMPUTED_VALUE"""),"森 光智")</f>
        <v>森 光智</v>
      </c>
    </row>
    <row r="9502" spans="2:4" ht="13">
      <c r="B9502" s="12">
        <f ca="1">IFERROR(__xludf.DUMMYFUNCTION("""COMPUTED_VALUE"""),3103730)</f>
        <v>3103730</v>
      </c>
      <c r="C9502" s="14">
        <f ca="1">IFERROR(__xludf.DUMMYFUNCTION("""COMPUTED_VALUE"""),0)</f>
        <v>0</v>
      </c>
      <c r="D9502" s="12" t="str">
        <f ca="1">IFERROR(__xludf.DUMMYFUNCTION("""COMPUTED_VALUE"""),"小川 純")</f>
        <v>小川 純</v>
      </c>
    </row>
    <row r="9503" spans="2:4" ht="13">
      <c r="B9503" s="12">
        <f ca="1">IFERROR(__xludf.DUMMYFUNCTION("""COMPUTED_VALUE"""),3103731)</f>
        <v>3103731</v>
      </c>
      <c r="C9503" s="14">
        <f ca="1">IFERROR(__xludf.DUMMYFUNCTION("""COMPUTED_VALUE"""),0)</f>
        <v>0</v>
      </c>
      <c r="D9503" s="12" t="str">
        <f ca="1">IFERROR(__xludf.DUMMYFUNCTION("""COMPUTED_VALUE"""),"田嶋 将太")</f>
        <v>田嶋 将太</v>
      </c>
    </row>
    <row r="9504" spans="2:4" ht="13">
      <c r="B9504" s="12">
        <f ca="1">IFERROR(__xludf.DUMMYFUNCTION("""COMPUTED_VALUE"""),3103732)</f>
        <v>3103732</v>
      </c>
      <c r="C9504" s="14">
        <f ca="1">IFERROR(__xludf.DUMMYFUNCTION("""COMPUTED_VALUE"""),1)</f>
        <v>1</v>
      </c>
      <c r="D9504" s="12" t="str">
        <f ca="1">IFERROR(__xludf.DUMMYFUNCTION("""COMPUTED_VALUE"""),"老田 純輝")</f>
        <v>老田 純輝</v>
      </c>
    </row>
    <row r="9505" spans="2:4" ht="13">
      <c r="B9505" s="12">
        <f ca="1">IFERROR(__xludf.DUMMYFUNCTION("""COMPUTED_VALUE"""),3103733)</f>
        <v>3103733</v>
      </c>
      <c r="C9505" s="14">
        <f ca="1">IFERROR(__xludf.DUMMYFUNCTION("""COMPUTED_VALUE"""),0)</f>
        <v>0</v>
      </c>
      <c r="D9505" s="12" t="str">
        <f ca="1">IFERROR(__xludf.DUMMYFUNCTION("""COMPUTED_VALUE"""),"内丸 裕子")</f>
        <v>内丸 裕子</v>
      </c>
    </row>
    <row r="9506" spans="2:4" ht="13">
      <c r="B9506" s="12">
        <f ca="1">IFERROR(__xludf.DUMMYFUNCTION("""COMPUTED_VALUE"""),3103734)</f>
        <v>3103734</v>
      </c>
      <c r="C9506" s="14">
        <f ca="1">IFERROR(__xludf.DUMMYFUNCTION("""COMPUTED_VALUE"""),40)</f>
        <v>40</v>
      </c>
      <c r="D9506" s="12" t="str">
        <f ca="1">IFERROR(__xludf.DUMMYFUNCTION("""COMPUTED_VALUE"""),"村上 浩一朗")</f>
        <v>村上 浩一朗</v>
      </c>
    </row>
    <row r="9507" spans="2:4" ht="13">
      <c r="B9507" s="12">
        <f ca="1">IFERROR(__xludf.DUMMYFUNCTION("""COMPUTED_VALUE"""),3103735)</f>
        <v>3103735</v>
      </c>
      <c r="C9507" s="14">
        <f ca="1">IFERROR(__xludf.DUMMYFUNCTION("""COMPUTED_VALUE"""),14)</f>
        <v>14</v>
      </c>
      <c r="D9507" s="12" t="str">
        <f ca="1">IFERROR(__xludf.DUMMYFUNCTION("""COMPUTED_VALUE"""),"川島 幹也")</f>
        <v>川島 幹也</v>
      </c>
    </row>
    <row r="9508" spans="2:4" ht="13">
      <c r="B9508" s="12">
        <f ca="1">IFERROR(__xludf.DUMMYFUNCTION("""COMPUTED_VALUE"""),3103736)</f>
        <v>3103736</v>
      </c>
      <c r="C9508" s="14">
        <f ca="1">IFERROR(__xludf.DUMMYFUNCTION("""COMPUTED_VALUE"""),0)</f>
        <v>0</v>
      </c>
      <c r="D9508" s="12" t="str">
        <f ca="1">IFERROR(__xludf.DUMMYFUNCTION("""COMPUTED_VALUE"""),"栗原 大武")</f>
        <v>栗原 大武</v>
      </c>
    </row>
    <row r="9509" spans="2:4" ht="13">
      <c r="B9509" s="12">
        <f ca="1">IFERROR(__xludf.DUMMYFUNCTION("""COMPUTED_VALUE"""),3103737)</f>
        <v>3103737</v>
      </c>
      <c r="C9509" s="14">
        <f ca="1">IFERROR(__xludf.DUMMYFUNCTION("""COMPUTED_VALUE"""),16)</f>
        <v>16</v>
      </c>
      <c r="D9509" s="12" t="str">
        <f ca="1">IFERROR(__xludf.DUMMYFUNCTION("""COMPUTED_VALUE"""),"桐山 勝気")</f>
        <v>桐山 勝気</v>
      </c>
    </row>
    <row r="9510" spans="2:4" ht="13">
      <c r="B9510" s="12">
        <f ca="1">IFERROR(__xludf.DUMMYFUNCTION("""COMPUTED_VALUE"""),3103738)</f>
        <v>3103738</v>
      </c>
      <c r="C9510" s="14">
        <f ca="1">IFERROR(__xludf.DUMMYFUNCTION("""COMPUTED_VALUE"""),0)</f>
        <v>0</v>
      </c>
      <c r="D9510" s="12" t="str">
        <f ca="1">IFERROR(__xludf.DUMMYFUNCTION("""COMPUTED_VALUE"""),"堀越 駿")</f>
        <v>堀越 駿</v>
      </c>
    </row>
    <row r="9511" spans="2:4" ht="13">
      <c r="B9511" s="12">
        <f ca="1">IFERROR(__xludf.DUMMYFUNCTION("""COMPUTED_VALUE"""),3103739)</f>
        <v>3103739</v>
      </c>
      <c r="C9511" s="14">
        <f ca="1">IFERROR(__xludf.DUMMYFUNCTION("""COMPUTED_VALUE"""),0)</f>
        <v>0</v>
      </c>
      <c r="D9511" s="12" t="str">
        <f ca="1">IFERROR(__xludf.DUMMYFUNCTION("""COMPUTED_VALUE"""),"渋谷 雄大")</f>
        <v>渋谷 雄大</v>
      </c>
    </row>
    <row r="9512" spans="2:4" ht="13">
      <c r="B9512" s="12">
        <f ca="1">IFERROR(__xludf.DUMMYFUNCTION("""COMPUTED_VALUE"""),3103740)</f>
        <v>3103740</v>
      </c>
      <c r="C9512" s="14">
        <f ca="1">IFERROR(__xludf.DUMMYFUNCTION("""COMPUTED_VALUE"""),0)</f>
        <v>0</v>
      </c>
      <c r="D9512" s="12" t="str">
        <f ca="1">IFERROR(__xludf.DUMMYFUNCTION("""COMPUTED_VALUE"""),"村上 浩一朗")</f>
        <v>村上 浩一朗</v>
      </c>
    </row>
    <row r="9513" spans="2:4" ht="13">
      <c r="B9513" s="12">
        <f ca="1">IFERROR(__xludf.DUMMYFUNCTION("""COMPUTED_VALUE"""),3103741)</f>
        <v>3103741</v>
      </c>
      <c r="C9513" s="14">
        <f ca="1">IFERROR(__xludf.DUMMYFUNCTION("""COMPUTED_VALUE"""),0)</f>
        <v>0</v>
      </c>
      <c r="D9513" s="12" t="str">
        <f ca="1">IFERROR(__xludf.DUMMYFUNCTION("""COMPUTED_VALUE"""),"小川 純")</f>
        <v>小川 純</v>
      </c>
    </row>
    <row r="9514" spans="2:4" ht="13">
      <c r="B9514" s="12">
        <f ca="1">IFERROR(__xludf.DUMMYFUNCTION("""COMPUTED_VALUE"""),3103742)</f>
        <v>3103742</v>
      </c>
      <c r="C9514" s="14">
        <f ca="1">IFERROR(__xludf.DUMMYFUNCTION("""COMPUTED_VALUE"""),0)</f>
        <v>0</v>
      </c>
      <c r="D9514" s="12" t="str">
        <f ca="1">IFERROR(__xludf.DUMMYFUNCTION("""COMPUTED_VALUE"""),"桐山 勝気")</f>
        <v>桐山 勝気</v>
      </c>
    </row>
    <row r="9515" spans="2:4" ht="13">
      <c r="B9515" s="12">
        <f ca="1">IFERROR(__xludf.DUMMYFUNCTION("""COMPUTED_VALUE"""),3103743)</f>
        <v>3103743</v>
      </c>
      <c r="C9515" s="14">
        <f ca="1">IFERROR(__xludf.DUMMYFUNCTION("""COMPUTED_VALUE"""),0)</f>
        <v>0</v>
      </c>
      <c r="D9515" s="12" t="str">
        <f ca="1">IFERROR(__xludf.DUMMYFUNCTION("""COMPUTED_VALUE"""),"奥野 貴大")</f>
        <v>奥野 貴大</v>
      </c>
    </row>
    <row r="9516" spans="2:4" ht="13">
      <c r="B9516" s="12">
        <f ca="1">IFERROR(__xludf.DUMMYFUNCTION("""COMPUTED_VALUE"""),3103744)</f>
        <v>3103744</v>
      </c>
      <c r="C9516" s="14">
        <f ca="1">IFERROR(__xludf.DUMMYFUNCTION("""COMPUTED_VALUE"""),0)</f>
        <v>0</v>
      </c>
      <c r="D9516" s="12" t="str">
        <f ca="1">IFERROR(__xludf.DUMMYFUNCTION("""COMPUTED_VALUE"""),"芳賀 亮輔")</f>
        <v>芳賀 亮輔</v>
      </c>
    </row>
    <row r="9517" spans="2:4" ht="13">
      <c r="B9517" s="12">
        <f ca="1">IFERROR(__xludf.DUMMYFUNCTION("""COMPUTED_VALUE"""),3103745)</f>
        <v>3103745</v>
      </c>
      <c r="C9517" s="14">
        <f ca="1">IFERROR(__xludf.DUMMYFUNCTION("""COMPUTED_VALUE"""),45)</f>
        <v>45</v>
      </c>
      <c r="D9517" s="12" t="str">
        <f ca="1">IFERROR(__xludf.DUMMYFUNCTION("""COMPUTED_VALUE"""),"小関 麻起")</f>
        <v>小関 麻起</v>
      </c>
    </row>
    <row r="9518" spans="2:4" ht="13">
      <c r="B9518" s="12">
        <f ca="1">IFERROR(__xludf.DUMMYFUNCTION("""COMPUTED_VALUE"""),3103746)</f>
        <v>3103746</v>
      </c>
      <c r="C9518" s="14">
        <f ca="1">IFERROR(__xludf.DUMMYFUNCTION("""COMPUTED_VALUE"""),0)</f>
        <v>0</v>
      </c>
      <c r="D9518" s="12" t="str">
        <f ca="1">IFERROR(__xludf.DUMMYFUNCTION("""COMPUTED_VALUE"""),"渋谷 雄大")</f>
        <v>渋谷 雄大</v>
      </c>
    </row>
    <row r="9519" spans="2:4" ht="13">
      <c r="B9519" s="12">
        <f ca="1">IFERROR(__xludf.DUMMYFUNCTION("""COMPUTED_VALUE"""),3103747)</f>
        <v>3103747</v>
      </c>
      <c r="C9519" s="14">
        <f ca="1">IFERROR(__xludf.DUMMYFUNCTION("""COMPUTED_VALUE"""),26)</f>
        <v>26</v>
      </c>
      <c r="D9519" s="12" t="str">
        <f ca="1">IFERROR(__xludf.DUMMYFUNCTION("""COMPUTED_VALUE"""),"奥野 貴大")</f>
        <v>奥野 貴大</v>
      </c>
    </row>
    <row r="9520" spans="2:4" ht="13">
      <c r="B9520" s="12">
        <f ca="1">IFERROR(__xludf.DUMMYFUNCTION("""COMPUTED_VALUE"""),3103748)</f>
        <v>3103748</v>
      </c>
      <c r="C9520" s="14">
        <f ca="1">IFERROR(__xludf.DUMMYFUNCTION("""COMPUTED_VALUE"""),39)</f>
        <v>39</v>
      </c>
      <c r="D9520" s="12" t="str">
        <f ca="1">IFERROR(__xludf.DUMMYFUNCTION("""COMPUTED_VALUE"""),"渋谷 雄大")</f>
        <v>渋谷 雄大</v>
      </c>
    </row>
    <row r="9521" spans="2:4" ht="13">
      <c r="B9521" s="12">
        <f ca="1">IFERROR(__xludf.DUMMYFUNCTION("""COMPUTED_VALUE"""),3103749)</f>
        <v>3103749</v>
      </c>
      <c r="C9521" s="14">
        <f ca="1">IFERROR(__xludf.DUMMYFUNCTION("""COMPUTED_VALUE"""),7)</f>
        <v>7</v>
      </c>
      <c r="D9521" s="12" t="str">
        <f ca="1">IFERROR(__xludf.DUMMYFUNCTION("""COMPUTED_VALUE"""),"渋谷 雄大")</f>
        <v>渋谷 雄大</v>
      </c>
    </row>
    <row r="9522" spans="2:4" ht="13">
      <c r="B9522" s="12">
        <f ca="1">IFERROR(__xludf.DUMMYFUNCTION("""COMPUTED_VALUE"""),3103750)</f>
        <v>3103750</v>
      </c>
      <c r="C9522" s="14">
        <f ca="1">IFERROR(__xludf.DUMMYFUNCTION("""COMPUTED_VALUE"""),0)</f>
        <v>0</v>
      </c>
      <c r="D9522" s="12" t="str">
        <f ca="1">IFERROR(__xludf.DUMMYFUNCTION("""COMPUTED_VALUE"""),"大木 優香")</f>
        <v>大木 優香</v>
      </c>
    </row>
    <row r="9523" spans="2:4" ht="13">
      <c r="B9523" s="12">
        <f ca="1">IFERROR(__xludf.DUMMYFUNCTION("""COMPUTED_VALUE"""),3103751)</f>
        <v>3103751</v>
      </c>
      <c r="C9523" s="14">
        <f ca="1">IFERROR(__xludf.DUMMYFUNCTION("""COMPUTED_VALUE"""),0)</f>
        <v>0</v>
      </c>
      <c r="D9523" s="12" t="str">
        <f ca="1">IFERROR(__xludf.DUMMYFUNCTION("""COMPUTED_VALUE"""),"渋谷 雄大")</f>
        <v>渋谷 雄大</v>
      </c>
    </row>
    <row r="9524" spans="2:4" ht="13">
      <c r="B9524" s="12">
        <f ca="1">IFERROR(__xludf.DUMMYFUNCTION("""COMPUTED_VALUE"""),3103752)</f>
        <v>3103752</v>
      </c>
      <c r="C9524" s="14">
        <f ca="1">IFERROR(__xludf.DUMMYFUNCTION("""COMPUTED_VALUE"""),3)</f>
        <v>3</v>
      </c>
      <c r="D9524" s="12" t="str">
        <f ca="1">IFERROR(__xludf.DUMMYFUNCTION("""COMPUTED_VALUE"""),"老田 純輝")</f>
        <v>老田 純輝</v>
      </c>
    </row>
    <row r="9525" spans="2:4" ht="13">
      <c r="B9525" s="12">
        <f ca="1">IFERROR(__xludf.DUMMYFUNCTION("""COMPUTED_VALUE"""),3103753)</f>
        <v>3103753</v>
      </c>
      <c r="C9525" s="14">
        <f ca="1">IFERROR(__xludf.DUMMYFUNCTION("""COMPUTED_VALUE"""),0)</f>
        <v>0</v>
      </c>
      <c r="D9525" s="12" t="str">
        <f ca="1">IFERROR(__xludf.DUMMYFUNCTION("""COMPUTED_VALUE"""),"辻村 将大")</f>
        <v>辻村 将大</v>
      </c>
    </row>
    <row r="9526" spans="2:4" ht="13">
      <c r="B9526" s="12">
        <f ca="1">IFERROR(__xludf.DUMMYFUNCTION("""COMPUTED_VALUE"""),3103754)</f>
        <v>3103754</v>
      </c>
      <c r="C9526" s="14">
        <f ca="1">IFERROR(__xludf.DUMMYFUNCTION("""COMPUTED_VALUE"""),0)</f>
        <v>0</v>
      </c>
      <c r="D9526" s="12" t="str">
        <f ca="1">IFERROR(__xludf.DUMMYFUNCTION("""COMPUTED_VALUE"""),"小川 純")</f>
        <v>小川 純</v>
      </c>
    </row>
    <row r="9527" spans="2:4" ht="13">
      <c r="B9527" s="12">
        <f ca="1">IFERROR(__xludf.DUMMYFUNCTION("""COMPUTED_VALUE"""),3103755)</f>
        <v>3103755</v>
      </c>
      <c r="C9527" s="14">
        <f ca="1">IFERROR(__xludf.DUMMYFUNCTION("""COMPUTED_VALUE"""),15)</f>
        <v>15</v>
      </c>
      <c r="D9527" s="12" t="str">
        <f ca="1">IFERROR(__xludf.DUMMYFUNCTION("""COMPUTED_VALUE"""),"渋谷 雄大")</f>
        <v>渋谷 雄大</v>
      </c>
    </row>
    <row r="9528" spans="2:4" ht="13">
      <c r="B9528" s="12">
        <f ca="1">IFERROR(__xludf.DUMMYFUNCTION("""COMPUTED_VALUE"""),3103756)</f>
        <v>3103756</v>
      </c>
      <c r="C9528" s="14">
        <f ca="1">IFERROR(__xludf.DUMMYFUNCTION("""COMPUTED_VALUE"""),15)</f>
        <v>15</v>
      </c>
      <c r="D9528" s="12" t="str">
        <f ca="1">IFERROR(__xludf.DUMMYFUNCTION("""COMPUTED_VALUE"""),"村上 浩一朗")</f>
        <v>村上 浩一朗</v>
      </c>
    </row>
    <row r="9529" spans="2:4" ht="13">
      <c r="B9529" s="12">
        <f ca="1">IFERROR(__xludf.DUMMYFUNCTION("""COMPUTED_VALUE"""),3103757)</f>
        <v>3103757</v>
      </c>
      <c r="C9529" s="14">
        <f ca="1">IFERROR(__xludf.DUMMYFUNCTION("""COMPUTED_VALUE"""),13)</f>
        <v>13</v>
      </c>
      <c r="D9529" s="12" t="str">
        <f ca="1">IFERROR(__xludf.DUMMYFUNCTION("""COMPUTED_VALUE"""),"小川 純")</f>
        <v>小川 純</v>
      </c>
    </row>
    <row r="9530" spans="2:4" ht="13">
      <c r="B9530" s="12">
        <f ca="1">IFERROR(__xludf.DUMMYFUNCTION("""COMPUTED_VALUE"""),3103758)</f>
        <v>3103758</v>
      </c>
      <c r="C9530" s="14">
        <f ca="1">IFERROR(__xludf.DUMMYFUNCTION("""COMPUTED_VALUE"""),0)</f>
        <v>0</v>
      </c>
      <c r="D9530" s="12" t="str">
        <f ca="1">IFERROR(__xludf.DUMMYFUNCTION("""COMPUTED_VALUE"""),"芳賀 亮輔")</f>
        <v>芳賀 亮輔</v>
      </c>
    </row>
    <row r="9531" spans="2:4" ht="13">
      <c r="B9531" s="12">
        <f ca="1">IFERROR(__xludf.DUMMYFUNCTION("""COMPUTED_VALUE"""),3103759)</f>
        <v>3103759</v>
      </c>
      <c r="C9531" s="14">
        <f ca="1">IFERROR(__xludf.DUMMYFUNCTION("""COMPUTED_VALUE"""),2)</f>
        <v>2</v>
      </c>
      <c r="D9531" s="12" t="str">
        <f ca="1">IFERROR(__xludf.DUMMYFUNCTION("""COMPUTED_VALUE"""),"老田 純輝")</f>
        <v>老田 純輝</v>
      </c>
    </row>
    <row r="9532" spans="2:4" ht="13">
      <c r="B9532" s="12">
        <f ca="1">IFERROR(__xludf.DUMMYFUNCTION("""COMPUTED_VALUE"""),3103760)</f>
        <v>3103760</v>
      </c>
      <c r="C9532" s="14">
        <f ca="1">IFERROR(__xludf.DUMMYFUNCTION("""COMPUTED_VALUE"""),0)</f>
        <v>0</v>
      </c>
      <c r="D9532" s="12" t="str">
        <f ca="1">IFERROR(__xludf.DUMMYFUNCTION("""COMPUTED_VALUE"""),"老田 純輝")</f>
        <v>老田 純輝</v>
      </c>
    </row>
    <row r="9533" spans="2:4" ht="13">
      <c r="B9533" s="12">
        <f ca="1">IFERROR(__xludf.DUMMYFUNCTION("""COMPUTED_VALUE"""),3103761)</f>
        <v>3103761</v>
      </c>
      <c r="C9533" s="14">
        <f ca="1">IFERROR(__xludf.DUMMYFUNCTION("""COMPUTED_VALUE"""),0)</f>
        <v>0</v>
      </c>
      <c r="D9533" s="12" t="str">
        <f ca="1">IFERROR(__xludf.DUMMYFUNCTION("""COMPUTED_VALUE"""),"田嶋 将太")</f>
        <v>田嶋 将太</v>
      </c>
    </row>
    <row r="9534" spans="2:4" ht="13">
      <c r="B9534" s="12">
        <f ca="1">IFERROR(__xludf.DUMMYFUNCTION("""COMPUTED_VALUE"""),3103763)</f>
        <v>3103763</v>
      </c>
      <c r="C9534" s="14">
        <f ca="1">IFERROR(__xludf.DUMMYFUNCTION("""COMPUTED_VALUE"""),10)</f>
        <v>10</v>
      </c>
      <c r="D9534" s="12" t="str">
        <f ca="1">IFERROR(__xludf.DUMMYFUNCTION("""COMPUTED_VALUE"""),"田嶋 将太")</f>
        <v>田嶋 将太</v>
      </c>
    </row>
    <row r="9535" spans="2:4" ht="13">
      <c r="B9535" s="12">
        <f ca="1">IFERROR(__xludf.DUMMYFUNCTION("""COMPUTED_VALUE"""),3103764)</f>
        <v>3103764</v>
      </c>
      <c r="C9535" s="14">
        <f ca="1">IFERROR(__xludf.DUMMYFUNCTION("""COMPUTED_VALUE"""),0)</f>
        <v>0</v>
      </c>
      <c r="D9535" s="12" t="str">
        <f ca="1">IFERROR(__xludf.DUMMYFUNCTION("""COMPUTED_VALUE"""),"桐山 勝気")</f>
        <v>桐山 勝気</v>
      </c>
    </row>
    <row r="9536" spans="2:4" ht="13">
      <c r="B9536" s="12">
        <f ca="1">IFERROR(__xludf.DUMMYFUNCTION("""COMPUTED_VALUE"""),3103765)</f>
        <v>3103765</v>
      </c>
      <c r="C9536" s="14">
        <f ca="1">IFERROR(__xludf.DUMMYFUNCTION("""COMPUTED_VALUE"""),7)</f>
        <v>7</v>
      </c>
      <c r="D9536" s="12" t="str">
        <f ca="1">IFERROR(__xludf.DUMMYFUNCTION("""COMPUTED_VALUE"""),"桑原 明子")</f>
        <v>桑原 明子</v>
      </c>
    </row>
    <row r="9537" spans="2:4" ht="13">
      <c r="B9537" s="12">
        <f ca="1">IFERROR(__xludf.DUMMYFUNCTION("""COMPUTED_VALUE"""),3103766)</f>
        <v>3103766</v>
      </c>
      <c r="C9537" s="14">
        <f ca="1">IFERROR(__xludf.DUMMYFUNCTION("""COMPUTED_VALUE"""),7)</f>
        <v>7</v>
      </c>
      <c r="D9537" s="12" t="str">
        <f ca="1">IFERROR(__xludf.DUMMYFUNCTION("""COMPUTED_VALUE"""),"桑原 明子")</f>
        <v>桑原 明子</v>
      </c>
    </row>
    <row r="9538" spans="2:4" ht="13">
      <c r="B9538" s="12">
        <f ca="1">IFERROR(__xludf.DUMMYFUNCTION("""COMPUTED_VALUE"""),3103767)</f>
        <v>3103767</v>
      </c>
      <c r="C9538" s="14">
        <f ca="1">IFERROR(__xludf.DUMMYFUNCTION("""COMPUTED_VALUE"""),0)</f>
        <v>0</v>
      </c>
      <c r="D9538" s="12" t="str">
        <f ca="1">IFERROR(__xludf.DUMMYFUNCTION("""COMPUTED_VALUE"""),"小関 麻起")</f>
        <v>小関 麻起</v>
      </c>
    </row>
    <row r="9539" spans="2:4" ht="13">
      <c r="B9539" s="12">
        <f ca="1">IFERROR(__xludf.DUMMYFUNCTION("""COMPUTED_VALUE"""),3103768)</f>
        <v>3103768</v>
      </c>
      <c r="C9539" s="14">
        <f ca="1">IFERROR(__xludf.DUMMYFUNCTION("""COMPUTED_VALUE"""),5)</f>
        <v>5</v>
      </c>
      <c r="D9539" s="12" t="str">
        <f ca="1">IFERROR(__xludf.DUMMYFUNCTION("""COMPUTED_VALUE"""),"松尾 尚樹")</f>
        <v>松尾 尚樹</v>
      </c>
    </row>
    <row r="9540" spans="2:4" ht="13">
      <c r="B9540" s="12">
        <f ca="1">IFERROR(__xludf.DUMMYFUNCTION("""COMPUTED_VALUE"""),3103769)</f>
        <v>3103769</v>
      </c>
      <c r="C9540" s="14">
        <f ca="1">IFERROR(__xludf.DUMMYFUNCTION("""COMPUTED_VALUE"""),0)</f>
        <v>0</v>
      </c>
      <c r="D9540" s="12" t="str">
        <f ca="1">IFERROR(__xludf.DUMMYFUNCTION("""COMPUTED_VALUE"""),"川島 幹也")</f>
        <v>川島 幹也</v>
      </c>
    </row>
    <row r="9541" spans="2:4" ht="13">
      <c r="B9541" s="12">
        <f ca="1">IFERROR(__xludf.DUMMYFUNCTION("""COMPUTED_VALUE"""),3103770)</f>
        <v>3103770</v>
      </c>
      <c r="C9541" s="14">
        <f ca="1">IFERROR(__xludf.DUMMYFUNCTION("""COMPUTED_VALUE"""),0)</f>
        <v>0</v>
      </c>
      <c r="D9541" s="12" t="str">
        <f ca="1">IFERROR(__xludf.DUMMYFUNCTION("""COMPUTED_VALUE"""),"村上 浩一朗")</f>
        <v>村上 浩一朗</v>
      </c>
    </row>
    <row r="9542" spans="2:4" ht="13">
      <c r="B9542" s="12">
        <f ca="1">IFERROR(__xludf.DUMMYFUNCTION("""COMPUTED_VALUE"""),3103771)</f>
        <v>3103771</v>
      </c>
      <c r="C9542" s="14">
        <f ca="1">IFERROR(__xludf.DUMMYFUNCTION("""COMPUTED_VALUE"""),20)</f>
        <v>20</v>
      </c>
      <c r="D9542" s="12" t="str">
        <f ca="1">IFERROR(__xludf.DUMMYFUNCTION("""COMPUTED_VALUE"""),"村上 浩一朗")</f>
        <v>村上 浩一朗</v>
      </c>
    </row>
    <row r="9543" spans="2:4" ht="13">
      <c r="B9543" s="12">
        <f ca="1">IFERROR(__xludf.DUMMYFUNCTION("""COMPUTED_VALUE"""),3103772)</f>
        <v>3103772</v>
      </c>
      <c r="C9543" s="14">
        <f ca="1">IFERROR(__xludf.DUMMYFUNCTION("""COMPUTED_VALUE"""),0)</f>
        <v>0</v>
      </c>
      <c r="D9543" s="12" t="str">
        <f ca="1">IFERROR(__xludf.DUMMYFUNCTION("""COMPUTED_VALUE"""),"村上 浩一朗")</f>
        <v>村上 浩一朗</v>
      </c>
    </row>
    <row r="9544" spans="2:4" ht="13">
      <c r="B9544" s="12">
        <f ca="1">IFERROR(__xludf.DUMMYFUNCTION("""COMPUTED_VALUE"""),3103773)</f>
        <v>3103773</v>
      </c>
      <c r="C9544" s="14">
        <f ca="1">IFERROR(__xludf.DUMMYFUNCTION("""COMPUTED_VALUE"""),12)</f>
        <v>12</v>
      </c>
      <c r="D9544" s="12" t="str">
        <f ca="1">IFERROR(__xludf.DUMMYFUNCTION("""COMPUTED_VALUE"""),"小川 純")</f>
        <v>小川 純</v>
      </c>
    </row>
    <row r="9545" spans="2:4" ht="13">
      <c r="B9545" s="12">
        <f ca="1">IFERROR(__xludf.DUMMYFUNCTION("""COMPUTED_VALUE"""),3103774)</f>
        <v>3103774</v>
      </c>
      <c r="C9545" s="14">
        <f ca="1">IFERROR(__xludf.DUMMYFUNCTION("""COMPUTED_VALUE"""),0)</f>
        <v>0</v>
      </c>
      <c r="D9545" s="12" t="str">
        <f ca="1">IFERROR(__xludf.DUMMYFUNCTION("""COMPUTED_VALUE"""),"小川 純")</f>
        <v>小川 純</v>
      </c>
    </row>
    <row r="9546" spans="2:4" ht="13">
      <c r="B9546" s="12">
        <f ca="1">IFERROR(__xludf.DUMMYFUNCTION("""COMPUTED_VALUE"""),3103775)</f>
        <v>3103775</v>
      </c>
      <c r="C9546" s="14">
        <f ca="1">IFERROR(__xludf.DUMMYFUNCTION("""COMPUTED_VALUE"""),0)</f>
        <v>0</v>
      </c>
      <c r="D9546" s="12" t="str">
        <f ca="1">IFERROR(__xludf.DUMMYFUNCTION("""COMPUTED_VALUE"""),"小川 純")</f>
        <v>小川 純</v>
      </c>
    </row>
    <row r="9547" spans="2:4" ht="13">
      <c r="B9547" s="12">
        <f ca="1">IFERROR(__xludf.DUMMYFUNCTION("""COMPUTED_VALUE"""),3103776)</f>
        <v>3103776</v>
      </c>
      <c r="C9547" s="14">
        <f ca="1">IFERROR(__xludf.DUMMYFUNCTION("""COMPUTED_VALUE"""),0)</f>
        <v>0</v>
      </c>
      <c r="D9547" s="12" t="str">
        <f ca="1">IFERROR(__xludf.DUMMYFUNCTION("""COMPUTED_VALUE"""),"小川 純")</f>
        <v>小川 純</v>
      </c>
    </row>
    <row r="9548" spans="2:4" ht="13">
      <c r="B9548" s="12">
        <f ca="1">IFERROR(__xludf.DUMMYFUNCTION("""COMPUTED_VALUE"""),3103777)</f>
        <v>3103777</v>
      </c>
      <c r="C9548" s="14">
        <f ca="1">IFERROR(__xludf.DUMMYFUNCTION("""COMPUTED_VALUE"""),73)</f>
        <v>73</v>
      </c>
      <c r="D9548" s="12" t="str">
        <f ca="1">IFERROR(__xludf.DUMMYFUNCTION("""COMPUTED_VALUE"""),"松尾 尚樹")</f>
        <v>松尾 尚樹</v>
      </c>
    </row>
    <row r="9549" spans="2:4" ht="13">
      <c r="B9549" s="12">
        <f ca="1">IFERROR(__xludf.DUMMYFUNCTION("""COMPUTED_VALUE"""),3103778)</f>
        <v>3103778</v>
      </c>
      <c r="C9549" s="14">
        <f ca="1">IFERROR(__xludf.DUMMYFUNCTION("""COMPUTED_VALUE"""),18)</f>
        <v>18</v>
      </c>
      <c r="D9549" s="12" t="str">
        <f ca="1">IFERROR(__xludf.DUMMYFUNCTION("""COMPUTED_VALUE"""),"渋谷 雄大")</f>
        <v>渋谷 雄大</v>
      </c>
    </row>
    <row r="9550" spans="2:4" ht="13">
      <c r="B9550" s="12">
        <f ca="1">IFERROR(__xludf.DUMMYFUNCTION("""COMPUTED_VALUE"""),3103779)</f>
        <v>3103779</v>
      </c>
      <c r="C9550" s="14">
        <f ca="1">IFERROR(__xludf.DUMMYFUNCTION("""COMPUTED_VALUE"""),0)</f>
        <v>0</v>
      </c>
      <c r="D9550" s="12" t="str">
        <f ca="1">IFERROR(__xludf.DUMMYFUNCTION("""COMPUTED_VALUE"""),"大木 優香")</f>
        <v>大木 優香</v>
      </c>
    </row>
    <row r="9551" spans="2:4" ht="13">
      <c r="B9551" s="12">
        <f ca="1">IFERROR(__xludf.DUMMYFUNCTION("""COMPUTED_VALUE"""),3103780)</f>
        <v>3103780</v>
      </c>
      <c r="C9551" s="14">
        <f ca="1">IFERROR(__xludf.DUMMYFUNCTION("""COMPUTED_VALUE"""),0)</f>
        <v>0</v>
      </c>
      <c r="D9551" s="12" t="str">
        <f ca="1">IFERROR(__xludf.DUMMYFUNCTION("""COMPUTED_VALUE"""),"大木 優香")</f>
        <v>大木 優香</v>
      </c>
    </row>
    <row r="9552" spans="2:4" ht="13">
      <c r="B9552" s="12">
        <f ca="1">IFERROR(__xludf.DUMMYFUNCTION("""COMPUTED_VALUE"""),3103781)</f>
        <v>3103781</v>
      </c>
      <c r="C9552" s="14">
        <f ca="1">IFERROR(__xludf.DUMMYFUNCTION("""COMPUTED_VALUE"""),8)</f>
        <v>8</v>
      </c>
      <c r="D9552" s="12" t="str">
        <f ca="1">IFERROR(__xludf.DUMMYFUNCTION("""COMPUTED_VALUE"""),"桑原 明子")</f>
        <v>桑原 明子</v>
      </c>
    </row>
    <row r="9553" spans="2:4" ht="13">
      <c r="B9553" s="12">
        <f ca="1">IFERROR(__xludf.DUMMYFUNCTION("""COMPUTED_VALUE"""),3103782)</f>
        <v>3103782</v>
      </c>
      <c r="C9553" s="14">
        <f ca="1">IFERROR(__xludf.DUMMYFUNCTION("""COMPUTED_VALUE"""),39)</f>
        <v>39</v>
      </c>
      <c r="D9553" s="12" t="str">
        <f ca="1">IFERROR(__xludf.DUMMYFUNCTION("""COMPUTED_VALUE"""),"芳賀 亮輔")</f>
        <v>芳賀 亮輔</v>
      </c>
    </row>
    <row r="9554" spans="2:4" ht="13">
      <c r="B9554" s="12">
        <f ca="1">IFERROR(__xludf.DUMMYFUNCTION("""COMPUTED_VALUE"""),3103783)</f>
        <v>3103783</v>
      </c>
      <c r="C9554" s="14">
        <f ca="1">IFERROR(__xludf.DUMMYFUNCTION("""COMPUTED_VALUE"""),7)</f>
        <v>7</v>
      </c>
      <c r="D9554" s="12" t="str">
        <f ca="1">IFERROR(__xludf.DUMMYFUNCTION("""COMPUTED_VALUE"""),"芳賀 亮輔")</f>
        <v>芳賀 亮輔</v>
      </c>
    </row>
    <row r="9555" spans="2:4" ht="13">
      <c r="B9555" s="12">
        <f ca="1">IFERROR(__xludf.DUMMYFUNCTION("""COMPUTED_VALUE"""),3103784)</f>
        <v>3103784</v>
      </c>
      <c r="C9555" s="14">
        <f ca="1">IFERROR(__xludf.DUMMYFUNCTION("""COMPUTED_VALUE"""),14)</f>
        <v>14</v>
      </c>
      <c r="D9555" s="12" t="str">
        <f ca="1">IFERROR(__xludf.DUMMYFUNCTION("""COMPUTED_VALUE"""),"芳賀 亮輔")</f>
        <v>芳賀 亮輔</v>
      </c>
    </row>
    <row r="9556" spans="2:4" ht="13">
      <c r="B9556" s="12">
        <f ca="1">IFERROR(__xludf.DUMMYFUNCTION("""COMPUTED_VALUE"""),3103785)</f>
        <v>3103785</v>
      </c>
      <c r="C9556" s="14">
        <f ca="1">IFERROR(__xludf.DUMMYFUNCTION("""COMPUTED_VALUE"""),11)</f>
        <v>11</v>
      </c>
      <c r="D9556" s="12" t="str">
        <f ca="1">IFERROR(__xludf.DUMMYFUNCTION("""COMPUTED_VALUE"""),"渋谷 雄大")</f>
        <v>渋谷 雄大</v>
      </c>
    </row>
    <row r="9557" spans="2:4" ht="13">
      <c r="B9557" s="12">
        <f ca="1">IFERROR(__xludf.DUMMYFUNCTION("""COMPUTED_VALUE"""),3103786)</f>
        <v>3103786</v>
      </c>
      <c r="C9557" s="14">
        <f ca="1">IFERROR(__xludf.DUMMYFUNCTION("""COMPUTED_VALUE"""),0)</f>
        <v>0</v>
      </c>
      <c r="D9557" s="12" t="str">
        <f ca="1">IFERROR(__xludf.DUMMYFUNCTION("""COMPUTED_VALUE"""),"老田 純輝")</f>
        <v>老田 純輝</v>
      </c>
    </row>
    <row r="9558" spans="2:4" ht="13">
      <c r="B9558" s="12">
        <f ca="1">IFERROR(__xludf.DUMMYFUNCTION("""COMPUTED_VALUE"""),3103787)</f>
        <v>3103787</v>
      </c>
      <c r="C9558" s="14">
        <f ca="1">IFERROR(__xludf.DUMMYFUNCTION("""COMPUTED_VALUE"""),0)</f>
        <v>0</v>
      </c>
      <c r="D9558" s="12" t="str">
        <f ca="1">IFERROR(__xludf.DUMMYFUNCTION("""COMPUTED_VALUE"""),"川島 幹也")</f>
        <v>川島 幹也</v>
      </c>
    </row>
    <row r="9559" spans="2:4" ht="13">
      <c r="B9559" s="12">
        <f ca="1">IFERROR(__xludf.DUMMYFUNCTION("""COMPUTED_VALUE"""),3103788)</f>
        <v>3103788</v>
      </c>
      <c r="C9559" s="14">
        <f ca="1">IFERROR(__xludf.DUMMYFUNCTION("""COMPUTED_VALUE"""),0)</f>
        <v>0</v>
      </c>
      <c r="D9559" s="12" t="str">
        <f ca="1">IFERROR(__xludf.DUMMYFUNCTION("""COMPUTED_VALUE"""),"川島 幹也")</f>
        <v>川島 幹也</v>
      </c>
    </row>
    <row r="9560" spans="2:4" ht="13">
      <c r="B9560" s="12">
        <f ca="1">IFERROR(__xludf.DUMMYFUNCTION("""COMPUTED_VALUE"""),3103789)</f>
        <v>3103789</v>
      </c>
      <c r="C9560" s="14">
        <f ca="1">IFERROR(__xludf.DUMMYFUNCTION("""COMPUTED_VALUE"""),0)</f>
        <v>0</v>
      </c>
      <c r="D9560" s="12" t="str">
        <f ca="1">IFERROR(__xludf.DUMMYFUNCTION("""COMPUTED_VALUE"""),"荻曽 克輝")</f>
        <v>荻曽 克輝</v>
      </c>
    </row>
    <row r="9561" spans="2:4" ht="13">
      <c r="B9561" s="12">
        <f ca="1">IFERROR(__xludf.DUMMYFUNCTION("""COMPUTED_VALUE"""),3103790)</f>
        <v>3103790</v>
      </c>
      <c r="C9561" s="14">
        <f ca="1">IFERROR(__xludf.DUMMYFUNCTION("""COMPUTED_VALUE"""),0)</f>
        <v>0</v>
      </c>
      <c r="D9561" s="12" t="str">
        <f ca="1">IFERROR(__xludf.DUMMYFUNCTION("""COMPUTED_VALUE"""),"村上 浩一朗")</f>
        <v>村上 浩一朗</v>
      </c>
    </row>
    <row r="9562" spans="2:4" ht="13">
      <c r="B9562" s="12">
        <f ca="1">IFERROR(__xludf.DUMMYFUNCTION("""COMPUTED_VALUE"""),3103791)</f>
        <v>3103791</v>
      </c>
      <c r="C9562" s="14">
        <f ca="1">IFERROR(__xludf.DUMMYFUNCTION("""COMPUTED_VALUE"""),4)</f>
        <v>4</v>
      </c>
      <c r="D9562" s="12" t="str">
        <f ca="1">IFERROR(__xludf.DUMMYFUNCTION("""COMPUTED_VALUE"""),"村上 浩一朗")</f>
        <v>村上 浩一朗</v>
      </c>
    </row>
    <row r="9563" spans="2:4" ht="13">
      <c r="B9563" s="12">
        <f ca="1">IFERROR(__xludf.DUMMYFUNCTION("""COMPUTED_VALUE"""),3103792)</f>
        <v>3103792</v>
      </c>
      <c r="C9563" s="14">
        <f ca="1">IFERROR(__xludf.DUMMYFUNCTION("""COMPUTED_VALUE"""),112)</f>
        <v>112</v>
      </c>
      <c r="D9563" s="12" t="str">
        <f ca="1">IFERROR(__xludf.DUMMYFUNCTION("""COMPUTED_VALUE"""),"小川 純")</f>
        <v>小川 純</v>
      </c>
    </row>
    <row r="9564" spans="2:4" ht="13">
      <c r="B9564" s="12">
        <f ca="1">IFERROR(__xludf.DUMMYFUNCTION("""COMPUTED_VALUE"""),3103793)</f>
        <v>3103793</v>
      </c>
      <c r="C9564" s="14">
        <f ca="1">IFERROR(__xludf.DUMMYFUNCTION("""COMPUTED_VALUE"""),14)</f>
        <v>14</v>
      </c>
      <c r="D9564" s="12" t="str">
        <f ca="1">IFERROR(__xludf.DUMMYFUNCTION("""COMPUTED_VALUE"""),"渋谷 雄大")</f>
        <v>渋谷 雄大</v>
      </c>
    </row>
    <row r="9565" spans="2:4" ht="13">
      <c r="B9565" s="12">
        <f ca="1">IFERROR(__xludf.DUMMYFUNCTION("""COMPUTED_VALUE"""),3103794)</f>
        <v>3103794</v>
      </c>
      <c r="C9565" s="14">
        <f ca="1">IFERROR(__xludf.DUMMYFUNCTION("""COMPUTED_VALUE"""),2)</f>
        <v>2</v>
      </c>
      <c r="D9565" s="12" t="str">
        <f ca="1">IFERROR(__xludf.DUMMYFUNCTION("""COMPUTED_VALUE"""),"渋谷 雄大")</f>
        <v>渋谷 雄大</v>
      </c>
    </row>
    <row r="9566" spans="2:4" ht="13">
      <c r="B9566" s="12">
        <f ca="1">IFERROR(__xludf.DUMMYFUNCTION("""COMPUTED_VALUE"""),3103795)</f>
        <v>3103795</v>
      </c>
      <c r="C9566" s="14">
        <f ca="1">IFERROR(__xludf.DUMMYFUNCTION("""COMPUTED_VALUE"""),0)</f>
        <v>0</v>
      </c>
      <c r="D9566" s="12" t="str">
        <f ca="1">IFERROR(__xludf.DUMMYFUNCTION("""COMPUTED_VALUE"""),"堀越 駿")</f>
        <v>堀越 駿</v>
      </c>
    </row>
    <row r="9567" spans="2:4" ht="13">
      <c r="B9567" s="12">
        <f ca="1">IFERROR(__xludf.DUMMYFUNCTION("""COMPUTED_VALUE"""),3103796)</f>
        <v>3103796</v>
      </c>
      <c r="C9567" s="14">
        <f ca="1">IFERROR(__xludf.DUMMYFUNCTION("""COMPUTED_VALUE"""),39)</f>
        <v>39</v>
      </c>
      <c r="D9567" s="12" t="str">
        <f ca="1">IFERROR(__xludf.DUMMYFUNCTION("""COMPUTED_VALUE"""),"堀越 駿")</f>
        <v>堀越 駿</v>
      </c>
    </row>
    <row r="9568" spans="2:4" ht="13">
      <c r="B9568" s="12">
        <f ca="1">IFERROR(__xludf.DUMMYFUNCTION("""COMPUTED_VALUE"""),3103797)</f>
        <v>3103797</v>
      </c>
      <c r="C9568" s="14">
        <f ca="1">IFERROR(__xludf.DUMMYFUNCTION("""COMPUTED_VALUE"""),2)</f>
        <v>2</v>
      </c>
      <c r="D9568" s="12" t="str">
        <f ca="1">IFERROR(__xludf.DUMMYFUNCTION("""COMPUTED_VALUE"""),"長谷川 陸朗")</f>
        <v>長谷川 陸朗</v>
      </c>
    </row>
    <row r="9569" spans="2:4" ht="13">
      <c r="B9569" s="12">
        <f ca="1">IFERROR(__xludf.DUMMYFUNCTION("""COMPUTED_VALUE"""),3103798)</f>
        <v>3103798</v>
      </c>
      <c r="C9569" s="14">
        <f ca="1">IFERROR(__xludf.DUMMYFUNCTION("""COMPUTED_VALUE"""),7)</f>
        <v>7</v>
      </c>
      <c r="D9569" s="12" t="str">
        <f ca="1">IFERROR(__xludf.DUMMYFUNCTION("""COMPUTED_VALUE"""),"小関 麻起")</f>
        <v>小関 麻起</v>
      </c>
    </row>
    <row r="9570" spans="2:4" ht="13">
      <c r="B9570" s="12">
        <f ca="1">IFERROR(__xludf.DUMMYFUNCTION("""COMPUTED_VALUE"""),3103799)</f>
        <v>3103799</v>
      </c>
      <c r="C9570" s="14">
        <f ca="1">IFERROR(__xludf.DUMMYFUNCTION("""COMPUTED_VALUE"""),2)</f>
        <v>2</v>
      </c>
      <c r="D9570" s="12" t="str">
        <f ca="1">IFERROR(__xludf.DUMMYFUNCTION("""COMPUTED_VALUE"""),"老田 純輝")</f>
        <v>老田 純輝</v>
      </c>
    </row>
    <row r="9571" spans="2:4" ht="13">
      <c r="B9571" s="12">
        <f ca="1">IFERROR(__xludf.DUMMYFUNCTION("""COMPUTED_VALUE"""),3103800)</f>
        <v>3103800</v>
      </c>
      <c r="C9571" s="14">
        <f ca="1">IFERROR(__xludf.DUMMYFUNCTION("""COMPUTED_VALUE"""),56)</f>
        <v>56</v>
      </c>
      <c r="D9571" s="12" t="str">
        <f ca="1">IFERROR(__xludf.DUMMYFUNCTION("""COMPUTED_VALUE"""),"荻曽 克輝")</f>
        <v>荻曽 克輝</v>
      </c>
    </row>
    <row r="9572" spans="2:4" ht="13">
      <c r="B9572" s="12">
        <f ca="1">IFERROR(__xludf.DUMMYFUNCTION("""COMPUTED_VALUE"""),3103801)</f>
        <v>3103801</v>
      </c>
      <c r="C9572" s="14">
        <f ca="1">IFERROR(__xludf.DUMMYFUNCTION("""COMPUTED_VALUE"""),0)</f>
        <v>0</v>
      </c>
      <c r="D9572" s="12" t="str">
        <f ca="1">IFERROR(__xludf.DUMMYFUNCTION("""COMPUTED_VALUE"""),"荻曽 克輝")</f>
        <v>荻曽 克輝</v>
      </c>
    </row>
    <row r="9573" spans="2:4" ht="13">
      <c r="B9573" s="12">
        <f ca="1">IFERROR(__xludf.DUMMYFUNCTION("""COMPUTED_VALUE"""),3103802)</f>
        <v>3103802</v>
      </c>
      <c r="C9573" s="14">
        <f ca="1">IFERROR(__xludf.DUMMYFUNCTION("""COMPUTED_VALUE"""),56)</f>
        <v>56</v>
      </c>
      <c r="D9573" s="12" t="str">
        <f ca="1">IFERROR(__xludf.DUMMYFUNCTION("""COMPUTED_VALUE"""),"荻曽 克輝")</f>
        <v>荻曽 克輝</v>
      </c>
    </row>
    <row r="9574" spans="2:4" ht="13">
      <c r="B9574" s="12">
        <f ca="1">IFERROR(__xludf.DUMMYFUNCTION("""COMPUTED_VALUE"""),3103803)</f>
        <v>3103803</v>
      </c>
      <c r="C9574" s="14">
        <f ca="1">IFERROR(__xludf.DUMMYFUNCTION("""COMPUTED_VALUE"""),0)</f>
        <v>0</v>
      </c>
      <c r="D9574" s="12" t="str">
        <f ca="1">IFERROR(__xludf.DUMMYFUNCTION("""COMPUTED_VALUE"""),"荻曽 克輝")</f>
        <v>荻曽 克輝</v>
      </c>
    </row>
    <row r="9575" spans="2:4" ht="13">
      <c r="B9575" s="12">
        <f ca="1">IFERROR(__xludf.DUMMYFUNCTION("""COMPUTED_VALUE"""),3103804)</f>
        <v>3103804</v>
      </c>
      <c r="C9575" s="14">
        <f ca="1">IFERROR(__xludf.DUMMYFUNCTION("""COMPUTED_VALUE"""),3)</f>
        <v>3</v>
      </c>
      <c r="D9575" s="12" t="str">
        <f ca="1">IFERROR(__xludf.DUMMYFUNCTION("""COMPUTED_VALUE"""),"森 光智")</f>
        <v>森 光智</v>
      </c>
    </row>
    <row r="9576" spans="2:4" ht="13">
      <c r="B9576" s="12">
        <f ca="1">IFERROR(__xludf.DUMMYFUNCTION("""COMPUTED_VALUE"""),3103805)</f>
        <v>3103805</v>
      </c>
      <c r="C9576" s="14">
        <f ca="1">IFERROR(__xludf.DUMMYFUNCTION("""COMPUTED_VALUE"""),0)</f>
        <v>0</v>
      </c>
      <c r="D9576" s="12" t="str">
        <f ca="1">IFERROR(__xludf.DUMMYFUNCTION("""COMPUTED_VALUE"""),"松尾 尚樹")</f>
        <v>松尾 尚樹</v>
      </c>
    </row>
    <row r="9577" spans="2:4" ht="13">
      <c r="B9577" s="12">
        <f ca="1">IFERROR(__xludf.DUMMYFUNCTION("""COMPUTED_VALUE"""),3103806)</f>
        <v>3103806</v>
      </c>
      <c r="C9577" s="14">
        <f ca="1">IFERROR(__xludf.DUMMYFUNCTION("""COMPUTED_VALUE"""),34)</f>
        <v>34</v>
      </c>
      <c r="D9577" s="12" t="str">
        <f ca="1">IFERROR(__xludf.DUMMYFUNCTION("""COMPUTED_VALUE"""),"成嶋 夏未")</f>
        <v>成嶋 夏未</v>
      </c>
    </row>
    <row r="9578" spans="2:4" ht="13">
      <c r="B9578" s="12">
        <f ca="1">IFERROR(__xludf.DUMMYFUNCTION("""COMPUTED_VALUE"""),3103807)</f>
        <v>3103807</v>
      </c>
      <c r="C9578" s="14">
        <f ca="1">IFERROR(__xludf.DUMMYFUNCTION("""COMPUTED_VALUE"""),20)</f>
        <v>20</v>
      </c>
      <c r="D9578" s="12" t="str">
        <f ca="1">IFERROR(__xludf.DUMMYFUNCTION("""COMPUTED_VALUE"""),"田嶋 将太")</f>
        <v>田嶋 将太</v>
      </c>
    </row>
    <row r="9579" spans="2:4" ht="13">
      <c r="B9579" s="12">
        <f ca="1">IFERROR(__xludf.DUMMYFUNCTION("""COMPUTED_VALUE"""),3103808)</f>
        <v>3103808</v>
      </c>
      <c r="C9579" s="14">
        <f ca="1">IFERROR(__xludf.DUMMYFUNCTION("""COMPUTED_VALUE"""),5)</f>
        <v>5</v>
      </c>
      <c r="D9579" s="12" t="str">
        <f ca="1">IFERROR(__xludf.DUMMYFUNCTION("""COMPUTED_VALUE"""),"田嶋 将太")</f>
        <v>田嶋 将太</v>
      </c>
    </row>
    <row r="9580" spans="2:4" ht="13">
      <c r="B9580" s="12">
        <f ca="1">IFERROR(__xludf.DUMMYFUNCTION("""COMPUTED_VALUE"""),3103809)</f>
        <v>3103809</v>
      </c>
      <c r="C9580" s="14">
        <f ca="1">IFERROR(__xludf.DUMMYFUNCTION("""COMPUTED_VALUE"""),24)</f>
        <v>24</v>
      </c>
      <c r="D9580" s="12" t="str">
        <f ca="1">IFERROR(__xludf.DUMMYFUNCTION("""COMPUTED_VALUE"""),"田嶋 将太")</f>
        <v>田嶋 将太</v>
      </c>
    </row>
    <row r="9581" spans="2:4" ht="13">
      <c r="B9581" s="12">
        <f ca="1">IFERROR(__xludf.DUMMYFUNCTION("""COMPUTED_VALUE"""),3103810)</f>
        <v>3103810</v>
      </c>
      <c r="C9581" s="14">
        <f ca="1">IFERROR(__xludf.DUMMYFUNCTION("""COMPUTED_VALUE"""),14)</f>
        <v>14</v>
      </c>
      <c r="D9581" s="12" t="str">
        <f ca="1">IFERROR(__xludf.DUMMYFUNCTION("""COMPUTED_VALUE"""),"田嶋 将太")</f>
        <v>田嶋 将太</v>
      </c>
    </row>
    <row r="9582" spans="2:4" ht="13">
      <c r="B9582" s="12">
        <f ca="1">IFERROR(__xludf.DUMMYFUNCTION("""COMPUTED_VALUE"""),3103811)</f>
        <v>3103811</v>
      </c>
      <c r="C9582" s="14">
        <f ca="1">IFERROR(__xludf.DUMMYFUNCTION("""COMPUTED_VALUE"""),10)</f>
        <v>10</v>
      </c>
      <c r="D9582" s="12" t="str">
        <f ca="1">IFERROR(__xludf.DUMMYFUNCTION("""COMPUTED_VALUE"""),"田嶋 将太")</f>
        <v>田嶋 将太</v>
      </c>
    </row>
    <row r="9583" spans="2:4" ht="13">
      <c r="B9583" s="12">
        <f ca="1">IFERROR(__xludf.DUMMYFUNCTION("""COMPUTED_VALUE"""),3103812)</f>
        <v>3103812</v>
      </c>
      <c r="C9583" s="14">
        <f ca="1">IFERROR(__xludf.DUMMYFUNCTION("""COMPUTED_VALUE"""),3)</f>
        <v>3</v>
      </c>
      <c r="D9583" s="12" t="str">
        <f ca="1">IFERROR(__xludf.DUMMYFUNCTION("""COMPUTED_VALUE"""),"田嶋 将太")</f>
        <v>田嶋 将太</v>
      </c>
    </row>
    <row r="9584" spans="2:4" ht="13">
      <c r="B9584" s="12">
        <f ca="1">IFERROR(__xludf.DUMMYFUNCTION("""COMPUTED_VALUE"""),3103813)</f>
        <v>3103813</v>
      </c>
      <c r="C9584" s="14">
        <f ca="1">IFERROR(__xludf.DUMMYFUNCTION("""COMPUTED_VALUE"""),1)</f>
        <v>1</v>
      </c>
      <c r="D9584" s="12" t="str">
        <f ca="1">IFERROR(__xludf.DUMMYFUNCTION("""COMPUTED_VALUE"""),"田嶋 将太")</f>
        <v>田嶋 将太</v>
      </c>
    </row>
    <row r="9585" spans="2:4" ht="13">
      <c r="B9585" s="12">
        <f ca="1">IFERROR(__xludf.DUMMYFUNCTION("""COMPUTED_VALUE"""),3103814)</f>
        <v>3103814</v>
      </c>
      <c r="C9585" s="14">
        <f ca="1">IFERROR(__xludf.DUMMYFUNCTION("""COMPUTED_VALUE"""),18)</f>
        <v>18</v>
      </c>
      <c r="D9585" s="12" t="str">
        <f ca="1">IFERROR(__xludf.DUMMYFUNCTION("""COMPUTED_VALUE"""),"田嶋 将太")</f>
        <v>田嶋 将太</v>
      </c>
    </row>
    <row r="9586" spans="2:4" ht="13">
      <c r="B9586" s="12">
        <f ca="1">IFERROR(__xludf.DUMMYFUNCTION("""COMPUTED_VALUE"""),3103815)</f>
        <v>3103815</v>
      </c>
      <c r="C9586" s="14">
        <f ca="1">IFERROR(__xludf.DUMMYFUNCTION("""COMPUTED_VALUE"""),15)</f>
        <v>15</v>
      </c>
      <c r="D9586" s="12" t="str">
        <f ca="1">IFERROR(__xludf.DUMMYFUNCTION("""COMPUTED_VALUE"""),"田嶋 将太")</f>
        <v>田嶋 将太</v>
      </c>
    </row>
    <row r="9587" spans="2:4" ht="13">
      <c r="B9587" s="12">
        <f ca="1">IFERROR(__xludf.DUMMYFUNCTION("""COMPUTED_VALUE"""),3103816)</f>
        <v>3103816</v>
      </c>
      <c r="C9587" s="14">
        <f ca="1">IFERROR(__xludf.DUMMYFUNCTION("""COMPUTED_VALUE"""),9)</f>
        <v>9</v>
      </c>
      <c r="D9587" s="12" t="str">
        <f ca="1">IFERROR(__xludf.DUMMYFUNCTION("""COMPUTED_VALUE"""),"川島 幹也")</f>
        <v>川島 幹也</v>
      </c>
    </row>
    <row r="9588" spans="2:4" ht="13">
      <c r="B9588" s="12">
        <f ca="1">IFERROR(__xludf.DUMMYFUNCTION("""COMPUTED_VALUE"""),3103817)</f>
        <v>3103817</v>
      </c>
      <c r="C9588" s="14">
        <f ca="1">IFERROR(__xludf.DUMMYFUNCTION("""COMPUTED_VALUE"""),0)</f>
        <v>0</v>
      </c>
      <c r="D9588" s="12" t="str">
        <f ca="1">IFERROR(__xludf.DUMMYFUNCTION("""COMPUTED_VALUE"""),"川島 幹也")</f>
        <v>川島 幹也</v>
      </c>
    </row>
    <row r="9589" spans="2:4" ht="13">
      <c r="B9589" s="12">
        <f ca="1">IFERROR(__xludf.DUMMYFUNCTION("""COMPUTED_VALUE"""),3103818)</f>
        <v>3103818</v>
      </c>
      <c r="C9589" s="14">
        <f ca="1">IFERROR(__xludf.DUMMYFUNCTION("""COMPUTED_VALUE"""),0)</f>
        <v>0</v>
      </c>
      <c r="D9589" s="12" t="str">
        <f ca="1">IFERROR(__xludf.DUMMYFUNCTION("""COMPUTED_VALUE"""),"辻村 将大")</f>
        <v>辻村 将大</v>
      </c>
    </row>
    <row r="9590" spans="2:4" ht="13">
      <c r="B9590" s="12">
        <f ca="1">IFERROR(__xludf.DUMMYFUNCTION("""COMPUTED_VALUE"""),3103819)</f>
        <v>3103819</v>
      </c>
      <c r="C9590" s="14">
        <f ca="1">IFERROR(__xludf.DUMMYFUNCTION("""COMPUTED_VALUE"""),0)</f>
        <v>0</v>
      </c>
      <c r="D9590" s="12" t="str">
        <f ca="1">IFERROR(__xludf.DUMMYFUNCTION("""COMPUTED_VALUE"""),"芳賀 亮輔")</f>
        <v>芳賀 亮輔</v>
      </c>
    </row>
    <row r="9591" spans="2:4" ht="13">
      <c r="B9591" s="12">
        <f ca="1">IFERROR(__xludf.DUMMYFUNCTION("""COMPUTED_VALUE"""),3103820)</f>
        <v>3103820</v>
      </c>
      <c r="C9591" s="14">
        <f ca="1">IFERROR(__xludf.DUMMYFUNCTION("""COMPUTED_VALUE"""),26)</f>
        <v>26</v>
      </c>
      <c r="D9591" s="12" t="str">
        <f ca="1">IFERROR(__xludf.DUMMYFUNCTION("""COMPUTED_VALUE"""),"小関 麻起")</f>
        <v>小関 麻起</v>
      </c>
    </row>
    <row r="9592" spans="2:4" ht="13">
      <c r="B9592" s="12">
        <f ca="1">IFERROR(__xludf.DUMMYFUNCTION("""COMPUTED_VALUE"""),3103821)</f>
        <v>3103821</v>
      </c>
      <c r="C9592" s="14">
        <f ca="1">IFERROR(__xludf.DUMMYFUNCTION("""COMPUTED_VALUE"""),37)</f>
        <v>37</v>
      </c>
      <c r="D9592" s="12" t="str">
        <f ca="1">IFERROR(__xludf.DUMMYFUNCTION("""COMPUTED_VALUE"""),"川島 幹也")</f>
        <v>川島 幹也</v>
      </c>
    </row>
    <row r="9593" spans="2:4" ht="13">
      <c r="B9593" s="12">
        <f ca="1">IFERROR(__xludf.DUMMYFUNCTION("""COMPUTED_VALUE"""),3103823)</f>
        <v>3103823</v>
      </c>
      <c r="C9593" s="14">
        <f ca="1">IFERROR(__xludf.DUMMYFUNCTION("""COMPUTED_VALUE"""),0)</f>
        <v>0</v>
      </c>
      <c r="D9593" s="12" t="str">
        <f ca="1">IFERROR(__xludf.DUMMYFUNCTION("""COMPUTED_VALUE"""),"奥野 貴大")</f>
        <v>奥野 貴大</v>
      </c>
    </row>
    <row r="9594" spans="2:4" ht="13">
      <c r="B9594" s="12">
        <f ca="1">IFERROR(__xludf.DUMMYFUNCTION("""COMPUTED_VALUE"""),3103824)</f>
        <v>3103824</v>
      </c>
      <c r="C9594" s="14">
        <f ca="1">IFERROR(__xludf.DUMMYFUNCTION("""COMPUTED_VALUE"""),19)</f>
        <v>19</v>
      </c>
      <c r="D9594" s="12" t="str">
        <f ca="1">IFERROR(__xludf.DUMMYFUNCTION("""COMPUTED_VALUE"""),"奥野 貴大")</f>
        <v>奥野 貴大</v>
      </c>
    </row>
    <row r="9595" spans="2:4" ht="13">
      <c r="B9595" s="12">
        <f ca="1">IFERROR(__xludf.DUMMYFUNCTION("""COMPUTED_VALUE"""),3103825)</f>
        <v>3103825</v>
      </c>
      <c r="C9595" s="14">
        <f ca="1">IFERROR(__xludf.DUMMYFUNCTION("""COMPUTED_VALUE"""),0)</f>
        <v>0</v>
      </c>
      <c r="D9595" s="12" t="str">
        <f ca="1">IFERROR(__xludf.DUMMYFUNCTION("""COMPUTED_VALUE"""),"小川 純")</f>
        <v>小川 純</v>
      </c>
    </row>
    <row r="9596" spans="2:4" ht="13">
      <c r="B9596" s="12">
        <f ca="1">IFERROR(__xludf.DUMMYFUNCTION("""COMPUTED_VALUE"""),3103826)</f>
        <v>3103826</v>
      </c>
      <c r="C9596" s="14">
        <f ca="1">IFERROR(__xludf.DUMMYFUNCTION("""COMPUTED_VALUE"""),2)</f>
        <v>2</v>
      </c>
      <c r="D9596" s="12" t="str">
        <f ca="1">IFERROR(__xludf.DUMMYFUNCTION("""COMPUTED_VALUE"""),"大木 優香")</f>
        <v>大木 優香</v>
      </c>
    </row>
    <row r="9597" spans="2:4" ht="13">
      <c r="B9597" s="12">
        <f ca="1">IFERROR(__xludf.DUMMYFUNCTION("""COMPUTED_VALUE"""),3103827)</f>
        <v>3103827</v>
      </c>
      <c r="C9597" s="14">
        <f ca="1">IFERROR(__xludf.DUMMYFUNCTION("""COMPUTED_VALUE"""),0)</f>
        <v>0</v>
      </c>
      <c r="D9597" s="12" t="str">
        <f ca="1">IFERROR(__xludf.DUMMYFUNCTION("""COMPUTED_VALUE"""),"長谷川 陸朗")</f>
        <v>長谷川 陸朗</v>
      </c>
    </row>
    <row r="9598" spans="2:4" ht="13">
      <c r="B9598" s="12">
        <f ca="1">IFERROR(__xludf.DUMMYFUNCTION("""COMPUTED_VALUE"""),3103828)</f>
        <v>3103828</v>
      </c>
      <c r="C9598" s="14">
        <f ca="1">IFERROR(__xludf.DUMMYFUNCTION("""COMPUTED_VALUE"""),156)</f>
        <v>156</v>
      </c>
      <c r="D9598" s="12" t="str">
        <f ca="1">IFERROR(__xludf.DUMMYFUNCTION("""COMPUTED_VALUE"""),"成嶋 夏未")</f>
        <v>成嶋 夏未</v>
      </c>
    </row>
    <row r="9599" spans="2:4" ht="13">
      <c r="B9599" s="12">
        <f ca="1">IFERROR(__xludf.DUMMYFUNCTION("""COMPUTED_VALUE"""),3103829)</f>
        <v>3103829</v>
      </c>
      <c r="C9599" s="14">
        <f ca="1">IFERROR(__xludf.DUMMYFUNCTION("""COMPUTED_VALUE"""),8)</f>
        <v>8</v>
      </c>
      <c r="D9599" s="12" t="str">
        <f ca="1">IFERROR(__xludf.DUMMYFUNCTION("""COMPUTED_VALUE"""),"大木 優香")</f>
        <v>大木 優香</v>
      </c>
    </row>
    <row r="9600" spans="2:4" ht="13">
      <c r="B9600" s="12">
        <f ca="1">IFERROR(__xludf.DUMMYFUNCTION("""COMPUTED_VALUE"""),3103830)</f>
        <v>3103830</v>
      </c>
      <c r="C9600" s="14">
        <f ca="1">IFERROR(__xludf.DUMMYFUNCTION("""COMPUTED_VALUE"""),13)</f>
        <v>13</v>
      </c>
      <c r="D9600" s="12" t="str">
        <f ca="1">IFERROR(__xludf.DUMMYFUNCTION("""COMPUTED_VALUE"""),"渋谷 雄大")</f>
        <v>渋谷 雄大</v>
      </c>
    </row>
    <row r="9601" spans="2:4" ht="13">
      <c r="B9601" s="12">
        <f ca="1">IFERROR(__xludf.DUMMYFUNCTION("""COMPUTED_VALUE"""),3103831)</f>
        <v>3103831</v>
      </c>
      <c r="C9601" s="14">
        <f ca="1">IFERROR(__xludf.DUMMYFUNCTION("""COMPUTED_VALUE"""),3)</f>
        <v>3</v>
      </c>
      <c r="D9601" s="12" t="str">
        <f ca="1">IFERROR(__xludf.DUMMYFUNCTION("""COMPUTED_VALUE"""),"長谷川 陸朗")</f>
        <v>長谷川 陸朗</v>
      </c>
    </row>
    <row r="9602" spans="2:4" ht="13">
      <c r="B9602" s="12">
        <f ca="1">IFERROR(__xludf.DUMMYFUNCTION("""COMPUTED_VALUE"""),3103832)</f>
        <v>3103832</v>
      </c>
      <c r="C9602" s="14">
        <f ca="1">IFERROR(__xludf.DUMMYFUNCTION("""COMPUTED_VALUE"""),0)</f>
        <v>0</v>
      </c>
      <c r="D9602" s="12" t="str">
        <f ca="1">IFERROR(__xludf.DUMMYFUNCTION("""COMPUTED_VALUE"""),"渋谷 雄大")</f>
        <v>渋谷 雄大</v>
      </c>
    </row>
    <row r="9603" spans="2:4" ht="13">
      <c r="B9603" s="12">
        <f ca="1">IFERROR(__xludf.DUMMYFUNCTION("""COMPUTED_VALUE"""),3103833)</f>
        <v>3103833</v>
      </c>
      <c r="C9603" s="14">
        <f ca="1">IFERROR(__xludf.DUMMYFUNCTION("""COMPUTED_VALUE"""),0)</f>
        <v>0</v>
      </c>
      <c r="D9603" s="12" t="str">
        <f ca="1">IFERROR(__xludf.DUMMYFUNCTION("""COMPUTED_VALUE"""),"渋谷 雄大")</f>
        <v>渋谷 雄大</v>
      </c>
    </row>
    <row r="9604" spans="2:4" ht="13">
      <c r="B9604" s="12">
        <f ca="1">IFERROR(__xludf.DUMMYFUNCTION("""COMPUTED_VALUE"""),3103834)</f>
        <v>3103834</v>
      </c>
      <c r="C9604" s="14">
        <f ca="1">IFERROR(__xludf.DUMMYFUNCTION("""COMPUTED_VALUE"""),12)</f>
        <v>12</v>
      </c>
      <c r="D9604" s="12" t="str">
        <f ca="1">IFERROR(__xludf.DUMMYFUNCTION("""COMPUTED_VALUE"""),"森 光智")</f>
        <v>森 光智</v>
      </c>
    </row>
    <row r="9605" spans="2:4" ht="13">
      <c r="B9605" s="12">
        <f ca="1">IFERROR(__xludf.DUMMYFUNCTION("""COMPUTED_VALUE"""),3103835)</f>
        <v>3103835</v>
      </c>
      <c r="C9605" s="14">
        <f ca="1">IFERROR(__xludf.DUMMYFUNCTION("""COMPUTED_VALUE"""),79)</f>
        <v>79</v>
      </c>
      <c r="D9605" s="12" t="str">
        <f ca="1">IFERROR(__xludf.DUMMYFUNCTION("""COMPUTED_VALUE"""),"小川 純")</f>
        <v>小川 純</v>
      </c>
    </row>
    <row r="9606" spans="2:4" ht="13">
      <c r="B9606" s="12">
        <f ca="1">IFERROR(__xludf.DUMMYFUNCTION("""COMPUTED_VALUE"""),3103836)</f>
        <v>3103836</v>
      </c>
      <c r="C9606" s="14">
        <f ca="1">IFERROR(__xludf.DUMMYFUNCTION("""COMPUTED_VALUE"""),0)</f>
        <v>0</v>
      </c>
      <c r="D9606" s="12" t="str">
        <f ca="1">IFERROR(__xludf.DUMMYFUNCTION("""COMPUTED_VALUE"""),"小関 麻起")</f>
        <v>小関 麻起</v>
      </c>
    </row>
    <row r="9607" spans="2:4" ht="13">
      <c r="B9607" s="12">
        <f ca="1">IFERROR(__xludf.DUMMYFUNCTION("""COMPUTED_VALUE"""),3103837)</f>
        <v>3103837</v>
      </c>
      <c r="C9607" s="14">
        <f ca="1">IFERROR(__xludf.DUMMYFUNCTION("""COMPUTED_VALUE"""),8)</f>
        <v>8</v>
      </c>
      <c r="D9607" s="12" t="str">
        <f ca="1">IFERROR(__xludf.DUMMYFUNCTION("""COMPUTED_VALUE"""),"老田 純輝")</f>
        <v>老田 純輝</v>
      </c>
    </row>
    <row r="9608" spans="2:4" ht="13">
      <c r="B9608" s="12">
        <f ca="1">IFERROR(__xludf.DUMMYFUNCTION("""COMPUTED_VALUE"""),3103838)</f>
        <v>3103838</v>
      </c>
      <c r="C9608" s="14">
        <f ca="1">IFERROR(__xludf.DUMMYFUNCTION("""COMPUTED_VALUE"""),8)</f>
        <v>8</v>
      </c>
      <c r="D9608" s="12" t="str">
        <f ca="1">IFERROR(__xludf.DUMMYFUNCTION("""COMPUTED_VALUE"""),"老田 純輝")</f>
        <v>老田 純輝</v>
      </c>
    </row>
    <row r="9609" spans="2:4" ht="13">
      <c r="B9609" s="12">
        <f ca="1">IFERROR(__xludf.DUMMYFUNCTION("""COMPUTED_VALUE"""),3103839)</f>
        <v>3103839</v>
      </c>
      <c r="C9609" s="14">
        <f ca="1">IFERROR(__xludf.DUMMYFUNCTION("""COMPUTED_VALUE"""),39)</f>
        <v>39</v>
      </c>
      <c r="D9609" s="12" t="str">
        <f ca="1">IFERROR(__xludf.DUMMYFUNCTION("""COMPUTED_VALUE"""),"渋谷 雄大")</f>
        <v>渋谷 雄大</v>
      </c>
    </row>
    <row r="9610" spans="2:4" ht="13">
      <c r="B9610" s="12">
        <f ca="1">IFERROR(__xludf.DUMMYFUNCTION("""COMPUTED_VALUE"""),3103840)</f>
        <v>3103840</v>
      </c>
      <c r="C9610" s="14">
        <f ca="1">IFERROR(__xludf.DUMMYFUNCTION("""COMPUTED_VALUE"""),2)</f>
        <v>2</v>
      </c>
      <c r="D9610" s="12" t="str">
        <f ca="1">IFERROR(__xludf.DUMMYFUNCTION("""COMPUTED_VALUE"""),"川島 幹也")</f>
        <v>川島 幹也</v>
      </c>
    </row>
    <row r="9611" spans="2:4" ht="13">
      <c r="B9611" s="12">
        <f ca="1">IFERROR(__xludf.DUMMYFUNCTION("""COMPUTED_VALUE"""),3103841)</f>
        <v>3103841</v>
      </c>
      <c r="C9611" s="14">
        <f ca="1">IFERROR(__xludf.DUMMYFUNCTION("""COMPUTED_VALUE"""),0)</f>
        <v>0</v>
      </c>
      <c r="D9611" s="12" t="str">
        <f ca="1">IFERROR(__xludf.DUMMYFUNCTION("""COMPUTED_VALUE"""),"川島 幹也")</f>
        <v>川島 幹也</v>
      </c>
    </row>
    <row r="9612" spans="2:4" ht="13">
      <c r="B9612" s="12">
        <f ca="1">IFERROR(__xludf.DUMMYFUNCTION("""COMPUTED_VALUE"""),3103842)</f>
        <v>3103842</v>
      </c>
      <c r="C9612" s="14">
        <f ca="1">IFERROR(__xludf.DUMMYFUNCTION("""COMPUTED_VALUE"""),0)</f>
        <v>0</v>
      </c>
      <c r="D9612" s="12" t="str">
        <f ca="1">IFERROR(__xludf.DUMMYFUNCTION("""COMPUTED_VALUE"""),"内丸 裕子")</f>
        <v>内丸 裕子</v>
      </c>
    </row>
    <row r="9613" spans="2:4" ht="13">
      <c r="B9613" s="12">
        <f ca="1">IFERROR(__xludf.DUMMYFUNCTION("""COMPUTED_VALUE"""),3103843)</f>
        <v>3103843</v>
      </c>
      <c r="C9613" s="14">
        <f ca="1">IFERROR(__xludf.DUMMYFUNCTION("""COMPUTED_VALUE"""),6)</f>
        <v>6</v>
      </c>
      <c r="D9613" s="12" t="str">
        <f ca="1">IFERROR(__xludf.DUMMYFUNCTION("""COMPUTED_VALUE"""),"堀越 駿")</f>
        <v>堀越 駿</v>
      </c>
    </row>
    <row r="9614" spans="2:4" ht="13">
      <c r="B9614" s="12">
        <f ca="1">IFERROR(__xludf.DUMMYFUNCTION("""COMPUTED_VALUE"""),3103844)</f>
        <v>3103844</v>
      </c>
      <c r="C9614" s="14">
        <f ca="1">IFERROR(__xludf.DUMMYFUNCTION("""COMPUTED_VALUE"""),0)</f>
        <v>0</v>
      </c>
      <c r="D9614" s="12" t="str">
        <f ca="1">IFERROR(__xludf.DUMMYFUNCTION("""COMPUTED_VALUE"""),"稲場 勇介")</f>
        <v>稲場 勇介</v>
      </c>
    </row>
    <row r="9615" spans="2:4" ht="13">
      <c r="B9615" s="12">
        <f ca="1">IFERROR(__xludf.DUMMYFUNCTION("""COMPUTED_VALUE"""),3103845)</f>
        <v>3103845</v>
      </c>
      <c r="C9615" s="14">
        <f ca="1">IFERROR(__xludf.DUMMYFUNCTION("""COMPUTED_VALUE"""),0)</f>
        <v>0</v>
      </c>
      <c r="D9615" s="12" t="str">
        <f ca="1">IFERROR(__xludf.DUMMYFUNCTION("""COMPUTED_VALUE"""),"松尾 尚樹")</f>
        <v>松尾 尚樹</v>
      </c>
    </row>
    <row r="9616" spans="2:4" ht="13">
      <c r="B9616" s="12">
        <f ca="1">IFERROR(__xludf.DUMMYFUNCTION("""COMPUTED_VALUE"""),3103846)</f>
        <v>3103846</v>
      </c>
      <c r="C9616" s="14">
        <f ca="1">IFERROR(__xludf.DUMMYFUNCTION("""COMPUTED_VALUE"""),5)</f>
        <v>5</v>
      </c>
      <c r="D9616" s="12" t="str">
        <f ca="1">IFERROR(__xludf.DUMMYFUNCTION("""COMPUTED_VALUE"""),"老田 純輝")</f>
        <v>老田 純輝</v>
      </c>
    </row>
    <row r="9617" spans="2:4" ht="13">
      <c r="B9617" s="12">
        <f ca="1">IFERROR(__xludf.DUMMYFUNCTION("""COMPUTED_VALUE"""),3103848)</f>
        <v>3103848</v>
      </c>
      <c r="C9617" s="14">
        <f ca="1">IFERROR(__xludf.DUMMYFUNCTION("""COMPUTED_VALUE"""),0)</f>
        <v>0</v>
      </c>
      <c r="D9617" s="12" t="str">
        <f ca="1">IFERROR(__xludf.DUMMYFUNCTION("""COMPUTED_VALUE"""),"桐山 勝気")</f>
        <v>桐山 勝気</v>
      </c>
    </row>
    <row r="9618" spans="2:4" ht="13">
      <c r="B9618" s="12">
        <f ca="1">IFERROR(__xludf.DUMMYFUNCTION("""COMPUTED_VALUE"""),3103849)</f>
        <v>3103849</v>
      </c>
      <c r="C9618" s="14">
        <f ca="1">IFERROR(__xludf.DUMMYFUNCTION("""COMPUTED_VALUE"""),0)</f>
        <v>0</v>
      </c>
      <c r="D9618" s="12" t="str">
        <f ca="1">IFERROR(__xludf.DUMMYFUNCTION("""COMPUTED_VALUE"""),"村上 浩一朗")</f>
        <v>村上 浩一朗</v>
      </c>
    </row>
    <row r="9619" spans="2:4" ht="13">
      <c r="B9619" s="12">
        <f ca="1">IFERROR(__xludf.DUMMYFUNCTION("""COMPUTED_VALUE"""),3103850)</f>
        <v>3103850</v>
      </c>
      <c r="C9619" s="14">
        <f ca="1">IFERROR(__xludf.DUMMYFUNCTION("""COMPUTED_VALUE"""),0)</f>
        <v>0</v>
      </c>
      <c r="D9619" s="12" t="str">
        <f ca="1">IFERROR(__xludf.DUMMYFUNCTION("""COMPUTED_VALUE"""),"菅野 ぎんが")</f>
        <v>菅野 ぎんが</v>
      </c>
    </row>
    <row r="9620" spans="2:4" ht="13">
      <c r="B9620" s="12">
        <f ca="1">IFERROR(__xludf.DUMMYFUNCTION("""COMPUTED_VALUE"""),3103851)</f>
        <v>3103851</v>
      </c>
      <c r="C9620" s="14">
        <f ca="1">IFERROR(__xludf.DUMMYFUNCTION("""COMPUTED_VALUE"""),1)</f>
        <v>1</v>
      </c>
      <c r="D9620" s="12" t="str">
        <f ca="1">IFERROR(__xludf.DUMMYFUNCTION("""COMPUTED_VALUE"""),"小川 純")</f>
        <v>小川 純</v>
      </c>
    </row>
    <row r="9621" spans="2:4" ht="13">
      <c r="B9621" s="12">
        <f ca="1">IFERROR(__xludf.DUMMYFUNCTION("""COMPUTED_VALUE"""),3103852)</f>
        <v>3103852</v>
      </c>
      <c r="C9621" s="14">
        <f ca="1">IFERROR(__xludf.DUMMYFUNCTION("""COMPUTED_VALUE"""),0)</f>
        <v>0</v>
      </c>
      <c r="D9621" s="12" t="str">
        <f ca="1">IFERROR(__xludf.DUMMYFUNCTION("""COMPUTED_VALUE"""),"村上 浩一朗")</f>
        <v>村上 浩一朗</v>
      </c>
    </row>
    <row r="9622" spans="2:4" ht="13">
      <c r="B9622" s="12">
        <f ca="1">IFERROR(__xludf.DUMMYFUNCTION("""COMPUTED_VALUE"""),3103853)</f>
        <v>3103853</v>
      </c>
      <c r="C9622" s="14">
        <f ca="1">IFERROR(__xludf.DUMMYFUNCTION("""COMPUTED_VALUE"""),0)</f>
        <v>0</v>
      </c>
      <c r="D9622" s="12" t="str">
        <f ca="1">IFERROR(__xludf.DUMMYFUNCTION("""COMPUTED_VALUE"""),"小川 純")</f>
        <v>小川 純</v>
      </c>
    </row>
    <row r="9623" spans="2:4" ht="13">
      <c r="B9623" s="12">
        <f ca="1">IFERROR(__xludf.DUMMYFUNCTION("""COMPUTED_VALUE"""),3103854)</f>
        <v>3103854</v>
      </c>
      <c r="C9623" s="14">
        <f ca="1">IFERROR(__xludf.DUMMYFUNCTION("""COMPUTED_VALUE"""),0)</f>
        <v>0</v>
      </c>
      <c r="D9623" s="12" t="str">
        <f ca="1">IFERROR(__xludf.DUMMYFUNCTION("""COMPUTED_VALUE"""),"芳賀 亮輔")</f>
        <v>芳賀 亮輔</v>
      </c>
    </row>
    <row r="9624" spans="2:4" ht="13">
      <c r="B9624" s="12">
        <f ca="1">IFERROR(__xludf.DUMMYFUNCTION("""COMPUTED_VALUE"""),3103855)</f>
        <v>3103855</v>
      </c>
      <c r="C9624" s="14">
        <f ca="1">IFERROR(__xludf.DUMMYFUNCTION("""COMPUTED_VALUE"""),0)</f>
        <v>0</v>
      </c>
      <c r="D9624" s="12" t="str">
        <f ca="1">IFERROR(__xludf.DUMMYFUNCTION("""COMPUTED_VALUE"""),"芳賀 亮輔")</f>
        <v>芳賀 亮輔</v>
      </c>
    </row>
    <row r="9625" spans="2:4" ht="13">
      <c r="B9625" s="12">
        <f ca="1">IFERROR(__xludf.DUMMYFUNCTION("""COMPUTED_VALUE"""),3103856)</f>
        <v>3103856</v>
      </c>
      <c r="C9625" s="14">
        <f ca="1">IFERROR(__xludf.DUMMYFUNCTION("""COMPUTED_VALUE"""),0)</f>
        <v>0</v>
      </c>
      <c r="D9625" s="12" t="str">
        <f ca="1">IFERROR(__xludf.DUMMYFUNCTION("""COMPUTED_VALUE"""),"芳賀 亮輔")</f>
        <v>芳賀 亮輔</v>
      </c>
    </row>
    <row r="9626" spans="2:4" ht="13">
      <c r="B9626" s="12">
        <f ca="1">IFERROR(__xludf.DUMMYFUNCTION("""COMPUTED_VALUE"""),3103857)</f>
        <v>3103857</v>
      </c>
      <c r="C9626" s="14">
        <f ca="1">IFERROR(__xludf.DUMMYFUNCTION("""COMPUTED_VALUE"""),0)</f>
        <v>0</v>
      </c>
      <c r="D9626" s="12" t="str">
        <f ca="1">IFERROR(__xludf.DUMMYFUNCTION("""COMPUTED_VALUE"""),"芳賀 亮輔")</f>
        <v>芳賀 亮輔</v>
      </c>
    </row>
    <row r="9627" spans="2:4" ht="13">
      <c r="B9627" s="12">
        <f ca="1">IFERROR(__xludf.DUMMYFUNCTION("""COMPUTED_VALUE"""),3103858)</f>
        <v>3103858</v>
      </c>
      <c r="C9627" s="14">
        <f ca="1">IFERROR(__xludf.DUMMYFUNCTION("""COMPUTED_VALUE"""),0)</f>
        <v>0</v>
      </c>
      <c r="D9627" s="12" t="str">
        <f ca="1">IFERROR(__xludf.DUMMYFUNCTION("""COMPUTED_VALUE"""),"芳賀 亮輔")</f>
        <v>芳賀 亮輔</v>
      </c>
    </row>
    <row r="9628" spans="2:4" ht="13">
      <c r="B9628" s="12">
        <f ca="1">IFERROR(__xludf.DUMMYFUNCTION("""COMPUTED_VALUE"""),3103859)</f>
        <v>3103859</v>
      </c>
      <c r="C9628" s="14">
        <f ca="1">IFERROR(__xludf.DUMMYFUNCTION("""COMPUTED_VALUE"""),0)</f>
        <v>0</v>
      </c>
      <c r="D9628" s="12" t="str">
        <f ca="1">IFERROR(__xludf.DUMMYFUNCTION("""COMPUTED_VALUE"""),"芳賀 亮輔")</f>
        <v>芳賀 亮輔</v>
      </c>
    </row>
    <row r="9629" spans="2:4" ht="13">
      <c r="B9629" s="12">
        <f ca="1">IFERROR(__xludf.DUMMYFUNCTION("""COMPUTED_VALUE"""),3103860)</f>
        <v>3103860</v>
      </c>
      <c r="C9629" s="14">
        <f ca="1">IFERROR(__xludf.DUMMYFUNCTION("""COMPUTED_VALUE"""),0)</f>
        <v>0</v>
      </c>
      <c r="D9629" s="12" t="str">
        <f ca="1">IFERROR(__xludf.DUMMYFUNCTION("""COMPUTED_VALUE"""),"芳賀 亮輔")</f>
        <v>芳賀 亮輔</v>
      </c>
    </row>
    <row r="9630" spans="2:4" ht="13">
      <c r="B9630" s="12">
        <f ca="1">IFERROR(__xludf.DUMMYFUNCTION("""COMPUTED_VALUE"""),3103861)</f>
        <v>3103861</v>
      </c>
      <c r="C9630" s="14">
        <f ca="1">IFERROR(__xludf.DUMMYFUNCTION("""COMPUTED_VALUE"""),0)</f>
        <v>0</v>
      </c>
      <c r="D9630" s="12" t="str">
        <f ca="1">IFERROR(__xludf.DUMMYFUNCTION("""COMPUTED_VALUE"""),"芳賀 亮輔")</f>
        <v>芳賀 亮輔</v>
      </c>
    </row>
    <row r="9631" spans="2:4" ht="13">
      <c r="B9631" s="12">
        <f ca="1">IFERROR(__xludf.DUMMYFUNCTION("""COMPUTED_VALUE"""),3103862)</f>
        <v>3103862</v>
      </c>
      <c r="C9631" s="14">
        <f ca="1">IFERROR(__xludf.DUMMYFUNCTION("""COMPUTED_VALUE"""),0)</f>
        <v>0</v>
      </c>
      <c r="D9631" s="12" t="str">
        <f ca="1">IFERROR(__xludf.DUMMYFUNCTION("""COMPUTED_VALUE"""),"芳賀 亮輔")</f>
        <v>芳賀 亮輔</v>
      </c>
    </row>
    <row r="9632" spans="2:4" ht="13">
      <c r="B9632" s="12">
        <f ca="1">IFERROR(__xludf.DUMMYFUNCTION("""COMPUTED_VALUE"""),3103863)</f>
        <v>3103863</v>
      </c>
      <c r="C9632" s="14">
        <f ca="1">IFERROR(__xludf.DUMMYFUNCTION("""COMPUTED_VALUE"""),0)</f>
        <v>0</v>
      </c>
      <c r="D9632" s="12" t="str">
        <f ca="1">IFERROR(__xludf.DUMMYFUNCTION("""COMPUTED_VALUE"""),"芳賀 亮輔")</f>
        <v>芳賀 亮輔</v>
      </c>
    </row>
    <row r="9633" spans="2:4" ht="13">
      <c r="B9633" s="12">
        <f ca="1">IFERROR(__xludf.DUMMYFUNCTION("""COMPUTED_VALUE"""),3103864)</f>
        <v>3103864</v>
      </c>
      <c r="C9633" s="14">
        <f ca="1">IFERROR(__xludf.DUMMYFUNCTION("""COMPUTED_VALUE"""),0)</f>
        <v>0</v>
      </c>
      <c r="D9633" s="12" t="str">
        <f ca="1">IFERROR(__xludf.DUMMYFUNCTION("""COMPUTED_VALUE"""),"荻曽 克輝")</f>
        <v>荻曽 克輝</v>
      </c>
    </row>
    <row r="9634" spans="2:4" ht="13">
      <c r="B9634" s="12">
        <f ca="1">IFERROR(__xludf.DUMMYFUNCTION("""COMPUTED_VALUE"""),3103865)</f>
        <v>3103865</v>
      </c>
      <c r="C9634" s="14">
        <f ca="1">IFERROR(__xludf.DUMMYFUNCTION("""COMPUTED_VALUE"""),2)</f>
        <v>2</v>
      </c>
      <c r="D9634" s="12" t="str">
        <f ca="1">IFERROR(__xludf.DUMMYFUNCTION("""COMPUTED_VALUE"""),"桑原 明子")</f>
        <v>桑原 明子</v>
      </c>
    </row>
    <row r="9635" spans="2:4" ht="13">
      <c r="B9635" s="12">
        <f ca="1">IFERROR(__xludf.DUMMYFUNCTION("""COMPUTED_VALUE"""),3103866)</f>
        <v>3103866</v>
      </c>
      <c r="C9635" s="14">
        <f ca="1">IFERROR(__xludf.DUMMYFUNCTION("""COMPUTED_VALUE"""),1)</f>
        <v>1</v>
      </c>
      <c r="D9635" s="12" t="str">
        <f ca="1">IFERROR(__xludf.DUMMYFUNCTION("""COMPUTED_VALUE"""),"小関 麻起")</f>
        <v>小関 麻起</v>
      </c>
    </row>
    <row r="9636" spans="2:4" ht="13">
      <c r="B9636" s="12">
        <f ca="1">IFERROR(__xludf.DUMMYFUNCTION("""COMPUTED_VALUE"""),3103867)</f>
        <v>3103867</v>
      </c>
      <c r="C9636" s="14">
        <f ca="1">IFERROR(__xludf.DUMMYFUNCTION("""COMPUTED_VALUE"""),0)</f>
        <v>0</v>
      </c>
      <c r="D9636" s="12" t="str">
        <f ca="1">IFERROR(__xludf.DUMMYFUNCTION("""COMPUTED_VALUE"""),"長谷川 陸朗")</f>
        <v>長谷川 陸朗</v>
      </c>
    </row>
    <row r="9637" spans="2:4" ht="13">
      <c r="B9637" s="12">
        <f ca="1">IFERROR(__xludf.DUMMYFUNCTION("""COMPUTED_VALUE"""),3103868)</f>
        <v>3103868</v>
      </c>
      <c r="C9637" s="14">
        <f ca="1">IFERROR(__xludf.DUMMYFUNCTION("""COMPUTED_VALUE"""),0)</f>
        <v>0</v>
      </c>
      <c r="D9637" s="12" t="str">
        <f ca="1">IFERROR(__xludf.DUMMYFUNCTION("""COMPUTED_VALUE"""),"桐山 勝気")</f>
        <v>桐山 勝気</v>
      </c>
    </row>
    <row r="9638" spans="2:4" ht="13">
      <c r="B9638" s="12">
        <f ca="1">IFERROR(__xludf.DUMMYFUNCTION("""COMPUTED_VALUE"""),3103869)</f>
        <v>3103869</v>
      </c>
      <c r="C9638" s="14">
        <f ca="1">IFERROR(__xludf.DUMMYFUNCTION("""COMPUTED_VALUE"""),10)</f>
        <v>10</v>
      </c>
      <c r="D9638" s="12" t="str">
        <f ca="1">IFERROR(__xludf.DUMMYFUNCTION("""COMPUTED_VALUE"""),"荻曽 克輝")</f>
        <v>荻曽 克輝</v>
      </c>
    </row>
    <row r="9639" spans="2:4" ht="13">
      <c r="B9639" s="12">
        <f ca="1">IFERROR(__xludf.DUMMYFUNCTION("""COMPUTED_VALUE"""),3103870)</f>
        <v>3103870</v>
      </c>
      <c r="C9639" s="14">
        <f ca="1">IFERROR(__xludf.DUMMYFUNCTION("""COMPUTED_VALUE"""),0)</f>
        <v>0</v>
      </c>
      <c r="D9639" s="12" t="str">
        <f ca="1">IFERROR(__xludf.DUMMYFUNCTION("""COMPUTED_VALUE"""),"桐山 勝気")</f>
        <v>桐山 勝気</v>
      </c>
    </row>
    <row r="9640" spans="2:4" ht="13">
      <c r="B9640" s="12">
        <f ca="1">IFERROR(__xludf.DUMMYFUNCTION("""COMPUTED_VALUE"""),3103871)</f>
        <v>3103871</v>
      </c>
      <c r="C9640" s="14">
        <f ca="1">IFERROR(__xludf.DUMMYFUNCTION("""COMPUTED_VALUE"""),0)</f>
        <v>0</v>
      </c>
      <c r="D9640" s="12" t="str">
        <f ca="1">IFERROR(__xludf.DUMMYFUNCTION("""COMPUTED_VALUE"""),"小川 純")</f>
        <v>小川 純</v>
      </c>
    </row>
    <row r="9641" spans="2:4" ht="13">
      <c r="B9641" s="12">
        <f ca="1">IFERROR(__xludf.DUMMYFUNCTION("""COMPUTED_VALUE"""),3103872)</f>
        <v>3103872</v>
      </c>
      <c r="C9641" s="14">
        <f ca="1">IFERROR(__xludf.DUMMYFUNCTION("""COMPUTED_VALUE"""),0)</f>
        <v>0</v>
      </c>
      <c r="D9641" s="12" t="str">
        <f ca="1">IFERROR(__xludf.DUMMYFUNCTION("""COMPUTED_VALUE"""),"桑原 明子")</f>
        <v>桑原 明子</v>
      </c>
    </row>
    <row r="9642" spans="2:4" ht="13">
      <c r="B9642" s="12">
        <f ca="1">IFERROR(__xludf.DUMMYFUNCTION("""COMPUTED_VALUE"""),3103873)</f>
        <v>3103873</v>
      </c>
      <c r="C9642" s="14">
        <f ca="1">IFERROR(__xludf.DUMMYFUNCTION("""COMPUTED_VALUE"""),14)</f>
        <v>14</v>
      </c>
      <c r="D9642" s="12" t="str">
        <f ca="1">IFERROR(__xludf.DUMMYFUNCTION("""COMPUTED_VALUE"""),"堀越 駿")</f>
        <v>堀越 駿</v>
      </c>
    </row>
    <row r="9643" spans="2:4" ht="13">
      <c r="B9643" s="12">
        <f ca="1">IFERROR(__xludf.DUMMYFUNCTION("""COMPUTED_VALUE"""),3103874)</f>
        <v>3103874</v>
      </c>
      <c r="C9643" s="14">
        <f ca="1">IFERROR(__xludf.DUMMYFUNCTION("""COMPUTED_VALUE"""),3)</f>
        <v>3</v>
      </c>
      <c r="D9643" s="12" t="str">
        <f ca="1">IFERROR(__xludf.DUMMYFUNCTION("""COMPUTED_VALUE"""),"老田 純輝")</f>
        <v>老田 純輝</v>
      </c>
    </row>
    <row r="9644" spans="2:4" ht="13">
      <c r="B9644" s="12">
        <f ca="1">IFERROR(__xludf.DUMMYFUNCTION("""COMPUTED_VALUE"""),3103875)</f>
        <v>3103875</v>
      </c>
      <c r="C9644" s="14">
        <f ca="1">IFERROR(__xludf.DUMMYFUNCTION("""COMPUTED_VALUE"""),1)</f>
        <v>1</v>
      </c>
      <c r="D9644" s="12" t="str">
        <f ca="1">IFERROR(__xludf.DUMMYFUNCTION("""COMPUTED_VALUE"""),"老田 純輝")</f>
        <v>老田 純輝</v>
      </c>
    </row>
    <row r="9645" spans="2:4" ht="13">
      <c r="B9645" s="12">
        <f ca="1">IFERROR(__xludf.DUMMYFUNCTION("""COMPUTED_VALUE"""),3103876)</f>
        <v>3103876</v>
      </c>
      <c r="C9645" s="14">
        <f ca="1">IFERROR(__xludf.DUMMYFUNCTION("""COMPUTED_VALUE"""),25)</f>
        <v>25</v>
      </c>
      <c r="D9645" s="12" t="str">
        <f ca="1">IFERROR(__xludf.DUMMYFUNCTION("""COMPUTED_VALUE"""),"老田 純輝")</f>
        <v>老田 純輝</v>
      </c>
    </row>
    <row r="9646" spans="2:4" ht="13">
      <c r="B9646" s="12">
        <f ca="1">IFERROR(__xludf.DUMMYFUNCTION("""COMPUTED_VALUE"""),3103877)</f>
        <v>3103877</v>
      </c>
      <c r="C9646" s="14">
        <f ca="1">IFERROR(__xludf.DUMMYFUNCTION("""COMPUTED_VALUE"""),2)</f>
        <v>2</v>
      </c>
      <c r="D9646" s="12" t="str">
        <f ca="1">IFERROR(__xludf.DUMMYFUNCTION("""COMPUTED_VALUE"""),"小関 麻起")</f>
        <v>小関 麻起</v>
      </c>
    </row>
    <row r="9647" spans="2:4" ht="13">
      <c r="B9647" s="12">
        <f ca="1">IFERROR(__xludf.DUMMYFUNCTION("""COMPUTED_VALUE"""),3103878)</f>
        <v>3103878</v>
      </c>
      <c r="C9647" s="14">
        <f ca="1">IFERROR(__xludf.DUMMYFUNCTION("""COMPUTED_VALUE"""),31)</f>
        <v>31</v>
      </c>
      <c r="D9647" s="12" t="str">
        <f ca="1">IFERROR(__xludf.DUMMYFUNCTION("""COMPUTED_VALUE"""),"大木 優香")</f>
        <v>大木 優香</v>
      </c>
    </row>
    <row r="9648" spans="2:4" ht="13">
      <c r="B9648" s="12">
        <f ca="1">IFERROR(__xludf.DUMMYFUNCTION("""COMPUTED_VALUE"""),3103879)</f>
        <v>3103879</v>
      </c>
      <c r="C9648" s="14">
        <f ca="1">IFERROR(__xludf.DUMMYFUNCTION("""COMPUTED_VALUE"""),0)</f>
        <v>0</v>
      </c>
      <c r="D9648" s="12" t="str">
        <f ca="1">IFERROR(__xludf.DUMMYFUNCTION("""COMPUTED_VALUE"""),"川島 幹也")</f>
        <v>川島 幹也</v>
      </c>
    </row>
    <row r="9649" spans="2:4" ht="13">
      <c r="B9649" s="12">
        <f ca="1">IFERROR(__xludf.DUMMYFUNCTION("""COMPUTED_VALUE"""),3103880)</f>
        <v>3103880</v>
      </c>
      <c r="C9649" s="14">
        <f ca="1">IFERROR(__xludf.DUMMYFUNCTION("""COMPUTED_VALUE"""),5)</f>
        <v>5</v>
      </c>
      <c r="D9649" s="12" t="str">
        <f ca="1">IFERROR(__xludf.DUMMYFUNCTION("""COMPUTED_VALUE"""),"桐山 勝気")</f>
        <v>桐山 勝気</v>
      </c>
    </row>
    <row r="9650" spans="2:4" ht="13">
      <c r="B9650" s="12">
        <f ca="1">IFERROR(__xludf.DUMMYFUNCTION("""COMPUTED_VALUE"""),3103881)</f>
        <v>3103881</v>
      </c>
      <c r="C9650" s="14">
        <f ca="1">IFERROR(__xludf.DUMMYFUNCTION("""COMPUTED_VALUE"""),61)</f>
        <v>61</v>
      </c>
      <c r="D9650" s="12" t="str">
        <f ca="1">IFERROR(__xludf.DUMMYFUNCTION("""COMPUTED_VALUE"""),"森 光智")</f>
        <v>森 光智</v>
      </c>
    </row>
    <row r="9651" spans="2:4" ht="13">
      <c r="B9651" s="12">
        <f ca="1">IFERROR(__xludf.DUMMYFUNCTION("""COMPUTED_VALUE"""),3103882)</f>
        <v>3103882</v>
      </c>
      <c r="C9651" s="14">
        <f ca="1">IFERROR(__xludf.DUMMYFUNCTION("""COMPUTED_VALUE"""),0)</f>
        <v>0</v>
      </c>
      <c r="D9651" s="12" t="str">
        <f ca="1">IFERROR(__xludf.DUMMYFUNCTION("""COMPUTED_VALUE"""),"森 光智")</f>
        <v>森 光智</v>
      </c>
    </row>
    <row r="9652" spans="2:4" ht="13">
      <c r="B9652" s="12">
        <f ca="1">IFERROR(__xludf.DUMMYFUNCTION("""COMPUTED_VALUE"""),3103883)</f>
        <v>3103883</v>
      </c>
      <c r="C9652" s="14">
        <f ca="1">IFERROR(__xludf.DUMMYFUNCTION("""COMPUTED_VALUE"""),0)</f>
        <v>0</v>
      </c>
      <c r="D9652" s="12" t="str">
        <f ca="1">IFERROR(__xludf.DUMMYFUNCTION("""COMPUTED_VALUE"""),"芳賀 亮輔")</f>
        <v>芳賀 亮輔</v>
      </c>
    </row>
    <row r="9653" spans="2:4" ht="13">
      <c r="B9653" s="12">
        <f ca="1">IFERROR(__xludf.DUMMYFUNCTION("""COMPUTED_VALUE"""),3103884)</f>
        <v>3103884</v>
      </c>
      <c r="C9653" s="14">
        <f ca="1">IFERROR(__xludf.DUMMYFUNCTION("""COMPUTED_VALUE"""),145)</f>
        <v>145</v>
      </c>
      <c r="D9653" s="12" t="str">
        <f ca="1">IFERROR(__xludf.DUMMYFUNCTION("""COMPUTED_VALUE"""),"芳賀 亮輔")</f>
        <v>芳賀 亮輔</v>
      </c>
    </row>
    <row r="9654" spans="2:4" ht="13">
      <c r="B9654" s="12">
        <f ca="1">IFERROR(__xludf.DUMMYFUNCTION("""COMPUTED_VALUE"""),3103885)</f>
        <v>3103885</v>
      </c>
      <c r="C9654" s="14">
        <f ca="1">IFERROR(__xludf.DUMMYFUNCTION("""COMPUTED_VALUE"""),0)</f>
        <v>0</v>
      </c>
      <c r="D9654" s="12" t="str">
        <f ca="1">IFERROR(__xludf.DUMMYFUNCTION("""COMPUTED_VALUE"""),"芳賀 亮輔")</f>
        <v>芳賀 亮輔</v>
      </c>
    </row>
    <row r="9655" spans="2:4" ht="13">
      <c r="B9655" s="12">
        <f ca="1">IFERROR(__xludf.DUMMYFUNCTION("""COMPUTED_VALUE"""),3103886)</f>
        <v>3103886</v>
      </c>
      <c r="C9655" s="14">
        <f ca="1">IFERROR(__xludf.DUMMYFUNCTION("""COMPUTED_VALUE"""),0)</f>
        <v>0</v>
      </c>
      <c r="D9655" s="12" t="str">
        <f ca="1">IFERROR(__xludf.DUMMYFUNCTION("""COMPUTED_VALUE"""),"芳賀 亮輔")</f>
        <v>芳賀 亮輔</v>
      </c>
    </row>
    <row r="9656" spans="2:4" ht="13">
      <c r="B9656" s="12">
        <f ca="1">IFERROR(__xludf.DUMMYFUNCTION("""COMPUTED_VALUE"""),3103887)</f>
        <v>3103887</v>
      </c>
      <c r="C9656" s="14">
        <f ca="1">IFERROR(__xludf.DUMMYFUNCTION("""COMPUTED_VALUE"""),105)</f>
        <v>105</v>
      </c>
      <c r="D9656" s="12" t="str">
        <f ca="1">IFERROR(__xludf.DUMMYFUNCTION("""COMPUTED_VALUE"""),"芳賀 亮輔")</f>
        <v>芳賀 亮輔</v>
      </c>
    </row>
    <row r="9657" spans="2:4" ht="13">
      <c r="B9657" s="12">
        <f ca="1">IFERROR(__xludf.DUMMYFUNCTION("""COMPUTED_VALUE"""),3103888)</f>
        <v>3103888</v>
      </c>
      <c r="C9657" s="14">
        <f ca="1">IFERROR(__xludf.DUMMYFUNCTION("""COMPUTED_VALUE"""),0)</f>
        <v>0</v>
      </c>
      <c r="D9657" s="12" t="str">
        <f ca="1">IFERROR(__xludf.DUMMYFUNCTION("""COMPUTED_VALUE"""),"芳賀 亮輔")</f>
        <v>芳賀 亮輔</v>
      </c>
    </row>
    <row r="9658" spans="2:4" ht="13">
      <c r="B9658" s="12">
        <f ca="1">IFERROR(__xludf.DUMMYFUNCTION("""COMPUTED_VALUE"""),3103889)</f>
        <v>3103889</v>
      </c>
      <c r="C9658" s="14">
        <f ca="1">IFERROR(__xludf.DUMMYFUNCTION("""COMPUTED_VALUE"""),45)</f>
        <v>45</v>
      </c>
      <c r="D9658" s="12" t="str">
        <f ca="1">IFERROR(__xludf.DUMMYFUNCTION("""COMPUTED_VALUE"""),"芳賀 亮輔")</f>
        <v>芳賀 亮輔</v>
      </c>
    </row>
    <row r="9659" spans="2:4" ht="13">
      <c r="B9659" s="12">
        <f ca="1">IFERROR(__xludf.DUMMYFUNCTION("""COMPUTED_VALUE"""),3103890)</f>
        <v>3103890</v>
      </c>
      <c r="C9659" s="14">
        <f ca="1">IFERROR(__xludf.DUMMYFUNCTION("""COMPUTED_VALUE"""),0)</f>
        <v>0</v>
      </c>
      <c r="D9659" s="12" t="str">
        <f ca="1">IFERROR(__xludf.DUMMYFUNCTION("""COMPUTED_VALUE"""),"芳賀 亮輔")</f>
        <v>芳賀 亮輔</v>
      </c>
    </row>
    <row r="9660" spans="2:4" ht="13">
      <c r="B9660" s="12">
        <f ca="1">IFERROR(__xludf.DUMMYFUNCTION("""COMPUTED_VALUE"""),3103891)</f>
        <v>3103891</v>
      </c>
      <c r="C9660" s="14">
        <f ca="1">IFERROR(__xludf.DUMMYFUNCTION("""COMPUTED_VALUE"""),0)</f>
        <v>0</v>
      </c>
      <c r="D9660" s="12" t="str">
        <f ca="1">IFERROR(__xludf.DUMMYFUNCTION("""COMPUTED_VALUE"""),"芳賀 亮輔")</f>
        <v>芳賀 亮輔</v>
      </c>
    </row>
    <row r="9661" spans="2:4" ht="13">
      <c r="B9661" s="12">
        <f ca="1">IFERROR(__xludf.DUMMYFUNCTION("""COMPUTED_VALUE"""),3103892)</f>
        <v>3103892</v>
      </c>
      <c r="C9661" s="14">
        <f ca="1">IFERROR(__xludf.DUMMYFUNCTION("""COMPUTED_VALUE"""),0)</f>
        <v>0</v>
      </c>
      <c r="D9661" s="12" t="str">
        <f ca="1">IFERROR(__xludf.DUMMYFUNCTION("""COMPUTED_VALUE"""),"芳賀 亮輔")</f>
        <v>芳賀 亮輔</v>
      </c>
    </row>
    <row r="9662" spans="2:4" ht="13">
      <c r="B9662" s="12">
        <f ca="1">IFERROR(__xludf.DUMMYFUNCTION("""COMPUTED_VALUE"""),3103893)</f>
        <v>3103893</v>
      </c>
      <c r="C9662" s="14">
        <f ca="1">IFERROR(__xludf.DUMMYFUNCTION("""COMPUTED_VALUE"""),28)</f>
        <v>28</v>
      </c>
      <c r="D9662" s="12" t="str">
        <f ca="1">IFERROR(__xludf.DUMMYFUNCTION("""COMPUTED_VALUE"""),"芳賀 亮輔")</f>
        <v>芳賀 亮輔</v>
      </c>
    </row>
    <row r="9663" spans="2:4" ht="13">
      <c r="B9663" s="12">
        <f ca="1">IFERROR(__xludf.DUMMYFUNCTION("""COMPUTED_VALUE"""),3103894)</f>
        <v>3103894</v>
      </c>
      <c r="C9663" s="14">
        <f ca="1">IFERROR(__xludf.DUMMYFUNCTION("""COMPUTED_VALUE"""),0)</f>
        <v>0</v>
      </c>
      <c r="D9663" s="12" t="str">
        <f ca="1">IFERROR(__xludf.DUMMYFUNCTION("""COMPUTED_VALUE"""),"芳賀 亮輔")</f>
        <v>芳賀 亮輔</v>
      </c>
    </row>
    <row r="9664" spans="2:4" ht="13">
      <c r="B9664" s="12">
        <f ca="1">IFERROR(__xludf.DUMMYFUNCTION("""COMPUTED_VALUE"""),3103895)</f>
        <v>3103895</v>
      </c>
      <c r="C9664" s="14">
        <f ca="1">IFERROR(__xludf.DUMMYFUNCTION("""COMPUTED_VALUE"""),0)</f>
        <v>0</v>
      </c>
      <c r="D9664" s="12" t="str">
        <f ca="1">IFERROR(__xludf.DUMMYFUNCTION("""COMPUTED_VALUE"""),"村上 浩一朗")</f>
        <v>村上 浩一朗</v>
      </c>
    </row>
    <row r="9665" spans="2:4" ht="13">
      <c r="B9665" s="12">
        <f ca="1">IFERROR(__xludf.DUMMYFUNCTION("""COMPUTED_VALUE"""),3103896)</f>
        <v>3103896</v>
      </c>
      <c r="C9665" s="14">
        <f ca="1">IFERROR(__xludf.DUMMYFUNCTION("""COMPUTED_VALUE"""),58)</f>
        <v>58</v>
      </c>
      <c r="D9665" s="12" t="str">
        <f ca="1">IFERROR(__xludf.DUMMYFUNCTION("""COMPUTED_VALUE"""),"森 光智")</f>
        <v>森 光智</v>
      </c>
    </row>
    <row r="9666" spans="2:4" ht="13">
      <c r="B9666" s="12">
        <f ca="1">IFERROR(__xludf.DUMMYFUNCTION("""COMPUTED_VALUE"""),3103897)</f>
        <v>3103897</v>
      </c>
      <c r="C9666" s="14">
        <f ca="1">IFERROR(__xludf.DUMMYFUNCTION("""COMPUTED_VALUE"""),27)</f>
        <v>27</v>
      </c>
      <c r="D9666" s="12" t="str">
        <f ca="1">IFERROR(__xludf.DUMMYFUNCTION("""COMPUTED_VALUE"""),"森 光智")</f>
        <v>森 光智</v>
      </c>
    </row>
    <row r="9667" spans="2:4" ht="13">
      <c r="B9667" s="12">
        <f ca="1">IFERROR(__xludf.DUMMYFUNCTION("""COMPUTED_VALUE"""),3103898)</f>
        <v>3103898</v>
      </c>
      <c r="C9667" s="14">
        <f ca="1">IFERROR(__xludf.DUMMYFUNCTION("""COMPUTED_VALUE"""),24)</f>
        <v>24</v>
      </c>
      <c r="D9667" s="12" t="str">
        <f ca="1">IFERROR(__xludf.DUMMYFUNCTION("""COMPUTED_VALUE"""),"松尾 尚樹")</f>
        <v>松尾 尚樹</v>
      </c>
    </row>
    <row r="9668" spans="2:4" ht="13">
      <c r="B9668" s="12">
        <f ca="1">IFERROR(__xludf.DUMMYFUNCTION("""COMPUTED_VALUE"""),3103899)</f>
        <v>3103899</v>
      </c>
      <c r="C9668" s="14">
        <f ca="1">IFERROR(__xludf.DUMMYFUNCTION("""COMPUTED_VALUE"""),17)</f>
        <v>17</v>
      </c>
      <c r="D9668" s="12" t="str">
        <f ca="1">IFERROR(__xludf.DUMMYFUNCTION("""COMPUTED_VALUE"""),"大木 優香")</f>
        <v>大木 優香</v>
      </c>
    </row>
    <row r="9669" spans="2:4" ht="13">
      <c r="B9669" s="12">
        <f ca="1">IFERROR(__xludf.DUMMYFUNCTION("""COMPUTED_VALUE"""),3103900)</f>
        <v>3103900</v>
      </c>
      <c r="C9669" s="14">
        <f ca="1">IFERROR(__xludf.DUMMYFUNCTION("""COMPUTED_VALUE"""),0)</f>
        <v>0</v>
      </c>
      <c r="D9669" s="12" t="str">
        <f ca="1">IFERROR(__xludf.DUMMYFUNCTION("""COMPUTED_VALUE"""),"大木 優香")</f>
        <v>大木 優香</v>
      </c>
    </row>
    <row r="9670" spans="2:4" ht="13">
      <c r="B9670" s="12">
        <f ca="1">IFERROR(__xludf.DUMMYFUNCTION("""COMPUTED_VALUE"""),3103901)</f>
        <v>3103901</v>
      </c>
      <c r="C9670" s="14">
        <f ca="1">IFERROR(__xludf.DUMMYFUNCTION("""COMPUTED_VALUE"""),3)</f>
        <v>3</v>
      </c>
      <c r="D9670" s="12" t="str">
        <f ca="1">IFERROR(__xludf.DUMMYFUNCTION("""COMPUTED_VALUE"""),"大木 優香")</f>
        <v>大木 優香</v>
      </c>
    </row>
    <row r="9671" spans="2:4" ht="13">
      <c r="B9671" s="12">
        <f ca="1">IFERROR(__xludf.DUMMYFUNCTION("""COMPUTED_VALUE"""),3103902)</f>
        <v>3103902</v>
      </c>
      <c r="C9671" s="14">
        <f ca="1">IFERROR(__xludf.DUMMYFUNCTION("""COMPUTED_VALUE"""),35)</f>
        <v>35</v>
      </c>
      <c r="D9671" s="12" t="str">
        <f ca="1">IFERROR(__xludf.DUMMYFUNCTION("""COMPUTED_VALUE"""),"奥野 貴大")</f>
        <v>奥野 貴大</v>
      </c>
    </row>
    <row r="9672" spans="2:4" ht="13">
      <c r="B9672" s="12">
        <f ca="1">IFERROR(__xludf.DUMMYFUNCTION("""COMPUTED_VALUE"""),3103903)</f>
        <v>3103903</v>
      </c>
      <c r="C9672" s="14">
        <f ca="1">IFERROR(__xludf.DUMMYFUNCTION("""COMPUTED_VALUE"""),0)</f>
        <v>0</v>
      </c>
      <c r="D9672" s="12" t="str">
        <f ca="1">IFERROR(__xludf.DUMMYFUNCTION("""COMPUTED_VALUE"""),"小川 純")</f>
        <v>小川 純</v>
      </c>
    </row>
    <row r="9673" spans="2:4" ht="13">
      <c r="B9673" s="12">
        <f ca="1">IFERROR(__xludf.DUMMYFUNCTION("""COMPUTED_VALUE"""),3103904)</f>
        <v>3103904</v>
      </c>
      <c r="C9673" s="14">
        <f ca="1">IFERROR(__xludf.DUMMYFUNCTION("""COMPUTED_VALUE"""),28)</f>
        <v>28</v>
      </c>
      <c r="D9673" s="12" t="str">
        <f ca="1">IFERROR(__xludf.DUMMYFUNCTION("""COMPUTED_VALUE"""),"小川 純")</f>
        <v>小川 純</v>
      </c>
    </row>
    <row r="9674" spans="2:4" ht="13">
      <c r="B9674" s="12">
        <f ca="1">IFERROR(__xludf.DUMMYFUNCTION("""COMPUTED_VALUE"""),3103905)</f>
        <v>3103905</v>
      </c>
      <c r="C9674" s="14">
        <f ca="1">IFERROR(__xludf.DUMMYFUNCTION("""COMPUTED_VALUE"""),0)</f>
        <v>0</v>
      </c>
      <c r="D9674" s="12" t="str">
        <f ca="1">IFERROR(__xludf.DUMMYFUNCTION("""COMPUTED_VALUE"""),"小川 純")</f>
        <v>小川 純</v>
      </c>
    </row>
    <row r="9675" spans="2:4" ht="13">
      <c r="B9675" s="12">
        <f ca="1">IFERROR(__xludf.DUMMYFUNCTION("""COMPUTED_VALUE"""),3103906)</f>
        <v>3103906</v>
      </c>
      <c r="C9675" s="14">
        <f ca="1">IFERROR(__xludf.DUMMYFUNCTION("""COMPUTED_VALUE"""),51)</f>
        <v>51</v>
      </c>
      <c r="D9675" s="12" t="str">
        <f ca="1">IFERROR(__xludf.DUMMYFUNCTION("""COMPUTED_VALUE"""),"小川 純")</f>
        <v>小川 純</v>
      </c>
    </row>
    <row r="9676" spans="2:4" ht="13">
      <c r="B9676" s="12">
        <f ca="1">IFERROR(__xludf.DUMMYFUNCTION("""COMPUTED_VALUE"""),3103907)</f>
        <v>3103907</v>
      </c>
      <c r="C9676" s="14">
        <f ca="1">IFERROR(__xludf.DUMMYFUNCTION("""COMPUTED_VALUE"""),67)</f>
        <v>67</v>
      </c>
      <c r="D9676" s="12" t="str">
        <f ca="1">IFERROR(__xludf.DUMMYFUNCTION("""COMPUTED_VALUE"""),"小川 純")</f>
        <v>小川 純</v>
      </c>
    </row>
    <row r="9677" spans="2:4" ht="13">
      <c r="B9677" s="12">
        <f ca="1">IFERROR(__xludf.DUMMYFUNCTION("""COMPUTED_VALUE"""),3103908)</f>
        <v>3103908</v>
      </c>
      <c r="C9677" s="14">
        <f ca="1">IFERROR(__xludf.DUMMYFUNCTION("""COMPUTED_VALUE"""),43)</f>
        <v>43</v>
      </c>
      <c r="D9677" s="12" t="str">
        <f ca="1">IFERROR(__xludf.DUMMYFUNCTION("""COMPUTED_VALUE"""),"小川 純")</f>
        <v>小川 純</v>
      </c>
    </row>
    <row r="9678" spans="2:4" ht="13">
      <c r="B9678" s="12">
        <f ca="1">IFERROR(__xludf.DUMMYFUNCTION("""COMPUTED_VALUE"""),3103909)</f>
        <v>3103909</v>
      </c>
      <c r="C9678" s="14">
        <f ca="1">IFERROR(__xludf.DUMMYFUNCTION("""COMPUTED_VALUE"""),153)</f>
        <v>153</v>
      </c>
      <c r="D9678" s="12" t="str">
        <f ca="1">IFERROR(__xludf.DUMMYFUNCTION("""COMPUTED_VALUE"""),"菅野 ぎんが")</f>
        <v>菅野 ぎんが</v>
      </c>
    </row>
    <row r="9679" spans="2:4" ht="13">
      <c r="B9679" s="12">
        <f ca="1">IFERROR(__xludf.DUMMYFUNCTION("""COMPUTED_VALUE"""),3103910)</f>
        <v>3103910</v>
      </c>
      <c r="C9679" s="14">
        <f ca="1">IFERROR(__xludf.DUMMYFUNCTION("""COMPUTED_VALUE"""),6)</f>
        <v>6</v>
      </c>
      <c r="D9679" s="12" t="str">
        <f ca="1">IFERROR(__xludf.DUMMYFUNCTION("""COMPUTED_VALUE"""),"村上 浩一朗")</f>
        <v>村上 浩一朗</v>
      </c>
    </row>
    <row r="9680" spans="2:4" ht="13">
      <c r="B9680" s="12">
        <f ca="1">IFERROR(__xludf.DUMMYFUNCTION("""COMPUTED_VALUE"""),3103911)</f>
        <v>3103911</v>
      </c>
      <c r="C9680" s="14">
        <f ca="1">IFERROR(__xludf.DUMMYFUNCTION("""COMPUTED_VALUE"""),1)</f>
        <v>1</v>
      </c>
      <c r="D9680" s="12" t="str">
        <f ca="1">IFERROR(__xludf.DUMMYFUNCTION("""COMPUTED_VALUE"""),"桐山 勝気")</f>
        <v>桐山 勝気</v>
      </c>
    </row>
    <row r="9681" spans="2:4" ht="13">
      <c r="B9681" s="12">
        <f ca="1">IFERROR(__xludf.DUMMYFUNCTION("""COMPUTED_VALUE"""),3103912)</f>
        <v>3103912</v>
      </c>
      <c r="C9681" s="14">
        <f ca="1">IFERROR(__xludf.DUMMYFUNCTION("""COMPUTED_VALUE"""),0)</f>
        <v>0</v>
      </c>
      <c r="D9681" s="12" t="str">
        <f ca="1">IFERROR(__xludf.DUMMYFUNCTION("""COMPUTED_VALUE"""),"芳賀 亮輔")</f>
        <v>芳賀 亮輔</v>
      </c>
    </row>
    <row r="9682" spans="2:4" ht="13">
      <c r="B9682" s="12">
        <f ca="1">IFERROR(__xludf.DUMMYFUNCTION("""COMPUTED_VALUE"""),3103913)</f>
        <v>3103913</v>
      </c>
      <c r="C9682" s="14">
        <f ca="1">IFERROR(__xludf.DUMMYFUNCTION("""COMPUTED_VALUE"""),20)</f>
        <v>20</v>
      </c>
      <c r="D9682" s="12" t="str">
        <f ca="1">IFERROR(__xludf.DUMMYFUNCTION("""COMPUTED_VALUE"""),"渋谷 雄大")</f>
        <v>渋谷 雄大</v>
      </c>
    </row>
    <row r="9683" spans="2:4" ht="13">
      <c r="B9683" s="12">
        <f ca="1">IFERROR(__xludf.DUMMYFUNCTION("""COMPUTED_VALUE"""),3103914)</f>
        <v>3103914</v>
      </c>
      <c r="C9683" s="14">
        <f ca="1">IFERROR(__xludf.DUMMYFUNCTION("""COMPUTED_VALUE"""),32)</f>
        <v>32</v>
      </c>
      <c r="D9683" s="12" t="str">
        <f ca="1">IFERROR(__xludf.DUMMYFUNCTION("""COMPUTED_VALUE"""),"大木 優香")</f>
        <v>大木 優香</v>
      </c>
    </row>
    <row r="9684" spans="2:4" ht="13">
      <c r="B9684" s="12">
        <f ca="1">IFERROR(__xludf.DUMMYFUNCTION("""COMPUTED_VALUE"""),3103915)</f>
        <v>3103915</v>
      </c>
      <c r="C9684" s="14">
        <f ca="1">IFERROR(__xludf.DUMMYFUNCTION("""COMPUTED_VALUE"""),0)</f>
        <v>0</v>
      </c>
      <c r="D9684" s="12" t="str">
        <f ca="1">IFERROR(__xludf.DUMMYFUNCTION("""COMPUTED_VALUE"""),"大木 優香")</f>
        <v>大木 優香</v>
      </c>
    </row>
    <row r="9685" spans="2:4" ht="13">
      <c r="B9685" s="12">
        <f ca="1">IFERROR(__xludf.DUMMYFUNCTION("""COMPUTED_VALUE"""),3103916)</f>
        <v>3103916</v>
      </c>
      <c r="C9685" s="14">
        <f ca="1">IFERROR(__xludf.DUMMYFUNCTION("""COMPUTED_VALUE"""),28)</f>
        <v>28</v>
      </c>
      <c r="D9685" s="12" t="str">
        <f ca="1">IFERROR(__xludf.DUMMYFUNCTION("""COMPUTED_VALUE"""),"村上 浩一朗")</f>
        <v>村上 浩一朗</v>
      </c>
    </row>
    <row r="9686" spans="2:4" ht="13">
      <c r="B9686" s="12">
        <f ca="1">IFERROR(__xludf.DUMMYFUNCTION("""COMPUTED_VALUE"""),3103917)</f>
        <v>3103917</v>
      </c>
      <c r="C9686" s="14">
        <f ca="1">IFERROR(__xludf.DUMMYFUNCTION("""COMPUTED_VALUE"""),0)</f>
        <v>0</v>
      </c>
      <c r="D9686" s="12" t="str">
        <f ca="1">IFERROR(__xludf.DUMMYFUNCTION("""COMPUTED_VALUE"""),"大木 優香")</f>
        <v>大木 優香</v>
      </c>
    </row>
    <row r="9687" spans="2:4" ht="13">
      <c r="B9687" s="12">
        <f ca="1">IFERROR(__xludf.DUMMYFUNCTION("""COMPUTED_VALUE"""),3103918)</f>
        <v>3103918</v>
      </c>
      <c r="C9687" s="14">
        <f ca="1">IFERROR(__xludf.DUMMYFUNCTION("""COMPUTED_VALUE"""),0)</f>
        <v>0</v>
      </c>
      <c r="D9687" s="12" t="str">
        <f ca="1">IFERROR(__xludf.DUMMYFUNCTION("""COMPUTED_VALUE"""),"芳賀 亮輔")</f>
        <v>芳賀 亮輔</v>
      </c>
    </row>
    <row r="9688" spans="2:4" ht="13">
      <c r="B9688" s="12">
        <f ca="1">IFERROR(__xludf.DUMMYFUNCTION("""COMPUTED_VALUE"""),3103919)</f>
        <v>3103919</v>
      </c>
      <c r="C9688" s="14">
        <f ca="1">IFERROR(__xludf.DUMMYFUNCTION("""COMPUTED_VALUE"""),0)</f>
        <v>0</v>
      </c>
      <c r="D9688" s="12" t="str">
        <f ca="1">IFERROR(__xludf.DUMMYFUNCTION("""COMPUTED_VALUE"""),"田嶋 将太")</f>
        <v>田嶋 将太</v>
      </c>
    </row>
    <row r="9689" spans="2:4" ht="13">
      <c r="B9689" s="12">
        <f ca="1">IFERROR(__xludf.DUMMYFUNCTION("""COMPUTED_VALUE"""),3103920)</f>
        <v>3103920</v>
      </c>
      <c r="C9689" s="14">
        <f ca="1">IFERROR(__xludf.DUMMYFUNCTION("""COMPUTED_VALUE"""),0)</f>
        <v>0</v>
      </c>
      <c r="D9689" s="12" t="str">
        <f ca="1">IFERROR(__xludf.DUMMYFUNCTION("""COMPUTED_VALUE"""),"辻村 将大")</f>
        <v>辻村 将大</v>
      </c>
    </row>
    <row r="9690" spans="2:4" ht="13">
      <c r="B9690" s="12">
        <f ca="1">IFERROR(__xludf.DUMMYFUNCTION("""COMPUTED_VALUE"""),3103921)</f>
        <v>3103921</v>
      </c>
      <c r="C9690" s="14">
        <f ca="1">IFERROR(__xludf.DUMMYFUNCTION("""COMPUTED_VALUE"""),0)</f>
        <v>0</v>
      </c>
      <c r="D9690" s="12" t="str">
        <f ca="1">IFERROR(__xludf.DUMMYFUNCTION("""COMPUTED_VALUE"""),"川島 幹也")</f>
        <v>川島 幹也</v>
      </c>
    </row>
    <row r="9691" spans="2:4" ht="13">
      <c r="B9691" s="12">
        <f ca="1">IFERROR(__xludf.DUMMYFUNCTION("""COMPUTED_VALUE"""),3103922)</f>
        <v>3103922</v>
      </c>
      <c r="C9691" s="14">
        <f ca="1">IFERROR(__xludf.DUMMYFUNCTION("""COMPUTED_VALUE"""),0)</f>
        <v>0</v>
      </c>
      <c r="D9691" s="12" t="str">
        <f ca="1">IFERROR(__xludf.DUMMYFUNCTION("""COMPUTED_VALUE"""),"川島 幹也")</f>
        <v>川島 幹也</v>
      </c>
    </row>
    <row r="9692" spans="2:4" ht="13">
      <c r="B9692" s="12">
        <f ca="1">IFERROR(__xludf.DUMMYFUNCTION("""COMPUTED_VALUE"""),3103923)</f>
        <v>3103923</v>
      </c>
      <c r="C9692" s="14">
        <f ca="1">IFERROR(__xludf.DUMMYFUNCTION("""COMPUTED_VALUE"""),0)</f>
        <v>0</v>
      </c>
      <c r="D9692" s="12" t="str">
        <f ca="1">IFERROR(__xludf.DUMMYFUNCTION("""COMPUTED_VALUE"""),"川島 幹也")</f>
        <v>川島 幹也</v>
      </c>
    </row>
    <row r="9693" spans="2:4" ht="13">
      <c r="B9693" s="12">
        <f ca="1">IFERROR(__xludf.DUMMYFUNCTION("""COMPUTED_VALUE"""),3103924)</f>
        <v>3103924</v>
      </c>
      <c r="C9693" s="14">
        <f ca="1">IFERROR(__xludf.DUMMYFUNCTION("""COMPUTED_VALUE"""),0)</f>
        <v>0</v>
      </c>
      <c r="D9693" s="12" t="str">
        <f ca="1">IFERROR(__xludf.DUMMYFUNCTION("""COMPUTED_VALUE"""),"川島 幹也")</f>
        <v>川島 幹也</v>
      </c>
    </row>
    <row r="9694" spans="2:4" ht="13">
      <c r="B9694" s="12">
        <f ca="1">IFERROR(__xludf.DUMMYFUNCTION("""COMPUTED_VALUE"""),3103925)</f>
        <v>3103925</v>
      </c>
      <c r="C9694" s="14">
        <f ca="1">IFERROR(__xludf.DUMMYFUNCTION("""COMPUTED_VALUE"""),97)</f>
        <v>97</v>
      </c>
      <c r="D9694" s="12" t="str">
        <f ca="1">IFERROR(__xludf.DUMMYFUNCTION("""COMPUTED_VALUE"""),"大木 優香")</f>
        <v>大木 優香</v>
      </c>
    </row>
    <row r="9695" spans="2:4" ht="13">
      <c r="B9695" s="12">
        <f ca="1">IFERROR(__xludf.DUMMYFUNCTION("""COMPUTED_VALUE"""),3103926)</f>
        <v>3103926</v>
      </c>
      <c r="C9695" s="14">
        <f ca="1">IFERROR(__xludf.DUMMYFUNCTION("""COMPUTED_VALUE"""),79)</f>
        <v>79</v>
      </c>
      <c r="D9695" s="12" t="str">
        <f ca="1">IFERROR(__xludf.DUMMYFUNCTION("""COMPUTED_VALUE"""),"荻曽 克輝")</f>
        <v>荻曽 克輝</v>
      </c>
    </row>
    <row r="9696" spans="2:4" ht="13">
      <c r="B9696" s="12">
        <f ca="1">IFERROR(__xludf.DUMMYFUNCTION("""COMPUTED_VALUE"""),3103927)</f>
        <v>3103927</v>
      </c>
      <c r="C9696" s="14">
        <f ca="1">IFERROR(__xludf.DUMMYFUNCTION("""COMPUTED_VALUE"""),0)</f>
        <v>0</v>
      </c>
      <c r="D9696" s="12" t="str">
        <f ca="1">IFERROR(__xludf.DUMMYFUNCTION("""COMPUTED_VALUE"""),"芳賀 亮輔")</f>
        <v>芳賀 亮輔</v>
      </c>
    </row>
    <row r="9697" spans="2:4" ht="13">
      <c r="B9697" s="12">
        <f ca="1">IFERROR(__xludf.DUMMYFUNCTION("""COMPUTED_VALUE"""),3103928)</f>
        <v>3103928</v>
      </c>
      <c r="C9697" s="14">
        <f ca="1">IFERROR(__xludf.DUMMYFUNCTION("""COMPUTED_VALUE"""),0)</f>
        <v>0</v>
      </c>
      <c r="D9697" s="12" t="str">
        <f ca="1">IFERROR(__xludf.DUMMYFUNCTION("""COMPUTED_VALUE"""),"森 光智")</f>
        <v>森 光智</v>
      </c>
    </row>
    <row r="9698" spans="2:4" ht="13">
      <c r="B9698" s="12">
        <f ca="1">IFERROR(__xludf.DUMMYFUNCTION("""COMPUTED_VALUE"""),3103929)</f>
        <v>3103929</v>
      </c>
      <c r="C9698" s="14">
        <f ca="1">IFERROR(__xludf.DUMMYFUNCTION("""COMPUTED_VALUE"""),0)</f>
        <v>0</v>
      </c>
      <c r="D9698" s="12" t="str">
        <f ca="1">IFERROR(__xludf.DUMMYFUNCTION("""COMPUTED_VALUE"""),"大木 優香")</f>
        <v>大木 優香</v>
      </c>
    </row>
    <row r="9699" spans="2:4" ht="13">
      <c r="B9699" s="12">
        <f ca="1">IFERROR(__xludf.DUMMYFUNCTION("""COMPUTED_VALUE"""),3103930)</f>
        <v>3103930</v>
      </c>
      <c r="C9699" s="14">
        <f ca="1">IFERROR(__xludf.DUMMYFUNCTION("""COMPUTED_VALUE"""),0)</f>
        <v>0</v>
      </c>
      <c r="D9699" s="12" t="str">
        <f ca="1">IFERROR(__xludf.DUMMYFUNCTION("""COMPUTED_VALUE"""),"小川 純")</f>
        <v>小川 純</v>
      </c>
    </row>
    <row r="9700" spans="2:4" ht="13">
      <c r="B9700" s="12">
        <f ca="1">IFERROR(__xludf.DUMMYFUNCTION("""COMPUTED_VALUE"""),3103931)</f>
        <v>3103931</v>
      </c>
      <c r="C9700" s="14">
        <f ca="1">IFERROR(__xludf.DUMMYFUNCTION("""COMPUTED_VALUE"""),0)</f>
        <v>0</v>
      </c>
      <c r="D9700" s="12" t="str">
        <f ca="1">IFERROR(__xludf.DUMMYFUNCTION("""COMPUTED_VALUE"""),"小川 純")</f>
        <v>小川 純</v>
      </c>
    </row>
    <row r="9701" spans="2:4" ht="13">
      <c r="B9701" s="12">
        <f ca="1">IFERROR(__xludf.DUMMYFUNCTION("""COMPUTED_VALUE"""),3103932)</f>
        <v>3103932</v>
      </c>
      <c r="C9701" s="14">
        <f ca="1">IFERROR(__xludf.DUMMYFUNCTION("""COMPUTED_VALUE"""),26)</f>
        <v>26</v>
      </c>
      <c r="D9701" s="12" t="str">
        <f ca="1">IFERROR(__xludf.DUMMYFUNCTION("""COMPUTED_VALUE"""),"小川 純")</f>
        <v>小川 純</v>
      </c>
    </row>
    <row r="9702" spans="2:4" ht="13">
      <c r="B9702" s="12">
        <f ca="1">IFERROR(__xludf.DUMMYFUNCTION("""COMPUTED_VALUE"""),3103933)</f>
        <v>3103933</v>
      </c>
      <c r="C9702" s="14">
        <f ca="1">IFERROR(__xludf.DUMMYFUNCTION("""COMPUTED_VALUE"""),0)</f>
        <v>0</v>
      </c>
      <c r="D9702" s="12" t="str">
        <f ca="1">IFERROR(__xludf.DUMMYFUNCTION("""COMPUTED_VALUE"""),"堀越 駿")</f>
        <v>堀越 駿</v>
      </c>
    </row>
    <row r="9703" spans="2:4" ht="13">
      <c r="B9703" s="12">
        <f ca="1">IFERROR(__xludf.DUMMYFUNCTION("""COMPUTED_VALUE"""),3103934)</f>
        <v>3103934</v>
      </c>
      <c r="C9703" s="14">
        <f ca="1">IFERROR(__xludf.DUMMYFUNCTION("""COMPUTED_VALUE"""),0)</f>
        <v>0</v>
      </c>
      <c r="D9703" s="12" t="str">
        <f ca="1">IFERROR(__xludf.DUMMYFUNCTION("""COMPUTED_VALUE"""),"森 光智")</f>
        <v>森 光智</v>
      </c>
    </row>
    <row r="9704" spans="2:4" ht="13">
      <c r="B9704" s="12">
        <f ca="1">IFERROR(__xludf.DUMMYFUNCTION("""COMPUTED_VALUE"""),3103935)</f>
        <v>3103935</v>
      </c>
      <c r="C9704" s="14">
        <f ca="1">IFERROR(__xludf.DUMMYFUNCTION("""COMPUTED_VALUE"""),9)</f>
        <v>9</v>
      </c>
      <c r="D9704" s="12" t="str">
        <f ca="1">IFERROR(__xludf.DUMMYFUNCTION("""COMPUTED_VALUE"""),"長谷川 陸朗")</f>
        <v>長谷川 陸朗</v>
      </c>
    </row>
    <row r="9705" spans="2:4" ht="13">
      <c r="B9705" s="12">
        <f ca="1">IFERROR(__xludf.DUMMYFUNCTION("""COMPUTED_VALUE"""),3103936)</f>
        <v>3103936</v>
      </c>
      <c r="C9705" s="14">
        <f ca="1">IFERROR(__xludf.DUMMYFUNCTION("""COMPUTED_VALUE"""),90)</f>
        <v>90</v>
      </c>
      <c r="D9705" s="12" t="str">
        <f ca="1">IFERROR(__xludf.DUMMYFUNCTION("""COMPUTED_VALUE"""),"菅野 ぎんが")</f>
        <v>菅野 ぎんが</v>
      </c>
    </row>
    <row r="9706" spans="2:4" ht="13">
      <c r="B9706" s="12">
        <f ca="1">IFERROR(__xludf.DUMMYFUNCTION("""COMPUTED_VALUE"""),3103937)</f>
        <v>3103937</v>
      </c>
      <c r="C9706" s="14">
        <f ca="1">IFERROR(__xludf.DUMMYFUNCTION("""COMPUTED_VALUE"""),41)</f>
        <v>41</v>
      </c>
      <c r="D9706" s="12" t="str">
        <f ca="1">IFERROR(__xludf.DUMMYFUNCTION("""COMPUTED_VALUE"""),"荻曽 克輝")</f>
        <v>荻曽 克輝</v>
      </c>
    </row>
    <row r="9707" spans="2:4" ht="13">
      <c r="B9707" s="12">
        <f ca="1">IFERROR(__xludf.DUMMYFUNCTION("""COMPUTED_VALUE"""),3103938)</f>
        <v>3103938</v>
      </c>
      <c r="C9707" s="14">
        <f ca="1">IFERROR(__xludf.DUMMYFUNCTION("""COMPUTED_VALUE"""),27)</f>
        <v>27</v>
      </c>
      <c r="D9707" s="12" t="str">
        <f ca="1">IFERROR(__xludf.DUMMYFUNCTION("""COMPUTED_VALUE"""),"奥野 貴大")</f>
        <v>奥野 貴大</v>
      </c>
    </row>
    <row r="9708" spans="2:4" ht="13">
      <c r="B9708" s="12">
        <f ca="1">IFERROR(__xludf.DUMMYFUNCTION("""COMPUTED_VALUE"""),3103939)</f>
        <v>3103939</v>
      </c>
      <c r="C9708" s="14">
        <f ca="1">IFERROR(__xludf.DUMMYFUNCTION("""COMPUTED_VALUE"""),0)</f>
        <v>0</v>
      </c>
      <c r="D9708" s="12" t="str">
        <f ca="1">IFERROR(__xludf.DUMMYFUNCTION("""COMPUTED_VALUE"""),"芳賀 亮輔")</f>
        <v>芳賀 亮輔</v>
      </c>
    </row>
    <row r="9709" spans="2:4" ht="13">
      <c r="B9709" s="12">
        <f ca="1">IFERROR(__xludf.DUMMYFUNCTION("""COMPUTED_VALUE"""),3103940)</f>
        <v>3103940</v>
      </c>
      <c r="C9709" s="14">
        <f ca="1">IFERROR(__xludf.DUMMYFUNCTION("""COMPUTED_VALUE"""),0)</f>
        <v>0</v>
      </c>
      <c r="D9709" s="12" t="str">
        <f ca="1">IFERROR(__xludf.DUMMYFUNCTION("""COMPUTED_VALUE"""),"小川 純")</f>
        <v>小川 純</v>
      </c>
    </row>
    <row r="9710" spans="2:4" ht="13">
      <c r="B9710" s="12">
        <f ca="1">IFERROR(__xludf.DUMMYFUNCTION("""COMPUTED_VALUE"""),3103941)</f>
        <v>3103941</v>
      </c>
      <c r="C9710" s="14">
        <f ca="1">IFERROR(__xludf.DUMMYFUNCTION("""COMPUTED_VALUE"""),0)</f>
        <v>0</v>
      </c>
      <c r="D9710" s="12" t="str">
        <f ca="1">IFERROR(__xludf.DUMMYFUNCTION("""COMPUTED_VALUE"""),"小川 純")</f>
        <v>小川 純</v>
      </c>
    </row>
    <row r="9711" spans="2:4" ht="13">
      <c r="B9711" s="12">
        <f ca="1">IFERROR(__xludf.DUMMYFUNCTION("""COMPUTED_VALUE"""),3103942)</f>
        <v>3103942</v>
      </c>
      <c r="C9711" s="14">
        <f ca="1">IFERROR(__xludf.DUMMYFUNCTION("""COMPUTED_VALUE"""),0)</f>
        <v>0</v>
      </c>
      <c r="D9711" s="12" t="str">
        <f ca="1">IFERROR(__xludf.DUMMYFUNCTION("""COMPUTED_VALUE"""),"小川 純")</f>
        <v>小川 純</v>
      </c>
    </row>
    <row r="9712" spans="2:4" ht="13">
      <c r="B9712" s="12">
        <f ca="1">IFERROR(__xludf.DUMMYFUNCTION("""COMPUTED_VALUE"""),3103943)</f>
        <v>3103943</v>
      </c>
      <c r="C9712" s="14">
        <f ca="1">IFERROR(__xludf.DUMMYFUNCTION("""COMPUTED_VALUE"""),0)</f>
        <v>0</v>
      </c>
      <c r="D9712" s="12" t="str">
        <f ca="1">IFERROR(__xludf.DUMMYFUNCTION("""COMPUTED_VALUE"""),"小川 純")</f>
        <v>小川 純</v>
      </c>
    </row>
    <row r="9713" spans="2:4" ht="13">
      <c r="B9713" s="12">
        <f ca="1">IFERROR(__xludf.DUMMYFUNCTION("""COMPUTED_VALUE"""),3103944)</f>
        <v>3103944</v>
      </c>
      <c r="C9713" s="14">
        <f ca="1">IFERROR(__xludf.DUMMYFUNCTION("""COMPUTED_VALUE"""),0)</f>
        <v>0</v>
      </c>
      <c r="D9713" s="12" t="str">
        <f ca="1">IFERROR(__xludf.DUMMYFUNCTION("""COMPUTED_VALUE"""),"小川 純")</f>
        <v>小川 純</v>
      </c>
    </row>
    <row r="9714" spans="2:4" ht="13">
      <c r="B9714" s="12">
        <f ca="1">IFERROR(__xludf.DUMMYFUNCTION("""COMPUTED_VALUE"""),3103945)</f>
        <v>3103945</v>
      </c>
      <c r="C9714" s="14">
        <f ca="1">IFERROR(__xludf.DUMMYFUNCTION("""COMPUTED_VALUE"""),0)</f>
        <v>0</v>
      </c>
      <c r="D9714" s="12" t="str">
        <f ca="1">IFERROR(__xludf.DUMMYFUNCTION("""COMPUTED_VALUE"""),"小川 純")</f>
        <v>小川 純</v>
      </c>
    </row>
    <row r="9715" spans="2:4" ht="13">
      <c r="B9715" s="12">
        <f ca="1">IFERROR(__xludf.DUMMYFUNCTION("""COMPUTED_VALUE"""),3103946)</f>
        <v>3103946</v>
      </c>
      <c r="C9715" s="14">
        <f ca="1">IFERROR(__xludf.DUMMYFUNCTION("""COMPUTED_VALUE"""),112)</f>
        <v>112</v>
      </c>
      <c r="D9715" s="12" t="str">
        <f ca="1">IFERROR(__xludf.DUMMYFUNCTION("""COMPUTED_VALUE"""),"小川 純")</f>
        <v>小川 純</v>
      </c>
    </row>
    <row r="9716" spans="2:4" ht="13">
      <c r="B9716" s="12">
        <f ca="1">IFERROR(__xludf.DUMMYFUNCTION("""COMPUTED_VALUE"""),3103947)</f>
        <v>3103947</v>
      </c>
      <c r="C9716" s="14">
        <f ca="1">IFERROR(__xludf.DUMMYFUNCTION("""COMPUTED_VALUE"""),10)</f>
        <v>10</v>
      </c>
      <c r="D9716" s="12" t="str">
        <f ca="1">IFERROR(__xludf.DUMMYFUNCTION("""COMPUTED_VALUE"""),"森 光智")</f>
        <v>森 光智</v>
      </c>
    </row>
    <row r="9717" spans="2:4" ht="13">
      <c r="B9717" s="12">
        <f ca="1">IFERROR(__xludf.DUMMYFUNCTION("""COMPUTED_VALUE"""),3103948)</f>
        <v>3103948</v>
      </c>
      <c r="C9717" s="14">
        <f ca="1">IFERROR(__xludf.DUMMYFUNCTION("""COMPUTED_VALUE"""),16)</f>
        <v>16</v>
      </c>
      <c r="D9717" s="12" t="str">
        <f ca="1">IFERROR(__xludf.DUMMYFUNCTION("""COMPUTED_VALUE"""),"川島 幹也")</f>
        <v>川島 幹也</v>
      </c>
    </row>
    <row r="9718" spans="2:4" ht="13">
      <c r="B9718" s="12">
        <f ca="1">IFERROR(__xludf.DUMMYFUNCTION("""COMPUTED_VALUE"""),3103949)</f>
        <v>3103949</v>
      </c>
      <c r="C9718" s="14">
        <f ca="1">IFERROR(__xludf.DUMMYFUNCTION("""COMPUTED_VALUE"""),0)</f>
        <v>0</v>
      </c>
      <c r="D9718" s="12" t="str">
        <f ca="1">IFERROR(__xludf.DUMMYFUNCTION("""COMPUTED_VALUE"""),"大木 優香")</f>
        <v>大木 優香</v>
      </c>
    </row>
    <row r="9719" spans="2:4" ht="13">
      <c r="B9719" s="12">
        <f ca="1">IFERROR(__xludf.DUMMYFUNCTION("""COMPUTED_VALUE"""),3103950)</f>
        <v>3103950</v>
      </c>
      <c r="C9719" s="14">
        <f ca="1">IFERROR(__xludf.DUMMYFUNCTION("""COMPUTED_VALUE"""),17)</f>
        <v>17</v>
      </c>
      <c r="D9719" s="12" t="str">
        <f ca="1">IFERROR(__xludf.DUMMYFUNCTION("""COMPUTED_VALUE"""),"村上 浩一朗")</f>
        <v>村上 浩一朗</v>
      </c>
    </row>
    <row r="9720" spans="2:4" ht="13">
      <c r="B9720" s="12">
        <f ca="1">IFERROR(__xludf.DUMMYFUNCTION("""COMPUTED_VALUE"""),3103951)</f>
        <v>3103951</v>
      </c>
      <c r="C9720" s="14">
        <f ca="1">IFERROR(__xludf.DUMMYFUNCTION("""COMPUTED_VALUE"""),0)</f>
        <v>0</v>
      </c>
      <c r="D9720" s="12" t="str">
        <f ca="1">IFERROR(__xludf.DUMMYFUNCTION("""COMPUTED_VALUE"""),"小川 純")</f>
        <v>小川 純</v>
      </c>
    </row>
    <row r="9721" spans="2:4" ht="13">
      <c r="B9721" s="12">
        <f ca="1">IFERROR(__xludf.DUMMYFUNCTION("""COMPUTED_VALUE"""),3103952)</f>
        <v>3103952</v>
      </c>
      <c r="C9721" s="14">
        <f ca="1">IFERROR(__xludf.DUMMYFUNCTION("""COMPUTED_VALUE"""),87)</f>
        <v>87</v>
      </c>
      <c r="D9721" s="12" t="str">
        <f ca="1">IFERROR(__xludf.DUMMYFUNCTION("""COMPUTED_VALUE"""),"内丸 裕子")</f>
        <v>内丸 裕子</v>
      </c>
    </row>
    <row r="9722" spans="2:4" ht="13">
      <c r="B9722" s="12">
        <f ca="1">IFERROR(__xludf.DUMMYFUNCTION("""COMPUTED_VALUE"""),3103953)</f>
        <v>3103953</v>
      </c>
      <c r="C9722" s="14">
        <f ca="1">IFERROR(__xludf.DUMMYFUNCTION("""COMPUTED_VALUE"""),19)</f>
        <v>19</v>
      </c>
      <c r="D9722" s="12" t="str">
        <f ca="1">IFERROR(__xludf.DUMMYFUNCTION("""COMPUTED_VALUE"""),"小川 純")</f>
        <v>小川 純</v>
      </c>
    </row>
    <row r="9723" spans="2:4" ht="13">
      <c r="B9723" s="12">
        <f ca="1">IFERROR(__xludf.DUMMYFUNCTION("""COMPUTED_VALUE"""),3103954)</f>
        <v>3103954</v>
      </c>
      <c r="C9723" s="14">
        <f ca="1">IFERROR(__xludf.DUMMYFUNCTION("""COMPUTED_VALUE"""),256)</f>
        <v>256</v>
      </c>
      <c r="D9723" s="12" t="str">
        <f ca="1">IFERROR(__xludf.DUMMYFUNCTION("""COMPUTED_VALUE"""),"成嶋 夏未")</f>
        <v>成嶋 夏未</v>
      </c>
    </row>
    <row r="9724" spans="2:4" ht="13">
      <c r="B9724" s="12">
        <f ca="1">IFERROR(__xludf.DUMMYFUNCTION("""COMPUTED_VALUE"""),3103955)</f>
        <v>3103955</v>
      </c>
      <c r="C9724" s="14">
        <f ca="1">IFERROR(__xludf.DUMMYFUNCTION("""COMPUTED_VALUE"""),11)</f>
        <v>11</v>
      </c>
      <c r="D9724" s="12" t="str">
        <f ca="1">IFERROR(__xludf.DUMMYFUNCTION("""COMPUTED_VALUE"""),"桑原 明子")</f>
        <v>桑原 明子</v>
      </c>
    </row>
    <row r="9725" spans="2:4" ht="13">
      <c r="B9725" s="12">
        <f ca="1">IFERROR(__xludf.DUMMYFUNCTION("""COMPUTED_VALUE"""),3103956)</f>
        <v>3103956</v>
      </c>
      <c r="C9725" s="14">
        <f ca="1">IFERROR(__xludf.DUMMYFUNCTION("""COMPUTED_VALUE"""),0)</f>
        <v>0</v>
      </c>
      <c r="D9725" s="12" t="str">
        <f ca="1">IFERROR(__xludf.DUMMYFUNCTION("""COMPUTED_VALUE"""),"渋谷 雄大")</f>
        <v>渋谷 雄大</v>
      </c>
    </row>
    <row r="9726" spans="2:4" ht="13">
      <c r="B9726" s="12">
        <f ca="1">IFERROR(__xludf.DUMMYFUNCTION("""COMPUTED_VALUE"""),3103957)</f>
        <v>3103957</v>
      </c>
      <c r="C9726" s="14">
        <f ca="1">IFERROR(__xludf.DUMMYFUNCTION("""COMPUTED_VALUE"""),4)</f>
        <v>4</v>
      </c>
      <c r="D9726" s="12" t="str">
        <f ca="1">IFERROR(__xludf.DUMMYFUNCTION("""COMPUTED_VALUE"""),"森 光智")</f>
        <v>森 光智</v>
      </c>
    </row>
    <row r="9727" spans="2:4" ht="13">
      <c r="B9727" s="12">
        <f ca="1">IFERROR(__xludf.DUMMYFUNCTION("""COMPUTED_VALUE"""),3103958)</f>
        <v>3103958</v>
      </c>
      <c r="C9727" s="14">
        <f ca="1">IFERROR(__xludf.DUMMYFUNCTION("""COMPUTED_VALUE"""),0)</f>
        <v>0</v>
      </c>
      <c r="D9727" s="12" t="str">
        <f ca="1">IFERROR(__xludf.DUMMYFUNCTION("""COMPUTED_VALUE"""),"小川 純")</f>
        <v>小川 純</v>
      </c>
    </row>
    <row r="9728" spans="2:4" ht="13">
      <c r="B9728" s="12">
        <f ca="1">IFERROR(__xludf.DUMMYFUNCTION("""COMPUTED_VALUE"""),3103959)</f>
        <v>3103959</v>
      </c>
      <c r="C9728" s="14">
        <f ca="1">IFERROR(__xludf.DUMMYFUNCTION("""COMPUTED_VALUE"""),0)</f>
        <v>0</v>
      </c>
      <c r="D9728" s="12" t="str">
        <f ca="1">IFERROR(__xludf.DUMMYFUNCTION("""COMPUTED_VALUE"""),"小川 純")</f>
        <v>小川 純</v>
      </c>
    </row>
    <row r="9729" spans="2:4" ht="13">
      <c r="B9729" s="12">
        <f ca="1">IFERROR(__xludf.DUMMYFUNCTION("""COMPUTED_VALUE"""),3103961)</f>
        <v>3103961</v>
      </c>
      <c r="C9729" s="14">
        <f ca="1">IFERROR(__xludf.DUMMYFUNCTION("""COMPUTED_VALUE"""),0)</f>
        <v>0</v>
      </c>
      <c r="D9729" s="12" t="str">
        <f ca="1">IFERROR(__xludf.DUMMYFUNCTION("""COMPUTED_VALUE"""),"小川 純")</f>
        <v>小川 純</v>
      </c>
    </row>
    <row r="9730" spans="2:4" ht="13">
      <c r="B9730" s="12">
        <f ca="1">IFERROR(__xludf.DUMMYFUNCTION("""COMPUTED_VALUE"""),3103962)</f>
        <v>3103962</v>
      </c>
      <c r="C9730" s="14">
        <f ca="1">IFERROR(__xludf.DUMMYFUNCTION("""COMPUTED_VALUE"""),0)</f>
        <v>0</v>
      </c>
      <c r="D9730" s="12" t="str">
        <f ca="1">IFERROR(__xludf.DUMMYFUNCTION("""COMPUTED_VALUE"""),"小川 純")</f>
        <v>小川 純</v>
      </c>
    </row>
    <row r="9731" spans="2:4" ht="13">
      <c r="B9731" s="12">
        <f ca="1">IFERROR(__xludf.DUMMYFUNCTION("""COMPUTED_VALUE"""),3103964)</f>
        <v>3103964</v>
      </c>
      <c r="C9731" s="14">
        <f ca="1">IFERROR(__xludf.DUMMYFUNCTION("""COMPUTED_VALUE"""),0)</f>
        <v>0</v>
      </c>
      <c r="D9731" s="12" t="str">
        <f ca="1">IFERROR(__xludf.DUMMYFUNCTION("""COMPUTED_VALUE"""),"小川 純")</f>
        <v>小川 純</v>
      </c>
    </row>
    <row r="9732" spans="2:4" ht="13">
      <c r="B9732" s="12">
        <f ca="1">IFERROR(__xludf.DUMMYFUNCTION("""COMPUTED_VALUE"""),3103965)</f>
        <v>3103965</v>
      </c>
      <c r="C9732" s="14">
        <f ca="1">IFERROR(__xludf.DUMMYFUNCTION("""COMPUTED_VALUE"""),0)</f>
        <v>0</v>
      </c>
      <c r="D9732" s="12" t="str">
        <f ca="1">IFERROR(__xludf.DUMMYFUNCTION("""COMPUTED_VALUE"""),"小川 純")</f>
        <v>小川 純</v>
      </c>
    </row>
    <row r="9733" spans="2:4" ht="13">
      <c r="B9733" s="12">
        <f ca="1">IFERROR(__xludf.DUMMYFUNCTION("""COMPUTED_VALUE"""),3103969)</f>
        <v>3103969</v>
      </c>
      <c r="C9733" s="14">
        <f ca="1">IFERROR(__xludf.DUMMYFUNCTION("""COMPUTED_VALUE"""),0)</f>
        <v>0</v>
      </c>
      <c r="D9733" s="12" t="str">
        <f ca="1">IFERROR(__xludf.DUMMYFUNCTION("""COMPUTED_VALUE"""),"小川 純")</f>
        <v>小川 純</v>
      </c>
    </row>
    <row r="9734" spans="2:4" ht="13">
      <c r="B9734" s="12">
        <f ca="1">IFERROR(__xludf.DUMMYFUNCTION("""COMPUTED_VALUE"""),3103970)</f>
        <v>3103970</v>
      </c>
      <c r="C9734" s="14">
        <f ca="1">IFERROR(__xludf.DUMMYFUNCTION("""COMPUTED_VALUE"""),0)</f>
        <v>0</v>
      </c>
      <c r="D9734" s="12" t="str">
        <f ca="1">IFERROR(__xludf.DUMMYFUNCTION("""COMPUTED_VALUE"""),"小川 純")</f>
        <v>小川 純</v>
      </c>
    </row>
    <row r="9735" spans="2:4" ht="13">
      <c r="B9735" s="12">
        <f ca="1">IFERROR(__xludf.DUMMYFUNCTION("""COMPUTED_VALUE"""),3103971)</f>
        <v>3103971</v>
      </c>
      <c r="C9735" s="14">
        <f ca="1">IFERROR(__xludf.DUMMYFUNCTION("""COMPUTED_VALUE"""),0)</f>
        <v>0</v>
      </c>
      <c r="D9735" s="12" t="str">
        <f ca="1">IFERROR(__xludf.DUMMYFUNCTION("""COMPUTED_VALUE"""),"小川 純")</f>
        <v>小川 純</v>
      </c>
    </row>
    <row r="9736" spans="2:4" ht="13">
      <c r="B9736" s="12">
        <f ca="1">IFERROR(__xludf.DUMMYFUNCTION("""COMPUTED_VALUE"""),3103973)</f>
        <v>3103973</v>
      </c>
      <c r="C9736" s="14">
        <f ca="1">IFERROR(__xludf.DUMMYFUNCTION("""COMPUTED_VALUE"""),0)</f>
        <v>0</v>
      </c>
      <c r="D9736" s="12" t="str">
        <f ca="1">IFERROR(__xludf.DUMMYFUNCTION("""COMPUTED_VALUE"""),"小川 純")</f>
        <v>小川 純</v>
      </c>
    </row>
    <row r="9737" spans="2:4" ht="13">
      <c r="B9737" s="12">
        <f ca="1">IFERROR(__xludf.DUMMYFUNCTION("""COMPUTED_VALUE"""),3103974)</f>
        <v>3103974</v>
      </c>
      <c r="C9737" s="14">
        <f ca="1">IFERROR(__xludf.DUMMYFUNCTION("""COMPUTED_VALUE"""),0)</f>
        <v>0</v>
      </c>
      <c r="D9737" s="12" t="str">
        <f ca="1">IFERROR(__xludf.DUMMYFUNCTION("""COMPUTED_VALUE"""),"小川 純")</f>
        <v>小川 純</v>
      </c>
    </row>
    <row r="9738" spans="2:4" ht="13">
      <c r="B9738" s="12">
        <f ca="1">IFERROR(__xludf.DUMMYFUNCTION("""COMPUTED_VALUE"""),3103975)</f>
        <v>3103975</v>
      </c>
      <c r="C9738" s="14">
        <f ca="1">IFERROR(__xludf.DUMMYFUNCTION("""COMPUTED_VALUE"""),26)</f>
        <v>26</v>
      </c>
      <c r="D9738" s="12" t="str">
        <f ca="1">IFERROR(__xludf.DUMMYFUNCTION("""COMPUTED_VALUE"""),"奥野 貴大")</f>
        <v>奥野 貴大</v>
      </c>
    </row>
    <row r="9739" spans="2:4" ht="13">
      <c r="B9739" s="12">
        <f ca="1">IFERROR(__xludf.DUMMYFUNCTION("""COMPUTED_VALUE"""),3103976)</f>
        <v>3103976</v>
      </c>
      <c r="C9739" s="14">
        <f ca="1">IFERROR(__xludf.DUMMYFUNCTION("""COMPUTED_VALUE"""),47)</f>
        <v>47</v>
      </c>
      <c r="D9739" s="12" t="str">
        <f ca="1">IFERROR(__xludf.DUMMYFUNCTION("""COMPUTED_VALUE"""),"大木 優香")</f>
        <v>大木 優香</v>
      </c>
    </row>
    <row r="9740" spans="2:4" ht="13">
      <c r="B9740" s="12">
        <f ca="1">IFERROR(__xludf.DUMMYFUNCTION("""COMPUTED_VALUE"""),3103977)</f>
        <v>3103977</v>
      </c>
      <c r="C9740" s="14">
        <f ca="1">IFERROR(__xludf.DUMMYFUNCTION("""COMPUTED_VALUE"""),0)</f>
        <v>0</v>
      </c>
      <c r="D9740" s="12" t="str">
        <f ca="1">IFERROR(__xludf.DUMMYFUNCTION("""COMPUTED_VALUE"""),"奥野 貴大")</f>
        <v>奥野 貴大</v>
      </c>
    </row>
    <row r="9741" spans="2:4" ht="13">
      <c r="B9741" s="12">
        <f ca="1">IFERROR(__xludf.DUMMYFUNCTION("""COMPUTED_VALUE"""),3103978)</f>
        <v>3103978</v>
      </c>
      <c r="C9741" s="14">
        <f ca="1">IFERROR(__xludf.DUMMYFUNCTION("""COMPUTED_VALUE"""),1)</f>
        <v>1</v>
      </c>
      <c r="D9741" s="12" t="str">
        <f ca="1">IFERROR(__xludf.DUMMYFUNCTION("""COMPUTED_VALUE"""),"奥野 貴大")</f>
        <v>奥野 貴大</v>
      </c>
    </row>
    <row r="9742" spans="2:4" ht="13">
      <c r="B9742" s="12">
        <f ca="1">IFERROR(__xludf.DUMMYFUNCTION("""COMPUTED_VALUE"""),3103979)</f>
        <v>3103979</v>
      </c>
      <c r="C9742" s="14">
        <f ca="1">IFERROR(__xludf.DUMMYFUNCTION("""COMPUTED_VALUE"""),78)</f>
        <v>78</v>
      </c>
      <c r="D9742" s="12" t="str">
        <f ca="1">IFERROR(__xludf.DUMMYFUNCTION("""COMPUTED_VALUE"""),"菅野 ぎんが")</f>
        <v>菅野 ぎんが</v>
      </c>
    </row>
    <row r="9743" spans="2:4" ht="13">
      <c r="B9743" s="12">
        <f ca="1">IFERROR(__xludf.DUMMYFUNCTION("""COMPUTED_VALUE"""),3103980)</f>
        <v>3103980</v>
      </c>
      <c r="C9743" s="14">
        <f ca="1">IFERROR(__xludf.DUMMYFUNCTION("""COMPUTED_VALUE"""),0)</f>
        <v>0</v>
      </c>
      <c r="D9743" s="12" t="str">
        <f ca="1">IFERROR(__xludf.DUMMYFUNCTION("""COMPUTED_VALUE"""),"村上 浩一朗")</f>
        <v>村上 浩一朗</v>
      </c>
    </row>
    <row r="9744" spans="2:4" ht="13">
      <c r="B9744" s="12">
        <f ca="1">IFERROR(__xludf.DUMMYFUNCTION("""COMPUTED_VALUE"""),3103981)</f>
        <v>3103981</v>
      </c>
      <c r="C9744" s="14">
        <f ca="1">IFERROR(__xludf.DUMMYFUNCTION("""COMPUTED_VALUE"""),47)</f>
        <v>47</v>
      </c>
      <c r="D9744" s="12" t="str">
        <f ca="1">IFERROR(__xludf.DUMMYFUNCTION("""COMPUTED_VALUE"""),"小川 純")</f>
        <v>小川 純</v>
      </c>
    </row>
    <row r="9745" spans="2:4" ht="13">
      <c r="B9745" s="12">
        <f ca="1">IFERROR(__xludf.DUMMYFUNCTION("""COMPUTED_VALUE"""),3103982)</f>
        <v>3103982</v>
      </c>
      <c r="C9745" s="14">
        <f ca="1">IFERROR(__xludf.DUMMYFUNCTION("""COMPUTED_VALUE"""),0)</f>
        <v>0</v>
      </c>
      <c r="D9745" s="12" t="str">
        <f ca="1">IFERROR(__xludf.DUMMYFUNCTION("""COMPUTED_VALUE"""),"大木 優香")</f>
        <v>大木 優香</v>
      </c>
    </row>
    <row r="9746" spans="2:4" ht="13">
      <c r="B9746" s="12">
        <f ca="1">IFERROR(__xludf.DUMMYFUNCTION("""COMPUTED_VALUE"""),3103983)</f>
        <v>3103983</v>
      </c>
      <c r="C9746" s="14">
        <f ca="1">IFERROR(__xludf.DUMMYFUNCTION("""COMPUTED_VALUE"""),0)</f>
        <v>0</v>
      </c>
      <c r="D9746" s="12" t="str">
        <f ca="1">IFERROR(__xludf.DUMMYFUNCTION("""COMPUTED_VALUE"""),"芳賀 亮輔")</f>
        <v>芳賀 亮輔</v>
      </c>
    </row>
    <row r="9747" spans="2:4" ht="13">
      <c r="B9747" s="12">
        <f ca="1">IFERROR(__xludf.DUMMYFUNCTION("""COMPUTED_VALUE"""),3103984)</f>
        <v>3103984</v>
      </c>
      <c r="C9747" s="14">
        <f ca="1">IFERROR(__xludf.DUMMYFUNCTION("""COMPUTED_VALUE"""),10)</f>
        <v>10</v>
      </c>
      <c r="D9747" s="12" t="str">
        <f ca="1">IFERROR(__xludf.DUMMYFUNCTION("""COMPUTED_VALUE"""),"桐山 勝気")</f>
        <v>桐山 勝気</v>
      </c>
    </row>
    <row r="9748" spans="2:4" ht="13">
      <c r="B9748" s="12">
        <f ca="1">IFERROR(__xludf.DUMMYFUNCTION("""COMPUTED_VALUE"""),3103985)</f>
        <v>3103985</v>
      </c>
      <c r="C9748" s="14">
        <f ca="1">IFERROR(__xludf.DUMMYFUNCTION("""COMPUTED_VALUE"""),2)</f>
        <v>2</v>
      </c>
      <c r="D9748" s="12" t="str">
        <f ca="1">IFERROR(__xludf.DUMMYFUNCTION("""COMPUTED_VALUE"""),"川島 幹也")</f>
        <v>川島 幹也</v>
      </c>
    </row>
    <row r="9749" spans="2:4" ht="13">
      <c r="B9749" s="12">
        <f ca="1">IFERROR(__xludf.DUMMYFUNCTION("""COMPUTED_VALUE"""),3103986)</f>
        <v>3103986</v>
      </c>
      <c r="C9749" s="14">
        <f ca="1">IFERROR(__xludf.DUMMYFUNCTION("""COMPUTED_VALUE"""),71)</f>
        <v>71</v>
      </c>
      <c r="D9749" s="12" t="str">
        <f ca="1">IFERROR(__xludf.DUMMYFUNCTION("""COMPUTED_VALUE"""),"菅野 ぎんが")</f>
        <v>菅野 ぎんが</v>
      </c>
    </row>
    <row r="9750" spans="2:4" ht="13">
      <c r="B9750" s="12">
        <f ca="1">IFERROR(__xludf.DUMMYFUNCTION("""COMPUTED_VALUE"""),3103987)</f>
        <v>3103987</v>
      </c>
      <c r="C9750" s="14">
        <f ca="1">IFERROR(__xludf.DUMMYFUNCTION("""COMPUTED_VALUE"""),32)</f>
        <v>32</v>
      </c>
      <c r="D9750" s="12" t="str">
        <f ca="1">IFERROR(__xludf.DUMMYFUNCTION("""COMPUTED_VALUE"""),"奥野 貴大")</f>
        <v>奥野 貴大</v>
      </c>
    </row>
    <row r="9751" spans="2:4" ht="13">
      <c r="B9751" s="12">
        <f ca="1">IFERROR(__xludf.DUMMYFUNCTION("""COMPUTED_VALUE"""),3103988)</f>
        <v>3103988</v>
      </c>
      <c r="C9751" s="14">
        <f ca="1">IFERROR(__xludf.DUMMYFUNCTION("""COMPUTED_VALUE"""),0)</f>
        <v>0</v>
      </c>
      <c r="D9751" s="12" t="str">
        <f ca="1">IFERROR(__xludf.DUMMYFUNCTION("""COMPUTED_VALUE"""),"小川 純")</f>
        <v>小川 純</v>
      </c>
    </row>
    <row r="9752" spans="2:4" ht="13">
      <c r="B9752" s="12">
        <f ca="1">IFERROR(__xludf.DUMMYFUNCTION("""COMPUTED_VALUE"""),3103989)</f>
        <v>3103989</v>
      </c>
      <c r="C9752" s="14">
        <f ca="1">IFERROR(__xludf.DUMMYFUNCTION("""COMPUTED_VALUE"""),0)</f>
        <v>0</v>
      </c>
      <c r="D9752" s="12" t="str">
        <f ca="1">IFERROR(__xludf.DUMMYFUNCTION("""COMPUTED_VALUE"""),"小川 純")</f>
        <v>小川 純</v>
      </c>
    </row>
    <row r="9753" spans="2:4" ht="13">
      <c r="B9753" s="12">
        <f ca="1">IFERROR(__xludf.DUMMYFUNCTION("""COMPUTED_VALUE"""),3103990)</f>
        <v>3103990</v>
      </c>
      <c r="C9753" s="14">
        <f ca="1">IFERROR(__xludf.DUMMYFUNCTION("""COMPUTED_VALUE"""),0)</f>
        <v>0</v>
      </c>
      <c r="D9753" s="12" t="str">
        <f ca="1">IFERROR(__xludf.DUMMYFUNCTION("""COMPUTED_VALUE"""),"小川 純")</f>
        <v>小川 純</v>
      </c>
    </row>
    <row r="9754" spans="2:4" ht="13">
      <c r="B9754" s="12">
        <f ca="1">IFERROR(__xludf.DUMMYFUNCTION("""COMPUTED_VALUE"""),3103992)</f>
        <v>3103992</v>
      </c>
      <c r="C9754" s="14">
        <f ca="1">IFERROR(__xludf.DUMMYFUNCTION("""COMPUTED_VALUE"""),0)</f>
        <v>0</v>
      </c>
      <c r="D9754" s="12" t="str">
        <f ca="1">IFERROR(__xludf.DUMMYFUNCTION("""COMPUTED_VALUE"""),"小川 純")</f>
        <v>小川 純</v>
      </c>
    </row>
    <row r="9755" spans="2:4" ht="13">
      <c r="B9755" s="12">
        <f ca="1">IFERROR(__xludf.DUMMYFUNCTION("""COMPUTED_VALUE"""),3103993)</f>
        <v>3103993</v>
      </c>
      <c r="C9755" s="14">
        <f ca="1">IFERROR(__xludf.DUMMYFUNCTION("""COMPUTED_VALUE"""),35)</f>
        <v>35</v>
      </c>
      <c r="D9755" s="12" t="str">
        <f ca="1">IFERROR(__xludf.DUMMYFUNCTION("""COMPUTED_VALUE"""),"小川 純")</f>
        <v>小川 純</v>
      </c>
    </row>
    <row r="9756" spans="2:4" ht="13">
      <c r="B9756" s="12">
        <f ca="1">IFERROR(__xludf.DUMMYFUNCTION("""COMPUTED_VALUE"""),3103994)</f>
        <v>3103994</v>
      </c>
      <c r="C9756" s="14">
        <f ca="1">IFERROR(__xludf.DUMMYFUNCTION("""COMPUTED_VALUE"""),21)</f>
        <v>21</v>
      </c>
      <c r="D9756" s="12" t="str">
        <f ca="1">IFERROR(__xludf.DUMMYFUNCTION("""COMPUTED_VALUE"""),"栗原 大武")</f>
        <v>栗原 大武</v>
      </c>
    </row>
    <row r="9757" spans="2:4" ht="13">
      <c r="B9757" s="12">
        <f ca="1">IFERROR(__xludf.DUMMYFUNCTION("""COMPUTED_VALUE"""),3103995)</f>
        <v>3103995</v>
      </c>
      <c r="C9757" s="14">
        <f ca="1">IFERROR(__xludf.DUMMYFUNCTION("""COMPUTED_VALUE"""),2)</f>
        <v>2</v>
      </c>
      <c r="D9757" s="12" t="str">
        <f ca="1">IFERROR(__xludf.DUMMYFUNCTION("""COMPUTED_VALUE"""),"芳賀 亮輔")</f>
        <v>芳賀 亮輔</v>
      </c>
    </row>
    <row r="9758" spans="2:4" ht="13">
      <c r="B9758" s="12">
        <f ca="1">IFERROR(__xludf.DUMMYFUNCTION("""COMPUTED_VALUE"""),3103996)</f>
        <v>3103996</v>
      </c>
      <c r="C9758" s="14">
        <f ca="1">IFERROR(__xludf.DUMMYFUNCTION("""COMPUTED_VALUE"""),1)</f>
        <v>1</v>
      </c>
      <c r="D9758" s="12" t="str">
        <f ca="1">IFERROR(__xludf.DUMMYFUNCTION("""COMPUTED_VALUE"""),"芳賀 亮輔")</f>
        <v>芳賀 亮輔</v>
      </c>
    </row>
    <row r="9759" spans="2:4" ht="13">
      <c r="B9759" s="12">
        <f ca="1">IFERROR(__xludf.DUMMYFUNCTION("""COMPUTED_VALUE"""),3103997)</f>
        <v>3103997</v>
      </c>
      <c r="C9759" s="14">
        <f ca="1">IFERROR(__xludf.DUMMYFUNCTION("""COMPUTED_VALUE"""),21)</f>
        <v>21</v>
      </c>
      <c r="D9759" s="12" t="str">
        <f ca="1">IFERROR(__xludf.DUMMYFUNCTION("""COMPUTED_VALUE"""),"村上 浩一朗")</f>
        <v>村上 浩一朗</v>
      </c>
    </row>
    <row r="9760" spans="2:4" ht="13">
      <c r="B9760" s="12">
        <f ca="1">IFERROR(__xludf.DUMMYFUNCTION("""COMPUTED_VALUE"""),3103998)</f>
        <v>3103998</v>
      </c>
      <c r="C9760" s="14">
        <f ca="1">IFERROR(__xludf.DUMMYFUNCTION("""COMPUTED_VALUE"""),0)</f>
        <v>0</v>
      </c>
      <c r="D9760" s="12" t="str">
        <f ca="1">IFERROR(__xludf.DUMMYFUNCTION("""COMPUTED_VALUE"""),"栗原 大武")</f>
        <v>栗原 大武</v>
      </c>
    </row>
    <row r="9761" spans="2:4" ht="13">
      <c r="B9761" s="12">
        <f ca="1">IFERROR(__xludf.DUMMYFUNCTION("""COMPUTED_VALUE"""),3103999)</f>
        <v>3103999</v>
      </c>
      <c r="C9761" s="14">
        <f ca="1">IFERROR(__xludf.DUMMYFUNCTION("""COMPUTED_VALUE"""),59)</f>
        <v>59</v>
      </c>
      <c r="D9761" s="12" t="str">
        <f ca="1">IFERROR(__xludf.DUMMYFUNCTION("""COMPUTED_VALUE"""),"大木 優香")</f>
        <v>大木 優香</v>
      </c>
    </row>
    <row r="9762" spans="2:4" ht="13">
      <c r="B9762" s="12">
        <f ca="1">IFERROR(__xludf.DUMMYFUNCTION("""COMPUTED_VALUE"""),3104000)</f>
        <v>3104000</v>
      </c>
      <c r="C9762" s="14">
        <f ca="1">IFERROR(__xludf.DUMMYFUNCTION("""COMPUTED_VALUE"""),1)</f>
        <v>1</v>
      </c>
      <c r="D9762" s="12" t="str">
        <f ca="1">IFERROR(__xludf.DUMMYFUNCTION("""COMPUTED_VALUE"""),"村上 浩一朗")</f>
        <v>村上 浩一朗</v>
      </c>
    </row>
    <row r="9763" spans="2:4" ht="13">
      <c r="B9763" s="12">
        <f ca="1">IFERROR(__xludf.DUMMYFUNCTION("""COMPUTED_VALUE"""),3104001)</f>
        <v>3104001</v>
      </c>
      <c r="C9763" s="14">
        <f ca="1">IFERROR(__xludf.DUMMYFUNCTION("""COMPUTED_VALUE"""),43)</f>
        <v>43</v>
      </c>
      <c r="D9763" s="12" t="str">
        <f ca="1">IFERROR(__xludf.DUMMYFUNCTION("""COMPUTED_VALUE"""),"大木 優香")</f>
        <v>大木 優香</v>
      </c>
    </row>
    <row r="9764" spans="2:4" ht="13">
      <c r="B9764" s="12">
        <f ca="1">IFERROR(__xludf.DUMMYFUNCTION("""COMPUTED_VALUE"""),3104002)</f>
        <v>3104002</v>
      </c>
      <c r="C9764" s="14">
        <f ca="1">IFERROR(__xludf.DUMMYFUNCTION("""COMPUTED_VALUE"""),0)</f>
        <v>0</v>
      </c>
      <c r="D9764" s="12" t="str">
        <f ca="1">IFERROR(__xludf.DUMMYFUNCTION("""COMPUTED_VALUE"""),"稲場 勇介")</f>
        <v>稲場 勇介</v>
      </c>
    </row>
    <row r="9765" spans="2:4" ht="13">
      <c r="B9765" s="12">
        <f ca="1">IFERROR(__xludf.DUMMYFUNCTION("""COMPUTED_VALUE"""),3104003)</f>
        <v>3104003</v>
      </c>
      <c r="C9765" s="14">
        <f ca="1">IFERROR(__xludf.DUMMYFUNCTION("""COMPUTED_VALUE"""),43)</f>
        <v>43</v>
      </c>
      <c r="D9765" s="12" t="str">
        <f ca="1">IFERROR(__xludf.DUMMYFUNCTION("""COMPUTED_VALUE"""),"大木 優香")</f>
        <v>大木 優香</v>
      </c>
    </row>
    <row r="9766" spans="2:4" ht="13">
      <c r="B9766" s="12">
        <f ca="1">IFERROR(__xludf.DUMMYFUNCTION("""COMPUTED_VALUE"""),3104004)</f>
        <v>3104004</v>
      </c>
      <c r="C9766" s="14">
        <f ca="1">IFERROR(__xludf.DUMMYFUNCTION("""COMPUTED_VALUE"""),0)</f>
        <v>0</v>
      </c>
      <c r="D9766" s="12" t="str">
        <f ca="1">IFERROR(__xludf.DUMMYFUNCTION("""COMPUTED_VALUE"""),"荻曽 克輝")</f>
        <v>荻曽 克輝</v>
      </c>
    </row>
    <row r="9767" spans="2:4" ht="13">
      <c r="B9767" s="12">
        <f ca="1">IFERROR(__xludf.DUMMYFUNCTION("""COMPUTED_VALUE"""),3104005)</f>
        <v>3104005</v>
      </c>
      <c r="C9767" s="14">
        <f ca="1">IFERROR(__xludf.DUMMYFUNCTION("""COMPUTED_VALUE"""),32)</f>
        <v>32</v>
      </c>
      <c r="D9767" s="12" t="str">
        <f ca="1">IFERROR(__xludf.DUMMYFUNCTION("""COMPUTED_VALUE"""),"松尾 尚樹")</f>
        <v>松尾 尚樹</v>
      </c>
    </row>
    <row r="9768" spans="2:4" ht="13">
      <c r="B9768" s="12">
        <f ca="1">IFERROR(__xludf.DUMMYFUNCTION("""COMPUTED_VALUE"""),3104006)</f>
        <v>3104006</v>
      </c>
      <c r="C9768" s="14">
        <f ca="1">IFERROR(__xludf.DUMMYFUNCTION("""COMPUTED_VALUE"""),14)</f>
        <v>14</v>
      </c>
      <c r="D9768" s="12" t="str">
        <f ca="1">IFERROR(__xludf.DUMMYFUNCTION("""COMPUTED_VALUE"""),"内丸 裕子")</f>
        <v>内丸 裕子</v>
      </c>
    </row>
    <row r="9769" spans="2:4" ht="13">
      <c r="B9769" s="12">
        <f ca="1">IFERROR(__xludf.DUMMYFUNCTION("""COMPUTED_VALUE"""),3104007)</f>
        <v>3104007</v>
      </c>
      <c r="C9769" s="14">
        <f ca="1">IFERROR(__xludf.DUMMYFUNCTION("""COMPUTED_VALUE"""),2)</f>
        <v>2</v>
      </c>
      <c r="D9769" s="12" t="str">
        <f ca="1">IFERROR(__xludf.DUMMYFUNCTION("""COMPUTED_VALUE"""),"川島 幹也")</f>
        <v>川島 幹也</v>
      </c>
    </row>
    <row r="9770" spans="2:4" ht="13">
      <c r="B9770" s="12">
        <f ca="1">IFERROR(__xludf.DUMMYFUNCTION("""COMPUTED_VALUE"""),3104008)</f>
        <v>3104008</v>
      </c>
      <c r="C9770" s="14">
        <f ca="1">IFERROR(__xludf.DUMMYFUNCTION("""COMPUTED_VALUE"""),1)</f>
        <v>1</v>
      </c>
      <c r="D9770" s="12" t="str">
        <f ca="1">IFERROR(__xludf.DUMMYFUNCTION("""COMPUTED_VALUE"""),"堀越 駿")</f>
        <v>堀越 駿</v>
      </c>
    </row>
    <row r="9771" spans="2:4" ht="13">
      <c r="B9771" s="12">
        <f ca="1">IFERROR(__xludf.DUMMYFUNCTION("""COMPUTED_VALUE"""),3104009)</f>
        <v>3104009</v>
      </c>
      <c r="C9771" s="14">
        <f ca="1">IFERROR(__xludf.DUMMYFUNCTION("""COMPUTED_VALUE"""),0)</f>
        <v>0</v>
      </c>
      <c r="D9771" s="12" t="str">
        <f ca="1">IFERROR(__xludf.DUMMYFUNCTION("""COMPUTED_VALUE"""),"堀越 駿")</f>
        <v>堀越 駿</v>
      </c>
    </row>
    <row r="9772" spans="2:4" ht="13">
      <c r="B9772" s="12">
        <f ca="1">IFERROR(__xludf.DUMMYFUNCTION("""COMPUTED_VALUE"""),3104010)</f>
        <v>3104010</v>
      </c>
      <c r="C9772" s="14">
        <f ca="1">IFERROR(__xludf.DUMMYFUNCTION("""COMPUTED_VALUE"""),7)</f>
        <v>7</v>
      </c>
      <c r="D9772" s="12" t="str">
        <f ca="1">IFERROR(__xludf.DUMMYFUNCTION("""COMPUTED_VALUE"""),"川島 幹也")</f>
        <v>川島 幹也</v>
      </c>
    </row>
    <row r="9773" spans="2:4" ht="13">
      <c r="B9773" s="12">
        <f ca="1">IFERROR(__xludf.DUMMYFUNCTION("""COMPUTED_VALUE"""),3104011)</f>
        <v>3104011</v>
      </c>
      <c r="C9773" s="14">
        <f ca="1">IFERROR(__xludf.DUMMYFUNCTION("""COMPUTED_VALUE"""),3)</f>
        <v>3</v>
      </c>
      <c r="D9773" s="12" t="str">
        <f ca="1">IFERROR(__xludf.DUMMYFUNCTION("""COMPUTED_VALUE"""),"川島 幹也")</f>
        <v>川島 幹也</v>
      </c>
    </row>
    <row r="9774" spans="2:4" ht="13">
      <c r="B9774" s="12">
        <f ca="1">IFERROR(__xludf.DUMMYFUNCTION("""COMPUTED_VALUE"""),3104012)</f>
        <v>3104012</v>
      </c>
      <c r="C9774" s="14">
        <f ca="1">IFERROR(__xludf.DUMMYFUNCTION("""COMPUTED_VALUE"""),0)</f>
        <v>0</v>
      </c>
      <c r="D9774" s="12" t="str">
        <f ca="1">IFERROR(__xludf.DUMMYFUNCTION("""COMPUTED_VALUE"""),"小関 麻起")</f>
        <v>小関 麻起</v>
      </c>
    </row>
    <row r="9775" spans="2:4" ht="13">
      <c r="B9775" s="12">
        <f ca="1">IFERROR(__xludf.DUMMYFUNCTION("""COMPUTED_VALUE"""),3104013)</f>
        <v>3104013</v>
      </c>
      <c r="C9775" s="14">
        <f ca="1">IFERROR(__xludf.DUMMYFUNCTION("""COMPUTED_VALUE"""),69)</f>
        <v>69</v>
      </c>
      <c r="D9775" s="12" t="str">
        <f ca="1">IFERROR(__xludf.DUMMYFUNCTION("""COMPUTED_VALUE"""),"桑原 明子")</f>
        <v>桑原 明子</v>
      </c>
    </row>
    <row r="9776" spans="2:4" ht="13">
      <c r="B9776" s="12">
        <f ca="1">IFERROR(__xludf.DUMMYFUNCTION("""COMPUTED_VALUE"""),3104014)</f>
        <v>3104014</v>
      </c>
      <c r="C9776" s="14">
        <f ca="1">IFERROR(__xludf.DUMMYFUNCTION("""COMPUTED_VALUE"""),46)</f>
        <v>46</v>
      </c>
      <c r="D9776" s="12" t="str">
        <f ca="1">IFERROR(__xludf.DUMMYFUNCTION("""COMPUTED_VALUE"""),"桑原 明子")</f>
        <v>桑原 明子</v>
      </c>
    </row>
    <row r="9777" spans="2:4" ht="13">
      <c r="B9777" s="12">
        <f ca="1">IFERROR(__xludf.DUMMYFUNCTION("""COMPUTED_VALUE"""),3104015)</f>
        <v>3104015</v>
      </c>
      <c r="C9777" s="14">
        <f ca="1">IFERROR(__xludf.DUMMYFUNCTION("""COMPUTED_VALUE"""),138)</f>
        <v>138</v>
      </c>
      <c r="D9777" s="12" t="str">
        <f ca="1">IFERROR(__xludf.DUMMYFUNCTION("""COMPUTED_VALUE"""),"桐山 勝気")</f>
        <v>桐山 勝気</v>
      </c>
    </row>
    <row r="9778" spans="2:4" ht="13">
      <c r="B9778" s="12">
        <f ca="1">IFERROR(__xludf.DUMMYFUNCTION("""COMPUTED_VALUE"""),3104016)</f>
        <v>3104016</v>
      </c>
      <c r="C9778" s="14">
        <f ca="1">IFERROR(__xludf.DUMMYFUNCTION("""COMPUTED_VALUE"""),35)</f>
        <v>35</v>
      </c>
      <c r="D9778" s="12" t="str">
        <f ca="1">IFERROR(__xludf.DUMMYFUNCTION("""COMPUTED_VALUE"""),"小関 麻起")</f>
        <v>小関 麻起</v>
      </c>
    </row>
    <row r="9779" spans="2:4" ht="13">
      <c r="B9779" s="12">
        <f ca="1">IFERROR(__xludf.DUMMYFUNCTION("""COMPUTED_VALUE"""),3104017)</f>
        <v>3104017</v>
      </c>
      <c r="C9779" s="14">
        <f ca="1">IFERROR(__xludf.DUMMYFUNCTION("""COMPUTED_VALUE"""),59)</f>
        <v>59</v>
      </c>
      <c r="D9779" s="12" t="str">
        <f ca="1">IFERROR(__xludf.DUMMYFUNCTION("""COMPUTED_VALUE"""),"渋谷 雄大")</f>
        <v>渋谷 雄大</v>
      </c>
    </row>
    <row r="9780" spans="2:4" ht="13">
      <c r="B9780" s="12">
        <f ca="1">IFERROR(__xludf.DUMMYFUNCTION("""COMPUTED_VALUE"""),3104018)</f>
        <v>3104018</v>
      </c>
      <c r="C9780" s="14">
        <f ca="1">IFERROR(__xludf.DUMMYFUNCTION("""COMPUTED_VALUE"""),0)</f>
        <v>0</v>
      </c>
      <c r="D9780" s="12" t="str">
        <f ca="1">IFERROR(__xludf.DUMMYFUNCTION("""COMPUTED_VALUE"""),"奥野 貴大")</f>
        <v>奥野 貴大</v>
      </c>
    </row>
    <row r="9781" spans="2:4" ht="13">
      <c r="B9781" s="12">
        <f ca="1">IFERROR(__xludf.DUMMYFUNCTION("""COMPUTED_VALUE"""),3104019)</f>
        <v>3104019</v>
      </c>
      <c r="C9781" s="14">
        <f ca="1">IFERROR(__xludf.DUMMYFUNCTION("""COMPUTED_VALUE"""),42)</f>
        <v>42</v>
      </c>
      <c r="D9781" s="12" t="str">
        <f ca="1">IFERROR(__xludf.DUMMYFUNCTION("""COMPUTED_VALUE"""),"荻曽 克輝")</f>
        <v>荻曽 克輝</v>
      </c>
    </row>
    <row r="9782" spans="2:4" ht="13">
      <c r="B9782" s="12">
        <f ca="1">IFERROR(__xludf.DUMMYFUNCTION("""COMPUTED_VALUE"""),3104020)</f>
        <v>3104020</v>
      </c>
      <c r="C9782" s="14">
        <f ca="1">IFERROR(__xludf.DUMMYFUNCTION("""COMPUTED_VALUE"""),21)</f>
        <v>21</v>
      </c>
      <c r="D9782" s="12" t="str">
        <f ca="1">IFERROR(__xludf.DUMMYFUNCTION("""COMPUTED_VALUE"""),"大木 優香")</f>
        <v>大木 優香</v>
      </c>
    </row>
    <row r="9783" spans="2:4" ht="13">
      <c r="B9783" s="12">
        <f ca="1">IFERROR(__xludf.DUMMYFUNCTION("""COMPUTED_VALUE"""),3104021)</f>
        <v>3104021</v>
      </c>
      <c r="C9783" s="14">
        <f ca="1">IFERROR(__xludf.DUMMYFUNCTION("""COMPUTED_VALUE"""),19)</f>
        <v>19</v>
      </c>
      <c r="D9783" s="12" t="str">
        <f ca="1">IFERROR(__xludf.DUMMYFUNCTION("""COMPUTED_VALUE"""),"松尾 尚樹")</f>
        <v>松尾 尚樹</v>
      </c>
    </row>
    <row r="9784" spans="2:4" ht="13">
      <c r="B9784" s="12">
        <f ca="1">IFERROR(__xludf.DUMMYFUNCTION("""COMPUTED_VALUE"""),3104022)</f>
        <v>3104022</v>
      </c>
      <c r="C9784" s="14">
        <f ca="1">IFERROR(__xludf.DUMMYFUNCTION("""COMPUTED_VALUE"""),18)</f>
        <v>18</v>
      </c>
      <c r="D9784" s="12" t="str">
        <f ca="1">IFERROR(__xludf.DUMMYFUNCTION("""COMPUTED_VALUE"""),"老田 純輝")</f>
        <v>老田 純輝</v>
      </c>
    </row>
    <row r="9785" spans="2:4" ht="13">
      <c r="B9785" s="12">
        <f ca="1">IFERROR(__xludf.DUMMYFUNCTION("""COMPUTED_VALUE"""),3104023)</f>
        <v>3104023</v>
      </c>
      <c r="C9785" s="14">
        <f ca="1">IFERROR(__xludf.DUMMYFUNCTION("""COMPUTED_VALUE"""),0)</f>
        <v>0</v>
      </c>
      <c r="D9785" s="12" t="str">
        <f ca="1">IFERROR(__xludf.DUMMYFUNCTION("""COMPUTED_VALUE"""),"老田 純輝")</f>
        <v>老田 純輝</v>
      </c>
    </row>
    <row r="9786" spans="2:4" ht="13">
      <c r="B9786" s="12">
        <f ca="1">IFERROR(__xludf.DUMMYFUNCTION("""COMPUTED_VALUE"""),3104024)</f>
        <v>3104024</v>
      </c>
      <c r="C9786" s="14">
        <f ca="1">IFERROR(__xludf.DUMMYFUNCTION("""COMPUTED_VALUE"""),149)</f>
        <v>149</v>
      </c>
      <c r="D9786" s="12" t="str">
        <f ca="1">IFERROR(__xludf.DUMMYFUNCTION("""COMPUTED_VALUE"""),"菅野 ぎんが")</f>
        <v>菅野 ぎんが</v>
      </c>
    </row>
    <row r="9787" spans="2:4" ht="13">
      <c r="B9787" s="12">
        <f ca="1">IFERROR(__xludf.DUMMYFUNCTION("""COMPUTED_VALUE"""),3104025)</f>
        <v>3104025</v>
      </c>
      <c r="C9787" s="14">
        <f ca="1">IFERROR(__xludf.DUMMYFUNCTION("""COMPUTED_VALUE"""),0)</f>
        <v>0</v>
      </c>
      <c r="D9787" s="12" t="str">
        <f ca="1">IFERROR(__xludf.DUMMYFUNCTION("""COMPUTED_VALUE"""),"桑原 明子")</f>
        <v>桑原 明子</v>
      </c>
    </row>
    <row r="9788" spans="2:4" ht="13">
      <c r="B9788" s="12">
        <f ca="1">IFERROR(__xludf.DUMMYFUNCTION("""COMPUTED_VALUE"""),3104026)</f>
        <v>3104026</v>
      </c>
      <c r="C9788" s="14">
        <f ca="1">IFERROR(__xludf.DUMMYFUNCTION("""COMPUTED_VALUE"""),12)</f>
        <v>12</v>
      </c>
      <c r="D9788" s="12" t="str">
        <f ca="1">IFERROR(__xludf.DUMMYFUNCTION("""COMPUTED_VALUE"""),"松尾 尚樹")</f>
        <v>松尾 尚樹</v>
      </c>
    </row>
    <row r="9789" spans="2:4" ht="13">
      <c r="B9789" s="12">
        <f ca="1">IFERROR(__xludf.DUMMYFUNCTION("""COMPUTED_VALUE"""),3104027)</f>
        <v>3104027</v>
      </c>
      <c r="C9789" s="14">
        <f ca="1">IFERROR(__xludf.DUMMYFUNCTION("""COMPUTED_VALUE"""),4)</f>
        <v>4</v>
      </c>
      <c r="D9789" s="12" t="str">
        <f ca="1">IFERROR(__xludf.DUMMYFUNCTION("""COMPUTED_VALUE"""),"村上 浩一朗")</f>
        <v>村上 浩一朗</v>
      </c>
    </row>
    <row r="9790" spans="2:4" ht="13">
      <c r="B9790" s="12">
        <f ca="1">IFERROR(__xludf.DUMMYFUNCTION("""COMPUTED_VALUE"""),3104029)</f>
        <v>3104029</v>
      </c>
      <c r="C9790" s="14">
        <f ca="1">IFERROR(__xludf.DUMMYFUNCTION("""COMPUTED_VALUE"""),58)</f>
        <v>58</v>
      </c>
      <c r="D9790" s="12" t="str">
        <f ca="1">IFERROR(__xludf.DUMMYFUNCTION("""COMPUTED_VALUE"""),"森 光智")</f>
        <v>森 光智</v>
      </c>
    </row>
    <row r="9791" spans="2:4" ht="13">
      <c r="B9791" s="12">
        <f ca="1">IFERROR(__xludf.DUMMYFUNCTION("""COMPUTED_VALUE"""),3104030)</f>
        <v>3104030</v>
      </c>
      <c r="C9791" s="14">
        <f ca="1">IFERROR(__xludf.DUMMYFUNCTION("""COMPUTED_VALUE"""),42)</f>
        <v>42</v>
      </c>
      <c r="D9791" s="12" t="str">
        <f ca="1">IFERROR(__xludf.DUMMYFUNCTION("""COMPUTED_VALUE"""),"渋谷 雄大")</f>
        <v>渋谷 雄大</v>
      </c>
    </row>
    <row r="9792" spans="2:4" ht="13">
      <c r="B9792" s="12">
        <f ca="1">IFERROR(__xludf.DUMMYFUNCTION("""COMPUTED_VALUE"""),3104031)</f>
        <v>3104031</v>
      </c>
      <c r="C9792" s="14">
        <f ca="1">IFERROR(__xludf.DUMMYFUNCTION("""COMPUTED_VALUE"""),20)</f>
        <v>20</v>
      </c>
      <c r="D9792" s="12" t="str">
        <f ca="1">IFERROR(__xludf.DUMMYFUNCTION("""COMPUTED_VALUE"""),"渋谷 雄大")</f>
        <v>渋谷 雄大</v>
      </c>
    </row>
    <row r="9793" spans="2:4" ht="13">
      <c r="B9793" s="12">
        <f ca="1">IFERROR(__xludf.DUMMYFUNCTION("""COMPUTED_VALUE"""),3104032)</f>
        <v>3104032</v>
      </c>
      <c r="C9793" s="14">
        <f ca="1">IFERROR(__xludf.DUMMYFUNCTION("""COMPUTED_VALUE"""),17)</f>
        <v>17</v>
      </c>
      <c r="D9793" s="12" t="str">
        <f ca="1">IFERROR(__xludf.DUMMYFUNCTION("""COMPUTED_VALUE"""),"小川 純")</f>
        <v>小川 純</v>
      </c>
    </row>
    <row r="9794" spans="2:4" ht="13">
      <c r="B9794" s="12">
        <f ca="1">IFERROR(__xludf.DUMMYFUNCTION("""COMPUTED_VALUE"""),3104033)</f>
        <v>3104033</v>
      </c>
      <c r="C9794" s="14">
        <f ca="1">IFERROR(__xludf.DUMMYFUNCTION("""COMPUTED_VALUE"""),25)</f>
        <v>25</v>
      </c>
      <c r="D9794" s="12" t="str">
        <f ca="1">IFERROR(__xludf.DUMMYFUNCTION("""COMPUTED_VALUE"""),"小川 純")</f>
        <v>小川 純</v>
      </c>
    </row>
    <row r="9795" spans="2:4" ht="13">
      <c r="B9795" s="12">
        <f ca="1">IFERROR(__xludf.DUMMYFUNCTION("""COMPUTED_VALUE"""),3104034)</f>
        <v>3104034</v>
      </c>
      <c r="C9795" s="14">
        <f ca="1">IFERROR(__xludf.DUMMYFUNCTION("""COMPUTED_VALUE"""),4)</f>
        <v>4</v>
      </c>
      <c r="D9795" s="12" t="str">
        <f ca="1">IFERROR(__xludf.DUMMYFUNCTION("""COMPUTED_VALUE"""),"奥野 貴大")</f>
        <v>奥野 貴大</v>
      </c>
    </row>
    <row r="9796" spans="2:4" ht="13">
      <c r="B9796" s="12">
        <f ca="1">IFERROR(__xludf.DUMMYFUNCTION("""COMPUTED_VALUE"""),3104035)</f>
        <v>3104035</v>
      </c>
      <c r="C9796" s="14">
        <f ca="1">IFERROR(__xludf.DUMMYFUNCTION("""COMPUTED_VALUE"""),53)</f>
        <v>53</v>
      </c>
      <c r="D9796" s="12" t="str">
        <f ca="1">IFERROR(__xludf.DUMMYFUNCTION("""COMPUTED_VALUE"""),"小川 純")</f>
        <v>小川 純</v>
      </c>
    </row>
    <row r="9797" spans="2:4" ht="13">
      <c r="B9797" s="12">
        <f ca="1">IFERROR(__xludf.DUMMYFUNCTION("""COMPUTED_VALUE"""),3104036)</f>
        <v>3104036</v>
      </c>
      <c r="C9797" s="14">
        <f ca="1">IFERROR(__xludf.DUMMYFUNCTION("""COMPUTED_VALUE"""),28)</f>
        <v>28</v>
      </c>
      <c r="D9797" s="12" t="str">
        <f ca="1">IFERROR(__xludf.DUMMYFUNCTION("""COMPUTED_VALUE"""),"森 光智")</f>
        <v>森 光智</v>
      </c>
    </row>
    <row r="9798" spans="2:4" ht="13">
      <c r="B9798" s="12">
        <f ca="1">IFERROR(__xludf.DUMMYFUNCTION("""COMPUTED_VALUE"""),3104037)</f>
        <v>3104037</v>
      </c>
      <c r="C9798" s="14">
        <f ca="1">IFERROR(__xludf.DUMMYFUNCTION("""COMPUTED_VALUE"""),72)</f>
        <v>72</v>
      </c>
      <c r="D9798" s="12" t="str">
        <f ca="1">IFERROR(__xludf.DUMMYFUNCTION("""COMPUTED_VALUE"""),"桑原 明子")</f>
        <v>桑原 明子</v>
      </c>
    </row>
    <row r="9799" spans="2:4" ht="13">
      <c r="B9799" s="12">
        <f ca="1">IFERROR(__xludf.DUMMYFUNCTION("""COMPUTED_VALUE"""),3104038)</f>
        <v>3104038</v>
      </c>
      <c r="C9799" s="14">
        <f ca="1">IFERROR(__xludf.DUMMYFUNCTION("""COMPUTED_VALUE"""),105)</f>
        <v>105</v>
      </c>
      <c r="D9799" s="12" t="str">
        <f ca="1">IFERROR(__xludf.DUMMYFUNCTION("""COMPUTED_VALUE"""),"桐山 勝気")</f>
        <v>桐山 勝気</v>
      </c>
    </row>
    <row r="9800" spans="2:4" ht="13">
      <c r="B9800" s="12">
        <f ca="1">IFERROR(__xludf.DUMMYFUNCTION("""COMPUTED_VALUE"""),3104039)</f>
        <v>3104039</v>
      </c>
      <c r="C9800" s="14">
        <f ca="1">IFERROR(__xludf.DUMMYFUNCTION("""COMPUTED_VALUE"""),0)</f>
        <v>0</v>
      </c>
      <c r="D9800" s="12" t="str">
        <f ca="1">IFERROR(__xludf.DUMMYFUNCTION("""COMPUTED_VALUE"""),"小川 純")</f>
        <v>小川 純</v>
      </c>
    </row>
    <row r="9801" spans="2:4" ht="13">
      <c r="B9801" s="12">
        <f ca="1">IFERROR(__xludf.DUMMYFUNCTION("""COMPUTED_VALUE"""),3104040)</f>
        <v>3104040</v>
      </c>
      <c r="C9801" s="14">
        <f ca="1">IFERROR(__xludf.DUMMYFUNCTION("""COMPUTED_VALUE"""),0)</f>
        <v>0</v>
      </c>
      <c r="D9801" s="12" t="str">
        <f ca="1">IFERROR(__xludf.DUMMYFUNCTION("""COMPUTED_VALUE"""),"小川 純")</f>
        <v>小川 純</v>
      </c>
    </row>
    <row r="9802" spans="2:4" ht="13">
      <c r="B9802" s="12">
        <f ca="1">IFERROR(__xludf.DUMMYFUNCTION("""COMPUTED_VALUE"""),3104041)</f>
        <v>3104041</v>
      </c>
      <c r="C9802" s="14">
        <f ca="1">IFERROR(__xludf.DUMMYFUNCTION("""COMPUTED_VALUE"""),34)</f>
        <v>34</v>
      </c>
      <c r="D9802" s="12" t="str">
        <f ca="1">IFERROR(__xludf.DUMMYFUNCTION("""COMPUTED_VALUE"""),"荻曽 克輝")</f>
        <v>荻曽 克輝</v>
      </c>
    </row>
    <row r="9803" spans="2:4" ht="13">
      <c r="B9803" s="12">
        <f ca="1">IFERROR(__xludf.DUMMYFUNCTION("""COMPUTED_VALUE"""),3104042)</f>
        <v>3104042</v>
      </c>
      <c r="C9803" s="14">
        <f ca="1">IFERROR(__xludf.DUMMYFUNCTION("""COMPUTED_VALUE"""),95)</f>
        <v>95</v>
      </c>
      <c r="D9803" s="12" t="str">
        <f ca="1">IFERROR(__xludf.DUMMYFUNCTION("""COMPUTED_VALUE"""),"小川 純")</f>
        <v>小川 純</v>
      </c>
    </row>
    <row r="9804" spans="2:4" ht="13">
      <c r="B9804" s="12">
        <f ca="1">IFERROR(__xludf.DUMMYFUNCTION("""COMPUTED_VALUE"""),3104043)</f>
        <v>3104043</v>
      </c>
      <c r="C9804" s="14">
        <f ca="1">IFERROR(__xludf.DUMMYFUNCTION("""COMPUTED_VALUE"""),0)</f>
        <v>0</v>
      </c>
      <c r="D9804" s="12" t="str">
        <f ca="1">IFERROR(__xludf.DUMMYFUNCTION("""COMPUTED_VALUE"""),"菅野 ぎんが")</f>
        <v>菅野 ぎんが</v>
      </c>
    </row>
    <row r="9805" spans="2:4" ht="13">
      <c r="B9805" s="12">
        <f ca="1">IFERROR(__xludf.DUMMYFUNCTION("""COMPUTED_VALUE"""),3104044)</f>
        <v>3104044</v>
      </c>
      <c r="C9805" s="14">
        <f ca="1">IFERROR(__xludf.DUMMYFUNCTION("""COMPUTED_VALUE"""),42)</f>
        <v>42</v>
      </c>
      <c r="D9805" s="12" t="str">
        <f ca="1">IFERROR(__xludf.DUMMYFUNCTION("""COMPUTED_VALUE"""),"菅野 ぎんが")</f>
        <v>菅野 ぎんが</v>
      </c>
    </row>
    <row r="9806" spans="2:4" ht="13">
      <c r="B9806" s="12">
        <f ca="1">IFERROR(__xludf.DUMMYFUNCTION("""COMPUTED_VALUE"""),3104045)</f>
        <v>3104045</v>
      </c>
      <c r="C9806" s="14">
        <f ca="1">IFERROR(__xludf.DUMMYFUNCTION("""COMPUTED_VALUE"""),67)</f>
        <v>67</v>
      </c>
      <c r="D9806" s="12" t="str">
        <f ca="1">IFERROR(__xludf.DUMMYFUNCTION("""COMPUTED_VALUE"""),"菅野 ぎんが")</f>
        <v>菅野 ぎんが</v>
      </c>
    </row>
    <row r="9807" spans="2:4" ht="13">
      <c r="B9807" s="12">
        <f ca="1">IFERROR(__xludf.DUMMYFUNCTION("""COMPUTED_VALUE"""),3104046)</f>
        <v>3104046</v>
      </c>
      <c r="C9807" s="14">
        <f ca="1">IFERROR(__xludf.DUMMYFUNCTION("""COMPUTED_VALUE"""),11)</f>
        <v>11</v>
      </c>
      <c r="D9807" s="12" t="str">
        <f ca="1">IFERROR(__xludf.DUMMYFUNCTION("""COMPUTED_VALUE"""),"松尾 尚樹")</f>
        <v>松尾 尚樹</v>
      </c>
    </row>
    <row r="9808" spans="2:4" ht="13">
      <c r="B9808" s="12">
        <f ca="1">IFERROR(__xludf.DUMMYFUNCTION("""COMPUTED_VALUE"""),3104047)</f>
        <v>3104047</v>
      </c>
      <c r="C9808" s="14">
        <f ca="1">IFERROR(__xludf.DUMMYFUNCTION("""COMPUTED_VALUE"""),27)</f>
        <v>27</v>
      </c>
      <c r="D9808" s="12" t="str">
        <f ca="1">IFERROR(__xludf.DUMMYFUNCTION("""COMPUTED_VALUE"""),"村上 浩一朗")</f>
        <v>村上 浩一朗</v>
      </c>
    </row>
    <row r="9809" spans="2:4" ht="13">
      <c r="B9809" s="12">
        <f ca="1">IFERROR(__xludf.DUMMYFUNCTION("""COMPUTED_VALUE"""),3104048)</f>
        <v>3104048</v>
      </c>
      <c r="C9809" s="14">
        <f ca="1">IFERROR(__xludf.DUMMYFUNCTION("""COMPUTED_VALUE"""),136)</f>
        <v>136</v>
      </c>
      <c r="D9809" s="12" t="str">
        <f ca="1">IFERROR(__xludf.DUMMYFUNCTION("""COMPUTED_VALUE"""),"菅野 ぎんが")</f>
        <v>菅野 ぎんが</v>
      </c>
    </row>
    <row r="9810" spans="2:4" ht="13">
      <c r="B9810" s="12">
        <f ca="1">IFERROR(__xludf.DUMMYFUNCTION("""COMPUTED_VALUE"""),3104049)</f>
        <v>3104049</v>
      </c>
      <c r="C9810" s="14">
        <f ca="1">IFERROR(__xludf.DUMMYFUNCTION("""COMPUTED_VALUE"""),130)</f>
        <v>130</v>
      </c>
      <c r="D9810" s="12" t="str">
        <f ca="1">IFERROR(__xludf.DUMMYFUNCTION("""COMPUTED_VALUE"""),"小川 純")</f>
        <v>小川 純</v>
      </c>
    </row>
    <row r="9811" spans="2:4" ht="13">
      <c r="B9811" s="12">
        <f ca="1">IFERROR(__xludf.DUMMYFUNCTION("""COMPUTED_VALUE"""),3104050)</f>
        <v>3104050</v>
      </c>
      <c r="C9811" s="14">
        <f ca="1">IFERROR(__xludf.DUMMYFUNCTION("""COMPUTED_VALUE"""),43)</f>
        <v>43</v>
      </c>
      <c r="D9811" s="12" t="str">
        <f ca="1">IFERROR(__xludf.DUMMYFUNCTION("""COMPUTED_VALUE"""),"村上 浩一朗")</f>
        <v>村上 浩一朗</v>
      </c>
    </row>
    <row r="9812" spans="2:4" ht="13">
      <c r="B9812" s="12">
        <f ca="1">IFERROR(__xludf.DUMMYFUNCTION("""COMPUTED_VALUE"""),3104051)</f>
        <v>3104051</v>
      </c>
      <c r="C9812" s="14">
        <f ca="1">IFERROR(__xludf.DUMMYFUNCTION("""COMPUTED_VALUE"""),36)</f>
        <v>36</v>
      </c>
      <c r="D9812" s="12" t="str">
        <f ca="1">IFERROR(__xludf.DUMMYFUNCTION("""COMPUTED_VALUE"""),"村上 浩一朗")</f>
        <v>村上 浩一朗</v>
      </c>
    </row>
    <row r="9813" spans="2:4" ht="13">
      <c r="B9813" s="12">
        <f ca="1">IFERROR(__xludf.DUMMYFUNCTION("""COMPUTED_VALUE"""),3104052)</f>
        <v>3104052</v>
      </c>
      <c r="C9813" s="14">
        <f ca="1">IFERROR(__xludf.DUMMYFUNCTION("""COMPUTED_VALUE"""),57)</f>
        <v>57</v>
      </c>
      <c r="D9813" s="12" t="str">
        <f ca="1">IFERROR(__xludf.DUMMYFUNCTION("""COMPUTED_VALUE"""),"菅野 ぎんが")</f>
        <v>菅野 ぎんが</v>
      </c>
    </row>
    <row r="9814" spans="2:4" ht="13">
      <c r="B9814" s="12">
        <f ca="1">IFERROR(__xludf.DUMMYFUNCTION("""COMPUTED_VALUE"""),3104053)</f>
        <v>3104053</v>
      </c>
      <c r="C9814" s="14">
        <f ca="1">IFERROR(__xludf.DUMMYFUNCTION("""COMPUTED_VALUE"""),15)</f>
        <v>15</v>
      </c>
      <c r="D9814" s="12" t="str">
        <f ca="1">IFERROR(__xludf.DUMMYFUNCTION("""COMPUTED_VALUE"""),"小関 麻起")</f>
        <v>小関 麻起</v>
      </c>
    </row>
    <row r="9815" spans="2:4" ht="13">
      <c r="B9815" s="12">
        <f ca="1">IFERROR(__xludf.DUMMYFUNCTION("""COMPUTED_VALUE"""),3104054)</f>
        <v>3104054</v>
      </c>
      <c r="C9815" s="14">
        <f ca="1">IFERROR(__xludf.DUMMYFUNCTION("""COMPUTED_VALUE"""),23)</f>
        <v>23</v>
      </c>
      <c r="D9815" s="12" t="str">
        <f ca="1">IFERROR(__xludf.DUMMYFUNCTION("""COMPUTED_VALUE"""),"村上 浩一朗")</f>
        <v>村上 浩一朗</v>
      </c>
    </row>
    <row r="9816" spans="2:4" ht="13">
      <c r="B9816" s="12">
        <f ca="1">IFERROR(__xludf.DUMMYFUNCTION("""COMPUTED_VALUE"""),3104055)</f>
        <v>3104055</v>
      </c>
      <c r="C9816" s="14">
        <f ca="1">IFERROR(__xludf.DUMMYFUNCTION("""COMPUTED_VALUE"""),98)</f>
        <v>98</v>
      </c>
      <c r="D9816" s="12" t="str">
        <f ca="1">IFERROR(__xludf.DUMMYFUNCTION("""COMPUTED_VALUE"""),"小川 純")</f>
        <v>小川 純</v>
      </c>
    </row>
    <row r="9817" spans="2:4" ht="13">
      <c r="B9817" s="12">
        <f ca="1">IFERROR(__xludf.DUMMYFUNCTION("""COMPUTED_VALUE"""),3104056)</f>
        <v>3104056</v>
      </c>
      <c r="C9817" s="14">
        <f ca="1">IFERROR(__xludf.DUMMYFUNCTION("""COMPUTED_VALUE"""),9)</f>
        <v>9</v>
      </c>
      <c r="D9817" s="12" t="str">
        <f ca="1">IFERROR(__xludf.DUMMYFUNCTION("""COMPUTED_VALUE"""),"小川 純")</f>
        <v>小川 純</v>
      </c>
    </row>
    <row r="9818" spans="2:4" ht="13">
      <c r="B9818" s="12">
        <f ca="1">IFERROR(__xludf.DUMMYFUNCTION("""COMPUTED_VALUE"""),3104057)</f>
        <v>3104057</v>
      </c>
      <c r="C9818" s="14">
        <f ca="1">IFERROR(__xludf.DUMMYFUNCTION("""COMPUTED_VALUE"""),45)</f>
        <v>45</v>
      </c>
      <c r="D9818" s="12" t="str">
        <f ca="1">IFERROR(__xludf.DUMMYFUNCTION("""COMPUTED_VALUE"""),"村上 浩一朗")</f>
        <v>村上 浩一朗</v>
      </c>
    </row>
    <row r="9819" spans="2:4" ht="13">
      <c r="B9819" s="12">
        <f ca="1">IFERROR(__xludf.DUMMYFUNCTION("""COMPUTED_VALUE"""),3104058)</f>
        <v>3104058</v>
      </c>
      <c r="C9819" s="14">
        <f ca="1">IFERROR(__xludf.DUMMYFUNCTION("""COMPUTED_VALUE"""),24)</f>
        <v>24</v>
      </c>
      <c r="D9819" s="12" t="str">
        <f ca="1">IFERROR(__xludf.DUMMYFUNCTION("""COMPUTED_VALUE"""),"芳賀 亮輔")</f>
        <v>芳賀 亮輔</v>
      </c>
    </row>
    <row r="9820" spans="2:4" ht="13">
      <c r="B9820" s="12">
        <f ca="1">IFERROR(__xludf.DUMMYFUNCTION("""COMPUTED_VALUE"""),3104059)</f>
        <v>3104059</v>
      </c>
      <c r="C9820" s="14">
        <f ca="1">IFERROR(__xludf.DUMMYFUNCTION("""COMPUTED_VALUE"""),31)</f>
        <v>31</v>
      </c>
      <c r="D9820" s="12" t="str">
        <f ca="1">IFERROR(__xludf.DUMMYFUNCTION("""COMPUTED_VALUE"""),"老田 純輝")</f>
        <v>老田 純輝</v>
      </c>
    </row>
    <row r="9821" spans="2:4" ht="13">
      <c r="B9821" s="12">
        <f ca="1">IFERROR(__xludf.DUMMYFUNCTION("""COMPUTED_VALUE"""),3104060)</f>
        <v>3104060</v>
      </c>
      <c r="C9821" s="14">
        <f ca="1">IFERROR(__xludf.DUMMYFUNCTION("""COMPUTED_VALUE"""),0)</f>
        <v>0</v>
      </c>
      <c r="D9821" s="12" t="str">
        <f ca="1">IFERROR(__xludf.DUMMYFUNCTION("""COMPUTED_VALUE"""),"芳賀 亮輔")</f>
        <v>芳賀 亮輔</v>
      </c>
    </row>
    <row r="9822" spans="2:4" ht="13">
      <c r="B9822" s="12">
        <f ca="1">IFERROR(__xludf.DUMMYFUNCTION("""COMPUTED_VALUE"""),3104061)</f>
        <v>3104061</v>
      </c>
      <c r="C9822" s="14">
        <f ca="1">IFERROR(__xludf.DUMMYFUNCTION("""COMPUTED_VALUE"""),110)</f>
        <v>110</v>
      </c>
      <c r="D9822" s="12" t="str">
        <f ca="1">IFERROR(__xludf.DUMMYFUNCTION("""COMPUTED_VALUE"""),"芳賀 亮輔")</f>
        <v>芳賀 亮輔</v>
      </c>
    </row>
    <row r="9823" spans="2:4" ht="13">
      <c r="B9823" s="12">
        <f ca="1">IFERROR(__xludf.DUMMYFUNCTION("""COMPUTED_VALUE"""),3104062)</f>
        <v>3104062</v>
      </c>
      <c r="C9823" s="14">
        <f ca="1">IFERROR(__xludf.DUMMYFUNCTION("""COMPUTED_VALUE"""),0)</f>
        <v>0</v>
      </c>
      <c r="D9823" s="12" t="str">
        <f ca="1">IFERROR(__xludf.DUMMYFUNCTION("""COMPUTED_VALUE"""),"芳賀 亮輔")</f>
        <v>芳賀 亮輔</v>
      </c>
    </row>
    <row r="9824" spans="2:4" ht="13">
      <c r="B9824" s="12">
        <f ca="1">IFERROR(__xludf.DUMMYFUNCTION("""COMPUTED_VALUE"""),3104063)</f>
        <v>3104063</v>
      </c>
      <c r="C9824" s="14">
        <f ca="1">IFERROR(__xludf.DUMMYFUNCTION("""COMPUTED_VALUE"""),34)</f>
        <v>34</v>
      </c>
      <c r="D9824" s="12" t="str">
        <f ca="1">IFERROR(__xludf.DUMMYFUNCTION("""COMPUTED_VALUE"""),"芳賀 亮輔")</f>
        <v>芳賀 亮輔</v>
      </c>
    </row>
    <row r="9825" spans="2:4" ht="13">
      <c r="B9825" s="12">
        <f ca="1">IFERROR(__xludf.DUMMYFUNCTION("""COMPUTED_VALUE"""),3104064)</f>
        <v>3104064</v>
      </c>
      <c r="C9825" s="14">
        <f ca="1">IFERROR(__xludf.DUMMYFUNCTION("""COMPUTED_VALUE"""),50)</f>
        <v>50</v>
      </c>
      <c r="D9825" s="12" t="str">
        <f ca="1">IFERROR(__xludf.DUMMYFUNCTION("""COMPUTED_VALUE"""),"芳賀 亮輔")</f>
        <v>芳賀 亮輔</v>
      </c>
    </row>
    <row r="9826" spans="2:4" ht="13">
      <c r="B9826" s="12">
        <f ca="1">IFERROR(__xludf.DUMMYFUNCTION("""COMPUTED_VALUE"""),3104065)</f>
        <v>3104065</v>
      </c>
      <c r="C9826" s="14">
        <f ca="1">IFERROR(__xludf.DUMMYFUNCTION("""COMPUTED_VALUE"""),56)</f>
        <v>56</v>
      </c>
      <c r="D9826" s="12" t="str">
        <f ca="1">IFERROR(__xludf.DUMMYFUNCTION("""COMPUTED_VALUE"""),"芳賀 亮輔")</f>
        <v>芳賀 亮輔</v>
      </c>
    </row>
    <row r="9827" spans="2:4" ht="13">
      <c r="B9827" s="12">
        <f ca="1">IFERROR(__xludf.DUMMYFUNCTION("""COMPUTED_VALUE"""),3104066)</f>
        <v>3104066</v>
      </c>
      <c r="C9827" s="14">
        <f ca="1">IFERROR(__xludf.DUMMYFUNCTION("""COMPUTED_VALUE"""),40)</f>
        <v>40</v>
      </c>
      <c r="D9827" s="12" t="str">
        <f ca="1">IFERROR(__xludf.DUMMYFUNCTION("""COMPUTED_VALUE"""),"小川 純")</f>
        <v>小川 純</v>
      </c>
    </row>
    <row r="9828" spans="2:4" ht="13">
      <c r="B9828" s="12">
        <f ca="1">IFERROR(__xludf.DUMMYFUNCTION("""COMPUTED_VALUE"""),3104067)</f>
        <v>3104067</v>
      </c>
      <c r="C9828" s="14">
        <f ca="1">IFERROR(__xludf.DUMMYFUNCTION("""COMPUTED_VALUE"""),0)</f>
        <v>0</v>
      </c>
      <c r="D9828" s="12" t="str">
        <f ca="1">IFERROR(__xludf.DUMMYFUNCTION("""COMPUTED_VALUE"""),"川島 幹也")</f>
        <v>川島 幹也</v>
      </c>
    </row>
    <row r="9829" spans="2:4" ht="13">
      <c r="B9829" s="12">
        <f ca="1">IFERROR(__xludf.DUMMYFUNCTION("""COMPUTED_VALUE"""),3104068)</f>
        <v>3104068</v>
      </c>
      <c r="C9829" s="14">
        <f ca="1">IFERROR(__xludf.DUMMYFUNCTION("""COMPUTED_VALUE"""),12)</f>
        <v>12</v>
      </c>
      <c r="D9829" s="12" t="str">
        <f ca="1">IFERROR(__xludf.DUMMYFUNCTION("""COMPUTED_VALUE"""),"芳賀 亮輔")</f>
        <v>芳賀 亮輔</v>
      </c>
    </row>
    <row r="9830" spans="2:4" ht="13">
      <c r="B9830" s="12">
        <f ca="1">IFERROR(__xludf.DUMMYFUNCTION("""COMPUTED_VALUE"""),3104069)</f>
        <v>3104069</v>
      </c>
      <c r="C9830" s="14">
        <f ca="1">IFERROR(__xludf.DUMMYFUNCTION("""COMPUTED_VALUE"""),0)</f>
        <v>0</v>
      </c>
      <c r="D9830" s="12" t="str">
        <f ca="1">IFERROR(__xludf.DUMMYFUNCTION("""COMPUTED_VALUE"""),"小関 麻起")</f>
        <v>小関 麻起</v>
      </c>
    </row>
    <row r="9831" spans="2:4" ht="13">
      <c r="B9831" s="12">
        <f ca="1">IFERROR(__xludf.DUMMYFUNCTION("""COMPUTED_VALUE"""),3104070)</f>
        <v>3104070</v>
      </c>
      <c r="C9831" s="14">
        <f ca="1">IFERROR(__xludf.DUMMYFUNCTION("""COMPUTED_VALUE"""),11)</f>
        <v>11</v>
      </c>
      <c r="D9831" s="12" t="str">
        <f ca="1">IFERROR(__xludf.DUMMYFUNCTION("""COMPUTED_VALUE"""),"荻曽 克輝")</f>
        <v>荻曽 克輝</v>
      </c>
    </row>
    <row r="9832" spans="2:4" ht="13">
      <c r="B9832" s="12">
        <f ca="1">IFERROR(__xludf.DUMMYFUNCTION("""COMPUTED_VALUE"""),3104071)</f>
        <v>3104071</v>
      </c>
      <c r="C9832" s="14">
        <f ca="1">IFERROR(__xludf.DUMMYFUNCTION("""COMPUTED_VALUE"""),12)</f>
        <v>12</v>
      </c>
      <c r="D9832" s="12" t="str">
        <f ca="1">IFERROR(__xludf.DUMMYFUNCTION("""COMPUTED_VALUE"""),"小川 純")</f>
        <v>小川 純</v>
      </c>
    </row>
    <row r="9833" spans="2:4" ht="13">
      <c r="B9833" s="12">
        <f ca="1">IFERROR(__xludf.DUMMYFUNCTION("""COMPUTED_VALUE"""),3104072)</f>
        <v>3104072</v>
      </c>
      <c r="C9833" s="14">
        <f ca="1">IFERROR(__xludf.DUMMYFUNCTION("""COMPUTED_VALUE"""),79)</f>
        <v>79</v>
      </c>
      <c r="D9833" s="12" t="str">
        <f ca="1">IFERROR(__xludf.DUMMYFUNCTION("""COMPUTED_VALUE"""),"小川 純")</f>
        <v>小川 純</v>
      </c>
    </row>
    <row r="9834" spans="2:4" ht="13">
      <c r="B9834" s="12">
        <f ca="1">IFERROR(__xludf.DUMMYFUNCTION("""COMPUTED_VALUE"""),3104073)</f>
        <v>3104073</v>
      </c>
      <c r="C9834" s="14">
        <f ca="1">IFERROR(__xludf.DUMMYFUNCTION("""COMPUTED_VALUE"""),15)</f>
        <v>15</v>
      </c>
      <c r="D9834" s="12" t="str">
        <f ca="1">IFERROR(__xludf.DUMMYFUNCTION("""COMPUTED_VALUE"""),"小川 純")</f>
        <v>小川 純</v>
      </c>
    </row>
    <row r="9835" spans="2:4" ht="13">
      <c r="B9835" s="12">
        <f ca="1">IFERROR(__xludf.DUMMYFUNCTION("""COMPUTED_VALUE"""),3104074)</f>
        <v>3104074</v>
      </c>
      <c r="C9835" s="14">
        <f ca="1">IFERROR(__xludf.DUMMYFUNCTION("""COMPUTED_VALUE"""),27)</f>
        <v>27</v>
      </c>
      <c r="D9835" s="12" t="str">
        <f ca="1">IFERROR(__xludf.DUMMYFUNCTION("""COMPUTED_VALUE"""),"小川 純")</f>
        <v>小川 純</v>
      </c>
    </row>
    <row r="9836" spans="2:4" ht="13">
      <c r="B9836" s="12">
        <f ca="1">IFERROR(__xludf.DUMMYFUNCTION("""COMPUTED_VALUE"""),3104075)</f>
        <v>3104075</v>
      </c>
      <c r="C9836" s="14">
        <f ca="1">IFERROR(__xludf.DUMMYFUNCTION("""COMPUTED_VALUE"""),16)</f>
        <v>16</v>
      </c>
      <c r="D9836" s="12" t="str">
        <f ca="1">IFERROR(__xludf.DUMMYFUNCTION("""COMPUTED_VALUE"""),"小川 純")</f>
        <v>小川 純</v>
      </c>
    </row>
    <row r="9837" spans="2:4" ht="13">
      <c r="B9837" s="12">
        <f ca="1">IFERROR(__xludf.DUMMYFUNCTION("""COMPUTED_VALUE"""),3104076)</f>
        <v>3104076</v>
      </c>
      <c r="C9837" s="14">
        <f ca="1">IFERROR(__xludf.DUMMYFUNCTION("""COMPUTED_VALUE"""),14)</f>
        <v>14</v>
      </c>
      <c r="D9837" s="12" t="str">
        <f ca="1">IFERROR(__xludf.DUMMYFUNCTION("""COMPUTED_VALUE"""),"小川 純")</f>
        <v>小川 純</v>
      </c>
    </row>
    <row r="9838" spans="2:4" ht="13">
      <c r="B9838" s="12">
        <f ca="1">IFERROR(__xludf.DUMMYFUNCTION("""COMPUTED_VALUE"""),3104077)</f>
        <v>3104077</v>
      </c>
      <c r="C9838" s="14">
        <f ca="1">IFERROR(__xludf.DUMMYFUNCTION("""COMPUTED_VALUE"""),13)</f>
        <v>13</v>
      </c>
      <c r="D9838" s="12" t="str">
        <f ca="1">IFERROR(__xludf.DUMMYFUNCTION("""COMPUTED_VALUE"""),"小川 純")</f>
        <v>小川 純</v>
      </c>
    </row>
    <row r="9839" spans="2:4" ht="13">
      <c r="B9839" s="12">
        <f ca="1">IFERROR(__xludf.DUMMYFUNCTION("""COMPUTED_VALUE"""),3104078)</f>
        <v>3104078</v>
      </c>
      <c r="C9839" s="14">
        <f ca="1">IFERROR(__xludf.DUMMYFUNCTION("""COMPUTED_VALUE"""),12)</f>
        <v>12</v>
      </c>
      <c r="D9839" s="12" t="str">
        <f ca="1">IFERROR(__xludf.DUMMYFUNCTION("""COMPUTED_VALUE"""),"小川 純")</f>
        <v>小川 純</v>
      </c>
    </row>
    <row r="9840" spans="2:4" ht="13">
      <c r="B9840" s="12">
        <f ca="1">IFERROR(__xludf.DUMMYFUNCTION("""COMPUTED_VALUE"""),3104079)</f>
        <v>3104079</v>
      </c>
      <c r="C9840" s="14">
        <f ca="1">IFERROR(__xludf.DUMMYFUNCTION("""COMPUTED_VALUE"""),23)</f>
        <v>23</v>
      </c>
      <c r="D9840" s="12" t="str">
        <f ca="1">IFERROR(__xludf.DUMMYFUNCTION("""COMPUTED_VALUE"""),"小川 純")</f>
        <v>小川 純</v>
      </c>
    </row>
    <row r="9841" spans="2:4" ht="13">
      <c r="B9841" s="12">
        <f ca="1">IFERROR(__xludf.DUMMYFUNCTION("""COMPUTED_VALUE"""),3200000)</f>
        <v>3200000</v>
      </c>
      <c r="C9841" s="14">
        <f ca="1">IFERROR(__xludf.DUMMYFUNCTION("""COMPUTED_VALUE"""),0)</f>
        <v>0</v>
      </c>
      <c r="D9841" s="12" t="str">
        <f ca="1">IFERROR(__xludf.DUMMYFUNCTION("""COMPUTED_VALUE"""),"松尾 尚樹")</f>
        <v>松尾 尚樹</v>
      </c>
    </row>
    <row r="9842" spans="2:4" ht="13">
      <c r="B9842" s="12">
        <f ca="1">IFERROR(__xludf.DUMMYFUNCTION("""COMPUTED_VALUE"""),3200012)</f>
        <v>3200012</v>
      </c>
      <c r="C9842" s="14">
        <f ca="1">IFERROR(__xludf.DUMMYFUNCTION("""COMPUTED_VALUE"""),0)</f>
        <v>0</v>
      </c>
      <c r="D9842" s="12" t="str">
        <f ca="1">IFERROR(__xludf.DUMMYFUNCTION("""COMPUTED_VALUE"""),"菅野 ぎんが")</f>
        <v>菅野 ぎんが</v>
      </c>
    </row>
    <row r="9843" spans="2:4" ht="13">
      <c r="B9843" s="12">
        <f ca="1">IFERROR(__xludf.DUMMYFUNCTION("""COMPUTED_VALUE"""),3200017)</f>
        <v>3200017</v>
      </c>
      <c r="C9843" s="14">
        <f ca="1">IFERROR(__xludf.DUMMYFUNCTION("""COMPUTED_VALUE"""),2)</f>
        <v>2</v>
      </c>
      <c r="D9843" s="12" t="str">
        <f ca="1">IFERROR(__xludf.DUMMYFUNCTION("""COMPUTED_VALUE"""),"森 光智")</f>
        <v>森 光智</v>
      </c>
    </row>
    <row r="9844" spans="2:4" ht="13">
      <c r="B9844" s="12">
        <f ca="1">IFERROR(__xludf.DUMMYFUNCTION("""COMPUTED_VALUE"""),3200019)</f>
        <v>3200019</v>
      </c>
      <c r="C9844" s="14">
        <f ca="1">IFERROR(__xludf.DUMMYFUNCTION("""COMPUTED_VALUE"""),7)</f>
        <v>7</v>
      </c>
      <c r="D9844" s="12" t="str">
        <f ca="1">IFERROR(__xludf.DUMMYFUNCTION("""COMPUTED_VALUE"""),"老田 純輝")</f>
        <v>老田 純輝</v>
      </c>
    </row>
    <row r="9845" spans="2:4" ht="13">
      <c r="B9845" s="12">
        <f ca="1">IFERROR(__xludf.DUMMYFUNCTION("""COMPUTED_VALUE"""),3200023)</f>
        <v>3200023</v>
      </c>
      <c r="C9845" s="14">
        <f ca="1">IFERROR(__xludf.DUMMYFUNCTION("""COMPUTED_VALUE"""),3)</f>
        <v>3</v>
      </c>
      <c r="D9845" s="12" t="str">
        <f ca="1">IFERROR(__xludf.DUMMYFUNCTION("""COMPUTED_VALUE"""),"老田 純輝")</f>
        <v>老田 純輝</v>
      </c>
    </row>
    <row r="9846" spans="2:4" ht="13">
      <c r="B9846" s="12">
        <f ca="1">IFERROR(__xludf.DUMMYFUNCTION("""COMPUTED_VALUE"""),3200024)</f>
        <v>3200024</v>
      </c>
      <c r="C9846" s="14">
        <f ca="1">IFERROR(__xludf.DUMMYFUNCTION("""COMPUTED_VALUE"""),5)</f>
        <v>5</v>
      </c>
      <c r="D9846" s="12" t="str">
        <f ca="1">IFERROR(__xludf.DUMMYFUNCTION("""COMPUTED_VALUE"""),"老田 純輝")</f>
        <v>老田 純輝</v>
      </c>
    </row>
    <row r="9847" spans="2:4" ht="13">
      <c r="B9847" s="12">
        <f ca="1">IFERROR(__xludf.DUMMYFUNCTION("""COMPUTED_VALUE"""),3200025)</f>
        <v>3200025</v>
      </c>
      <c r="C9847" s="14">
        <f ca="1">IFERROR(__xludf.DUMMYFUNCTION("""COMPUTED_VALUE"""),2)</f>
        <v>2</v>
      </c>
      <c r="D9847" s="12" t="str">
        <f ca="1">IFERROR(__xludf.DUMMYFUNCTION("""COMPUTED_VALUE"""),"老田 純輝")</f>
        <v>老田 純輝</v>
      </c>
    </row>
    <row r="9848" spans="2:4" ht="13">
      <c r="B9848" s="12">
        <f ca="1">IFERROR(__xludf.DUMMYFUNCTION("""COMPUTED_VALUE"""),3200026)</f>
        <v>3200026</v>
      </c>
      <c r="C9848" s="14">
        <f ca="1">IFERROR(__xludf.DUMMYFUNCTION("""COMPUTED_VALUE"""),5)</f>
        <v>5</v>
      </c>
      <c r="D9848" s="12" t="str">
        <f ca="1">IFERROR(__xludf.DUMMYFUNCTION("""COMPUTED_VALUE"""),"老田 純輝")</f>
        <v>老田 純輝</v>
      </c>
    </row>
    <row r="9849" spans="2:4" ht="13">
      <c r="B9849" s="12">
        <f ca="1">IFERROR(__xludf.DUMMYFUNCTION("""COMPUTED_VALUE"""),3200027)</f>
        <v>3200027</v>
      </c>
      <c r="C9849" s="14">
        <f ca="1">IFERROR(__xludf.DUMMYFUNCTION("""COMPUTED_VALUE"""),18)</f>
        <v>18</v>
      </c>
      <c r="D9849" s="12" t="str">
        <f ca="1">IFERROR(__xludf.DUMMYFUNCTION("""COMPUTED_VALUE"""),"老田 純輝")</f>
        <v>老田 純輝</v>
      </c>
    </row>
    <row r="9850" spans="2:4" ht="13">
      <c r="B9850" s="12">
        <f ca="1">IFERROR(__xludf.DUMMYFUNCTION("""COMPUTED_VALUE"""),3200029)</f>
        <v>3200029</v>
      </c>
      <c r="C9850" s="14">
        <f ca="1">IFERROR(__xludf.DUMMYFUNCTION("""COMPUTED_VALUE"""),0)</f>
        <v>0</v>
      </c>
      <c r="D9850" s="12" t="str">
        <f ca="1">IFERROR(__xludf.DUMMYFUNCTION("""COMPUTED_VALUE"""),"森 光智")</f>
        <v>森 光智</v>
      </c>
    </row>
    <row r="9851" spans="2:4" ht="13">
      <c r="B9851" s="12">
        <f ca="1">IFERROR(__xludf.DUMMYFUNCTION("""COMPUTED_VALUE"""),3200032)</f>
        <v>3200032</v>
      </c>
      <c r="C9851" s="14">
        <f ca="1">IFERROR(__xludf.DUMMYFUNCTION("""COMPUTED_VALUE"""),0)</f>
        <v>0</v>
      </c>
      <c r="D9851" s="12" t="str">
        <f ca="1">IFERROR(__xludf.DUMMYFUNCTION("""COMPUTED_VALUE"""),"田嶋 将太")</f>
        <v>田嶋 将太</v>
      </c>
    </row>
    <row r="9852" spans="2:4" ht="13">
      <c r="B9852" s="12">
        <f ca="1">IFERROR(__xludf.DUMMYFUNCTION("""COMPUTED_VALUE"""),3200033)</f>
        <v>3200033</v>
      </c>
      <c r="C9852" s="14">
        <f ca="1">IFERROR(__xludf.DUMMYFUNCTION("""COMPUTED_VALUE"""),1)</f>
        <v>1</v>
      </c>
      <c r="D9852" s="12" t="str">
        <f ca="1">IFERROR(__xludf.DUMMYFUNCTION("""COMPUTED_VALUE"""),"菅野 ぎんが")</f>
        <v>菅野 ぎんが</v>
      </c>
    </row>
    <row r="9853" spans="2:4" ht="13">
      <c r="B9853" s="12">
        <f ca="1">IFERROR(__xludf.DUMMYFUNCTION("""COMPUTED_VALUE"""),3200040)</f>
        <v>3200040</v>
      </c>
      <c r="C9853" s="14">
        <f ca="1">IFERROR(__xludf.DUMMYFUNCTION("""COMPUTED_VALUE"""),2)</f>
        <v>2</v>
      </c>
      <c r="D9853" s="12" t="str">
        <f ca="1">IFERROR(__xludf.DUMMYFUNCTION("""COMPUTED_VALUE"""),"田嶋 将太")</f>
        <v>田嶋 将太</v>
      </c>
    </row>
    <row r="9854" spans="2:4" ht="13">
      <c r="B9854" s="12">
        <f ca="1">IFERROR(__xludf.DUMMYFUNCTION("""COMPUTED_VALUE"""),3200041)</f>
        <v>3200041</v>
      </c>
      <c r="C9854" s="14">
        <f ca="1">IFERROR(__xludf.DUMMYFUNCTION("""COMPUTED_VALUE"""),0)</f>
        <v>0</v>
      </c>
      <c r="D9854" s="12" t="str">
        <f ca="1">IFERROR(__xludf.DUMMYFUNCTION("""COMPUTED_VALUE"""),"田嶋 将太")</f>
        <v>田嶋 将太</v>
      </c>
    </row>
    <row r="9855" spans="2:4" ht="13">
      <c r="B9855" s="12">
        <f ca="1">IFERROR(__xludf.DUMMYFUNCTION("""COMPUTED_VALUE"""),3200045)</f>
        <v>3200045</v>
      </c>
      <c r="C9855" s="14">
        <f ca="1">IFERROR(__xludf.DUMMYFUNCTION("""COMPUTED_VALUE"""),0)</f>
        <v>0</v>
      </c>
      <c r="D9855" s="12" t="str">
        <f ca="1">IFERROR(__xludf.DUMMYFUNCTION("""COMPUTED_VALUE"""),"奥野 貴大")</f>
        <v>奥野 貴大</v>
      </c>
    </row>
    <row r="9856" spans="2:4" ht="13">
      <c r="B9856" s="12">
        <f ca="1">IFERROR(__xludf.DUMMYFUNCTION("""COMPUTED_VALUE"""),3200046)</f>
        <v>3200046</v>
      </c>
      <c r="C9856" s="14">
        <f ca="1">IFERROR(__xludf.DUMMYFUNCTION("""COMPUTED_VALUE"""),45)</f>
        <v>45</v>
      </c>
      <c r="D9856" s="12" t="str">
        <f ca="1">IFERROR(__xludf.DUMMYFUNCTION("""COMPUTED_VALUE"""),"辻村 将大")</f>
        <v>辻村 将大</v>
      </c>
    </row>
    <row r="9857" spans="2:4" ht="13">
      <c r="B9857" s="12">
        <f ca="1">IFERROR(__xludf.DUMMYFUNCTION("""COMPUTED_VALUE"""),3200048)</f>
        <v>3200048</v>
      </c>
      <c r="C9857" s="14">
        <f ca="1">IFERROR(__xludf.DUMMYFUNCTION("""COMPUTED_VALUE"""),21)</f>
        <v>21</v>
      </c>
      <c r="D9857" s="12" t="str">
        <f ca="1">IFERROR(__xludf.DUMMYFUNCTION("""COMPUTED_VALUE"""),"辻村 将大")</f>
        <v>辻村 将大</v>
      </c>
    </row>
    <row r="9858" spans="2:4" ht="13">
      <c r="B9858" s="12">
        <f ca="1">IFERROR(__xludf.DUMMYFUNCTION("""COMPUTED_VALUE"""),3200049)</f>
        <v>3200049</v>
      </c>
      <c r="C9858" s="14">
        <f ca="1">IFERROR(__xludf.DUMMYFUNCTION("""COMPUTED_VALUE"""),29)</f>
        <v>29</v>
      </c>
      <c r="D9858" s="12" t="str">
        <f ca="1">IFERROR(__xludf.DUMMYFUNCTION("""COMPUTED_VALUE"""),"辻村 将大")</f>
        <v>辻村 将大</v>
      </c>
    </row>
    <row r="9859" spans="2:4" ht="13">
      <c r="B9859" s="12">
        <f ca="1">IFERROR(__xludf.DUMMYFUNCTION("""COMPUTED_VALUE"""),3200050)</f>
        <v>3200050</v>
      </c>
      <c r="C9859" s="14">
        <f ca="1">IFERROR(__xludf.DUMMYFUNCTION("""COMPUTED_VALUE"""),31)</f>
        <v>31</v>
      </c>
      <c r="D9859" s="12" t="str">
        <f ca="1">IFERROR(__xludf.DUMMYFUNCTION("""COMPUTED_VALUE"""),"辻村 将大")</f>
        <v>辻村 将大</v>
      </c>
    </row>
    <row r="9860" spans="2:4" ht="13">
      <c r="B9860" s="12">
        <f ca="1">IFERROR(__xludf.DUMMYFUNCTION("""COMPUTED_VALUE"""),3200051)</f>
        <v>3200051</v>
      </c>
      <c r="C9860" s="14">
        <f ca="1">IFERROR(__xludf.DUMMYFUNCTION("""COMPUTED_VALUE"""),36)</f>
        <v>36</v>
      </c>
      <c r="D9860" s="12" t="str">
        <f ca="1">IFERROR(__xludf.DUMMYFUNCTION("""COMPUTED_VALUE"""),"辻村 将大")</f>
        <v>辻村 将大</v>
      </c>
    </row>
    <row r="9861" spans="2:4" ht="13">
      <c r="B9861" s="12">
        <f ca="1">IFERROR(__xludf.DUMMYFUNCTION("""COMPUTED_VALUE"""),3200056)</f>
        <v>3200056</v>
      </c>
      <c r="C9861" s="14">
        <f ca="1">IFERROR(__xludf.DUMMYFUNCTION("""COMPUTED_VALUE"""),3)</f>
        <v>3</v>
      </c>
      <c r="D9861" s="12" t="str">
        <f ca="1">IFERROR(__xludf.DUMMYFUNCTION("""COMPUTED_VALUE"""),"森 光智")</f>
        <v>森 光智</v>
      </c>
    </row>
    <row r="9862" spans="2:4" ht="13">
      <c r="B9862" s="12">
        <f ca="1">IFERROR(__xludf.DUMMYFUNCTION("""COMPUTED_VALUE"""),3200057)</f>
        <v>3200057</v>
      </c>
      <c r="C9862" s="14">
        <f ca="1">IFERROR(__xludf.DUMMYFUNCTION("""COMPUTED_VALUE"""),6)</f>
        <v>6</v>
      </c>
      <c r="D9862" s="12" t="str">
        <f ca="1">IFERROR(__xludf.DUMMYFUNCTION("""COMPUTED_VALUE"""),"松尾 尚樹")</f>
        <v>松尾 尚樹</v>
      </c>
    </row>
    <row r="9863" spans="2:4" ht="13">
      <c r="B9863" s="12">
        <f ca="1">IFERROR(__xludf.DUMMYFUNCTION("""COMPUTED_VALUE"""),3200062)</f>
        <v>3200062</v>
      </c>
      <c r="C9863" s="14">
        <f ca="1">IFERROR(__xludf.DUMMYFUNCTION("""COMPUTED_VALUE"""),0)</f>
        <v>0</v>
      </c>
      <c r="D9863" s="12" t="str">
        <f ca="1">IFERROR(__xludf.DUMMYFUNCTION("""COMPUTED_VALUE"""),"老田 純輝")</f>
        <v>老田 純輝</v>
      </c>
    </row>
    <row r="9864" spans="2:4" ht="13">
      <c r="B9864" s="12">
        <f ca="1">IFERROR(__xludf.DUMMYFUNCTION("""COMPUTED_VALUE"""),3200064)</f>
        <v>3200064</v>
      </c>
      <c r="C9864" s="14">
        <f ca="1">IFERROR(__xludf.DUMMYFUNCTION("""COMPUTED_VALUE"""),6)</f>
        <v>6</v>
      </c>
      <c r="D9864" s="12" t="str">
        <f ca="1">IFERROR(__xludf.DUMMYFUNCTION("""COMPUTED_VALUE"""),"堀越 駿")</f>
        <v>堀越 駿</v>
      </c>
    </row>
    <row r="9865" spans="2:4" ht="13">
      <c r="B9865" s="12">
        <f ca="1">IFERROR(__xludf.DUMMYFUNCTION("""COMPUTED_VALUE"""),3200067)</f>
        <v>3200067</v>
      </c>
      <c r="C9865" s="14">
        <f ca="1">IFERROR(__xludf.DUMMYFUNCTION("""COMPUTED_VALUE"""),0)</f>
        <v>0</v>
      </c>
      <c r="D9865" s="12" t="str">
        <f ca="1">IFERROR(__xludf.DUMMYFUNCTION("""COMPUTED_VALUE"""),"成嶋 夏未")</f>
        <v>成嶋 夏未</v>
      </c>
    </row>
    <row r="9866" spans="2:4" ht="13">
      <c r="B9866" s="12">
        <f ca="1">IFERROR(__xludf.DUMMYFUNCTION("""COMPUTED_VALUE"""),3200071)</f>
        <v>3200071</v>
      </c>
      <c r="C9866" s="14">
        <f ca="1">IFERROR(__xludf.DUMMYFUNCTION("""COMPUTED_VALUE"""),2)</f>
        <v>2</v>
      </c>
      <c r="D9866" s="12" t="str">
        <f ca="1">IFERROR(__xludf.DUMMYFUNCTION("""COMPUTED_VALUE"""),"松尾 尚樹")</f>
        <v>松尾 尚樹</v>
      </c>
    </row>
    <row r="9867" spans="2:4" ht="13">
      <c r="B9867" s="12">
        <f ca="1">IFERROR(__xludf.DUMMYFUNCTION("""COMPUTED_VALUE"""),3200072)</f>
        <v>3200072</v>
      </c>
      <c r="C9867" s="14">
        <f ca="1">IFERROR(__xludf.DUMMYFUNCTION("""COMPUTED_VALUE"""),4)</f>
        <v>4</v>
      </c>
      <c r="D9867" s="12" t="str">
        <f ca="1">IFERROR(__xludf.DUMMYFUNCTION("""COMPUTED_VALUE"""),"松尾 尚樹")</f>
        <v>松尾 尚樹</v>
      </c>
    </row>
    <row r="9868" spans="2:4" ht="13">
      <c r="B9868" s="12">
        <f ca="1">IFERROR(__xludf.DUMMYFUNCTION("""COMPUTED_VALUE"""),3200073)</f>
        <v>3200073</v>
      </c>
      <c r="C9868" s="14">
        <f ca="1">IFERROR(__xludf.DUMMYFUNCTION("""COMPUTED_VALUE"""),2)</f>
        <v>2</v>
      </c>
      <c r="D9868" s="12" t="str">
        <f ca="1">IFERROR(__xludf.DUMMYFUNCTION("""COMPUTED_VALUE"""),"柿崎 晃司")</f>
        <v>柿崎 晃司</v>
      </c>
    </row>
    <row r="9869" spans="2:4" ht="13">
      <c r="B9869" s="12">
        <f ca="1">IFERROR(__xludf.DUMMYFUNCTION("""COMPUTED_VALUE"""),3200074)</f>
        <v>3200074</v>
      </c>
      <c r="C9869" s="14">
        <f ca="1">IFERROR(__xludf.DUMMYFUNCTION("""COMPUTED_VALUE"""),5)</f>
        <v>5</v>
      </c>
      <c r="D9869" s="12" t="str">
        <f ca="1">IFERROR(__xludf.DUMMYFUNCTION("""COMPUTED_VALUE"""),"柿崎 晃司")</f>
        <v>柿崎 晃司</v>
      </c>
    </row>
    <row r="9870" spans="2:4" ht="13">
      <c r="B9870" s="12">
        <f ca="1">IFERROR(__xludf.DUMMYFUNCTION("""COMPUTED_VALUE"""),3200075)</f>
        <v>3200075</v>
      </c>
      <c r="C9870" s="14">
        <f ca="1">IFERROR(__xludf.DUMMYFUNCTION("""COMPUTED_VALUE"""),16)</f>
        <v>16</v>
      </c>
      <c r="D9870" s="12" t="str">
        <f ca="1">IFERROR(__xludf.DUMMYFUNCTION("""COMPUTED_VALUE"""),"柿崎 晃司")</f>
        <v>柿崎 晃司</v>
      </c>
    </row>
    <row r="9871" spans="2:4" ht="13">
      <c r="B9871" s="12">
        <f ca="1">IFERROR(__xludf.DUMMYFUNCTION("""COMPUTED_VALUE"""),3200076)</f>
        <v>3200076</v>
      </c>
      <c r="C9871" s="14">
        <f ca="1">IFERROR(__xludf.DUMMYFUNCTION("""COMPUTED_VALUE"""),13)</f>
        <v>13</v>
      </c>
      <c r="D9871" s="12" t="str">
        <f ca="1">IFERROR(__xludf.DUMMYFUNCTION("""COMPUTED_VALUE"""),"柿崎 晃司")</f>
        <v>柿崎 晃司</v>
      </c>
    </row>
    <row r="9872" spans="2:4" ht="13">
      <c r="B9872" s="12">
        <f ca="1">IFERROR(__xludf.DUMMYFUNCTION("""COMPUTED_VALUE"""),3200080)</f>
        <v>3200080</v>
      </c>
      <c r="C9872" s="14">
        <f ca="1">IFERROR(__xludf.DUMMYFUNCTION("""COMPUTED_VALUE"""),0)</f>
        <v>0</v>
      </c>
      <c r="D9872" s="12" t="str">
        <f ca="1">IFERROR(__xludf.DUMMYFUNCTION("""COMPUTED_VALUE"""),"小関 麻起")</f>
        <v>小関 麻起</v>
      </c>
    </row>
    <row r="9873" spans="2:4" ht="13">
      <c r="B9873" s="12">
        <f ca="1">IFERROR(__xludf.DUMMYFUNCTION("""COMPUTED_VALUE"""),3200089)</f>
        <v>3200089</v>
      </c>
      <c r="C9873" s="14">
        <f ca="1">IFERROR(__xludf.DUMMYFUNCTION("""COMPUTED_VALUE"""),1)</f>
        <v>1</v>
      </c>
      <c r="D9873" s="12" t="str">
        <f ca="1">IFERROR(__xludf.DUMMYFUNCTION("""COMPUTED_VALUE"""),"老田 純輝")</f>
        <v>老田 純輝</v>
      </c>
    </row>
    <row r="9874" spans="2:4" ht="13">
      <c r="B9874" s="12">
        <f ca="1">IFERROR(__xludf.DUMMYFUNCTION("""COMPUTED_VALUE"""),3200090)</f>
        <v>3200090</v>
      </c>
      <c r="C9874" s="14">
        <f ca="1">IFERROR(__xludf.DUMMYFUNCTION("""COMPUTED_VALUE"""),11)</f>
        <v>11</v>
      </c>
      <c r="D9874" s="12" t="str">
        <f ca="1">IFERROR(__xludf.DUMMYFUNCTION("""COMPUTED_VALUE"""),"老田 純輝")</f>
        <v>老田 純輝</v>
      </c>
    </row>
    <row r="9875" spans="2:4" ht="13">
      <c r="B9875" s="12">
        <f ca="1">IFERROR(__xludf.DUMMYFUNCTION("""COMPUTED_VALUE"""),3200094)</f>
        <v>3200094</v>
      </c>
      <c r="C9875" s="14">
        <f ca="1">IFERROR(__xludf.DUMMYFUNCTION("""COMPUTED_VALUE"""),4)</f>
        <v>4</v>
      </c>
      <c r="D9875" s="12" t="str">
        <f ca="1">IFERROR(__xludf.DUMMYFUNCTION("""COMPUTED_VALUE"""),"老田 純輝")</f>
        <v>老田 純輝</v>
      </c>
    </row>
    <row r="9876" spans="2:4" ht="13">
      <c r="B9876" s="12">
        <f ca="1">IFERROR(__xludf.DUMMYFUNCTION("""COMPUTED_VALUE"""),3200096)</f>
        <v>3200096</v>
      </c>
      <c r="C9876" s="14">
        <f ca="1">IFERROR(__xludf.DUMMYFUNCTION("""COMPUTED_VALUE"""),26)</f>
        <v>26</v>
      </c>
      <c r="D9876" s="12" t="str">
        <f ca="1">IFERROR(__xludf.DUMMYFUNCTION("""COMPUTED_VALUE"""),"桐山 勝気")</f>
        <v>桐山 勝気</v>
      </c>
    </row>
    <row r="9877" spans="2:4" ht="13">
      <c r="B9877" s="12">
        <f ca="1">IFERROR(__xludf.DUMMYFUNCTION("""COMPUTED_VALUE"""),3200097)</f>
        <v>3200097</v>
      </c>
      <c r="C9877" s="14">
        <f ca="1">IFERROR(__xludf.DUMMYFUNCTION("""COMPUTED_VALUE"""),7)</f>
        <v>7</v>
      </c>
      <c r="D9877" s="12" t="str">
        <f ca="1">IFERROR(__xludf.DUMMYFUNCTION("""COMPUTED_VALUE"""),"桐山 勝気")</f>
        <v>桐山 勝気</v>
      </c>
    </row>
    <row r="9878" spans="2:4" ht="13">
      <c r="B9878" s="12">
        <f ca="1">IFERROR(__xludf.DUMMYFUNCTION("""COMPUTED_VALUE"""),3200102)</f>
        <v>3200102</v>
      </c>
      <c r="C9878" s="14">
        <f ca="1">IFERROR(__xludf.DUMMYFUNCTION("""COMPUTED_VALUE"""),14)</f>
        <v>14</v>
      </c>
      <c r="D9878" s="12" t="str">
        <f ca="1">IFERROR(__xludf.DUMMYFUNCTION("""COMPUTED_VALUE"""),"桐山 勝気")</f>
        <v>桐山 勝気</v>
      </c>
    </row>
    <row r="9879" spans="2:4" ht="13">
      <c r="B9879" s="12">
        <f ca="1">IFERROR(__xludf.DUMMYFUNCTION("""COMPUTED_VALUE"""),3200103)</f>
        <v>3200103</v>
      </c>
      <c r="C9879" s="14">
        <f ca="1">IFERROR(__xludf.DUMMYFUNCTION("""COMPUTED_VALUE"""),8)</f>
        <v>8</v>
      </c>
      <c r="D9879" s="12" t="str">
        <f ca="1">IFERROR(__xludf.DUMMYFUNCTION("""COMPUTED_VALUE"""),"桐山 勝気")</f>
        <v>桐山 勝気</v>
      </c>
    </row>
    <row r="9880" spans="2:4" ht="13">
      <c r="B9880" s="12">
        <f ca="1">IFERROR(__xludf.DUMMYFUNCTION("""COMPUTED_VALUE"""),3200105)</f>
        <v>3200105</v>
      </c>
      <c r="C9880" s="14">
        <f ca="1">IFERROR(__xludf.DUMMYFUNCTION("""COMPUTED_VALUE"""),8)</f>
        <v>8</v>
      </c>
      <c r="D9880" s="12" t="str">
        <f ca="1">IFERROR(__xludf.DUMMYFUNCTION("""COMPUTED_VALUE"""),"桐山 勝気")</f>
        <v>桐山 勝気</v>
      </c>
    </row>
    <row r="9881" spans="2:4" ht="13">
      <c r="B9881" s="12">
        <f ca="1">IFERROR(__xludf.DUMMYFUNCTION("""COMPUTED_VALUE"""),3200107)</f>
        <v>3200107</v>
      </c>
      <c r="C9881" s="14">
        <f ca="1">IFERROR(__xludf.DUMMYFUNCTION("""COMPUTED_VALUE"""),0)</f>
        <v>0</v>
      </c>
      <c r="D9881" s="12" t="str">
        <f ca="1">IFERROR(__xludf.DUMMYFUNCTION("""COMPUTED_VALUE"""),"老田 純輝")</f>
        <v>老田 純輝</v>
      </c>
    </row>
    <row r="9882" spans="2:4" ht="13">
      <c r="B9882" s="12">
        <f ca="1">IFERROR(__xludf.DUMMYFUNCTION("""COMPUTED_VALUE"""),3200109)</f>
        <v>3200109</v>
      </c>
      <c r="C9882" s="14">
        <f ca="1">IFERROR(__xludf.DUMMYFUNCTION("""COMPUTED_VALUE"""),9)</f>
        <v>9</v>
      </c>
      <c r="D9882" s="12" t="str">
        <f ca="1">IFERROR(__xludf.DUMMYFUNCTION("""COMPUTED_VALUE"""),"老田 純輝")</f>
        <v>老田 純輝</v>
      </c>
    </row>
    <row r="9883" spans="2:4" ht="13">
      <c r="B9883" s="12">
        <f ca="1">IFERROR(__xludf.DUMMYFUNCTION("""COMPUTED_VALUE"""),3200110)</f>
        <v>3200110</v>
      </c>
      <c r="C9883" s="14">
        <f ca="1">IFERROR(__xludf.DUMMYFUNCTION("""COMPUTED_VALUE"""),1)</f>
        <v>1</v>
      </c>
      <c r="D9883" s="12" t="str">
        <f ca="1">IFERROR(__xludf.DUMMYFUNCTION("""COMPUTED_VALUE"""),"老田 純輝")</f>
        <v>老田 純輝</v>
      </c>
    </row>
    <row r="9884" spans="2:4" ht="13">
      <c r="B9884" s="12">
        <f ca="1">IFERROR(__xludf.DUMMYFUNCTION("""COMPUTED_VALUE"""),3200111)</f>
        <v>3200111</v>
      </c>
      <c r="C9884" s="14">
        <f ca="1">IFERROR(__xludf.DUMMYFUNCTION("""COMPUTED_VALUE"""),0)</f>
        <v>0</v>
      </c>
      <c r="D9884" s="12" t="str">
        <f ca="1">IFERROR(__xludf.DUMMYFUNCTION("""COMPUTED_VALUE"""),"老田 純輝")</f>
        <v>老田 純輝</v>
      </c>
    </row>
    <row r="9885" spans="2:4" ht="13">
      <c r="B9885" s="12">
        <f ca="1">IFERROR(__xludf.DUMMYFUNCTION("""COMPUTED_VALUE"""),3200112)</f>
        <v>3200112</v>
      </c>
      <c r="C9885" s="14">
        <f ca="1">IFERROR(__xludf.DUMMYFUNCTION("""COMPUTED_VALUE"""),14)</f>
        <v>14</v>
      </c>
      <c r="D9885" s="12" t="str">
        <f ca="1">IFERROR(__xludf.DUMMYFUNCTION("""COMPUTED_VALUE"""),"老田 純輝")</f>
        <v>老田 純輝</v>
      </c>
    </row>
    <row r="9886" spans="2:4" ht="13">
      <c r="B9886" s="12">
        <f ca="1">IFERROR(__xludf.DUMMYFUNCTION("""COMPUTED_VALUE"""),3200113)</f>
        <v>3200113</v>
      </c>
      <c r="C9886" s="14">
        <f ca="1">IFERROR(__xludf.DUMMYFUNCTION("""COMPUTED_VALUE"""),1)</f>
        <v>1</v>
      </c>
      <c r="D9886" s="12" t="str">
        <f ca="1">IFERROR(__xludf.DUMMYFUNCTION("""COMPUTED_VALUE"""),"老田 純輝")</f>
        <v>老田 純輝</v>
      </c>
    </row>
    <row r="9887" spans="2:4" ht="13">
      <c r="B9887" s="12">
        <f ca="1">IFERROR(__xludf.DUMMYFUNCTION("""COMPUTED_VALUE"""),3200114)</f>
        <v>3200114</v>
      </c>
      <c r="C9887" s="14">
        <f ca="1">IFERROR(__xludf.DUMMYFUNCTION("""COMPUTED_VALUE"""),2)</f>
        <v>2</v>
      </c>
      <c r="D9887" s="12" t="str">
        <f ca="1">IFERROR(__xludf.DUMMYFUNCTION("""COMPUTED_VALUE"""),"老田 純輝")</f>
        <v>老田 純輝</v>
      </c>
    </row>
    <row r="9888" spans="2:4" ht="13">
      <c r="B9888" s="12">
        <f ca="1">IFERROR(__xludf.DUMMYFUNCTION("""COMPUTED_VALUE"""),3200115)</f>
        <v>3200115</v>
      </c>
      <c r="C9888" s="14">
        <f ca="1">IFERROR(__xludf.DUMMYFUNCTION("""COMPUTED_VALUE"""),0)</f>
        <v>0</v>
      </c>
      <c r="D9888" s="12" t="str">
        <f ca="1">IFERROR(__xludf.DUMMYFUNCTION("""COMPUTED_VALUE"""),"老田 純輝")</f>
        <v>老田 純輝</v>
      </c>
    </row>
    <row r="9889" spans="2:4" ht="13">
      <c r="B9889" s="12">
        <f ca="1">IFERROR(__xludf.DUMMYFUNCTION("""COMPUTED_VALUE"""),3200116)</f>
        <v>3200116</v>
      </c>
      <c r="C9889" s="14">
        <f ca="1">IFERROR(__xludf.DUMMYFUNCTION("""COMPUTED_VALUE"""),0)</f>
        <v>0</v>
      </c>
      <c r="D9889" s="12" t="str">
        <f ca="1">IFERROR(__xludf.DUMMYFUNCTION("""COMPUTED_VALUE"""),"老田 純輝")</f>
        <v>老田 純輝</v>
      </c>
    </row>
    <row r="9890" spans="2:4" ht="13">
      <c r="B9890" s="12">
        <f ca="1">IFERROR(__xludf.DUMMYFUNCTION("""COMPUTED_VALUE"""),3200117)</f>
        <v>3200117</v>
      </c>
      <c r="C9890" s="14">
        <f ca="1">IFERROR(__xludf.DUMMYFUNCTION("""COMPUTED_VALUE"""),22)</f>
        <v>22</v>
      </c>
      <c r="D9890" s="12" t="str">
        <f ca="1">IFERROR(__xludf.DUMMYFUNCTION("""COMPUTED_VALUE"""),"辻村 将大")</f>
        <v>辻村 将大</v>
      </c>
    </row>
    <row r="9891" spans="2:4" ht="13">
      <c r="B9891" s="12">
        <f ca="1">IFERROR(__xludf.DUMMYFUNCTION("""COMPUTED_VALUE"""),3200121)</f>
        <v>3200121</v>
      </c>
      <c r="C9891" s="14">
        <f ca="1">IFERROR(__xludf.DUMMYFUNCTION("""COMPUTED_VALUE"""),40)</f>
        <v>40</v>
      </c>
      <c r="D9891" s="12" t="str">
        <f ca="1">IFERROR(__xludf.DUMMYFUNCTION("""COMPUTED_VALUE"""),"辻村 将大")</f>
        <v>辻村 将大</v>
      </c>
    </row>
    <row r="9892" spans="2:4" ht="13">
      <c r="B9892" s="12">
        <f ca="1">IFERROR(__xludf.DUMMYFUNCTION("""COMPUTED_VALUE"""),3210013)</f>
        <v>3210013</v>
      </c>
      <c r="C9892" s="14">
        <f ca="1">IFERROR(__xludf.DUMMYFUNCTION("""COMPUTED_VALUE"""),1)</f>
        <v>1</v>
      </c>
      <c r="D9892" s="12" t="str">
        <f ca="1">IFERROR(__xludf.DUMMYFUNCTION("""COMPUTED_VALUE"""),"桑原 明子")</f>
        <v>桑原 明子</v>
      </c>
    </row>
    <row r="9893" spans="2:4" ht="13">
      <c r="B9893" s="12">
        <f ca="1">IFERROR(__xludf.DUMMYFUNCTION("""COMPUTED_VALUE"""),3210017)</f>
        <v>3210017</v>
      </c>
      <c r="C9893" s="14">
        <f ca="1">IFERROR(__xludf.DUMMYFUNCTION("""COMPUTED_VALUE"""),0)</f>
        <v>0</v>
      </c>
      <c r="D9893" s="12" t="str">
        <f ca="1">IFERROR(__xludf.DUMMYFUNCTION("""COMPUTED_VALUE"""),"桑原 明子")</f>
        <v>桑原 明子</v>
      </c>
    </row>
    <row r="9894" spans="2:4" ht="13">
      <c r="B9894" s="12">
        <f ca="1">IFERROR(__xludf.DUMMYFUNCTION("""COMPUTED_VALUE"""),3218003)</f>
        <v>3218003</v>
      </c>
      <c r="C9894" s="14">
        <f ca="1">IFERROR(__xludf.DUMMYFUNCTION("""COMPUTED_VALUE"""),0)</f>
        <v>0</v>
      </c>
      <c r="D9894" s="12" t="str">
        <f ca="1">IFERROR(__xludf.DUMMYFUNCTION("""COMPUTED_VALUE"""),"森 光智")</f>
        <v>森 光智</v>
      </c>
    </row>
    <row r="9895" spans="2:4" ht="13">
      <c r="B9895" s="12">
        <f ca="1">IFERROR(__xludf.DUMMYFUNCTION("""COMPUTED_VALUE"""),3218016)</f>
        <v>3218016</v>
      </c>
      <c r="C9895" s="14">
        <f ca="1">IFERROR(__xludf.DUMMYFUNCTION("""COMPUTED_VALUE"""),0)</f>
        <v>0</v>
      </c>
      <c r="D9895" s="12" t="str">
        <f ca="1">IFERROR(__xludf.DUMMYFUNCTION("""COMPUTED_VALUE"""),"森 光智")</f>
        <v>森 光智</v>
      </c>
    </row>
    <row r="9896" spans="2:4" ht="13">
      <c r="B9896" s="12">
        <f ca="1">IFERROR(__xludf.DUMMYFUNCTION("""COMPUTED_VALUE"""),3218071)</f>
        <v>3218071</v>
      </c>
      <c r="C9896" s="14">
        <f ca="1">IFERROR(__xludf.DUMMYFUNCTION("""COMPUTED_VALUE"""),1)</f>
        <v>1</v>
      </c>
      <c r="D9896" s="12" t="str">
        <f ca="1">IFERROR(__xludf.DUMMYFUNCTION("""COMPUTED_VALUE"""),"森 光智")</f>
        <v>森 光智</v>
      </c>
    </row>
    <row r="9897" spans="2:4" ht="13">
      <c r="B9897" s="12">
        <f ca="1">IFERROR(__xludf.DUMMYFUNCTION("""COMPUTED_VALUE"""),3500003)</f>
        <v>3500003</v>
      </c>
      <c r="C9897" s="14">
        <f ca="1">IFERROR(__xludf.DUMMYFUNCTION("""COMPUTED_VALUE"""),1)</f>
        <v>1</v>
      </c>
      <c r="D9897" s="12" t="str">
        <f ca="1">IFERROR(__xludf.DUMMYFUNCTION("""COMPUTED_VALUE"""),"渋谷 雄大")</f>
        <v>渋谷 雄大</v>
      </c>
    </row>
    <row r="9898" spans="2:4" ht="13">
      <c r="B9898" s="12">
        <f ca="1">IFERROR(__xludf.DUMMYFUNCTION("""COMPUTED_VALUE"""),3500073)</f>
        <v>3500073</v>
      </c>
      <c r="C9898" s="14">
        <f ca="1">IFERROR(__xludf.DUMMYFUNCTION("""COMPUTED_VALUE"""),2)</f>
        <v>2</v>
      </c>
      <c r="D9898" s="12" t="str">
        <f ca="1">IFERROR(__xludf.DUMMYFUNCTION("""COMPUTED_VALUE"""),"渋谷 雄大")</f>
        <v>渋谷 雄大</v>
      </c>
    </row>
    <row r="9899" spans="2:4" ht="13">
      <c r="B9899" s="12">
        <f ca="1">IFERROR(__xludf.DUMMYFUNCTION("""COMPUTED_VALUE"""),3500074)</f>
        <v>3500074</v>
      </c>
      <c r="C9899" s="14">
        <f ca="1">IFERROR(__xludf.DUMMYFUNCTION("""COMPUTED_VALUE"""),2)</f>
        <v>2</v>
      </c>
      <c r="D9899" s="12" t="str">
        <f ca="1">IFERROR(__xludf.DUMMYFUNCTION("""COMPUTED_VALUE"""),"渋谷 雄大")</f>
        <v>渋谷 雄大</v>
      </c>
    </row>
    <row r="9900" spans="2:4" ht="13">
      <c r="B9900" s="12">
        <f ca="1">IFERROR(__xludf.DUMMYFUNCTION("""COMPUTED_VALUE"""),3500075)</f>
        <v>3500075</v>
      </c>
      <c r="C9900" s="14">
        <f ca="1">IFERROR(__xludf.DUMMYFUNCTION("""COMPUTED_VALUE"""),4)</f>
        <v>4</v>
      </c>
      <c r="D9900" s="12" t="str">
        <f ca="1">IFERROR(__xludf.DUMMYFUNCTION("""COMPUTED_VALUE"""),"渋谷 雄大")</f>
        <v>渋谷 雄大</v>
      </c>
    </row>
    <row r="9901" spans="2:4" ht="13">
      <c r="B9901" s="12">
        <f ca="1">IFERROR(__xludf.DUMMYFUNCTION("""COMPUTED_VALUE"""),3500076)</f>
        <v>3500076</v>
      </c>
      <c r="C9901" s="14">
        <f ca="1">IFERROR(__xludf.DUMMYFUNCTION("""COMPUTED_VALUE"""),0)</f>
        <v>0</v>
      </c>
      <c r="D9901" s="12" t="str">
        <f ca="1">IFERROR(__xludf.DUMMYFUNCTION("""COMPUTED_VALUE"""),"渋谷 雄大")</f>
        <v>渋谷 雄大</v>
      </c>
    </row>
    <row r="9902" spans="2:4" ht="13">
      <c r="B9902" s="12">
        <f ca="1">IFERROR(__xludf.DUMMYFUNCTION("""COMPUTED_VALUE"""),3500077)</f>
        <v>3500077</v>
      </c>
      <c r="C9902" s="14">
        <f ca="1">IFERROR(__xludf.DUMMYFUNCTION("""COMPUTED_VALUE"""),3)</f>
        <v>3</v>
      </c>
      <c r="D9902" s="12" t="str">
        <f ca="1">IFERROR(__xludf.DUMMYFUNCTION("""COMPUTED_VALUE"""),"渋谷 雄大")</f>
        <v>渋谷 雄大</v>
      </c>
    </row>
    <row r="9903" spans="2:4" ht="13">
      <c r="B9903" s="12">
        <f ca="1">IFERROR(__xludf.DUMMYFUNCTION("""COMPUTED_VALUE"""),3500078)</f>
        <v>3500078</v>
      </c>
      <c r="C9903" s="14">
        <f ca="1">IFERROR(__xludf.DUMMYFUNCTION("""COMPUTED_VALUE"""),1)</f>
        <v>1</v>
      </c>
      <c r="D9903" s="12" t="str">
        <f ca="1">IFERROR(__xludf.DUMMYFUNCTION("""COMPUTED_VALUE"""),"渋谷 雄大")</f>
        <v>渋谷 雄大</v>
      </c>
    </row>
    <row r="9904" spans="2:4" ht="13">
      <c r="B9904" s="12">
        <f ca="1">IFERROR(__xludf.DUMMYFUNCTION("""COMPUTED_VALUE"""),3500079)</f>
        <v>3500079</v>
      </c>
      <c r="C9904" s="14">
        <f ca="1">IFERROR(__xludf.DUMMYFUNCTION("""COMPUTED_VALUE"""),4)</f>
        <v>4</v>
      </c>
      <c r="D9904" s="12" t="str">
        <f ca="1">IFERROR(__xludf.DUMMYFUNCTION("""COMPUTED_VALUE"""),"渋谷 雄大")</f>
        <v>渋谷 雄大</v>
      </c>
    </row>
    <row r="9905" spans="2:4" ht="13">
      <c r="B9905" s="12">
        <f ca="1">IFERROR(__xludf.DUMMYFUNCTION("""COMPUTED_VALUE"""),3500080)</f>
        <v>3500080</v>
      </c>
      <c r="C9905" s="14">
        <f ca="1">IFERROR(__xludf.DUMMYFUNCTION("""COMPUTED_VALUE"""),3)</f>
        <v>3</v>
      </c>
      <c r="D9905" s="12" t="str">
        <f ca="1">IFERROR(__xludf.DUMMYFUNCTION("""COMPUTED_VALUE"""),"渋谷 雄大")</f>
        <v>渋谷 雄大</v>
      </c>
    </row>
    <row r="9906" spans="2:4" ht="13">
      <c r="B9906" s="12">
        <f ca="1">IFERROR(__xludf.DUMMYFUNCTION("""COMPUTED_VALUE"""),3500081)</f>
        <v>3500081</v>
      </c>
      <c r="C9906" s="14">
        <f ca="1">IFERROR(__xludf.DUMMYFUNCTION("""COMPUTED_VALUE"""),34)</f>
        <v>34</v>
      </c>
      <c r="D9906" s="12" t="str">
        <f ca="1">IFERROR(__xludf.DUMMYFUNCTION("""COMPUTED_VALUE"""),"渋谷 雄大")</f>
        <v>渋谷 雄大</v>
      </c>
    </row>
    <row r="9907" spans="2:4" ht="13">
      <c r="B9907" s="12">
        <f ca="1">IFERROR(__xludf.DUMMYFUNCTION("""COMPUTED_VALUE"""),3500082)</f>
        <v>3500082</v>
      </c>
      <c r="C9907" s="14">
        <f ca="1">IFERROR(__xludf.DUMMYFUNCTION("""COMPUTED_VALUE"""),12)</f>
        <v>12</v>
      </c>
      <c r="D9907" s="12" t="str">
        <f ca="1">IFERROR(__xludf.DUMMYFUNCTION("""COMPUTED_VALUE"""),"渋谷 雄大")</f>
        <v>渋谷 雄大</v>
      </c>
    </row>
    <row r="9908" spans="2:4" ht="13">
      <c r="B9908" s="12">
        <f ca="1">IFERROR(__xludf.DUMMYFUNCTION("""COMPUTED_VALUE"""),3500083)</f>
        <v>3500083</v>
      </c>
      <c r="C9908" s="14">
        <f ca="1">IFERROR(__xludf.DUMMYFUNCTION("""COMPUTED_VALUE"""),3)</f>
        <v>3</v>
      </c>
      <c r="D9908" s="12" t="str">
        <f ca="1">IFERROR(__xludf.DUMMYFUNCTION("""COMPUTED_VALUE"""),"渋谷 雄大")</f>
        <v>渋谷 雄大</v>
      </c>
    </row>
    <row r="9909" spans="2:4" ht="13">
      <c r="B9909" s="12">
        <f ca="1">IFERROR(__xludf.DUMMYFUNCTION("""COMPUTED_VALUE"""),3500084)</f>
        <v>3500084</v>
      </c>
      <c r="C9909" s="14">
        <f ca="1">IFERROR(__xludf.DUMMYFUNCTION("""COMPUTED_VALUE"""),2)</f>
        <v>2</v>
      </c>
      <c r="D9909" s="12" t="str">
        <f ca="1">IFERROR(__xludf.DUMMYFUNCTION("""COMPUTED_VALUE"""),"渋谷 雄大")</f>
        <v>渋谷 雄大</v>
      </c>
    </row>
    <row r="9910" spans="2:4" ht="13">
      <c r="B9910" s="12">
        <f ca="1">IFERROR(__xludf.DUMMYFUNCTION("""COMPUTED_VALUE"""),3600001)</f>
        <v>3600001</v>
      </c>
      <c r="C9910" s="14">
        <f ca="1">IFERROR(__xludf.DUMMYFUNCTION("""COMPUTED_VALUE"""),0)</f>
        <v>0</v>
      </c>
      <c r="D9910" s="12" t="str">
        <f ca="1">IFERROR(__xludf.DUMMYFUNCTION("""COMPUTED_VALUE"""),"川島 幹也")</f>
        <v>川島 幹也</v>
      </c>
    </row>
    <row r="9911" spans="2:4" ht="13">
      <c r="B9911" s="12">
        <f ca="1">IFERROR(__xludf.DUMMYFUNCTION("""COMPUTED_VALUE"""),3600002)</f>
        <v>3600002</v>
      </c>
      <c r="C9911" s="14">
        <f ca="1">IFERROR(__xludf.DUMMYFUNCTION("""COMPUTED_VALUE"""),22)</f>
        <v>22</v>
      </c>
      <c r="D9911" s="12" t="str">
        <f ca="1">IFERROR(__xludf.DUMMYFUNCTION("""COMPUTED_VALUE"""),"川島 幹也")</f>
        <v>川島 幹也</v>
      </c>
    </row>
    <row r="9912" spans="2:4" ht="13">
      <c r="B9912" s="12">
        <f ca="1">IFERROR(__xludf.DUMMYFUNCTION("""COMPUTED_VALUE"""),3600003)</f>
        <v>3600003</v>
      </c>
      <c r="C9912" s="14">
        <f ca="1">IFERROR(__xludf.DUMMYFUNCTION("""COMPUTED_VALUE"""),16)</f>
        <v>16</v>
      </c>
      <c r="D9912" s="12" t="str">
        <f ca="1">IFERROR(__xludf.DUMMYFUNCTION("""COMPUTED_VALUE"""),"川島 幹也")</f>
        <v>川島 幹也</v>
      </c>
    </row>
    <row r="9913" spans="2:4" ht="13">
      <c r="B9913" s="12">
        <f ca="1">IFERROR(__xludf.DUMMYFUNCTION("""COMPUTED_VALUE"""),3600004)</f>
        <v>3600004</v>
      </c>
      <c r="C9913" s="14">
        <f ca="1">IFERROR(__xludf.DUMMYFUNCTION("""COMPUTED_VALUE"""),30)</f>
        <v>30</v>
      </c>
      <c r="D9913" s="12" t="str">
        <f ca="1">IFERROR(__xludf.DUMMYFUNCTION("""COMPUTED_VALUE"""),"川島 幹也")</f>
        <v>川島 幹也</v>
      </c>
    </row>
    <row r="9914" spans="2:4" ht="13">
      <c r="B9914" s="12">
        <f ca="1">IFERROR(__xludf.DUMMYFUNCTION("""COMPUTED_VALUE"""),3600005)</f>
        <v>3600005</v>
      </c>
      <c r="C9914" s="14">
        <f ca="1">IFERROR(__xludf.DUMMYFUNCTION("""COMPUTED_VALUE"""),46)</f>
        <v>46</v>
      </c>
      <c r="D9914" s="12" t="str">
        <f ca="1">IFERROR(__xludf.DUMMYFUNCTION("""COMPUTED_VALUE"""),"川島 幹也")</f>
        <v>川島 幹也</v>
      </c>
    </row>
    <row r="9915" spans="2:4" ht="13">
      <c r="B9915" s="12">
        <f ca="1">IFERROR(__xludf.DUMMYFUNCTION("""COMPUTED_VALUE"""),3600006)</f>
        <v>3600006</v>
      </c>
      <c r="C9915" s="14">
        <f ca="1">IFERROR(__xludf.DUMMYFUNCTION("""COMPUTED_VALUE"""),28)</f>
        <v>28</v>
      </c>
      <c r="D9915" s="12" t="str">
        <f ca="1">IFERROR(__xludf.DUMMYFUNCTION("""COMPUTED_VALUE"""),"川島 幹也")</f>
        <v>川島 幹也</v>
      </c>
    </row>
    <row r="9916" spans="2:4" ht="13">
      <c r="B9916" s="12">
        <f ca="1">IFERROR(__xludf.DUMMYFUNCTION("""COMPUTED_VALUE"""),3600007)</f>
        <v>3600007</v>
      </c>
      <c r="C9916" s="14">
        <f ca="1">IFERROR(__xludf.DUMMYFUNCTION("""COMPUTED_VALUE"""),22)</f>
        <v>22</v>
      </c>
      <c r="D9916" s="12" t="str">
        <f ca="1">IFERROR(__xludf.DUMMYFUNCTION("""COMPUTED_VALUE"""),"川島 幹也")</f>
        <v>川島 幹也</v>
      </c>
    </row>
    <row r="9917" spans="2:4" ht="13">
      <c r="B9917" s="12">
        <f ca="1">IFERROR(__xludf.DUMMYFUNCTION("""COMPUTED_VALUE"""),3600008)</f>
        <v>3600008</v>
      </c>
      <c r="C9917" s="14">
        <f ca="1">IFERROR(__xludf.DUMMYFUNCTION("""COMPUTED_VALUE"""),13)</f>
        <v>13</v>
      </c>
      <c r="D9917" s="12" t="str">
        <f ca="1">IFERROR(__xludf.DUMMYFUNCTION("""COMPUTED_VALUE"""),"川島 幹也")</f>
        <v>川島 幹也</v>
      </c>
    </row>
    <row r="9918" spans="2:4" ht="13">
      <c r="B9918" s="12">
        <f ca="1">IFERROR(__xludf.DUMMYFUNCTION("""COMPUTED_VALUE"""),3600009)</f>
        <v>3600009</v>
      </c>
      <c r="C9918" s="14">
        <f ca="1">IFERROR(__xludf.DUMMYFUNCTION("""COMPUTED_VALUE"""),12)</f>
        <v>12</v>
      </c>
      <c r="D9918" s="12" t="str">
        <f ca="1">IFERROR(__xludf.DUMMYFUNCTION("""COMPUTED_VALUE"""),"川島 幹也")</f>
        <v>川島 幹也</v>
      </c>
    </row>
    <row r="9919" spans="2:4" ht="13">
      <c r="B9919" s="12">
        <f ca="1">IFERROR(__xludf.DUMMYFUNCTION("""COMPUTED_VALUE"""),3600010)</f>
        <v>3600010</v>
      </c>
      <c r="C9919" s="14">
        <f ca="1">IFERROR(__xludf.DUMMYFUNCTION("""COMPUTED_VALUE"""),15)</f>
        <v>15</v>
      </c>
      <c r="D9919" s="12" t="str">
        <f ca="1">IFERROR(__xludf.DUMMYFUNCTION("""COMPUTED_VALUE"""),"川島 幹也")</f>
        <v>川島 幹也</v>
      </c>
    </row>
    <row r="9920" spans="2:4" ht="13">
      <c r="B9920" s="12">
        <f ca="1">IFERROR(__xludf.DUMMYFUNCTION("""COMPUTED_VALUE"""),3600011)</f>
        <v>3600011</v>
      </c>
      <c r="C9920" s="14">
        <f ca="1">IFERROR(__xludf.DUMMYFUNCTION("""COMPUTED_VALUE"""),15)</f>
        <v>15</v>
      </c>
      <c r="D9920" s="12" t="str">
        <f ca="1">IFERROR(__xludf.DUMMYFUNCTION("""COMPUTED_VALUE"""),"川島 幹也")</f>
        <v>川島 幹也</v>
      </c>
    </row>
    <row r="9921" spans="2:4" ht="13">
      <c r="B9921" s="12">
        <f ca="1">IFERROR(__xludf.DUMMYFUNCTION("""COMPUTED_VALUE"""),3600012)</f>
        <v>3600012</v>
      </c>
      <c r="C9921" s="14">
        <f ca="1">IFERROR(__xludf.DUMMYFUNCTION("""COMPUTED_VALUE"""),25)</f>
        <v>25</v>
      </c>
      <c r="D9921" s="12" t="str">
        <f ca="1">IFERROR(__xludf.DUMMYFUNCTION("""COMPUTED_VALUE"""),"川島 幹也")</f>
        <v>川島 幹也</v>
      </c>
    </row>
    <row r="9922" spans="2:4" ht="13">
      <c r="B9922" s="12">
        <f ca="1">IFERROR(__xludf.DUMMYFUNCTION("""COMPUTED_VALUE"""),3600013)</f>
        <v>3600013</v>
      </c>
      <c r="C9922" s="14">
        <f ca="1">IFERROR(__xludf.DUMMYFUNCTION("""COMPUTED_VALUE"""),16)</f>
        <v>16</v>
      </c>
      <c r="D9922" s="12" t="str">
        <f ca="1">IFERROR(__xludf.DUMMYFUNCTION("""COMPUTED_VALUE"""),"川島 幹也")</f>
        <v>川島 幹也</v>
      </c>
    </row>
    <row r="9923" spans="2:4" ht="13">
      <c r="B9923" s="12">
        <f ca="1">IFERROR(__xludf.DUMMYFUNCTION("""COMPUTED_VALUE"""),3600014)</f>
        <v>3600014</v>
      </c>
      <c r="C9923" s="14">
        <f ca="1">IFERROR(__xludf.DUMMYFUNCTION("""COMPUTED_VALUE"""),1)</f>
        <v>1</v>
      </c>
      <c r="D9923" s="12" t="str">
        <f ca="1">IFERROR(__xludf.DUMMYFUNCTION("""COMPUTED_VALUE"""),"川島 幹也")</f>
        <v>川島 幹也</v>
      </c>
    </row>
    <row r="9924" spans="2:4" ht="13">
      <c r="B9924" s="12">
        <f ca="1">IFERROR(__xludf.DUMMYFUNCTION("""COMPUTED_VALUE"""),3600016)</f>
        <v>3600016</v>
      </c>
      <c r="C9924" s="14">
        <f ca="1">IFERROR(__xludf.DUMMYFUNCTION("""COMPUTED_VALUE"""),34)</f>
        <v>34</v>
      </c>
      <c r="D9924" s="12" t="str">
        <f ca="1">IFERROR(__xludf.DUMMYFUNCTION("""COMPUTED_VALUE"""),"川島 幹也")</f>
        <v>川島 幹也</v>
      </c>
    </row>
    <row r="9925" spans="2:4" ht="13">
      <c r="B9925" s="12">
        <f ca="1">IFERROR(__xludf.DUMMYFUNCTION("""COMPUTED_VALUE"""),3600017)</f>
        <v>3600017</v>
      </c>
      <c r="C9925" s="14">
        <f ca="1">IFERROR(__xludf.DUMMYFUNCTION("""COMPUTED_VALUE"""),28)</f>
        <v>28</v>
      </c>
      <c r="D9925" s="12" t="str">
        <f ca="1">IFERROR(__xludf.DUMMYFUNCTION("""COMPUTED_VALUE"""),"川島 幹也")</f>
        <v>川島 幹也</v>
      </c>
    </row>
    <row r="9926" spans="2:4" ht="13">
      <c r="B9926" s="12">
        <f ca="1">IFERROR(__xludf.DUMMYFUNCTION("""COMPUTED_VALUE"""),3600018)</f>
        <v>3600018</v>
      </c>
      <c r="C9926" s="14">
        <f ca="1">IFERROR(__xludf.DUMMYFUNCTION("""COMPUTED_VALUE"""),44)</f>
        <v>44</v>
      </c>
      <c r="D9926" s="12" t="str">
        <f ca="1">IFERROR(__xludf.DUMMYFUNCTION("""COMPUTED_VALUE"""),"川島 幹也")</f>
        <v>川島 幹也</v>
      </c>
    </row>
    <row r="9927" spans="2:4" ht="13">
      <c r="B9927" s="12">
        <f ca="1">IFERROR(__xludf.DUMMYFUNCTION("""COMPUTED_VALUE"""),3600019)</f>
        <v>3600019</v>
      </c>
      <c r="C9927" s="14">
        <f ca="1">IFERROR(__xludf.DUMMYFUNCTION("""COMPUTED_VALUE"""),25)</f>
        <v>25</v>
      </c>
      <c r="D9927" s="12" t="str">
        <f ca="1">IFERROR(__xludf.DUMMYFUNCTION("""COMPUTED_VALUE"""),"川島 幹也")</f>
        <v>川島 幹也</v>
      </c>
    </row>
    <row r="9928" spans="2:4" ht="13">
      <c r="B9928" s="12">
        <f ca="1">IFERROR(__xludf.DUMMYFUNCTION("""COMPUTED_VALUE"""),3600020)</f>
        <v>3600020</v>
      </c>
      <c r="C9928" s="14">
        <f ca="1">IFERROR(__xludf.DUMMYFUNCTION("""COMPUTED_VALUE"""),34)</f>
        <v>34</v>
      </c>
      <c r="D9928" s="12" t="str">
        <f ca="1">IFERROR(__xludf.DUMMYFUNCTION("""COMPUTED_VALUE"""),"川島 幹也")</f>
        <v>川島 幹也</v>
      </c>
    </row>
    <row r="9929" spans="2:4" ht="13">
      <c r="B9929" s="12">
        <f ca="1">IFERROR(__xludf.DUMMYFUNCTION("""COMPUTED_VALUE"""),3600021)</f>
        <v>3600021</v>
      </c>
      <c r="C9929" s="14">
        <f ca="1">IFERROR(__xludf.DUMMYFUNCTION("""COMPUTED_VALUE"""),41)</f>
        <v>41</v>
      </c>
      <c r="D9929" s="12" t="str">
        <f ca="1">IFERROR(__xludf.DUMMYFUNCTION("""COMPUTED_VALUE"""),"川島 幹也")</f>
        <v>川島 幹也</v>
      </c>
    </row>
    <row r="9930" spans="2:4" ht="13">
      <c r="B9930" s="12">
        <f ca="1">IFERROR(__xludf.DUMMYFUNCTION("""COMPUTED_VALUE"""),3600022)</f>
        <v>3600022</v>
      </c>
      <c r="C9930" s="14">
        <f ca="1">IFERROR(__xludf.DUMMYFUNCTION("""COMPUTED_VALUE"""),42)</f>
        <v>42</v>
      </c>
      <c r="D9930" s="12" t="str">
        <f ca="1">IFERROR(__xludf.DUMMYFUNCTION("""COMPUTED_VALUE"""),"川島 幹也")</f>
        <v>川島 幹也</v>
      </c>
    </row>
    <row r="9931" spans="2:4" ht="13">
      <c r="B9931" s="12">
        <f ca="1">IFERROR(__xludf.DUMMYFUNCTION("""COMPUTED_VALUE"""),3600023)</f>
        <v>3600023</v>
      </c>
      <c r="C9931" s="14">
        <f ca="1">IFERROR(__xludf.DUMMYFUNCTION("""COMPUTED_VALUE"""),47)</f>
        <v>47</v>
      </c>
      <c r="D9931" s="12" t="str">
        <f ca="1">IFERROR(__xludf.DUMMYFUNCTION("""COMPUTED_VALUE"""),"川島 幹也")</f>
        <v>川島 幹也</v>
      </c>
    </row>
    <row r="9932" spans="2:4" ht="13">
      <c r="B9932" s="12">
        <f ca="1">IFERROR(__xludf.DUMMYFUNCTION("""COMPUTED_VALUE"""),3600024)</f>
        <v>3600024</v>
      </c>
      <c r="C9932" s="14">
        <f ca="1">IFERROR(__xludf.DUMMYFUNCTION("""COMPUTED_VALUE"""),11)</f>
        <v>11</v>
      </c>
      <c r="D9932" s="12" t="str">
        <f ca="1">IFERROR(__xludf.DUMMYFUNCTION("""COMPUTED_VALUE"""),"川島 幹也")</f>
        <v>川島 幹也</v>
      </c>
    </row>
    <row r="9933" spans="2:4" ht="13">
      <c r="B9933" s="12">
        <f ca="1">IFERROR(__xludf.DUMMYFUNCTION("""COMPUTED_VALUE"""),3600025)</f>
        <v>3600025</v>
      </c>
      <c r="C9933" s="14">
        <f ca="1">IFERROR(__xludf.DUMMYFUNCTION("""COMPUTED_VALUE"""),28)</f>
        <v>28</v>
      </c>
      <c r="D9933" s="12" t="str">
        <f ca="1">IFERROR(__xludf.DUMMYFUNCTION("""COMPUTED_VALUE"""),"川島 幹也")</f>
        <v>川島 幹也</v>
      </c>
    </row>
    <row r="9934" spans="2:4" ht="13">
      <c r="B9934" s="12">
        <f ca="1">IFERROR(__xludf.DUMMYFUNCTION("""COMPUTED_VALUE"""),3600026)</f>
        <v>3600026</v>
      </c>
      <c r="C9934" s="14">
        <f ca="1">IFERROR(__xludf.DUMMYFUNCTION("""COMPUTED_VALUE"""),47)</f>
        <v>47</v>
      </c>
      <c r="D9934" s="12" t="str">
        <f ca="1">IFERROR(__xludf.DUMMYFUNCTION("""COMPUTED_VALUE"""),"川島 幹也")</f>
        <v>川島 幹也</v>
      </c>
    </row>
    <row r="9935" spans="2:4" ht="13">
      <c r="B9935" s="12">
        <f ca="1">IFERROR(__xludf.DUMMYFUNCTION("""COMPUTED_VALUE"""),3600027)</f>
        <v>3600027</v>
      </c>
      <c r="C9935" s="14">
        <f ca="1">IFERROR(__xludf.DUMMYFUNCTION("""COMPUTED_VALUE"""),29)</f>
        <v>29</v>
      </c>
      <c r="D9935" s="12" t="str">
        <f ca="1">IFERROR(__xludf.DUMMYFUNCTION("""COMPUTED_VALUE"""),"川島 幹也")</f>
        <v>川島 幹也</v>
      </c>
    </row>
    <row r="9936" spans="2:4" ht="13">
      <c r="B9936" s="12">
        <f ca="1">IFERROR(__xludf.DUMMYFUNCTION("""COMPUTED_VALUE"""),3600028)</f>
        <v>3600028</v>
      </c>
      <c r="C9936" s="14">
        <f ca="1">IFERROR(__xludf.DUMMYFUNCTION("""COMPUTED_VALUE"""),31)</f>
        <v>31</v>
      </c>
      <c r="D9936" s="12" t="str">
        <f ca="1">IFERROR(__xludf.DUMMYFUNCTION("""COMPUTED_VALUE"""),"川島 幹也")</f>
        <v>川島 幹也</v>
      </c>
    </row>
    <row r="9937" spans="2:4" ht="13">
      <c r="B9937" s="12">
        <f ca="1">IFERROR(__xludf.DUMMYFUNCTION("""COMPUTED_VALUE"""),3600029)</f>
        <v>3600029</v>
      </c>
      <c r="C9937" s="14">
        <f ca="1">IFERROR(__xludf.DUMMYFUNCTION("""COMPUTED_VALUE"""),35)</f>
        <v>35</v>
      </c>
      <c r="D9937" s="12" t="str">
        <f ca="1">IFERROR(__xludf.DUMMYFUNCTION("""COMPUTED_VALUE"""),"川島 幹也")</f>
        <v>川島 幹也</v>
      </c>
    </row>
    <row r="9938" spans="2:4" ht="13">
      <c r="B9938" s="12">
        <f ca="1">IFERROR(__xludf.DUMMYFUNCTION("""COMPUTED_VALUE"""),3600030)</f>
        <v>3600030</v>
      </c>
      <c r="C9938" s="14">
        <f ca="1">IFERROR(__xludf.DUMMYFUNCTION("""COMPUTED_VALUE"""),40)</f>
        <v>40</v>
      </c>
      <c r="D9938" s="12" t="str">
        <f ca="1">IFERROR(__xludf.DUMMYFUNCTION("""COMPUTED_VALUE"""),"川島 幹也")</f>
        <v>川島 幹也</v>
      </c>
    </row>
    <row r="9939" spans="2:4" ht="13">
      <c r="B9939" s="12">
        <f ca="1">IFERROR(__xludf.DUMMYFUNCTION("""COMPUTED_VALUE"""),3600031)</f>
        <v>3600031</v>
      </c>
      <c r="C9939" s="14">
        <f ca="1">IFERROR(__xludf.DUMMYFUNCTION("""COMPUTED_VALUE"""),41)</f>
        <v>41</v>
      </c>
      <c r="D9939" s="12" t="str">
        <f ca="1">IFERROR(__xludf.DUMMYFUNCTION("""COMPUTED_VALUE"""),"川島 幹也")</f>
        <v>川島 幹也</v>
      </c>
    </row>
    <row r="9940" spans="2:4" ht="13">
      <c r="B9940" s="12">
        <f ca="1">IFERROR(__xludf.DUMMYFUNCTION("""COMPUTED_VALUE"""),3600032)</f>
        <v>3600032</v>
      </c>
      <c r="C9940" s="14">
        <f ca="1">IFERROR(__xludf.DUMMYFUNCTION("""COMPUTED_VALUE"""),29)</f>
        <v>29</v>
      </c>
      <c r="D9940" s="12" t="str">
        <f ca="1">IFERROR(__xludf.DUMMYFUNCTION("""COMPUTED_VALUE"""),"川島 幹也")</f>
        <v>川島 幹也</v>
      </c>
    </row>
    <row r="9941" spans="2:4" ht="13">
      <c r="B9941" s="12">
        <f ca="1">IFERROR(__xludf.DUMMYFUNCTION("""COMPUTED_VALUE"""),3600033)</f>
        <v>3600033</v>
      </c>
      <c r="C9941" s="14">
        <f ca="1">IFERROR(__xludf.DUMMYFUNCTION("""COMPUTED_VALUE"""),27)</f>
        <v>27</v>
      </c>
      <c r="D9941" s="12" t="str">
        <f ca="1">IFERROR(__xludf.DUMMYFUNCTION("""COMPUTED_VALUE"""),"川島 幹也")</f>
        <v>川島 幹也</v>
      </c>
    </row>
    <row r="9942" spans="2:4" ht="13">
      <c r="B9942" s="12">
        <f ca="1">IFERROR(__xludf.DUMMYFUNCTION("""COMPUTED_VALUE"""),3600034)</f>
        <v>3600034</v>
      </c>
      <c r="C9942" s="14">
        <f ca="1">IFERROR(__xludf.DUMMYFUNCTION("""COMPUTED_VALUE"""),0)</f>
        <v>0</v>
      </c>
      <c r="D9942" s="12" t="str">
        <f ca="1">IFERROR(__xludf.DUMMYFUNCTION("""COMPUTED_VALUE"""),"川島 幹也")</f>
        <v>川島 幹也</v>
      </c>
    </row>
    <row r="9943" spans="2:4" ht="13">
      <c r="B9943" s="12">
        <f ca="1">IFERROR(__xludf.DUMMYFUNCTION("""COMPUTED_VALUE"""),3600035)</f>
        <v>3600035</v>
      </c>
      <c r="C9943" s="14">
        <f ca="1">IFERROR(__xludf.DUMMYFUNCTION("""COMPUTED_VALUE"""),0)</f>
        <v>0</v>
      </c>
      <c r="D9943" s="12" t="str">
        <f ca="1">IFERROR(__xludf.DUMMYFUNCTION("""COMPUTED_VALUE"""),"川島 幹也")</f>
        <v>川島 幹也</v>
      </c>
    </row>
    <row r="9944" spans="2:4" ht="13">
      <c r="B9944" s="12">
        <f ca="1">IFERROR(__xludf.DUMMYFUNCTION("""COMPUTED_VALUE"""),3600036)</f>
        <v>3600036</v>
      </c>
      <c r="C9944" s="14">
        <f ca="1">IFERROR(__xludf.DUMMYFUNCTION("""COMPUTED_VALUE"""),0)</f>
        <v>0</v>
      </c>
      <c r="D9944" s="12" t="str">
        <f ca="1">IFERROR(__xludf.DUMMYFUNCTION("""COMPUTED_VALUE"""),"川島 幹也")</f>
        <v>川島 幹也</v>
      </c>
    </row>
    <row r="9945" spans="2:4" ht="13">
      <c r="B9945" s="12">
        <f ca="1">IFERROR(__xludf.DUMMYFUNCTION("""COMPUTED_VALUE"""),3600037)</f>
        <v>3600037</v>
      </c>
      <c r="C9945" s="14">
        <f ca="1">IFERROR(__xludf.DUMMYFUNCTION("""COMPUTED_VALUE"""),31)</f>
        <v>31</v>
      </c>
      <c r="D9945" s="12" t="str">
        <f ca="1">IFERROR(__xludf.DUMMYFUNCTION("""COMPUTED_VALUE"""),"川島 幹也")</f>
        <v>川島 幹也</v>
      </c>
    </row>
    <row r="9946" spans="2:4" ht="13">
      <c r="B9946" s="12">
        <f ca="1">IFERROR(__xludf.DUMMYFUNCTION("""COMPUTED_VALUE"""),3600038)</f>
        <v>3600038</v>
      </c>
      <c r="C9946" s="14">
        <f ca="1">IFERROR(__xludf.DUMMYFUNCTION("""COMPUTED_VALUE"""),11)</f>
        <v>11</v>
      </c>
      <c r="D9946" s="12" t="str">
        <f ca="1">IFERROR(__xludf.DUMMYFUNCTION("""COMPUTED_VALUE"""),"川島 幹也")</f>
        <v>川島 幹也</v>
      </c>
    </row>
    <row r="9947" spans="2:4" ht="13">
      <c r="B9947" s="12">
        <f ca="1">IFERROR(__xludf.DUMMYFUNCTION("""COMPUTED_VALUE"""),3600039)</f>
        <v>3600039</v>
      </c>
      <c r="C9947" s="14">
        <f ca="1">IFERROR(__xludf.DUMMYFUNCTION("""COMPUTED_VALUE"""),49)</f>
        <v>49</v>
      </c>
      <c r="D9947" s="12" t="str">
        <f ca="1">IFERROR(__xludf.DUMMYFUNCTION("""COMPUTED_VALUE"""),"川島 幹也")</f>
        <v>川島 幹也</v>
      </c>
    </row>
    <row r="9948" spans="2:4" ht="13">
      <c r="B9948" s="12">
        <f ca="1">IFERROR(__xludf.DUMMYFUNCTION("""COMPUTED_VALUE"""),3600040)</f>
        <v>3600040</v>
      </c>
      <c r="C9948" s="14">
        <f ca="1">IFERROR(__xludf.DUMMYFUNCTION("""COMPUTED_VALUE"""),0)</f>
        <v>0</v>
      </c>
      <c r="D9948" s="12" t="str">
        <f ca="1">IFERROR(__xludf.DUMMYFUNCTION("""COMPUTED_VALUE"""),"川島 幹也")</f>
        <v>川島 幹也</v>
      </c>
    </row>
    <row r="9949" spans="2:4" ht="13">
      <c r="B9949" s="12">
        <f ca="1">IFERROR(__xludf.DUMMYFUNCTION("""COMPUTED_VALUE"""),3600041)</f>
        <v>3600041</v>
      </c>
      <c r="C9949" s="14">
        <f ca="1">IFERROR(__xludf.DUMMYFUNCTION("""COMPUTED_VALUE"""),28)</f>
        <v>28</v>
      </c>
      <c r="D9949" s="12" t="str">
        <f ca="1">IFERROR(__xludf.DUMMYFUNCTION("""COMPUTED_VALUE"""),"川島 幹也")</f>
        <v>川島 幹也</v>
      </c>
    </row>
    <row r="9950" spans="2:4" ht="13">
      <c r="B9950" s="12">
        <f ca="1">IFERROR(__xludf.DUMMYFUNCTION("""COMPUTED_VALUE"""),3600042)</f>
        <v>3600042</v>
      </c>
      <c r="C9950" s="14">
        <f ca="1">IFERROR(__xludf.DUMMYFUNCTION("""COMPUTED_VALUE"""),33)</f>
        <v>33</v>
      </c>
      <c r="D9950" s="12" t="str">
        <f ca="1">IFERROR(__xludf.DUMMYFUNCTION("""COMPUTED_VALUE"""),"川島 幹也")</f>
        <v>川島 幹也</v>
      </c>
    </row>
    <row r="9951" spans="2:4" ht="13">
      <c r="B9951" s="12">
        <f ca="1">IFERROR(__xludf.DUMMYFUNCTION("""COMPUTED_VALUE"""),3600043)</f>
        <v>3600043</v>
      </c>
      <c r="C9951" s="14">
        <f ca="1">IFERROR(__xludf.DUMMYFUNCTION("""COMPUTED_VALUE"""),15)</f>
        <v>15</v>
      </c>
      <c r="D9951" s="12" t="str">
        <f ca="1">IFERROR(__xludf.DUMMYFUNCTION("""COMPUTED_VALUE"""),"川島 幹也")</f>
        <v>川島 幹也</v>
      </c>
    </row>
    <row r="9952" spans="2:4" ht="13">
      <c r="B9952" s="12">
        <f ca="1">IFERROR(__xludf.DUMMYFUNCTION("""COMPUTED_VALUE"""),3600044)</f>
        <v>3600044</v>
      </c>
      <c r="C9952" s="14">
        <f ca="1">IFERROR(__xludf.DUMMYFUNCTION("""COMPUTED_VALUE"""),6)</f>
        <v>6</v>
      </c>
      <c r="D9952" s="12" t="str">
        <f ca="1">IFERROR(__xludf.DUMMYFUNCTION("""COMPUTED_VALUE"""),"川島 幹也")</f>
        <v>川島 幹也</v>
      </c>
    </row>
    <row r="9953" spans="2:4" ht="13">
      <c r="B9953" s="12">
        <f ca="1">IFERROR(__xludf.DUMMYFUNCTION("""COMPUTED_VALUE"""),3600045)</f>
        <v>3600045</v>
      </c>
      <c r="C9953" s="14">
        <f ca="1">IFERROR(__xludf.DUMMYFUNCTION("""COMPUTED_VALUE"""),34)</f>
        <v>34</v>
      </c>
      <c r="D9953" s="12" t="str">
        <f ca="1">IFERROR(__xludf.DUMMYFUNCTION("""COMPUTED_VALUE"""),"川島 幹也")</f>
        <v>川島 幹也</v>
      </c>
    </row>
    <row r="9954" spans="2:4" ht="13">
      <c r="B9954" s="12">
        <f ca="1">IFERROR(__xludf.DUMMYFUNCTION("""COMPUTED_VALUE"""),3600046)</f>
        <v>3600046</v>
      </c>
      <c r="C9954" s="14">
        <f ca="1">IFERROR(__xludf.DUMMYFUNCTION("""COMPUTED_VALUE"""),35)</f>
        <v>35</v>
      </c>
      <c r="D9954" s="12" t="str">
        <f ca="1">IFERROR(__xludf.DUMMYFUNCTION("""COMPUTED_VALUE"""),"川島 幹也")</f>
        <v>川島 幹也</v>
      </c>
    </row>
    <row r="9955" spans="2:4" ht="13">
      <c r="B9955" s="12">
        <f ca="1">IFERROR(__xludf.DUMMYFUNCTION("""COMPUTED_VALUE"""),3600047)</f>
        <v>3600047</v>
      </c>
      <c r="C9955" s="14">
        <f ca="1">IFERROR(__xludf.DUMMYFUNCTION("""COMPUTED_VALUE"""),36)</f>
        <v>36</v>
      </c>
      <c r="D9955" s="12" t="str">
        <f ca="1">IFERROR(__xludf.DUMMYFUNCTION("""COMPUTED_VALUE"""),"川島 幹也")</f>
        <v>川島 幹也</v>
      </c>
    </row>
    <row r="9956" spans="2:4" ht="13">
      <c r="B9956" s="12">
        <f ca="1">IFERROR(__xludf.DUMMYFUNCTION("""COMPUTED_VALUE"""),3600048)</f>
        <v>3600048</v>
      </c>
      <c r="C9956" s="14">
        <f ca="1">IFERROR(__xludf.DUMMYFUNCTION("""COMPUTED_VALUE"""),25)</f>
        <v>25</v>
      </c>
      <c r="D9956" s="12" t="str">
        <f ca="1">IFERROR(__xludf.DUMMYFUNCTION("""COMPUTED_VALUE"""),"川島 幹也")</f>
        <v>川島 幹也</v>
      </c>
    </row>
    <row r="9957" spans="2:4" ht="13">
      <c r="B9957" s="12">
        <f ca="1">IFERROR(__xludf.DUMMYFUNCTION("""COMPUTED_VALUE"""),3600049)</f>
        <v>3600049</v>
      </c>
      <c r="C9957" s="14">
        <f ca="1">IFERROR(__xludf.DUMMYFUNCTION("""COMPUTED_VALUE"""),28)</f>
        <v>28</v>
      </c>
      <c r="D9957" s="12" t="str">
        <f ca="1">IFERROR(__xludf.DUMMYFUNCTION("""COMPUTED_VALUE"""),"川島 幹也")</f>
        <v>川島 幹也</v>
      </c>
    </row>
    <row r="9958" spans="2:4" ht="13">
      <c r="B9958" s="12">
        <f ca="1">IFERROR(__xludf.DUMMYFUNCTION("""COMPUTED_VALUE"""),3600050)</f>
        <v>3600050</v>
      </c>
      <c r="C9958" s="14">
        <f ca="1">IFERROR(__xludf.DUMMYFUNCTION("""COMPUTED_VALUE"""),51)</f>
        <v>51</v>
      </c>
      <c r="D9958" s="12" t="str">
        <f ca="1">IFERROR(__xludf.DUMMYFUNCTION("""COMPUTED_VALUE"""),"川島 幹也")</f>
        <v>川島 幹也</v>
      </c>
    </row>
    <row r="9959" spans="2:4" ht="13">
      <c r="B9959" s="12">
        <f ca="1">IFERROR(__xludf.DUMMYFUNCTION("""COMPUTED_VALUE"""),3600051)</f>
        <v>3600051</v>
      </c>
      <c r="C9959" s="14">
        <f ca="1">IFERROR(__xludf.DUMMYFUNCTION("""COMPUTED_VALUE"""),52)</f>
        <v>52</v>
      </c>
      <c r="D9959" s="12" t="str">
        <f ca="1">IFERROR(__xludf.DUMMYFUNCTION("""COMPUTED_VALUE"""),"川島 幹也")</f>
        <v>川島 幹也</v>
      </c>
    </row>
    <row r="9960" spans="2:4" ht="13">
      <c r="B9960" s="12">
        <f ca="1">IFERROR(__xludf.DUMMYFUNCTION("""COMPUTED_VALUE"""),3600053)</f>
        <v>3600053</v>
      </c>
      <c r="C9960" s="14">
        <f ca="1">IFERROR(__xludf.DUMMYFUNCTION("""COMPUTED_VALUE"""),28)</f>
        <v>28</v>
      </c>
      <c r="D9960" s="12" t="str">
        <f ca="1">IFERROR(__xludf.DUMMYFUNCTION("""COMPUTED_VALUE"""),"川島 幹也")</f>
        <v>川島 幹也</v>
      </c>
    </row>
    <row r="9961" spans="2:4" ht="13">
      <c r="B9961" s="12">
        <f ca="1">IFERROR(__xludf.DUMMYFUNCTION("""COMPUTED_VALUE"""),3600054)</f>
        <v>3600054</v>
      </c>
      <c r="C9961" s="14">
        <f ca="1">IFERROR(__xludf.DUMMYFUNCTION("""COMPUTED_VALUE"""),36)</f>
        <v>36</v>
      </c>
      <c r="D9961" s="12" t="str">
        <f ca="1">IFERROR(__xludf.DUMMYFUNCTION("""COMPUTED_VALUE"""),"川島 幹也")</f>
        <v>川島 幹也</v>
      </c>
    </row>
    <row r="9962" spans="2:4" ht="13">
      <c r="B9962" s="12">
        <f ca="1">IFERROR(__xludf.DUMMYFUNCTION("""COMPUTED_VALUE"""),3600055)</f>
        <v>3600055</v>
      </c>
      <c r="C9962" s="14">
        <f ca="1">IFERROR(__xludf.DUMMYFUNCTION("""COMPUTED_VALUE"""),23)</f>
        <v>23</v>
      </c>
      <c r="D9962" s="12" t="str">
        <f ca="1">IFERROR(__xludf.DUMMYFUNCTION("""COMPUTED_VALUE"""),"川島 幹也")</f>
        <v>川島 幹也</v>
      </c>
    </row>
    <row r="9963" spans="2:4" ht="13">
      <c r="B9963" s="12">
        <f ca="1">IFERROR(__xludf.DUMMYFUNCTION("""COMPUTED_VALUE"""),3600056)</f>
        <v>3600056</v>
      </c>
      <c r="C9963" s="14">
        <f ca="1">IFERROR(__xludf.DUMMYFUNCTION("""COMPUTED_VALUE"""),21)</f>
        <v>21</v>
      </c>
      <c r="D9963" s="12" t="str">
        <f ca="1">IFERROR(__xludf.DUMMYFUNCTION("""COMPUTED_VALUE"""),"川島 幹也")</f>
        <v>川島 幹也</v>
      </c>
    </row>
    <row r="9964" spans="2:4" ht="13">
      <c r="B9964" s="12">
        <f ca="1">IFERROR(__xludf.DUMMYFUNCTION("""COMPUTED_VALUE"""),3600057)</f>
        <v>3600057</v>
      </c>
      <c r="C9964" s="14">
        <f ca="1">IFERROR(__xludf.DUMMYFUNCTION("""COMPUTED_VALUE"""),28)</f>
        <v>28</v>
      </c>
      <c r="D9964" s="12" t="str">
        <f ca="1">IFERROR(__xludf.DUMMYFUNCTION("""COMPUTED_VALUE"""),"川島 幹也")</f>
        <v>川島 幹也</v>
      </c>
    </row>
    <row r="9965" spans="2:4" ht="13">
      <c r="B9965" s="12">
        <f ca="1">IFERROR(__xludf.DUMMYFUNCTION("""COMPUTED_VALUE"""),3600058)</f>
        <v>3600058</v>
      </c>
      <c r="C9965" s="14">
        <f ca="1">IFERROR(__xludf.DUMMYFUNCTION("""COMPUTED_VALUE"""),37)</f>
        <v>37</v>
      </c>
      <c r="D9965" s="12" t="str">
        <f ca="1">IFERROR(__xludf.DUMMYFUNCTION("""COMPUTED_VALUE"""),"川島 幹也")</f>
        <v>川島 幹也</v>
      </c>
    </row>
    <row r="9966" spans="2:4" ht="13">
      <c r="B9966" s="12">
        <f ca="1">IFERROR(__xludf.DUMMYFUNCTION("""COMPUTED_VALUE"""),3600059)</f>
        <v>3600059</v>
      </c>
      <c r="C9966" s="14">
        <f ca="1">IFERROR(__xludf.DUMMYFUNCTION("""COMPUTED_VALUE"""),55)</f>
        <v>55</v>
      </c>
      <c r="D9966" s="12" t="str">
        <f ca="1">IFERROR(__xludf.DUMMYFUNCTION("""COMPUTED_VALUE"""),"川島 幹也")</f>
        <v>川島 幹也</v>
      </c>
    </row>
    <row r="9967" spans="2:4" ht="13">
      <c r="B9967" s="12">
        <f ca="1">IFERROR(__xludf.DUMMYFUNCTION("""COMPUTED_VALUE"""),3600060)</f>
        <v>3600060</v>
      </c>
      <c r="C9967" s="14">
        <f ca="1">IFERROR(__xludf.DUMMYFUNCTION("""COMPUTED_VALUE"""),18)</f>
        <v>18</v>
      </c>
      <c r="D9967" s="12" t="str">
        <f ca="1">IFERROR(__xludf.DUMMYFUNCTION("""COMPUTED_VALUE"""),"川島 幹也")</f>
        <v>川島 幹也</v>
      </c>
    </row>
    <row r="9968" spans="2:4" ht="13">
      <c r="B9968" s="12">
        <f ca="1">IFERROR(__xludf.DUMMYFUNCTION("""COMPUTED_VALUE"""),3600061)</f>
        <v>3600061</v>
      </c>
      <c r="C9968" s="14">
        <f ca="1">IFERROR(__xludf.DUMMYFUNCTION("""COMPUTED_VALUE"""),19)</f>
        <v>19</v>
      </c>
      <c r="D9968" s="12" t="str">
        <f ca="1">IFERROR(__xludf.DUMMYFUNCTION("""COMPUTED_VALUE"""),"川島 幹也")</f>
        <v>川島 幹也</v>
      </c>
    </row>
    <row r="9969" spans="2:4" ht="13">
      <c r="B9969" s="12">
        <f ca="1">IFERROR(__xludf.DUMMYFUNCTION("""COMPUTED_VALUE"""),3600062)</f>
        <v>3600062</v>
      </c>
      <c r="C9969" s="14">
        <f ca="1">IFERROR(__xludf.DUMMYFUNCTION("""COMPUTED_VALUE"""),19)</f>
        <v>19</v>
      </c>
      <c r="D9969" s="12" t="str">
        <f ca="1">IFERROR(__xludf.DUMMYFUNCTION("""COMPUTED_VALUE"""),"川島 幹也")</f>
        <v>川島 幹也</v>
      </c>
    </row>
    <row r="9970" spans="2:4" ht="13">
      <c r="B9970" s="12">
        <f ca="1">IFERROR(__xludf.DUMMYFUNCTION("""COMPUTED_VALUE"""),3600063)</f>
        <v>3600063</v>
      </c>
      <c r="C9970" s="14">
        <f ca="1">IFERROR(__xludf.DUMMYFUNCTION("""COMPUTED_VALUE"""),21)</f>
        <v>21</v>
      </c>
      <c r="D9970" s="12" t="str">
        <f ca="1">IFERROR(__xludf.DUMMYFUNCTION("""COMPUTED_VALUE"""),"川島 幹也")</f>
        <v>川島 幹也</v>
      </c>
    </row>
    <row r="9971" spans="2:4" ht="13">
      <c r="B9971" s="12">
        <f ca="1">IFERROR(__xludf.DUMMYFUNCTION("""COMPUTED_VALUE"""),3600064)</f>
        <v>3600064</v>
      </c>
      <c r="C9971" s="14">
        <f ca="1">IFERROR(__xludf.DUMMYFUNCTION("""COMPUTED_VALUE"""),21)</f>
        <v>21</v>
      </c>
      <c r="D9971" s="12" t="str">
        <f ca="1">IFERROR(__xludf.DUMMYFUNCTION("""COMPUTED_VALUE"""),"川島 幹也")</f>
        <v>川島 幹也</v>
      </c>
    </row>
    <row r="9972" spans="2:4" ht="13">
      <c r="B9972" s="12">
        <f ca="1">IFERROR(__xludf.DUMMYFUNCTION("""COMPUTED_VALUE"""),3600065)</f>
        <v>3600065</v>
      </c>
      <c r="C9972" s="14">
        <f ca="1">IFERROR(__xludf.DUMMYFUNCTION("""COMPUTED_VALUE"""),38)</f>
        <v>38</v>
      </c>
      <c r="D9972" s="12" t="str">
        <f ca="1">IFERROR(__xludf.DUMMYFUNCTION("""COMPUTED_VALUE"""),"川島 幹也")</f>
        <v>川島 幹也</v>
      </c>
    </row>
    <row r="9973" spans="2:4" ht="13">
      <c r="B9973" s="12">
        <f ca="1">IFERROR(__xludf.DUMMYFUNCTION("""COMPUTED_VALUE"""),3600066)</f>
        <v>3600066</v>
      </c>
      <c r="C9973" s="14">
        <f ca="1">IFERROR(__xludf.DUMMYFUNCTION("""COMPUTED_VALUE"""),49)</f>
        <v>49</v>
      </c>
      <c r="D9973" s="12" t="str">
        <f ca="1">IFERROR(__xludf.DUMMYFUNCTION("""COMPUTED_VALUE"""),"川島 幹也")</f>
        <v>川島 幹也</v>
      </c>
    </row>
    <row r="9974" spans="2:4" ht="13">
      <c r="B9974" s="12">
        <f ca="1">IFERROR(__xludf.DUMMYFUNCTION("""COMPUTED_VALUE"""),3600067)</f>
        <v>3600067</v>
      </c>
      <c r="C9974" s="14">
        <f ca="1">IFERROR(__xludf.DUMMYFUNCTION("""COMPUTED_VALUE"""),42)</f>
        <v>42</v>
      </c>
      <c r="D9974" s="12" t="str">
        <f ca="1">IFERROR(__xludf.DUMMYFUNCTION("""COMPUTED_VALUE"""),"川島 幹也")</f>
        <v>川島 幹也</v>
      </c>
    </row>
    <row r="9975" spans="2:4" ht="13">
      <c r="B9975" s="12">
        <f ca="1">IFERROR(__xludf.DUMMYFUNCTION("""COMPUTED_VALUE"""),3600069)</f>
        <v>3600069</v>
      </c>
      <c r="C9975" s="14">
        <f ca="1">IFERROR(__xludf.DUMMYFUNCTION("""COMPUTED_VALUE"""),26)</f>
        <v>26</v>
      </c>
      <c r="D9975" s="12" t="str">
        <f ca="1">IFERROR(__xludf.DUMMYFUNCTION("""COMPUTED_VALUE"""),"川島 幹也")</f>
        <v>川島 幹也</v>
      </c>
    </row>
    <row r="9976" spans="2:4" ht="13">
      <c r="B9976" s="12">
        <f ca="1">IFERROR(__xludf.DUMMYFUNCTION("""COMPUTED_VALUE"""),3600070)</f>
        <v>3600070</v>
      </c>
      <c r="C9976" s="14">
        <f ca="1">IFERROR(__xludf.DUMMYFUNCTION("""COMPUTED_VALUE"""),20)</f>
        <v>20</v>
      </c>
      <c r="D9976" s="12" t="str">
        <f ca="1">IFERROR(__xludf.DUMMYFUNCTION("""COMPUTED_VALUE"""),"川島 幹也")</f>
        <v>川島 幹也</v>
      </c>
    </row>
    <row r="9977" spans="2:4" ht="13">
      <c r="B9977" s="12">
        <f ca="1">IFERROR(__xludf.DUMMYFUNCTION("""COMPUTED_VALUE"""),3600071)</f>
        <v>3600071</v>
      </c>
      <c r="C9977" s="14">
        <f ca="1">IFERROR(__xludf.DUMMYFUNCTION("""COMPUTED_VALUE"""),22)</f>
        <v>22</v>
      </c>
      <c r="D9977" s="12" t="str">
        <f ca="1">IFERROR(__xludf.DUMMYFUNCTION("""COMPUTED_VALUE"""),"川島 幹也")</f>
        <v>川島 幹也</v>
      </c>
    </row>
    <row r="9978" spans="2:4" ht="13">
      <c r="B9978" s="12">
        <f ca="1">IFERROR(__xludf.DUMMYFUNCTION("""COMPUTED_VALUE"""),3600072)</f>
        <v>3600072</v>
      </c>
      <c r="C9978" s="14">
        <f ca="1">IFERROR(__xludf.DUMMYFUNCTION("""COMPUTED_VALUE"""),13)</f>
        <v>13</v>
      </c>
      <c r="D9978" s="12" t="str">
        <f ca="1">IFERROR(__xludf.DUMMYFUNCTION("""COMPUTED_VALUE"""),"川島 幹也")</f>
        <v>川島 幹也</v>
      </c>
    </row>
    <row r="9979" spans="2:4" ht="13">
      <c r="B9979" s="12">
        <f ca="1">IFERROR(__xludf.DUMMYFUNCTION("""COMPUTED_VALUE"""),3600073)</f>
        <v>3600073</v>
      </c>
      <c r="C9979" s="14">
        <f ca="1">IFERROR(__xludf.DUMMYFUNCTION("""COMPUTED_VALUE"""),21)</f>
        <v>21</v>
      </c>
      <c r="D9979" s="12" t="str">
        <f ca="1">IFERROR(__xludf.DUMMYFUNCTION("""COMPUTED_VALUE"""),"川島 幹也")</f>
        <v>川島 幹也</v>
      </c>
    </row>
    <row r="9980" spans="2:4" ht="13">
      <c r="B9980" s="12">
        <f ca="1">IFERROR(__xludf.DUMMYFUNCTION("""COMPUTED_VALUE"""),3600074)</f>
        <v>3600074</v>
      </c>
      <c r="C9980" s="14">
        <f ca="1">IFERROR(__xludf.DUMMYFUNCTION("""COMPUTED_VALUE"""),26)</f>
        <v>26</v>
      </c>
      <c r="D9980" s="12" t="str">
        <f ca="1">IFERROR(__xludf.DUMMYFUNCTION("""COMPUTED_VALUE"""),"川島 幹也")</f>
        <v>川島 幹也</v>
      </c>
    </row>
    <row r="9981" spans="2:4" ht="13">
      <c r="B9981" s="12">
        <f ca="1">IFERROR(__xludf.DUMMYFUNCTION("""COMPUTED_VALUE"""),3600075)</f>
        <v>3600075</v>
      </c>
      <c r="C9981" s="14">
        <f ca="1">IFERROR(__xludf.DUMMYFUNCTION("""COMPUTED_VALUE"""),15)</f>
        <v>15</v>
      </c>
      <c r="D9981" s="12" t="str">
        <f ca="1">IFERROR(__xludf.DUMMYFUNCTION("""COMPUTED_VALUE"""),"川島 幹也")</f>
        <v>川島 幹也</v>
      </c>
    </row>
    <row r="9982" spans="2:4" ht="13">
      <c r="B9982" s="12">
        <f ca="1">IFERROR(__xludf.DUMMYFUNCTION("""COMPUTED_VALUE"""),3600076)</f>
        <v>3600076</v>
      </c>
      <c r="C9982" s="14">
        <f ca="1">IFERROR(__xludf.DUMMYFUNCTION("""COMPUTED_VALUE"""),22)</f>
        <v>22</v>
      </c>
      <c r="D9982" s="12" t="str">
        <f ca="1">IFERROR(__xludf.DUMMYFUNCTION("""COMPUTED_VALUE"""),"川島 幹也")</f>
        <v>川島 幹也</v>
      </c>
    </row>
    <row r="9983" spans="2:4" ht="13">
      <c r="B9983" s="12">
        <f ca="1">IFERROR(__xludf.DUMMYFUNCTION("""COMPUTED_VALUE"""),3600077)</f>
        <v>3600077</v>
      </c>
      <c r="C9983" s="14">
        <f ca="1">IFERROR(__xludf.DUMMYFUNCTION("""COMPUTED_VALUE"""),8)</f>
        <v>8</v>
      </c>
      <c r="D9983" s="12" t="str">
        <f ca="1">IFERROR(__xludf.DUMMYFUNCTION("""COMPUTED_VALUE"""),"川島 幹也")</f>
        <v>川島 幹也</v>
      </c>
    </row>
    <row r="9984" spans="2:4" ht="13">
      <c r="B9984" s="12">
        <f ca="1">IFERROR(__xludf.DUMMYFUNCTION("""COMPUTED_VALUE"""),3600078)</f>
        <v>3600078</v>
      </c>
      <c r="C9984" s="14">
        <f ca="1">IFERROR(__xludf.DUMMYFUNCTION("""COMPUTED_VALUE"""),8)</f>
        <v>8</v>
      </c>
      <c r="D9984" s="12" t="str">
        <f ca="1">IFERROR(__xludf.DUMMYFUNCTION("""COMPUTED_VALUE"""),"川島 幹也")</f>
        <v>川島 幹也</v>
      </c>
    </row>
    <row r="9985" spans="2:4" ht="13">
      <c r="B9985" s="12">
        <f ca="1">IFERROR(__xludf.DUMMYFUNCTION("""COMPUTED_VALUE"""),3600079)</f>
        <v>3600079</v>
      </c>
      <c r="C9985" s="14">
        <f ca="1">IFERROR(__xludf.DUMMYFUNCTION("""COMPUTED_VALUE"""),46)</f>
        <v>46</v>
      </c>
      <c r="D9985" s="12" t="str">
        <f ca="1">IFERROR(__xludf.DUMMYFUNCTION("""COMPUTED_VALUE"""),"川島 幹也")</f>
        <v>川島 幹也</v>
      </c>
    </row>
    <row r="9986" spans="2:4" ht="13">
      <c r="B9986" s="12">
        <f ca="1">IFERROR(__xludf.DUMMYFUNCTION("""COMPUTED_VALUE"""),3700000)</f>
        <v>3700000</v>
      </c>
      <c r="C9986" s="14">
        <f ca="1">IFERROR(__xludf.DUMMYFUNCTION("""COMPUTED_VALUE"""),0)</f>
        <v>0</v>
      </c>
      <c r="D9986" s="12" t="str">
        <f ca="1">IFERROR(__xludf.DUMMYFUNCTION("""COMPUTED_VALUE"""),"渋谷 雄大")</f>
        <v>渋谷 雄大</v>
      </c>
    </row>
    <row r="9987" spans="2:4" ht="13">
      <c r="B9987" s="12">
        <f ca="1">IFERROR(__xludf.DUMMYFUNCTION("""COMPUTED_VALUE"""),3700003)</f>
        <v>3700003</v>
      </c>
      <c r="C9987" s="14">
        <f ca="1">IFERROR(__xludf.DUMMYFUNCTION("""COMPUTED_VALUE"""),12)</f>
        <v>12</v>
      </c>
      <c r="D9987" s="12" t="str">
        <f ca="1">IFERROR(__xludf.DUMMYFUNCTION("""COMPUTED_VALUE"""),"渋谷 雄大")</f>
        <v>渋谷 雄大</v>
      </c>
    </row>
    <row r="9988" spans="2:4" ht="13">
      <c r="B9988" s="12">
        <f ca="1">IFERROR(__xludf.DUMMYFUNCTION("""COMPUTED_VALUE"""),3700004)</f>
        <v>3700004</v>
      </c>
      <c r="C9988" s="14">
        <f ca="1">IFERROR(__xludf.DUMMYFUNCTION("""COMPUTED_VALUE"""),25)</f>
        <v>25</v>
      </c>
      <c r="D9988" s="12" t="str">
        <f ca="1">IFERROR(__xludf.DUMMYFUNCTION("""COMPUTED_VALUE"""),"渋谷 雄大")</f>
        <v>渋谷 雄大</v>
      </c>
    </row>
    <row r="9989" spans="2:4" ht="13">
      <c r="B9989" s="12">
        <f ca="1">IFERROR(__xludf.DUMMYFUNCTION("""COMPUTED_VALUE"""),3700006)</f>
        <v>3700006</v>
      </c>
      <c r="C9989" s="14">
        <f ca="1">IFERROR(__xludf.DUMMYFUNCTION("""COMPUTED_VALUE"""),94)</f>
        <v>94</v>
      </c>
      <c r="D9989" s="12" t="str">
        <f ca="1">IFERROR(__xludf.DUMMYFUNCTION("""COMPUTED_VALUE"""),"渋谷 雄大")</f>
        <v>渋谷 雄大</v>
      </c>
    </row>
    <row r="9990" spans="2:4" ht="13">
      <c r="B9990" s="12">
        <f ca="1">IFERROR(__xludf.DUMMYFUNCTION("""COMPUTED_VALUE"""),3700007)</f>
        <v>3700007</v>
      </c>
      <c r="C9990" s="14">
        <f ca="1">IFERROR(__xludf.DUMMYFUNCTION("""COMPUTED_VALUE"""),1)</f>
        <v>1</v>
      </c>
      <c r="D9990" s="12" t="str">
        <f ca="1">IFERROR(__xludf.DUMMYFUNCTION("""COMPUTED_VALUE"""),"渋谷 雄大")</f>
        <v>渋谷 雄大</v>
      </c>
    </row>
    <row r="9991" spans="2:4" ht="13">
      <c r="B9991" s="12">
        <f ca="1">IFERROR(__xludf.DUMMYFUNCTION("""COMPUTED_VALUE"""),3700008)</f>
        <v>3700008</v>
      </c>
      <c r="C9991" s="14">
        <f ca="1">IFERROR(__xludf.DUMMYFUNCTION("""COMPUTED_VALUE"""),70)</f>
        <v>70</v>
      </c>
      <c r="D9991" s="12" t="str">
        <f ca="1">IFERROR(__xludf.DUMMYFUNCTION("""COMPUTED_VALUE"""),"渋谷 雄大")</f>
        <v>渋谷 雄大</v>
      </c>
    </row>
    <row r="9992" spans="2:4" ht="13">
      <c r="B9992" s="12">
        <f ca="1">IFERROR(__xludf.DUMMYFUNCTION("""COMPUTED_VALUE"""),3700009)</f>
        <v>3700009</v>
      </c>
      <c r="C9992" s="14">
        <f ca="1">IFERROR(__xludf.DUMMYFUNCTION("""COMPUTED_VALUE"""),34)</f>
        <v>34</v>
      </c>
      <c r="D9992" s="12" t="str">
        <f ca="1">IFERROR(__xludf.DUMMYFUNCTION("""COMPUTED_VALUE"""),"渋谷 雄大")</f>
        <v>渋谷 雄大</v>
      </c>
    </row>
    <row r="9993" spans="2:4" ht="13">
      <c r="B9993" s="12">
        <f ca="1">IFERROR(__xludf.DUMMYFUNCTION("""COMPUTED_VALUE"""),3700010)</f>
        <v>3700010</v>
      </c>
      <c r="C9993" s="14">
        <f ca="1">IFERROR(__xludf.DUMMYFUNCTION("""COMPUTED_VALUE"""),160)</f>
        <v>160</v>
      </c>
      <c r="D9993" s="12" t="str">
        <f ca="1">IFERROR(__xludf.DUMMYFUNCTION("""COMPUTED_VALUE"""),"渋谷 雄大")</f>
        <v>渋谷 雄大</v>
      </c>
    </row>
    <row r="9994" spans="2:4" ht="13">
      <c r="B9994" s="12">
        <f ca="1">IFERROR(__xludf.DUMMYFUNCTION("""COMPUTED_VALUE"""),3700011)</f>
        <v>3700011</v>
      </c>
      <c r="C9994" s="14">
        <f ca="1">IFERROR(__xludf.DUMMYFUNCTION("""COMPUTED_VALUE"""),83)</f>
        <v>83</v>
      </c>
      <c r="D9994" s="12" t="str">
        <f ca="1">IFERROR(__xludf.DUMMYFUNCTION("""COMPUTED_VALUE"""),"渋谷 雄大")</f>
        <v>渋谷 雄大</v>
      </c>
    </row>
    <row r="9995" spans="2:4" ht="13">
      <c r="B9995" s="12">
        <f ca="1">IFERROR(__xludf.DUMMYFUNCTION("""COMPUTED_VALUE"""),3700012)</f>
        <v>3700012</v>
      </c>
      <c r="C9995" s="14">
        <f ca="1">IFERROR(__xludf.DUMMYFUNCTION("""COMPUTED_VALUE"""),262)</f>
        <v>262</v>
      </c>
      <c r="D9995" s="12" t="str">
        <f ca="1">IFERROR(__xludf.DUMMYFUNCTION("""COMPUTED_VALUE"""),"渋谷 雄大")</f>
        <v>渋谷 雄大</v>
      </c>
    </row>
    <row r="9996" spans="2:4" ht="13">
      <c r="B9996" s="12">
        <f ca="1">IFERROR(__xludf.DUMMYFUNCTION("""COMPUTED_VALUE"""),3700013)</f>
        <v>3700013</v>
      </c>
      <c r="C9996" s="14">
        <f ca="1">IFERROR(__xludf.DUMMYFUNCTION("""COMPUTED_VALUE"""),99)</f>
        <v>99</v>
      </c>
      <c r="D9996" s="12" t="str">
        <f ca="1">IFERROR(__xludf.DUMMYFUNCTION("""COMPUTED_VALUE"""),"渋谷 雄大")</f>
        <v>渋谷 雄大</v>
      </c>
    </row>
    <row r="9997" spans="2:4" ht="13">
      <c r="B9997" s="12">
        <f ca="1">IFERROR(__xludf.DUMMYFUNCTION("""COMPUTED_VALUE"""),3700014)</f>
        <v>3700014</v>
      </c>
      <c r="C9997" s="14">
        <f ca="1">IFERROR(__xludf.DUMMYFUNCTION("""COMPUTED_VALUE"""),156)</f>
        <v>156</v>
      </c>
      <c r="D9997" s="12" t="str">
        <f ca="1">IFERROR(__xludf.DUMMYFUNCTION("""COMPUTED_VALUE"""),"渋谷 雄大")</f>
        <v>渋谷 雄大</v>
      </c>
    </row>
    <row r="9998" spans="2:4" ht="13">
      <c r="B9998" s="12">
        <f ca="1">IFERROR(__xludf.DUMMYFUNCTION("""COMPUTED_VALUE"""),3700015)</f>
        <v>3700015</v>
      </c>
      <c r="C9998" s="14">
        <f ca="1">IFERROR(__xludf.DUMMYFUNCTION("""COMPUTED_VALUE"""),82)</f>
        <v>82</v>
      </c>
      <c r="D9998" s="12" t="str">
        <f ca="1">IFERROR(__xludf.DUMMYFUNCTION("""COMPUTED_VALUE"""),"渋谷 雄大")</f>
        <v>渋谷 雄大</v>
      </c>
    </row>
    <row r="9999" spans="2:4" ht="13">
      <c r="B9999" s="12">
        <f ca="1">IFERROR(__xludf.DUMMYFUNCTION("""COMPUTED_VALUE"""),3700016)</f>
        <v>3700016</v>
      </c>
      <c r="C9999" s="14">
        <f ca="1">IFERROR(__xludf.DUMMYFUNCTION("""COMPUTED_VALUE"""),8)</f>
        <v>8</v>
      </c>
      <c r="D9999" s="12" t="str">
        <f ca="1">IFERROR(__xludf.DUMMYFUNCTION("""COMPUTED_VALUE"""),"渋谷 雄大")</f>
        <v>渋谷 雄大</v>
      </c>
    </row>
    <row r="10000" spans="2:4" ht="13">
      <c r="B10000" s="12">
        <f ca="1">IFERROR(__xludf.DUMMYFUNCTION("""COMPUTED_VALUE"""),3700017)</f>
        <v>3700017</v>
      </c>
      <c r="C10000" s="14">
        <f ca="1">IFERROR(__xludf.DUMMYFUNCTION("""COMPUTED_VALUE"""),81)</f>
        <v>81</v>
      </c>
      <c r="D10000" s="12" t="str">
        <f ca="1">IFERROR(__xludf.DUMMYFUNCTION("""COMPUTED_VALUE"""),"渋谷 雄大")</f>
        <v>渋谷 雄大</v>
      </c>
    </row>
    <row r="10001" spans="2:4" ht="13">
      <c r="B10001" s="12">
        <f ca="1">IFERROR(__xludf.DUMMYFUNCTION("""COMPUTED_VALUE"""),3700018)</f>
        <v>3700018</v>
      </c>
      <c r="C10001" s="14">
        <f ca="1">IFERROR(__xludf.DUMMYFUNCTION("""COMPUTED_VALUE"""),35)</f>
        <v>35</v>
      </c>
      <c r="D10001" s="12" t="str">
        <f ca="1">IFERROR(__xludf.DUMMYFUNCTION("""COMPUTED_VALUE"""),"渋谷 雄大")</f>
        <v>渋谷 雄大</v>
      </c>
    </row>
    <row r="10002" spans="2:4" ht="13">
      <c r="B10002" s="12">
        <f ca="1">IFERROR(__xludf.DUMMYFUNCTION("""COMPUTED_VALUE"""),3700019)</f>
        <v>3700019</v>
      </c>
      <c r="C10002" s="14">
        <f ca="1">IFERROR(__xludf.DUMMYFUNCTION("""COMPUTED_VALUE"""),71)</f>
        <v>71</v>
      </c>
      <c r="D10002" s="12" t="str">
        <f ca="1">IFERROR(__xludf.DUMMYFUNCTION("""COMPUTED_VALUE"""),"渋谷 雄大")</f>
        <v>渋谷 雄大</v>
      </c>
    </row>
    <row r="10003" spans="2:4" ht="13">
      <c r="B10003" s="12">
        <f ca="1">IFERROR(__xludf.DUMMYFUNCTION("""COMPUTED_VALUE"""),3700020)</f>
        <v>3700020</v>
      </c>
      <c r="C10003" s="14">
        <f ca="1">IFERROR(__xludf.DUMMYFUNCTION("""COMPUTED_VALUE"""),131)</f>
        <v>131</v>
      </c>
      <c r="D10003" s="12" t="str">
        <f ca="1">IFERROR(__xludf.DUMMYFUNCTION("""COMPUTED_VALUE"""),"渋谷 雄大")</f>
        <v>渋谷 雄大</v>
      </c>
    </row>
    <row r="10004" spans="2:4" ht="13">
      <c r="B10004" s="12">
        <f ca="1">IFERROR(__xludf.DUMMYFUNCTION("""COMPUTED_VALUE"""),3700021)</f>
        <v>3700021</v>
      </c>
      <c r="C10004" s="14">
        <f ca="1">IFERROR(__xludf.DUMMYFUNCTION("""COMPUTED_VALUE"""),81)</f>
        <v>81</v>
      </c>
      <c r="D10004" s="12" t="str">
        <f ca="1">IFERROR(__xludf.DUMMYFUNCTION("""COMPUTED_VALUE"""),"渋谷 雄大")</f>
        <v>渋谷 雄大</v>
      </c>
    </row>
    <row r="10005" spans="2:4" ht="13">
      <c r="B10005" s="12">
        <f ca="1">IFERROR(__xludf.DUMMYFUNCTION("""COMPUTED_VALUE"""),3700022)</f>
        <v>3700022</v>
      </c>
      <c r="C10005" s="14">
        <f ca="1">IFERROR(__xludf.DUMMYFUNCTION("""COMPUTED_VALUE"""),42)</f>
        <v>42</v>
      </c>
      <c r="D10005" s="12" t="str">
        <f ca="1">IFERROR(__xludf.DUMMYFUNCTION("""COMPUTED_VALUE"""),"渋谷 雄大")</f>
        <v>渋谷 雄大</v>
      </c>
    </row>
    <row r="10006" spans="2:4" ht="13">
      <c r="B10006" s="12">
        <f ca="1">IFERROR(__xludf.DUMMYFUNCTION("""COMPUTED_VALUE"""),3700023)</f>
        <v>3700023</v>
      </c>
      <c r="C10006" s="14">
        <f ca="1">IFERROR(__xludf.DUMMYFUNCTION("""COMPUTED_VALUE"""),0)</f>
        <v>0</v>
      </c>
      <c r="D10006" s="12" t="str">
        <f ca="1">IFERROR(__xludf.DUMMYFUNCTION("""COMPUTED_VALUE"""),"渋谷 雄大")</f>
        <v>渋谷 雄大</v>
      </c>
    </row>
    <row r="10007" spans="2:4" ht="13">
      <c r="B10007" s="12">
        <f ca="1">IFERROR(__xludf.DUMMYFUNCTION("""COMPUTED_VALUE"""),3700024)</f>
        <v>3700024</v>
      </c>
      <c r="C10007" s="14">
        <f ca="1">IFERROR(__xludf.DUMMYFUNCTION("""COMPUTED_VALUE"""),24)</f>
        <v>24</v>
      </c>
      <c r="D10007" s="12" t="str">
        <f ca="1">IFERROR(__xludf.DUMMYFUNCTION("""COMPUTED_VALUE"""),"渋谷 雄大")</f>
        <v>渋谷 雄大</v>
      </c>
    </row>
    <row r="10008" spans="2:4" ht="13">
      <c r="B10008" s="12">
        <f ca="1">IFERROR(__xludf.DUMMYFUNCTION("""COMPUTED_VALUE"""),3700025)</f>
        <v>3700025</v>
      </c>
      <c r="C10008" s="14">
        <f ca="1">IFERROR(__xludf.DUMMYFUNCTION("""COMPUTED_VALUE"""),18)</f>
        <v>18</v>
      </c>
      <c r="D10008" s="12" t="str">
        <f ca="1">IFERROR(__xludf.DUMMYFUNCTION("""COMPUTED_VALUE"""),"渋谷 雄大")</f>
        <v>渋谷 雄大</v>
      </c>
    </row>
    <row r="10009" spans="2:4" ht="13">
      <c r="B10009" s="12">
        <f ca="1">IFERROR(__xludf.DUMMYFUNCTION("""COMPUTED_VALUE"""),3700026)</f>
        <v>3700026</v>
      </c>
      <c r="C10009" s="14">
        <f ca="1">IFERROR(__xludf.DUMMYFUNCTION("""COMPUTED_VALUE"""),73)</f>
        <v>73</v>
      </c>
      <c r="D10009" s="12" t="str">
        <f ca="1">IFERROR(__xludf.DUMMYFUNCTION("""COMPUTED_VALUE"""),"渋谷 雄大")</f>
        <v>渋谷 雄大</v>
      </c>
    </row>
    <row r="10010" spans="2:4" ht="13">
      <c r="B10010" s="12">
        <f ca="1">IFERROR(__xludf.DUMMYFUNCTION("""COMPUTED_VALUE"""),3700027)</f>
        <v>3700027</v>
      </c>
      <c r="C10010" s="14">
        <f ca="1">IFERROR(__xludf.DUMMYFUNCTION("""COMPUTED_VALUE"""),12)</f>
        <v>12</v>
      </c>
      <c r="D10010" s="12" t="str">
        <f ca="1">IFERROR(__xludf.DUMMYFUNCTION("""COMPUTED_VALUE"""),"渋谷 雄大")</f>
        <v>渋谷 雄大</v>
      </c>
    </row>
    <row r="10011" spans="2:4" ht="13">
      <c r="B10011" s="12">
        <f ca="1">IFERROR(__xludf.DUMMYFUNCTION("""COMPUTED_VALUE"""),3700028)</f>
        <v>3700028</v>
      </c>
      <c r="C10011" s="14">
        <f ca="1">IFERROR(__xludf.DUMMYFUNCTION("""COMPUTED_VALUE"""),13)</f>
        <v>13</v>
      </c>
      <c r="D10011" s="12" t="str">
        <f ca="1">IFERROR(__xludf.DUMMYFUNCTION("""COMPUTED_VALUE"""),"渋谷 雄大")</f>
        <v>渋谷 雄大</v>
      </c>
    </row>
    <row r="10012" spans="2:4" ht="13">
      <c r="B10012" s="12">
        <f ca="1">IFERROR(__xludf.DUMMYFUNCTION("""COMPUTED_VALUE"""),3700029)</f>
        <v>3700029</v>
      </c>
      <c r="C10012" s="14">
        <f ca="1">IFERROR(__xludf.DUMMYFUNCTION("""COMPUTED_VALUE"""),8)</f>
        <v>8</v>
      </c>
      <c r="D10012" s="12" t="str">
        <f ca="1">IFERROR(__xludf.DUMMYFUNCTION("""COMPUTED_VALUE"""),"渋谷 雄大")</f>
        <v>渋谷 雄大</v>
      </c>
    </row>
    <row r="10013" spans="2:4" ht="13">
      <c r="B10013" s="12">
        <f ca="1">IFERROR(__xludf.DUMMYFUNCTION("""COMPUTED_VALUE"""),3700030)</f>
        <v>3700030</v>
      </c>
      <c r="C10013" s="14">
        <f ca="1">IFERROR(__xludf.DUMMYFUNCTION("""COMPUTED_VALUE"""),8)</f>
        <v>8</v>
      </c>
      <c r="D10013" s="12" t="str">
        <f ca="1">IFERROR(__xludf.DUMMYFUNCTION("""COMPUTED_VALUE"""),"渋谷 雄大")</f>
        <v>渋谷 雄大</v>
      </c>
    </row>
    <row r="10014" spans="2:4" ht="13">
      <c r="B10014" s="12">
        <f ca="1">IFERROR(__xludf.DUMMYFUNCTION("""COMPUTED_VALUE"""),3700031)</f>
        <v>3700031</v>
      </c>
      <c r="C10014" s="14">
        <f ca="1">IFERROR(__xludf.DUMMYFUNCTION("""COMPUTED_VALUE"""),53)</f>
        <v>53</v>
      </c>
      <c r="D10014" s="12" t="str">
        <f ca="1">IFERROR(__xludf.DUMMYFUNCTION("""COMPUTED_VALUE"""),"渋谷 雄大")</f>
        <v>渋谷 雄大</v>
      </c>
    </row>
    <row r="10015" spans="2:4" ht="13">
      <c r="B10015" s="12">
        <f ca="1">IFERROR(__xludf.DUMMYFUNCTION("""COMPUTED_VALUE"""),3700032)</f>
        <v>3700032</v>
      </c>
      <c r="C10015" s="14">
        <f ca="1">IFERROR(__xludf.DUMMYFUNCTION("""COMPUTED_VALUE"""),24)</f>
        <v>24</v>
      </c>
      <c r="D10015" s="12" t="str">
        <f ca="1">IFERROR(__xludf.DUMMYFUNCTION("""COMPUTED_VALUE"""),"渋谷 雄大")</f>
        <v>渋谷 雄大</v>
      </c>
    </row>
    <row r="10016" spans="2:4" ht="13">
      <c r="B10016" s="12">
        <f ca="1">IFERROR(__xludf.DUMMYFUNCTION("""COMPUTED_VALUE"""),3700033)</f>
        <v>3700033</v>
      </c>
      <c r="C10016" s="14">
        <f ca="1">IFERROR(__xludf.DUMMYFUNCTION("""COMPUTED_VALUE"""),25)</f>
        <v>25</v>
      </c>
      <c r="D10016" s="12" t="str">
        <f ca="1">IFERROR(__xludf.DUMMYFUNCTION("""COMPUTED_VALUE"""),"渋谷 雄大")</f>
        <v>渋谷 雄大</v>
      </c>
    </row>
    <row r="10017" spans="2:4" ht="13">
      <c r="B10017" s="12">
        <f ca="1">IFERROR(__xludf.DUMMYFUNCTION("""COMPUTED_VALUE"""),3700035)</f>
        <v>3700035</v>
      </c>
      <c r="C10017" s="14">
        <f ca="1">IFERROR(__xludf.DUMMYFUNCTION("""COMPUTED_VALUE"""),31)</f>
        <v>31</v>
      </c>
      <c r="D10017" s="12" t="str">
        <f ca="1">IFERROR(__xludf.DUMMYFUNCTION("""COMPUTED_VALUE"""),"渋谷 雄大")</f>
        <v>渋谷 雄大</v>
      </c>
    </row>
    <row r="10018" spans="2:4" ht="13">
      <c r="B10018" s="12">
        <f ca="1">IFERROR(__xludf.DUMMYFUNCTION("""COMPUTED_VALUE"""),3700037)</f>
        <v>3700037</v>
      </c>
      <c r="C10018" s="14">
        <f ca="1">IFERROR(__xludf.DUMMYFUNCTION("""COMPUTED_VALUE"""),45)</f>
        <v>45</v>
      </c>
      <c r="D10018" s="12" t="str">
        <f ca="1">IFERROR(__xludf.DUMMYFUNCTION("""COMPUTED_VALUE"""),"渋谷 雄大")</f>
        <v>渋谷 雄大</v>
      </c>
    </row>
    <row r="10019" spans="2:4" ht="13">
      <c r="B10019" s="12">
        <f ca="1">IFERROR(__xludf.DUMMYFUNCTION("""COMPUTED_VALUE"""),3700038)</f>
        <v>3700038</v>
      </c>
      <c r="C10019" s="14">
        <f ca="1">IFERROR(__xludf.DUMMYFUNCTION("""COMPUTED_VALUE"""),28)</f>
        <v>28</v>
      </c>
      <c r="D10019" s="12" t="str">
        <f ca="1">IFERROR(__xludf.DUMMYFUNCTION("""COMPUTED_VALUE"""),"渋谷 雄大")</f>
        <v>渋谷 雄大</v>
      </c>
    </row>
    <row r="10020" spans="2:4" ht="13">
      <c r="B10020" s="12">
        <f ca="1">IFERROR(__xludf.DUMMYFUNCTION("""COMPUTED_VALUE"""),3700041)</f>
        <v>3700041</v>
      </c>
      <c r="C10020" s="14">
        <f ca="1">IFERROR(__xludf.DUMMYFUNCTION("""COMPUTED_VALUE"""),1)</f>
        <v>1</v>
      </c>
      <c r="D10020" s="12" t="str">
        <f ca="1">IFERROR(__xludf.DUMMYFUNCTION("""COMPUTED_VALUE"""),"渋谷 雄大")</f>
        <v>渋谷 雄大</v>
      </c>
    </row>
    <row r="10021" spans="2:4" ht="13">
      <c r="B10021" s="12">
        <f ca="1">IFERROR(__xludf.DUMMYFUNCTION("""COMPUTED_VALUE"""),3700042)</f>
        <v>3700042</v>
      </c>
      <c r="C10021" s="14">
        <f ca="1">IFERROR(__xludf.DUMMYFUNCTION("""COMPUTED_VALUE"""),104)</f>
        <v>104</v>
      </c>
      <c r="D10021" s="12" t="str">
        <f ca="1">IFERROR(__xludf.DUMMYFUNCTION("""COMPUTED_VALUE"""),"渋谷 雄大")</f>
        <v>渋谷 雄大</v>
      </c>
    </row>
    <row r="10022" spans="2:4" ht="13">
      <c r="B10022" s="12">
        <f ca="1">IFERROR(__xludf.DUMMYFUNCTION("""COMPUTED_VALUE"""),3700044)</f>
        <v>3700044</v>
      </c>
      <c r="C10022" s="14">
        <f ca="1">IFERROR(__xludf.DUMMYFUNCTION("""COMPUTED_VALUE"""),191)</f>
        <v>191</v>
      </c>
      <c r="D10022" s="12" t="str">
        <f ca="1">IFERROR(__xludf.DUMMYFUNCTION("""COMPUTED_VALUE"""),"渋谷 雄大")</f>
        <v>渋谷 雄大</v>
      </c>
    </row>
    <row r="10023" spans="2:4" ht="13">
      <c r="B10023" s="12">
        <f ca="1">IFERROR(__xludf.DUMMYFUNCTION("""COMPUTED_VALUE"""),3700045)</f>
        <v>3700045</v>
      </c>
      <c r="C10023" s="14">
        <f ca="1">IFERROR(__xludf.DUMMYFUNCTION("""COMPUTED_VALUE"""),53)</f>
        <v>53</v>
      </c>
      <c r="D10023" s="12" t="str">
        <f ca="1">IFERROR(__xludf.DUMMYFUNCTION("""COMPUTED_VALUE"""),"渋谷 雄大")</f>
        <v>渋谷 雄大</v>
      </c>
    </row>
    <row r="10024" spans="2:4" ht="13">
      <c r="B10024" s="12">
        <f ca="1">IFERROR(__xludf.DUMMYFUNCTION("""COMPUTED_VALUE"""),3700047)</f>
        <v>3700047</v>
      </c>
      <c r="C10024" s="14">
        <f ca="1">IFERROR(__xludf.DUMMYFUNCTION("""COMPUTED_VALUE"""),0)</f>
        <v>0</v>
      </c>
      <c r="D10024" s="12" t="str">
        <f ca="1">IFERROR(__xludf.DUMMYFUNCTION("""COMPUTED_VALUE"""),"渋谷 雄大")</f>
        <v>渋谷 雄大</v>
      </c>
    </row>
    <row r="10025" spans="2:4" ht="13">
      <c r="B10025" s="12">
        <f ca="1">IFERROR(__xludf.DUMMYFUNCTION("""COMPUTED_VALUE"""),3700049)</f>
        <v>3700049</v>
      </c>
      <c r="C10025" s="14">
        <f ca="1">IFERROR(__xludf.DUMMYFUNCTION("""COMPUTED_VALUE"""),31)</f>
        <v>31</v>
      </c>
      <c r="D10025" s="12" t="str">
        <f ca="1">IFERROR(__xludf.DUMMYFUNCTION("""COMPUTED_VALUE"""),"渋谷 雄大")</f>
        <v>渋谷 雄大</v>
      </c>
    </row>
    <row r="10026" spans="2:4" ht="13">
      <c r="B10026" s="12">
        <f ca="1">IFERROR(__xludf.DUMMYFUNCTION("""COMPUTED_VALUE"""),3700050)</f>
        <v>3700050</v>
      </c>
      <c r="C10026" s="14">
        <f ca="1">IFERROR(__xludf.DUMMYFUNCTION("""COMPUTED_VALUE"""),49)</f>
        <v>49</v>
      </c>
      <c r="D10026" s="12" t="str">
        <f ca="1">IFERROR(__xludf.DUMMYFUNCTION("""COMPUTED_VALUE"""),"渋谷 雄大")</f>
        <v>渋谷 雄大</v>
      </c>
    </row>
    <row r="10027" spans="2:4" ht="13">
      <c r="B10027" s="12">
        <f ca="1">IFERROR(__xludf.DUMMYFUNCTION("""COMPUTED_VALUE"""),3700051)</f>
        <v>3700051</v>
      </c>
      <c r="C10027" s="14">
        <f ca="1">IFERROR(__xludf.DUMMYFUNCTION("""COMPUTED_VALUE"""),50)</f>
        <v>50</v>
      </c>
      <c r="D10027" s="12" t="str">
        <f ca="1">IFERROR(__xludf.DUMMYFUNCTION("""COMPUTED_VALUE"""),"渋谷 雄大")</f>
        <v>渋谷 雄大</v>
      </c>
    </row>
    <row r="10028" spans="2:4" ht="13">
      <c r="B10028" s="12">
        <f ca="1">IFERROR(__xludf.DUMMYFUNCTION("""COMPUTED_VALUE"""),3700052)</f>
        <v>3700052</v>
      </c>
      <c r="C10028" s="14">
        <f ca="1">IFERROR(__xludf.DUMMYFUNCTION("""COMPUTED_VALUE"""),51)</f>
        <v>51</v>
      </c>
      <c r="D10028" s="12" t="str">
        <f ca="1">IFERROR(__xludf.DUMMYFUNCTION("""COMPUTED_VALUE"""),"渋谷 雄大")</f>
        <v>渋谷 雄大</v>
      </c>
    </row>
    <row r="10029" spans="2:4" ht="13">
      <c r="B10029" s="12">
        <f ca="1">IFERROR(__xludf.DUMMYFUNCTION("""COMPUTED_VALUE"""),3700053)</f>
        <v>3700053</v>
      </c>
      <c r="C10029" s="14">
        <f ca="1">IFERROR(__xludf.DUMMYFUNCTION("""COMPUTED_VALUE"""),39)</f>
        <v>39</v>
      </c>
      <c r="D10029" s="12" t="str">
        <f ca="1">IFERROR(__xludf.DUMMYFUNCTION("""COMPUTED_VALUE"""),"渋谷 雄大")</f>
        <v>渋谷 雄大</v>
      </c>
    </row>
    <row r="10030" spans="2:4" ht="13">
      <c r="B10030" s="12">
        <f ca="1">IFERROR(__xludf.DUMMYFUNCTION("""COMPUTED_VALUE"""),3700054)</f>
        <v>3700054</v>
      </c>
      <c r="C10030" s="14">
        <f ca="1">IFERROR(__xludf.DUMMYFUNCTION("""COMPUTED_VALUE"""),17)</f>
        <v>17</v>
      </c>
      <c r="D10030" s="12" t="str">
        <f ca="1">IFERROR(__xludf.DUMMYFUNCTION("""COMPUTED_VALUE"""),"渋谷 雄大")</f>
        <v>渋谷 雄大</v>
      </c>
    </row>
    <row r="10031" spans="2:4" ht="13">
      <c r="B10031" s="12">
        <f ca="1">IFERROR(__xludf.DUMMYFUNCTION("""COMPUTED_VALUE"""),3700055)</f>
        <v>3700055</v>
      </c>
      <c r="C10031" s="14">
        <f ca="1">IFERROR(__xludf.DUMMYFUNCTION("""COMPUTED_VALUE"""),0)</f>
        <v>0</v>
      </c>
      <c r="D10031" s="12" t="str">
        <f ca="1">IFERROR(__xludf.DUMMYFUNCTION("""COMPUTED_VALUE"""),"渋谷 雄大")</f>
        <v>渋谷 雄大</v>
      </c>
    </row>
    <row r="10032" spans="2:4" ht="13">
      <c r="B10032" s="12">
        <f ca="1">IFERROR(__xludf.DUMMYFUNCTION("""COMPUTED_VALUE"""),3700056)</f>
        <v>3700056</v>
      </c>
      <c r="C10032" s="14">
        <f ca="1">IFERROR(__xludf.DUMMYFUNCTION("""COMPUTED_VALUE"""),68)</f>
        <v>68</v>
      </c>
      <c r="D10032" s="12" t="str">
        <f ca="1">IFERROR(__xludf.DUMMYFUNCTION("""COMPUTED_VALUE"""),"渋谷 雄大")</f>
        <v>渋谷 雄大</v>
      </c>
    </row>
    <row r="10033" spans="2:4" ht="13">
      <c r="B10033" s="12">
        <f ca="1">IFERROR(__xludf.DUMMYFUNCTION("""COMPUTED_VALUE"""),3700057)</f>
        <v>3700057</v>
      </c>
      <c r="C10033" s="14">
        <f ca="1">IFERROR(__xludf.DUMMYFUNCTION("""COMPUTED_VALUE"""),69)</f>
        <v>69</v>
      </c>
      <c r="D10033" s="12" t="str">
        <f ca="1">IFERROR(__xludf.DUMMYFUNCTION("""COMPUTED_VALUE"""),"渋谷 雄大")</f>
        <v>渋谷 雄大</v>
      </c>
    </row>
    <row r="10034" spans="2:4" ht="13">
      <c r="B10034" s="12">
        <f ca="1">IFERROR(__xludf.DUMMYFUNCTION("""COMPUTED_VALUE"""),3700058)</f>
        <v>3700058</v>
      </c>
      <c r="C10034" s="14">
        <f ca="1">IFERROR(__xludf.DUMMYFUNCTION("""COMPUTED_VALUE"""),52)</f>
        <v>52</v>
      </c>
      <c r="D10034" s="12" t="str">
        <f ca="1">IFERROR(__xludf.DUMMYFUNCTION("""COMPUTED_VALUE"""),"渋谷 雄大")</f>
        <v>渋谷 雄大</v>
      </c>
    </row>
    <row r="10035" spans="2:4" ht="13">
      <c r="B10035" s="12">
        <f ca="1">IFERROR(__xludf.DUMMYFUNCTION("""COMPUTED_VALUE"""),3700059)</f>
        <v>3700059</v>
      </c>
      <c r="C10035" s="14">
        <f ca="1">IFERROR(__xludf.DUMMYFUNCTION("""COMPUTED_VALUE"""),0)</f>
        <v>0</v>
      </c>
      <c r="D10035" s="12" t="str">
        <f ca="1">IFERROR(__xludf.DUMMYFUNCTION("""COMPUTED_VALUE"""),"渋谷 雄大")</f>
        <v>渋谷 雄大</v>
      </c>
    </row>
    <row r="10036" spans="2:4" ht="13">
      <c r="B10036" s="12">
        <f ca="1">IFERROR(__xludf.DUMMYFUNCTION("""COMPUTED_VALUE"""),3700060)</f>
        <v>3700060</v>
      </c>
      <c r="C10036" s="14">
        <f ca="1">IFERROR(__xludf.DUMMYFUNCTION("""COMPUTED_VALUE"""),38)</f>
        <v>38</v>
      </c>
      <c r="D10036" s="12" t="str">
        <f ca="1">IFERROR(__xludf.DUMMYFUNCTION("""COMPUTED_VALUE"""),"渋谷 雄大")</f>
        <v>渋谷 雄大</v>
      </c>
    </row>
    <row r="10037" spans="2:4" ht="13">
      <c r="B10037" s="12">
        <f ca="1">IFERROR(__xludf.DUMMYFUNCTION("""COMPUTED_VALUE"""),3700062)</f>
        <v>3700062</v>
      </c>
      <c r="C10037" s="14">
        <f ca="1">IFERROR(__xludf.DUMMYFUNCTION("""COMPUTED_VALUE"""),28)</f>
        <v>28</v>
      </c>
      <c r="D10037" s="12" t="str">
        <f ca="1">IFERROR(__xludf.DUMMYFUNCTION("""COMPUTED_VALUE"""),"渋谷 雄大")</f>
        <v>渋谷 雄大</v>
      </c>
    </row>
    <row r="10038" spans="2:4" ht="13">
      <c r="B10038" s="12">
        <f ca="1">IFERROR(__xludf.DUMMYFUNCTION("""COMPUTED_VALUE"""),3700063)</f>
        <v>3700063</v>
      </c>
      <c r="C10038" s="14">
        <f ca="1">IFERROR(__xludf.DUMMYFUNCTION("""COMPUTED_VALUE"""),8)</f>
        <v>8</v>
      </c>
      <c r="D10038" s="12" t="str">
        <f ca="1">IFERROR(__xludf.DUMMYFUNCTION("""COMPUTED_VALUE"""),"渋谷 雄大")</f>
        <v>渋谷 雄大</v>
      </c>
    </row>
    <row r="10039" spans="2:4" ht="13">
      <c r="B10039" s="12">
        <f ca="1">IFERROR(__xludf.DUMMYFUNCTION("""COMPUTED_VALUE"""),3700066)</f>
        <v>3700066</v>
      </c>
      <c r="C10039" s="14">
        <f ca="1">IFERROR(__xludf.DUMMYFUNCTION("""COMPUTED_VALUE"""),21)</f>
        <v>21</v>
      </c>
      <c r="D10039" s="12" t="str">
        <f ca="1">IFERROR(__xludf.DUMMYFUNCTION("""COMPUTED_VALUE"""),"渋谷 雄大")</f>
        <v>渋谷 雄大</v>
      </c>
    </row>
    <row r="10040" spans="2:4" ht="13">
      <c r="B10040" s="12">
        <f ca="1">IFERROR(__xludf.DUMMYFUNCTION("""COMPUTED_VALUE"""),3700067)</f>
        <v>3700067</v>
      </c>
      <c r="C10040" s="14">
        <f ca="1">IFERROR(__xludf.DUMMYFUNCTION("""COMPUTED_VALUE"""),5)</f>
        <v>5</v>
      </c>
      <c r="D10040" s="12" t="str">
        <f ca="1">IFERROR(__xludf.DUMMYFUNCTION("""COMPUTED_VALUE"""),"渋谷 雄大")</f>
        <v>渋谷 雄大</v>
      </c>
    </row>
    <row r="10041" spans="2:4" ht="13">
      <c r="B10041" s="12">
        <f ca="1">IFERROR(__xludf.DUMMYFUNCTION("""COMPUTED_VALUE"""),3700068)</f>
        <v>3700068</v>
      </c>
      <c r="C10041" s="14">
        <f ca="1">IFERROR(__xludf.DUMMYFUNCTION("""COMPUTED_VALUE"""),8)</f>
        <v>8</v>
      </c>
      <c r="D10041" s="12" t="str">
        <f ca="1">IFERROR(__xludf.DUMMYFUNCTION("""COMPUTED_VALUE"""),"渋谷 雄大")</f>
        <v>渋谷 雄大</v>
      </c>
    </row>
    <row r="10042" spans="2:4" ht="13">
      <c r="B10042" s="12">
        <f ca="1">IFERROR(__xludf.DUMMYFUNCTION("""COMPUTED_VALUE"""),3700070)</f>
        <v>3700070</v>
      </c>
      <c r="C10042" s="14">
        <f ca="1">IFERROR(__xludf.DUMMYFUNCTION("""COMPUTED_VALUE"""),0)</f>
        <v>0</v>
      </c>
      <c r="D10042" s="12" t="str">
        <f ca="1">IFERROR(__xludf.DUMMYFUNCTION("""COMPUTED_VALUE"""),"渋谷 雄大")</f>
        <v>渋谷 雄大</v>
      </c>
    </row>
    <row r="10043" spans="2:4" ht="13">
      <c r="B10043" s="12">
        <f ca="1">IFERROR(__xludf.DUMMYFUNCTION("""COMPUTED_VALUE"""),3700071)</f>
        <v>3700071</v>
      </c>
      <c r="C10043" s="14">
        <f ca="1">IFERROR(__xludf.DUMMYFUNCTION("""COMPUTED_VALUE"""),23)</f>
        <v>23</v>
      </c>
      <c r="D10043" s="12" t="str">
        <f ca="1">IFERROR(__xludf.DUMMYFUNCTION("""COMPUTED_VALUE"""),"渋谷 雄大")</f>
        <v>渋谷 雄大</v>
      </c>
    </row>
    <row r="10044" spans="2:4" ht="13">
      <c r="B10044" s="12">
        <f ca="1">IFERROR(__xludf.DUMMYFUNCTION("""COMPUTED_VALUE"""),3700072)</f>
        <v>3700072</v>
      </c>
      <c r="C10044" s="14">
        <f ca="1">IFERROR(__xludf.DUMMYFUNCTION("""COMPUTED_VALUE"""),19)</f>
        <v>19</v>
      </c>
      <c r="D10044" s="12" t="str">
        <f ca="1">IFERROR(__xludf.DUMMYFUNCTION("""COMPUTED_VALUE"""),"渋谷 雄大")</f>
        <v>渋谷 雄大</v>
      </c>
    </row>
    <row r="10045" spans="2:4" ht="13">
      <c r="B10045" s="12">
        <f ca="1">IFERROR(__xludf.DUMMYFUNCTION("""COMPUTED_VALUE"""),3700073)</f>
        <v>3700073</v>
      </c>
      <c r="C10045" s="14">
        <f ca="1">IFERROR(__xludf.DUMMYFUNCTION("""COMPUTED_VALUE"""),16)</f>
        <v>16</v>
      </c>
      <c r="D10045" s="12" t="str">
        <f ca="1">IFERROR(__xludf.DUMMYFUNCTION("""COMPUTED_VALUE"""),"渋谷 雄大")</f>
        <v>渋谷 雄大</v>
      </c>
    </row>
    <row r="10046" spans="2:4" ht="13">
      <c r="B10046" s="12">
        <f ca="1">IFERROR(__xludf.DUMMYFUNCTION("""COMPUTED_VALUE"""),3700074)</f>
        <v>3700074</v>
      </c>
      <c r="C10046" s="14">
        <f ca="1">IFERROR(__xludf.DUMMYFUNCTION("""COMPUTED_VALUE"""),16)</f>
        <v>16</v>
      </c>
      <c r="D10046" s="12" t="str">
        <f ca="1">IFERROR(__xludf.DUMMYFUNCTION("""COMPUTED_VALUE"""),"渋谷 雄大")</f>
        <v>渋谷 雄大</v>
      </c>
    </row>
    <row r="10047" spans="2:4" ht="13">
      <c r="B10047" s="12">
        <f ca="1">IFERROR(__xludf.DUMMYFUNCTION("""COMPUTED_VALUE"""),3700075)</f>
        <v>3700075</v>
      </c>
      <c r="C10047" s="14">
        <f ca="1">IFERROR(__xludf.DUMMYFUNCTION("""COMPUTED_VALUE"""),11)</f>
        <v>11</v>
      </c>
      <c r="D10047" s="12" t="str">
        <f ca="1">IFERROR(__xludf.DUMMYFUNCTION("""COMPUTED_VALUE"""),"渋谷 雄大")</f>
        <v>渋谷 雄大</v>
      </c>
    </row>
    <row r="10048" spans="2:4" ht="13">
      <c r="B10048" s="12">
        <f ca="1">IFERROR(__xludf.DUMMYFUNCTION("""COMPUTED_VALUE"""),3700076)</f>
        <v>3700076</v>
      </c>
      <c r="C10048" s="14">
        <f ca="1">IFERROR(__xludf.DUMMYFUNCTION("""COMPUTED_VALUE"""),64)</f>
        <v>64</v>
      </c>
      <c r="D10048" s="12" t="str">
        <f ca="1">IFERROR(__xludf.DUMMYFUNCTION("""COMPUTED_VALUE"""),"渋谷 雄大")</f>
        <v>渋谷 雄大</v>
      </c>
    </row>
    <row r="10049" spans="2:4" ht="13">
      <c r="B10049" s="12">
        <f ca="1">IFERROR(__xludf.DUMMYFUNCTION("""COMPUTED_VALUE"""),3700077)</f>
        <v>3700077</v>
      </c>
      <c r="C10049" s="14">
        <f ca="1">IFERROR(__xludf.DUMMYFUNCTION("""COMPUTED_VALUE"""),37)</f>
        <v>37</v>
      </c>
      <c r="D10049" s="12" t="str">
        <f ca="1">IFERROR(__xludf.DUMMYFUNCTION("""COMPUTED_VALUE"""),"渋谷 雄大")</f>
        <v>渋谷 雄大</v>
      </c>
    </row>
    <row r="10050" spans="2:4" ht="13">
      <c r="B10050" s="12">
        <f ca="1">IFERROR(__xludf.DUMMYFUNCTION("""COMPUTED_VALUE"""),3700078)</f>
        <v>3700078</v>
      </c>
      <c r="C10050" s="14">
        <f ca="1">IFERROR(__xludf.DUMMYFUNCTION("""COMPUTED_VALUE"""),98)</f>
        <v>98</v>
      </c>
      <c r="D10050" s="12" t="str">
        <f ca="1">IFERROR(__xludf.DUMMYFUNCTION("""COMPUTED_VALUE"""),"渋谷 雄大")</f>
        <v>渋谷 雄大</v>
      </c>
    </row>
    <row r="10051" spans="2:4" ht="13">
      <c r="B10051" s="12">
        <f ca="1">IFERROR(__xludf.DUMMYFUNCTION("""COMPUTED_VALUE"""),3700079)</f>
        <v>3700079</v>
      </c>
      <c r="C10051" s="14">
        <f ca="1">IFERROR(__xludf.DUMMYFUNCTION("""COMPUTED_VALUE"""),96)</f>
        <v>96</v>
      </c>
      <c r="D10051" s="12" t="str">
        <f ca="1">IFERROR(__xludf.DUMMYFUNCTION("""COMPUTED_VALUE"""),"渋谷 雄大")</f>
        <v>渋谷 雄大</v>
      </c>
    </row>
    <row r="10052" spans="2:4" ht="13">
      <c r="B10052" s="12">
        <f ca="1">IFERROR(__xludf.DUMMYFUNCTION("""COMPUTED_VALUE"""),3700080)</f>
        <v>3700080</v>
      </c>
      <c r="C10052" s="14">
        <f ca="1">IFERROR(__xludf.DUMMYFUNCTION("""COMPUTED_VALUE"""),73)</f>
        <v>73</v>
      </c>
      <c r="D10052" s="12" t="str">
        <f ca="1">IFERROR(__xludf.DUMMYFUNCTION("""COMPUTED_VALUE"""),"渋谷 雄大")</f>
        <v>渋谷 雄大</v>
      </c>
    </row>
    <row r="10053" spans="2:4" ht="13">
      <c r="B10053" s="12">
        <f ca="1">IFERROR(__xludf.DUMMYFUNCTION("""COMPUTED_VALUE"""),3700081)</f>
        <v>3700081</v>
      </c>
      <c r="C10053" s="14">
        <f ca="1">IFERROR(__xludf.DUMMYFUNCTION("""COMPUTED_VALUE"""),32)</f>
        <v>32</v>
      </c>
      <c r="D10053" s="12" t="str">
        <f ca="1">IFERROR(__xludf.DUMMYFUNCTION("""COMPUTED_VALUE"""),"渋谷 雄大")</f>
        <v>渋谷 雄大</v>
      </c>
    </row>
    <row r="10054" spans="2:4" ht="13">
      <c r="B10054" s="12">
        <f ca="1">IFERROR(__xludf.DUMMYFUNCTION("""COMPUTED_VALUE"""),3700082)</f>
        <v>3700082</v>
      </c>
      <c r="C10054" s="14">
        <f ca="1">IFERROR(__xludf.DUMMYFUNCTION("""COMPUTED_VALUE"""),19)</f>
        <v>19</v>
      </c>
      <c r="D10054" s="12" t="str">
        <f ca="1">IFERROR(__xludf.DUMMYFUNCTION("""COMPUTED_VALUE"""),"渋谷 雄大")</f>
        <v>渋谷 雄大</v>
      </c>
    </row>
    <row r="10055" spans="2:4" ht="13">
      <c r="B10055" s="12">
        <f ca="1">IFERROR(__xludf.DUMMYFUNCTION("""COMPUTED_VALUE"""),3700084)</f>
        <v>3700084</v>
      </c>
      <c r="C10055" s="14">
        <f ca="1">IFERROR(__xludf.DUMMYFUNCTION("""COMPUTED_VALUE"""),0)</f>
        <v>0</v>
      </c>
      <c r="D10055" s="12" t="str">
        <f ca="1">IFERROR(__xludf.DUMMYFUNCTION("""COMPUTED_VALUE"""),"渋谷 雄大")</f>
        <v>渋谷 雄大</v>
      </c>
    </row>
    <row r="10056" spans="2:4" ht="13">
      <c r="B10056" s="12">
        <f ca="1">IFERROR(__xludf.DUMMYFUNCTION("""COMPUTED_VALUE"""),3700085)</f>
        <v>3700085</v>
      </c>
      <c r="C10056" s="14">
        <f ca="1">IFERROR(__xludf.DUMMYFUNCTION("""COMPUTED_VALUE"""),27)</f>
        <v>27</v>
      </c>
      <c r="D10056" s="12" t="str">
        <f ca="1">IFERROR(__xludf.DUMMYFUNCTION("""COMPUTED_VALUE"""),"渋谷 雄大")</f>
        <v>渋谷 雄大</v>
      </c>
    </row>
    <row r="10057" spans="2:4" ht="13">
      <c r="B10057" s="12">
        <f ca="1">IFERROR(__xludf.DUMMYFUNCTION("""COMPUTED_VALUE"""),3700087)</f>
        <v>3700087</v>
      </c>
      <c r="C10057" s="14">
        <f ca="1">IFERROR(__xludf.DUMMYFUNCTION("""COMPUTED_VALUE"""),47)</f>
        <v>47</v>
      </c>
      <c r="D10057" s="12" t="str">
        <f ca="1">IFERROR(__xludf.DUMMYFUNCTION("""COMPUTED_VALUE"""),"渋谷 雄大")</f>
        <v>渋谷 雄大</v>
      </c>
    </row>
    <row r="10058" spans="2:4" ht="13">
      <c r="B10058" s="12">
        <f ca="1">IFERROR(__xludf.DUMMYFUNCTION("""COMPUTED_VALUE"""),3700088)</f>
        <v>3700088</v>
      </c>
      <c r="C10058" s="14">
        <f ca="1">IFERROR(__xludf.DUMMYFUNCTION("""COMPUTED_VALUE"""),80)</f>
        <v>80</v>
      </c>
      <c r="D10058" s="12" t="str">
        <f ca="1">IFERROR(__xludf.DUMMYFUNCTION("""COMPUTED_VALUE"""),"渋谷 雄大")</f>
        <v>渋谷 雄大</v>
      </c>
    </row>
    <row r="10059" spans="2:4" ht="13">
      <c r="B10059" s="12">
        <f ca="1">IFERROR(__xludf.DUMMYFUNCTION("""COMPUTED_VALUE"""),3700089)</f>
        <v>3700089</v>
      </c>
      <c r="C10059" s="14">
        <f ca="1">IFERROR(__xludf.DUMMYFUNCTION("""COMPUTED_VALUE"""),115)</f>
        <v>115</v>
      </c>
      <c r="D10059" s="12" t="str">
        <f ca="1">IFERROR(__xludf.DUMMYFUNCTION("""COMPUTED_VALUE"""),"渋谷 雄大")</f>
        <v>渋谷 雄大</v>
      </c>
    </row>
    <row r="10060" spans="2:4" ht="13">
      <c r="B10060" s="12">
        <f ca="1">IFERROR(__xludf.DUMMYFUNCTION("""COMPUTED_VALUE"""),3700090)</f>
        <v>3700090</v>
      </c>
      <c r="C10060" s="14">
        <f ca="1">IFERROR(__xludf.DUMMYFUNCTION("""COMPUTED_VALUE"""),71)</f>
        <v>71</v>
      </c>
      <c r="D10060" s="12" t="str">
        <f ca="1">IFERROR(__xludf.DUMMYFUNCTION("""COMPUTED_VALUE"""),"渋谷 雄大")</f>
        <v>渋谷 雄大</v>
      </c>
    </row>
    <row r="10061" spans="2:4" ht="13">
      <c r="B10061" s="12">
        <f ca="1">IFERROR(__xludf.DUMMYFUNCTION("""COMPUTED_VALUE"""),3700092)</f>
        <v>3700092</v>
      </c>
      <c r="C10061" s="14">
        <f ca="1">IFERROR(__xludf.DUMMYFUNCTION("""COMPUTED_VALUE"""),0)</f>
        <v>0</v>
      </c>
      <c r="D10061" s="12" t="str">
        <f ca="1">IFERROR(__xludf.DUMMYFUNCTION("""COMPUTED_VALUE"""),"渋谷 雄大")</f>
        <v>渋谷 雄大</v>
      </c>
    </row>
    <row r="10062" spans="2:4" ht="13">
      <c r="B10062" s="12">
        <f ca="1">IFERROR(__xludf.DUMMYFUNCTION("""COMPUTED_VALUE"""),3700093)</f>
        <v>3700093</v>
      </c>
      <c r="C10062" s="14">
        <f ca="1">IFERROR(__xludf.DUMMYFUNCTION("""COMPUTED_VALUE"""),58)</f>
        <v>58</v>
      </c>
      <c r="D10062" s="12" t="str">
        <f ca="1">IFERROR(__xludf.DUMMYFUNCTION("""COMPUTED_VALUE"""),"渋谷 雄大")</f>
        <v>渋谷 雄大</v>
      </c>
    </row>
    <row r="10063" spans="2:4" ht="13">
      <c r="B10063" s="12">
        <f ca="1">IFERROR(__xludf.DUMMYFUNCTION("""COMPUTED_VALUE"""),3700094)</f>
        <v>3700094</v>
      </c>
      <c r="C10063" s="14">
        <f ca="1">IFERROR(__xludf.DUMMYFUNCTION("""COMPUTED_VALUE"""),40)</f>
        <v>40</v>
      </c>
      <c r="D10063" s="12" t="str">
        <f ca="1">IFERROR(__xludf.DUMMYFUNCTION("""COMPUTED_VALUE"""),"渋谷 雄大")</f>
        <v>渋谷 雄大</v>
      </c>
    </row>
    <row r="10064" spans="2:4" ht="13">
      <c r="B10064" s="12">
        <f ca="1">IFERROR(__xludf.DUMMYFUNCTION("""COMPUTED_VALUE"""),3700095)</f>
        <v>3700095</v>
      </c>
      <c r="C10064" s="14">
        <f ca="1">IFERROR(__xludf.DUMMYFUNCTION("""COMPUTED_VALUE"""),49)</f>
        <v>49</v>
      </c>
      <c r="D10064" s="12" t="str">
        <f ca="1">IFERROR(__xludf.DUMMYFUNCTION("""COMPUTED_VALUE"""),"渋谷 雄大")</f>
        <v>渋谷 雄大</v>
      </c>
    </row>
    <row r="10065" spans="2:4" ht="13">
      <c r="B10065" s="12">
        <f ca="1">IFERROR(__xludf.DUMMYFUNCTION("""COMPUTED_VALUE"""),3700096)</f>
        <v>3700096</v>
      </c>
      <c r="C10065" s="14">
        <f ca="1">IFERROR(__xludf.DUMMYFUNCTION("""COMPUTED_VALUE"""),24)</f>
        <v>24</v>
      </c>
      <c r="D10065" s="12" t="str">
        <f ca="1">IFERROR(__xludf.DUMMYFUNCTION("""COMPUTED_VALUE"""),"渋谷 雄大")</f>
        <v>渋谷 雄大</v>
      </c>
    </row>
    <row r="10066" spans="2:4" ht="13">
      <c r="B10066" s="12">
        <f ca="1">IFERROR(__xludf.DUMMYFUNCTION("""COMPUTED_VALUE"""),3700097)</f>
        <v>3700097</v>
      </c>
      <c r="C10066" s="14">
        <f ca="1">IFERROR(__xludf.DUMMYFUNCTION("""COMPUTED_VALUE"""),8)</f>
        <v>8</v>
      </c>
      <c r="D10066" s="12" t="str">
        <f ca="1">IFERROR(__xludf.DUMMYFUNCTION("""COMPUTED_VALUE"""),"渋谷 雄大")</f>
        <v>渋谷 雄大</v>
      </c>
    </row>
    <row r="10067" spans="2:4" ht="13">
      <c r="B10067" s="12">
        <f ca="1">IFERROR(__xludf.DUMMYFUNCTION("""COMPUTED_VALUE"""),3700098)</f>
        <v>3700098</v>
      </c>
      <c r="C10067" s="14">
        <f ca="1">IFERROR(__xludf.DUMMYFUNCTION("""COMPUTED_VALUE"""),12)</f>
        <v>12</v>
      </c>
      <c r="D10067" s="12" t="str">
        <f ca="1">IFERROR(__xludf.DUMMYFUNCTION("""COMPUTED_VALUE"""),"渋谷 雄大")</f>
        <v>渋谷 雄大</v>
      </c>
    </row>
    <row r="10068" spans="2:4" ht="13">
      <c r="B10068" s="12">
        <f ca="1">IFERROR(__xludf.DUMMYFUNCTION("""COMPUTED_VALUE"""),3700099)</f>
        <v>3700099</v>
      </c>
      <c r="C10068" s="14">
        <f ca="1">IFERROR(__xludf.DUMMYFUNCTION("""COMPUTED_VALUE"""),21)</f>
        <v>21</v>
      </c>
      <c r="D10068" s="12" t="str">
        <f ca="1">IFERROR(__xludf.DUMMYFUNCTION("""COMPUTED_VALUE"""),"渋谷 雄大")</f>
        <v>渋谷 雄大</v>
      </c>
    </row>
    <row r="10069" spans="2:4" ht="13">
      <c r="B10069" s="12">
        <f ca="1">IFERROR(__xludf.DUMMYFUNCTION("""COMPUTED_VALUE"""),3700100)</f>
        <v>3700100</v>
      </c>
      <c r="C10069" s="14">
        <f ca="1">IFERROR(__xludf.DUMMYFUNCTION("""COMPUTED_VALUE"""),30)</f>
        <v>30</v>
      </c>
      <c r="D10069" s="12" t="str">
        <f ca="1">IFERROR(__xludf.DUMMYFUNCTION("""COMPUTED_VALUE"""),"渋谷 雄大")</f>
        <v>渋谷 雄大</v>
      </c>
    </row>
    <row r="10070" spans="2:4" ht="13">
      <c r="B10070" s="12">
        <f ca="1">IFERROR(__xludf.DUMMYFUNCTION("""COMPUTED_VALUE"""),3700101)</f>
        <v>3700101</v>
      </c>
      <c r="C10070" s="14">
        <f ca="1">IFERROR(__xludf.DUMMYFUNCTION("""COMPUTED_VALUE"""),33)</f>
        <v>33</v>
      </c>
      <c r="D10070" s="12" t="str">
        <f ca="1">IFERROR(__xludf.DUMMYFUNCTION("""COMPUTED_VALUE"""),"渋谷 雄大")</f>
        <v>渋谷 雄大</v>
      </c>
    </row>
    <row r="10071" spans="2:4" ht="13">
      <c r="B10071" s="12">
        <f ca="1">IFERROR(__xludf.DUMMYFUNCTION("""COMPUTED_VALUE"""),3700104)</f>
        <v>3700104</v>
      </c>
      <c r="C10071" s="14">
        <f ca="1">IFERROR(__xludf.DUMMYFUNCTION("""COMPUTED_VALUE"""),34)</f>
        <v>34</v>
      </c>
      <c r="D10071" s="12" t="str">
        <f ca="1">IFERROR(__xludf.DUMMYFUNCTION("""COMPUTED_VALUE"""),"渋谷 雄大")</f>
        <v>渋谷 雄大</v>
      </c>
    </row>
    <row r="10072" spans="2:4" ht="13">
      <c r="B10072" s="12">
        <f ca="1">IFERROR(__xludf.DUMMYFUNCTION("""COMPUTED_VALUE"""),3700105)</f>
        <v>3700105</v>
      </c>
      <c r="C10072" s="14">
        <f ca="1">IFERROR(__xludf.DUMMYFUNCTION("""COMPUTED_VALUE"""),22)</f>
        <v>22</v>
      </c>
      <c r="D10072" s="12" t="str">
        <f ca="1">IFERROR(__xludf.DUMMYFUNCTION("""COMPUTED_VALUE"""),"渋谷 雄大")</f>
        <v>渋谷 雄大</v>
      </c>
    </row>
    <row r="10073" spans="2:4" ht="13">
      <c r="B10073" s="12">
        <f ca="1">IFERROR(__xludf.DUMMYFUNCTION("""COMPUTED_VALUE"""),3700106)</f>
        <v>3700106</v>
      </c>
      <c r="C10073" s="14">
        <f ca="1">IFERROR(__xludf.DUMMYFUNCTION("""COMPUTED_VALUE"""),40)</f>
        <v>40</v>
      </c>
      <c r="D10073" s="12" t="str">
        <f ca="1">IFERROR(__xludf.DUMMYFUNCTION("""COMPUTED_VALUE"""),"渋谷 雄大")</f>
        <v>渋谷 雄大</v>
      </c>
    </row>
    <row r="10074" spans="2:4" ht="13">
      <c r="B10074" s="12">
        <f ca="1">IFERROR(__xludf.DUMMYFUNCTION("""COMPUTED_VALUE"""),3700107)</f>
        <v>3700107</v>
      </c>
      <c r="C10074" s="14">
        <f ca="1">IFERROR(__xludf.DUMMYFUNCTION("""COMPUTED_VALUE"""),11)</f>
        <v>11</v>
      </c>
      <c r="D10074" s="12" t="str">
        <f ca="1">IFERROR(__xludf.DUMMYFUNCTION("""COMPUTED_VALUE"""),"渋谷 雄大")</f>
        <v>渋谷 雄大</v>
      </c>
    </row>
    <row r="10075" spans="2:4" ht="13">
      <c r="B10075" s="12">
        <f ca="1">IFERROR(__xludf.DUMMYFUNCTION("""COMPUTED_VALUE"""),3700108)</f>
        <v>3700108</v>
      </c>
      <c r="C10075" s="14">
        <f ca="1">IFERROR(__xludf.DUMMYFUNCTION("""COMPUTED_VALUE"""),24)</f>
        <v>24</v>
      </c>
      <c r="D10075" s="12" t="str">
        <f ca="1">IFERROR(__xludf.DUMMYFUNCTION("""COMPUTED_VALUE"""),"渋谷 雄大")</f>
        <v>渋谷 雄大</v>
      </c>
    </row>
    <row r="10076" spans="2:4" ht="13">
      <c r="B10076" s="12">
        <f ca="1">IFERROR(__xludf.DUMMYFUNCTION("""COMPUTED_VALUE"""),3700109)</f>
        <v>3700109</v>
      </c>
      <c r="C10076" s="14">
        <f ca="1">IFERROR(__xludf.DUMMYFUNCTION("""COMPUTED_VALUE"""),11)</f>
        <v>11</v>
      </c>
      <c r="D10076" s="12" t="str">
        <f ca="1">IFERROR(__xludf.DUMMYFUNCTION("""COMPUTED_VALUE"""),"渋谷 雄大")</f>
        <v>渋谷 雄大</v>
      </c>
    </row>
    <row r="10077" spans="2:4" ht="13">
      <c r="B10077" s="12">
        <f ca="1">IFERROR(__xludf.DUMMYFUNCTION("""COMPUTED_VALUE"""),3700110)</f>
        <v>3700110</v>
      </c>
      <c r="C10077" s="14">
        <f ca="1">IFERROR(__xludf.DUMMYFUNCTION("""COMPUTED_VALUE"""),39)</f>
        <v>39</v>
      </c>
      <c r="D10077" s="12" t="str">
        <f ca="1">IFERROR(__xludf.DUMMYFUNCTION("""COMPUTED_VALUE"""),"渋谷 雄大")</f>
        <v>渋谷 雄大</v>
      </c>
    </row>
    <row r="10078" spans="2:4" ht="13">
      <c r="B10078" s="12">
        <f ca="1">IFERROR(__xludf.DUMMYFUNCTION("""COMPUTED_VALUE"""),3700111)</f>
        <v>3700111</v>
      </c>
      <c r="C10078" s="14">
        <f ca="1">IFERROR(__xludf.DUMMYFUNCTION("""COMPUTED_VALUE"""),17)</f>
        <v>17</v>
      </c>
      <c r="D10078" s="12" t="str">
        <f ca="1">IFERROR(__xludf.DUMMYFUNCTION("""COMPUTED_VALUE"""),"渋谷 雄大")</f>
        <v>渋谷 雄大</v>
      </c>
    </row>
    <row r="10079" spans="2:4" ht="13">
      <c r="B10079" s="12">
        <f ca="1">IFERROR(__xludf.DUMMYFUNCTION("""COMPUTED_VALUE"""),3700112)</f>
        <v>3700112</v>
      </c>
      <c r="C10079" s="14">
        <f ca="1">IFERROR(__xludf.DUMMYFUNCTION("""COMPUTED_VALUE"""),16)</f>
        <v>16</v>
      </c>
      <c r="D10079" s="12" t="str">
        <f ca="1">IFERROR(__xludf.DUMMYFUNCTION("""COMPUTED_VALUE"""),"渋谷 雄大")</f>
        <v>渋谷 雄大</v>
      </c>
    </row>
    <row r="10080" spans="2:4" ht="13">
      <c r="B10080" s="12">
        <f ca="1">IFERROR(__xludf.DUMMYFUNCTION("""COMPUTED_VALUE"""),3700113)</f>
        <v>3700113</v>
      </c>
      <c r="C10080" s="14">
        <f ca="1">IFERROR(__xludf.DUMMYFUNCTION("""COMPUTED_VALUE"""),55)</f>
        <v>55</v>
      </c>
      <c r="D10080" s="12" t="str">
        <f ca="1">IFERROR(__xludf.DUMMYFUNCTION("""COMPUTED_VALUE"""),"渋谷 雄大")</f>
        <v>渋谷 雄大</v>
      </c>
    </row>
    <row r="10081" spans="2:4" ht="13">
      <c r="B10081" s="12">
        <f ca="1">IFERROR(__xludf.DUMMYFUNCTION("""COMPUTED_VALUE"""),3700114)</f>
        <v>3700114</v>
      </c>
      <c r="C10081" s="14">
        <f ca="1">IFERROR(__xludf.DUMMYFUNCTION("""COMPUTED_VALUE"""),27)</f>
        <v>27</v>
      </c>
      <c r="D10081" s="12" t="str">
        <f ca="1">IFERROR(__xludf.DUMMYFUNCTION("""COMPUTED_VALUE"""),"渋谷 雄大")</f>
        <v>渋谷 雄大</v>
      </c>
    </row>
    <row r="10082" spans="2:4" ht="13">
      <c r="B10082" s="12">
        <f ca="1">IFERROR(__xludf.DUMMYFUNCTION("""COMPUTED_VALUE"""),3700115)</f>
        <v>3700115</v>
      </c>
      <c r="C10082" s="14">
        <f ca="1">IFERROR(__xludf.DUMMYFUNCTION("""COMPUTED_VALUE"""),0)</f>
        <v>0</v>
      </c>
      <c r="D10082" s="12" t="str">
        <f ca="1">IFERROR(__xludf.DUMMYFUNCTION("""COMPUTED_VALUE"""),"渋谷 雄大")</f>
        <v>渋谷 雄大</v>
      </c>
    </row>
    <row r="10083" spans="2:4" ht="13">
      <c r="B10083" s="12">
        <f ca="1">IFERROR(__xludf.DUMMYFUNCTION("""COMPUTED_VALUE"""),3700116)</f>
        <v>3700116</v>
      </c>
      <c r="C10083" s="14">
        <f ca="1">IFERROR(__xludf.DUMMYFUNCTION("""COMPUTED_VALUE"""),14)</f>
        <v>14</v>
      </c>
      <c r="D10083" s="12" t="str">
        <f ca="1">IFERROR(__xludf.DUMMYFUNCTION("""COMPUTED_VALUE"""),"渋谷 雄大")</f>
        <v>渋谷 雄大</v>
      </c>
    </row>
    <row r="10084" spans="2:4" ht="13">
      <c r="B10084" s="12">
        <f ca="1">IFERROR(__xludf.DUMMYFUNCTION("""COMPUTED_VALUE"""),3700118)</f>
        <v>3700118</v>
      </c>
      <c r="C10084" s="14">
        <f ca="1">IFERROR(__xludf.DUMMYFUNCTION("""COMPUTED_VALUE"""),33)</f>
        <v>33</v>
      </c>
      <c r="D10084" s="12" t="str">
        <f ca="1">IFERROR(__xludf.DUMMYFUNCTION("""COMPUTED_VALUE"""),"渋谷 雄大")</f>
        <v>渋谷 雄大</v>
      </c>
    </row>
    <row r="10085" spans="2:4" ht="13">
      <c r="B10085" s="12">
        <f ca="1">IFERROR(__xludf.DUMMYFUNCTION("""COMPUTED_VALUE"""),3700119)</f>
        <v>3700119</v>
      </c>
      <c r="C10085" s="14">
        <f ca="1">IFERROR(__xludf.DUMMYFUNCTION("""COMPUTED_VALUE"""),22)</f>
        <v>22</v>
      </c>
      <c r="D10085" s="12" t="str">
        <f ca="1">IFERROR(__xludf.DUMMYFUNCTION("""COMPUTED_VALUE"""),"渋谷 雄大")</f>
        <v>渋谷 雄大</v>
      </c>
    </row>
    <row r="10086" spans="2:4" ht="13">
      <c r="B10086" s="12">
        <f ca="1">IFERROR(__xludf.DUMMYFUNCTION("""COMPUTED_VALUE"""),3700121)</f>
        <v>3700121</v>
      </c>
      <c r="C10086" s="14">
        <f ca="1">IFERROR(__xludf.DUMMYFUNCTION("""COMPUTED_VALUE"""),32)</f>
        <v>32</v>
      </c>
      <c r="D10086" s="12" t="str">
        <f ca="1">IFERROR(__xludf.DUMMYFUNCTION("""COMPUTED_VALUE"""),"渋谷 雄大")</f>
        <v>渋谷 雄大</v>
      </c>
    </row>
    <row r="10087" spans="2:4" ht="13">
      <c r="B10087" s="12">
        <f ca="1">IFERROR(__xludf.DUMMYFUNCTION("""COMPUTED_VALUE"""),3700122)</f>
        <v>3700122</v>
      </c>
      <c r="C10087" s="14">
        <f ca="1">IFERROR(__xludf.DUMMYFUNCTION("""COMPUTED_VALUE"""),36)</f>
        <v>36</v>
      </c>
      <c r="D10087" s="12" t="str">
        <f ca="1">IFERROR(__xludf.DUMMYFUNCTION("""COMPUTED_VALUE"""),"渋谷 雄大")</f>
        <v>渋谷 雄大</v>
      </c>
    </row>
    <row r="10088" spans="2:4" ht="13">
      <c r="B10088" s="12">
        <f ca="1">IFERROR(__xludf.DUMMYFUNCTION("""COMPUTED_VALUE"""),3700126)</f>
        <v>3700126</v>
      </c>
      <c r="C10088" s="14">
        <f ca="1">IFERROR(__xludf.DUMMYFUNCTION("""COMPUTED_VALUE"""),50)</f>
        <v>50</v>
      </c>
      <c r="D10088" s="12" t="str">
        <f ca="1">IFERROR(__xludf.DUMMYFUNCTION("""COMPUTED_VALUE"""),"渋谷 雄大")</f>
        <v>渋谷 雄大</v>
      </c>
    </row>
    <row r="10089" spans="2:4" ht="13">
      <c r="B10089" s="12">
        <f ca="1">IFERROR(__xludf.DUMMYFUNCTION("""COMPUTED_VALUE"""),3700129)</f>
        <v>3700129</v>
      </c>
      <c r="C10089" s="14">
        <f ca="1">IFERROR(__xludf.DUMMYFUNCTION("""COMPUTED_VALUE"""),27)</f>
        <v>27</v>
      </c>
      <c r="D10089" s="12" t="str">
        <f ca="1">IFERROR(__xludf.DUMMYFUNCTION("""COMPUTED_VALUE"""),"渋谷 雄大")</f>
        <v>渋谷 雄大</v>
      </c>
    </row>
    <row r="10090" spans="2:4" ht="13">
      <c r="B10090" s="12">
        <f ca="1">IFERROR(__xludf.DUMMYFUNCTION("""COMPUTED_VALUE"""),3700130)</f>
        <v>3700130</v>
      </c>
      <c r="C10090" s="14">
        <f ca="1">IFERROR(__xludf.DUMMYFUNCTION("""COMPUTED_VALUE"""),121)</f>
        <v>121</v>
      </c>
      <c r="D10090" s="12" t="str">
        <f ca="1">IFERROR(__xludf.DUMMYFUNCTION("""COMPUTED_VALUE"""),"渋谷 雄大")</f>
        <v>渋谷 雄大</v>
      </c>
    </row>
    <row r="10091" spans="2:4" ht="13">
      <c r="B10091" s="12">
        <f ca="1">IFERROR(__xludf.DUMMYFUNCTION("""COMPUTED_VALUE"""),3700131)</f>
        <v>3700131</v>
      </c>
      <c r="C10091" s="14">
        <f ca="1">IFERROR(__xludf.DUMMYFUNCTION("""COMPUTED_VALUE"""),33)</f>
        <v>33</v>
      </c>
      <c r="D10091" s="12" t="str">
        <f ca="1">IFERROR(__xludf.DUMMYFUNCTION("""COMPUTED_VALUE"""),"渋谷 雄大")</f>
        <v>渋谷 雄大</v>
      </c>
    </row>
    <row r="10092" spans="2:4" ht="13">
      <c r="B10092" s="12">
        <f ca="1">IFERROR(__xludf.DUMMYFUNCTION("""COMPUTED_VALUE"""),3700134)</f>
        <v>3700134</v>
      </c>
      <c r="C10092" s="14">
        <f ca="1">IFERROR(__xludf.DUMMYFUNCTION("""COMPUTED_VALUE"""),24)</f>
        <v>24</v>
      </c>
      <c r="D10092" s="12" t="str">
        <f ca="1">IFERROR(__xludf.DUMMYFUNCTION("""COMPUTED_VALUE"""),"渋谷 雄大")</f>
        <v>渋谷 雄大</v>
      </c>
    </row>
    <row r="10093" spans="2:4" ht="13">
      <c r="B10093" s="12">
        <f ca="1">IFERROR(__xludf.DUMMYFUNCTION("""COMPUTED_VALUE"""),3700135)</f>
        <v>3700135</v>
      </c>
      <c r="C10093" s="14">
        <f ca="1">IFERROR(__xludf.DUMMYFUNCTION("""COMPUTED_VALUE"""),68)</f>
        <v>68</v>
      </c>
      <c r="D10093" s="12" t="str">
        <f ca="1">IFERROR(__xludf.DUMMYFUNCTION("""COMPUTED_VALUE"""),"渋谷 雄大")</f>
        <v>渋谷 雄大</v>
      </c>
    </row>
    <row r="10094" spans="2:4" ht="13">
      <c r="B10094" s="12">
        <f ca="1">IFERROR(__xludf.DUMMYFUNCTION("""COMPUTED_VALUE"""),3700136)</f>
        <v>3700136</v>
      </c>
      <c r="C10094" s="14">
        <f ca="1">IFERROR(__xludf.DUMMYFUNCTION("""COMPUTED_VALUE"""),90)</f>
        <v>90</v>
      </c>
      <c r="D10094" s="12" t="str">
        <f ca="1">IFERROR(__xludf.DUMMYFUNCTION("""COMPUTED_VALUE"""),"渋谷 雄大")</f>
        <v>渋谷 雄大</v>
      </c>
    </row>
    <row r="10095" spans="2:4" ht="13">
      <c r="B10095" s="12">
        <f ca="1">IFERROR(__xludf.DUMMYFUNCTION("""COMPUTED_VALUE"""),3700137)</f>
        <v>3700137</v>
      </c>
      <c r="C10095" s="14">
        <f ca="1">IFERROR(__xludf.DUMMYFUNCTION("""COMPUTED_VALUE"""),55)</f>
        <v>55</v>
      </c>
      <c r="D10095" s="12" t="str">
        <f ca="1">IFERROR(__xludf.DUMMYFUNCTION("""COMPUTED_VALUE"""),"渋谷 雄大")</f>
        <v>渋谷 雄大</v>
      </c>
    </row>
    <row r="10096" spans="2:4" ht="13">
      <c r="B10096" s="12">
        <f ca="1">IFERROR(__xludf.DUMMYFUNCTION("""COMPUTED_VALUE"""),3700138)</f>
        <v>3700138</v>
      </c>
      <c r="C10096" s="14">
        <f ca="1">IFERROR(__xludf.DUMMYFUNCTION("""COMPUTED_VALUE"""),83)</f>
        <v>83</v>
      </c>
      <c r="D10096" s="12" t="str">
        <f ca="1">IFERROR(__xludf.DUMMYFUNCTION("""COMPUTED_VALUE"""),"渋谷 雄大")</f>
        <v>渋谷 雄大</v>
      </c>
    </row>
    <row r="10097" spans="2:4" ht="13">
      <c r="B10097" s="12">
        <f ca="1">IFERROR(__xludf.DUMMYFUNCTION("""COMPUTED_VALUE"""),3700139)</f>
        <v>3700139</v>
      </c>
      <c r="C10097" s="14">
        <f ca="1">IFERROR(__xludf.DUMMYFUNCTION("""COMPUTED_VALUE"""),53)</f>
        <v>53</v>
      </c>
      <c r="D10097" s="12" t="str">
        <f ca="1">IFERROR(__xludf.DUMMYFUNCTION("""COMPUTED_VALUE"""),"渋谷 雄大")</f>
        <v>渋谷 雄大</v>
      </c>
    </row>
    <row r="10098" spans="2:4" ht="13">
      <c r="B10098" s="12">
        <f ca="1">IFERROR(__xludf.DUMMYFUNCTION("""COMPUTED_VALUE"""),3700141)</f>
        <v>3700141</v>
      </c>
      <c r="C10098" s="14">
        <f ca="1">IFERROR(__xludf.DUMMYFUNCTION("""COMPUTED_VALUE"""),28)</f>
        <v>28</v>
      </c>
      <c r="D10098" s="12" t="str">
        <f ca="1">IFERROR(__xludf.DUMMYFUNCTION("""COMPUTED_VALUE"""),"渋谷 雄大")</f>
        <v>渋谷 雄大</v>
      </c>
    </row>
    <row r="10099" spans="2:4" ht="13">
      <c r="B10099" s="12">
        <f ca="1">IFERROR(__xludf.DUMMYFUNCTION("""COMPUTED_VALUE"""),3700142)</f>
        <v>3700142</v>
      </c>
      <c r="C10099" s="14">
        <f ca="1">IFERROR(__xludf.DUMMYFUNCTION("""COMPUTED_VALUE"""),42)</f>
        <v>42</v>
      </c>
      <c r="D10099" s="12" t="str">
        <f ca="1">IFERROR(__xludf.DUMMYFUNCTION("""COMPUTED_VALUE"""),"渋谷 雄大")</f>
        <v>渋谷 雄大</v>
      </c>
    </row>
    <row r="10100" spans="2:4" ht="13">
      <c r="B10100" s="12">
        <f ca="1">IFERROR(__xludf.DUMMYFUNCTION("""COMPUTED_VALUE"""),3700143)</f>
        <v>3700143</v>
      </c>
      <c r="C10100" s="14">
        <f ca="1">IFERROR(__xludf.DUMMYFUNCTION("""COMPUTED_VALUE"""),0)</f>
        <v>0</v>
      </c>
      <c r="D10100" s="12" t="str">
        <f ca="1">IFERROR(__xludf.DUMMYFUNCTION("""COMPUTED_VALUE"""),"渋谷 雄大")</f>
        <v>渋谷 雄大</v>
      </c>
    </row>
    <row r="10101" spans="2:4" ht="13">
      <c r="B10101" s="12">
        <f ca="1">IFERROR(__xludf.DUMMYFUNCTION("""COMPUTED_VALUE"""),3700144)</f>
        <v>3700144</v>
      </c>
      <c r="C10101" s="14">
        <f ca="1">IFERROR(__xludf.DUMMYFUNCTION("""COMPUTED_VALUE"""),40)</f>
        <v>40</v>
      </c>
      <c r="D10101" s="12" t="str">
        <f ca="1">IFERROR(__xludf.DUMMYFUNCTION("""COMPUTED_VALUE"""),"渋谷 雄大")</f>
        <v>渋谷 雄大</v>
      </c>
    </row>
    <row r="10102" spans="2:4" ht="13">
      <c r="B10102" s="12">
        <f ca="1">IFERROR(__xludf.DUMMYFUNCTION("""COMPUTED_VALUE"""),3700145)</f>
        <v>3700145</v>
      </c>
      <c r="C10102" s="14">
        <f ca="1">IFERROR(__xludf.DUMMYFUNCTION("""COMPUTED_VALUE"""),72)</f>
        <v>72</v>
      </c>
      <c r="D10102" s="12" t="str">
        <f ca="1">IFERROR(__xludf.DUMMYFUNCTION("""COMPUTED_VALUE"""),"渋谷 雄大")</f>
        <v>渋谷 雄大</v>
      </c>
    </row>
    <row r="10103" spans="2:4" ht="13">
      <c r="B10103" s="12">
        <f ca="1">IFERROR(__xludf.DUMMYFUNCTION("""COMPUTED_VALUE"""),3700146)</f>
        <v>3700146</v>
      </c>
      <c r="C10103" s="14">
        <f ca="1">IFERROR(__xludf.DUMMYFUNCTION("""COMPUTED_VALUE"""),95)</f>
        <v>95</v>
      </c>
      <c r="D10103" s="12" t="str">
        <f ca="1">IFERROR(__xludf.DUMMYFUNCTION("""COMPUTED_VALUE"""),"渋谷 雄大")</f>
        <v>渋谷 雄大</v>
      </c>
    </row>
    <row r="10104" spans="2:4" ht="13">
      <c r="B10104" s="12">
        <f ca="1">IFERROR(__xludf.DUMMYFUNCTION("""COMPUTED_VALUE"""),3700147)</f>
        <v>3700147</v>
      </c>
      <c r="C10104" s="14">
        <f ca="1">IFERROR(__xludf.DUMMYFUNCTION("""COMPUTED_VALUE"""),115)</f>
        <v>115</v>
      </c>
      <c r="D10104" s="12" t="str">
        <f ca="1">IFERROR(__xludf.DUMMYFUNCTION("""COMPUTED_VALUE"""),"渋谷 雄大")</f>
        <v>渋谷 雄大</v>
      </c>
    </row>
    <row r="10105" spans="2:4" ht="13">
      <c r="B10105" s="12">
        <f ca="1">IFERROR(__xludf.DUMMYFUNCTION("""COMPUTED_VALUE"""),3700148)</f>
        <v>3700148</v>
      </c>
      <c r="C10105" s="14">
        <f ca="1">IFERROR(__xludf.DUMMYFUNCTION("""COMPUTED_VALUE"""),118)</f>
        <v>118</v>
      </c>
      <c r="D10105" s="12" t="str">
        <f ca="1">IFERROR(__xludf.DUMMYFUNCTION("""COMPUTED_VALUE"""),"渋谷 雄大")</f>
        <v>渋谷 雄大</v>
      </c>
    </row>
    <row r="10106" spans="2:4" ht="13">
      <c r="B10106" s="12">
        <f ca="1">IFERROR(__xludf.DUMMYFUNCTION("""COMPUTED_VALUE"""),3700149)</f>
        <v>3700149</v>
      </c>
      <c r="C10106" s="14">
        <f ca="1">IFERROR(__xludf.DUMMYFUNCTION("""COMPUTED_VALUE"""),81)</f>
        <v>81</v>
      </c>
      <c r="D10106" s="12" t="str">
        <f ca="1">IFERROR(__xludf.DUMMYFUNCTION("""COMPUTED_VALUE"""),"渋谷 雄大")</f>
        <v>渋谷 雄大</v>
      </c>
    </row>
    <row r="10107" spans="2:4" ht="13">
      <c r="B10107" s="12">
        <f ca="1">IFERROR(__xludf.DUMMYFUNCTION("""COMPUTED_VALUE"""),3700150)</f>
        <v>3700150</v>
      </c>
      <c r="C10107" s="14">
        <f ca="1">IFERROR(__xludf.DUMMYFUNCTION("""COMPUTED_VALUE"""),177)</f>
        <v>177</v>
      </c>
      <c r="D10107" s="12" t="str">
        <f ca="1">IFERROR(__xludf.DUMMYFUNCTION("""COMPUTED_VALUE"""),"渋谷 雄大")</f>
        <v>渋谷 雄大</v>
      </c>
    </row>
    <row r="10108" spans="2:4" ht="13">
      <c r="B10108" s="12">
        <f ca="1">IFERROR(__xludf.DUMMYFUNCTION("""COMPUTED_VALUE"""),3700151)</f>
        <v>3700151</v>
      </c>
      <c r="C10108" s="14">
        <f ca="1">IFERROR(__xludf.DUMMYFUNCTION("""COMPUTED_VALUE"""),104)</f>
        <v>104</v>
      </c>
      <c r="D10108" s="12" t="str">
        <f ca="1">IFERROR(__xludf.DUMMYFUNCTION("""COMPUTED_VALUE"""),"渋谷 雄大")</f>
        <v>渋谷 雄大</v>
      </c>
    </row>
    <row r="10109" spans="2:4" ht="13">
      <c r="B10109" s="12">
        <f ca="1">IFERROR(__xludf.DUMMYFUNCTION("""COMPUTED_VALUE"""),3700152)</f>
        <v>3700152</v>
      </c>
      <c r="C10109" s="14">
        <f ca="1">IFERROR(__xludf.DUMMYFUNCTION("""COMPUTED_VALUE"""),151)</f>
        <v>151</v>
      </c>
      <c r="D10109" s="12" t="str">
        <f ca="1">IFERROR(__xludf.DUMMYFUNCTION("""COMPUTED_VALUE"""),"渋谷 雄大")</f>
        <v>渋谷 雄大</v>
      </c>
    </row>
    <row r="10110" spans="2:4" ht="13">
      <c r="B10110" s="12">
        <f ca="1">IFERROR(__xludf.DUMMYFUNCTION("""COMPUTED_VALUE"""),3700154)</f>
        <v>3700154</v>
      </c>
      <c r="C10110" s="14">
        <f ca="1">IFERROR(__xludf.DUMMYFUNCTION("""COMPUTED_VALUE"""),111)</f>
        <v>111</v>
      </c>
      <c r="D10110" s="12" t="str">
        <f ca="1">IFERROR(__xludf.DUMMYFUNCTION("""COMPUTED_VALUE"""),"渋谷 雄大")</f>
        <v>渋谷 雄大</v>
      </c>
    </row>
    <row r="10111" spans="2:4" ht="13">
      <c r="B10111" s="12">
        <f ca="1">IFERROR(__xludf.DUMMYFUNCTION("""COMPUTED_VALUE"""),3700156)</f>
        <v>3700156</v>
      </c>
      <c r="C10111" s="14">
        <f ca="1">IFERROR(__xludf.DUMMYFUNCTION("""COMPUTED_VALUE"""),112)</f>
        <v>112</v>
      </c>
      <c r="D10111" s="12" t="str">
        <f ca="1">IFERROR(__xludf.DUMMYFUNCTION("""COMPUTED_VALUE"""),"渋谷 雄大")</f>
        <v>渋谷 雄大</v>
      </c>
    </row>
    <row r="10112" spans="2:4" ht="13">
      <c r="B10112" s="12">
        <f ca="1">IFERROR(__xludf.DUMMYFUNCTION("""COMPUTED_VALUE"""),3700157)</f>
        <v>3700157</v>
      </c>
      <c r="C10112" s="14">
        <f ca="1">IFERROR(__xludf.DUMMYFUNCTION("""COMPUTED_VALUE"""),0)</f>
        <v>0</v>
      </c>
      <c r="D10112" s="12" t="str">
        <f ca="1">IFERROR(__xludf.DUMMYFUNCTION("""COMPUTED_VALUE"""),"渋谷 雄大")</f>
        <v>渋谷 雄大</v>
      </c>
    </row>
    <row r="10113" spans="2:4" ht="13">
      <c r="B10113" s="12">
        <f ca="1">IFERROR(__xludf.DUMMYFUNCTION("""COMPUTED_VALUE"""),3700158)</f>
        <v>3700158</v>
      </c>
      <c r="C10113" s="14">
        <f ca="1">IFERROR(__xludf.DUMMYFUNCTION("""COMPUTED_VALUE"""),30)</f>
        <v>30</v>
      </c>
      <c r="D10113" s="12" t="str">
        <f ca="1">IFERROR(__xludf.DUMMYFUNCTION("""COMPUTED_VALUE"""),"渋谷 雄大")</f>
        <v>渋谷 雄大</v>
      </c>
    </row>
    <row r="10114" spans="2:4" ht="13">
      <c r="B10114" s="12">
        <f ca="1">IFERROR(__xludf.DUMMYFUNCTION("""COMPUTED_VALUE"""),3700159)</f>
        <v>3700159</v>
      </c>
      <c r="C10114" s="14">
        <f ca="1">IFERROR(__xludf.DUMMYFUNCTION("""COMPUTED_VALUE"""),23)</f>
        <v>23</v>
      </c>
      <c r="D10114" s="12" t="str">
        <f ca="1">IFERROR(__xludf.DUMMYFUNCTION("""COMPUTED_VALUE"""),"渋谷 雄大")</f>
        <v>渋谷 雄大</v>
      </c>
    </row>
    <row r="10115" spans="2:4" ht="13">
      <c r="B10115" s="12">
        <f ca="1">IFERROR(__xludf.DUMMYFUNCTION("""COMPUTED_VALUE"""),3700160)</f>
        <v>3700160</v>
      </c>
      <c r="C10115" s="14">
        <f ca="1">IFERROR(__xludf.DUMMYFUNCTION("""COMPUTED_VALUE"""),21)</f>
        <v>21</v>
      </c>
      <c r="D10115" s="12" t="str">
        <f ca="1">IFERROR(__xludf.DUMMYFUNCTION("""COMPUTED_VALUE"""),"渋谷 雄大")</f>
        <v>渋谷 雄大</v>
      </c>
    </row>
    <row r="10116" spans="2:4" ht="13">
      <c r="B10116" s="12">
        <f ca="1">IFERROR(__xludf.DUMMYFUNCTION("""COMPUTED_VALUE"""),3700166)</f>
        <v>3700166</v>
      </c>
      <c r="C10116" s="14">
        <f ca="1">IFERROR(__xludf.DUMMYFUNCTION("""COMPUTED_VALUE"""),13)</f>
        <v>13</v>
      </c>
      <c r="D10116" s="12" t="str">
        <f ca="1">IFERROR(__xludf.DUMMYFUNCTION("""COMPUTED_VALUE"""),"渋谷 雄大")</f>
        <v>渋谷 雄大</v>
      </c>
    </row>
    <row r="10117" spans="2:4" ht="13">
      <c r="B10117" s="12">
        <f ca="1">IFERROR(__xludf.DUMMYFUNCTION("""COMPUTED_VALUE"""),3700167)</f>
        <v>3700167</v>
      </c>
      <c r="C10117" s="14">
        <f ca="1">IFERROR(__xludf.DUMMYFUNCTION("""COMPUTED_VALUE"""),93)</f>
        <v>93</v>
      </c>
      <c r="D10117" s="12" t="str">
        <f ca="1">IFERROR(__xludf.DUMMYFUNCTION("""COMPUTED_VALUE"""),"渋谷 雄大")</f>
        <v>渋谷 雄大</v>
      </c>
    </row>
    <row r="10118" spans="2:4" ht="13">
      <c r="B10118" s="12">
        <f ca="1">IFERROR(__xludf.DUMMYFUNCTION("""COMPUTED_VALUE"""),3700168)</f>
        <v>3700168</v>
      </c>
      <c r="C10118" s="14">
        <f ca="1">IFERROR(__xludf.DUMMYFUNCTION("""COMPUTED_VALUE"""),50)</f>
        <v>50</v>
      </c>
      <c r="D10118" s="12" t="str">
        <f ca="1">IFERROR(__xludf.DUMMYFUNCTION("""COMPUTED_VALUE"""),"渋谷 雄大")</f>
        <v>渋谷 雄大</v>
      </c>
    </row>
    <row r="10119" spans="2:4" ht="13">
      <c r="B10119" s="12">
        <f ca="1">IFERROR(__xludf.DUMMYFUNCTION("""COMPUTED_VALUE"""),3700169)</f>
        <v>3700169</v>
      </c>
      <c r="C10119" s="14">
        <f ca="1">IFERROR(__xludf.DUMMYFUNCTION("""COMPUTED_VALUE"""),35)</f>
        <v>35</v>
      </c>
      <c r="D10119" s="12" t="str">
        <f ca="1">IFERROR(__xludf.DUMMYFUNCTION("""COMPUTED_VALUE"""),"渋谷 雄大")</f>
        <v>渋谷 雄大</v>
      </c>
    </row>
    <row r="10120" spans="2:4" ht="13">
      <c r="B10120" s="12">
        <f ca="1">IFERROR(__xludf.DUMMYFUNCTION("""COMPUTED_VALUE"""),3700171)</f>
        <v>3700171</v>
      </c>
      <c r="C10120" s="14">
        <f ca="1">IFERROR(__xludf.DUMMYFUNCTION("""COMPUTED_VALUE"""),78)</f>
        <v>78</v>
      </c>
      <c r="D10120" s="12" t="str">
        <f ca="1">IFERROR(__xludf.DUMMYFUNCTION("""COMPUTED_VALUE"""),"渋谷 雄大")</f>
        <v>渋谷 雄大</v>
      </c>
    </row>
    <row r="10121" spans="2:4" ht="13">
      <c r="B10121" s="12">
        <f ca="1">IFERROR(__xludf.DUMMYFUNCTION("""COMPUTED_VALUE"""),3700172)</f>
        <v>3700172</v>
      </c>
      <c r="C10121" s="14">
        <f ca="1">IFERROR(__xludf.DUMMYFUNCTION("""COMPUTED_VALUE"""),36)</f>
        <v>36</v>
      </c>
      <c r="D10121" s="12" t="str">
        <f ca="1">IFERROR(__xludf.DUMMYFUNCTION("""COMPUTED_VALUE"""),"渋谷 雄大")</f>
        <v>渋谷 雄大</v>
      </c>
    </row>
    <row r="10122" spans="2:4" ht="13">
      <c r="B10122" s="12">
        <f ca="1">IFERROR(__xludf.DUMMYFUNCTION("""COMPUTED_VALUE"""),3700173)</f>
        <v>3700173</v>
      </c>
      <c r="C10122" s="14">
        <f ca="1">IFERROR(__xludf.DUMMYFUNCTION("""COMPUTED_VALUE"""),8)</f>
        <v>8</v>
      </c>
      <c r="D10122" s="12" t="str">
        <f ca="1">IFERROR(__xludf.DUMMYFUNCTION("""COMPUTED_VALUE"""),"渋谷 雄大")</f>
        <v>渋谷 雄大</v>
      </c>
    </row>
    <row r="10123" spans="2:4" ht="13">
      <c r="B10123" s="12">
        <f ca="1">IFERROR(__xludf.DUMMYFUNCTION("""COMPUTED_VALUE"""),3700174)</f>
        <v>3700174</v>
      </c>
      <c r="C10123" s="14">
        <f ca="1">IFERROR(__xludf.DUMMYFUNCTION("""COMPUTED_VALUE"""),20)</f>
        <v>20</v>
      </c>
      <c r="D10123" s="12" t="str">
        <f ca="1">IFERROR(__xludf.DUMMYFUNCTION("""COMPUTED_VALUE"""),"渋谷 雄大")</f>
        <v>渋谷 雄大</v>
      </c>
    </row>
    <row r="10124" spans="2:4" ht="13">
      <c r="B10124" s="12">
        <f ca="1">IFERROR(__xludf.DUMMYFUNCTION("""COMPUTED_VALUE"""),3700175)</f>
        <v>3700175</v>
      </c>
      <c r="C10124" s="14">
        <f ca="1">IFERROR(__xludf.DUMMYFUNCTION("""COMPUTED_VALUE"""),25)</f>
        <v>25</v>
      </c>
      <c r="D10124" s="12" t="str">
        <f ca="1">IFERROR(__xludf.DUMMYFUNCTION("""COMPUTED_VALUE"""),"渋谷 雄大")</f>
        <v>渋谷 雄大</v>
      </c>
    </row>
    <row r="10125" spans="2:4" ht="13">
      <c r="B10125" s="12">
        <f ca="1">IFERROR(__xludf.DUMMYFUNCTION("""COMPUTED_VALUE"""),3700176)</f>
        <v>3700176</v>
      </c>
      <c r="C10125" s="14">
        <f ca="1">IFERROR(__xludf.DUMMYFUNCTION("""COMPUTED_VALUE"""),42)</f>
        <v>42</v>
      </c>
      <c r="D10125" s="12" t="str">
        <f ca="1">IFERROR(__xludf.DUMMYFUNCTION("""COMPUTED_VALUE"""),"渋谷 雄大")</f>
        <v>渋谷 雄大</v>
      </c>
    </row>
    <row r="10126" spans="2:4" ht="13">
      <c r="B10126" s="12">
        <f ca="1">IFERROR(__xludf.DUMMYFUNCTION("""COMPUTED_VALUE"""),3700177)</f>
        <v>3700177</v>
      </c>
      <c r="C10126" s="14">
        <f ca="1">IFERROR(__xludf.DUMMYFUNCTION("""COMPUTED_VALUE"""),56)</f>
        <v>56</v>
      </c>
      <c r="D10126" s="12" t="str">
        <f ca="1">IFERROR(__xludf.DUMMYFUNCTION("""COMPUTED_VALUE"""),"渋谷 雄大")</f>
        <v>渋谷 雄大</v>
      </c>
    </row>
    <row r="10127" spans="2:4" ht="13">
      <c r="B10127" s="12">
        <f ca="1">IFERROR(__xludf.DUMMYFUNCTION("""COMPUTED_VALUE"""),3700178)</f>
        <v>3700178</v>
      </c>
      <c r="C10127" s="14">
        <f ca="1">IFERROR(__xludf.DUMMYFUNCTION("""COMPUTED_VALUE"""),21)</f>
        <v>21</v>
      </c>
      <c r="D10127" s="12" t="str">
        <f ca="1">IFERROR(__xludf.DUMMYFUNCTION("""COMPUTED_VALUE"""),"渋谷 雄大")</f>
        <v>渋谷 雄大</v>
      </c>
    </row>
    <row r="10128" spans="2:4" ht="13">
      <c r="B10128" s="12">
        <f ca="1">IFERROR(__xludf.DUMMYFUNCTION("""COMPUTED_VALUE"""),3700179)</f>
        <v>3700179</v>
      </c>
      <c r="C10128" s="14">
        <f ca="1">IFERROR(__xludf.DUMMYFUNCTION("""COMPUTED_VALUE"""),9)</f>
        <v>9</v>
      </c>
      <c r="D10128" s="12" t="str">
        <f ca="1">IFERROR(__xludf.DUMMYFUNCTION("""COMPUTED_VALUE"""),"渋谷 雄大")</f>
        <v>渋谷 雄大</v>
      </c>
    </row>
    <row r="10129" spans="2:4" ht="13">
      <c r="B10129" s="12">
        <f ca="1">IFERROR(__xludf.DUMMYFUNCTION("""COMPUTED_VALUE"""),3700180)</f>
        <v>3700180</v>
      </c>
      <c r="C10129" s="14">
        <f ca="1">IFERROR(__xludf.DUMMYFUNCTION("""COMPUTED_VALUE"""),106)</f>
        <v>106</v>
      </c>
      <c r="D10129" s="12" t="str">
        <f ca="1">IFERROR(__xludf.DUMMYFUNCTION("""COMPUTED_VALUE"""),"渋谷 雄大")</f>
        <v>渋谷 雄大</v>
      </c>
    </row>
    <row r="10130" spans="2:4" ht="13">
      <c r="B10130" s="12">
        <f ca="1">IFERROR(__xludf.DUMMYFUNCTION("""COMPUTED_VALUE"""),3700182)</f>
        <v>3700182</v>
      </c>
      <c r="C10130" s="14">
        <f ca="1">IFERROR(__xludf.DUMMYFUNCTION("""COMPUTED_VALUE"""),0)</f>
        <v>0</v>
      </c>
      <c r="D10130" s="12" t="str">
        <f ca="1">IFERROR(__xludf.DUMMYFUNCTION("""COMPUTED_VALUE"""),"渋谷 雄大")</f>
        <v>渋谷 雄大</v>
      </c>
    </row>
    <row r="10131" spans="2:4" ht="13">
      <c r="B10131" s="12">
        <f ca="1">IFERROR(__xludf.DUMMYFUNCTION("""COMPUTED_VALUE"""),3700185)</f>
        <v>3700185</v>
      </c>
      <c r="C10131" s="14">
        <f ca="1">IFERROR(__xludf.DUMMYFUNCTION("""COMPUTED_VALUE"""),25)</f>
        <v>25</v>
      </c>
      <c r="D10131" s="12" t="str">
        <f ca="1">IFERROR(__xludf.DUMMYFUNCTION("""COMPUTED_VALUE"""),"渋谷 雄大")</f>
        <v>渋谷 雄大</v>
      </c>
    </row>
    <row r="10132" spans="2:4" ht="13">
      <c r="B10132" s="12">
        <f ca="1">IFERROR(__xludf.DUMMYFUNCTION("""COMPUTED_VALUE"""),3700187)</f>
        <v>3700187</v>
      </c>
      <c r="C10132" s="14">
        <f ca="1">IFERROR(__xludf.DUMMYFUNCTION("""COMPUTED_VALUE"""),49)</f>
        <v>49</v>
      </c>
      <c r="D10132" s="12" t="str">
        <f ca="1">IFERROR(__xludf.DUMMYFUNCTION("""COMPUTED_VALUE"""),"渋谷 雄大")</f>
        <v>渋谷 雄大</v>
      </c>
    </row>
    <row r="10133" spans="2:4" ht="13">
      <c r="B10133" s="12">
        <f ca="1">IFERROR(__xludf.DUMMYFUNCTION("""COMPUTED_VALUE"""),3700191)</f>
        <v>3700191</v>
      </c>
      <c r="C10133" s="14">
        <f ca="1">IFERROR(__xludf.DUMMYFUNCTION("""COMPUTED_VALUE"""),69)</f>
        <v>69</v>
      </c>
      <c r="D10133" s="12" t="str">
        <f ca="1">IFERROR(__xludf.DUMMYFUNCTION("""COMPUTED_VALUE"""),"渋谷 雄大")</f>
        <v>渋谷 雄大</v>
      </c>
    </row>
    <row r="10134" spans="2:4" ht="13">
      <c r="B10134" s="12">
        <f ca="1">IFERROR(__xludf.DUMMYFUNCTION("""COMPUTED_VALUE"""),3700192)</f>
        <v>3700192</v>
      </c>
      <c r="C10134" s="14">
        <f ca="1">IFERROR(__xludf.DUMMYFUNCTION("""COMPUTED_VALUE"""),86)</f>
        <v>86</v>
      </c>
      <c r="D10134" s="12" t="str">
        <f ca="1">IFERROR(__xludf.DUMMYFUNCTION("""COMPUTED_VALUE"""),"渋谷 雄大")</f>
        <v>渋谷 雄大</v>
      </c>
    </row>
    <row r="10135" spans="2:4" ht="13">
      <c r="B10135" s="12">
        <f ca="1">IFERROR(__xludf.DUMMYFUNCTION("""COMPUTED_VALUE"""),3700198)</f>
        <v>3700198</v>
      </c>
      <c r="C10135" s="14">
        <f ca="1">IFERROR(__xludf.DUMMYFUNCTION("""COMPUTED_VALUE"""),9)</f>
        <v>9</v>
      </c>
      <c r="D10135" s="12" t="str">
        <f ca="1">IFERROR(__xludf.DUMMYFUNCTION("""COMPUTED_VALUE"""),"渋谷 雄大")</f>
        <v>渋谷 雄大</v>
      </c>
    </row>
    <row r="10136" spans="2:4" ht="13">
      <c r="B10136" s="12">
        <f ca="1">IFERROR(__xludf.DUMMYFUNCTION("""COMPUTED_VALUE"""),3700199)</f>
        <v>3700199</v>
      </c>
      <c r="C10136" s="14">
        <f ca="1">IFERROR(__xludf.DUMMYFUNCTION("""COMPUTED_VALUE"""),125)</f>
        <v>125</v>
      </c>
      <c r="D10136" s="12" t="str">
        <f ca="1">IFERROR(__xludf.DUMMYFUNCTION("""COMPUTED_VALUE"""),"渋谷 雄大")</f>
        <v>渋谷 雄大</v>
      </c>
    </row>
    <row r="10137" spans="2:4" ht="13">
      <c r="B10137" s="12">
        <f ca="1">IFERROR(__xludf.DUMMYFUNCTION("""COMPUTED_VALUE"""),3700201)</f>
        <v>3700201</v>
      </c>
      <c r="C10137" s="14">
        <f ca="1">IFERROR(__xludf.DUMMYFUNCTION("""COMPUTED_VALUE"""),0)</f>
        <v>0</v>
      </c>
      <c r="D10137" s="12" t="str">
        <f ca="1">IFERROR(__xludf.DUMMYFUNCTION("""COMPUTED_VALUE"""),"渋谷 雄大")</f>
        <v>渋谷 雄大</v>
      </c>
    </row>
    <row r="10138" spans="2:4" ht="13">
      <c r="B10138" s="12">
        <f ca="1">IFERROR(__xludf.DUMMYFUNCTION("""COMPUTED_VALUE"""),3700204)</f>
        <v>3700204</v>
      </c>
      <c r="C10138" s="14">
        <f ca="1">IFERROR(__xludf.DUMMYFUNCTION("""COMPUTED_VALUE"""),42)</f>
        <v>42</v>
      </c>
      <c r="D10138" s="12" t="str">
        <f ca="1">IFERROR(__xludf.DUMMYFUNCTION("""COMPUTED_VALUE"""),"渋谷 雄大")</f>
        <v>渋谷 雄大</v>
      </c>
    </row>
    <row r="10139" spans="2:4" ht="13">
      <c r="B10139" s="12">
        <f ca="1">IFERROR(__xludf.DUMMYFUNCTION("""COMPUTED_VALUE"""),3700210)</f>
        <v>3700210</v>
      </c>
      <c r="C10139" s="14">
        <f ca="1">IFERROR(__xludf.DUMMYFUNCTION("""COMPUTED_VALUE"""),1)</f>
        <v>1</v>
      </c>
      <c r="D10139" s="12" t="str">
        <f ca="1">IFERROR(__xludf.DUMMYFUNCTION("""COMPUTED_VALUE"""),"渋谷 雄大")</f>
        <v>渋谷 雄大</v>
      </c>
    </row>
    <row r="10140" spans="2:4" ht="13">
      <c r="B10140" s="12">
        <f ca="1">IFERROR(__xludf.DUMMYFUNCTION("""COMPUTED_VALUE"""),3700214)</f>
        <v>3700214</v>
      </c>
      <c r="C10140" s="14">
        <f ca="1">IFERROR(__xludf.DUMMYFUNCTION("""COMPUTED_VALUE"""),25)</f>
        <v>25</v>
      </c>
      <c r="D10140" s="12" t="str">
        <f ca="1">IFERROR(__xludf.DUMMYFUNCTION("""COMPUTED_VALUE"""),"渋谷 雄大")</f>
        <v>渋谷 雄大</v>
      </c>
    </row>
    <row r="10141" spans="2:4" ht="13">
      <c r="B10141" s="12">
        <f ca="1">IFERROR(__xludf.DUMMYFUNCTION("""COMPUTED_VALUE"""),3700217)</f>
        <v>3700217</v>
      </c>
      <c r="C10141" s="14">
        <f ca="1">IFERROR(__xludf.DUMMYFUNCTION("""COMPUTED_VALUE"""),62)</f>
        <v>62</v>
      </c>
      <c r="D10141" s="12" t="str">
        <f ca="1">IFERROR(__xludf.DUMMYFUNCTION("""COMPUTED_VALUE"""),"渋谷 雄大")</f>
        <v>渋谷 雄大</v>
      </c>
    </row>
    <row r="10142" spans="2:4" ht="13">
      <c r="B10142" s="12">
        <f ca="1">IFERROR(__xludf.DUMMYFUNCTION("""COMPUTED_VALUE"""),3700218)</f>
        <v>3700218</v>
      </c>
      <c r="C10142" s="14">
        <f ca="1">IFERROR(__xludf.DUMMYFUNCTION("""COMPUTED_VALUE"""),174)</f>
        <v>174</v>
      </c>
      <c r="D10142" s="12" t="str">
        <f ca="1">IFERROR(__xludf.DUMMYFUNCTION("""COMPUTED_VALUE"""),"渋谷 雄大")</f>
        <v>渋谷 雄大</v>
      </c>
    </row>
    <row r="10143" spans="2:4" ht="13">
      <c r="B10143" s="12">
        <f ca="1">IFERROR(__xludf.DUMMYFUNCTION("""COMPUTED_VALUE"""),3700219)</f>
        <v>3700219</v>
      </c>
      <c r="C10143" s="14">
        <f ca="1">IFERROR(__xludf.DUMMYFUNCTION("""COMPUTED_VALUE"""),92)</f>
        <v>92</v>
      </c>
      <c r="D10143" s="12" t="str">
        <f ca="1">IFERROR(__xludf.DUMMYFUNCTION("""COMPUTED_VALUE"""),"渋谷 雄大")</f>
        <v>渋谷 雄大</v>
      </c>
    </row>
    <row r="10144" spans="2:4" ht="13">
      <c r="B10144" s="12">
        <f ca="1">IFERROR(__xludf.DUMMYFUNCTION("""COMPUTED_VALUE"""),3700220)</f>
        <v>3700220</v>
      </c>
      <c r="C10144" s="14">
        <f ca="1">IFERROR(__xludf.DUMMYFUNCTION("""COMPUTED_VALUE"""),81)</f>
        <v>81</v>
      </c>
      <c r="D10144" s="12" t="str">
        <f ca="1">IFERROR(__xludf.DUMMYFUNCTION("""COMPUTED_VALUE"""),"渋谷 雄大")</f>
        <v>渋谷 雄大</v>
      </c>
    </row>
    <row r="10145" spans="2:4" ht="13">
      <c r="B10145" s="12">
        <f ca="1">IFERROR(__xludf.DUMMYFUNCTION("""COMPUTED_VALUE"""),3700223)</f>
        <v>3700223</v>
      </c>
      <c r="C10145" s="14">
        <f ca="1">IFERROR(__xludf.DUMMYFUNCTION("""COMPUTED_VALUE"""),24)</f>
        <v>24</v>
      </c>
      <c r="D10145" s="12" t="str">
        <f ca="1">IFERROR(__xludf.DUMMYFUNCTION("""COMPUTED_VALUE"""),"渋谷 雄大")</f>
        <v>渋谷 雄大</v>
      </c>
    </row>
    <row r="10146" spans="2:4" ht="13">
      <c r="B10146" s="12">
        <f ca="1">IFERROR(__xludf.DUMMYFUNCTION("""COMPUTED_VALUE"""),3700228)</f>
        <v>3700228</v>
      </c>
      <c r="C10146" s="14">
        <f ca="1">IFERROR(__xludf.DUMMYFUNCTION("""COMPUTED_VALUE"""),24)</f>
        <v>24</v>
      </c>
      <c r="D10146" s="12" t="str">
        <f ca="1">IFERROR(__xludf.DUMMYFUNCTION("""COMPUTED_VALUE"""),"渋谷 雄大")</f>
        <v>渋谷 雄大</v>
      </c>
    </row>
    <row r="10147" spans="2:4" ht="13">
      <c r="B10147" s="12">
        <f ca="1">IFERROR(__xludf.DUMMYFUNCTION("""COMPUTED_VALUE"""),3700236)</f>
        <v>3700236</v>
      </c>
      <c r="C10147" s="14">
        <f ca="1">IFERROR(__xludf.DUMMYFUNCTION("""COMPUTED_VALUE"""),124)</f>
        <v>124</v>
      </c>
      <c r="D10147" s="12" t="str">
        <f ca="1">IFERROR(__xludf.DUMMYFUNCTION("""COMPUTED_VALUE"""),"渋谷 雄大")</f>
        <v>渋谷 雄大</v>
      </c>
    </row>
    <row r="10148" spans="2:4" ht="13">
      <c r="B10148" s="12">
        <f ca="1">IFERROR(__xludf.DUMMYFUNCTION("""COMPUTED_VALUE"""),3700239)</f>
        <v>3700239</v>
      </c>
      <c r="C10148" s="14">
        <f ca="1">IFERROR(__xludf.DUMMYFUNCTION("""COMPUTED_VALUE"""),25)</f>
        <v>25</v>
      </c>
      <c r="D10148" s="12" t="str">
        <f ca="1">IFERROR(__xludf.DUMMYFUNCTION("""COMPUTED_VALUE"""),"渋谷 雄大")</f>
        <v>渋谷 雄大</v>
      </c>
    </row>
    <row r="10149" spans="2:4" ht="13">
      <c r="B10149" s="12">
        <f ca="1">IFERROR(__xludf.DUMMYFUNCTION("""COMPUTED_VALUE"""),3700243)</f>
        <v>3700243</v>
      </c>
      <c r="C10149" s="14">
        <f ca="1">IFERROR(__xludf.DUMMYFUNCTION("""COMPUTED_VALUE"""),26)</f>
        <v>26</v>
      </c>
      <c r="D10149" s="12" t="str">
        <f ca="1">IFERROR(__xludf.DUMMYFUNCTION("""COMPUTED_VALUE"""),"渋谷 雄大")</f>
        <v>渋谷 雄大</v>
      </c>
    </row>
    <row r="10150" spans="2:4" ht="13">
      <c r="B10150" s="12">
        <f ca="1">IFERROR(__xludf.DUMMYFUNCTION("""COMPUTED_VALUE"""),3700245)</f>
        <v>3700245</v>
      </c>
      <c r="C10150" s="14">
        <f ca="1">IFERROR(__xludf.DUMMYFUNCTION("""COMPUTED_VALUE"""),24)</f>
        <v>24</v>
      </c>
      <c r="D10150" s="12" t="str">
        <f ca="1">IFERROR(__xludf.DUMMYFUNCTION("""COMPUTED_VALUE"""),"渋谷 雄大")</f>
        <v>渋谷 雄大</v>
      </c>
    </row>
    <row r="10151" spans="2:4" ht="13">
      <c r="B10151" s="12">
        <f ca="1">IFERROR(__xludf.DUMMYFUNCTION("""COMPUTED_VALUE"""),3700246)</f>
        <v>3700246</v>
      </c>
      <c r="C10151" s="14">
        <f ca="1">IFERROR(__xludf.DUMMYFUNCTION("""COMPUTED_VALUE"""),32)</f>
        <v>32</v>
      </c>
      <c r="D10151" s="12" t="str">
        <f ca="1">IFERROR(__xludf.DUMMYFUNCTION("""COMPUTED_VALUE"""),"渋谷 雄大")</f>
        <v>渋谷 雄大</v>
      </c>
    </row>
    <row r="10152" spans="2:4" ht="13">
      <c r="B10152" s="12">
        <f ca="1">IFERROR(__xludf.DUMMYFUNCTION("""COMPUTED_VALUE"""),3700248)</f>
        <v>3700248</v>
      </c>
      <c r="C10152" s="14">
        <f ca="1">IFERROR(__xludf.DUMMYFUNCTION("""COMPUTED_VALUE"""),28)</f>
        <v>28</v>
      </c>
      <c r="D10152" s="12" t="str">
        <f ca="1">IFERROR(__xludf.DUMMYFUNCTION("""COMPUTED_VALUE"""),"渋谷 雄大")</f>
        <v>渋谷 雄大</v>
      </c>
    </row>
    <row r="10153" spans="2:4" ht="13">
      <c r="B10153" s="12">
        <f ca="1">IFERROR(__xludf.DUMMYFUNCTION("""COMPUTED_VALUE"""),3700249)</f>
        <v>3700249</v>
      </c>
      <c r="C10153" s="14">
        <f ca="1">IFERROR(__xludf.DUMMYFUNCTION("""COMPUTED_VALUE"""),19)</f>
        <v>19</v>
      </c>
      <c r="D10153" s="12" t="str">
        <f ca="1">IFERROR(__xludf.DUMMYFUNCTION("""COMPUTED_VALUE"""),"渋谷 雄大")</f>
        <v>渋谷 雄大</v>
      </c>
    </row>
    <row r="10154" spans="2:4" ht="13">
      <c r="B10154" s="12">
        <f ca="1">IFERROR(__xludf.DUMMYFUNCTION("""COMPUTED_VALUE"""),3700256)</f>
        <v>3700256</v>
      </c>
      <c r="C10154" s="14">
        <f ca="1">IFERROR(__xludf.DUMMYFUNCTION("""COMPUTED_VALUE"""),0)</f>
        <v>0</v>
      </c>
      <c r="D10154" s="12" t="str">
        <f ca="1">IFERROR(__xludf.DUMMYFUNCTION("""COMPUTED_VALUE"""),"渋谷 雄大")</f>
        <v>渋谷 雄大</v>
      </c>
    </row>
    <row r="10155" spans="2:4" ht="13">
      <c r="B10155" s="12">
        <f ca="1">IFERROR(__xludf.DUMMYFUNCTION("""COMPUTED_VALUE"""),3700257)</f>
        <v>3700257</v>
      </c>
      <c r="C10155" s="14">
        <f ca="1">IFERROR(__xludf.DUMMYFUNCTION("""COMPUTED_VALUE"""),4)</f>
        <v>4</v>
      </c>
      <c r="D10155" s="12" t="str">
        <f ca="1">IFERROR(__xludf.DUMMYFUNCTION("""COMPUTED_VALUE"""),"渋谷 雄大")</f>
        <v>渋谷 雄大</v>
      </c>
    </row>
    <row r="10156" spans="2:4" ht="13">
      <c r="B10156" s="12">
        <f ca="1">IFERROR(__xludf.DUMMYFUNCTION("""COMPUTED_VALUE"""),3700258)</f>
        <v>3700258</v>
      </c>
      <c r="C10156" s="14">
        <f ca="1">IFERROR(__xludf.DUMMYFUNCTION("""COMPUTED_VALUE"""),9)</f>
        <v>9</v>
      </c>
      <c r="D10156" s="12" t="str">
        <f ca="1">IFERROR(__xludf.DUMMYFUNCTION("""COMPUTED_VALUE"""),"渋谷 雄大")</f>
        <v>渋谷 雄大</v>
      </c>
    </row>
    <row r="10157" spans="2:4" ht="13">
      <c r="B10157" s="12">
        <f ca="1">IFERROR(__xludf.DUMMYFUNCTION("""COMPUTED_VALUE"""),3700260)</f>
        <v>3700260</v>
      </c>
      <c r="C10157" s="14">
        <f ca="1">IFERROR(__xludf.DUMMYFUNCTION("""COMPUTED_VALUE"""),0)</f>
        <v>0</v>
      </c>
      <c r="D10157" s="12" t="str">
        <f ca="1">IFERROR(__xludf.DUMMYFUNCTION("""COMPUTED_VALUE"""),"渋谷 雄大")</f>
        <v>渋谷 雄大</v>
      </c>
    </row>
    <row r="10158" spans="2:4" ht="13">
      <c r="B10158" s="12">
        <f ca="1">IFERROR(__xludf.DUMMYFUNCTION("""COMPUTED_VALUE"""),3700261)</f>
        <v>3700261</v>
      </c>
      <c r="C10158" s="14">
        <f ca="1">IFERROR(__xludf.DUMMYFUNCTION("""COMPUTED_VALUE"""),5)</f>
        <v>5</v>
      </c>
      <c r="D10158" s="12" t="str">
        <f ca="1">IFERROR(__xludf.DUMMYFUNCTION("""COMPUTED_VALUE"""),"渋谷 雄大")</f>
        <v>渋谷 雄大</v>
      </c>
    </row>
    <row r="10159" spans="2:4" ht="13">
      <c r="B10159" s="12">
        <f ca="1">IFERROR(__xludf.DUMMYFUNCTION("""COMPUTED_VALUE"""),3700264)</f>
        <v>3700264</v>
      </c>
      <c r="C10159" s="14">
        <f ca="1">IFERROR(__xludf.DUMMYFUNCTION("""COMPUTED_VALUE"""),19)</f>
        <v>19</v>
      </c>
      <c r="D10159" s="12" t="str">
        <f ca="1">IFERROR(__xludf.DUMMYFUNCTION("""COMPUTED_VALUE"""),"渋谷 雄大")</f>
        <v>渋谷 雄大</v>
      </c>
    </row>
    <row r="10160" spans="2:4" ht="13">
      <c r="B10160" s="12">
        <f ca="1">IFERROR(__xludf.DUMMYFUNCTION("""COMPUTED_VALUE"""),3700268)</f>
        <v>3700268</v>
      </c>
      <c r="C10160" s="14">
        <f ca="1">IFERROR(__xludf.DUMMYFUNCTION("""COMPUTED_VALUE"""),44)</f>
        <v>44</v>
      </c>
      <c r="D10160" s="12" t="str">
        <f ca="1">IFERROR(__xludf.DUMMYFUNCTION("""COMPUTED_VALUE"""),"渋谷 雄大")</f>
        <v>渋谷 雄大</v>
      </c>
    </row>
    <row r="10161" spans="2:4" ht="13">
      <c r="B10161" s="12">
        <f ca="1">IFERROR(__xludf.DUMMYFUNCTION("""COMPUTED_VALUE"""),3700269)</f>
        <v>3700269</v>
      </c>
      <c r="C10161" s="14">
        <f ca="1">IFERROR(__xludf.DUMMYFUNCTION("""COMPUTED_VALUE"""),119)</f>
        <v>119</v>
      </c>
      <c r="D10161" s="12" t="str">
        <f ca="1">IFERROR(__xludf.DUMMYFUNCTION("""COMPUTED_VALUE"""),"渋谷 雄大")</f>
        <v>渋谷 雄大</v>
      </c>
    </row>
    <row r="10162" spans="2:4" ht="13">
      <c r="B10162" s="12">
        <f ca="1">IFERROR(__xludf.DUMMYFUNCTION("""COMPUTED_VALUE"""),3700270)</f>
        <v>3700270</v>
      </c>
      <c r="C10162" s="14">
        <f ca="1">IFERROR(__xludf.DUMMYFUNCTION("""COMPUTED_VALUE"""),69)</f>
        <v>69</v>
      </c>
      <c r="D10162" s="12" t="str">
        <f ca="1">IFERROR(__xludf.DUMMYFUNCTION("""COMPUTED_VALUE"""),"渋谷 雄大")</f>
        <v>渋谷 雄大</v>
      </c>
    </row>
    <row r="10163" spans="2:4" ht="13">
      <c r="B10163" s="12">
        <f ca="1">IFERROR(__xludf.DUMMYFUNCTION("""COMPUTED_VALUE"""),3700276)</f>
        <v>3700276</v>
      </c>
      <c r="C10163" s="14">
        <f ca="1">IFERROR(__xludf.DUMMYFUNCTION("""COMPUTED_VALUE"""),82)</f>
        <v>82</v>
      </c>
      <c r="D10163" s="12" t="str">
        <f ca="1">IFERROR(__xludf.DUMMYFUNCTION("""COMPUTED_VALUE"""),"渋谷 雄大")</f>
        <v>渋谷 雄大</v>
      </c>
    </row>
    <row r="10164" spans="2:4" ht="13">
      <c r="B10164" s="12">
        <f ca="1">IFERROR(__xludf.DUMMYFUNCTION("""COMPUTED_VALUE"""),3700277)</f>
        <v>3700277</v>
      </c>
      <c r="C10164" s="14">
        <f ca="1">IFERROR(__xludf.DUMMYFUNCTION("""COMPUTED_VALUE"""),25)</f>
        <v>25</v>
      </c>
      <c r="D10164" s="12" t="str">
        <f ca="1">IFERROR(__xludf.DUMMYFUNCTION("""COMPUTED_VALUE"""),"渋谷 雄大")</f>
        <v>渋谷 雄大</v>
      </c>
    </row>
    <row r="10165" spans="2:4" ht="13">
      <c r="B10165" s="12">
        <f ca="1">IFERROR(__xludf.DUMMYFUNCTION("""COMPUTED_VALUE"""),3700278)</f>
        <v>3700278</v>
      </c>
      <c r="C10165" s="14">
        <f ca="1">IFERROR(__xludf.DUMMYFUNCTION("""COMPUTED_VALUE"""),18)</f>
        <v>18</v>
      </c>
      <c r="D10165" s="12" t="str">
        <f ca="1">IFERROR(__xludf.DUMMYFUNCTION("""COMPUTED_VALUE"""),"渋谷 雄大")</f>
        <v>渋谷 雄大</v>
      </c>
    </row>
    <row r="10166" spans="2:4" ht="13">
      <c r="B10166" s="12">
        <f ca="1">IFERROR(__xludf.DUMMYFUNCTION("""COMPUTED_VALUE"""),3700281)</f>
        <v>3700281</v>
      </c>
      <c r="C10166" s="14">
        <f ca="1">IFERROR(__xludf.DUMMYFUNCTION("""COMPUTED_VALUE"""),25)</f>
        <v>25</v>
      </c>
      <c r="D10166" s="12" t="str">
        <f ca="1">IFERROR(__xludf.DUMMYFUNCTION("""COMPUTED_VALUE"""),"渋谷 雄大")</f>
        <v>渋谷 雄大</v>
      </c>
    </row>
    <row r="10167" spans="2:4" ht="13">
      <c r="B10167" s="12">
        <f ca="1">IFERROR(__xludf.DUMMYFUNCTION("""COMPUTED_VALUE"""),3700282)</f>
        <v>3700282</v>
      </c>
      <c r="C10167" s="14">
        <f ca="1">IFERROR(__xludf.DUMMYFUNCTION("""COMPUTED_VALUE"""),11)</f>
        <v>11</v>
      </c>
      <c r="D10167" s="12" t="str">
        <f ca="1">IFERROR(__xludf.DUMMYFUNCTION("""COMPUTED_VALUE"""),"渋谷 雄大")</f>
        <v>渋谷 雄大</v>
      </c>
    </row>
    <row r="10168" spans="2:4" ht="13">
      <c r="B10168" s="12">
        <f ca="1">IFERROR(__xludf.DUMMYFUNCTION("""COMPUTED_VALUE"""),3700283)</f>
        <v>3700283</v>
      </c>
      <c r="C10168" s="14">
        <f ca="1">IFERROR(__xludf.DUMMYFUNCTION("""COMPUTED_VALUE"""),1)</f>
        <v>1</v>
      </c>
      <c r="D10168" s="12" t="str">
        <f ca="1">IFERROR(__xludf.DUMMYFUNCTION("""COMPUTED_VALUE"""),"渋谷 雄大")</f>
        <v>渋谷 雄大</v>
      </c>
    </row>
    <row r="10169" spans="2:4" ht="13">
      <c r="B10169" s="12">
        <f ca="1">IFERROR(__xludf.DUMMYFUNCTION("""COMPUTED_VALUE"""),3700285)</f>
        <v>3700285</v>
      </c>
      <c r="C10169" s="14">
        <f ca="1">IFERROR(__xludf.DUMMYFUNCTION("""COMPUTED_VALUE"""),25)</f>
        <v>25</v>
      </c>
      <c r="D10169" s="12" t="str">
        <f ca="1">IFERROR(__xludf.DUMMYFUNCTION("""COMPUTED_VALUE"""),"渋谷 雄大")</f>
        <v>渋谷 雄大</v>
      </c>
    </row>
    <row r="10170" spans="2:4" ht="13">
      <c r="B10170" s="12">
        <f ca="1">IFERROR(__xludf.DUMMYFUNCTION("""COMPUTED_VALUE"""),3700288)</f>
        <v>3700288</v>
      </c>
      <c r="C10170" s="14">
        <f ca="1">IFERROR(__xludf.DUMMYFUNCTION("""COMPUTED_VALUE"""),38)</f>
        <v>38</v>
      </c>
      <c r="D10170" s="12" t="str">
        <f ca="1">IFERROR(__xludf.DUMMYFUNCTION("""COMPUTED_VALUE"""),"渋谷 雄大")</f>
        <v>渋谷 雄大</v>
      </c>
    </row>
    <row r="10171" spans="2:4" ht="13">
      <c r="B10171" s="12">
        <f ca="1">IFERROR(__xludf.DUMMYFUNCTION("""COMPUTED_VALUE"""),3700294)</f>
        <v>3700294</v>
      </c>
      <c r="C10171" s="14">
        <f ca="1">IFERROR(__xludf.DUMMYFUNCTION("""COMPUTED_VALUE"""),37)</f>
        <v>37</v>
      </c>
      <c r="D10171" s="12" t="str">
        <f ca="1">IFERROR(__xludf.DUMMYFUNCTION("""COMPUTED_VALUE"""),"渋谷 雄大")</f>
        <v>渋谷 雄大</v>
      </c>
    </row>
    <row r="10172" spans="2:4" ht="13">
      <c r="B10172" s="12">
        <f ca="1">IFERROR(__xludf.DUMMYFUNCTION("""COMPUTED_VALUE"""),3700298)</f>
        <v>3700298</v>
      </c>
      <c r="C10172" s="14">
        <f ca="1">IFERROR(__xludf.DUMMYFUNCTION("""COMPUTED_VALUE"""),27)</f>
        <v>27</v>
      </c>
      <c r="D10172" s="12" t="str">
        <f ca="1">IFERROR(__xludf.DUMMYFUNCTION("""COMPUTED_VALUE"""),"渋谷 雄大")</f>
        <v>渋谷 雄大</v>
      </c>
    </row>
    <row r="10173" spans="2:4" ht="13">
      <c r="B10173" s="12">
        <f ca="1">IFERROR(__xludf.DUMMYFUNCTION("""COMPUTED_VALUE"""),3700301)</f>
        <v>3700301</v>
      </c>
      <c r="C10173" s="14">
        <f ca="1">IFERROR(__xludf.DUMMYFUNCTION("""COMPUTED_VALUE"""),5)</f>
        <v>5</v>
      </c>
      <c r="D10173" s="12" t="str">
        <f ca="1">IFERROR(__xludf.DUMMYFUNCTION("""COMPUTED_VALUE"""),"渋谷 雄大")</f>
        <v>渋谷 雄大</v>
      </c>
    </row>
    <row r="10174" spans="2:4" ht="13">
      <c r="B10174" s="12">
        <f ca="1">IFERROR(__xludf.DUMMYFUNCTION("""COMPUTED_VALUE"""),3700302)</f>
        <v>3700302</v>
      </c>
      <c r="C10174" s="14">
        <f ca="1">IFERROR(__xludf.DUMMYFUNCTION("""COMPUTED_VALUE"""),12)</f>
        <v>12</v>
      </c>
      <c r="D10174" s="12" t="str">
        <f ca="1">IFERROR(__xludf.DUMMYFUNCTION("""COMPUTED_VALUE"""),"渋谷 雄大")</f>
        <v>渋谷 雄大</v>
      </c>
    </row>
    <row r="10175" spans="2:4" ht="13">
      <c r="B10175" s="12">
        <f ca="1">IFERROR(__xludf.DUMMYFUNCTION("""COMPUTED_VALUE"""),3700303)</f>
        <v>3700303</v>
      </c>
      <c r="C10175" s="14">
        <f ca="1">IFERROR(__xludf.DUMMYFUNCTION("""COMPUTED_VALUE"""),12)</f>
        <v>12</v>
      </c>
      <c r="D10175" s="12" t="str">
        <f ca="1">IFERROR(__xludf.DUMMYFUNCTION("""COMPUTED_VALUE"""),"渋谷 雄大")</f>
        <v>渋谷 雄大</v>
      </c>
    </row>
    <row r="10176" spans="2:4" ht="13">
      <c r="B10176" s="12">
        <f ca="1">IFERROR(__xludf.DUMMYFUNCTION("""COMPUTED_VALUE"""),3700310)</f>
        <v>3700310</v>
      </c>
      <c r="C10176" s="14">
        <f ca="1">IFERROR(__xludf.DUMMYFUNCTION("""COMPUTED_VALUE"""),27)</f>
        <v>27</v>
      </c>
      <c r="D10176" s="12" t="str">
        <f ca="1">IFERROR(__xludf.DUMMYFUNCTION("""COMPUTED_VALUE"""),"渋谷 雄大")</f>
        <v>渋谷 雄大</v>
      </c>
    </row>
    <row r="10177" spans="2:4" ht="13">
      <c r="B10177" s="12">
        <f ca="1">IFERROR(__xludf.DUMMYFUNCTION("""COMPUTED_VALUE"""),3700312)</f>
        <v>3700312</v>
      </c>
      <c r="C10177" s="14">
        <f ca="1">IFERROR(__xludf.DUMMYFUNCTION("""COMPUTED_VALUE"""),16)</f>
        <v>16</v>
      </c>
      <c r="D10177" s="12" t="str">
        <f ca="1">IFERROR(__xludf.DUMMYFUNCTION("""COMPUTED_VALUE"""),"渋谷 雄大")</f>
        <v>渋谷 雄大</v>
      </c>
    </row>
    <row r="10178" spans="2:4" ht="13">
      <c r="B10178" s="12">
        <f ca="1">IFERROR(__xludf.DUMMYFUNCTION("""COMPUTED_VALUE"""),3700317)</f>
        <v>3700317</v>
      </c>
      <c r="C10178" s="14">
        <f ca="1">IFERROR(__xludf.DUMMYFUNCTION("""COMPUTED_VALUE"""),13)</f>
        <v>13</v>
      </c>
      <c r="D10178" s="12" t="str">
        <f ca="1">IFERROR(__xludf.DUMMYFUNCTION("""COMPUTED_VALUE"""),"渋谷 雄大")</f>
        <v>渋谷 雄大</v>
      </c>
    </row>
    <row r="10179" spans="2:4" ht="13">
      <c r="B10179" s="12">
        <f ca="1">IFERROR(__xludf.DUMMYFUNCTION("""COMPUTED_VALUE"""),3700322)</f>
        <v>3700322</v>
      </c>
      <c r="C10179" s="14">
        <f ca="1">IFERROR(__xludf.DUMMYFUNCTION("""COMPUTED_VALUE"""),17)</f>
        <v>17</v>
      </c>
      <c r="D10179" s="12" t="str">
        <f ca="1">IFERROR(__xludf.DUMMYFUNCTION("""COMPUTED_VALUE"""),"渋谷 雄大")</f>
        <v>渋谷 雄大</v>
      </c>
    </row>
    <row r="10180" spans="2:4" ht="13">
      <c r="B10180" s="12">
        <f ca="1">IFERROR(__xludf.DUMMYFUNCTION("""COMPUTED_VALUE"""),3700328)</f>
        <v>3700328</v>
      </c>
      <c r="C10180" s="14">
        <f ca="1">IFERROR(__xludf.DUMMYFUNCTION("""COMPUTED_VALUE"""),24)</f>
        <v>24</v>
      </c>
      <c r="D10180" s="12" t="str">
        <f ca="1">IFERROR(__xludf.DUMMYFUNCTION("""COMPUTED_VALUE"""),"渋谷 雄大")</f>
        <v>渋谷 雄大</v>
      </c>
    </row>
    <row r="10181" spans="2:4" ht="13">
      <c r="B10181" s="12">
        <f ca="1">IFERROR(__xludf.DUMMYFUNCTION("""COMPUTED_VALUE"""),3700331)</f>
        <v>3700331</v>
      </c>
      <c r="C10181" s="14">
        <f ca="1">IFERROR(__xludf.DUMMYFUNCTION("""COMPUTED_VALUE"""),29)</f>
        <v>29</v>
      </c>
      <c r="D10181" s="12" t="str">
        <f ca="1">IFERROR(__xludf.DUMMYFUNCTION("""COMPUTED_VALUE"""),"渋谷 雄大")</f>
        <v>渋谷 雄大</v>
      </c>
    </row>
    <row r="10182" spans="2:4" ht="13">
      <c r="B10182" s="12">
        <f ca="1">IFERROR(__xludf.DUMMYFUNCTION("""COMPUTED_VALUE"""),3700335)</f>
        <v>3700335</v>
      </c>
      <c r="C10182" s="14">
        <f ca="1">IFERROR(__xludf.DUMMYFUNCTION("""COMPUTED_VALUE"""),0)</f>
        <v>0</v>
      </c>
      <c r="D10182" s="12" t="str">
        <f ca="1">IFERROR(__xludf.DUMMYFUNCTION("""COMPUTED_VALUE"""),"渋谷 雄大")</f>
        <v>渋谷 雄大</v>
      </c>
    </row>
    <row r="10183" spans="2:4" ht="13">
      <c r="B10183" s="12">
        <f ca="1">IFERROR(__xludf.DUMMYFUNCTION("""COMPUTED_VALUE"""),3700336)</f>
        <v>3700336</v>
      </c>
      <c r="C10183" s="14">
        <f ca="1">IFERROR(__xludf.DUMMYFUNCTION("""COMPUTED_VALUE"""),21)</f>
        <v>21</v>
      </c>
      <c r="D10183" s="12" t="str">
        <f ca="1">IFERROR(__xludf.DUMMYFUNCTION("""COMPUTED_VALUE"""),"渋谷 雄大")</f>
        <v>渋谷 雄大</v>
      </c>
    </row>
    <row r="10184" spans="2:4" ht="13">
      <c r="B10184" s="12">
        <f ca="1">IFERROR(__xludf.DUMMYFUNCTION("""COMPUTED_VALUE"""),3700338)</f>
        <v>3700338</v>
      </c>
      <c r="C10184" s="14">
        <f ca="1">IFERROR(__xludf.DUMMYFUNCTION("""COMPUTED_VALUE"""),0)</f>
        <v>0</v>
      </c>
      <c r="D10184" s="12" t="str">
        <f ca="1">IFERROR(__xludf.DUMMYFUNCTION("""COMPUTED_VALUE"""),"渋谷 雄大")</f>
        <v>渋谷 雄大</v>
      </c>
    </row>
    <row r="10185" spans="2:4" ht="13">
      <c r="B10185" s="12">
        <f ca="1">IFERROR(__xludf.DUMMYFUNCTION("""COMPUTED_VALUE"""),3700339)</f>
        <v>3700339</v>
      </c>
      <c r="C10185" s="14">
        <f ca="1">IFERROR(__xludf.DUMMYFUNCTION("""COMPUTED_VALUE"""),0)</f>
        <v>0</v>
      </c>
      <c r="D10185" s="12" t="str">
        <f ca="1">IFERROR(__xludf.DUMMYFUNCTION("""COMPUTED_VALUE"""),"渋谷 雄大")</f>
        <v>渋谷 雄大</v>
      </c>
    </row>
    <row r="10186" spans="2:4" ht="13">
      <c r="B10186" s="12">
        <f ca="1">IFERROR(__xludf.DUMMYFUNCTION("""COMPUTED_VALUE"""),3700345)</f>
        <v>3700345</v>
      </c>
      <c r="C10186" s="14">
        <f ca="1">IFERROR(__xludf.DUMMYFUNCTION("""COMPUTED_VALUE"""),21)</f>
        <v>21</v>
      </c>
      <c r="D10186" s="12" t="str">
        <f ca="1">IFERROR(__xludf.DUMMYFUNCTION("""COMPUTED_VALUE"""),"渋谷 雄大")</f>
        <v>渋谷 雄大</v>
      </c>
    </row>
    <row r="10187" spans="2:4" ht="13">
      <c r="B10187" s="12">
        <f ca="1">IFERROR(__xludf.DUMMYFUNCTION("""COMPUTED_VALUE"""),3700347)</f>
        <v>3700347</v>
      </c>
      <c r="C10187" s="14">
        <f ca="1">IFERROR(__xludf.DUMMYFUNCTION("""COMPUTED_VALUE"""),31)</f>
        <v>31</v>
      </c>
      <c r="D10187" s="12" t="str">
        <f ca="1">IFERROR(__xludf.DUMMYFUNCTION("""COMPUTED_VALUE"""),"渋谷 雄大")</f>
        <v>渋谷 雄大</v>
      </c>
    </row>
    <row r="10188" spans="2:4" ht="13">
      <c r="B10188" s="12">
        <f ca="1">IFERROR(__xludf.DUMMYFUNCTION("""COMPUTED_VALUE"""),3700351)</f>
        <v>3700351</v>
      </c>
      <c r="C10188" s="14">
        <f ca="1">IFERROR(__xludf.DUMMYFUNCTION("""COMPUTED_VALUE"""),101)</f>
        <v>101</v>
      </c>
      <c r="D10188" s="12" t="str">
        <f ca="1">IFERROR(__xludf.DUMMYFUNCTION("""COMPUTED_VALUE"""),"渋谷 雄大")</f>
        <v>渋谷 雄大</v>
      </c>
    </row>
    <row r="10189" spans="2:4" ht="13">
      <c r="B10189" s="12">
        <f ca="1">IFERROR(__xludf.DUMMYFUNCTION("""COMPUTED_VALUE"""),3700357)</f>
        <v>3700357</v>
      </c>
      <c r="C10189" s="14">
        <f ca="1">IFERROR(__xludf.DUMMYFUNCTION("""COMPUTED_VALUE"""),0)</f>
        <v>0</v>
      </c>
      <c r="D10189" s="12" t="str">
        <f ca="1">IFERROR(__xludf.DUMMYFUNCTION("""COMPUTED_VALUE"""),"渋谷 雄大")</f>
        <v>渋谷 雄大</v>
      </c>
    </row>
    <row r="10190" spans="2:4" ht="13">
      <c r="B10190" s="12">
        <f ca="1">IFERROR(__xludf.DUMMYFUNCTION("""COMPUTED_VALUE"""),3700359)</f>
        <v>3700359</v>
      </c>
      <c r="C10190" s="14">
        <f ca="1">IFERROR(__xludf.DUMMYFUNCTION("""COMPUTED_VALUE"""),30)</f>
        <v>30</v>
      </c>
      <c r="D10190" s="12" t="str">
        <f ca="1">IFERROR(__xludf.DUMMYFUNCTION("""COMPUTED_VALUE"""),"渋谷 雄大")</f>
        <v>渋谷 雄大</v>
      </c>
    </row>
    <row r="10191" spans="2:4" ht="13">
      <c r="B10191" s="12">
        <f ca="1">IFERROR(__xludf.DUMMYFUNCTION("""COMPUTED_VALUE"""),3700360)</f>
        <v>3700360</v>
      </c>
      <c r="C10191" s="14">
        <f ca="1">IFERROR(__xludf.DUMMYFUNCTION("""COMPUTED_VALUE"""),39)</f>
        <v>39</v>
      </c>
      <c r="D10191" s="12" t="str">
        <f ca="1">IFERROR(__xludf.DUMMYFUNCTION("""COMPUTED_VALUE"""),"渋谷 雄大")</f>
        <v>渋谷 雄大</v>
      </c>
    </row>
    <row r="10192" spans="2:4" ht="13">
      <c r="B10192" s="12">
        <f ca="1">IFERROR(__xludf.DUMMYFUNCTION("""COMPUTED_VALUE"""),3700367)</f>
        <v>3700367</v>
      </c>
      <c r="C10192" s="14">
        <f ca="1">IFERROR(__xludf.DUMMYFUNCTION("""COMPUTED_VALUE"""),45)</f>
        <v>45</v>
      </c>
      <c r="D10192" s="12" t="str">
        <f ca="1">IFERROR(__xludf.DUMMYFUNCTION("""COMPUTED_VALUE"""),"渋谷 雄大")</f>
        <v>渋谷 雄大</v>
      </c>
    </row>
    <row r="10193" spans="2:4" ht="13">
      <c r="B10193" s="12">
        <f ca="1">IFERROR(__xludf.DUMMYFUNCTION("""COMPUTED_VALUE"""),3700368)</f>
        <v>3700368</v>
      </c>
      <c r="C10193" s="14">
        <f ca="1">IFERROR(__xludf.DUMMYFUNCTION("""COMPUTED_VALUE"""),0)</f>
        <v>0</v>
      </c>
      <c r="D10193" s="12" t="str">
        <f ca="1">IFERROR(__xludf.DUMMYFUNCTION("""COMPUTED_VALUE"""),"渋谷 雄大")</f>
        <v>渋谷 雄大</v>
      </c>
    </row>
    <row r="10194" spans="2:4" ht="13">
      <c r="B10194" s="12">
        <f ca="1">IFERROR(__xludf.DUMMYFUNCTION("""COMPUTED_VALUE"""),3700369)</f>
        <v>3700369</v>
      </c>
      <c r="C10194" s="14">
        <f ca="1">IFERROR(__xludf.DUMMYFUNCTION("""COMPUTED_VALUE"""),33)</f>
        <v>33</v>
      </c>
      <c r="D10194" s="12" t="str">
        <f ca="1">IFERROR(__xludf.DUMMYFUNCTION("""COMPUTED_VALUE"""),"渋谷 雄大")</f>
        <v>渋谷 雄大</v>
      </c>
    </row>
    <row r="10195" spans="2:4" ht="13">
      <c r="B10195" s="12">
        <f ca="1">IFERROR(__xludf.DUMMYFUNCTION("""COMPUTED_VALUE"""),3700370)</f>
        <v>3700370</v>
      </c>
      <c r="C10195" s="14">
        <f ca="1">IFERROR(__xludf.DUMMYFUNCTION("""COMPUTED_VALUE"""),29)</f>
        <v>29</v>
      </c>
      <c r="D10195" s="12" t="str">
        <f ca="1">IFERROR(__xludf.DUMMYFUNCTION("""COMPUTED_VALUE"""),"渋谷 雄大")</f>
        <v>渋谷 雄大</v>
      </c>
    </row>
    <row r="10196" spans="2:4" ht="13">
      <c r="B10196" s="12">
        <f ca="1">IFERROR(__xludf.DUMMYFUNCTION("""COMPUTED_VALUE"""),3700372)</f>
        <v>3700372</v>
      </c>
      <c r="C10196" s="14">
        <f ca="1">IFERROR(__xludf.DUMMYFUNCTION("""COMPUTED_VALUE"""),55)</f>
        <v>55</v>
      </c>
      <c r="D10196" s="12" t="str">
        <f ca="1">IFERROR(__xludf.DUMMYFUNCTION("""COMPUTED_VALUE"""),"渋谷 雄大")</f>
        <v>渋谷 雄大</v>
      </c>
    </row>
    <row r="10197" spans="2:4" ht="13">
      <c r="B10197" s="12">
        <f ca="1">IFERROR(__xludf.DUMMYFUNCTION("""COMPUTED_VALUE"""),3700373)</f>
        <v>3700373</v>
      </c>
      <c r="C10197" s="14">
        <f ca="1">IFERROR(__xludf.DUMMYFUNCTION("""COMPUTED_VALUE"""),28)</f>
        <v>28</v>
      </c>
      <c r="D10197" s="12" t="str">
        <f ca="1">IFERROR(__xludf.DUMMYFUNCTION("""COMPUTED_VALUE"""),"渋谷 雄大")</f>
        <v>渋谷 雄大</v>
      </c>
    </row>
    <row r="10198" spans="2:4" ht="13">
      <c r="B10198" s="12">
        <f ca="1">IFERROR(__xludf.DUMMYFUNCTION("""COMPUTED_VALUE"""),3700375)</f>
        <v>3700375</v>
      </c>
      <c r="C10198" s="14">
        <f ca="1">IFERROR(__xludf.DUMMYFUNCTION("""COMPUTED_VALUE"""),0)</f>
        <v>0</v>
      </c>
      <c r="D10198" s="12" t="str">
        <f ca="1">IFERROR(__xludf.DUMMYFUNCTION("""COMPUTED_VALUE"""),"渋谷 雄大")</f>
        <v>渋谷 雄大</v>
      </c>
    </row>
    <row r="10199" spans="2:4" ht="13">
      <c r="B10199" s="12">
        <f ca="1">IFERROR(__xludf.DUMMYFUNCTION("""COMPUTED_VALUE"""),3700376)</f>
        <v>3700376</v>
      </c>
      <c r="C10199" s="14">
        <f ca="1">IFERROR(__xludf.DUMMYFUNCTION("""COMPUTED_VALUE"""),18)</f>
        <v>18</v>
      </c>
      <c r="D10199" s="12" t="str">
        <f ca="1">IFERROR(__xludf.DUMMYFUNCTION("""COMPUTED_VALUE"""),"渋谷 雄大")</f>
        <v>渋谷 雄大</v>
      </c>
    </row>
    <row r="10200" spans="2:4" ht="13">
      <c r="B10200" s="12">
        <f ca="1">IFERROR(__xludf.DUMMYFUNCTION("""COMPUTED_VALUE"""),3700377)</f>
        <v>3700377</v>
      </c>
      <c r="C10200" s="14">
        <f ca="1">IFERROR(__xludf.DUMMYFUNCTION("""COMPUTED_VALUE"""),21)</f>
        <v>21</v>
      </c>
      <c r="D10200" s="12" t="str">
        <f ca="1">IFERROR(__xludf.DUMMYFUNCTION("""COMPUTED_VALUE"""),"渋谷 雄大")</f>
        <v>渋谷 雄大</v>
      </c>
    </row>
    <row r="10201" spans="2:4" ht="13">
      <c r="B10201" s="12">
        <f ca="1">IFERROR(__xludf.DUMMYFUNCTION("""COMPUTED_VALUE"""),3700379)</f>
        <v>3700379</v>
      </c>
      <c r="C10201" s="14">
        <f ca="1">IFERROR(__xludf.DUMMYFUNCTION("""COMPUTED_VALUE"""),92)</f>
        <v>92</v>
      </c>
      <c r="D10201" s="12" t="str">
        <f ca="1">IFERROR(__xludf.DUMMYFUNCTION("""COMPUTED_VALUE"""),"渋谷 雄大")</f>
        <v>渋谷 雄大</v>
      </c>
    </row>
    <row r="10202" spans="2:4" ht="13">
      <c r="B10202" s="12">
        <f ca="1">IFERROR(__xludf.DUMMYFUNCTION("""COMPUTED_VALUE"""),3700381)</f>
        <v>3700381</v>
      </c>
      <c r="C10202" s="14">
        <f ca="1">IFERROR(__xludf.DUMMYFUNCTION("""COMPUTED_VALUE"""),70)</f>
        <v>70</v>
      </c>
      <c r="D10202" s="12" t="str">
        <f ca="1">IFERROR(__xludf.DUMMYFUNCTION("""COMPUTED_VALUE"""),"渋谷 雄大")</f>
        <v>渋谷 雄大</v>
      </c>
    </row>
    <row r="10203" spans="2:4" ht="13">
      <c r="B10203" s="12">
        <f ca="1">IFERROR(__xludf.DUMMYFUNCTION("""COMPUTED_VALUE"""),3700383)</f>
        <v>3700383</v>
      </c>
      <c r="C10203" s="14">
        <f ca="1">IFERROR(__xludf.DUMMYFUNCTION("""COMPUTED_VALUE"""),178)</f>
        <v>178</v>
      </c>
      <c r="D10203" s="12" t="str">
        <f ca="1">IFERROR(__xludf.DUMMYFUNCTION("""COMPUTED_VALUE"""),"渋谷 雄大")</f>
        <v>渋谷 雄大</v>
      </c>
    </row>
    <row r="10204" spans="2:4" ht="13">
      <c r="B10204" s="12">
        <f ca="1">IFERROR(__xludf.DUMMYFUNCTION("""COMPUTED_VALUE"""),3700384)</f>
        <v>3700384</v>
      </c>
      <c r="C10204" s="14">
        <f ca="1">IFERROR(__xludf.DUMMYFUNCTION("""COMPUTED_VALUE"""),36)</f>
        <v>36</v>
      </c>
      <c r="D10204" s="12" t="str">
        <f ca="1">IFERROR(__xludf.DUMMYFUNCTION("""COMPUTED_VALUE"""),"渋谷 雄大")</f>
        <v>渋谷 雄大</v>
      </c>
    </row>
    <row r="10205" spans="2:4" ht="13">
      <c r="B10205" s="12">
        <f ca="1">IFERROR(__xludf.DUMMYFUNCTION("""COMPUTED_VALUE"""),3700385)</f>
        <v>3700385</v>
      </c>
      <c r="C10205" s="14">
        <f ca="1">IFERROR(__xludf.DUMMYFUNCTION("""COMPUTED_VALUE"""),95)</f>
        <v>95</v>
      </c>
      <c r="D10205" s="12" t="str">
        <f ca="1">IFERROR(__xludf.DUMMYFUNCTION("""COMPUTED_VALUE"""),"渋谷 雄大")</f>
        <v>渋谷 雄大</v>
      </c>
    </row>
    <row r="10206" spans="2:4" ht="13">
      <c r="B10206" s="12">
        <f ca="1">IFERROR(__xludf.DUMMYFUNCTION("""COMPUTED_VALUE"""),3700393)</f>
        <v>3700393</v>
      </c>
      <c r="C10206" s="14">
        <f ca="1">IFERROR(__xludf.DUMMYFUNCTION("""COMPUTED_VALUE"""),0)</f>
        <v>0</v>
      </c>
      <c r="D10206" s="12" t="str">
        <f ca="1">IFERROR(__xludf.DUMMYFUNCTION("""COMPUTED_VALUE"""),"渋谷 雄大")</f>
        <v>渋谷 雄大</v>
      </c>
    </row>
    <row r="10207" spans="2:4" ht="13">
      <c r="B10207" s="12">
        <f ca="1">IFERROR(__xludf.DUMMYFUNCTION("""COMPUTED_VALUE"""),3700394)</f>
        <v>3700394</v>
      </c>
      <c r="C10207" s="14">
        <f ca="1">IFERROR(__xludf.DUMMYFUNCTION("""COMPUTED_VALUE"""),24)</f>
        <v>24</v>
      </c>
      <c r="D10207" s="12" t="str">
        <f ca="1">IFERROR(__xludf.DUMMYFUNCTION("""COMPUTED_VALUE"""),"渋谷 雄大")</f>
        <v>渋谷 雄大</v>
      </c>
    </row>
    <row r="10208" spans="2:4" ht="13">
      <c r="B10208" s="12">
        <f ca="1">IFERROR(__xludf.DUMMYFUNCTION("""COMPUTED_VALUE"""),3700397)</f>
        <v>3700397</v>
      </c>
      <c r="C10208" s="14">
        <f ca="1">IFERROR(__xludf.DUMMYFUNCTION("""COMPUTED_VALUE"""),0)</f>
        <v>0</v>
      </c>
      <c r="D10208" s="12" t="str">
        <f ca="1">IFERROR(__xludf.DUMMYFUNCTION("""COMPUTED_VALUE"""),"渋谷 雄大")</f>
        <v>渋谷 雄大</v>
      </c>
    </row>
    <row r="10209" spans="2:4" ht="13">
      <c r="B10209" s="12">
        <f ca="1">IFERROR(__xludf.DUMMYFUNCTION("""COMPUTED_VALUE"""),3700400)</f>
        <v>3700400</v>
      </c>
      <c r="C10209" s="14">
        <f ca="1">IFERROR(__xludf.DUMMYFUNCTION("""COMPUTED_VALUE"""),149)</f>
        <v>149</v>
      </c>
      <c r="D10209" s="12" t="str">
        <f ca="1">IFERROR(__xludf.DUMMYFUNCTION("""COMPUTED_VALUE"""),"渋谷 雄大")</f>
        <v>渋谷 雄大</v>
      </c>
    </row>
    <row r="10210" spans="2:4" ht="13">
      <c r="B10210" s="12">
        <f ca="1">IFERROR(__xludf.DUMMYFUNCTION("""COMPUTED_VALUE"""),3700404)</f>
        <v>3700404</v>
      </c>
      <c r="C10210" s="14">
        <f ca="1">IFERROR(__xludf.DUMMYFUNCTION("""COMPUTED_VALUE"""),0)</f>
        <v>0</v>
      </c>
      <c r="D10210" s="12" t="str">
        <f ca="1">IFERROR(__xludf.DUMMYFUNCTION("""COMPUTED_VALUE"""),"渋谷 雄大")</f>
        <v>渋谷 雄大</v>
      </c>
    </row>
    <row r="10211" spans="2:4" ht="13">
      <c r="B10211" s="12">
        <f ca="1">IFERROR(__xludf.DUMMYFUNCTION("""COMPUTED_VALUE"""),3700405)</f>
        <v>3700405</v>
      </c>
      <c r="C10211" s="14">
        <f ca="1">IFERROR(__xludf.DUMMYFUNCTION("""COMPUTED_VALUE"""),2)</f>
        <v>2</v>
      </c>
      <c r="D10211" s="12" t="str">
        <f ca="1">IFERROR(__xludf.DUMMYFUNCTION("""COMPUTED_VALUE"""),"渋谷 雄大")</f>
        <v>渋谷 雄大</v>
      </c>
    </row>
    <row r="10212" spans="2:4" ht="13">
      <c r="B10212" s="12">
        <f ca="1">IFERROR(__xludf.DUMMYFUNCTION("""COMPUTED_VALUE"""),3700407)</f>
        <v>3700407</v>
      </c>
      <c r="C10212" s="14">
        <f ca="1">IFERROR(__xludf.DUMMYFUNCTION("""COMPUTED_VALUE"""),6)</f>
        <v>6</v>
      </c>
      <c r="D10212" s="12" t="str">
        <f ca="1">IFERROR(__xludf.DUMMYFUNCTION("""COMPUTED_VALUE"""),"渋谷 雄大")</f>
        <v>渋谷 雄大</v>
      </c>
    </row>
    <row r="10213" spans="2:4" ht="13">
      <c r="B10213" s="12">
        <f ca="1">IFERROR(__xludf.DUMMYFUNCTION("""COMPUTED_VALUE"""),3700408)</f>
        <v>3700408</v>
      </c>
      <c r="C10213" s="14">
        <f ca="1">IFERROR(__xludf.DUMMYFUNCTION("""COMPUTED_VALUE"""),0)</f>
        <v>0</v>
      </c>
      <c r="D10213" s="12" t="str">
        <f ca="1">IFERROR(__xludf.DUMMYFUNCTION("""COMPUTED_VALUE"""),"渋谷 雄大")</f>
        <v>渋谷 雄大</v>
      </c>
    </row>
    <row r="10214" spans="2:4" ht="13">
      <c r="B10214" s="12">
        <f ca="1">IFERROR(__xludf.DUMMYFUNCTION("""COMPUTED_VALUE"""),3700409)</f>
        <v>3700409</v>
      </c>
      <c r="C10214" s="14">
        <f ca="1">IFERROR(__xludf.DUMMYFUNCTION("""COMPUTED_VALUE"""),0)</f>
        <v>0</v>
      </c>
      <c r="D10214" s="12" t="str">
        <f ca="1">IFERROR(__xludf.DUMMYFUNCTION("""COMPUTED_VALUE"""),"渋谷 雄大")</f>
        <v>渋谷 雄大</v>
      </c>
    </row>
    <row r="10215" spans="2:4" ht="13">
      <c r="B10215" s="12">
        <f ca="1">IFERROR(__xludf.DUMMYFUNCTION("""COMPUTED_VALUE"""),3700410)</f>
        <v>3700410</v>
      </c>
      <c r="C10215" s="14">
        <f ca="1">IFERROR(__xludf.DUMMYFUNCTION("""COMPUTED_VALUE"""),25)</f>
        <v>25</v>
      </c>
      <c r="D10215" s="12" t="str">
        <f ca="1">IFERROR(__xludf.DUMMYFUNCTION("""COMPUTED_VALUE"""),"渋谷 雄大")</f>
        <v>渋谷 雄大</v>
      </c>
    </row>
    <row r="10216" spans="2:4" ht="13">
      <c r="B10216" s="12">
        <f ca="1">IFERROR(__xludf.DUMMYFUNCTION("""COMPUTED_VALUE"""),3700411)</f>
        <v>3700411</v>
      </c>
      <c r="C10216" s="14">
        <f ca="1">IFERROR(__xludf.DUMMYFUNCTION("""COMPUTED_VALUE"""),117)</f>
        <v>117</v>
      </c>
      <c r="D10216" s="12" t="str">
        <f ca="1">IFERROR(__xludf.DUMMYFUNCTION("""COMPUTED_VALUE"""),"渋谷 雄大")</f>
        <v>渋谷 雄大</v>
      </c>
    </row>
    <row r="10217" spans="2:4" ht="13">
      <c r="B10217" s="12">
        <f ca="1">IFERROR(__xludf.DUMMYFUNCTION("""COMPUTED_VALUE"""),3700412)</f>
        <v>3700412</v>
      </c>
      <c r="C10217" s="14">
        <f ca="1">IFERROR(__xludf.DUMMYFUNCTION("""COMPUTED_VALUE"""),11)</f>
        <v>11</v>
      </c>
      <c r="D10217" s="12" t="str">
        <f ca="1">IFERROR(__xludf.DUMMYFUNCTION("""COMPUTED_VALUE"""),"渋谷 雄大")</f>
        <v>渋谷 雄大</v>
      </c>
    </row>
    <row r="10218" spans="2:4" ht="13">
      <c r="B10218" s="12">
        <f ca="1">IFERROR(__xludf.DUMMYFUNCTION("""COMPUTED_VALUE"""),3700413)</f>
        <v>3700413</v>
      </c>
      <c r="C10218" s="14">
        <f ca="1">IFERROR(__xludf.DUMMYFUNCTION("""COMPUTED_VALUE"""),22)</f>
        <v>22</v>
      </c>
      <c r="D10218" s="12" t="str">
        <f ca="1">IFERROR(__xludf.DUMMYFUNCTION("""COMPUTED_VALUE"""),"渋谷 雄大")</f>
        <v>渋谷 雄大</v>
      </c>
    </row>
    <row r="10219" spans="2:4" ht="13">
      <c r="B10219" s="12">
        <f ca="1">IFERROR(__xludf.DUMMYFUNCTION("""COMPUTED_VALUE"""),3700414)</f>
        <v>3700414</v>
      </c>
      <c r="C10219" s="14">
        <f ca="1">IFERROR(__xludf.DUMMYFUNCTION("""COMPUTED_VALUE"""),0)</f>
        <v>0</v>
      </c>
      <c r="D10219" s="12" t="str">
        <f ca="1">IFERROR(__xludf.DUMMYFUNCTION("""COMPUTED_VALUE"""),"渋谷 雄大")</f>
        <v>渋谷 雄大</v>
      </c>
    </row>
    <row r="10220" spans="2:4" ht="13">
      <c r="B10220" s="12">
        <f ca="1">IFERROR(__xludf.DUMMYFUNCTION("""COMPUTED_VALUE"""),3700415)</f>
        <v>3700415</v>
      </c>
      <c r="C10220" s="14">
        <f ca="1">IFERROR(__xludf.DUMMYFUNCTION("""COMPUTED_VALUE"""),166)</f>
        <v>166</v>
      </c>
      <c r="D10220" s="12" t="str">
        <f ca="1">IFERROR(__xludf.DUMMYFUNCTION("""COMPUTED_VALUE"""),"渋谷 雄大")</f>
        <v>渋谷 雄大</v>
      </c>
    </row>
    <row r="10221" spans="2:4" ht="13">
      <c r="B10221" s="12">
        <f ca="1">IFERROR(__xludf.DUMMYFUNCTION("""COMPUTED_VALUE"""),3700416)</f>
        <v>3700416</v>
      </c>
      <c r="C10221" s="14">
        <f ca="1">IFERROR(__xludf.DUMMYFUNCTION("""COMPUTED_VALUE"""),8)</f>
        <v>8</v>
      </c>
      <c r="D10221" s="12" t="str">
        <f ca="1">IFERROR(__xludf.DUMMYFUNCTION("""COMPUTED_VALUE"""),"渋谷 雄大")</f>
        <v>渋谷 雄大</v>
      </c>
    </row>
    <row r="10222" spans="2:4" ht="13">
      <c r="B10222" s="12">
        <f ca="1">IFERROR(__xludf.DUMMYFUNCTION("""COMPUTED_VALUE"""),3700417)</f>
        <v>3700417</v>
      </c>
      <c r="C10222" s="14">
        <f ca="1">IFERROR(__xludf.DUMMYFUNCTION("""COMPUTED_VALUE"""),21)</f>
        <v>21</v>
      </c>
      <c r="D10222" s="12" t="str">
        <f ca="1">IFERROR(__xludf.DUMMYFUNCTION("""COMPUTED_VALUE"""),"渋谷 雄大")</f>
        <v>渋谷 雄大</v>
      </c>
    </row>
    <row r="10223" spans="2:4" ht="13">
      <c r="B10223" s="12">
        <f ca="1">IFERROR(__xludf.DUMMYFUNCTION("""COMPUTED_VALUE"""),3700418)</f>
        <v>3700418</v>
      </c>
      <c r="C10223" s="14">
        <f ca="1">IFERROR(__xludf.DUMMYFUNCTION("""COMPUTED_VALUE"""),116)</f>
        <v>116</v>
      </c>
      <c r="D10223" s="12" t="str">
        <f ca="1">IFERROR(__xludf.DUMMYFUNCTION("""COMPUTED_VALUE"""),"渋谷 雄大")</f>
        <v>渋谷 雄大</v>
      </c>
    </row>
    <row r="10224" spans="2:4" ht="13">
      <c r="B10224" s="12">
        <f ca="1">IFERROR(__xludf.DUMMYFUNCTION("""COMPUTED_VALUE"""),3700419)</f>
        <v>3700419</v>
      </c>
      <c r="C10224" s="14">
        <f ca="1">IFERROR(__xludf.DUMMYFUNCTION("""COMPUTED_VALUE"""),106)</f>
        <v>106</v>
      </c>
      <c r="D10224" s="12" t="str">
        <f ca="1">IFERROR(__xludf.DUMMYFUNCTION("""COMPUTED_VALUE"""),"渋谷 雄大")</f>
        <v>渋谷 雄大</v>
      </c>
    </row>
    <row r="10225" spans="2:4" ht="13">
      <c r="B10225" s="12">
        <f ca="1">IFERROR(__xludf.DUMMYFUNCTION("""COMPUTED_VALUE"""),3700420)</f>
        <v>3700420</v>
      </c>
      <c r="C10225" s="14">
        <f ca="1">IFERROR(__xludf.DUMMYFUNCTION("""COMPUTED_VALUE"""),0)</f>
        <v>0</v>
      </c>
      <c r="D10225" s="12" t="str">
        <f ca="1">IFERROR(__xludf.DUMMYFUNCTION("""COMPUTED_VALUE"""),"渋谷 雄大")</f>
        <v>渋谷 雄大</v>
      </c>
    </row>
    <row r="10226" spans="2:4" ht="13">
      <c r="B10226" s="12">
        <f ca="1">IFERROR(__xludf.DUMMYFUNCTION("""COMPUTED_VALUE"""),3700421)</f>
        <v>3700421</v>
      </c>
      <c r="C10226" s="14">
        <f ca="1">IFERROR(__xludf.DUMMYFUNCTION("""COMPUTED_VALUE"""),0)</f>
        <v>0</v>
      </c>
      <c r="D10226" s="12" t="str">
        <f ca="1">IFERROR(__xludf.DUMMYFUNCTION("""COMPUTED_VALUE"""),"渋谷 雄大")</f>
        <v>渋谷 雄大</v>
      </c>
    </row>
    <row r="10227" spans="2:4" ht="13">
      <c r="B10227" s="12">
        <f ca="1">IFERROR(__xludf.DUMMYFUNCTION("""COMPUTED_VALUE"""),3700422)</f>
        <v>3700422</v>
      </c>
      <c r="C10227" s="14">
        <f ca="1">IFERROR(__xludf.DUMMYFUNCTION("""COMPUTED_VALUE"""),0)</f>
        <v>0</v>
      </c>
      <c r="D10227" s="12" t="str">
        <f ca="1">IFERROR(__xludf.DUMMYFUNCTION("""COMPUTED_VALUE"""),"渋谷 雄大")</f>
        <v>渋谷 雄大</v>
      </c>
    </row>
    <row r="10228" spans="2:4" ht="13">
      <c r="B10228" s="12">
        <f ca="1">IFERROR(__xludf.DUMMYFUNCTION("""COMPUTED_VALUE"""),3700423)</f>
        <v>3700423</v>
      </c>
      <c r="C10228" s="14">
        <f ca="1">IFERROR(__xludf.DUMMYFUNCTION("""COMPUTED_VALUE"""),45)</f>
        <v>45</v>
      </c>
      <c r="D10228" s="12" t="str">
        <f ca="1">IFERROR(__xludf.DUMMYFUNCTION("""COMPUTED_VALUE"""),"渋谷 雄大")</f>
        <v>渋谷 雄大</v>
      </c>
    </row>
    <row r="10229" spans="2:4" ht="13">
      <c r="B10229" s="12">
        <f ca="1">IFERROR(__xludf.DUMMYFUNCTION("""COMPUTED_VALUE"""),3700424)</f>
        <v>3700424</v>
      </c>
      <c r="C10229" s="14">
        <f ca="1">IFERROR(__xludf.DUMMYFUNCTION("""COMPUTED_VALUE"""),72)</f>
        <v>72</v>
      </c>
      <c r="D10229" s="12" t="str">
        <f ca="1">IFERROR(__xludf.DUMMYFUNCTION("""COMPUTED_VALUE"""),"渋谷 雄大")</f>
        <v>渋谷 雄大</v>
      </c>
    </row>
    <row r="10230" spans="2:4" ht="13">
      <c r="B10230" s="12">
        <f ca="1">IFERROR(__xludf.DUMMYFUNCTION("""COMPUTED_VALUE"""),3700425)</f>
        <v>3700425</v>
      </c>
      <c r="C10230" s="14">
        <f ca="1">IFERROR(__xludf.DUMMYFUNCTION("""COMPUTED_VALUE"""),40)</f>
        <v>40</v>
      </c>
      <c r="D10230" s="12" t="str">
        <f ca="1">IFERROR(__xludf.DUMMYFUNCTION("""COMPUTED_VALUE"""),"渋谷 雄大")</f>
        <v>渋谷 雄大</v>
      </c>
    </row>
    <row r="10231" spans="2:4" ht="13">
      <c r="B10231" s="12">
        <f ca="1">IFERROR(__xludf.DUMMYFUNCTION("""COMPUTED_VALUE"""),3700426)</f>
        <v>3700426</v>
      </c>
      <c r="C10231" s="14">
        <f ca="1">IFERROR(__xludf.DUMMYFUNCTION("""COMPUTED_VALUE"""),28)</f>
        <v>28</v>
      </c>
      <c r="D10231" s="12" t="str">
        <f ca="1">IFERROR(__xludf.DUMMYFUNCTION("""COMPUTED_VALUE"""),"渋谷 雄大")</f>
        <v>渋谷 雄大</v>
      </c>
    </row>
    <row r="10232" spans="2:4" ht="13">
      <c r="B10232" s="12">
        <f ca="1">IFERROR(__xludf.DUMMYFUNCTION("""COMPUTED_VALUE"""),3700427)</f>
        <v>3700427</v>
      </c>
      <c r="C10232" s="14">
        <f ca="1">IFERROR(__xludf.DUMMYFUNCTION("""COMPUTED_VALUE"""),0)</f>
        <v>0</v>
      </c>
      <c r="D10232" s="12" t="str">
        <f ca="1">IFERROR(__xludf.DUMMYFUNCTION("""COMPUTED_VALUE"""),"渋谷 雄大")</f>
        <v>渋谷 雄大</v>
      </c>
    </row>
    <row r="10233" spans="2:4" ht="13">
      <c r="B10233" s="12">
        <f ca="1">IFERROR(__xludf.DUMMYFUNCTION("""COMPUTED_VALUE"""),3700428)</f>
        <v>3700428</v>
      </c>
      <c r="C10233" s="14">
        <f ca="1">IFERROR(__xludf.DUMMYFUNCTION("""COMPUTED_VALUE"""),0)</f>
        <v>0</v>
      </c>
      <c r="D10233" s="12" t="str">
        <f ca="1">IFERROR(__xludf.DUMMYFUNCTION("""COMPUTED_VALUE"""),"渋谷 雄大")</f>
        <v>渋谷 雄大</v>
      </c>
    </row>
    <row r="10234" spans="2:4" ht="13">
      <c r="B10234" s="12">
        <f ca="1">IFERROR(__xludf.DUMMYFUNCTION("""COMPUTED_VALUE"""),3700429)</f>
        <v>3700429</v>
      </c>
      <c r="C10234" s="14">
        <f ca="1">IFERROR(__xludf.DUMMYFUNCTION("""COMPUTED_VALUE"""),0)</f>
        <v>0</v>
      </c>
      <c r="D10234" s="12" t="str">
        <f ca="1">IFERROR(__xludf.DUMMYFUNCTION("""COMPUTED_VALUE"""),"渋谷 雄大")</f>
        <v>渋谷 雄大</v>
      </c>
    </row>
    <row r="10235" spans="2:4" ht="13">
      <c r="B10235" s="12">
        <f ca="1">IFERROR(__xludf.DUMMYFUNCTION("""COMPUTED_VALUE"""),3700430)</f>
        <v>3700430</v>
      </c>
      <c r="C10235" s="14">
        <f ca="1">IFERROR(__xludf.DUMMYFUNCTION("""COMPUTED_VALUE"""),0)</f>
        <v>0</v>
      </c>
      <c r="D10235" s="12" t="str">
        <f ca="1">IFERROR(__xludf.DUMMYFUNCTION("""COMPUTED_VALUE"""),"渋谷 雄大")</f>
        <v>渋谷 雄大</v>
      </c>
    </row>
    <row r="10236" spans="2:4" ht="13">
      <c r="B10236" s="12">
        <f ca="1">IFERROR(__xludf.DUMMYFUNCTION("""COMPUTED_VALUE"""),3700431)</f>
        <v>3700431</v>
      </c>
      <c r="C10236" s="14">
        <f ca="1">IFERROR(__xludf.DUMMYFUNCTION("""COMPUTED_VALUE"""),0)</f>
        <v>0</v>
      </c>
      <c r="D10236" s="12" t="str">
        <f ca="1">IFERROR(__xludf.DUMMYFUNCTION("""COMPUTED_VALUE"""),"渋谷 雄大")</f>
        <v>渋谷 雄大</v>
      </c>
    </row>
    <row r="10237" spans="2:4" ht="13">
      <c r="B10237" s="12">
        <f ca="1">IFERROR(__xludf.DUMMYFUNCTION("""COMPUTED_VALUE"""),3700432)</f>
        <v>3700432</v>
      </c>
      <c r="C10237" s="14">
        <f ca="1">IFERROR(__xludf.DUMMYFUNCTION("""COMPUTED_VALUE"""),0)</f>
        <v>0</v>
      </c>
      <c r="D10237" s="12" t="str">
        <f ca="1">IFERROR(__xludf.DUMMYFUNCTION("""COMPUTED_VALUE"""),"渋谷 雄大")</f>
        <v>渋谷 雄大</v>
      </c>
    </row>
    <row r="10238" spans="2:4" ht="13">
      <c r="B10238" s="12">
        <f ca="1">IFERROR(__xludf.DUMMYFUNCTION("""COMPUTED_VALUE"""),3700433)</f>
        <v>3700433</v>
      </c>
      <c r="C10238" s="14">
        <f ca="1">IFERROR(__xludf.DUMMYFUNCTION("""COMPUTED_VALUE"""),0)</f>
        <v>0</v>
      </c>
      <c r="D10238" s="12" t="str">
        <f ca="1">IFERROR(__xludf.DUMMYFUNCTION("""COMPUTED_VALUE"""),"渋谷 雄大")</f>
        <v>渋谷 雄大</v>
      </c>
    </row>
    <row r="10239" spans="2:4" ht="13">
      <c r="B10239" s="12">
        <f ca="1">IFERROR(__xludf.DUMMYFUNCTION("""COMPUTED_VALUE"""),3700434)</f>
        <v>3700434</v>
      </c>
      <c r="C10239" s="14">
        <f ca="1">IFERROR(__xludf.DUMMYFUNCTION("""COMPUTED_VALUE"""),0)</f>
        <v>0</v>
      </c>
      <c r="D10239" s="12" t="str">
        <f ca="1">IFERROR(__xludf.DUMMYFUNCTION("""COMPUTED_VALUE"""),"渋谷 雄大")</f>
        <v>渋谷 雄大</v>
      </c>
    </row>
    <row r="10240" spans="2:4" ht="13">
      <c r="B10240" s="12">
        <f ca="1">IFERROR(__xludf.DUMMYFUNCTION("""COMPUTED_VALUE"""),3700435)</f>
        <v>3700435</v>
      </c>
      <c r="C10240" s="14">
        <f ca="1">IFERROR(__xludf.DUMMYFUNCTION("""COMPUTED_VALUE"""),0)</f>
        <v>0</v>
      </c>
      <c r="D10240" s="12" t="str">
        <f ca="1">IFERROR(__xludf.DUMMYFUNCTION("""COMPUTED_VALUE"""),"渋谷 雄大")</f>
        <v>渋谷 雄大</v>
      </c>
    </row>
    <row r="10241" spans="2:4" ht="13">
      <c r="B10241" s="12">
        <f ca="1">IFERROR(__xludf.DUMMYFUNCTION("""COMPUTED_VALUE"""),3700436)</f>
        <v>3700436</v>
      </c>
      <c r="C10241" s="14">
        <f ca="1">IFERROR(__xludf.DUMMYFUNCTION("""COMPUTED_VALUE"""),0)</f>
        <v>0</v>
      </c>
      <c r="D10241" s="12" t="str">
        <f ca="1">IFERROR(__xludf.DUMMYFUNCTION("""COMPUTED_VALUE"""),"渋谷 雄大")</f>
        <v>渋谷 雄大</v>
      </c>
    </row>
    <row r="10242" spans="2:4" ht="13">
      <c r="B10242" s="12">
        <f ca="1">IFERROR(__xludf.DUMMYFUNCTION("""COMPUTED_VALUE"""),3700437)</f>
        <v>3700437</v>
      </c>
      <c r="C10242" s="14">
        <f ca="1">IFERROR(__xludf.DUMMYFUNCTION("""COMPUTED_VALUE"""),0)</f>
        <v>0</v>
      </c>
      <c r="D10242" s="12" t="str">
        <f ca="1">IFERROR(__xludf.DUMMYFUNCTION("""COMPUTED_VALUE"""),"渋谷 雄大")</f>
        <v>渋谷 雄大</v>
      </c>
    </row>
    <row r="10243" spans="2:4" ht="13">
      <c r="B10243" s="12">
        <f ca="1">IFERROR(__xludf.DUMMYFUNCTION("""COMPUTED_VALUE"""),3700438)</f>
        <v>3700438</v>
      </c>
      <c r="C10243" s="14">
        <f ca="1">IFERROR(__xludf.DUMMYFUNCTION("""COMPUTED_VALUE"""),0)</f>
        <v>0</v>
      </c>
      <c r="D10243" s="12" t="str">
        <f ca="1">IFERROR(__xludf.DUMMYFUNCTION("""COMPUTED_VALUE"""),"渋谷 雄大")</f>
        <v>渋谷 雄大</v>
      </c>
    </row>
    <row r="10244" spans="2:4" ht="13">
      <c r="B10244" s="12">
        <f ca="1">IFERROR(__xludf.DUMMYFUNCTION("""COMPUTED_VALUE"""),3700439)</f>
        <v>3700439</v>
      </c>
      <c r="C10244" s="14">
        <f ca="1">IFERROR(__xludf.DUMMYFUNCTION("""COMPUTED_VALUE"""),0)</f>
        <v>0</v>
      </c>
      <c r="D10244" s="12" t="str">
        <f ca="1">IFERROR(__xludf.DUMMYFUNCTION("""COMPUTED_VALUE"""),"渋谷 雄大")</f>
        <v>渋谷 雄大</v>
      </c>
    </row>
    <row r="10245" spans="2:4" ht="13">
      <c r="B10245" s="12">
        <f ca="1">IFERROR(__xludf.DUMMYFUNCTION("""COMPUTED_VALUE"""),3700440)</f>
        <v>3700440</v>
      </c>
      <c r="C10245" s="14">
        <f ca="1">IFERROR(__xludf.DUMMYFUNCTION("""COMPUTED_VALUE"""),0)</f>
        <v>0</v>
      </c>
      <c r="D10245" s="12" t="str">
        <f ca="1">IFERROR(__xludf.DUMMYFUNCTION("""COMPUTED_VALUE"""),"渋谷 雄大")</f>
        <v>渋谷 雄大</v>
      </c>
    </row>
    <row r="10246" spans="2:4" ht="13">
      <c r="B10246" s="12">
        <f ca="1">IFERROR(__xludf.DUMMYFUNCTION("""COMPUTED_VALUE"""),3700441)</f>
        <v>3700441</v>
      </c>
      <c r="C10246" s="14">
        <f ca="1">IFERROR(__xludf.DUMMYFUNCTION("""COMPUTED_VALUE"""),0)</f>
        <v>0</v>
      </c>
      <c r="D10246" s="12" t="str">
        <f ca="1">IFERROR(__xludf.DUMMYFUNCTION("""COMPUTED_VALUE"""),"渋谷 雄大")</f>
        <v>渋谷 雄大</v>
      </c>
    </row>
    <row r="10247" spans="2:4" ht="13">
      <c r="B10247" s="12">
        <f ca="1">IFERROR(__xludf.DUMMYFUNCTION("""COMPUTED_VALUE"""),3700442)</f>
        <v>3700442</v>
      </c>
      <c r="C10247" s="14">
        <f ca="1">IFERROR(__xludf.DUMMYFUNCTION("""COMPUTED_VALUE"""),0)</f>
        <v>0</v>
      </c>
      <c r="D10247" s="12" t="str">
        <f ca="1">IFERROR(__xludf.DUMMYFUNCTION("""COMPUTED_VALUE"""),"渋谷 雄大")</f>
        <v>渋谷 雄大</v>
      </c>
    </row>
    <row r="10248" spans="2:4" ht="13">
      <c r="B10248" s="12">
        <f ca="1">IFERROR(__xludf.DUMMYFUNCTION("""COMPUTED_VALUE"""),3700443)</f>
        <v>3700443</v>
      </c>
      <c r="C10248" s="14">
        <f ca="1">IFERROR(__xludf.DUMMYFUNCTION("""COMPUTED_VALUE"""),0)</f>
        <v>0</v>
      </c>
      <c r="D10248" s="12" t="str">
        <f ca="1">IFERROR(__xludf.DUMMYFUNCTION("""COMPUTED_VALUE"""),"渋谷 雄大")</f>
        <v>渋谷 雄大</v>
      </c>
    </row>
    <row r="10249" spans="2:4" ht="13">
      <c r="B10249" s="12">
        <f ca="1">IFERROR(__xludf.DUMMYFUNCTION("""COMPUTED_VALUE"""),3700444)</f>
        <v>3700444</v>
      </c>
      <c r="C10249" s="14">
        <f ca="1">IFERROR(__xludf.DUMMYFUNCTION("""COMPUTED_VALUE"""),0)</f>
        <v>0</v>
      </c>
      <c r="D10249" s="12" t="str">
        <f ca="1">IFERROR(__xludf.DUMMYFUNCTION("""COMPUTED_VALUE"""),"渋谷 雄大")</f>
        <v>渋谷 雄大</v>
      </c>
    </row>
    <row r="10250" spans="2:4" ht="13">
      <c r="B10250" s="12">
        <f ca="1">IFERROR(__xludf.DUMMYFUNCTION("""COMPUTED_VALUE"""),3700445)</f>
        <v>3700445</v>
      </c>
      <c r="C10250" s="14">
        <f ca="1">IFERROR(__xludf.DUMMYFUNCTION("""COMPUTED_VALUE"""),0)</f>
        <v>0</v>
      </c>
      <c r="D10250" s="12" t="str">
        <f ca="1">IFERROR(__xludf.DUMMYFUNCTION("""COMPUTED_VALUE"""),"渋谷 雄大")</f>
        <v>渋谷 雄大</v>
      </c>
    </row>
    <row r="10251" spans="2:4" ht="13">
      <c r="B10251" s="12">
        <f ca="1">IFERROR(__xludf.DUMMYFUNCTION("""COMPUTED_VALUE"""),3701001)</f>
        <v>3701001</v>
      </c>
      <c r="C10251" s="14">
        <f ca="1">IFERROR(__xludf.DUMMYFUNCTION("""COMPUTED_VALUE"""),5)</f>
        <v>5</v>
      </c>
      <c r="D10251" s="12" t="str">
        <f ca="1">IFERROR(__xludf.DUMMYFUNCTION("""COMPUTED_VALUE"""),"渋谷 雄大")</f>
        <v>渋谷 雄大</v>
      </c>
    </row>
    <row r="10252" spans="2:4" ht="13">
      <c r="B10252" s="12">
        <f ca="1">IFERROR(__xludf.DUMMYFUNCTION("""COMPUTED_VALUE"""),3701002)</f>
        <v>3701002</v>
      </c>
      <c r="C10252" s="14">
        <f ca="1">IFERROR(__xludf.DUMMYFUNCTION("""COMPUTED_VALUE"""),6)</f>
        <v>6</v>
      </c>
      <c r="D10252" s="12" t="str">
        <f ca="1">IFERROR(__xludf.DUMMYFUNCTION("""COMPUTED_VALUE"""),"渋谷 雄大")</f>
        <v>渋谷 雄大</v>
      </c>
    </row>
    <row r="10253" spans="2:4" ht="13">
      <c r="B10253" s="12">
        <f ca="1">IFERROR(__xludf.DUMMYFUNCTION("""COMPUTED_VALUE"""),3701003)</f>
        <v>3701003</v>
      </c>
      <c r="C10253" s="14">
        <f ca="1">IFERROR(__xludf.DUMMYFUNCTION("""COMPUTED_VALUE"""),15)</f>
        <v>15</v>
      </c>
      <c r="D10253" s="12" t="str">
        <f ca="1">IFERROR(__xludf.DUMMYFUNCTION("""COMPUTED_VALUE"""),"渋谷 雄大")</f>
        <v>渋谷 雄大</v>
      </c>
    </row>
    <row r="10254" spans="2:4" ht="13">
      <c r="B10254" s="12">
        <f ca="1">IFERROR(__xludf.DUMMYFUNCTION("""COMPUTED_VALUE"""),3701004)</f>
        <v>3701004</v>
      </c>
      <c r="C10254" s="14">
        <f ca="1">IFERROR(__xludf.DUMMYFUNCTION("""COMPUTED_VALUE"""),11)</f>
        <v>11</v>
      </c>
      <c r="D10254" s="12" t="str">
        <f ca="1">IFERROR(__xludf.DUMMYFUNCTION("""COMPUTED_VALUE"""),"渋谷 雄大")</f>
        <v>渋谷 雄大</v>
      </c>
    </row>
    <row r="10255" spans="2:4" ht="13">
      <c r="B10255" s="12">
        <f ca="1">IFERROR(__xludf.DUMMYFUNCTION("""COMPUTED_VALUE"""),3701005)</f>
        <v>3701005</v>
      </c>
      <c r="C10255" s="14">
        <f ca="1">IFERROR(__xludf.DUMMYFUNCTION("""COMPUTED_VALUE"""),15)</f>
        <v>15</v>
      </c>
      <c r="D10255" s="12" t="str">
        <f ca="1">IFERROR(__xludf.DUMMYFUNCTION("""COMPUTED_VALUE"""),"渋谷 雄大")</f>
        <v>渋谷 雄大</v>
      </c>
    </row>
    <row r="10256" spans="2:4" ht="13">
      <c r="B10256" s="12">
        <f ca="1">IFERROR(__xludf.DUMMYFUNCTION("""COMPUTED_VALUE"""),3701006)</f>
        <v>3701006</v>
      </c>
      <c r="C10256" s="14">
        <f ca="1">IFERROR(__xludf.DUMMYFUNCTION("""COMPUTED_VALUE"""),13)</f>
        <v>13</v>
      </c>
      <c r="D10256" s="12" t="str">
        <f ca="1">IFERROR(__xludf.DUMMYFUNCTION("""COMPUTED_VALUE"""),"渋谷 雄大")</f>
        <v>渋谷 雄大</v>
      </c>
    </row>
    <row r="10257" spans="2:4" ht="13">
      <c r="B10257" s="12">
        <f ca="1">IFERROR(__xludf.DUMMYFUNCTION("""COMPUTED_VALUE"""),3701007)</f>
        <v>3701007</v>
      </c>
      <c r="C10257" s="14">
        <f ca="1">IFERROR(__xludf.DUMMYFUNCTION("""COMPUTED_VALUE"""),18)</f>
        <v>18</v>
      </c>
      <c r="D10257" s="12" t="str">
        <f ca="1">IFERROR(__xludf.DUMMYFUNCTION("""COMPUTED_VALUE"""),"渋谷 雄大")</f>
        <v>渋谷 雄大</v>
      </c>
    </row>
    <row r="10258" spans="2:4" ht="13">
      <c r="B10258" s="12">
        <f ca="1">IFERROR(__xludf.DUMMYFUNCTION("""COMPUTED_VALUE"""),3701008)</f>
        <v>3701008</v>
      </c>
      <c r="C10258" s="14">
        <f ca="1">IFERROR(__xludf.DUMMYFUNCTION("""COMPUTED_VALUE"""),7)</f>
        <v>7</v>
      </c>
      <c r="D10258" s="12" t="str">
        <f ca="1">IFERROR(__xludf.DUMMYFUNCTION("""COMPUTED_VALUE"""),"渋谷 雄大")</f>
        <v>渋谷 雄大</v>
      </c>
    </row>
    <row r="10259" spans="2:4" ht="13">
      <c r="B10259" s="12">
        <f ca="1">IFERROR(__xludf.DUMMYFUNCTION("""COMPUTED_VALUE"""),3701009)</f>
        <v>3701009</v>
      </c>
      <c r="C10259" s="14">
        <f ca="1">IFERROR(__xludf.DUMMYFUNCTION("""COMPUTED_VALUE"""),35)</f>
        <v>35</v>
      </c>
      <c r="D10259" s="12" t="str">
        <f ca="1">IFERROR(__xludf.DUMMYFUNCTION("""COMPUTED_VALUE"""),"渋谷 雄大")</f>
        <v>渋谷 雄大</v>
      </c>
    </row>
    <row r="10260" spans="2:4" ht="13">
      <c r="B10260" s="12">
        <f ca="1">IFERROR(__xludf.DUMMYFUNCTION("""COMPUTED_VALUE"""),3701010)</f>
        <v>3701010</v>
      </c>
      <c r="C10260" s="14">
        <f ca="1">IFERROR(__xludf.DUMMYFUNCTION("""COMPUTED_VALUE"""),28)</f>
        <v>28</v>
      </c>
      <c r="D10260" s="12" t="str">
        <f ca="1">IFERROR(__xludf.DUMMYFUNCTION("""COMPUTED_VALUE"""),"渋谷 雄大")</f>
        <v>渋谷 雄大</v>
      </c>
    </row>
    <row r="10261" spans="2:4" ht="13">
      <c r="B10261" s="12">
        <f ca="1">IFERROR(__xludf.DUMMYFUNCTION("""COMPUTED_VALUE"""),3701011)</f>
        <v>3701011</v>
      </c>
      <c r="C10261" s="14">
        <f ca="1">IFERROR(__xludf.DUMMYFUNCTION("""COMPUTED_VALUE"""),49)</f>
        <v>49</v>
      </c>
      <c r="D10261" s="12" t="str">
        <f ca="1">IFERROR(__xludf.DUMMYFUNCTION("""COMPUTED_VALUE"""),"渋谷 雄大")</f>
        <v>渋谷 雄大</v>
      </c>
    </row>
    <row r="10262" spans="2:4" ht="13">
      <c r="B10262" s="12">
        <f ca="1">IFERROR(__xludf.DUMMYFUNCTION("""COMPUTED_VALUE"""),3701012)</f>
        <v>3701012</v>
      </c>
      <c r="C10262" s="14">
        <f ca="1">IFERROR(__xludf.DUMMYFUNCTION("""COMPUTED_VALUE"""),0)</f>
        <v>0</v>
      </c>
      <c r="D10262" s="12" t="str">
        <f ca="1">IFERROR(__xludf.DUMMYFUNCTION("""COMPUTED_VALUE"""),"渋谷 雄大")</f>
        <v>渋谷 雄大</v>
      </c>
    </row>
    <row r="10263" spans="2:4" ht="13">
      <c r="B10263" s="12">
        <f ca="1">IFERROR(__xludf.DUMMYFUNCTION("""COMPUTED_VALUE"""),3701013)</f>
        <v>3701013</v>
      </c>
      <c r="C10263" s="14">
        <f ca="1">IFERROR(__xludf.DUMMYFUNCTION("""COMPUTED_VALUE"""),20)</f>
        <v>20</v>
      </c>
      <c r="D10263" s="12" t="str">
        <f ca="1">IFERROR(__xludf.DUMMYFUNCTION("""COMPUTED_VALUE"""),"渋谷 雄大")</f>
        <v>渋谷 雄大</v>
      </c>
    </row>
    <row r="10264" spans="2:4" ht="13">
      <c r="B10264" s="12">
        <f ca="1">IFERROR(__xludf.DUMMYFUNCTION("""COMPUTED_VALUE"""),3701014)</f>
        <v>3701014</v>
      </c>
      <c r="C10264" s="14">
        <f ca="1">IFERROR(__xludf.DUMMYFUNCTION("""COMPUTED_VALUE"""),14)</f>
        <v>14</v>
      </c>
      <c r="D10264" s="12" t="str">
        <f ca="1">IFERROR(__xludf.DUMMYFUNCTION("""COMPUTED_VALUE"""),"渋谷 雄大")</f>
        <v>渋谷 雄大</v>
      </c>
    </row>
    <row r="10265" spans="2:4" ht="13">
      <c r="B10265" s="12">
        <f ca="1">IFERROR(__xludf.DUMMYFUNCTION("""COMPUTED_VALUE"""),3701015)</f>
        <v>3701015</v>
      </c>
      <c r="C10265" s="14">
        <f ca="1">IFERROR(__xludf.DUMMYFUNCTION("""COMPUTED_VALUE"""),38)</f>
        <v>38</v>
      </c>
      <c r="D10265" s="12" t="str">
        <f ca="1">IFERROR(__xludf.DUMMYFUNCTION("""COMPUTED_VALUE"""),"渋谷 雄大")</f>
        <v>渋谷 雄大</v>
      </c>
    </row>
    <row r="10266" spans="2:4" ht="13">
      <c r="B10266" s="12">
        <f ca="1">IFERROR(__xludf.DUMMYFUNCTION("""COMPUTED_VALUE"""),3701016)</f>
        <v>3701016</v>
      </c>
      <c r="C10266" s="14">
        <f ca="1">IFERROR(__xludf.DUMMYFUNCTION("""COMPUTED_VALUE"""),37)</f>
        <v>37</v>
      </c>
      <c r="D10266" s="12" t="str">
        <f ca="1">IFERROR(__xludf.DUMMYFUNCTION("""COMPUTED_VALUE"""),"渋谷 雄大")</f>
        <v>渋谷 雄大</v>
      </c>
    </row>
    <row r="10267" spans="2:4" ht="13">
      <c r="B10267" s="12">
        <f ca="1">IFERROR(__xludf.DUMMYFUNCTION("""COMPUTED_VALUE"""),3701018)</f>
        <v>3701018</v>
      </c>
      <c r="C10267" s="14">
        <f ca="1">IFERROR(__xludf.DUMMYFUNCTION("""COMPUTED_VALUE"""),9)</f>
        <v>9</v>
      </c>
      <c r="D10267" s="12" t="str">
        <f ca="1">IFERROR(__xludf.DUMMYFUNCTION("""COMPUTED_VALUE"""),"渋谷 雄大")</f>
        <v>渋谷 雄大</v>
      </c>
    </row>
    <row r="10268" spans="2:4" ht="13">
      <c r="B10268" s="12">
        <f ca="1">IFERROR(__xludf.DUMMYFUNCTION("""COMPUTED_VALUE"""),3701019)</f>
        <v>3701019</v>
      </c>
      <c r="C10268" s="14">
        <f ca="1">IFERROR(__xludf.DUMMYFUNCTION("""COMPUTED_VALUE"""),12)</f>
        <v>12</v>
      </c>
      <c r="D10268" s="12" t="str">
        <f ca="1">IFERROR(__xludf.DUMMYFUNCTION("""COMPUTED_VALUE"""),"渋谷 雄大")</f>
        <v>渋谷 雄大</v>
      </c>
    </row>
    <row r="10269" spans="2:4" ht="13">
      <c r="B10269" s="12">
        <f ca="1">IFERROR(__xludf.DUMMYFUNCTION("""COMPUTED_VALUE"""),3701020)</f>
        <v>3701020</v>
      </c>
      <c r="C10269" s="14">
        <f ca="1">IFERROR(__xludf.DUMMYFUNCTION("""COMPUTED_VALUE"""),6)</f>
        <v>6</v>
      </c>
      <c r="D10269" s="12" t="str">
        <f ca="1">IFERROR(__xludf.DUMMYFUNCTION("""COMPUTED_VALUE"""),"渋谷 雄大")</f>
        <v>渋谷 雄大</v>
      </c>
    </row>
    <row r="10270" spans="2:4" ht="13">
      <c r="B10270" s="12">
        <f ca="1">IFERROR(__xludf.DUMMYFUNCTION("""COMPUTED_VALUE"""),3701021)</f>
        <v>3701021</v>
      </c>
      <c r="C10270" s="14">
        <f ca="1">IFERROR(__xludf.DUMMYFUNCTION("""COMPUTED_VALUE"""),9)</f>
        <v>9</v>
      </c>
      <c r="D10270" s="12" t="str">
        <f ca="1">IFERROR(__xludf.DUMMYFUNCTION("""COMPUTED_VALUE"""),"渋谷 雄大")</f>
        <v>渋谷 雄大</v>
      </c>
    </row>
    <row r="10271" spans="2:4" ht="13">
      <c r="B10271" s="12">
        <f ca="1">IFERROR(__xludf.DUMMYFUNCTION("""COMPUTED_VALUE"""),3701022)</f>
        <v>3701022</v>
      </c>
      <c r="C10271" s="14">
        <f ca="1">IFERROR(__xludf.DUMMYFUNCTION("""COMPUTED_VALUE"""),35)</f>
        <v>35</v>
      </c>
      <c r="D10271" s="12" t="str">
        <f ca="1">IFERROR(__xludf.DUMMYFUNCTION("""COMPUTED_VALUE"""),"渋谷 雄大")</f>
        <v>渋谷 雄大</v>
      </c>
    </row>
    <row r="10272" spans="2:4" ht="13">
      <c r="B10272" s="12">
        <f ca="1">IFERROR(__xludf.DUMMYFUNCTION("""COMPUTED_VALUE"""),3701023)</f>
        <v>3701023</v>
      </c>
      <c r="C10272" s="14">
        <f ca="1">IFERROR(__xludf.DUMMYFUNCTION("""COMPUTED_VALUE"""),31)</f>
        <v>31</v>
      </c>
      <c r="D10272" s="12" t="str">
        <f ca="1">IFERROR(__xludf.DUMMYFUNCTION("""COMPUTED_VALUE"""),"渋谷 雄大")</f>
        <v>渋谷 雄大</v>
      </c>
    </row>
    <row r="10273" spans="2:4" ht="13">
      <c r="B10273" s="12">
        <f ca="1">IFERROR(__xludf.DUMMYFUNCTION("""COMPUTED_VALUE"""),3701024)</f>
        <v>3701024</v>
      </c>
      <c r="C10273" s="14">
        <f ca="1">IFERROR(__xludf.DUMMYFUNCTION("""COMPUTED_VALUE"""),4)</f>
        <v>4</v>
      </c>
      <c r="D10273" s="12" t="str">
        <f ca="1">IFERROR(__xludf.DUMMYFUNCTION("""COMPUTED_VALUE"""),"渋谷 雄大")</f>
        <v>渋谷 雄大</v>
      </c>
    </row>
    <row r="10274" spans="2:4" ht="13">
      <c r="B10274" s="12">
        <f ca="1">IFERROR(__xludf.DUMMYFUNCTION("""COMPUTED_VALUE"""),3701025)</f>
        <v>3701025</v>
      </c>
      <c r="C10274" s="14">
        <f ca="1">IFERROR(__xludf.DUMMYFUNCTION("""COMPUTED_VALUE"""),10)</f>
        <v>10</v>
      </c>
      <c r="D10274" s="12" t="str">
        <f ca="1">IFERROR(__xludf.DUMMYFUNCTION("""COMPUTED_VALUE"""),"渋谷 雄大")</f>
        <v>渋谷 雄大</v>
      </c>
    </row>
    <row r="10275" spans="2:4" ht="13">
      <c r="B10275" s="12">
        <f ca="1">IFERROR(__xludf.DUMMYFUNCTION("""COMPUTED_VALUE"""),3701026)</f>
        <v>3701026</v>
      </c>
      <c r="C10275" s="14">
        <f ca="1">IFERROR(__xludf.DUMMYFUNCTION("""COMPUTED_VALUE"""),25)</f>
        <v>25</v>
      </c>
      <c r="D10275" s="12" t="str">
        <f ca="1">IFERROR(__xludf.DUMMYFUNCTION("""COMPUTED_VALUE"""),"渋谷 雄大")</f>
        <v>渋谷 雄大</v>
      </c>
    </row>
    <row r="10276" spans="2:4" ht="13">
      <c r="B10276" s="12">
        <f ca="1">IFERROR(__xludf.DUMMYFUNCTION("""COMPUTED_VALUE"""),3701027)</f>
        <v>3701027</v>
      </c>
      <c r="C10276" s="14">
        <f ca="1">IFERROR(__xludf.DUMMYFUNCTION("""COMPUTED_VALUE"""),12)</f>
        <v>12</v>
      </c>
      <c r="D10276" s="12" t="str">
        <f ca="1">IFERROR(__xludf.DUMMYFUNCTION("""COMPUTED_VALUE"""),"渋谷 雄大")</f>
        <v>渋谷 雄大</v>
      </c>
    </row>
    <row r="10277" spans="2:4" ht="13">
      <c r="B10277" s="12">
        <f ca="1">IFERROR(__xludf.DUMMYFUNCTION("""COMPUTED_VALUE"""),3701028)</f>
        <v>3701028</v>
      </c>
      <c r="C10277" s="14">
        <f ca="1">IFERROR(__xludf.DUMMYFUNCTION("""COMPUTED_VALUE"""),30)</f>
        <v>30</v>
      </c>
      <c r="D10277" s="12" t="str">
        <f ca="1">IFERROR(__xludf.DUMMYFUNCTION("""COMPUTED_VALUE"""),"渋谷 雄大")</f>
        <v>渋谷 雄大</v>
      </c>
    </row>
    <row r="10278" spans="2:4" ht="13">
      <c r="B10278" s="12">
        <f ca="1">IFERROR(__xludf.DUMMYFUNCTION("""COMPUTED_VALUE"""),3701029)</f>
        <v>3701029</v>
      </c>
      <c r="C10278" s="14">
        <f ca="1">IFERROR(__xludf.DUMMYFUNCTION("""COMPUTED_VALUE"""),22)</f>
        <v>22</v>
      </c>
      <c r="D10278" s="12" t="str">
        <f ca="1">IFERROR(__xludf.DUMMYFUNCTION("""COMPUTED_VALUE"""),"渋谷 雄大")</f>
        <v>渋谷 雄大</v>
      </c>
    </row>
    <row r="10279" spans="2:4" ht="13">
      <c r="B10279" s="12">
        <f ca="1">IFERROR(__xludf.DUMMYFUNCTION("""COMPUTED_VALUE"""),3701030)</f>
        <v>3701030</v>
      </c>
      <c r="C10279" s="14">
        <f ca="1">IFERROR(__xludf.DUMMYFUNCTION("""COMPUTED_VALUE"""),16)</f>
        <v>16</v>
      </c>
      <c r="D10279" s="12" t="str">
        <f ca="1">IFERROR(__xludf.DUMMYFUNCTION("""COMPUTED_VALUE"""),"渋谷 雄大")</f>
        <v>渋谷 雄大</v>
      </c>
    </row>
    <row r="10280" spans="2:4" ht="13">
      <c r="B10280" s="12">
        <f ca="1">IFERROR(__xludf.DUMMYFUNCTION("""COMPUTED_VALUE"""),3701031)</f>
        <v>3701031</v>
      </c>
      <c r="C10280" s="14">
        <f ca="1">IFERROR(__xludf.DUMMYFUNCTION("""COMPUTED_VALUE"""),8)</f>
        <v>8</v>
      </c>
      <c r="D10280" s="12" t="str">
        <f ca="1">IFERROR(__xludf.DUMMYFUNCTION("""COMPUTED_VALUE"""),"渋谷 雄大")</f>
        <v>渋谷 雄大</v>
      </c>
    </row>
    <row r="10281" spans="2:4" ht="13">
      <c r="B10281" s="12">
        <f ca="1">IFERROR(__xludf.DUMMYFUNCTION("""COMPUTED_VALUE"""),3701032)</f>
        <v>3701032</v>
      </c>
      <c r="C10281" s="14">
        <f ca="1">IFERROR(__xludf.DUMMYFUNCTION("""COMPUTED_VALUE"""),11)</f>
        <v>11</v>
      </c>
      <c r="D10281" s="12" t="str">
        <f ca="1">IFERROR(__xludf.DUMMYFUNCTION("""COMPUTED_VALUE"""),"渋谷 雄大")</f>
        <v>渋谷 雄大</v>
      </c>
    </row>
    <row r="10282" spans="2:4" ht="13">
      <c r="B10282" s="12">
        <f ca="1">IFERROR(__xludf.DUMMYFUNCTION("""COMPUTED_VALUE"""),3701033)</f>
        <v>3701033</v>
      </c>
      <c r="C10282" s="14">
        <f ca="1">IFERROR(__xludf.DUMMYFUNCTION("""COMPUTED_VALUE"""),8)</f>
        <v>8</v>
      </c>
      <c r="D10282" s="12" t="str">
        <f ca="1">IFERROR(__xludf.DUMMYFUNCTION("""COMPUTED_VALUE"""),"渋谷 雄大")</f>
        <v>渋谷 雄大</v>
      </c>
    </row>
    <row r="10283" spans="2:4" ht="13">
      <c r="B10283" s="12">
        <f ca="1">IFERROR(__xludf.DUMMYFUNCTION("""COMPUTED_VALUE"""),3701034)</f>
        <v>3701034</v>
      </c>
      <c r="C10283" s="14">
        <f ca="1">IFERROR(__xludf.DUMMYFUNCTION("""COMPUTED_VALUE"""),6)</f>
        <v>6</v>
      </c>
      <c r="D10283" s="12" t="str">
        <f ca="1">IFERROR(__xludf.DUMMYFUNCTION("""COMPUTED_VALUE"""),"渋谷 雄大")</f>
        <v>渋谷 雄大</v>
      </c>
    </row>
    <row r="10284" spans="2:4" ht="13">
      <c r="B10284" s="12">
        <f ca="1">IFERROR(__xludf.DUMMYFUNCTION("""COMPUTED_VALUE"""),3701035)</f>
        <v>3701035</v>
      </c>
      <c r="C10284" s="14">
        <f ca="1">IFERROR(__xludf.DUMMYFUNCTION("""COMPUTED_VALUE"""),19)</f>
        <v>19</v>
      </c>
      <c r="D10284" s="12" t="str">
        <f ca="1">IFERROR(__xludf.DUMMYFUNCTION("""COMPUTED_VALUE"""),"渋谷 雄大")</f>
        <v>渋谷 雄大</v>
      </c>
    </row>
    <row r="10285" spans="2:4" ht="13">
      <c r="B10285" s="12">
        <f ca="1">IFERROR(__xludf.DUMMYFUNCTION("""COMPUTED_VALUE"""),3701036)</f>
        <v>3701036</v>
      </c>
      <c r="C10285" s="14">
        <f ca="1">IFERROR(__xludf.DUMMYFUNCTION("""COMPUTED_VALUE"""),10)</f>
        <v>10</v>
      </c>
      <c r="D10285" s="12" t="str">
        <f ca="1">IFERROR(__xludf.DUMMYFUNCTION("""COMPUTED_VALUE"""),"渋谷 雄大")</f>
        <v>渋谷 雄大</v>
      </c>
    </row>
    <row r="10286" spans="2:4" ht="13">
      <c r="B10286" s="12">
        <f ca="1">IFERROR(__xludf.DUMMYFUNCTION("""COMPUTED_VALUE"""),3701037)</f>
        <v>3701037</v>
      </c>
      <c r="C10286" s="14">
        <f ca="1">IFERROR(__xludf.DUMMYFUNCTION("""COMPUTED_VALUE"""),21)</f>
        <v>21</v>
      </c>
      <c r="D10286" s="12" t="str">
        <f ca="1">IFERROR(__xludf.DUMMYFUNCTION("""COMPUTED_VALUE"""),"渋谷 雄大")</f>
        <v>渋谷 雄大</v>
      </c>
    </row>
    <row r="10287" spans="2:4" ht="13">
      <c r="B10287" s="12">
        <f ca="1">IFERROR(__xludf.DUMMYFUNCTION("""COMPUTED_VALUE"""),3701038)</f>
        <v>3701038</v>
      </c>
      <c r="C10287" s="14">
        <f ca="1">IFERROR(__xludf.DUMMYFUNCTION("""COMPUTED_VALUE"""),9)</f>
        <v>9</v>
      </c>
      <c r="D10287" s="12" t="str">
        <f ca="1">IFERROR(__xludf.DUMMYFUNCTION("""COMPUTED_VALUE"""),"渋谷 雄大")</f>
        <v>渋谷 雄大</v>
      </c>
    </row>
    <row r="10288" spans="2:4" ht="13">
      <c r="B10288" s="12">
        <f ca="1">IFERROR(__xludf.DUMMYFUNCTION("""COMPUTED_VALUE"""),3701039)</f>
        <v>3701039</v>
      </c>
      <c r="C10288" s="14">
        <f ca="1">IFERROR(__xludf.DUMMYFUNCTION("""COMPUTED_VALUE"""),19)</f>
        <v>19</v>
      </c>
      <c r="D10288" s="12" t="str">
        <f ca="1">IFERROR(__xludf.DUMMYFUNCTION("""COMPUTED_VALUE"""),"渋谷 雄大")</f>
        <v>渋谷 雄大</v>
      </c>
    </row>
    <row r="10289" spans="2:4" ht="13">
      <c r="B10289" s="12">
        <f ca="1">IFERROR(__xludf.DUMMYFUNCTION("""COMPUTED_VALUE"""),3701040)</f>
        <v>3701040</v>
      </c>
      <c r="C10289" s="14">
        <f ca="1">IFERROR(__xludf.DUMMYFUNCTION("""COMPUTED_VALUE"""),13)</f>
        <v>13</v>
      </c>
      <c r="D10289" s="12" t="str">
        <f ca="1">IFERROR(__xludf.DUMMYFUNCTION("""COMPUTED_VALUE"""),"渋谷 雄大")</f>
        <v>渋谷 雄大</v>
      </c>
    </row>
    <row r="10290" spans="2:4" ht="13">
      <c r="B10290" s="12">
        <f ca="1">IFERROR(__xludf.DUMMYFUNCTION("""COMPUTED_VALUE"""),3701041)</f>
        <v>3701041</v>
      </c>
      <c r="C10290" s="14">
        <f ca="1">IFERROR(__xludf.DUMMYFUNCTION("""COMPUTED_VALUE"""),20)</f>
        <v>20</v>
      </c>
      <c r="D10290" s="12" t="str">
        <f ca="1">IFERROR(__xludf.DUMMYFUNCTION("""COMPUTED_VALUE"""),"渋谷 雄大")</f>
        <v>渋谷 雄大</v>
      </c>
    </row>
    <row r="10291" spans="2:4" ht="13">
      <c r="B10291" s="12">
        <f ca="1">IFERROR(__xludf.DUMMYFUNCTION("""COMPUTED_VALUE"""),3701042)</f>
        <v>3701042</v>
      </c>
      <c r="C10291" s="14">
        <f ca="1">IFERROR(__xludf.DUMMYFUNCTION("""COMPUTED_VALUE"""),24)</f>
        <v>24</v>
      </c>
      <c r="D10291" s="12" t="str">
        <f ca="1">IFERROR(__xludf.DUMMYFUNCTION("""COMPUTED_VALUE"""),"渋谷 雄大")</f>
        <v>渋谷 雄大</v>
      </c>
    </row>
    <row r="10292" spans="2:4" ht="13">
      <c r="B10292" s="12">
        <f ca="1">IFERROR(__xludf.DUMMYFUNCTION("""COMPUTED_VALUE"""),3701043)</f>
        <v>3701043</v>
      </c>
      <c r="C10292" s="14">
        <f ca="1">IFERROR(__xludf.DUMMYFUNCTION("""COMPUTED_VALUE"""),21)</f>
        <v>21</v>
      </c>
      <c r="D10292" s="12" t="str">
        <f ca="1">IFERROR(__xludf.DUMMYFUNCTION("""COMPUTED_VALUE"""),"渋谷 雄大")</f>
        <v>渋谷 雄大</v>
      </c>
    </row>
    <row r="10293" spans="2:4" ht="13">
      <c r="B10293" s="12">
        <f ca="1">IFERROR(__xludf.DUMMYFUNCTION("""COMPUTED_VALUE"""),3701045)</f>
        <v>3701045</v>
      </c>
      <c r="C10293" s="14">
        <f ca="1">IFERROR(__xludf.DUMMYFUNCTION("""COMPUTED_VALUE"""),8)</f>
        <v>8</v>
      </c>
      <c r="D10293" s="12" t="str">
        <f ca="1">IFERROR(__xludf.DUMMYFUNCTION("""COMPUTED_VALUE"""),"渋谷 雄大")</f>
        <v>渋谷 雄大</v>
      </c>
    </row>
    <row r="10294" spans="2:4" ht="13">
      <c r="B10294" s="12">
        <f ca="1">IFERROR(__xludf.DUMMYFUNCTION("""COMPUTED_VALUE"""),3701046)</f>
        <v>3701046</v>
      </c>
      <c r="C10294" s="14">
        <f ca="1">IFERROR(__xludf.DUMMYFUNCTION("""COMPUTED_VALUE"""),29)</f>
        <v>29</v>
      </c>
      <c r="D10294" s="12" t="str">
        <f ca="1">IFERROR(__xludf.DUMMYFUNCTION("""COMPUTED_VALUE"""),"渋谷 雄大")</f>
        <v>渋谷 雄大</v>
      </c>
    </row>
    <row r="10295" spans="2:4" ht="13">
      <c r="B10295" s="12">
        <f ca="1">IFERROR(__xludf.DUMMYFUNCTION("""COMPUTED_VALUE"""),3701047)</f>
        <v>3701047</v>
      </c>
      <c r="C10295" s="14">
        <f ca="1">IFERROR(__xludf.DUMMYFUNCTION("""COMPUTED_VALUE"""),5)</f>
        <v>5</v>
      </c>
      <c r="D10295" s="12" t="str">
        <f ca="1">IFERROR(__xludf.DUMMYFUNCTION("""COMPUTED_VALUE"""),"渋谷 雄大")</f>
        <v>渋谷 雄大</v>
      </c>
    </row>
    <row r="10296" spans="2:4" ht="13">
      <c r="B10296" s="12">
        <f ca="1">IFERROR(__xludf.DUMMYFUNCTION("""COMPUTED_VALUE"""),3701048)</f>
        <v>3701048</v>
      </c>
      <c r="C10296" s="14">
        <f ca="1">IFERROR(__xludf.DUMMYFUNCTION("""COMPUTED_VALUE"""),14)</f>
        <v>14</v>
      </c>
      <c r="D10296" s="12" t="str">
        <f ca="1">IFERROR(__xludf.DUMMYFUNCTION("""COMPUTED_VALUE"""),"渋谷 雄大")</f>
        <v>渋谷 雄大</v>
      </c>
    </row>
    <row r="10297" spans="2:4" ht="13">
      <c r="B10297" s="12">
        <f ca="1">IFERROR(__xludf.DUMMYFUNCTION("""COMPUTED_VALUE"""),3701049)</f>
        <v>3701049</v>
      </c>
      <c r="C10297" s="14">
        <f ca="1">IFERROR(__xludf.DUMMYFUNCTION("""COMPUTED_VALUE"""),0)</f>
        <v>0</v>
      </c>
      <c r="D10297" s="12" t="str">
        <f ca="1">IFERROR(__xludf.DUMMYFUNCTION("""COMPUTED_VALUE"""),"渋谷 雄大")</f>
        <v>渋谷 雄大</v>
      </c>
    </row>
    <row r="10298" spans="2:4" ht="13">
      <c r="B10298" s="12">
        <f ca="1">IFERROR(__xludf.DUMMYFUNCTION("""COMPUTED_VALUE"""),3701050)</f>
        <v>3701050</v>
      </c>
      <c r="C10298" s="14">
        <f ca="1">IFERROR(__xludf.DUMMYFUNCTION("""COMPUTED_VALUE"""),37)</f>
        <v>37</v>
      </c>
      <c r="D10298" s="12" t="str">
        <f ca="1">IFERROR(__xludf.DUMMYFUNCTION("""COMPUTED_VALUE"""),"渋谷 雄大")</f>
        <v>渋谷 雄大</v>
      </c>
    </row>
    <row r="10299" spans="2:4" ht="13">
      <c r="B10299" s="12">
        <f ca="1">IFERROR(__xludf.DUMMYFUNCTION("""COMPUTED_VALUE"""),3701051)</f>
        <v>3701051</v>
      </c>
      <c r="C10299" s="14">
        <f ca="1">IFERROR(__xludf.DUMMYFUNCTION("""COMPUTED_VALUE"""),15)</f>
        <v>15</v>
      </c>
      <c r="D10299" s="12" t="str">
        <f ca="1">IFERROR(__xludf.DUMMYFUNCTION("""COMPUTED_VALUE"""),"渋谷 雄大")</f>
        <v>渋谷 雄大</v>
      </c>
    </row>
    <row r="10300" spans="2:4" ht="13">
      <c r="B10300" s="12">
        <f ca="1">IFERROR(__xludf.DUMMYFUNCTION("""COMPUTED_VALUE"""),3701052)</f>
        <v>3701052</v>
      </c>
      <c r="C10300" s="14">
        <f ca="1">IFERROR(__xludf.DUMMYFUNCTION("""COMPUTED_VALUE"""),5)</f>
        <v>5</v>
      </c>
      <c r="D10300" s="12" t="str">
        <f ca="1">IFERROR(__xludf.DUMMYFUNCTION("""COMPUTED_VALUE"""),"渋谷 雄大")</f>
        <v>渋谷 雄大</v>
      </c>
    </row>
    <row r="10301" spans="2:4" ht="13">
      <c r="B10301" s="12">
        <f ca="1">IFERROR(__xludf.DUMMYFUNCTION("""COMPUTED_VALUE"""),3701053)</f>
        <v>3701053</v>
      </c>
      <c r="C10301" s="14">
        <f ca="1">IFERROR(__xludf.DUMMYFUNCTION("""COMPUTED_VALUE"""),33)</f>
        <v>33</v>
      </c>
      <c r="D10301" s="12" t="str">
        <f ca="1">IFERROR(__xludf.DUMMYFUNCTION("""COMPUTED_VALUE"""),"渋谷 雄大")</f>
        <v>渋谷 雄大</v>
      </c>
    </row>
    <row r="10302" spans="2:4" ht="13">
      <c r="B10302" s="12">
        <f ca="1">IFERROR(__xludf.DUMMYFUNCTION("""COMPUTED_VALUE"""),3701056)</f>
        <v>3701056</v>
      </c>
      <c r="C10302" s="14">
        <f ca="1">IFERROR(__xludf.DUMMYFUNCTION("""COMPUTED_VALUE"""),11)</f>
        <v>11</v>
      </c>
      <c r="D10302" s="12" t="str">
        <f ca="1">IFERROR(__xludf.DUMMYFUNCTION("""COMPUTED_VALUE"""),"渋谷 雄大")</f>
        <v>渋谷 雄大</v>
      </c>
    </row>
    <row r="10303" spans="2:4" ht="13">
      <c r="B10303" s="12">
        <f ca="1">IFERROR(__xludf.DUMMYFUNCTION("""COMPUTED_VALUE"""),3701057)</f>
        <v>3701057</v>
      </c>
      <c r="C10303" s="14">
        <f ca="1">IFERROR(__xludf.DUMMYFUNCTION("""COMPUTED_VALUE"""),37)</f>
        <v>37</v>
      </c>
      <c r="D10303" s="12" t="str">
        <f ca="1">IFERROR(__xludf.DUMMYFUNCTION("""COMPUTED_VALUE"""),"渋谷 雄大")</f>
        <v>渋谷 雄大</v>
      </c>
    </row>
    <row r="10304" spans="2:4" ht="13">
      <c r="B10304" s="12">
        <f ca="1">IFERROR(__xludf.DUMMYFUNCTION("""COMPUTED_VALUE"""),3701058)</f>
        <v>3701058</v>
      </c>
      <c r="C10304" s="14">
        <f ca="1">IFERROR(__xludf.DUMMYFUNCTION("""COMPUTED_VALUE"""),11)</f>
        <v>11</v>
      </c>
      <c r="D10304" s="12" t="str">
        <f ca="1">IFERROR(__xludf.DUMMYFUNCTION("""COMPUTED_VALUE"""),"渋谷 雄大")</f>
        <v>渋谷 雄大</v>
      </c>
    </row>
    <row r="10305" spans="2:4" ht="13">
      <c r="B10305" s="12">
        <f ca="1">IFERROR(__xludf.DUMMYFUNCTION("""COMPUTED_VALUE"""),3701059)</f>
        <v>3701059</v>
      </c>
      <c r="C10305" s="14">
        <f ca="1">IFERROR(__xludf.DUMMYFUNCTION("""COMPUTED_VALUE"""),29)</f>
        <v>29</v>
      </c>
      <c r="D10305" s="12" t="str">
        <f ca="1">IFERROR(__xludf.DUMMYFUNCTION("""COMPUTED_VALUE"""),"渋谷 雄大")</f>
        <v>渋谷 雄大</v>
      </c>
    </row>
    <row r="10306" spans="2:4" ht="13">
      <c r="B10306" s="12">
        <f ca="1">IFERROR(__xludf.DUMMYFUNCTION("""COMPUTED_VALUE"""),3701060)</f>
        <v>3701060</v>
      </c>
      <c r="C10306" s="14">
        <f ca="1">IFERROR(__xludf.DUMMYFUNCTION("""COMPUTED_VALUE"""),9)</f>
        <v>9</v>
      </c>
      <c r="D10306" s="12" t="str">
        <f ca="1">IFERROR(__xludf.DUMMYFUNCTION("""COMPUTED_VALUE"""),"渋谷 雄大")</f>
        <v>渋谷 雄大</v>
      </c>
    </row>
    <row r="10307" spans="2:4" ht="13">
      <c r="B10307" s="12">
        <f ca="1">IFERROR(__xludf.DUMMYFUNCTION("""COMPUTED_VALUE"""),3701062)</f>
        <v>3701062</v>
      </c>
      <c r="C10307" s="14">
        <f ca="1">IFERROR(__xludf.DUMMYFUNCTION("""COMPUTED_VALUE"""),46)</f>
        <v>46</v>
      </c>
      <c r="D10307" s="12" t="str">
        <f ca="1">IFERROR(__xludf.DUMMYFUNCTION("""COMPUTED_VALUE"""),"渋谷 雄大")</f>
        <v>渋谷 雄大</v>
      </c>
    </row>
    <row r="10308" spans="2:4" ht="13">
      <c r="B10308" s="12">
        <f ca="1">IFERROR(__xludf.DUMMYFUNCTION("""COMPUTED_VALUE"""),3701063)</f>
        <v>3701063</v>
      </c>
      <c r="C10308" s="14">
        <f ca="1">IFERROR(__xludf.DUMMYFUNCTION("""COMPUTED_VALUE"""),9)</f>
        <v>9</v>
      </c>
      <c r="D10308" s="12" t="str">
        <f ca="1">IFERROR(__xludf.DUMMYFUNCTION("""COMPUTED_VALUE"""),"渋谷 雄大")</f>
        <v>渋谷 雄大</v>
      </c>
    </row>
    <row r="10309" spans="2:4" ht="13">
      <c r="B10309" s="12">
        <f ca="1">IFERROR(__xludf.DUMMYFUNCTION("""COMPUTED_VALUE"""),3701064)</f>
        <v>3701064</v>
      </c>
      <c r="C10309" s="14">
        <f ca="1">IFERROR(__xludf.DUMMYFUNCTION("""COMPUTED_VALUE"""),13)</f>
        <v>13</v>
      </c>
      <c r="D10309" s="12" t="str">
        <f ca="1">IFERROR(__xludf.DUMMYFUNCTION("""COMPUTED_VALUE"""),"渋谷 雄大")</f>
        <v>渋谷 雄大</v>
      </c>
    </row>
    <row r="10310" spans="2:4" ht="13">
      <c r="B10310" s="12">
        <f ca="1">IFERROR(__xludf.DUMMYFUNCTION("""COMPUTED_VALUE"""),3701065)</f>
        <v>3701065</v>
      </c>
      <c r="C10310" s="14">
        <f ca="1">IFERROR(__xludf.DUMMYFUNCTION("""COMPUTED_VALUE"""),50)</f>
        <v>50</v>
      </c>
      <c r="D10310" s="12" t="str">
        <f ca="1">IFERROR(__xludf.DUMMYFUNCTION("""COMPUTED_VALUE"""),"渋谷 雄大")</f>
        <v>渋谷 雄大</v>
      </c>
    </row>
    <row r="10311" spans="2:4" ht="13">
      <c r="B10311" s="12">
        <f ca="1">IFERROR(__xludf.DUMMYFUNCTION("""COMPUTED_VALUE"""),3701068)</f>
        <v>3701068</v>
      </c>
      <c r="C10311" s="14">
        <f ca="1">IFERROR(__xludf.DUMMYFUNCTION("""COMPUTED_VALUE"""),11)</f>
        <v>11</v>
      </c>
      <c r="D10311" s="12" t="str">
        <f ca="1">IFERROR(__xludf.DUMMYFUNCTION("""COMPUTED_VALUE"""),"渋谷 雄大")</f>
        <v>渋谷 雄大</v>
      </c>
    </row>
    <row r="10312" spans="2:4" ht="13">
      <c r="B10312" s="12">
        <f ca="1">IFERROR(__xludf.DUMMYFUNCTION("""COMPUTED_VALUE"""),3701073)</f>
        <v>3701073</v>
      </c>
      <c r="C10312" s="14">
        <f ca="1">IFERROR(__xludf.DUMMYFUNCTION("""COMPUTED_VALUE"""),46)</f>
        <v>46</v>
      </c>
      <c r="D10312" s="12" t="str">
        <f ca="1">IFERROR(__xludf.DUMMYFUNCTION("""COMPUTED_VALUE"""),"渋谷 雄大")</f>
        <v>渋谷 雄大</v>
      </c>
    </row>
    <row r="10313" spans="2:4" ht="13">
      <c r="B10313" s="12">
        <f ca="1">IFERROR(__xludf.DUMMYFUNCTION("""COMPUTED_VALUE"""),3701074)</f>
        <v>3701074</v>
      </c>
      <c r="C10313" s="14">
        <f ca="1">IFERROR(__xludf.DUMMYFUNCTION("""COMPUTED_VALUE"""),5)</f>
        <v>5</v>
      </c>
      <c r="D10313" s="12" t="str">
        <f ca="1">IFERROR(__xludf.DUMMYFUNCTION("""COMPUTED_VALUE"""),"渋谷 雄大")</f>
        <v>渋谷 雄大</v>
      </c>
    </row>
    <row r="10314" spans="2:4" ht="13">
      <c r="B10314" s="12">
        <f ca="1">IFERROR(__xludf.DUMMYFUNCTION("""COMPUTED_VALUE"""),3701075)</f>
        <v>3701075</v>
      </c>
      <c r="C10314" s="14">
        <f ca="1">IFERROR(__xludf.DUMMYFUNCTION("""COMPUTED_VALUE"""),10)</f>
        <v>10</v>
      </c>
      <c r="D10314" s="12" t="str">
        <f ca="1">IFERROR(__xludf.DUMMYFUNCTION("""COMPUTED_VALUE"""),"渋谷 雄大")</f>
        <v>渋谷 雄大</v>
      </c>
    </row>
    <row r="10315" spans="2:4" ht="13">
      <c r="B10315" s="12">
        <f ca="1">IFERROR(__xludf.DUMMYFUNCTION("""COMPUTED_VALUE"""),3701077)</f>
        <v>3701077</v>
      </c>
      <c r="C10315" s="14">
        <f ca="1">IFERROR(__xludf.DUMMYFUNCTION("""COMPUTED_VALUE"""),9)</f>
        <v>9</v>
      </c>
      <c r="D10315" s="12" t="str">
        <f ca="1">IFERROR(__xludf.DUMMYFUNCTION("""COMPUTED_VALUE"""),"渋谷 雄大")</f>
        <v>渋谷 雄大</v>
      </c>
    </row>
    <row r="10316" spans="2:4" ht="13">
      <c r="B10316" s="12">
        <f ca="1">IFERROR(__xludf.DUMMYFUNCTION("""COMPUTED_VALUE"""),3701079)</f>
        <v>3701079</v>
      </c>
      <c r="C10316" s="14">
        <f ca="1">IFERROR(__xludf.DUMMYFUNCTION("""COMPUTED_VALUE"""),63)</f>
        <v>63</v>
      </c>
      <c r="D10316" s="12" t="str">
        <f ca="1">IFERROR(__xludf.DUMMYFUNCTION("""COMPUTED_VALUE"""),"渋谷 雄大")</f>
        <v>渋谷 雄大</v>
      </c>
    </row>
    <row r="10317" spans="2:4" ht="13">
      <c r="B10317" s="12">
        <f ca="1">IFERROR(__xludf.DUMMYFUNCTION("""COMPUTED_VALUE"""),3701080)</f>
        <v>3701080</v>
      </c>
      <c r="C10317" s="14">
        <f ca="1">IFERROR(__xludf.DUMMYFUNCTION("""COMPUTED_VALUE"""),21)</f>
        <v>21</v>
      </c>
      <c r="D10317" s="12" t="str">
        <f ca="1">IFERROR(__xludf.DUMMYFUNCTION("""COMPUTED_VALUE"""),"渋谷 雄大")</f>
        <v>渋谷 雄大</v>
      </c>
    </row>
    <row r="10318" spans="2:4" ht="13">
      <c r="B10318" s="12">
        <f ca="1">IFERROR(__xludf.DUMMYFUNCTION("""COMPUTED_VALUE"""),3701081)</f>
        <v>3701081</v>
      </c>
      <c r="C10318" s="14">
        <f ca="1">IFERROR(__xludf.DUMMYFUNCTION("""COMPUTED_VALUE"""),24)</f>
        <v>24</v>
      </c>
      <c r="D10318" s="12" t="str">
        <f ca="1">IFERROR(__xludf.DUMMYFUNCTION("""COMPUTED_VALUE"""),"渋谷 雄大")</f>
        <v>渋谷 雄大</v>
      </c>
    </row>
    <row r="10319" spans="2:4" ht="13">
      <c r="B10319" s="12">
        <f ca="1">IFERROR(__xludf.DUMMYFUNCTION("""COMPUTED_VALUE"""),3701082)</f>
        <v>3701082</v>
      </c>
      <c r="C10319" s="14">
        <f ca="1">IFERROR(__xludf.DUMMYFUNCTION("""COMPUTED_VALUE"""),13)</f>
        <v>13</v>
      </c>
      <c r="D10319" s="12" t="str">
        <f ca="1">IFERROR(__xludf.DUMMYFUNCTION("""COMPUTED_VALUE"""),"渋谷 雄大")</f>
        <v>渋谷 雄大</v>
      </c>
    </row>
    <row r="10320" spans="2:4" ht="13">
      <c r="B10320" s="12">
        <f ca="1">IFERROR(__xludf.DUMMYFUNCTION("""COMPUTED_VALUE"""),3701083)</f>
        <v>3701083</v>
      </c>
      <c r="C10320" s="14">
        <f ca="1">IFERROR(__xludf.DUMMYFUNCTION("""COMPUTED_VALUE"""),12)</f>
        <v>12</v>
      </c>
      <c r="D10320" s="12" t="str">
        <f ca="1">IFERROR(__xludf.DUMMYFUNCTION("""COMPUTED_VALUE"""),"渋谷 雄大")</f>
        <v>渋谷 雄大</v>
      </c>
    </row>
    <row r="10321" spans="2:4" ht="13">
      <c r="B10321" s="12">
        <f ca="1">IFERROR(__xludf.DUMMYFUNCTION("""COMPUTED_VALUE"""),3701084)</f>
        <v>3701084</v>
      </c>
      <c r="C10321" s="14">
        <f ca="1">IFERROR(__xludf.DUMMYFUNCTION("""COMPUTED_VALUE"""),39)</f>
        <v>39</v>
      </c>
      <c r="D10321" s="12" t="str">
        <f ca="1">IFERROR(__xludf.DUMMYFUNCTION("""COMPUTED_VALUE"""),"渋谷 雄大")</f>
        <v>渋谷 雄大</v>
      </c>
    </row>
    <row r="10322" spans="2:4" ht="13">
      <c r="B10322" s="12">
        <f ca="1">IFERROR(__xludf.DUMMYFUNCTION("""COMPUTED_VALUE"""),3701085)</f>
        <v>3701085</v>
      </c>
      <c r="C10322" s="14">
        <f ca="1">IFERROR(__xludf.DUMMYFUNCTION("""COMPUTED_VALUE"""),13)</f>
        <v>13</v>
      </c>
      <c r="D10322" s="12" t="str">
        <f ca="1">IFERROR(__xludf.DUMMYFUNCTION("""COMPUTED_VALUE"""),"渋谷 雄大")</f>
        <v>渋谷 雄大</v>
      </c>
    </row>
    <row r="10323" spans="2:4" ht="13">
      <c r="B10323" s="12">
        <f ca="1">IFERROR(__xludf.DUMMYFUNCTION("""COMPUTED_VALUE"""),3701086)</f>
        <v>3701086</v>
      </c>
      <c r="C10323" s="14">
        <f ca="1">IFERROR(__xludf.DUMMYFUNCTION("""COMPUTED_VALUE"""),13)</f>
        <v>13</v>
      </c>
      <c r="D10323" s="12" t="str">
        <f ca="1">IFERROR(__xludf.DUMMYFUNCTION("""COMPUTED_VALUE"""),"渋谷 雄大")</f>
        <v>渋谷 雄大</v>
      </c>
    </row>
    <row r="10324" spans="2:4" ht="13">
      <c r="B10324" s="12">
        <f ca="1">IFERROR(__xludf.DUMMYFUNCTION("""COMPUTED_VALUE"""),3701087)</f>
        <v>3701087</v>
      </c>
      <c r="C10324" s="14">
        <f ca="1">IFERROR(__xludf.DUMMYFUNCTION("""COMPUTED_VALUE"""),16)</f>
        <v>16</v>
      </c>
      <c r="D10324" s="12" t="str">
        <f ca="1">IFERROR(__xludf.DUMMYFUNCTION("""COMPUTED_VALUE"""),"渋谷 雄大")</f>
        <v>渋谷 雄大</v>
      </c>
    </row>
    <row r="10325" spans="2:4" ht="13">
      <c r="B10325" s="12">
        <f ca="1">IFERROR(__xludf.DUMMYFUNCTION("""COMPUTED_VALUE"""),3701089)</f>
        <v>3701089</v>
      </c>
      <c r="C10325" s="14">
        <f ca="1">IFERROR(__xludf.DUMMYFUNCTION("""COMPUTED_VALUE"""),21)</f>
        <v>21</v>
      </c>
      <c r="D10325" s="12" t="str">
        <f ca="1">IFERROR(__xludf.DUMMYFUNCTION("""COMPUTED_VALUE"""),"渋谷 雄大")</f>
        <v>渋谷 雄大</v>
      </c>
    </row>
    <row r="10326" spans="2:4" ht="13">
      <c r="B10326" s="12">
        <f ca="1">IFERROR(__xludf.DUMMYFUNCTION("""COMPUTED_VALUE"""),3701090)</f>
        <v>3701090</v>
      </c>
      <c r="C10326" s="14">
        <f ca="1">IFERROR(__xludf.DUMMYFUNCTION("""COMPUTED_VALUE"""),27)</f>
        <v>27</v>
      </c>
      <c r="D10326" s="12" t="str">
        <f ca="1">IFERROR(__xludf.DUMMYFUNCTION("""COMPUTED_VALUE"""),"渋谷 雄大")</f>
        <v>渋谷 雄大</v>
      </c>
    </row>
    <row r="10327" spans="2:4" ht="13">
      <c r="B10327" s="12">
        <f ca="1">IFERROR(__xludf.DUMMYFUNCTION("""COMPUTED_VALUE"""),3701093)</f>
        <v>3701093</v>
      </c>
      <c r="C10327" s="14">
        <f ca="1">IFERROR(__xludf.DUMMYFUNCTION("""COMPUTED_VALUE"""),23)</f>
        <v>23</v>
      </c>
      <c r="D10327" s="12" t="str">
        <f ca="1">IFERROR(__xludf.DUMMYFUNCTION("""COMPUTED_VALUE"""),"渋谷 雄大")</f>
        <v>渋谷 雄大</v>
      </c>
    </row>
    <row r="10328" spans="2:4" ht="13">
      <c r="B10328" s="12">
        <f ca="1">IFERROR(__xludf.DUMMYFUNCTION("""COMPUTED_VALUE"""),3701096)</f>
        <v>3701096</v>
      </c>
      <c r="C10328" s="14">
        <f ca="1">IFERROR(__xludf.DUMMYFUNCTION("""COMPUTED_VALUE"""),30)</f>
        <v>30</v>
      </c>
      <c r="D10328" s="12" t="str">
        <f ca="1">IFERROR(__xludf.DUMMYFUNCTION("""COMPUTED_VALUE"""),"渋谷 雄大")</f>
        <v>渋谷 雄大</v>
      </c>
    </row>
    <row r="10329" spans="2:4" ht="13">
      <c r="B10329" s="12">
        <f ca="1">IFERROR(__xludf.DUMMYFUNCTION("""COMPUTED_VALUE"""),3701097)</f>
        <v>3701097</v>
      </c>
      <c r="C10329" s="14">
        <f ca="1">IFERROR(__xludf.DUMMYFUNCTION("""COMPUTED_VALUE"""),15)</f>
        <v>15</v>
      </c>
      <c r="D10329" s="12" t="str">
        <f ca="1">IFERROR(__xludf.DUMMYFUNCTION("""COMPUTED_VALUE"""),"渋谷 雄大")</f>
        <v>渋谷 雄大</v>
      </c>
    </row>
    <row r="10330" spans="2:4" ht="13">
      <c r="B10330" s="12">
        <f ca="1">IFERROR(__xludf.DUMMYFUNCTION("""COMPUTED_VALUE"""),3701098)</f>
        <v>3701098</v>
      </c>
      <c r="C10330" s="14">
        <f ca="1">IFERROR(__xludf.DUMMYFUNCTION("""COMPUTED_VALUE"""),19)</f>
        <v>19</v>
      </c>
      <c r="D10330" s="12" t="str">
        <f ca="1">IFERROR(__xludf.DUMMYFUNCTION("""COMPUTED_VALUE"""),"渋谷 雄大")</f>
        <v>渋谷 雄大</v>
      </c>
    </row>
    <row r="10331" spans="2:4" ht="13">
      <c r="B10331" s="12">
        <f ca="1">IFERROR(__xludf.DUMMYFUNCTION("""COMPUTED_VALUE"""),3701099)</f>
        <v>3701099</v>
      </c>
      <c r="C10331" s="14">
        <f ca="1">IFERROR(__xludf.DUMMYFUNCTION("""COMPUTED_VALUE"""),8)</f>
        <v>8</v>
      </c>
      <c r="D10331" s="12" t="str">
        <f ca="1">IFERROR(__xludf.DUMMYFUNCTION("""COMPUTED_VALUE"""),"渋谷 雄大")</f>
        <v>渋谷 雄大</v>
      </c>
    </row>
    <row r="10332" spans="2:4" ht="13">
      <c r="B10332" s="12">
        <f ca="1">IFERROR(__xludf.DUMMYFUNCTION("""COMPUTED_VALUE"""),3701100)</f>
        <v>3701100</v>
      </c>
      <c r="C10332" s="14">
        <f ca="1">IFERROR(__xludf.DUMMYFUNCTION("""COMPUTED_VALUE"""),40)</f>
        <v>40</v>
      </c>
      <c r="D10332" s="12" t="str">
        <f ca="1">IFERROR(__xludf.DUMMYFUNCTION("""COMPUTED_VALUE"""),"渋谷 雄大")</f>
        <v>渋谷 雄大</v>
      </c>
    </row>
    <row r="10333" spans="2:4" ht="13">
      <c r="B10333" s="12">
        <f ca="1">IFERROR(__xludf.DUMMYFUNCTION("""COMPUTED_VALUE"""),3701101)</f>
        <v>3701101</v>
      </c>
      <c r="C10333" s="14">
        <f ca="1">IFERROR(__xludf.DUMMYFUNCTION("""COMPUTED_VALUE"""),13)</f>
        <v>13</v>
      </c>
      <c r="D10333" s="12" t="str">
        <f ca="1">IFERROR(__xludf.DUMMYFUNCTION("""COMPUTED_VALUE"""),"渋谷 雄大")</f>
        <v>渋谷 雄大</v>
      </c>
    </row>
    <row r="10334" spans="2:4" ht="13">
      <c r="B10334" s="12">
        <f ca="1">IFERROR(__xludf.DUMMYFUNCTION("""COMPUTED_VALUE"""),3701102)</f>
        <v>3701102</v>
      </c>
      <c r="C10334" s="14">
        <f ca="1">IFERROR(__xludf.DUMMYFUNCTION("""COMPUTED_VALUE"""),25)</f>
        <v>25</v>
      </c>
      <c r="D10334" s="12" t="str">
        <f ca="1">IFERROR(__xludf.DUMMYFUNCTION("""COMPUTED_VALUE"""),"渋谷 雄大")</f>
        <v>渋谷 雄大</v>
      </c>
    </row>
    <row r="10335" spans="2:4" ht="13">
      <c r="B10335" s="12">
        <f ca="1">IFERROR(__xludf.DUMMYFUNCTION("""COMPUTED_VALUE"""),3701103)</f>
        <v>3701103</v>
      </c>
      <c r="C10335" s="14">
        <f ca="1">IFERROR(__xludf.DUMMYFUNCTION("""COMPUTED_VALUE"""),5)</f>
        <v>5</v>
      </c>
      <c r="D10335" s="12" t="str">
        <f ca="1">IFERROR(__xludf.DUMMYFUNCTION("""COMPUTED_VALUE"""),"渋谷 雄大")</f>
        <v>渋谷 雄大</v>
      </c>
    </row>
    <row r="10336" spans="2:4" ht="13">
      <c r="B10336" s="12">
        <f ca="1">IFERROR(__xludf.DUMMYFUNCTION("""COMPUTED_VALUE"""),3701104)</f>
        <v>3701104</v>
      </c>
      <c r="C10336" s="14">
        <f ca="1">IFERROR(__xludf.DUMMYFUNCTION("""COMPUTED_VALUE"""),7)</f>
        <v>7</v>
      </c>
      <c r="D10336" s="12" t="str">
        <f ca="1">IFERROR(__xludf.DUMMYFUNCTION("""COMPUTED_VALUE"""),"渋谷 雄大")</f>
        <v>渋谷 雄大</v>
      </c>
    </row>
    <row r="10337" spans="2:4" ht="13">
      <c r="B10337" s="12">
        <f ca="1">IFERROR(__xludf.DUMMYFUNCTION("""COMPUTED_VALUE"""),3701105)</f>
        <v>3701105</v>
      </c>
      <c r="C10337" s="14">
        <f ca="1">IFERROR(__xludf.DUMMYFUNCTION("""COMPUTED_VALUE"""),30)</f>
        <v>30</v>
      </c>
      <c r="D10337" s="12" t="str">
        <f ca="1">IFERROR(__xludf.DUMMYFUNCTION("""COMPUTED_VALUE"""),"渋谷 雄大")</f>
        <v>渋谷 雄大</v>
      </c>
    </row>
    <row r="10338" spans="2:4" ht="13">
      <c r="B10338" s="12">
        <f ca="1">IFERROR(__xludf.DUMMYFUNCTION("""COMPUTED_VALUE"""),3701106)</f>
        <v>3701106</v>
      </c>
      <c r="C10338" s="14">
        <f ca="1">IFERROR(__xludf.DUMMYFUNCTION("""COMPUTED_VALUE"""),28)</f>
        <v>28</v>
      </c>
      <c r="D10338" s="12" t="str">
        <f ca="1">IFERROR(__xludf.DUMMYFUNCTION("""COMPUTED_VALUE"""),"渋谷 雄大")</f>
        <v>渋谷 雄大</v>
      </c>
    </row>
    <row r="10339" spans="2:4" ht="13">
      <c r="B10339" s="12">
        <f ca="1">IFERROR(__xludf.DUMMYFUNCTION("""COMPUTED_VALUE"""),3701107)</f>
        <v>3701107</v>
      </c>
      <c r="C10339" s="14">
        <f ca="1">IFERROR(__xludf.DUMMYFUNCTION("""COMPUTED_VALUE"""),35)</f>
        <v>35</v>
      </c>
      <c r="D10339" s="12" t="str">
        <f ca="1">IFERROR(__xludf.DUMMYFUNCTION("""COMPUTED_VALUE"""),"渋谷 雄大")</f>
        <v>渋谷 雄大</v>
      </c>
    </row>
    <row r="10340" spans="2:4" ht="13">
      <c r="B10340" s="12">
        <f ca="1">IFERROR(__xludf.DUMMYFUNCTION("""COMPUTED_VALUE"""),3701110)</f>
        <v>3701110</v>
      </c>
      <c r="C10340" s="14">
        <f ca="1">IFERROR(__xludf.DUMMYFUNCTION("""COMPUTED_VALUE"""),6)</f>
        <v>6</v>
      </c>
      <c r="D10340" s="12" t="str">
        <f ca="1">IFERROR(__xludf.DUMMYFUNCTION("""COMPUTED_VALUE"""),"渋谷 雄大")</f>
        <v>渋谷 雄大</v>
      </c>
    </row>
    <row r="10341" spans="2:4" ht="13">
      <c r="B10341" s="12">
        <f ca="1">IFERROR(__xludf.DUMMYFUNCTION("""COMPUTED_VALUE"""),3701113)</f>
        <v>3701113</v>
      </c>
      <c r="C10341" s="14">
        <f ca="1">IFERROR(__xludf.DUMMYFUNCTION("""COMPUTED_VALUE"""),23)</f>
        <v>23</v>
      </c>
      <c r="D10341" s="12" t="str">
        <f ca="1">IFERROR(__xludf.DUMMYFUNCTION("""COMPUTED_VALUE"""),"渋谷 雄大")</f>
        <v>渋谷 雄大</v>
      </c>
    </row>
    <row r="10342" spans="2:4" ht="13">
      <c r="B10342" s="12">
        <f ca="1">IFERROR(__xludf.DUMMYFUNCTION("""COMPUTED_VALUE"""),3701115)</f>
        <v>3701115</v>
      </c>
      <c r="C10342" s="14">
        <f ca="1">IFERROR(__xludf.DUMMYFUNCTION("""COMPUTED_VALUE"""),25)</f>
        <v>25</v>
      </c>
      <c r="D10342" s="12" t="str">
        <f ca="1">IFERROR(__xludf.DUMMYFUNCTION("""COMPUTED_VALUE"""),"渋谷 雄大")</f>
        <v>渋谷 雄大</v>
      </c>
    </row>
    <row r="10343" spans="2:4" ht="13">
      <c r="B10343" s="12">
        <f ca="1">IFERROR(__xludf.DUMMYFUNCTION("""COMPUTED_VALUE"""),3701117)</f>
        <v>3701117</v>
      </c>
      <c r="C10343" s="14">
        <f ca="1">IFERROR(__xludf.DUMMYFUNCTION("""COMPUTED_VALUE"""),23)</f>
        <v>23</v>
      </c>
      <c r="D10343" s="12" t="str">
        <f ca="1">IFERROR(__xludf.DUMMYFUNCTION("""COMPUTED_VALUE"""),"渋谷 雄大")</f>
        <v>渋谷 雄大</v>
      </c>
    </row>
    <row r="10344" spans="2:4" ht="13">
      <c r="B10344" s="12">
        <f ca="1">IFERROR(__xludf.DUMMYFUNCTION("""COMPUTED_VALUE"""),3701118)</f>
        <v>3701118</v>
      </c>
      <c r="C10344" s="14">
        <f ca="1">IFERROR(__xludf.DUMMYFUNCTION("""COMPUTED_VALUE"""),17)</f>
        <v>17</v>
      </c>
      <c r="D10344" s="12" t="str">
        <f ca="1">IFERROR(__xludf.DUMMYFUNCTION("""COMPUTED_VALUE"""),"渋谷 雄大")</f>
        <v>渋谷 雄大</v>
      </c>
    </row>
    <row r="10345" spans="2:4" ht="13">
      <c r="B10345" s="12">
        <f ca="1">IFERROR(__xludf.DUMMYFUNCTION("""COMPUTED_VALUE"""),3701119)</f>
        <v>3701119</v>
      </c>
      <c r="C10345" s="14">
        <f ca="1">IFERROR(__xludf.DUMMYFUNCTION("""COMPUTED_VALUE"""),19)</f>
        <v>19</v>
      </c>
      <c r="D10345" s="12" t="str">
        <f ca="1">IFERROR(__xludf.DUMMYFUNCTION("""COMPUTED_VALUE"""),"渋谷 雄大")</f>
        <v>渋谷 雄大</v>
      </c>
    </row>
    <row r="10346" spans="2:4" ht="13">
      <c r="B10346" s="12">
        <f ca="1">IFERROR(__xludf.DUMMYFUNCTION("""COMPUTED_VALUE"""),3701120)</f>
        <v>3701120</v>
      </c>
      <c r="C10346" s="14">
        <f ca="1">IFERROR(__xludf.DUMMYFUNCTION("""COMPUTED_VALUE"""),27)</f>
        <v>27</v>
      </c>
      <c r="D10346" s="12" t="str">
        <f ca="1">IFERROR(__xludf.DUMMYFUNCTION("""COMPUTED_VALUE"""),"渋谷 雄大")</f>
        <v>渋谷 雄大</v>
      </c>
    </row>
    <row r="10347" spans="2:4" ht="13">
      <c r="B10347" s="12">
        <f ca="1">IFERROR(__xludf.DUMMYFUNCTION("""COMPUTED_VALUE"""),3701121)</f>
        <v>3701121</v>
      </c>
      <c r="C10347" s="14">
        <f ca="1">IFERROR(__xludf.DUMMYFUNCTION("""COMPUTED_VALUE"""),26)</f>
        <v>26</v>
      </c>
      <c r="D10347" s="12" t="str">
        <f ca="1">IFERROR(__xludf.DUMMYFUNCTION("""COMPUTED_VALUE"""),"渋谷 雄大")</f>
        <v>渋谷 雄大</v>
      </c>
    </row>
    <row r="10348" spans="2:4" ht="13">
      <c r="B10348" s="12">
        <f ca="1">IFERROR(__xludf.DUMMYFUNCTION("""COMPUTED_VALUE"""),3701122)</f>
        <v>3701122</v>
      </c>
      <c r="C10348" s="14">
        <f ca="1">IFERROR(__xludf.DUMMYFUNCTION("""COMPUTED_VALUE"""),15)</f>
        <v>15</v>
      </c>
      <c r="D10348" s="12" t="str">
        <f ca="1">IFERROR(__xludf.DUMMYFUNCTION("""COMPUTED_VALUE"""),"渋谷 雄大")</f>
        <v>渋谷 雄大</v>
      </c>
    </row>
    <row r="10349" spans="2:4" ht="13">
      <c r="B10349" s="12">
        <f ca="1">IFERROR(__xludf.DUMMYFUNCTION("""COMPUTED_VALUE"""),3701124)</f>
        <v>3701124</v>
      </c>
      <c r="C10349" s="14">
        <f ca="1">IFERROR(__xludf.DUMMYFUNCTION("""COMPUTED_VALUE"""),21)</f>
        <v>21</v>
      </c>
      <c r="D10349" s="12" t="str">
        <f ca="1">IFERROR(__xludf.DUMMYFUNCTION("""COMPUTED_VALUE"""),"渋谷 雄大")</f>
        <v>渋谷 雄大</v>
      </c>
    </row>
    <row r="10350" spans="2:4" ht="13">
      <c r="B10350" s="12">
        <f ca="1">IFERROR(__xludf.DUMMYFUNCTION("""COMPUTED_VALUE"""),3701126)</f>
        <v>3701126</v>
      </c>
      <c r="C10350" s="14">
        <f ca="1">IFERROR(__xludf.DUMMYFUNCTION("""COMPUTED_VALUE"""),16)</f>
        <v>16</v>
      </c>
      <c r="D10350" s="12" t="str">
        <f ca="1">IFERROR(__xludf.DUMMYFUNCTION("""COMPUTED_VALUE"""),"渋谷 雄大")</f>
        <v>渋谷 雄大</v>
      </c>
    </row>
    <row r="10351" spans="2:4" ht="13">
      <c r="B10351" s="12">
        <f ca="1">IFERROR(__xludf.DUMMYFUNCTION("""COMPUTED_VALUE"""),3701128)</f>
        <v>3701128</v>
      </c>
      <c r="C10351" s="14">
        <f ca="1">IFERROR(__xludf.DUMMYFUNCTION("""COMPUTED_VALUE"""),32)</f>
        <v>32</v>
      </c>
      <c r="D10351" s="12" t="str">
        <f ca="1">IFERROR(__xludf.DUMMYFUNCTION("""COMPUTED_VALUE"""),"渋谷 雄大")</f>
        <v>渋谷 雄大</v>
      </c>
    </row>
    <row r="10352" spans="2:4" ht="13">
      <c r="B10352" s="12">
        <f ca="1">IFERROR(__xludf.DUMMYFUNCTION("""COMPUTED_VALUE"""),3701129)</f>
        <v>3701129</v>
      </c>
      <c r="C10352" s="14">
        <f ca="1">IFERROR(__xludf.DUMMYFUNCTION("""COMPUTED_VALUE"""),16)</f>
        <v>16</v>
      </c>
      <c r="D10352" s="12" t="str">
        <f ca="1">IFERROR(__xludf.DUMMYFUNCTION("""COMPUTED_VALUE"""),"渋谷 雄大")</f>
        <v>渋谷 雄大</v>
      </c>
    </row>
    <row r="10353" spans="2:4" ht="13">
      <c r="B10353" s="12">
        <f ca="1">IFERROR(__xludf.DUMMYFUNCTION("""COMPUTED_VALUE"""),3701130)</f>
        <v>3701130</v>
      </c>
      <c r="C10353" s="14">
        <f ca="1">IFERROR(__xludf.DUMMYFUNCTION("""COMPUTED_VALUE"""),36)</f>
        <v>36</v>
      </c>
      <c r="D10353" s="12" t="str">
        <f ca="1">IFERROR(__xludf.DUMMYFUNCTION("""COMPUTED_VALUE"""),"渋谷 雄大")</f>
        <v>渋谷 雄大</v>
      </c>
    </row>
    <row r="10354" spans="2:4" ht="13">
      <c r="B10354" s="12">
        <f ca="1">IFERROR(__xludf.DUMMYFUNCTION("""COMPUTED_VALUE"""),3701131)</f>
        <v>3701131</v>
      </c>
      <c r="C10354" s="14">
        <f ca="1">IFERROR(__xludf.DUMMYFUNCTION("""COMPUTED_VALUE"""),7)</f>
        <v>7</v>
      </c>
      <c r="D10354" s="12" t="str">
        <f ca="1">IFERROR(__xludf.DUMMYFUNCTION("""COMPUTED_VALUE"""),"渋谷 雄大")</f>
        <v>渋谷 雄大</v>
      </c>
    </row>
    <row r="10355" spans="2:4" ht="13">
      <c r="B10355" s="12">
        <f ca="1">IFERROR(__xludf.DUMMYFUNCTION("""COMPUTED_VALUE"""),3701132)</f>
        <v>3701132</v>
      </c>
      <c r="C10355" s="14">
        <f ca="1">IFERROR(__xludf.DUMMYFUNCTION("""COMPUTED_VALUE"""),22)</f>
        <v>22</v>
      </c>
      <c r="D10355" s="12" t="str">
        <f ca="1">IFERROR(__xludf.DUMMYFUNCTION("""COMPUTED_VALUE"""),"渋谷 雄大")</f>
        <v>渋谷 雄大</v>
      </c>
    </row>
    <row r="10356" spans="2:4" ht="13">
      <c r="B10356" s="12">
        <f ca="1">IFERROR(__xludf.DUMMYFUNCTION("""COMPUTED_VALUE"""),3701133)</f>
        <v>3701133</v>
      </c>
      <c r="C10356" s="14">
        <f ca="1">IFERROR(__xludf.DUMMYFUNCTION("""COMPUTED_VALUE"""),24)</f>
        <v>24</v>
      </c>
      <c r="D10356" s="12" t="str">
        <f ca="1">IFERROR(__xludf.DUMMYFUNCTION("""COMPUTED_VALUE"""),"渋谷 雄大")</f>
        <v>渋谷 雄大</v>
      </c>
    </row>
    <row r="10357" spans="2:4" ht="13">
      <c r="B10357" s="12">
        <f ca="1">IFERROR(__xludf.DUMMYFUNCTION("""COMPUTED_VALUE"""),3701134)</f>
        <v>3701134</v>
      </c>
      <c r="C10357" s="14">
        <f ca="1">IFERROR(__xludf.DUMMYFUNCTION("""COMPUTED_VALUE"""),24)</f>
        <v>24</v>
      </c>
      <c r="D10357" s="12" t="str">
        <f ca="1">IFERROR(__xludf.DUMMYFUNCTION("""COMPUTED_VALUE"""),"渋谷 雄大")</f>
        <v>渋谷 雄大</v>
      </c>
    </row>
    <row r="10358" spans="2:4" ht="13">
      <c r="B10358" s="12">
        <f ca="1">IFERROR(__xludf.DUMMYFUNCTION("""COMPUTED_VALUE"""),3701135)</f>
        <v>3701135</v>
      </c>
      <c r="C10358" s="14">
        <f ca="1">IFERROR(__xludf.DUMMYFUNCTION("""COMPUTED_VALUE"""),12)</f>
        <v>12</v>
      </c>
      <c r="D10358" s="12" t="str">
        <f ca="1">IFERROR(__xludf.DUMMYFUNCTION("""COMPUTED_VALUE"""),"渋谷 雄大")</f>
        <v>渋谷 雄大</v>
      </c>
    </row>
    <row r="10359" spans="2:4" ht="13">
      <c r="B10359" s="12">
        <f ca="1">IFERROR(__xludf.DUMMYFUNCTION("""COMPUTED_VALUE"""),3701136)</f>
        <v>3701136</v>
      </c>
      <c r="C10359" s="14">
        <f ca="1">IFERROR(__xludf.DUMMYFUNCTION("""COMPUTED_VALUE"""),9)</f>
        <v>9</v>
      </c>
      <c r="D10359" s="12" t="str">
        <f ca="1">IFERROR(__xludf.DUMMYFUNCTION("""COMPUTED_VALUE"""),"渋谷 雄大")</f>
        <v>渋谷 雄大</v>
      </c>
    </row>
    <row r="10360" spans="2:4" ht="13">
      <c r="B10360" s="12">
        <f ca="1">IFERROR(__xludf.DUMMYFUNCTION("""COMPUTED_VALUE"""),3701137)</f>
        <v>3701137</v>
      </c>
      <c r="C10360" s="14">
        <f ca="1">IFERROR(__xludf.DUMMYFUNCTION("""COMPUTED_VALUE"""),18)</f>
        <v>18</v>
      </c>
      <c r="D10360" s="12" t="str">
        <f ca="1">IFERROR(__xludf.DUMMYFUNCTION("""COMPUTED_VALUE"""),"渋谷 雄大")</f>
        <v>渋谷 雄大</v>
      </c>
    </row>
    <row r="10361" spans="2:4" ht="13">
      <c r="B10361" s="12">
        <f ca="1">IFERROR(__xludf.DUMMYFUNCTION("""COMPUTED_VALUE"""),3701138)</f>
        <v>3701138</v>
      </c>
      <c r="C10361" s="14">
        <f ca="1">IFERROR(__xludf.DUMMYFUNCTION("""COMPUTED_VALUE"""),18)</f>
        <v>18</v>
      </c>
      <c r="D10361" s="12" t="str">
        <f ca="1">IFERROR(__xludf.DUMMYFUNCTION("""COMPUTED_VALUE"""),"渋谷 雄大")</f>
        <v>渋谷 雄大</v>
      </c>
    </row>
    <row r="10362" spans="2:4" ht="13">
      <c r="B10362" s="12">
        <f ca="1">IFERROR(__xludf.DUMMYFUNCTION("""COMPUTED_VALUE"""),3701139)</f>
        <v>3701139</v>
      </c>
      <c r="C10362" s="14">
        <f ca="1">IFERROR(__xludf.DUMMYFUNCTION("""COMPUTED_VALUE"""),20)</f>
        <v>20</v>
      </c>
      <c r="D10362" s="12" t="str">
        <f ca="1">IFERROR(__xludf.DUMMYFUNCTION("""COMPUTED_VALUE"""),"渋谷 雄大")</f>
        <v>渋谷 雄大</v>
      </c>
    </row>
    <row r="10363" spans="2:4" ht="13">
      <c r="B10363" s="12">
        <f ca="1">IFERROR(__xludf.DUMMYFUNCTION("""COMPUTED_VALUE"""),3701140)</f>
        <v>3701140</v>
      </c>
      <c r="C10363" s="14">
        <f ca="1">IFERROR(__xludf.DUMMYFUNCTION("""COMPUTED_VALUE"""),13)</f>
        <v>13</v>
      </c>
      <c r="D10363" s="12" t="str">
        <f ca="1">IFERROR(__xludf.DUMMYFUNCTION("""COMPUTED_VALUE"""),"渋谷 雄大")</f>
        <v>渋谷 雄大</v>
      </c>
    </row>
    <row r="10364" spans="2:4" ht="13">
      <c r="B10364" s="12">
        <f ca="1">IFERROR(__xludf.DUMMYFUNCTION("""COMPUTED_VALUE"""),3701141)</f>
        <v>3701141</v>
      </c>
      <c r="C10364" s="14">
        <f ca="1">IFERROR(__xludf.DUMMYFUNCTION("""COMPUTED_VALUE"""),22)</f>
        <v>22</v>
      </c>
      <c r="D10364" s="12" t="str">
        <f ca="1">IFERROR(__xludf.DUMMYFUNCTION("""COMPUTED_VALUE"""),"渋谷 雄大")</f>
        <v>渋谷 雄大</v>
      </c>
    </row>
    <row r="10365" spans="2:4" ht="13">
      <c r="B10365" s="12">
        <f ca="1">IFERROR(__xludf.DUMMYFUNCTION("""COMPUTED_VALUE"""),3701142)</f>
        <v>3701142</v>
      </c>
      <c r="C10365" s="14">
        <f ca="1">IFERROR(__xludf.DUMMYFUNCTION("""COMPUTED_VALUE"""),12)</f>
        <v>12</v>
      </c>
      <c r="D10365" s="12" t="str">
        <f ca="1">IFERROR(__xludf.DUMMYFUNCTION("""COMPUTED_VALUE"""),"渋谷 雄大")</f>
        <v>渋谷 雄大</v>
      </c>
    </row>
    <row r="10366" spans="2:4" ht="13">
      <c r="B10366" s="12">
        <f ca="1">IFERROR(__xludf.DUMMYFUNCTION("""COMPUTED_VALUE"""),3701144)</f>
        <v>3701144</v>
      </c>
      <c r="C10366" s="14">
        <f ca="1">IFERROR(__xludf.DUMMYFUNCTION("""COMPUTED_VALUE"""),15)</f>
        <v>15</v>
      </c>
      <c r="D10366" s="12" t="str">
        <f ca="1">IFERROR(__xludf.DUMMYFUNCTION("""COMPUTED_VALUE"""),"渋谷 雄大")</f>
        <v>渋谷 雄大</v>
      </c>
    </row>
    <row r="10367" spans="2:4" ht="13">
      <c r="B10367" s="12">
        <f ca="1">IFERROR(__xludf.DUMMYFUNCTION("""COMPUTED_VALUE"""),3701145)</f>
        <v>3701145</v>
      </c>
      <c r="C10367" s="14">
        <f ca="1">IFERROR(__xludf.DUMMYFUNCTION("""COMPUTED_VALUE"""),8)</f>
        <v>8</v>
      </c>
      <c r="D10367" s="12" t="str">
        <f ca="1">IFERROR(__xludf.DUMMYFUNCTION("""COMPUTED_VALUE"""),"渋谷 雄大")</f>
        <v>渋谷 雄大</v>
      </c>
    </row>
    <row r="10368" spans="2:4" ht="13">
      <c r="B10368" s="12">
        <f ca="1">IFERROR(__xludf.DUMMYFUNCTION("""COMPUTED_VALUE"""),3701146)</f>
        <v>3701146</v>
      </c>
      <c r="C10368" s="14">
        <f ca="1">IFERROR(__xludf.DUMMYFUNCTION("""COMPUTED_VALUE"""),3)</f>
        <v>3</v>
      </c>
      <c r="D10368" s="12" t="str">
        <f ca="1">IFERROR(__xludf.DUMMYFUNCTION("""COMPUTED_VALUE"""),"渋谷 雄大")</f>
        <v>渋谷 雄大</v>
      </c>
    </row>
    <row r="10369" spans="2:4" ht="13">
      <c r="B10369" s="12">
        <f ca="1">IFERROR(__xludf.DUMMYFUNCTION("""COMPUTED_VALUE"""),3701148)</f>
        <v>3701148</v>
      </c>
      <c r="C10369" s="14">
        <f ca="1">IFERROR(__xludf.DUMMYFUNCTION("""COMPUTED_VALUE"""),15)</f>
        <v>15</v>
      </c>
      <c r="D10369" s="12" t="str">
        <f ca="1">IFERROR(__xludf.DUMMYFUNCTION("""COMPUTED_VALUE"""),"渋谷 雄大")</f>
        <v>渋谷 雄大</v>
      </c>
    </row>
    <row r="10370" spans="2:4" ht="13">
      <c r="B10370" s="12">
        <f ca="1">IFERROR(__xludf.DUMMYFUNCTION("""COMPUTED_VALUE"""),3701149)</f>
        <v>3701149</v>
      </c>
      <c r="C10370" s="14">
        <f ca="1">IFERROR(__xludf.DUMMYFUNCTION("""COMPUTED_VALUE"""),15)</f>
        <v>15</v>
      </c>
      <c r="D10370" s="12" t="str">
        <f ca="1">IFERROR(__xludf.DUMMYFUNCTION("""COMPUTED_VALUE"""),"渋谷 雄大")</f>
        <v>渋谷 雄大</v>
      </c>
    </row>
    <row r="10371" spans="2:4" ht="13">
      <c r="B10371" s="12">
        <f ca="1">IFERROR(__xludf.DUMMYFUNCTION("""COMPUTED_VALUE"""),3701150)</f>
        <v>3701150</v>
      </c>
      <c r="C10371" s="14">
        <f ca="1">IFERROR(__xludf.DUMMYFUNCTION("""COMPUTED_VALUE"""),31)</f>
        <v>31</v>
      </c>
      <c r="D10371" s="12" t="str">
        <f ca="1">IFERROR(__xludf.DUMMYFUNCTION("""COMPUTED_VALUE"""),"渋谷 雄大")</f>
        <v>渋谷 雄大</v>
      </c>
    </row>
    <row r="10372" spans="2:4" ht="13">
      <c r="B10372" s="12">
        <f ca="1">IFERROR(__xludf.DUMMYFUNCTION("""COMPUTED_VALUE"""),3701151)</f>
        <v>3701151</v>
      </c>
      <c r="C10372" s="14">
        <f ca="1">IFERROR(__xludf.DUMMYFUNCTION("""COMPUTED_VALUE"""),5)</f>
        <v>5</v>
      </c>
      <c r="D10372" s="12" t="str">
        <f ca="1">IFERROR(__xludf.DUMMYFUNCTION("""COMPUTED_VALUE"""),"渋谷 雄大")</f>
        <v>渋谷 雄大</v>
      </c>
    </row>
    <row r="10373" spans="2:4" ht="13">
      <c r="B10373" s="12">
        <f ca="1">IFERROR(__xludf.DUMMYFUNCTION("""COMPUTED_VALUE"""),3701152)</f>
        <v>3701152</v>
      </c>
      <c r="C10373" s="14">
        <f ca="1">IFERROR(__xludf.DUMMYFUNCTION("""COMPUTED_VALUE"""),5)</f>
        <v>5</v>
      </c>
      <c r="D10373" s="12" t="str">
        <f ca="1">IFERROR(__xludf.DUMMYFUNCTION("""COMPUTED_VALUE"""),"渋谷 雄大")</f>
        <v>渋谷 雄大</v>
      </c>
    </row>
    <row r="10374" spans="2:4" ht="13">
      <c r="B10374" s="12">
        <f ca="1">IFERROR(__xludf.DUMMYFUNCTION("""COMPUTED_VALUE"""),3701153)</f>
        <v>3701153</v>
      </c>
      <c r="C10374" s="14">
        <f ca="1">IFERROR(__xludf.DUMMYFUNCTION("""COMPUTED_VALUE"""),11)</f>
        <v>11</v>
      </c>
      <c r="D10374" s="12" t="str">
        <f ca="1">IFERROR(__xludf.DUMMYFUNCTION("""COMPUTED_VALUE"""),"渋谷 雄大")</f>
        <v>渋谷 雄大</v>
      </c>
    </row>
    <row r="10375" spans="2:4" ht="13">
      <c r="B10375" s="12">
        <f ca="1">IFERROR(__xludf.DUMMYFUNCTION("""COMPUTED_VALUE"""),3701154)</f>
        <v>3701154</v>
      </c>
      <c r="C10375" s="14">
        <f ca="1">IFERROR(__xludf.DUMMYFUNCTION("""COMPUTED_VALUE"""),6)</f>
        <v>6</v>
      </c>
      <c r="D10375" s="12" t="str">
        <f ca="1">IFERROR(__xludf.DUMMYFUNCTION("""COMPUTED_VALUE"""),"渋谷 雄大")</f>
        <v>渋谷 雄大</v>
      </c>
    </row>
    <row r="10376" spans="2:4" ht="13">
      <c r="B10376" s="12">
        <f ca="1">IFERROR(__xludf.DUMMYFUNCTION("""COMPUTED_VALUE"""),3701155)</f>
        <v>3701155</v>
      </c>
      <c r="C10376" s="14">
        <f ca="1">IFERROR(__xludf.DUMMYFUNCTION("""COMPUTED_VALUE"""),10)</f>
        <v>10</v>
      </c>
      <c r="D10376" s="12" t="str">
        <f ca="1">IFERROR(__xludf.DUMMYFUNCTION("""COMPUTED_VALUE"""),"渋谷 雄大")</f>
        <v>渋谷 雄大</v>
      </c>
    </row>
    <row r="10377" spans="2:4" ht="13">
      <c r="B10377" s="12">
        <f ca="1">IFERROR(__xludf.DUMMYFUNCTION("""COMPUTED_VALUE"""),3701156)</f>
        <v>3701156</v>
      </c>
      <c r="C10377" s="14">
        <f ca="1">IFERROR(__xludf.DUMMYFUNCTION("""COMPUTED_VALUE"""),23)</f>
        <v>23</v>
      </c>
      <c r="D10377" s="12" t="str">
        <f ca="1">IFERROR(__xludf.DUMMYFUNCTION("""COMPUTED_VALUE"""),"渋谷 雄大")</f>
        <v>渋谷 雄大</v>
      </c>
    </row>
    <row r="10378" spans="2:4" ht="13">
      <c r="B10378" s="12">
        <f ca="1">IFERROR(__xludf.DUMMYFUNCTION("""COMPUTED_VALUE"""),3701157)</f>
        <v>3701157</v>
      </c>
      <c r="C10378" s="14">
        <f ca="1">IFERROR(__xludf.DUMMYFUNCTION("""COMPUTED_VALUE"""),32)</f>
        <v>32</v>
      </c>
      <c r="D10378" s="12" t="str">
        <f ca="1">IFERROR(__xludf.DUMMYFUNCTION("""COMPUTED_VALUE"""),"渋谷 雄大")</f>
        <v>渋谷 雄大</v>
      </c>
    </row>
    <row r="10379" spans="2:4" ht="13">
      <c r="B10379" s="12">
        <f ca="1">IFERROR(__xludf.DUMMYFUNCTION("""COMPUTED_VALUE"""),3701159)</f>
        <v>3701159</v>
      </c>
      <c r="C10379" s="14">
        <f ca="1">IFERROR(__xludf.DUMMYFUNCTION("""COMPUTED_VALUE"""),4)</f>
        <v>4</v>
      </c>
      <c r="D10379" s="12" t="str">
        <f ca="1">IFERROR(__xludf.DUMMYFUNCTION("""COMPUTED_VALUE"""),"渋谷 雄大")</f>
        <v>渋谷 雄大</v>
      </c>
    </row>
    <row r="10380" spans="2:4" ht="13">
      <c r="B10380" s="12">
        <f ca="1">IFERROR(__xludf.DUMMYFUNCTION("""COMPUTED_VALUE"""),3701160)</f>
        <v>3701160</v>
      </c>
      <c r="C10380" s="14">
        <f ca="1">IFERROR(__xludf.DUMMYFUNCTION("""COMPUTED_VALUE"""),3)</f>
        <v>3</v>
      </c>
      <c r="D10380" s="12" t="str">
        <f ca="1">IFERROR(__xludf.DUMMYFUNCTION("""COMPUTED_VALUE"""),"渋谷 雄大")</f>
        <v>渋谷 雄大</v>
      </c>
    </row>
    <row r="10381" spans="2:4" ht="13">
      <c r="B10381" s="12">
        <f ca="1">IFERROR(__xludf.DUMMYFUNCTION("""COMPUTED_VALUE"""),3701161)</f>
        <v>3701161</v>
      </c>
      <c r="C10381" s="14">
        <f ca="1">IFERROR(__xludf.DUMMYFUNCTION("""COMPUTED_VALUE"""),8)</f>
        <v>8</v>
      </c>
      <c r="D10381" s="12" t="str">
        <f ca="1">IFERROR(__xludf.DUMMYFUNCTION("""COMPUTED_VALUE"""),"渋谷 雄大")</f>
        <v>渋谷 雄大</v>
      </c>
    </row>
    <row r="10382" spans="2:4" ht="13">
      <c r="B10382" s="12">
        <f ca="1">IFERROR(__xludf.DUMMYFUNCTION("""COMPUTED_VALUE"""),3701162)</f>
        <v>3701162</v>
      </c>
      <c r="C10382" s="14">
        <f ca="1">IFERROR(__xludf.DUMMYFUNCTION("""COMPUTED_VALUE"""),13)</f>
        <v>13</v>
      </c>
      <c r="D10382" s="12" t="str">
        <f ca="1">IFERROR(__xludf.DUMMYFUNCTION("""COMPUTED_VALUE"""),"渋谷 雄大")</f>
        <v>渋谷 雄大</v>
      </c>
    </row>
    <row r="10383" spans="2:4" ht="13">
      <c r="B10383" s="12">
        <f ca="1">IFERROR(__xludf.DUMMYFUNCTION("""COMPUTED_VALUE"""),3701163)</f>
        <v>3701163</v>
      </c>
      <c r="C10383" s="14">
        <f ca="1">IFERROR(__xludf.DUMMYFUNCTION("""COMPUTED_VALUE"""),16)</f>
        <v>16</v>
      </c>
      <c r="D10383" s="12" t="str">
        <f ca="1">IFERROR(__xludf.DUMMYFUNCTION("""COMPUTED_VALUE"""),"渋谷 雄大")</f>
        <v>渋谷 雄大</v>
      </c>
    </row>
    <row r="10384" spans="2:4" ht="13">
      <c r="B10384" s="12">
        <f ca="1">IFERROR(__xludf.DUMMYFUNCTION("""COMPUTED_VALUE"""),3701165)</f>
        <v>3701165</v>
      </c>
      <c r="C10384" s="14">
        <f ca="1">IFERROR(__xludf.DUMMYFUNCTION("""COMPUTED_VALUE"""),10)</f>
        <v>10</v>
      </c>
      <c r="D10384" s="12" t="str">
        <f ca="1">IFERROR(__xludf.DUMMYFUNCTION("""COMPUTED_VALUE"""),"渋谷 雄大")</f>
        <v>渋谷 雄大</v>
      </c>
    </row>
    <row r="10385" spans="2:4" ht="13">
      <c r="B10385" s="12">
        <f ca="1">IFERROR(__xludf.DUMMYFUNCTION("""COMPUTED_VALUE"""),3701166)</f>
        <v>3701166</v>
      </c>
      <c r="C10385" s="14">
        <f ca="1">IFERROR(__xludf.DUMMYFUNCTION("""COMPUTED_VALUE"""),9)</f>
        <v>9</v>
      </c>
      <c r="D10385" s="12" t="str">
        <f ca="1">IFERROR(__xludf.DUMMYFUNCTION("""COMPUTED_VALUE"""),"渋谷 雄大")</f>
        <v>渋谷 雄大</v>
      </c>
    </row>
    <row r="10386" spans="2:4" ht="13">
      <c r="B10386" s="12">
        <f ca="1">IFERROR(__xludf.DUMMYFUNCTION("""COMPUTED_VALUE"""),3701167)</f>
        <v>3701167</v>
      </c>
      <c r="C10386" s="14">
        <f ca="1">IFERROR(__xludf.DUMMYFUNCTION("""COMPUTED_VALUE"""),65)</f>
        <v>65</v>
      </c>
      <c r="D10386" s="12" t="str">
        <f ca="1">IFERROR(__xludf.DUMMYFUNCTION("""COMPUTED_VALUE"""),"渋谷 雄大")</f>
        <v>渋谷 雄大</v>
      </c>
    </row>
    <row r="10387" spans="2:4" ht="13">
      <c r="B10387" s="12">
        <f ca="1">IFERROR(__xludf.DUMMYFUNCTION("""COMPUTED_VALUE"""),3701168)</f>
        <v>3701168</v>
      </c>
      <c r="C10387" s="14">
        <f ca="1">IFERROR(__xludf.DUMMYFUNCTION("""COMPUTED_VALUE"""),14)</f>
        <v>14</v>
      </c>
      <c r="D10387" s="12" t="str">
        <f ca="1">IFERROR(__xludf.DUMMYFUNCTION("""COMPUTED_VALUE"""),"渋谷 雄大")</f>
        <v>渋谷 雄大</v>
      </c>
    </row>
    <row r="10388" spans="2:4" ht="13">
      <c r="B10388" s="12">
        <f ca="1">IFERROR(__xludf.DUMMYFUNCTION("""COMPUTED_VALUE"""),3701169)</f>
        <v>3701169</v>
      </c>
      <c r="C10388" s="14">
        <f ca="1">IFERROR(__xludf.DUMMYFUNCTION("""COMPUTED_VALUE"""),0)</f>
        <v>0</v>
      </c>
      <c r="D10388" s="12" t="str">
        <f ca="1">IFERROR(__xludf.DUMMYFUNCTION("""COMPUTED_VALUE"""),"渋谷 雄大")</f>
        <v>渋谷 雄大</v>
      </c>
    </row>
    <row r="10389" spans="2:4" ht="13">
      <c r="B10389" s="12">
        <f ca="1">IFERROR(__xludf.DUMMYFUNCTION("""COMPUTED_VALUE"""),3701170)</f>
        <v>3701170</v>
      </c>
      <c r="C10389" s="14">
        <f ca="1">IFERROR(__xludf.DUMMYFUNCTION("""COMPUTED_VALUE"""),6)</f>
        <v>6</v>
      </c>
      <c r="D10389" s="12" t="str">
        <f ca="1">IFERROR(__xludf.DUMMYFUNCTION("""COMPUTED_VALUE"""),"渋谷 雄大")</f>
        <v>渋谷 雄大</v>
      </c>
    </row>
    <row r="10390" spans="2:4" ht="13">
      <c r="B10390" s="12">
        <f ca="1">IFERROR(__xludf.DUMMYFUNCTION("""COMPUTED_VALUE"""),3701171)</f>
        <v>3701171</v>
      </c>
      <c r="C10390" s="14">
        <f ca="1">IFERROR(__xludf.DUMMYFUNCTION("""COMPUTED_VALUE"""),38)</f>
        <v>38</v>
      </c>
      <c r="D10390" s="12" t="str">
        <f ca="1">IFERROR(__xludf.DUMMYFUNCTION("""COMPUTED_VALUE"""),"渋谷 雄大")</f>
        <v>渋谷 雄大</v>
      </c>
    </row>
    <row r="10391" spans="2:4" ht="13">
      <c r="B10391" s="12">
        <f ca="1">IFERROR(__xludf.DUMMYFUNCTION("""COMPUTED_VALUE"""),3701172)</f>
        <v>3701172</v>
      </c>
      <c r="C10391" s="14">
        <f ca="1">IFERROR(__xludf.DUMMYFUNCTION("""COMPUTED_VALUE"""),10)</f>
        <v>10</v>
      </c>
      <c r="D10391" s="12" t="str">
        <f ca="1">IFERROR(__xludf.DUMMYFUNCTION("""COMPUTED_VALUE"""),"渋谷 雄大")</f>
        <v>渋谷 雄大</v>
      </c>
    </row>
    <row r="10392" spans="2:4" ht="13">
      <c r="B10392" s="12">
        <f ca="1">IFERROR(__xludf.DUMMYFUNCTION("""COMPUTED_VALUE"""),3701173)</f>
        <v>3701173</v>
      </c>
      <c r="C10392" s="14">
        <f ca="1">IFERROR(__xludf.DUMMYFUNCTION("""COMPUTED_VALUE"""),6)</f>
        <v>6</v>
      </c>
      <c r="D10392" s="12" t="str">
        <f ca="1">IFERROR(__xludf.DUMMYFUNCTION("""COMPUTED_VALUE"""),"渋谷 雄大")</f>
        <v>渋谷 雄大</v>
      </c>
    </row>
    <row r="10393" spans="2:4" ht="13">
      <c r="B10393" s="12">
        <f ca="1">IFERROR(__xludf.DUMMYFUNCTION("""COMPUTED_VALUE"""),3701174)</f>
        <v>3701174</v>
      </c>
      <c r="C10393" s="14">
        <f ca="1">IFERROR(__xludf.DUMMYFUNCTION("""COMPUTED_VALUE"""),21)</f>
        <v>21</v>
      </c>
      <c r="D10393" s="12" t="str">
        <f ca="1">IFERROR(__xludf.DUMMYFUNCTION("""COMPUTED_VALUE"""),"渋谷 雄大")</f>
        <v>渋谷 雄大</v>
      </c>
    </row>
    <row r="10394" spans="2:4" ht="13">
      <c r="B10394" s="12">
        <f ca="1">IFERROR(__xludf.DUMMYFUNCTION("""COMPUTED_VALUE"""),3701175)</f>
        <v>3701175</v>
      </c>
      <c r="C10394" s="14">
        <f ca="1">IFERROR(__xludf.DUMMYFUNCTION("""COMPUTED_VALUE"""),34)</f>
        <v>34</v>
      </c>
      <c r="D10394" s="12" t="str">
        <f ca="1">IFERROR(__xludf.DUMMYFUNCTION("""COMPUTED_VALUE"""),"渋谷 雄大")</f>
        <v>渋谷 雄大</v>
      </c>
    </row>
    <row r="10395" spans="2:4" ht="13">
      <c r="B10395" s="12">
        <f ca="1">IFERROR(__xludf.DUMMYFUNCTION("""COMPUTED_VALUE"""),3701176)</f>
        <v>3701176</v>
      </c>
      <c r="C10395" s="14">
        <f ca="1">IFERROR(__xludf.DUMMYFUNCTION("""COMPUTED_VALUE"""),7)</f>
        <v>7</v>
      </c>
      <c r="D10395" s="12" t="str">
        <f ca="1">IFERROR(__xludf.DUMMYFUNCTION("""COMPUTED_VALUE"""),"渋谷 雄大")</f>
        <v>渋谷 雄大</v>
      </c>
    </row>
    <row r="10396" spans="2:4" ht="13">
      <c r="B10396" s="12">
        <f ca="1">IFERROR(__xludf.DUMMYFUNCTION("""COMPUTED_VALUE"""),3701177)</f>
        <v>3701177</v>
      </c>
      <c r="C10396" s="14">
        <f ca="1">IFERROR(__xludf.DUMMYFUNCTION("""COMPUTED_VALUE"""),15)</f>
        <v>15</v>
      </c>
      <c r="D10396" s="12" t="str">
        <f ca="1">IFERROR(__xludf.DUMMYFUNCTION("""COMPUTED_VALUE"""),"渋谷 雄大")</f>
        <v>渋谷 雄大</v>
      </c>
    </row>
    <row r="10397" spans="2:4" ht="13">
      <c r="B10397" s="12">
        <f ca="1">IFERROR(__xludf.DUMMYFUNCTION("""COMPUTED_VALUE"""),3701178)</f>
        <v>3701178</v>
      </c>
      <c r="C10397" s="14">
        <f ca="1">IFERROR(__xludf.DUMMYFUNCTION("""COMPUTED_VALUE"""),28)</f>
        <v>28</v>
      </c>
      <c r="D10397" s="12" t="str">
        <f ca="1">IFERROR(__xludf.DUMMYFUNCTION("""COMPUTED_VALUE"""),"渋谷 雄大")</f>
        <v>渋谷 雄大</v>
      </c>
    </row>
    <row r="10398" spans="2:4" ht="13">
      <c r="B10398" s="12">
        <f ca="1">IFERROR(__xludf.DUMMYFUNCTION("""COMPUTED_VALUE"""),3701179)</f>
        <v>3701179</v>
      </c>
      <c r="C10398" s="14">
        <f ca="1">IFERROR(__xludf.DUMMYFUNCTION("""COMPUTED_VALUE"""),39)</f>
        <v>39</v>
      </c>
      <c r="D10398" s="12" t="str">
        <f ca="1">IFERROR(__xludf.DUMMYFUNCTION("""COMPUTED_VALUE"""),"渋谷 雄大")</f>
        <v>渋谷 雄大</v>
      </c>
    </row>
    <row r="10399" spans="2:4" ht="13">
      <c r="B10399" s="12">
        <f ca="1">IFERROR(__xludf.DUMMYFUNCTION("""COMPUTED_VALUE"""),3701180)</f>
        <v>3701180</v>
      </c>
      <c r="C10399" s="14">
        <f ca="1">IFERROR(__xludf.DUMMYFUNCTION("""COMPUTED_VALUE"""),24)</f>
        <v>24</v>
      </c>
      <c r="D10399" s="12" t="str">
        <f ca="1">IFERROR(__xludf.DUMMYFUNCTION("""COMPUTED_VALUE"""),"渋谷 雄大")</f>
        <v>渋谷 雄大</v>
      </c>
    </row>
    <row r="10400" spans="2:4" ht="13">
      <c r="B10400" s="12">
        <f ca="1">IFERROR(__xludf.DUMMYFUNCTION("""COMPUTED_VALUE"""),3701181)</f>
        <v>3701181</v>
      </c>
      <c r="C10400" s="14">
        <f ca="1">IFERROR(__xludf.DUMMYFUNCTION("""COMPUTED_VALUE"""),33)</f>
        <v>33</v>
      </c>
      <c r="D10400" s="12" t="str">
        <f ca="1">IFERROR(__xludf.DUMMYFUNCTION("""COMPUTED_VALUE"""),"渋谷 雄大")</f>
        <v>渋谷 雄大</v>
      </c>
    </row>
    <row r="10401" spans="2:4" ht="13">
      <c r="B10401" s="12">
        <f ca="1">IFERROR(__xludf.DUMMYFUNCTION("""COMPUTED_VALUE"""),3701182)</f>
        <v>3701182</v>
      </c>
      <c r="C10401" s="14">
        <f ca="1">IFERROR(__xludf.DUMMYFUNCTION("""COMPUTED_VALUE"""),13)</f>
        <v>13</v>
      </c>
      <c r="D10401" s="12" t="str">
        <f ca="1">IFERROR(__xludf.DUMMYFUNCTION("""COMPUTED_VALUE"""),"渋谷 雄大")</f>
        <v>渋谷 雄大</v>
      </c>
    </row>
    <row r="10402" spans="2:4" ht="13">
      <c r="B10402" s="12">
        <f ca="1">IFERROR(__xludf.DUMMYFUNCTION("""COMPUTED_VALUE"""),3701183)</f>
        <v>3701183</v>
      </c>
      <c r="C10402" s="14">
        <f ca="1">IFERROR(__xludf.DUMMYFUNCTION("""COMPUTED_VALUE"""),3)</f>
        <v>3</v>
      </c>
      <c r="D10402" s="12" t="str">
        <f ca="1">IFERROR(__xludf.DUMMYFUNCTION("""COMPUTED_VALUE"""),"渋谷 雄大")</f>
        <v>渋谷 雄大</v>
      </c>
    </row>
    <row r="10403" spans="2:4" ht="13">
      <c r="B10403" s="12">
        <f ca="1">IFERROR(__xludf.DUMMYFUNCTION("""COMPUTED_VALUE"""),3701184)</f>
        <v>3701184</v>
      </c>
      <c r="C10403" s="14">
        <f ca="1">IFERROR(__xludf.DUMMYFUNCTION("""COMPUTED_VALUE"""),26)</f>
        <v>26</v>
      </c>
      <c r="D10403" s="12" t="str">
        <f ca="1">IFERROR(__xludf.DUMMYFUNCTION("""COMPUTED_VALUE"""),"渋谷 雄大")</f>
        <v>渋谷 雄大</v>
      </c>
    </row>
    <row r="10404" spans="2:4" ht="13">
      <c r="B10404" s="12">
        <f ca="1">IFERROR(__xludf.DUMMYFUNCTION("""COMPUTED_VALUE"""),3701185)</f>
        <v>3701185</v>
      </c>
      <c r="C10404" s="14">
        <f ca="1">IFERROR(__xludf.DUMMYFUNCTION("""COMPUTED_VALUE"""),3)</f>
        <v>3</v>
      </c>
      <c r="D10404" s="12" t="str">
        <f ca="1">IFERROR(__xludf.DUMMYFUNCTION("""COMPUTED_VALUE"""),"渋谷 雄大")</f>
        <v>渋谷 雄大</v>
      </c>
    </row>
    <row r="10405" spans="2:4" ht="13">
      <c r="B10405" s="12">
        <f ca="1">IFERROR(__xludf.DUMMYFUNCTION("""COMPUTED_VALUE"""),3701186)</f>
        <v>3701186</v>
      </c>
      <c r="C10405" s="14">
        <f ca="1">IFERROR(__xludf.DUMMYFUNCTION("""COMPUTED_VALUE"""),19)</f>
        <v>19</v>
      </c>
      <c r="D10405" s="12" t="str">
        <f ca="1">IFERROR(__xludf.DUMMYFUNCTION("""COMPUTED_VALUE"""),"渋谷 雄大")</f>
        <v>渋谷 雄大</v>
      </c>
    </row>
    <row r="10406" spans="2:4" ht="13">
      <c r="B10406" s="12">
        <f ca="1">IFERROR(__xludf.DUMMYFUNCTION("""COMPUTED_VALUE"""),3701187)</f>
        <v>3701187</v>
      </c>
      <c r="C10406" s="14">
        <f ca="1">IFERROR(__xludf.DUMMYFUNCTION("""COMPUTED_VALUE"""),33)</f>
        <v>33</v>
      </c>
      <c r="D10406" s="12" t="str">
        <f ca="1">IFERROR(__xludf.DUMMYFUNCTION("""COMPUTED_VALUE"""),"渋谷 雄大")</f>
        <v>渋谷 雄大</v>
      </c>
    </row>
    <row r="10407" spans="2:4" ht="13">
      <c r="B10407" s="12">
        <f ca="1">IFERROR(__xludf.DUMMYFUNCTION("""COMPUTED_VALUE"""),3701188)</f>
        <v>3701188</v>
      </c>
      <c r="C10407" s="14">
        <f ca="1">IFERROR(__xludf.DUMMYFUNCTION("""COMPUTED_VALUE"""),6)</f>
        <v>6</v>
      </c>
      <c r="D10407" s="12" t="str">
        <f ca="1">IFERROR(__xludf.DUMMYFUNCTION("""COMPUTED_VALUE"""),"渋谷 雄大")</f>
        <v>渋谷 雄大</v>
      </c>
    </row>
    <row r="10408" spans="2:4" ht="13">
      <c r="B10408" s="12">
        <f ca="1">IFERROR(__xludf.DUMMYFUNCTION("""COMPUTED_VALUE"""),3701189)</f>
        <v>3701189</v>
      </c>
      <c r="C10408" s="14">
        <f ca="1">IFERROR(__xludf.DUMMYFUNCTION("""COMPUTED_VALUE"""),33)</f>
        <v>33</v>
      </c>
      <c r="D10408" s="12" t="str">
        <f ca="1">IFERROR(__xludf.DUMMYFUNCTION("""COMPUTED_VALUE"""),"渋谷 雄大")</f>
        <v>渋谷 雄大</v>
      </c>
    </row>
    <row r="10409" spans="2:4" ht="13">
      <c r="B10409" s="12">
        <f ca="1">IFERROR(__xludf.DUMMYFUNCTION("""COMPUTED_VALUE"""),3701190)</f>
        <v>3701190</v>
      </c>
      <c r="C10409" s="14">
        <f ca="1">IFERROR(__xludf.DUMMYFUNCTION("""COMPUTED_VALUE"""),28)</f>
        <v>28</v>
      </c>
      <c r="D10409" s="12" t="str">
        <f ca="1">IFERROR(__xludf.DUMMYFUNCTION("""COMPUTED_VALUE"""),"渋谷 雄大")</f>
        <v>渋谷 雄大</v>
      </c>
    </row>
    <row r="10410" spans="2:4" ht="13">
      <c r="B10410" s="12">
        <f ca="1">IFERROR(__xludf.DUMMYFUNCTION("""COMPUTED_VALUE"""),3701191)</f>
        <v>3701191</v>
      </c>
      <c r="C10410" s="14">
        <f ca="1">IFERROR(__xludf.DUMMYFUNCTION("""COMPUTED_VALUE"""),26)</f>
        <v>26</v>
      </c>
      <c r="D10410" s="12" t="str">
        <f ca="1">IFERROR(__xludf.DUMMYFUNCTION("""COMPUTED_VALUE"""),"渋谷 雄大")</f>
        <v>渋谷 雄大</v>
      </c>
    </row>
    <row r="10411" spans="2:4" ht="13">
      <c r="B10411" s="12">
        <f ca="1">IFERROR(__xludf.DUMMYFUNCTION("""COMPUTED_VALUE"""),3701192)</f>
        <v>3701192</v>
      </c>
      <c r="C10411" s="14">
        <f ca="1">IFERROR(__xludf.DUMMYFUNCTION("""COMPUTED_VALUE"""),9)</f>
        <v>9</v>
      </c>
      <c r="D10411" s="12" t="str">
        <f ca="1">IFERROR(__xludf.DUMMYFUNCTION("""COMPUTED_VALUE"""),"渋谷 雄大")</f>
        <v>渋谷 雄大</v>
      </c>
    </row>
    <row r="10412" spans="2:4" ht="13">
      <c r="B10412" s="12">
        <f ca="1">IFERROR(__xludf.DUMMYFUNCTION("""COMPUTED_VALUE"""),3701193)</f>
        <v>3701193</v>
      </c>
      <c r="C10412" s="14">
        <f ca="1">IFERROR(__xludf.DUMMYFUNCTION("""COMPUTED_VALUE"""),6)</f>
        <v>6</v>
      </c>
      <c r="D10412" s="12" t="str">
        <f ca="1">IFERROR(__xludf.DUMMYFUNCTION("""COMPUTED_VALUE"""),"渋谷 雄大")</f>
        <v>渋谷 雄大</v>
      </c>
    </row>
    <row r="10413" spans="2:4" ht="13">
      <c r="B10413" s="12">
        <f ca="1">IFERROR(__xludf.DUMMYFUNCTION("""COMPUTED_VALUE"""),3701194)</f>
        <v>3701194</v>
      </c>
      <c r="C10413" s="14">
        <f ca="1">IFERROR(__xludf.DUMMYFUNCTION("""COMPUTED_VALUE"""),4)</f>
        <v>4</v>
      </c>
      <c r="D10413" s="12" t="str">
        <f ca="1">IFERROR(__xludf.DUMMYFUNCTION("""COMPUTED_VALUE"""),"渋谷 雄大")</f>
        <v>渋谷 雄大</v>
      </c>
    </row>
    <row r="10414" spans="2:4" ht="13">
      <c r="B10414" s="12">
        <f ca="1">IFERROR(__xludf.DUMMYFUNCTION("""COMPUTED_VALUE"""),3701195)</f>
        <v>3701195</v>
      </c>
      <c r="C10414" s="14">
        <f ca="1">IFERROR(__xludf.DUMMYFUNCTION("""COMPUTED_VALUE"""),27)</f>
        <v>27</v>
      </c>
      <c r="D10414" s="12" t="str">
        <f ca="1">IFERROR(__xludf.DUMMYFUNCTION("""COMPUTED_VALUE"""),"渋谷 雄大")</f>
        <v>渋谷 雄大</v>
      </c>
    </row>
    <row r="10415" spans="2:4" ht="13">
      <c r="B10415" s="12">
        <f ca="1">IFERROR(__xludf.DUMMYFUNCTION("""COMPUTED_VALUE"""),3701196)</f>
        <v>3701196</v>
      </c>
      <c r="C10415" s="14">
        <f ca="1">IFERROR(__xludf.DUMMYFUNCTION("""COMPUTED_VALUE"""),21)</f>
        <v>21</v>
      </c>
      <c r="D10415" s="12" t="str">
        <f ca="1">IFERROR(__xludf.DUMMYFUNCTION("""COMPUTED_VALUE"""),"渋谷 雄大")</f>
        <v>渋谷 雄大</v>
      </c>
    </row>
    <row r="10416" spans="2:4" ht="13">
      <c r="B10416" s="12">
        <f ca="1">IFERROR(__xludf.DUMMYFUNCTION("""COMPUTED_VALUE"""),3701197)</f>
        <v>3701197</v>
      </c>
      <c r="C10416" s="14">
        <f ca="1">IFERROR(__xludf.DUMMYFUNCTION("""COMPUTED_VALUE"""),9)</f>
        <v>9</v>
      </c>
      <c r="D10416" s="12" t="str">
        <f ca="1">IFERROR(__xludf.DUMMYFUNCTION("""COMPUTED_VALUE"""),"渋谷 雄大")</f>
        <v>渋谷 雄大</v>
      </c>
    </row>
    <row r="10417" spans="2:4" ht="13">
      <c r="B10417" s="12">
        <f ca="1">IFERROR(__xludf.DUMMYFUNCTION("""COMPUTED_VALUE"""),3701198)</f>
        <v>3701198</v>
      </c>
      <c r="C10417" s="14">
        <f ca="1">IFERROR(__xludf.DUMMYFUNCTION("""COMPUTED_VALUE"""),30)</f>
        <v>30</v>
      </c>
      <c r="D10417" s="12" t="str">
        <f ca="1">IFERROR(__xludf.DUMMYFUNCTION("""COMPUTED_VALUE"""),"渋谷 雄大")</f>
        <v>渋谷 雄大</v>
      </c>
    </row>
    <row r="10418" spans="2:4" ht="13">
      <c r="B10418" s="12">
        <f ca="1">IFERROR(__xludf.DUMMYFUNCTION("""COMPUTED_VALUE"""),3701199)</f>
        <v>3701199</v>
      </c>
      <c r="C10418" s="14">
        <f ca="1">IFERROR(__xludf.DUMMYFUNCTION("""COMPUTED_VALUE"""),9)</f>
        <v>9</v>
      </c>
      <c r="D10418" s="12" t="str">
        <f ca="1">IFERROR(__xludf.DUMMYFUNCTION("""COMPUTED_VALUE"""),"渋谷 雄大")</f>
        <v>渋谷 雄大</v>
      </c>
    </row>
    <row r="10419" spans="2:4" ht="13">
      <c r="B10419" s="12">
        <f ca="1">IFERROR(__xludf.DUMMYFUNCTION("""COMPUTED_VALUE"""),3701200)</f>
        <v>3701200</v>
      </c>
      <c r="C10419" s="14">
        <f ca="1">IFERROR(__xludf.DUMMYFUNCTION("""COMPUTED_VALUE"""),22)</f>
        <v>22</v>
      </c>
      <c r="D10419" s="12" t="str">
        <f ca="1">IFERROR(__xludf.DUMMYFUNCTION("""COMPUTED_VALUE"""),"渋谷 雄大")</f>
        <v>渋谷 雄大</v>
      </c>
    </row>
    <row r="10420" spans="2:4" ht="13">
      <c r="B10420" s="12">
        <f ca="1">IFERROR(__xludf.DUMMYFUNCTION("""COMPUTED_VALUE"""),3701201)</f>
        <v>3701201</v>
      </c>
      <c r="C10420" s="14">
        <f ca="1">IFERROR(__xludf.DUMMYFUNCTION("""COMPUTED_VALUE"""),10)</f>
        <v>10</v>
      </c>
      <c r="D10420" s="12" t="str">
        <f ca="1">IFERROR(__xludf.DUMMYFUNCTION("""COMPUTED_VALUE"""),"渋谷 雄大")</f>
        <v>渋谷 雄大</v>
      </c>
    </row>
    <row r="10421" spans="2:4" ht="13">
      <c r="B10421" s="12">
        <f ca="1">IFERROR(__xludf.DUMMYFUNCTION("""COMPUTED_VALUE"""),3701202)</f>
        <v>3701202</v>
      </c>
      <c r="C10421" s="14">
        <f ca="1">IFERROR(__xludf.DUMMYFUNCTION("""COMPUTED_VALUE"""),29)</f>
        <v>29</v>
      </c>
      <c r="D10421" s="12" t="str">
        <f ca="1">IFERROR(__xludf.DUMMYFUNCTION("""COMPUTED_VALUE"""),"渋谷 雄大")</f>
        <v>渋谷 雄大</v>
      </c>
    </row>
    <row r="10422" spans="2:4" ht="13">
      <c r="B10422" s="12">
        <f ca="1">IFERROR(__xludf.DUMMYFUNCTION("""COMPUTED_VALUE"""),3701203)</f>
        <v>3701203</v>
      </c>
      <c r="C10422" s="14">
        <f ca="1">IFERROR(__xludf.DUMMYFUNCTION("""COMPUTED_VALUE"""),40)</f>
        <v>40</v>
      </c>
      <c r="D10422" s="12" t="str">
        <f ca="1">IFERROR(__xludf.DUMMYFUNCTION("""COMPUTED_VALUE"""),"渋谷 雄大")</f>
        <v>渋谷 雄大</v>
      </c>
    </row>
    <row r="10423" spans="2:4" ht="13">
      <c r="B10423" s="12">
        <f ca="1">IFERROR(__xludf.DUMMYFUNCTION("""COMPUTED_VALUE"""),3701204)</f>
        <v>3701204</v>
      </c>
      <c r="C10423" s="14">
        <f ca="1">IFERROR(__xludf.DUMMYFUNCTION("""COMPUTED_VALUE"""),48)</f>
        <v>48</v>
      </c>
      <c r="D10423" s="12" t="str">
        <f ca="1">IFERROR(__xludf.DUMMYFUNCTION("""COMPUTED_VALUE"""),"渋谷 雄大")</f>
        <v>渋谷 雄大</v>
      </c>
    </row>
    <row r="10424" spans="2:4" ht="13">
      <c r="B10424" s="12">
        <f ca="1">IFERROR(__xludf.DUMMYFUNCTION("""COMPUTED_VALUE"""),3701205)</f>
        <v>3701205</v>
      </c>
      <c r="C10424" s="14">
        <f ca="1">IFERROR(__xludf.DUMMYFUNCTION("""COMPUTED_VALUE"""),2)</f>
        <v>2</v>
      </c>
      <c r="D10424" s="12" t="str">
        <f ca="1">IFERROR(__xludf.DUMMYFUNCTION("""COMPUTED_VALUE"""),"渋谷 雄大")</f>
        <v>渋谷 雄大</v>
      </c>
    </row>
    <row r="10425" spans="2:4" ht="13">
      <c r="B10425" s="12">
        <f ca="1">IFERROR(__xludf.DUMMYFUNCTION("""COMPUTED_VALUE"""),3701206)</f>
        <v>3701206</v>
      </c>
      <c r="C10425" s="14">
        <f ca="1">IFERROR(__xludf.DUMMYFUNCTION("""COMPUTED_VALUE"""),8)</f>
        <v>8</v>
      </c>
      <c r="D10425" s="12" t="str">
        <f ca="1">IFERROR(__xludf.DUMMYFUNCTION("""COMPUTED_VALUE"""),"渋谷 雄大")</f>
        <v>渋谷 雄大</v>
      </c>
    </row>
    <row r="10426" spans="2:4" ht="13">
      <c r="B10426" s="12">
        <f ca="1">IFERROR(__xludf.DUMMYFUNCTION("""COMPUTED_VALUE"""),3701207)</f>
        <v>3701207</v>
      </c>
      <c r="C10426" s="14">
        <f ca="1">IFERROR(__xludf.DUMMYFUNCTION("""COMPUTED_VALUE"""),20)</f>
        <v>20</v>
      </c>
      <c r="D10426" s="12" t="str">
        <f ca="1">IFERROR(__xludf.DUMMYFUNCTION("""COMPUTED_VALUE"""),"渋谷 雄大")</f>
        <v>渋谷 雄大</v>
      </c>
    </row>
    <row r="10427" spans="2:4" ht="13">
      <c r="B10427" s="12">
        <f ca="1">IFERROR(__xludf.DUMMYFUNCTION("""COMPUTED_VALUE"""),3701208)</f>
        <v>3701208</v>
      </c>
      <c r="C10427" s="14">
        <f ca="1">IFERROR(__xludf.DUMMYFUNCTION("""COMPUTED_VALUE"""),1)</f>
        <v>1</v>
      </c>
      <c r="D10427" s="12" t="str">
        <f ca="1">IFERROR(__xludf.DUMMYFUNCTION("""COMPUTED_VALUE"""),"渋谷 雄大")</f>
        <v>渋谷 雄大</v>
      </c>
    </row>
    <row r="10428" spans="2:4" ht="13">
      <c r="B10428" s="12">
        <f ca="1">IFERROR(__xludf.DUMMYFUNCTION("""COMPUTED_VALUE"""),3701209)</f>
        <v>3701209</v>
      </c>
      <c r="C10428" s="14">
        <f ca="1">IFERROR(__xludf.DUMMYFUNCTION("""COMPUTED_VALUE"""),15)</f>
        <v>15</v>
      </c>
      <c r="D10428" s="12" t="str">
        <f ca="1">IFERROR(__xludf.DUMMYFUNCTION("""COMPUTED_VALUE"""),"渋谷 雄大")</f>
        <v>渋谷 雄大</v>
      </c>
    </row>
    <row r="10429" spans="2:4" ht="13">
      <c r="B10429" s="12">
        <f ca="1">IFERROR(__xludf.DUMMYFUNCTION("""COMPUTED_VALUE"""),3701210)</f>
        <v>3701210</v>
      </c>
      <c r="C10429" s="14">
        <f ca="1">IFERROR(__xludf.DUMMYFUNCTION("""COMPUTED_VALUE"""),10)</f>
        <v>10</v>
      </c>
      <c r="D10429" s="12" t="str">
        <f ca="1">IFERROR(__xludf.DUMMYFUNCTION("""COMPUTED_VALUE"""),"渋谷 雄大")</f>
        <v>渋谷 雄大</v>
      </c>
    </row>
    <row r="10430" spans="2:4" ht="13">
      <c r="B10430" s="12">
        <f ca="1">IFERROR(__xludf.DUMMYFUNCTION("""COMPUTED_VALUE"""),3701211)</f>
        <v>3701211</v>
      </c>
      <c r="C10430" s="14">
        <f ca="1">IFERROR(__xludf.DUMMYFUNCTION("""COMPUTED_VALUE"""),3)</f>
        <v>3</v>
      </c>
      <c r="D10430" s="12" t="str">
        <f ca="1">IFERROR(__xludf.DUMMYFUNCTION("""COMPUTED_VALUE"""),"渋谷 雄大")</f>
        <v>渋谷 雄大</v>
      </c>
    </row>
    <row r="10431" spans="2:4" ht="13">
      <c r="B10431" s="12">
        <f ca="1">IFERROR(__xludf.DUMMYFUNCTION("""COMPUTED_VALUE"""),3701212)</f>
        <v>3701212</v>
      </c>
      <c r="C10431" s="14">
        <f ca="1">IFERROR(__xludf.DUMMYFUNCTION("""COMPUTED_VALUE"""),17)</f>
        <v>17</v>
      </c>
      <c r="D10431" s="12" t="str">
        <f ca="1">IFERROR(__xludf.DUMMYFUNCTION("""COMPUTED_VALUE"""),"渋谷 雄大")</f>
        <v>渋谷 雄大</v>
      </c>
    </row>
    <row r="10432" spans="2:4" ht="13">
      <c r="B10432" s="12">
        <f ca="1">IFERROR(__xludf.DUMMYFUNCTION("""COMPUTED_VALUE"""),3701213)</f>
        <v>3701213</v>
      </c>
      <c r="C10432" s="14">
        <f ca="1">IFERROR(__xludf.DUMMYFUNCTION("""COMPUTED_VALUE"""),6)</f>
        <v>6</v>
      </c>
      <c r="D10432" s="12" t="str">
        <f ca="1">IFERROR(__xludf.DUMMYFUNCTION("""COMPUTED_VALUE"""),"渋谷 雄大")</f>
        <v>渋谷 雄大</v>
      </c>
    </row>
    <row r="10433" spans="2:4" ht="13">
      <c r="B10433" s="12">
        <f ca="1">IFERROR(__xludf.DUMMYFUNCTION("""COMPUTED_VALUE"""),3701214)</f>
        <v>3701214</v>
      </c>
      <c r="C10433" s="14">
        <f ca="1">IFERROR(__xludf.DUMMYFUNCTION("""COMPUTED_VALUE"""),9)</f>
        <v>9</v>
      </c>
      <c r="D10433" s="12" t="str">
        <f ca="1">IFERROR(__xludf.DUMMYFUNCTION("""COMPUTED_VALUE"""),"渋谷 雄大")</f>
        <v>渋谷 雄大</v>
      </c>
    </row>
    <row r="10434" spans="2:4" ht="13">
      <c r="B10434" s="12">
        <f ca="1">IFERROR(__xludf.DUMMYFUNCTION("""COMPUTED_VALUE"""),3701215)</f>
        <v>3701215</v>
      </c>
      <c r="C10434" s="14">
        <f ca="1">IFERROR(__xludf.DUMMYFUNCTION("""COMPUTED_VALUE"""),10)</f>
        <v>10</v>
      </c>
      <c r="D10434" s="12" t="str">
        <f ca="1">IFERROR(__xludf.DUMMYFUNCTION("""COMPUTED_VALUE"""),"渋谷 雄大")</f>
        <v>渋谷 雄大</v>
      </c>
    </row>
    <row r="10435" spans="2:4" ht="13">
      <c r="B10435" s="12">
        <f ca="1">IFERROR(__xludf.DUMMYFUNCTION("""COMPUTED_VALUE"""),3701216)</f>
        <v>3701216</v>
      </c>
      <c r="C10435" s="14">
        <f ca="1">IFERROR(__xludf.DUMMYFUNCTION("""COMPUTED_VALUE"""),35)</f>
        <v>35</v>
      </c>
      <c r="D10435" s="12" t="str">
        <f ca="1">IFERROR(__xludf.DUMMYFUNCTION("""COMPUTED_VALUE"""),"渋谷 雄大")</f>
        <v>渋谷 雄大</v>
      </c>
    </row>
    <row r="10436" spans="2:4" ht="13">
      <c r="B10436" s="12">
        <f ca="1">IFERROR(__xludf.DUMMYFUNCTION("""COMPUTED_VALUE"""),3702132)</f>
        <v>3702132</v>
      </c>
      <c r="C10436" s="14">
        <f ca="1">IFERROR(__xludf.DUMMYFUNCTION("""COMPUTED_VALUE"""),0)</f>
        <v>0</v>
      </c>
      <c r="D10436" s="12" t="str">
        <f ca="1">IFERROR(__xludf.DUMMYFUNCTION("""COMPUTED_VALUE"""),"小関 麻起")</f>
        <v>小関 麻起</v>
      </c>
    </row>
    <row r="10437" spans="2:4" ht="13">
      <c r="B10437" s="12">
        <f ca="1">IFERROR(__xludf.DUMMYFUNCTION("""COMPUTED_VALUE"""),3702161)</f>
        <v>3702161</v>
      </c>
      <c r="C10437" s="14">
        <f ca="1">IFERROR(__xludf.DUMMYFUNCTION("""COMPUTED_VALUE"""),0)</f>
        <v>0</v>
      </c>
      <c r="D10437" s="12" t="str">
        <f ca="1">IFERROR(__xludf.DUMMYFUNCTION("""COMPUTED_VALUE"""),"松尾 尚樹")</f>
        <v>松尾 尚樹</v>
      </c>
    </row>
    <row r="10438" spans="2:4" ht="13">
      <c r="B10438" s="12">
        <f ca="1">IFERROR(__xludf.DUMMYFUNCTION("""COMPUTED_VALUE"""),3702163)</f>
        <v>3702163</v>
      </c>
      <c r="C10438" s="14">
        <f ca="1">IFERROR(__xludf.DUMMYFUNCTION("""COMPUTED_VALUE"""),0)</f>
        <v>0</v>
      </c>
      <c r="D10438" s="12" t="str">
        <f ca="1">IFERROR(__xludf.DUMMYFUNCTION("""COMPUTED_VALUE"""),"小関 麻起")</f>
        <v>小関 麻起</v>
      </c>
    </row>
    <row r="10439" spans="2:4" ht="13">
      <c r="B10439" s="12">
        <f ca="1">IFERROR(__xludf.DUMMYFUNCTION("""COMPUTED_VALUE"""),3703001)</f>
        <v>3703001</v>
      </c>
      <c r="C10439" s="14">
        <f ca="1">IFERROR(__xludf.DUMMYFUNCTION("""COMPUTED_VALUE"""),0)</f>
        <v>0</v>
      </c>
      <c r="D10439" s="12" t="str">
        <f ca="1">IFERROR(__xludf.DUMMYFUNCTION("""COMPUTED_VALUE"""),"柿崎 晃司")</f>
        <v>柿崎 晃司</v>
      </c>
    </row>
    <row r="10440" spans="2:4" ht="13">
      <c r="B10440" s="12">
        <f ca="1">IFERROR(__xludf.DUMMYFUNCTION("""COMPUTED_VALUE"""),3703004)</f>
        <v>3703004</v>
      </c>
      <c r="C10440" s="14">
        <f ca="1">IFERROR(__xludf.DUMMYFUNCTION("""COMPUTED_VALUE"""),14)</f>
        <v>14</v>
      </c>
      <c r="D10440" s="12" t="str">
        <f ca="1">IFERROR(__xludf.DUMMYFUNCTION("""COMPUTED_VALUE"""),"柿崎 晃司")</f>
        <v>柿崎 晃司</v>
      </c>
    </row>
    <row r="10441" spans="2:4" ht="13">
      <c r="B10441" s="12">
        <f ca="1">IFERROR(__xludf.DUMMYFUNCTION("""COMPUTED_VALUE"""),3703007)</f>
        <v>3703007</v>
      </c>
      <c r="C10441" s="14">
        <f ca="1">IFERROR(__xludf.DUMMYFUNCTION("""COMPUTED_VALUE"""),0)</f>
        <v>0</v>
      </c>
      <c r="D10441" s="12" t="str">
        <f ca="1">IFERROR(__xludf.DUMMYFUNCTION("""COMPUTED_VALUE"""),"柿崎 晃司")</f>
        <v>柿崎 晃司</v>
      </c>
    </row>
    <row r="10442" spans="2:4" ht="13">
      <c r="B10442" s="12">
        <f ca="1">IFERROR(__xludf.DUMMYFUNCTION("""COMPUTED_VALUE"""),3703015)</f>
        <v>3703015</v>
      </c>
      <c r="C10442" s="14">
        <f ca="1">IFERROR(__xludf.DUMMYFUNCTION("""COMPUTED_VALUE"""),0)</f>
        <v>0</v>
      </c>
      <c r="D10442" s="12" t="str">
        <f ca="1">IFERROR(__xludf.DUMMYFUNCTION("""COMPUTED_VALUE"""),"柿崎 晃司")</f>
        <v>柿崎 晃司</v>
      </c>
    </row>
    <row r="10443" spans="2:4" ht="13">
      <c r="B10443" s="12">
        <f ca="1">IFERROR(__xludf.DUMMYFUNCTION("""COMPUTED_VALUE"""),3703016)</f>
        <v>3703016</v>
      </c>
      <c r="C10443" s="14">
        <f ca="1">IFERROR(__xludf.DUMMYFUNCTION("""COMPUTED_VALUE"""),4)</f>
        <v>4</v>
      </c>
      <c r="D10443" s="12" t="str">
        <f ca="1">IFERROR(__xludf.DUMMYFUNCTION("""COMPUTED_VALUE"""),"柿崎 晃司")</f>
        <v>柿崎 晃司</v>
      </c>
    </row>
    <row r="10444" spans="2:4" ht="13">
      <c r="B10444" s="12">
        <f ca="1">IFERROR(__xludf.DUMMYFUNCTION("""COMPUTED_VALUE"""),3703019)</f>
        <v>3703019</v>
      </c>
      <c r="C10444" s="14">
        <f ca="1">IFERROR(__xludf.DUMMYFUNCTION("""COMPUTED_VALUE"""),0)</f>
        <v>0</v>
      </c>
      <c r="D10444" s="12" t="str">
        <f ca="1">IFERROR(__xludf.DUMMYFUNCTION("""COMPUTED_VALUE"""),"柿崎 晃司")</f>
        <v>柿崎 晃司</v>
      </c>
    </row>
    <row r="10445" spans="2:4" ht="13">
      <c r="B10445" s="12">
        <f ca="1">IFERROR(__xludf.DUMMYFUNCTION("""COMPUTED_VALUE"""),3703028)</f>
        <v>3703028</v>
      </c>
      <c r="C10445" s="14">
        <f ca="1">IFERROR(__xludf.DUMMYFUNCTION("""COMPUTED_VALUE"""),17)</f>
        <v>17</v>
      </c>
      <c r="D10445" s="12" t="str">
        <f ca="1">IFERROR(__xludf.DUMMYFUNCTION("""COMPUTED_VALUE"""),"柿崎 晃司")</f>
        <v>柿崎 晃司</v>
      </c>
    </row>
    <row r="10446" spans="2:4" ht="13">
      <c r="B10446" s="12">
        <f ca="1">IFERROR(__xludf.DUMMYFUNCTION("""COMPUTED_VALUE"""),3703033)</f>
        <v>3703033</v>
      </c>
      <c r="C10446" s="14">
        <f ca="1">IFERROR(__xludf.DUMMYFUNCTION("""COMPUTED_VALUE"""),7)</f>
        <v>7</v>
      </c>
      <c r="D10446" s="12" t="str">
        <f ca="1">IFERROR(__xludf.DUMMYFUNCTION("""COMPUTED_VALUE"""),"柿崎 晃司")</f>
        <v>柿崎 晃司</v>
      </c>
    </row>
    <row r="10447" spans="2:4" ht="13">
      <c r="B10447" s="12">
        <f ca="1">IFERROR(__xludf.DUMMYFUNCTION("""COMPUTED_VALUE"""),3703038)</f>
        <v>3703038</v>
      </c>
      <c r="C10447" s="14">
        <f ca="1">IFERROR(__xludf.DUMMYFUNCTION("""COMPUTED_VALUE"""),6)</f>
        <v>6</v>
      </c>
      <c r="D10447" s="12" t="str">
        <f ca="1">IFERROR(__xludf.DUMMYFUNCTION("""COMPUTED_VALUE"""),"柿崎 晃司")</f>
        <v>柿崎 晃司</v>
      </c>
    </row>
    <row r="10448" spans="2:4" ht="13">
      <c r="B10448" s="12">
        <f ca="1">IFERROR(__xludf.DUMMYFUNCTION("""COMPUTED_VALUE"""),3703041)</f>
        <v>3703041</v>
      </c>
      <c r="C10448" s="14">
        <f ca="1">IFERROR(__xludf.DUMMYFUNCTION("""COMPUTED_VALUE"""),4)</f>
        <v>4</v>
      </c>
      <c r="D10448" s="12" t="str">
        <f ca="1">IFERROR(__xludf.DUMMYFUNCTION("""COMPUTED_VALUE"""),"柿崎 晃司")</f>
        <v>柿崎 晃司</v>
      </c>
    </row>
    <row r="10449" spans="2:4" ht="13">
      <c r="B10449" s="12">
        <f ca="1">IFERROR(__xludf.DUMMYFUNCTION("""COMPUTED_VALUE"""),3703043)</f>
        <v>3703043</v>
      </c>
      <c r="C10449" s="14">
        <f ca="1">IFERROR(__xludf.DUMMYFUNCTION("""COMPUTED_VALUE"""),0)</f>
        <v>0</v>
      </c>
      <c r="D10449" s="12" t="str">
        <f ca="1">IFERROR(__xludf.DUMMYFUNCTION("""COMPUTED_VALUE"""),"柿崎 晃司")</f>
        <v>柿崎 晃司</v>
      </c>
    </row>
    <row r="10450" spans="2:4" ht="13">
      <c r="B10450" s="12">
        <f ca="1">IFERROR(__xludf.DUMMYFUNCTION("""COMPUTED_VALUE"""),3703044)</f>
        <v>3703044</v>
      </c>
      <c r="C10450" s="14">
        <f ca="1">IFERROR(__xludf.DUMMYFUNCTION("""COMPUTED_VALUE"""),9)</f>
        <v>9</v>
      </c>
      <c r="D10450" s="12" t="str">
        <f ca="1">IFERROR(__xludf.DUMMYFUNCTION("""COMPUTED_VALUE"""),"柿崎 晃司")</f>
        <v>柿崎 晃司</v>
      </c>
    </row>
    <row r="10451" spans="2:4" ht="13">
      <c r="B10451" s="12">
        <f ca="1">IFERROR(__xludf.DUMMYFUNCTION("""COMPUTED_VALUE"""),3703045)</f>
        <v>3703045</v>
      </c>
      <c r="C10451" s="14">
        <f ca="1">IFERROR(__xludf.DUMMYFUNCTION("""COMPUTED_VALUE"""),14)</f>
        <v>14</v>
      </c>
      <c r="D10451" s="12" t="str">
        <f ca="1">IFERROR(__xludf.DUMMYFUNCTION("""COMPUTED_VALUE"""),"柿崎 晃司")</f>
        <v>柿崎 晃司</v>
      </c>
    </row>
    <row r="10452" spans="2:4" ht="13">
      <c r="B10452" s="12">
        <f ca="1">IFERROR(__xludf.DUMMYFUNCTION("""COMPUTED_VALUE"""),3703048)</f>
        <v>3703048</v>
      </c>
      <c r="C10452" s="14">
        <f ca="1">IFERROR(__xludf.DUMMYFUNCTION("""COMPUTED_VALUE"""),4)</f>
        <v>4</v>
      </c>
      <c r="D10452" s="12" t="str">
        <f ca="1">IFERROR(__xludf.DUMMYFUNCTION("""COMPUTED_VALUE"""),"柿崎 晃司")</f>
        <v>柿崎 晃司</v>
      </c>
    </row>
    <row r="10453" spans="2:4" ht="13">
      <c r="B10453" s="12">
        <f ca="1">IFERROR(__xludf.DUMMYFUNCTION("""COMPUTED_VALUE"""),3703049)</f>
        <v>3703049</v>
      </c>
      <c r="C10453" s="14">
        <f ca="1">IFERROR(__xludf.DUMMYFUNCTION("""COMPUTED_VALUE"""),12)</f>
        <v>12</v>
      </c>
      <c r="D10453" s="12" t="str">
        <f ca="1">IFERROR(__xludf.DUMMYFUNCTION("""COMPUTED_VALUE"""),"柿崎 晃司")</f>
        <v>柿崎 晃司</v>
      </c>
    </row>
    <row r="10454" spans="2:4" ht="13">
      <c r="B10454" s="12">
        <f ca="1">IFERROR(__xludf.DUMMYFUNCTION("""COMPUTED_VALUE"""),3703050)</f>
        <v>3703050</v>
      </c>
      <c r="C10454" s="14">
        <f ca="1">IFERROR(__xludf.DUMMYFUNCTION("""COMPUTED_VALUE"""),11)</f>
        <v>11</v>
      </c>
      <c r="D10454" s="12" t="str">
        <f ca="1">IFERROR(__xludf.DUMMYFUNCTION("""COMPUTED_VALUE"""),"柿崎 晃司")</f>
        <v>柿崎 晃司</v>
      </c>
    </row>
    <row r="10455" spans="2:4" ht="13">
      <c r="B10455" s="12">
        <f ca="1">IFERROR(__xludf.DUMMYFUNCTION("""COMPUTED_VALUE"""),3703053)</f>
        <v>3703053</v>
      </c>
      <c r="C10455" s="14">
        <f ca="1">IFERROR(__xludf.DUMMYFUNCTION("""COMPUTED_VALUE"""),0)</f>
        <v>0</v>
      </c>
      <c r="D10455" s="12" t="str">
        <f ca="1">IFERROR(__xludf.DUMMYFUNCTION("""COMPUTED_VALUE"""),"柿崎 晃司")</f>
        <v>柿崎 晃司</v>
      </c>
    </row>
    <row r="10456" spans="2:4" ht="13">
      <c r="B10456" s="12">
        <f ca="1">IFERROR(__xludf.DUMMYFUNCTION("""COMPUTED_VALUE"""),3703054)</f>
        <v>3703054</v>
      </c>
      <c r="C10456" s="14">
        <f ca="1">IFERROR(__xludf.DUMMYFUNCTION("""COMPUTED_VALUE"""),0)</f>
        <v>0</v>
      </c>
      <c r="D10456" s="12" t="str">
        <f ca="1">IFERROR(__xludf.DUMMYFUNCTION("""COMPUTED_VALUE"""),"柿崎 晃司")</f>
        <v>柿崎 晃司</v>
      </c>
    </row>
    <row r="10457" spans="2:4" ht="13">
      <c r="B10457" s="12">
        <f ca="1">IFERROR(__xludf.DUMMYFUNCTION("""COMPUTED_VALUE"""),3703056)</f>
        <v>3703056</v>
      </c>
      <c r="C10457" s="14">
        <f ca="1">IFERROR(__xludf.DUMMYFUNCTION("""COMPUTED_VALUE"""),37)</f>
        <v>37</v>
      </c>
      <c r="D10457" s="12" t="str">
        <f ca="1">IFERROR(__xludf.DUMMYFUNCTION("""COMPUTED_VALUE"""),"柿崎 晃司")</f>
        <v>柿崎 晃司</v>
      </c>
    </row>
    <row r="10458" spans="2:4" ht="13">
      <c r="B10458" s="12">
        <f ca="1">IFERROR(__xludf.DUMMYFUNCTION("""COMPUTED_VALUE"""),3703057)</f>
        <v>3703057</v>
      </c>
      <c r="C10458" s="14">
        <f ca="1">IFERROR(__xludf.DUMMYFUNCTION("""COMPUTED_VALUE"""),6)</f>
        <v>6</v>
      </c>
      <c r="D10458" s="12" t="str">
        <f ca="1">IFERROR(__xludf.DUMMYFUNCTION("""COMPUTED_VALUE"""),"柿崎 晃司")</f>
        <v>柿崎 晃司</v>
      </c>
    </row>
    <row r="10459" spans="2:4" ht="13">
      <c r="B10459" s="12">
        <f ca="1">IFERROR(__xludf.DUMMYFUNCTION("""COMPUTED_VALUE"""),3703060)</f>
        <v>3703060</v>
      </c>
      <c r="C10459" s="14">
        <f ca="1">IFERROR(__xludf.DUMMYFUNCTION("""COMPUTED_VALUE"""),10)</f>
        <v>10</v>
      </c>
      <c r="D10459" s="12" t="str">
        <f ca="1">IFERROR(__xludf.DUMMYFUNCTION("""COMPUTED_VALUE"""),"柿崎 晃司")</f>
        <v>柿崎 晃司</v>
      </c>
    </row>
    <row r="10460" spans="2:4" ht="13">
      <c r="B10460" s="12">
        <f ca="1">IFERROR(__xludf.DUMMYFUNCTION("""COMPUTED_VALUE"""),3703063)</f>
        <v>3703063</v>
      </c>
      <c r="C10460" s="14">
        <f ca="1">IFERROR(__xludf.DUMMYFUNCTION("""COMPUTED_VALUE"""),0)</f>
        <v>0</v>
      </c>
      <c r="D10460" s="12" t="str">
        <f ca="1">IFERROR(__xludf.DUMMYFUNCTION("""COMPUTED_VALUE"""),"柿崎 晃司")</f>
        <v>柿崎 晃司</v>
      </c>
    </row>
    <row r="10461" spans="2:4" ht="13">
      <c r="B10461" s="12">
        <f ca="1">IFERROR(__xludf.DUMMYFUNCTION("""COMPUTED_VALUE"""),3703064)</f>
        <v>3703064</v>
      </c>
      <c r="C10461" s="14">
        <f ca="1">IFERROR(__xludf.DUMMYFUNCTION("""COMPUTED_VALUE"""),7)</f>
        <v>7</v>
      </c>
      <c r="D10461" s="12" t="str">
        <f ca="1">IFERROR(__xludf.DUMMYFUNCTION("""COMPUTED_VALUE"""),"柿崎 晃司")</f>
        <v>柿崎 晃司</v>
      </c>
    </row>
    <row r="10462" spans="2:4" ht="13">
      <c r="B10462" s="12">
        <f ca="1">IFERROR(__xludf.DUMMYFUNCTION("""COMPUTED_VALUE"""),3703065)</f>
        <v>3703065</v>
      </c>
      <c r="C10462" s="14">
        <f ca="1">IFERROR(__xludf.DUMMYFUNCTION("""COMPUTED_VALUE"""),3)</f>
        <v>3</v>
      </c>
      <c r="D10462" s="12" t="str">
        <f ca="1">IFERROR(__xludf.DUMMYFUNCTION("""COMPUTED_VALUE"""),"柿崎 晃司")</f>
        <v>柿崎 晃司</v>
      </c>
    </row>
    <row r="10463" spans="2:4" ht="13">
      <c r="B10463" s="12">
        <f ca="1">IFERROR(__xludf.DUMMYFUNCTION("""COMPUTED_VALUE"""),3703066)</f>
        <v>3703066</v>
      </c>
      <c r="C10463" s="14">
        <f ca="1">IFERROR(__xludf.DUMMYFUNCTION("""COMPUTED_VALUE"""),1)</f>
        <v>1</v>
      </c>
      <c r="D10463" s="12" t="str">
        <f ca="1">IFERROR(__xludf.DUMMYFUNCTION("""COMPUTED_VALUE"""),"柿崎 晃司")</f>
        <v>柿崎 晃司</v>
      </c>
    </row>
    <row r="10464" spans="2:4" ht="13">
      <c r="B10464" s="12">
        <f ca="1">IFERROR(__xludf.DUMMYFUNCTION("""COMPUTED_VALUE"""),3703068)</f>
        <v>3703068</v>
      </c>
      <c r="C10464" s="14">
        <f ca="1">IFERROR(__xludf.DUMMYFUNCTION("""COMPUTED_VALUE"""),2)</f>
        <v>2</v>
      </c>
      <c r="D10464" s="12" t="str">
        <f ca="1">IFERROR(__xludf.DUMMYFUNCTION("""COMPUTED_VALUE"""),"柿崎 晃司")</f>
        <v>柿崎 晃司</v>
      </c>
    </row>
    <row r="10465" spans="2:4" ht="13">
      <c r="B10465" s="12">
        <f ca="1">IFERROR(__xludf.DUMMYFUNCTION("""COMPUTED_VALUE"""),3703071)</f>
        <v>3703071</v>
      </c>
      <c r="C10465" s="14">
        <f ca="1">IFERROR(__xludf.DUMMYFUNCTION("""COMPUTED_VALUE"""),4)</f>
        <v>4</v>
      </c>
      <c r="D10465" s="12" t="str">
        <f ca="1">IFERROR(__xludf.DUMMYFUNCTION("""COMPUTED_VALUE"""),"柿崎 晃司")</f>
        <v>柿崎 晃司</v>
      </c>
    </row>
    <row r="10466" spans="2:4" ht="13">
      <c r="B10466" s="12">
        <f ca="1">IFERROR(__xludf.DUMMYFUNCTION("""COMPUTED_VALUE"""),3703073)</f>
        <v>3703073</v>
      </c>
      <c r="C10466" s="14">
        <f ca="1">IFERROR(__xludf.DUMMYFUNCTION("""COMPUTED_VALUE"""),11)</f>
        <v>11</v>
      </c>
      <c r="D10466" s="12" t="str">
        <f ca="1">IFERROR(__xludf.DUMMYFUNCTION("""COMPUTED_VALUE"""),"柿崎 晃司")</f>
        <v>柿崎 晃司</v>
      </c>
    </row>
    <row r="10467" spans="2:4" ht="13">
      <c r="B10467" s="12">
        <f ca="1">IFERROR(__xludf.DUMMYFUNCTION("""COMPUTED_VALUE"""),3703074)</f>
        <v>3703074</v>
      </c>
      <c r="C10467" s="14">
        <f ca="1">IFERROR(__xludf.DUMMYFUNCTION("""COMPUTED_VALUE"""),5)</f>
        <v>5</v>
      </c>
      <c r="D10467" s="12" t="str">
        <f ca="1">IFERROR(__xludf.DUMMYFUNCTION("""COMPUTED_VALUE"""),"柿崎 晃司")</f>
        <v>柿崎 晃司</v>
      </c>
    </row>
    <row r="10468" spans="2:4" ht="13">
      <c r="B10468" s="12">
        <f ca="1">IFERROR(__xludf.DUMMYFUNCTION("""COMPUTED_VALUE"""),3703075)</f>
        <v>3703075</v>
      </c>
      <c r="C10468" s="14">
        <f ca="1">IFERROR(__xludf.DUMMYFUNCTION("""COMPUTED_VALUE"""),38)</f>
        <v>38</v>
      </c>
      <c r="D10468" s="12" t="str">
        <f ca="1">IFERROR(__xludf.DUMMYFUNCTION("""COMPUTED_VALUE"""),"柿崎 晃司")</f>
        <v>柿崎 晃司</v>
      </c>
    </row>
    <row r="10469" spans="2:4" ht="13">
      <c r="B10469" s="12">
        <f ca="1">IFERROR(__xludf.DUMMYFUNCTION("""COMPUTED_VALUE"""),3703076)</f>
        <v>3703076</v>
      </c>
      <c r="C10469" s="14">
        <f ca="1">IFERROR(__xludf.DUMMYFUNCTION("""COMPUTED_VALUE"""),34)</f>
        <v>34</v>
      </c>
      <c r="D10469" s="12" t="str">
        <f ca="1">IFERROR(__xludf.DUMMYFUNCTION("""COMPUTED_VALUE"""),"柿崎 晃司")</f>
        <v>柿崎 晃司</v>
      </c>
    </row>
    <row r="10470" spans="2:4" ht="13">
      <c r="B10470" s="12">
        <f ca="1">IFERROR(__xludf.DUMMYFUNCTION("""COMPUTED_VALUE"""),3703083)</f>
        <v>3703083</v>
      </c>
      <c r="C10470" s="14">
        <f ca="1">IFERROR(__xludf.DUMMYFUNCTION("""COMPUTED_VALUE"""),1)</f>
        <v>1</v>
      </c>
      <c r="D10470" s="12" t="str">
        <f ca="1">IFERROR(__xludf.DUMMYFUNCTION("""COMPUTED_VALUE"""),"柿崎 晃司")</f>
        <v>柿崎 晃司</v>
      </c>
    </row>
    <row r="10471" spans="2:4" ht="13">
      <c r="B10471" s="12">
        <f ca="1">IFERROR(__xludf.DUMMYFUNCTION("""COMPUTED_VALUE"""),3703086)</f>
        <v>3703086</v>
      </c>
      <c r="C10471" s="14">
        <f ca="1">IFERROR(__xludf.DUMMYFUNCTION("""COMPUTED_VALUE"""),5)</f>
        <v>5</v>
      </c>
      <c r="D10471" s="12" t="str">
        <f ca="1">IFERROR(__xludf.DUMMYFUNCTION("""COMPUTED_VALUE"""),"柿崎 晃司")</f>
        <v>柿崎 晃司</v>
      </c>
    </row>
    <row r="10472" spans="2:4" ht="13">
      <c r="B10472" s="12">
        <f ca="1">IFERROR(__xludf.DUMMYFUNCTION("""COMPUTED_VALUE"""),3703092)</f>
        <v>3703092</v>
      </c>
      <c r="C10472" s="14">
        <f ca="1">IFERROR(__xludf.DUMMYFUNCTION("""COMPUTED_VALUE"""),4)</f>
        <v>4</v>
      </c>
      <c r="D10472" s="12" t="str">
        <f ca="1">IFERROR(__xludf.DUMMYFUNCTION("""COMPUTED_VALUE"""),"柿崎 晃司")</f>
        <v>柿崎 晃司</v>
      </c>
    </row>
    <row r="10473" spans="2:4" ht="13">
      <c r="B10473" s="12">
        <f ca="1">IFERROR(__xludf.DUMMYFUNCTION("""COMPUTED_VALUE"""),3703093)</f>
        <v>3703093</v>
      </c>
      <c r="C10473" s="14">
        <f ca="1">IFERROR(__xludf.DUMMYFUNCTION("""COMPUTED_VALUE"""),4)</f>
        <v>4</v>
      </c>
      <c r="D10473" s="12" t="str">
        <f ca="1">IFERROR(__xludf.DUMMYFUNCTION("""COMPUTED_VALUE"""),"柿崎 晃司")</f>
        <v>柿崎 晃司</v>
      </c>
    </row>
    <row r="10474" spans="2:4" ht="13">
      <c r="B10474" s="12">
        <f ca="1">IFERROR(__xludf.DUMMYFUNCTION("""COMPUTED_VALUE"""),3703094)</f>
        <v>3703094</v>
      </c>
      <c r="C10474" s="14">
        <f ca="1">IFERROR(__xludf.DUMMYFUNCTION("""COMPUTED_VALUE"""),2)</f>
        <v>2</v>
      </c>
      <c r="D10474" s="12" t="str">
        <f ca="1">IFERROR(__xludf.DUMMYFUNCTION("""COMPUTED_VALUE"""),"柿崎 晃司")</f>
        <v>柿崎 晃司</v>
      </c>
    </row>
    <row r="10475" spans="2:4" ht="13">
      <c r="B10475" s="12">
        <f ca="1">IFERROR(__xludf.DUMMYFUNCTION("""COMPUTED_VALUE"""),3703096)</f>
        <v>3703096</v>
      </c>
      <c r="C10475" s="14">
        <f ca="1">IFERROR(__xludf.DUMMYFUNCTION("""COMPUTED_VALUE"""),5)</f>
        <v>5</v>
      </c>
      <c r="D10475" s="12" t="str">
        <f ca="1">IFERROR(__xludf.DUMMYFUNCTION("""COMPUTED_VALUE"""),"柿崎 晃司")</f>
        <v>柿崎 晃司</v>
      </c>
    </row>
    <row r="10476" spans="2:4" ht="13">
      <c r="B10476" s="12">
        <f ca="1">IFERROR(__xludf.DUMMYFUNCTION("""COMPUTED_VALUE"""),3703098)</f>
        <v>3703098</v>
      </c>
      <c r="C10476" s="14">
        <f ca="1">IFERROR(__xludf.DUMMYFUNCTION("""COMPUTED_VALUE"""),3)</f>
        <v>3</v>
      </c>
      <c r="D10476" s="12" t="str">
        <f ca="1">IFERROR(__xludf.DUMMYFUNCTION("""COMPUTED_VALUE"""),"柿崎 晃司")</f>
        <v>柿崎 晃司</v>
      </c>
    </row>
    <row r="10477" spans="2:4" ht="13">
      <c r="B10477" s="12">
        <f ca="1">IFERROR(__xludf.DUMMYFUNCTION("""COMPUTED_VALUE"""),3703100)</f>
        <v>3703100</v>
      </c>
      <c r="C10477" s="14">
        <f ca="1">IFERROR(__xludf.DUMMYFUNCTION("""COMPUTED_VALUE"""),3)</f>
        <v>3</v>
      </c>
      <c r="D10477" s="12" t="str">
        <f ca="1">IFERROR(__xludf.DUMMYFUNCTION("""COMPUTED_VALUE"""),"柿崎 晃司")</f>
        <v>柿崎 晃司</v>
      </c>
    </row>
    <row r="10478" spans="2:4" ht="13">
      <c r="B10478" s="12">
        <f ca="1">IFERROR(__xludf.DUMMYFUNCTION("""COMPUTED_VALUE"""),3703101)</f>
        <v>3703101</v>
      </c>
      <c r="C10478" s="14">
        <f ca="1">IFERROR(__xludf.DUMMYFUNCTION("""COMPUTED_VALUE"""),2)</f>
        <v>2</v>
      </c>
      <c r="D10478" s="12" t="str">
        <f ca="1">IFERROR(__xludf.DUMMYFUNCTION("""COMPUTED_VALUE"""),"柿崎 晃司")</f>
        <v>柿崎 晃司</v>
      </c>
    </row>
    <row r="10479" spans="2:4" ht="13">
      <c r="B10479" s="12">
        <f ca="1">IFERROR(__xludf.DUMMYFUNCTION("""COMPUTED_VALUE"""),3703103)</f>
        <v>3703103</v>
      </c>
      <c r="C10479" s="14">
        <f ca="1">IFERROR(__xludf.DUMMYFUNCTION("""COMPUTED_VALUE"""),6)</f>
        <v>6</v>
      </c>
      <c r="D10479" s="12" t="str">
        <f ca="1">IFERROR(__xludf.DUMMYFUNCTION("""COMPUTED_VALUE"""),"柿崎 晃司")</f>
        <v>柿崎 晃司</v>
      </c>
    </row>
    <row r="10480" spans="2:4" ht="13">
      <c r="B10480" s="12">
        <f ca="1">IFERROR(__xludf.DUMMYFUNCTION("""COMPUTED_VALUE"""),3703108)</f>
        <v>3703108</v>
      </c>
      <c r="C10480" s="14">
        <f ca="1">IFERROR(__xludf.DUMMYFUNCTION("""COMPUTED_VALUE"""),0)</f>
        <v>0</v>
      </c>
      <c r="D10480" s="12" t="str">
        <f ca="1">IFERROR(__xludf.DUMMYFUNCTION("""COMPUTED_VALUE"""),"柿崎 晃司")</f>
        <v>柿崎 晃司</v>
      </c>
    </row>
    <row r="10481" spans="2:4" ht="13">
      <c r="B10481" s="12">
        <f ca="1">IFERROR(__xludf.DUMMYFUNCTION("""COMPUTED_VALUE"""),3703122)</f>
        <v>3703122</v>
      </c>
      <c r="C10481" s="14">
        <f ca="1">IFERROR(__xludf.DUMMYFUNCTION("""COMPUTED_VALUE"""),6)</f>
        <v>6</v>
      </c>
      <c r="D10481" s="12" t="str">
        <f ca="1">IFERROR(__xludf.DUMMYFUNCTION("""COMPUTED_VALUE"""),"柿崎 晃司")</f>
        <v>柿崎 晃司</v>
      </c>
    </row>
    <row r="10482" spans="2:4" ht="13">
      <c r="B10482" s="12">
        <f ca="1">IFERROR(__xludf.DUMMYFUNCTION("""COMPUTED_VALUE"""),3703123)</f>
        <v>3703123</v>
      </c>
      <c r="C10482" s="14">
        <f ca="1">IFERROR(__xludf.DUMMYFUNCTION("""COMPUTED_VALUE"""),9)</f>
        <v>9</v>
      </c>
      <c r="D10482" s="12" t="str">
        <f ca="1">IFERROR(__xludf.DUMMYFUNCTION("""COMPUTED_VALUE"""),"柿崎 晃司")</f>
        <v>柿崎 晃司</v>
      </c>
    </row>
    <row r="10483" spans="2:4" ht="13">
      <c r="B10483" s="12">
        <f ca="1">IFERROR(__xludf.DUMMYFUNCTION("""COMPUTED_VALUE"""),3703124)</f>
        <v>3703124</v>
      </c>
      <c r="C10483" s="14">
        <f ca="1">IFERROR(__xludf.DUMMYFUNCTION("""COMPUTED_VALUE"""),1)</f>
        <v>1</v>
      </c>
      <c r="D10483" s="12" t="str">
        <f ca="1">IFERROR(__xludf.DUMMYFUNCTION("""COMPUTED_VALUE"""),"柿崎 晃司")</f>
        <v>柿崎 晃司</v>
      </c>
    </row>
    <row r="10484" spans="2:4" ht="13">
      <c r="B10484" s="12">
        <f ca="1">IFERROR(__xludf.DUMMYFUNCTION("""COMPUTED_VALUE"""),3703125)</f>
        <v>3703125</v>
      </c>
      <c r="C10484" s="14">
        <f ca="1">IFERROR(__xludf.DUMMYFUNCTION("""COMPUTED_VALUE"""),1)</f>
        <v>1</v>
      </c>
      <c r="D10484" s="12" t="str">
        <f ca="1">IFERROR(__xludf.DUMMYFUNCTION("""COMPUTED_VALUE"""),"柿崎 晃司")</f>
        <v>柿崎 晃司</v>
      </c>
    </row>
    <row r="10485" spans="2:4" ht="13">
      <c r="B10485" s="12">
        <f ca="1">IFERROR(__xludf.DUMMYFUNCTION("""COMPUTED_VALUE"""),3703126)</f>
        <v>3703126</v>
      </c>
      <c r="C10485" s="14">
        <f ca="1">IFERROR(__xludf.DUMMYFUNCTION("""COMPUTED_VALUE"""),2)</f>
        <v>2</v>
      </c>
      <c r="D10485" s="12" t="str">
        <f ca="1">IFERROR(__xludf.DUMMYFUNCTION("""COMPUTED_VALUE"""),"柿崎 晃司")</f>
        <v>柿崎 晃司</v>
      </c>
    </row>
    <row r="10486" spans="2:4" ht="13">
      <c r="B10486" s="12">
        <f ca="1">IFERROR(__xludf.DUMMYFUNCTION("""COMPUTED_VALUE"""),3703127)</f>
        <v>3703127</v>
      </c>
      <c r="C10486" s="14">
        <f ca="1">IFERROR(__xludf.DUMMYFUNCTION("""COMPUTED_VALUE"""),7)</f>
        <v>7</v>
      </c>
      <c r="D10486" s="12" t="str">
        <f ca="1">IFERROR(__xludf.DUMMYFUNCTION("""COMPUTED_VALUE"""),"柿崎 晃司")</f>
        <v>柿崎 晃司</v>
      </c>
    </row>
    <row r="10487" spans="2:4" ht="13">
      <c r="B10487" s="12">
        <f ca="1">IFERROR(__xludf.DUMMYFUNCTION("""COMPUTED_VALUE"""),3703128)</f>
        <v>3703128</v>
      </c>
      <c r="C10487" s="14">
        <f ca="1">IFERROR(__xludf.DUMMYFUNCTION("""COMPUTED_VALUE"""),5)</f>
        <v>5</v>
      </c>
      <c r="D10487" s="12" t="str">
        <f ca="1">IFERROR(__xludf.DUMMYFUNCTION("""COMPUTED_VALUE"""),"柿崎 晃司")</f>
        <v>柿崎 晃司</v>
      </c>
    </row>
    <row r="10488" spans="2:4" ht="13">
      <c r="B10488" s="12">
        <f ca="1">IFERROR(__xludf.DUMMYFUNCTION("""COMPUTED_VALUE"""),3703130)</f>
        <v>3703130</v>
      </c>
      <c r="C10488" s="14">
        <f ca="1">IFERROR(__xludf.DUMMYFUNCTION("""COMPUTED_VALUE"""),5)</f>
        <v>5</v>
      </c>
      <c r="D10488" s="12" t="str">
        <f ca="1">IFERROR(__xludf.DUMMYFUNCTION("""COMPUTED_VALUE"""),"柿崎 晃司")</f>
        <v>柿崎 晃司</v>
      </c>
    </row>
    <row r="10489" spans="2:4" ht="13">
      <c r="B10489" s="12">
        <f ca="1">IFERROR(__xludf.DUMMYFUNCTION("""COMPUTED_VALUE"""),3703133)</f>
        <v>3703133</v>
      </c>
      <c r="C10489" s="14">
        <f ca="1">IFERROR(__xludf.DUMMYFUNCTION("""COMPUTED_VALUE"""),13)</f>
        <v>13</v>
      </c>
      <c r="D10489" s="12" t="str">
        <f ca="1">IFERROR(__xludf.DUMMYFUNCTION("""COMPUTED_VALUE"""),"柿崎 晃司")</f>
        <v>柿崎 晃司</v>
      </c>
    </row>
    <row r="10490" spans="2:4" ht="13">
      <c r="B10490" s="12">
        <f ca="1">IFERROR(__xludf.DUMMYFUNCTION("""COMPUTED_VALUE"""),3703134)</f>
        <v>3703134</v>
      </c>
      <c r="C10490" s="14">
        <f ca="1">IFERROR(__xludf.DUMMYFUNCTION("""COMPUTED_VALUE"""),0)</f>
        <v>0</v>
      </c>
      <c r="D10490" s="12" t="str">
        <f ca="1">IFERROR(__xludf.DUMMYFUNCTION("""COMPUTED_VALUE"""),"柿崎 晃司")</f>
        <v>柿崎 晃司</v>
      </c>
    </row>
    <row r="10491" spans="2:4" ht="13">
      <c r="B10491" s="12">
        <f ca="1">IFERROR(__xludf.DUMMYFUNCTION("""COMPUTED_VALUE"""),3703138)</f>
        <v>3703138</v>
      </c>
      <c r="C10491" s="14">
        <f ca="1">IFERROR(__xludf.DUMMYFUNCTION("""COMPUTED_VALUE"""),7)</f>
        <v>7</v>
      </c>
      <c r="D10491" s="12" t="str">
        <f ca="1">IFERROR(__xludf.DUMMYFUNCTION("""COMPUTED_VALUE"""),"柿崎 晃司")</f>
        <v>柿崎 晃司</v>
      </c>
    </row>
    <row r="10492" spans="2:4" ht="13">
      <c r="B10492" s="12">
        <f ca="1">IFERROR(__xludf.DUMMYFUNCTION("""COMPUTED_VALUE"""),3703139)</f>
        <v>3703139</v>
      </c>
      <c r="C10492" s="14">
        <f ca="1">IFERROR(__xludf.DUMMYFUNCTION("""COMPUTED_VALUE"""),15)</f>
        <v>15</v>
      </c>
      <c r="D10492" s="12" t="str">
        <f ca="1">IFERROR(__xludf.DUMMYFUNCTION("""COMPUTED_VALUE"""),"柿崎 晃司")</f>
        <v>柿崎 晃司</v>
      </c>
    </row>
    <row r="10493" spans="2:4" ht="13">
      <c r="B10493" s="12">
        <f ca="1">IFERROR(__xludf.DUMMYFUNCTION("""COMPUTED_VALUE"""),3703148)</f>
        <v>3703148</v>
      </c>
      <c r="C10493" s="14">
        <f ca="1">IFERROR(__xludf.DUMMYFUNCTION("""COMPUTED_VALUE"""),7)</f>
        <v>7</v>
      </c>
      <c r="D10493" s="12" t="str">
        <f ca="1">IFERROR(__xludf.DUMMYFUNCTION("""COMPUTED_VALUE"""),"柿崎 晃司")</f>
        <v>柿崎 晃司</v>
      </c>
    </row>
    <row r="10494" spans="2:4" ht="13">
      <c r="B10494" s="12">
        <f ca="1">IFERROR(__xludf.DUMMYFUNCTION("""COMPUTED_VALUE"""),3703149)</f>
        <v>3703149</v>
      </c>
      <c r="C10494" s="14">
        <f ca="1">IFERROR(__xludf.DUMMYFUNCTION("""COMPUTED_VALUE"""),0)</f>
        <v>0</v>
      </c>
      <c r="D10494" s="12" t="str">
        <f ca="1">IFERROR(__xludf.DUMMYFUNCTION("""COMPUTED_VALUE"""),"柿崎 晃司")</f>
        <v>柿崎 晃司</v>
      </c>
    </row>
    <row r="10495" spans="2:4" ht="13">
      <c r="B10495" s="12">
        <f ca="1">IFERROR(__xludf.DUMMYFUNCTION("""COMPUTED_VALUE"""),3703150)</f>
        <v>3703150</v>
      </c>
      <c r="C10495" s="14">
        <f ca="1">IFERROR(__xludf.DUMMYFUNCTION("""COMPUTED_VALUE"""),0)</f>
        <v>0</v>
      </c>
      <c r="D10495" s="12" t="str">
        <f ca="1">IFERROR(__xludf.DUMMYFUNCTION("""COMPUTED_VALUE"""),"柿崎 晃司")</f>
        <v>柿崎 晃司</v>
      </c>
    </row>
    <row r="10496" spans="2:4" ht="13">
      <c r="B10496" s="12">
        <f ca="1">IFERROR(__xludf.DUMMYFUNCTION("""COMPUTED_VALUE"""),3703153)</f>
        <v>3703153</v>
      </c>
      <c r="C10496" s="14">
        <f ca="1">IFERROR(__xludf.DUMMYFUNCTION("""COMPUTED_VALUE"""),0)</f>
        <v>0</v>
      </c>
      <c r="D10496" s="12" t="str">
        <f ca="1">IFERROR(__xludf.DUMMYFUNCTION("""COMPUTED_VALUE"""),"柿崎 晃司")</f>
        <v>柿崎 晃司</v>
      </c>
    </row>
    <row r="10497" spans="2:4" ht="13">
      <c r="B10497" s="12">
        <f ca="1">IFERROR(__xludf.DUMMYFUNCTION("""COMPUTED_VALUE"""),3703154)</f>
        <v>3703154</v>
      </c>
      <c r="C10497" s="14">
        <f ca="1">IFERROR(__xludf.DUMMYFUNCTION("""COMPUTED_VALUE"""),0)</f>
        <v>0</v>
      </c>
      <c r="D10497" s="12" t="str">
        <f ca="1">IFERROR(__xludf.DUMMYFUNCTION("""COMPUTED_VALUE"""),"柿崎 晃司")</f>
        <v>柿崎 晃司</v>
      </c>
    </row>
    <row r="10498" spans="2:4" ht="13">
      <c r="B10498" s="12">
        <f ca="1">IFERROR(__xludf.DUMMYFUNCTION("""COMPUTED_VALUE"""),3703156)</f>
        <v>3703156</v>
      </c>
      <c r="C10498" s="14">
        <f ca="1">IFERROR(__xludf.DUMMYFUNCTION("""COMPUTED_VALUE"""),0)</f>
        <v>0</v>
      </c>
      <c r="D10498" s="12" t="str">
        <f ca="1">IFERROR(__xludf.DUMMYFUNCTION("""COMPUTED_VALUE"""),"柿崎 晃司")</f>
        <v>柿崎 晃司</v>
      </c>
    </row>
    <row r="10499" spans="2:4" ht="13">
      <c r="B10499" s="12">
        <f ca="1">IFERROR(__xludf.DUMMYFUNCTION("""COMPUTED_VALUE"""),3703159)</f>
        <v>3703159</v>
      </c>
      <c r="C10499" s="14">
        <f ca="1">IFERROR(__xludf.DUMMYFUNCTION("""COMPUTED_VALUE"""),0)</f>
        <v>0</v>
      </c>
      <c r="D10499" s="12" t="str">
        <f ca="1">IFERROR(__xludf.DUMMYFUNCTION("""COMPUTED_VALUE"""),"柿崎 晃司")</f>
        <v>柿崎 晃司</v>
      </c>
    </row>
    <row r="10500" spans="2:4" ht="13">
      <c r="B10500" s="12">
        <f ca="1">IFERROR(__xludf.DUMMYFUNCTION("""COMPUTED_VALUE"""),3703161)</f>
        <v>3703161</v>
      </c>
      <c r="C10500" s="14">
        <f ca="1">IFERROR(__xludf.DUMMYFUNCTION("""COMPUTED_VALUE"""),0)</f>
        <v>0</v>
      </c>
      <c r="D10500" s="12" t="str">
        <f ca="1">IFERROR(__xludf.DUMMYFUNCTION("""COMPUTED_VALUE"""),"柿崎 晃司")</f>
        <v>柿崎 晃司</v>
      </c>
    </row>
    <row r="10501" spans="2:4" ht="13">
      <c r="B10501" s="12">
        <f ca="1">IFERROR(__xludf.DUMMYFUNCTION("""COMPUTED_VALUE"""),3703163)</f>
        <v>3703163</v>
      </c>
      <c r="C10501" s="14">
        <f ca="1">IFERROR(__xludf.DUMMYFUNCTION("""COMPUTED_VALUE"""),0)</f>
        <v>0</v>
      </c>
      <c r="D10501" s="12" t="str">
        <f ca="1">IFERROR(__xludf.DUMMYFUNCTION("""COMPUTED_VALUE"""),"柿崎 晃司")</f>
        <v>柿崎 晃司</v>
      </c>
    </row>
    <row r="10502" spans="2:4" ht="13">
      <c r="B10502" s="12">
        <f ca="1">IFERROR(__xludf.DUMMYFUNCTION("""COMPUTED_VALUE"""),3703171)</f>
        <v>3703171</v>
      </c>
      <c r="C10502" s="14">
        <f ca="1">IFERROR(__xludf.DUMMYFUNCTION("""COMPUTED_VALUE"""),17)</f>
        <v>17</v>
      </c>
      <c r="D10502" s="12" t="str">
        <f ca="1">IFERROR(__xludf.DUMMYFUNCTION("""COMPUTED_VALUE"""),"柿崎 晃司")</f>
        <v>柿崎 晃司</v>
      </c>
    </row>
    <row r="10503" spans="2:4" ht="13">
      <c r="B10503" s="12">
        <f ca="1">IFERROR(__xludf.DUMMYFUNCTION("""COMPUTED_VALUE"""),3703172)</f>
        <v>3703172</v>
      </c>
      <c r="C10503" s="14">
        <f ca="1">IFERROR(__xludf.DUMMYFUNCTION("""COMPUTED_VALUE"""),0)</f>
        <v>0</v>
      </c>
      <c r="D10503" s="12" t="str">
        <f ca="1">IFERROR(__xludf.DUMMYFUNCTION("""COMPUTED_VALUE"""),"柿崎 晃司")</f>
        <v>柿崎 晃司</v>
      </c>
    </row>
    <row r="10504" spans="2:4" ht="13">
      <c r="B10504" s="12">
        <f ca="1">IFERROR(__xludf.DUMMYFUNCTION("""COMPUTED_VALUE"""),3703175)</f>
        <v>3703175</v>
      </c>
      <c r="C10504" s="14">
        <f ca="1">IFERROR(__xludf.DUMMYFUNCTION("""COMPUTED_VALUE"""),1)</f>
        <v>1</v>
      </c>
      <c r="D10504" s="12" t="str">
        <f ca="1">IFERROR(__xludf.DUMMYFUNCTION("""COMPUTED_VALUE"""),"柿崎 晃司")</f>
        <v>柿崎 晃司</v>
      </c>
    </row>
    <row r="10505" spans="2:4" ht="13">
      <c r="B10505" s="12">
        <f ca="1">IFERROR(__xludf.DUMMYFUNCTION("""COMPUTED_VALUE"""),3703177)</f>
        <v>3703177</v>
      </c>
      <c r="C10505" s="14">
        <f ca="1">IFERROR(__xludf.DUMMYFUNCTION("""COMPUTED_VALUE"""),0)</f>
        <v>0</v>
      </c>
      <c r="D10505" s="12" t="str">
        <f ca="1">IFERROR(__xludf.DUMMYFUNCTION("""COMPUTED_VALUE"""),"柿崎 晃司")</f>
        <v>柿崎 晃司</v>
      </c>
    </row>
    <row r="10506" spans="2:4" ht="13">
      <c r="B10506" s="12">
        <f ca="1">IFERROR(__xludf.DUMMYFUNCTION("""COMPUTED_VALUE"""),3703179)</f>
        <v>3703179</v>
      </c>
      <c r="C10506" s="14">
        <f ca="1">IFERROR(__xludf.DUMMYFUNCTION("""COMPUTED_VALUE"""),2)</f>
        <v>2</v>
      </c>
      <c r="D10506" s="12" t="str">
        <f ca="1">IFERROR(__xludf.DUMMYFUNCTION("""COMPUTED_VALUE"""),"柿崎 晃司")</f>
        <v>柿崎 晃司</v>
      </c>
    </row>
    <row r="10507" spans="2:4" ht="13">
      <c r="B10507" s="12">
        <f ca="1">IFERROR(__xludf.DUMMYFUNCTION("""COMPUTED_VALUE"""),3703182)</f>
        <v>3703182</v>
      </c>
      <c r="C10507" s="14">
        <f ca="1">IFERROR(__xludf.DUMMYFUNCTION("""COMPUTED_VALUE"""),9)</f>
        <v>9</v>
      </c>
      <c r="D10507" s="12" t="str">
        <f ca="1">IFERROR(__xludf.DUMMYFUNCTION("""COMPUTED_VALUE"""),"柿崎 晃司")</f>
        <v>柿崎 晃司</v>
      </c>
    </row>
    <row r="10508" spans="2:4" ht="13">
      <c r="B10508" s="12">
        <f ca="1">IFERROR(__xludf.DUMMYFUNCTION("""COMPUTED_VALUE"""),3703185)</f>
        <v>3703185</v>
      </c>
      <c r="C10508" s="14">
        <f ca="1">IFERROR(__xludf.DUMMYFUNCTION("""COMPUTED_VALUE"""),28)</f>
        <v>28</v>
      </c>
      <c r="D10508" s="12" t="str">
        <f ca="1">IFERROR(__xludf.DUMMYFUNCTION("""COMPUTED_VALUE"""),"柿崎 晃司")</f>
        <v>柿崎 晃司</v>
      </c>
    </row>
    <row r="10509" spans="2:4" ht="13">
      <c r="B10509" s="12">
        <f ca="1">IFERROR(__xludf.DUMMYFUNCTION("""COMPUTED_VALUE"""),3703186)</f>
        <v>3703186</v>
      </c>
      <c r="C10509" s="14">
        <f ca="1">IFERROR(__xludf.DUMMYFUNCTION("""COMPUTED_VALUE"""),5)</f>
        <v>5</v>
      </c>
      <c r="D10509" s="12" t="str">
        <f ca="1">IFERROR(__xludf.DUMMYFUNCTION("""COMPUTED_VALUE"""),"柿崎 晃司")</f>
        <v>柿崎 晃司</v>
      </c>
    </row>
    <row r="10510" spans="2:4" ht="13">
      <c r="B10510" s="12">
        <f ca="1">IFERROR(__xludf.DUMMYFUNCTION("""COMPUTED_VALUE"""),3703188)</f>
        <v>3703188</v>
      </c>
      <c r="C10510" s="14">
        <f ca="1">IFERROR(__xludf.DUMMYFUNCTION("""COMPUTED_VALUE"""),1)</f>
        <v>1</v>
      </c>
      <c r="D10510" s="12" t="str">
        <f ca="1">IFERROR(__xludf.DUMMYFUNCTION("""COMPUTED_VALUE"""),"柿崎 晃司")</f>
        <v>柿崎 晃司</v>
      </c>
    </row>
    <row r="10511" spans="2:4" ht="13">
      <c r="B10511" s="12">
        <f ca="1">IFERROR(__xludf.DUMMYFUNCTION("""COMPUTED_VALUE"""),3703189)</f>
        <v>3703189</v>
      </c>
      <c r="C10511" s="14">
        <f ca="1">IFERROR(__xludf.DUMMYFUNCTION("""COMPUTED_VALUE"""),0)</f>
        <v>0</v>
      </c>
      <c r="D10511" s="12" t="str">
        <f ca="1">IFERROR(__xludf.DUMMYFUNCTION("""COMPUTED_VALUE"""),"柿崎 晃司")</f>
        <v>柿崎 晃司</v>
      </c>
    </row>
    <row r="10512" spans="2:4" ht="13">
      <c r="B10512" s="12">
        <f ca="1">IFERROR(__xludf.DUMMYFUNCTION("""COMPUTED_VALUE"""),3703190)</f>
        <v>3703190</v>
      </c>
      <c r="C10512" s="14">
        <f ca="1">IFERROR(__xludf.DUMMYFUNCTION("""COMPUTED_VALUE"""),0)</f>
        <v>0</v>
      </c>
      <c r="D10512" s="12" t="str">
        <f ca="1">IFERROR(__xludf.DUMMYFUNCTION("""COMPUTED_VALUE"""),"柿崎 晃司")</f>
        <v>柿崎 晃司</v>
      </c>
    </row>
    <row r="10513" spans="2:4" ht="13">
      <c r="B10513" s="12">
        <f ca="1">IFERROR(__xludf.DUMMYFUNCTION("""COMPUTED_VALUE"""),3703194)</f>
        <v>3703194</v>
      </c>
      <c r="C10513" s="14">
        <f ca="1">IFERROR(__xludf.DUMMYFUNCTION("""COMPUTED_VALUE"""),5)</f>
        <v>5</v>
      </c>
      <c r="D10513" s="12" t="str">
        <f ca="1">IFERROR(__xludf.DUMMYFUNCTION("""COMPUTED_VALUE"""),"柿崎 晃司")</f>
        <v>柿崎 晃司</v>
      </c>
    </row>
    <row r="10514" spans="2:4" ht="13">
      <c r="B10514" s="12">
        <f ca="1">IFERROR(__xludf.DUMMYFUNCTION("""COMPUTED_VALUE"""),3703195)</f>
        <v>3703195</v>
      </c>
      <c r="C10514" s="14">
        <f ca="1">IFERROR(__xludf.DUMMYFUNCTION("""COMPUTED_VALUE"""),2)</f>
        <v>2</v>
      </c>
      <c r="D10514" s="12" t="str">
        <f ca="1">IFERROR(__xludf.DUMMYFUNCTION("""COMPUTED_VALUE"""),"柿崎 晃司")</f>
        <v>柿崎 晃司</v>
      </c>
    </row>
    <row r="10515" spans="2:4" ht="13">
      <c r="B10515" s="12">
        <f ca="1">IFERROR(__xludf.DUMMYFUNCTION("""COMPUTED_VALUE"""),3703196)</f>
        <v>3703196</v>
      </c>
      <c r="C10515" s="14">
        <f ca="1">IFERROR(__xludf.DUMMYFUNCTION("""COMPUTED_VALUE"""),12)</f>
        <v>12</v>
      </c>
      <c r="D10515" s="12" t="str">
        <f ca="1">IFERROR(__xludf.DUMMYFUNCTION("""COMPUTED_VALUE"""),"柿崎 晃司")</f>
        <v>柿崎 晃司</v>
      </c>
    </row>
    <row r="10516" spans="2:4" ht="13">
      <c r="B10516" s="12">
        <f ca="1">IFERROR(__xludf.DUMMYFUNCTION("""COMPUTED_VALUE"""),3703198)</f>
        <v>3703198</v>
      </c>
      <c r="C10516" s="14">
        <f ca="1">IFERROR(__xludf.DUMMYFUNCTION("""COMPUTED_VALUE"""),3)</f>
        <v>3</v>
      </c>
      <c r="D10516" s="12" t="str">
        <f ca="1">IFERROR(__xludf.DUMMYFUNCTION("""COMPUTED_VALUE"""),"柿崎 晃司")</f>
        <v>柿崎 晃司</v>
      </c>
    </row>
    <row r="10517" spans="2:4" ht="13">
      <c r="B10517" s="12">
        <f ca="1">IFERROR(__xludf.DUMMYFUNCTION("""COMPUTED_VALUE"""),3703203)</f>
        <v>3703203</v>
      </c>
      <c r="C10517" s="14">
        <f ca="1">IFERROR(__xludf.DUMMYFUNCTION("""COMPUTED_VALUE"""),26)</f>
        <v>26</v>
      </c>
      <c r="D10517" s="12" t="str">
        <f ca="1">IFERROR(__xludf.DUMMYFUNCTION("""COMPUTED_VALUE"""),"柿崎 晃司")</f>
        <v>柿崎 晃司</v>
      </c>
    </row>
    <row r="10518" spans="2:4" ht="13">
      <c r="B10518" s="12">
        <f ca="1">IFERROR(__xludf.DUMMYFUNCTION("""COMPUTED_VALUE"""),3703204)</f>
        <v>3703204</v>
      </c>
      <c r="C10518" s="14">
        <f ca="1">IFERROR(__xludf.DUMMYFUNCTION("""COMPUTED_VALUE"""),12)</f>
        <v>12</v>
      </c>
      <c r="D10518" s="12" t="str">
        <f ca="1">IFERROR(__xludf.DUMMYFUNCTION("""COMPUTED_VALUE"""),"柿崎 晃司")</f>
        <v>柿崎 晃司</v>
      </c>
    </row>
    <row r="10519" spans="2:4" ht="13">
      <c r="B10519" s="12">
        <f ca="1">IFERROR(__xludf.DUMMYFUNCTION("""COMPUTED_VALUE"""),3703205)</f>
        <v>3703205</v>
      </c>
      <c r="C10519" s="14">
        <f ca="1">IFERROR(__xludf.DUMMYFUNCTION("""COMPUTED_VALUE"""),22)</f>
        <v>22</v>
      </c>
      <c r="D10519" s="12" t="str">
        <f ca="1">IFERROR(__xludf.DUMMYFUNCTION("""COMPUTED_VALUE"""),"柿崎 晃司")</f>
        <v>柿崎 晃司</v>
      </c>
    </row>
    <row r="10520" spans="2:4" ht="13">
      <c r="B10520" s="12">
        <f ca="1">IFERROR(__xludf.DUMMYFUNCTION("""COMPUTED_VALUE"""),3703208)</f>
        <v>3703208</v>
      </c>
      <c r="C10520" s="14">
        <f ca="1">IFERROR(__xludf.DUMMYFUNCTION("""COMPUTED_VALUE"""),2)</f>
        <v>2</v>
      </c>
      <c r="D10520" s="12" t="str">
        <f ca="1">IFERROR(__xludf.DUMMYFUNCTION("""COMPUTED_VALUE"""),"柿崎 晃司")</f>
        <v>柿崎 晃司</v>
      </c>
    </row>
    <row r="10521" spans="2:4" ht="13">
      <c r="B10521" s="12">
        <f ca="1">IFERROR(__xludf.DUMMYFUNCTION("""COMPUTED_VALUE"""),3703209)</f>
        <v>3703209</v>
      </c>
      <c r="C10521" s="14">
        <f ca="1">IFERROR(__xludf.DUMMYFUNCTION("""COMPUTED_VALUE"""),9)</f>
        <v>9</v>
      </c>
      <c r="D10521" s="12" t="str">
        <f ca="1">IFERROR(__xludf.DUMMYFUNCTION("""COMPUTED_VALUE"""),"柿崎 晃司")</f>
        <v>柿崎 晃司</v>
      </c>
    </row>
    <row r="10522" spans="2:4" ht="13">
      <c r="B10522" s="12">
        <f ca="1">IFERROR(__xludf.DUMMYFUNCTION("""COMPUTED_VALUE"""),3703211)</f>
        <v>3703211</v>
      </c>
      <c r="C10522" s="14">
        <f ca="1">IFERROR(__xludf.DUMMYFUNCTION("""COMPUTED_VALUE"""),10)</f>
        <v>10</v>
      </c>
      <c r="D10522" s="12" t="str">
        <f ca="1">IFERROR(__xludf.DUMMYFUNCTION("""COMPUTED_VALUE"""),"柿崎 晃司")</f>
        <v>柿崎 晃司</v>
      </c>
    </row>
    <row r="10523" spans="2:4" ht="13">
      <c r="B10523" s="12">
        <f ca="1">IFERROR(__xludf.DUMMYFUNCTION("""COMPUTED_VALUE"""),3703212)</f>
        <v>3703212</v>
      </c>
      <c r="C10523" s="14">
        <f ca="1">IFERROR(__xludf.DUMMYFUNCTION("""COMPUTED_VALUE"""),0)</f>
        <v>0</v>
      </c>
      <c r="D10523" s="12" t="str">
        <f ca="1">IFERROR(__xludf.DUMMYFUNCTION("""COMPUTED_VALUE"""),"柿崎 晃司")</f>
        <v>柿崎 晃司</v>
      </c>
    </row>
    <row r="10524" spans="2:4" ht="13">
      <c r="B10524" s="12">
        <f ca="1">IFERROR(__xludf.DUMMYFUNCTION("""COMPUTED_VALUE"""),3703213)</f>
        <v>3703213</v>
      </c>
      <c r="C10524" s="14">
        <f ca="1">IFERROR(__xludf.DUMMYFUNCTION("""COMPUTED_VALUE"""),2)</f>
        <v>2</v>
      </c>
      <c r="D10524" s="12" t="str">
        <f ca="1">IFERROR(__xludf.DUMMYFUNCTION("""COMPUTED_VALUE"""),"柿崎 晃司")</f>
        <v>柿崎 晃司</v>
      </c>
    </row>
    <row r="10525" spans="2:4" ht="13">
      <c r="B10525" s="12">
        <f ca="1">IFERROR(__xludf.DUMMYFUNCTION("""COMPUTED_VALUE"""),3703215)</f>
        <v>3703215</v>
      </c>
      <c r="C10525" s="14">
        <f ca="1">IFERROR(__xludf.DUMMYFUNCTION("""COMPUTED_VALUE"""),0)</f>
        <v>0</v>
      </c>
      <c r="D10525" s="12" t="str">
        <f ca="1">IFERROR(__xludf.DUMMYFUNCTION("""COMPUTED_VALUE"""),"柿崎 晃司")</f>
        <v>柿崎 晃司</v>
      </c>
    </row>
    <row r="10526" spans="2:4" ht="13">
      <c r="B10526" s="12">
        <f ca="1">IFERROR(__xludf.DUMMYFUNCTION("""COMPUTED_VALUE"""),3703216)</f>
        <v>3703216</v>
      </c>
      <c r="C10526" s="14">
        <f ca="1">IFERROR(__xludf.DUMMYFUNCTION("""COMPUTED_VALUE"""),1)</f>
        <v>1</v>
      </c>
      <c r="D10526" s="12" t="str">
        <f ca="1">IFERROR(__xludf.DUMMYFUNCTION("""COMPUTED_VALUE"""),"柿崎 晃司")</f>
        <v>柿崎 晃司</v>
      </c>
    </row>
    <row r="10527" spans="2:4" ht="13">
      <c r="B10527" s="12">
        <f ca="1">IFERROR(__xludf.DUMMYFUNCTION("""COMPUTED_VALUE"""),3703217)</f>
        <v>3703217</v>
      </c>
      <c r="C10527" s="14">
        <f ca="1">IFERROR(__xludf.DUMMYFUNCTION("""COMPUTED_VALUE"""),1)</f>
        <v>1</v>
      </c>
      <c r="D10527" s="12" t="str">
        <f ca="1">IFERROR(__xludf.DUMMYFUNCTION("""COMPUTED_VALUE"""),"柿崎 晃司")</f>
        <v>柿崎 晃司</v>
      </c>
    </row>
    <row r="10528" spans="2:4" ht="13">
      <c r="B10528" s="12">
        <f ca="1">IFERROR(__xludf.DUMMYFUNCTION("""COMPUTED_VALUE"""),3703220)</f>
        <v>3703220</v>
      </c>
      <c r="C10528" s="14">
        <f ca="1">IFERROR(__xludf.DUMMYFUNCTION("""COMPUTED_VALUE"""),3)</f>
        <v>3</v>
      </c>
      <c r="D10528" s="12" t="str">
        <f ca="1">IFERROR(__xludf.DUMMYFUNCTION("""COMPUTED_VALUE"""),"柿崎 晃司")</f>
        <v>柿崎 晃司</v>
      </c>
    </row>
    <row r="10529" spans="2:4" ht="13">
      <c r="B10529" s="12">
        <f ca="1">IFERROR(__xludf.DUMMYFUNCTION("""COMPUTED_VALUE"""),3703221)</f>
        <v>3703221</v>
      </c>
      <c r="C10529" s="14">
        <f ca="1">IFERROR(__xludf.DUMMYFUNCTION("""COMPUTED_VALUE"""),1)</f>
        <v>1</v>
      </c>
      <c r="D10529" s="12" t="str">
        <f ca="1">IFERROR(__xludf.DUMMYFUNCTION("""COMPUTED_VALUE"""),"柿崎 晃司")</f>
        <v>柿崎 晃司</v>
      </c>
    </row>
    <row r="10530" spans="2:4" ht="13">
      <c r="B10530" s="12">
        <f ca="1">IFERROR(__xludf.DUMMYFUNCTION("""COMPUTED_VALUE"""),3703222)</f>
        <v>3703222</v>
      </c>
      <c r="C10530" s="14">
        <f ca="1">IFERROR(__xludf.DUMMYFUNCTION("""COMPUTED_VALUE"""),2)</f>
        <v>2</v>
      </c>
      <c r="D10530" s="12" t="str">
        <f ca="1">IFERROR(__xludf.DUMMYFUNCTION("""COMPUTED_VALUE"""),"柿崎 晃司")</f>
        <v>柿崎 晃司</v>
      </c>
    </row>
    <row r="10531" spans="2:4" ht="13">
      <c r="B10531" s="12">
        <f ca="1">IFERROR(__xludf.DUMMYFUNCTION("""COMPUTED_VALUE"""),3703223)</f>
        <v>3703223</v>
      </c>
      <c r="C10531" s="14">
        <f ca="1">IFERROR(__xludf.DUMMYFUNCTION("""COMPUTED_VALUE"""),0)</f>
        <v>0</v>
      </c>
      <c r="D10531" s="12" t="str">
        <f ca="1">IFERROR(__xludf.DUMMYFUNCTION("""COMPUTED_VALUE"""),"柿崎 晃司")</f>
        <v>柿崎 晃司</v>
      </c>
    </row>
    <row r="10532" spans="2:4" ht="13">
      <c r="B10532" s="12">
        <f ca="1">IFERROR(__xludf.DUMMYFUNCTION("""COMPUTED_VALUE"""),3703228)</f>
        <v>3703228</v>
      </c>
      <c r="C10532" s="14">
        <f ca="1">IFERROR(__xludf.DUMMYFUNCTION("""COMPUTED_VALUE"""),1)</f>
        <v>1</v>
      </c>
      <c r="D10532" s="12" t="str">
        <f ca="1">IFERROR(__xludf.DUMMYFUNCTION("""COMPUTED_VALUE"""),"柿崎 晃司")</f>
        <v>柿崎 晃司</v>
      </c>
    </row>
    <row r="10533" spans="2:4" ht="13">
      <c r="B10533" s="12">
        <f ca="1">IFERROR(__xludf.DUMMYFUNCTION("""COMPUTED_VALUE"""),3703229)</f>
        <v>3703229</v>
      </c>
      <c r="C10533" s="14">
        <f ca="1">IFERROR(__xludf.DUMMYFUNCTION("""COMPUTED_VALUE"""),1)</f>
        <v>1</v>
      </c>
      <c r="D10533" s="12" t="str">
        <f ca="1">IFERROR(__xludf.DUMMYFUNCTION("""COMPUTED_VALUE"""),"柿崎 晃司")</f>
        <v>柿崎 晃司</v>
      </c>
    </row>
    <row r="10534" spans="2:4" ht="13">
      <c r="B10534" s="12">
        <f ca="1">IFERROR(__xludf.DUMMYFUNCTION("""COMPUTED_VALUE"""),3703233)</f>
        <v>3703233</v>
      </c>
      <c r="C10534" s="14">
        <f ca="1">IFERROR(__xludf.DUMMYFUNCTION("""COMPUTED_VALUE"""),0)</f>
        <v>0</v>
      </c>
      <c r="D10534" s="12" t="str">
        <f ca="1">IFERROR(__xludf.DUMMYFUNCTION("""COMPUTED_VALUE"""),"柿崎 晃司")</f>
        <v>柿崎 晃司</v>
      </c>
    </row>
    <row r="10535" spans="2:4" ht="13">
      <c r="B10535" s="12">
        <f ca="1">IFERROR(__xludf.DUMMYFUNCTION("""COMPUTED_VALUE"""),3703239)</f>
        <v>3703239</v>
      </c>
      <c r="C10535" s="14">
        <f ca="1">IFERROR(__xludf.DUMMYFUNCTION("""COMPUTED_VALUE"""),2)</f>
        <v>2</v>
      </c>
      <c r="D10535" s="12" t="str">
        <f ca="1">IFERROR(__xludf.DUMMYFUNCTION("""COMPUTED_VALUE"""),"柿崎 晃司")</f>
        <v>柿崎 晃司</v>
      </c>
    </row>
    <row r="10536" spans="2:4" ht="13">
      <c r="B10536" s="12">
        <f ca="1">IFERROR(__xludf.DUMMYFUNCTION("""COMPUTED_VALUE"""),3703242)</f>
        <v>3703242</v>
      </c>
      <c r="C10536" s="14">
        <f ca="1">IFERROR(__xludf.DUMMYFUNCTION("""COMPUTED_VALUE"""),5)</f>
        <v>5</v>
      </c>
      <c r="D10536" s="12" t="str">
        <f ca="1">IFERROR(__xludf.DUMMYFUNCTION("""COMPUTED_VALUE"""),"柿崎 晃司")</f>
        <v>柿崎 晃司</v>
      </c>
    </row>
    <row r="10537" spans="2:4" ht="13">
      <c r="B10537" s="12">
        <f ca="1">IFERROR(__xludf.DUMMYFUNCTION("""COMPUTED_VALUE"""),3703244)</f>
        <v>3703244</v>
      </c>
      <c r="C10537" s="14">
        <f ca="1">IFERROR(__xludf.DUMMYFUNCTION("""COMPUTED_VALUE"""),0)</f>
        <v>0</v>
      </c>
      <c r="D10537" s="12" t="str">
        <f ca="1">IFERROR(__xludf.DUMMYFUNCTION("""COMPUTED_VALUE"""),"柿崎 晃司")</f>
        <v>柿崎 晃司</v>
      </c>
    </row>
    <row r="10538" spans="2:4" ht="13">
      <c r="B10538" s="12">
        <f ca="1">IFERROR(__xludf.DUMMYFUNCTION("""COMPUTED_VALUE"""),3703249)</f>
        <v>3703249</v>
      </c>
      <c r="C10538" s="14">
        <f ca="1">IFERROR(__xludf.DUMMYFUNCTION("""COMPUTED_VALUE"""),4)</f>
        <v>4</v>
      </c>
      <c r="D10538" s="12" t="str">
        <f ca="1">IFERROR(__xludf.DUMMYFUNCTION("""COMPUTED_VALUE"""),"柿崎 晃司")</f>
        <v>柿崎 晃司</v>
      </c>
    </row>
    <row r="10539" spans="2:4" ht="13">
      <c r="B10539" s="12">
        <f ca="1">IFERROR(__xludf.DUMMYFUNCTION("""COMPUTED_VALUE"""),3703251)</f>
        <v>3703251</v>
      </c>
      <c r="C10539" s="14">
        <f ca="1">IFERROR(__xludf.DUMMYFUNCTION("""COMPUTED_VALUE"""),3)</f>
        <v>3</v>
      </c>
      <c r="D10539" s="12" t="str">
        <f ca="1">IFERROR(__xludf.DUMMYFUNCTION("""COMPUTED_VALUE"""),"柿崎 晃司")</f>
        <v>柿崎 晃司</v>
      </c>
    </row>
    <row r="10540" spans="2:4" ht="13">
      <c r="B10540" s="12">
        <f ca="1">IFERROR(__xludf.DUMMYFUNCTION("""COMPUTED_VALUE"""),3703252)</f>
        <v>3703252</v>
      </c>
      <c r="C10540" s="14">
        <f ca="1">IFERROR(__xludf.DUMMYFUNCTION("""COMPUTED_VALUE"""),47)</f>
        <v>47</v>
      </c>
      <c r="D10540" s="12" t="str">
        <f ca="1">IFERROR(__xludf.DUMMYFUNCTION("""COMPUTED_VALUE"""),"柿崎 晃司")</f>
        <v>柿崎 晃司</v>
      </c>
    </row>
    <row r="10541" spans="2:4" ht="13">
      <c r="B10541" s="12">
        <f ca="1">IFERROR(__xludf.DUMMYFUNCTION("""COMPUTED_VALUE"""),3703253)</f>
        <v>3703253</v>
      </c>
      <c r="C10541" s="14">
        <f ca="1">IFERROR(__xludf.DUMMYFUNCTION("""COMPUTED_VALUE"""),1)</f>
        <v>1</v>
      </c>
      <c r="D10541" s="12" t="str">
        <f ca="1">IFERROR(__xludf.DUMMYFUNCTION("""COMPUTED_VALUE"""),"柿崎 晃司")</f>
        <v>柿崎 晃司</v>
      </c>
    </row>
    <row r="10542" spans="2:4" ht="13">
      <c r="B10542" s="12">
        <f ca="1">IFERROR(__xludf.DUMMYFUNCTION("""COMPUTED_VALUE"""),3703255)</f>
        <v>3703255</v>
      </c>
      <c r="C10542" s="14">
        <f ca="1">IFERROR(__xludf.DUMMYFUNCTION("""COMPUTED_VALUE"""),0)</f>
        <v>0</v>
      </c>
      <c r="D10542" s="12" t="str">
        <f ca="1">IFERROR(__xludf.DUMMYFUNCTION("""COMPUTED_VALUE"""),"柿崎 晃司")</f>
        <v>柿崎 晃司</v>
      </c>
    </row>
    <row r="10543" spans="2:4" ht="13">
      <c r="B10543" s="12">
        <f ca="1">IFERROR(__xludf.DUMMYFUNCTION("""COMPUTED_VALUE"""),3703256)</f>
        <v>3703256</v>
      </c>
      <c r="C10543" s="14">
        <f ca="1">IFERROR(__xludf.DUMMYFUNCTION("""COMPUTED_VALUE"""),15)</f>
        <v>15</v>
      </c>
      <c r="D10543" s="12" t="str">
        <f ca="1">IFERROR(__xludf.DUMMYFUNCTION("""COMPUTED_VALUE"""),"柿崎 晃司")</f>
        <v>柿崎 晃司</v>
      </c>
    </row>
    <row r="10544" spans="2:4" ht="13">
      <c r="B10544" s="12">
        <f ca="1">IFERROR(__xludf.DUMMYFUNCTION("""COMPUTED_VALUE"""),3703257)</f>
        <v>3703257</v>
      </c>
      <c r="C10544" s="14">
        <f ca="1">IFERROR(__xludf.DUMMYFUNCTION("""COMPUTED_VALUE"""),2)</f>
        <v>2</v>
      </c>
      <c r="D10544" s="12" t="str">
        <f ca="1">IFERROR(__xludf.DUMMYFUNCTION("""COMPUTED_VALUE"""),"柿崎 晃司")</f>
        <v>柿崎 晃司</v>
      </c>
    </row>
    <row r="10545" spans="2:4" ht="13">
      <c r="B10545" s="12">
        <f ca="1">IFERROR(__xludf.DUMMYFUNCTION("""COMPUTED_VALUE"""),3703258)</f>
        <v>3703258</v>
      </c>
      <c r="C10545" s="14">
        <f ca="1">IFERROR(__xludf.DUMMYFUNCTION("""COMPUTED_VALUE"""),5)</f>
        <v>5</v>
      </c>
      <c r="D10545" s="12" t="str">
        <f ca="1">IFERROR(__xludf.DUMMYFUNCTION("""COMPUTED_VALUE"""),"柿崎 晃司")</f>
        <v>柿崎 晃司</v>
      </c>
    </row>
    <row r="10546" spans="2:4" ht="13">
      <c r="B10546" s="12">
        <f ca="1">IFERROR(__xludf.DUMMYFUNCTION("""COMPUTED_VALUE"""),3703260)</f>
        <v>3703260</v>
      </c>
      <c r="C10546" s="14">
        <f ca="1">IFERROR(__xludf.DUMMYFUNCTION("""COMPUTED_VALUE"""),7)</f>
        <v>7</v>
      </c>
      <c r="D10546" s="12" t="str">
        <f ca="1">IFERROR(__xludf.DUMMYFUNCTION("""COMPUTED_VALUE"""),"柿崎 晃司")</f>
        <v>柿崎 晃司</v>
      </c>
    </row>
    <row r="10547" spans="2:4" ht="13">
      <c r="B10547" s="12">
        <f ca="1">IFERROR(__xludf.DUMMYFUNCTION("""COMPUTED_VALUE"""),3703261)</f>
        <v>3703261</v>
      </c>
      <c r="C10547" s="14">
        <f ca="1">IFERROR(__xludf.DUMMYFUNCTION("""COMPUTED_VALUE"""),8)</f>
        <v>8</v>
      </c>
      <c r="D10547" s="12" t="str">
        <f ca="1">IFERROR(__xludf.DUMMYFUNCTION("""COMPUTED_VALUE"""),"柿崎 晃司")</f>
        <v>柿崎 晃司</v>
      </c>
    </row>
    <row r="10548" spans="2:4" ht="13">
      <c r="B10548" s="12">
        <f ca="1">IFERROR(__xludf.DUMMYFUNCTION("""COMPUTED_VALUE"""),3703264)</f>
        <v>3703264</v>
      </c>
      <c r="C10548" s="14">
        <f ca="1">IFERROR(__xludf.DUMMYFUNCTION("""COMPUTED_VALUE"""),1)</f>
        <v>1</v>
      </c>
      <c r="D10548" s="12" t="str">
        <f ca="1">IFERROR(__xludf.DUMMYFUNCTION("""COMPUTED_VALUE"""),"柿崎 晃司")</f>
        <v>柿崎 晃司</v>
      </c>
    </row>
    <row r="10549" spans="2:4" ht="13">
      <c r="B10549" s="12">
        <f ca="1">IFERROR(__xludf.DUMMYFUNCTION("""COMPUTED_VALUE"""),3703268)</f>
        <v>3703268</v>
      </c>
      <c r="C10549" s="14">
        <f ca="1">IFERROR(__xludf.DUMMYFUNCTION("""COMPUTED_VALUE"""),0)</f>
        <v>0</v>
      </c>
      <c r="D10549" s="12" t="str">
        <f ca="1">IFERROR(__xludf.DUMMYFUNCTION("""COMPUTED_VALUE"""),"柿崎 晃司")</f>
        <v>柿崎 晃司</v>
      </c>
    </row>
    <row r="10550" spans="2:4" ht="13">
      <c r="B10550" s="12">
        <f ca="1">IFERROR(__xludf.DUMMYFUNCTION("""COMPUTED_VALUE"""),3703272)</f>
        <v>3703272</v>
      </c>
      <c r="C10550" s="14">
        <f ca="1">IFERROR(__xludf.DUMMYFUNCTION("""COMPUTED_VALUE"""),7)</f>
        <v>7</v>
      </c>
      <c r="D10550" s="12" t="str">
        <f ca="1">IFERROR(__xludf.DUMMYFUNCTION("""COMPUTED_VALUE"""),"柿崎 晃司")</f>
        <v>柿崎 晃司</v>
      </c>
    </row>
    <row r="10551" spans="2:4" ht="13">
      <c r="B10551" s="12">
        <f ca="1">IFERROR(__xludf.DUMMYFUNCTION("""COMPUTED_VALUE"""),3703273)</f>
        <v>3703273</v>
      </c>
      <c r="C10551" s="14">
        <f ca="1">IFERROR(__xludf.DUMMYFUNCTION("""COMPUTED_VALUE"""),5)</f>
        <v>5</v>
      </c>
      <c r="D10551" s="12" t="str">
        <f ca="1">IFERROR(__xludf.DUMMYFUNCTION("""COMPUTED_VALUE"""),"柿崎 晃司")</f>
        <v>柿崎 晃司</v>
      </c>
    </row>
    <row r="10552" spans="2:4" ht="13">
      <c r="B10552" s="12">
        <f ca="1">IFERROR(__xludf.DUMMYFUNCTION("""COMPUTED_VALUE"""),3703274)</f>
        <v>3703274</v>
      </c>
      <c r="C10552" s="14">
        <f ca="1">IFERROR(__xludf.DUMMYFUNCTION("""COMPUTED_VALUE"""),10)</f>
        <v>10</v>
      </c>
      <c r="D10552" s="12" t="str">
        <f ca="1">IFERROR(__xludf.DUMMYFUNCTION("""COMPUTED_VALUE"""),"柿崎 晃司")</f>
        <v>柿崎 晃司</v>
      </c>
    </row>
    <row r="10553" spans="2:4" ht="13">
      <c r="B10553" s="12">
        <f ca="1">IFERROR(__xludf.DUMMYFUNCTION("""COMPUTED_VALUE"""),3703280)</f>
        <v>3703280</v>
      </c>
      <c r="C10553" s="14">
        <f ca="1">IFERROR(__xludf.DUMMYFUNCTION("""COMPUTED_VALUE"""),2)</f>
        <v>2</v>
      </c>
      <c r="D10553" s="12" t="str">
        <f ca="1">IFERROR(__xludf.DUMMYFUNCTION("""COMPUTED_VALUE"""),"柿崎 晃司")</f>
        <v>柿崎 晃司</v>
      </c>
    </row>
    <row r="10554" spans="2:4" ht="13">
      <c r="B10554" s="12">
        <f ca="1">IFERROR(__xludf.DUMMYFUNCTION("""COMPUTED_VALUE"""),3703281)</f>
        <v>3703281</v>
      </c>
      <c r="C10554" s="14">
        <f ca="1">IFERROR(__xludf.DUMMYFUNCTION("""COMPUTED_VALUE"""),3)</f>
        <v>3</v>
      </c>
      <c r="D10554" s="12" t="str">
        <f ca="1">IFERROR(__xludf.DUMMYFUNCTION("""COMPUTED_VALUE"""),"柿崎 晃司")</f>
        <v>柿崎 晃司</v>
      </c>
    </row>
    <row r="10555" spans="2:4" ht="13">
      <c r="B10555" s="12">
        <f ca="1">IFERROR(__xludf.DUMMYFUNCTION("""COMPUTED_VALUE"""),3703288)</f>
        <v>3703288</v>
      </c>
      <c r="C10555" s="14">
        <f ca="1">IFERROR(__xludf.DUMMYFUNCTION("""COMPUTED_VALUE"""),0)</f>
        <v>0</v>
      </c>
      <c r="D10555" s="12" t="str">
        <f ca="1">IFERROR(__xludf.DUMMYFUNCTION("""COMPUTED_VALUE"""),"柿崎 晃司")</f>
        <v>柿崎 晃司</v>
      </c>
    </row>
    <row r="10556" spans="2:4" ht="13">
      <c r="B10556" s="12">
        <f ca="1">IFERROR(__xludf.DUMMYFUNCTION("""COMPUTED_VALUE"""),3703296)</f>
        <v>3703296</v>
      </c>
      <c r="C10556" s="14">
        <f ca="1">IFERROR(__xludf.DUMMYFUNCTION("""COMPUTED_VALUE"""),3)</f>
        <v>3</v>
      </c>
      <c r="D10556" s="12" t="str">
        <f ca="1">IFERROR(__xludf.DUMMYFUNCTION("""COMPUTED_VALUE"""),"柿崎 晃司")</f>
        <v>柿崎 晃司</v>
      </c>
    </row>
    <row r="10557" spans="2:4" ht="13">
      <c r="B10557" s="12">
        <f ca="1">IFERROR(__xludf.DUMMYFUNCTION("""COMPUTED_VALUE"""),3703299)</f>
        <v>3703299</v>
      </c>
      <c r="C10557" s="14">
        <f ca="1">IFERROR(__xludf.DUMMYFUNCTION("""COMPUTED_VALUE"""),0)</f>
        <v>0</v>
      </c>
      <c r="D10557" s="12" t="str">
        <f ca="1">IFERROR(__xludf.DUMMYFUNCTION("""COMPUTED_VALUE"""),"柿崎 晃司")</f>
        <v>柿崎 晃司</v>
      </c>
    </row>
    <row r="10558" spans="2:4" ht="13">
      <c r="B10558" s="12">
        <f ca="1">IFERROR(__xludf.DUMMYFUNCTION("""COMPUTED_VALUE"""),3703302)</f>
        <v>3703302</v>
      </c>
      <c r="C10558" s="14">
        <f ca="1">IFERROR(__xludf.DUMMYFUNCTION("""COMPUTED_VALUE"""),2)</f>
        <v>2</v>
      </c>
      <c r="D10558" s="12" t="str">
        <f ca="1">IFERROR(__xludf.DUMMYFUNCTION("""COMPUTED_VALUE"""),"柿崎 晃司")</f>
        <v>柿崎 晃司</v>
      </c>
    </row>
    <row r="10559" spans="2:4" ht="13">
      <c r="B10559" s="12">
        <f ca="1">IFERROR(__xludf.DUMMYFUNCTION("""COMPUTED_VALUE"""),3703304)</f>
        <v>3703304</v>
      </c>
      <c r="C10559" s="14">
        <f ca="1">IFERROR(__xludf.DUMMYFUNCTION("""COMPUTED_VALUE"""),0)</f>
        <v>0</v>
      </c>
      <c r="D10559" s="12" t="str">
        <f ca="1">IFERROR(__xludf.DUMMYFUNCTION("""COMPUTED_VALUE"""),"柿崎 晃司")</f>
        <v>柿崎 晃司</v>
      </c>
    </row>
    <row r="10560" spans="2:4" ht="13">
      <c r="B10560" s="12">
        <f ca="1">IFERROR(__xludf.DUMMYFUNCTION("""COMPUTED_VALUE"""),3703305)</f>
        <v>3703305</v>
      </c>
      <c r="C10560" s="14">
        <f ca="1">IFERROR(__xludf.DUMMYFUNCTION("""COMPUTED_VALUE"""),7)</f>
        <v>7</v>
      </c>
      <c r="D10560" s="12" t="str">
        <f ca="1">IFERROR(__xludf.DUMMYFUNCTION("""COMPUTED_VALUE"""),"柿崎 晃司")</f>
        <v>柿崎 晃司</v>
      </c>
    </row>
    <row r="10561" spans="2:4" ht="13">
      <c r="B10561" s="12">
        <f ca="1">IFERROR(__xludf.DUMMYFUNCTION("""COMPUTED_VALUE"""),3703315)</f>
        <v>3703315</v>
      </c>
      <c r="C10561" s="14">
        <f ca="1">IFERROR(__xludf.DUMMYFUNCTION("""COMPUTED_VALUE"""),10)</f>
        <v>10</v>
      </c>
      <c r="D10561" s="12" t="str">
        <f ca="1">IFERROR(__xludf.DUMMYFUNCTION("""COMPUTED_VALUE"""),"柿崎 晃司")</f>
        <v>柿崎 晃司</v>
      </c>
    </row>
    <row r="10562" spans="2:4" ht="13">
      <c r="B10562" s="12">
        <f ca="1">IFERROR(__xludf.DUMMYFUNCTION("""COMPUTED_VALUE"""),3703317)</f>
        <v>3703317</v>
      </c>
      <c r="C10562" s="14">
        <f ca="1">IFERROR(__xludf.DUMMYFUNCTION("""COMPUTED_VALUE"""),13)</f>
        <v>13</v>
      </c>
      <c r="D10562" s="12" t="str">
        <f ca="1">IFERROR(__xludf.DUMMYFUNCTION("""COMPUTED_VALUE"""),"柿崎 晃司")</f>
        <v>柿崎 晃司</v>
      </c>
    </row>
    <row r="10563" spans="2:4" ht="13">
      <c r="B10563" s="12">
        <f ca="1">IFERROR(__xludf.DUMMYFUNCTION("""COMPUTED_VALUE"""),3703327)</f>
        <v>3703327</v>
      </c>
      <c r="C10563" s="14">
        <f ca="1">IFERROR(__xludf.DUMMYFUNCTION("""COMPUTED_VALUE"""),2)</f>
        <v>2</v>
      </c>
      <c r="D10563" s="12" t="str">
        <f ca="1">IFERROR(__xludf.DUMMYFUNCTION("""COMPUTED_VALUE"""),"柿崎 晃司")</f>
        <v>柿崎 晃司</v>
      </c>
    </row>
    <row r="10564" spans="2:4" ht="13">
      <c r="B10564" s="12">
        <f ca="1">IFERROR(__xludf.DUMMYFUNCTION("""COMPUTED_VALUE"""),3703328)</f>
        <v>3703328</v>
      </c>
      <c r="C10564" s="14">
        <f ca="1">IFERROR(__xludf.DUMMYFUNCTION("""COMPUTED_VALUE"""),2)</f>
        <v>2</v>
      </c>
      <c r="D10564" s="12" t="str">
        <f ca="1">IFERROR(__xludf.DUMMYFUNCTION("""COMPUTED_VALUE"""),"柿崎 晃司")</f>
        <v>柿崎 晃司</v>
      </c>
    </row>
    <row r="10565" spans="2:4" ht="13">
      <c r="B10565" s="12">
        <f ca="1">IFERROR(__xludf.DUMMYFUNCTION("""COMPUTED_VALUE"""),3703330)</f>
        <v>3703330</v>
      </c>
      <c r="C10565" s="14">
        <f ca="1">IFERROR(__xludf.DUMMYFUNCTION("""COMPUTED_VALUE"""),1)</f>
        <v>1</v>
      </c>
      <c r="D10565" s="12" t="str">
        <f ca="1">IFERROR(__xludf.DUMMYFUNCTION("""COMPUTED_VALUE"""),"柿崎 晃司")</f>
        <v>柿崎 晃司</v>
      </c>
    </row>
    <row r="10566" spans="2:4" ht="13">
      <c r="B10566" s="12">
        <f ca="1">IFERROR(__xludf.DUMMYFUNCTION("""COMPUTED_VALUE"""),3703331)</f>
        <v>3703331</v>
      </c>
      <c r="C10566" s="14">
        <f ca="1">IFERROR(__xludf.DUMMYFUNCTION("""COMPUTED_VALUE"""),0)</f>
        <v>0</v>
      </c>
      <c r="D10566" s="12" t="str">
        <f ca="1">IFERROR(__xludf.DUMMYFUNCTION("""COMPUTED_VALUE"""),"柿崎 晃司")</f>
        <v>柿崎 晃司</v>
      </c>
    </row>
    <row r="10567" spans="2:4" ht="13">
      <c r="B10567" s="12">
        <f ca="1">IFERROR(__xludf.DUMMYFUNCTION("""COMPUTED_VALUE"""),3703332)</f>
        <v>3703332</v>
      </c>
      <c r="C10567" s="14">
        <f ca="1">IFERROR(__xludf.DUMMYFUNCTION("""COMPUTED_VALUE"""),4)</f>
        <v>4</v>
      </c>
      <c r="D10567" s="12" t="str">
        <f ca="1">IFERROR(__xludf.DUMMYFUNCTION("""COMPUTED_VALUE"""),"柿崎 晃司")</f>
        <v>柿崎 晃司</v>
      </c>
    </row>
    <row r="10568" spans="2:4" ht="13">
      <c r="B10568" s="12">
        <f ca="1">IFERROR(__xludf.DUMMYFUNCTION("""COMPUTED_VALUE"""),3703333)</f>
        <v>3703333</v>
      </c>
      <c r="C10568" s="14">
        <f ca="1">IFERROR(__xludf.DUMMYFUNCTION("""COMPUTED_VALUE"""),2)</f>
        <v>2</v>
      </c>
      <c r="D10568" s="12" t="str">
        <f ca="1">IFERROR(__xludf.DUMMYFUNCTION("""COMPUTED_VALUE"""),"柿崎 晃司")</f>
        <v>柿崎 晃司</v>
      </c>
    </row>
    <row r="10569" spans="2:4" ht="13">
      <c r="B10569" s="12">
        <f ca="1">IFERROR(__xludf.DUMMYFUNCTION("""COMPUTED_VALUE"""),3703337)</f>
        <v>3703337</v>
      </c>
      <c r="C10569" s="14">
        <f ca="1">IFERROR(__xludf.DUMMYFUNCTION("""COMPUTED_VALUE"""),6)</f>
        <v>6</v>
      </c>
      <c r="D10569" s="12" t="str">
        <f ca="1">IFERROR(__xludf.DUMMYFUNCTION("""COMPUTED_VALUE"""),"柿崎 晃司")</f>
        <v>柿崎 晃司</v>
      </c>
    </row>
    <row r="10570" spans="2:4" ht="13">
      <c r="B10570" s="12">
        <f ca="1">IFERROR(__xludf.DUMMYFUNCTION("""COMPUTED_VALUE"""),3703338)</f>
        <v>3703338</v>
      </c>
      <c r="C10570" s="14">
        <f ca="1">IFERROR(__xludf.DUMMYFUNCTION("""COMPUTED_VALUE"""),5)</f>
        <v>5</v>
      </c>
      <c r="D10570" s="12" t="str">
        <f ca="1">IFERROR(__xludf.DUMMYFUNCTION("""COMPUTED_VALUE"""),"柿崎 晃司")</f>
        <v>柿崎 晃司</v>
      </c>
    </row>
    <row r="10571" spans="2:4" ht="13">
      <c r="B10571" s="12">
        <f ca="1">IFERROR(__xludf.DUMMYFUNCTION("""COMPUTED_VALUE"""),3703339)</f>
        <v>3703339</v>
      </c>
      <c r="C10571" s="14">
        <f ca="1">IFERROR(__xludf.DUMMYFUNCTION("""COMPUTED_VALUE"""),8)</f>
        <v>8</v>
      </c>
      <c r="D10571" s="12" t="str">
        <f ca="1">IFERROR(__xludf.DUMMYFUNCTION("""COMPUTED_VALUE"""),"柿崎 晃司")</f>
        <v>柿崎 晃司</v>
      </c>
    </row>
    <row r="10572" spans="2:4" ht="13">
      <c r="B10572" s="12">
        <f ca="1">IFERROR(__xludf.DUMMYFUNCTION("""COMPUTED_VALUE"""),3703341)</f>
        <v>3703341</v>
      </c>
      <c r="C10572" s="14">
        <f ca="1">IFERROR(__xludf.DUMMYFUNCTION("""COMPUTED_VALUE"""),1)</f>
        <v>1</v>
      </c>
      <c r="D10572" s="12" t="str">
        <f ca="1">IFERROR(__xludf.DUMMYFUNCTION("""COMPUTED_VALUE"""),"柿崎 晃司")</f>
        <v>柿崎 晃司</v>
      </c>
    </row>
    <row r="10573" spans="2:4" ht="13">
      <c r="B10573" s="12">
        <f ca="1">IFERROR(__xludf.DUMMYFUNCTION("""COMPUTED_VALUE"""),3703342)</f>
        <v>3703342</v>
      </c>
      <c r="C10573" s="14">
        <f ca="1">IFERROR(__xludf.DUMMYFUNCTION("""COMPUTED_VALUE"""),4)</f>
        <v>4</v>
      </c>
      <c r="D10573" s="12" t="str">
        <f ca="1">IFERROR(__xludf.DUMMYFUNCTION("""COMPUTED_VALUE"""),"柿崎 晃司")</f>
        <v>柿崎 晃司</v>
      </c>
    </row>
    <row r="10574" spans="2:4" ht="13">
      <c r="B10574" s="12">
        <f ca="1">IFERROR(__xludf.DUMMYFUNCTION("""COMPUTED_VALUE"""),3703343)</f>
        <v>3703343</v>
      </c>
      <c r="C10574" s="14">
        <f ca="1">IFERROR(__xludf.DUMMYFUNCTION("""COMPUTED_VALUE"""),2)</f>
        <v>2</v>
      </c>
      <c r="D10574" s="12" t="str">
        <f ca="1">IFERROR(__xludf.DUMMYFUNCTION("""COMPUTED_VALUE"""),"柿崎 晃司")</f>
        <v>柿崎 晃司</v>
      </c>
    </row>
    <row r="10575" spans="2:4" ht="13">
      <c r="B10575" s="12">
        <f ca="1">IFERROR(__xludf.DUMMYFUNCTION("""COMPUTED_VALUE"""),3703344)</f>
        <v>3703344</v>
      </c>
      <c r="C10575" s="14">
        <f ca="1">IFERROR(__xludf.DUMMYFUNCTION("""COMPUTED_VALUE"""),5)</f>
        <v>5</v>
      </c>
      <c r="D10575" s="12" t="str">
        <f ca="1">IFERROR(__xludf.DUMMYFUNCTION("""COMPUTED_VALUE"""),"柿崎 晃司")</f>
        <v>柿崎 晃司</v>
      </c>
    </row>
    <row r="10576" spans="2:4" ht="13">
      <c r="B10576" s="12">
        <f ca="1">IFERROR(__xludf.DUMMYFUNCTION("""COMPUTED_VALUE"""),3703345)</f>
        <v>3703345</v>
      </c>
      <c r="C10576" s="14">
        <f ca="1">IFERROR(__xludf.DUMMYFUNCTION("""COMPUTED_VALUE"""),6)</f>
        <v>6</v>
      </c>
      <c r="D10576" s="12" t="str">
        <f ca="1">IFERROR(__xludf.DUMMYFUNCTION("""COMPUTED_VALUE"""),"柿崎 晃司")</f>
        <v>柿崎 晃司</v>
      </c>
    </row>
    <row r="10577" spans="2:4" ht="13">
      <c r="B10577" s="12">
        <f ca="1">IFERROR(__xludf.DUMMYFUNCTION("""COMPUTED_VALUE"""),3703352)</f>
        <v>3703352</v>
      </c>
      <c r="C10577" s="14">
        <f ca="1">IFERROR(__xludf.DUMMYFUNCTION("""COMPUTED_VALUE"""),6)</f>
        <v>6</v>
      </c>
      <c r="D10577" s="12" t="str">
        <f ca="1">IFERROR(__xludf.DUMMYFUNCTION("""COMPUTED_VALUE"""),"柿崎 晃司")</f>
        <v>柿崎 晃司</v>
      </c>
    </row>
    <row r="10578" spans="2:4" ht="13">
      <c r="B10578" s="12">
        <f ca="1">IFERROR(__xludf.DUMMYFUNCTION("""COMPUTED_VALUE"""),3703356)</f>
        <v>3703356</v>
      </c>
      <c r="C10578" s="14">
        <f ca="1">IFERROR(__xludf.DUMMYFUNCTION("""COMPUTED_VALUE"""),4)</f>
        <v>4</v>
      </c>
      <c r="D10578" s="12" t="str">
        <f ca="1">IFERROR(__xludf.DUMMYFUNCTION("""COMPUTED_VALUE"""),"柿崎 晃司")</f>
        <v>柿崎 晃司</v>
      </c>
    </row>
    <row r="10579" spans="2:4" ht="13">
      <c r="B10579" s="12">
        <f ca="1">IFERROR(__xludf.DUMMYFUNCTION("""COMPUTED_VALUE"""),3703357)</f>
        <v>3703357</v>
      </c>
      <c r="C10579" s="14">
        <f ca="1">IFERROR(__xludf.DUMMYFUNCTION("""COMPUTED_VALUE"""),11)</f>
        <v>11</v>
      </c>
      <c r="D10579" s="12" t="str">
        <f ca="1">IFERROR(__xludf.DUMMYFUNCTION("""COMPUTED_VALUE"""),"柿崎 晃司")</f>
        <v>柿崎 晃司</v>
      </c>
    </row>
    <row r="10580" spans="2:4" ht="13">
      <c r="B10580" s="12">
        <f ca="1">IFERROR(__xludf.DUMMYFUNCTION("""COMPUTED_VALUE"""),3703358)</f>
        <v>3703358</v>
      </c>
      <c r="C10580" s="14">
        <f ca="1">IFERROR(__xludf.DUMMYFUNCTION("""COMPUTED_VALUE"""),5)</f>
        <v>5</v>
      </c>
      <c r="D10580" s="12" t="str">
        <f ca="1">IFERROR(__xludf.DUMMYFUNCTION("""COMPUTED_VALUE"""),"柿崎 晃司")</f>
        <v>柿崎 晃司</v>
      </c>
    </row>
    <row r="10581" spans="2:4" ht="13">
      <c r="B10581" s="12">
        <f ca="1">IFERROR(__xludf.DUMMYFUNCTION("""COMPUTED_VALUE"""),3703359)</f>
        <v>3703359</v>
      </c>
      <c r="C10581" s="14">
        <f ca="1">IFERROR(__xludf.DUMMYFUNCTION("""COMPUTED_VALUE"""),5)</f>
        <v>5</v>
      </c>
      <c r="D10581" s="12" t="str">
        <f ca="1">IFERROR(__xludf.DUMMYFUNCTION("""COMPUTED_VALUE"""),"柿崎 晃司")</f>
        <v>柿崎 晃司</v>
      </c>
    </row>
    <row r="10582" spans="2:4" ht="13">
      <c r="B10582" s="12">
        <f ca="1">IFERROR(__xludf.DUMMYFUNCTION("""COMPUTED_VALUE"""),3703362)</f>
        <v>3703362</v>
      </c>
      <c r="C10582" s="14">
        <f ca="1">IFERROR(__xludf.DUMMYFUNCTION("""COMPUTED_VALUE"""),0)</f>
        <v>0</v>
      </c>
      <c r="D10582" s="12" t="str">
        <f ca="1">IFERROR(__xludf.DUMMYFUNCTION("""COMPUTED_VALUE"""),"柿崎 晃司")</f>
        <v>柿崎 晃司</v>
      </c>
    </row>
    <row r="10583" spans="2:4" ht="13">
      <c r="B10583" s="12">
        <f ca="1">IFERROR(__xludf.DUMMYFUNCTION("""COMPUTED_VALUE"""),3703363)</f>
        <v>3703363</v>
      </c>
      <c r="C10583" s="14">
        <f ca="1">IFERROR(__xludf.DUMMYFUNCTION("""COMPUTED_VALUE"""),8)</f>
        <v>8</v>
      </c>
      <c r="D10583" s="12" t="str">
        <f ca="1">IFERROR(__xludf.DUMMYFUNCTION("""COMPUTED_VALUE"""),"柿崎 晃司")</f>
        <v>柿崎 晃司</v>
      </c>
    </row>
    <row r="10584" spans="2:4" ht="13">
      <c r="B10584" s="12">
        <f ca="1">IFERROR(__xludf.DUMMYFUNCTION("""COMPUTED_VALUE"""),3703364)</f>
        <v>3703364</v>
      </c>
      <c r="C10584" s="14">
        <f ca="1">IFERROR(__xludf.DUMMYFUNCTION("""COMPUTED_VALUE"""),0)</f>
        <v>0</v>
      </c>
      <c r="D10584" s="12" t="str">
        <f ca="1">IFERROR(__xludf.DUMMYFUNCTION("""COMPUTED_VALUE"""),"柿崎 晃司")</f>
        <v>柿崎 晃司</v>
      </c>
    </row>
    <row r="10585" spans="2:4" ht="13">
      <c r="B10585" s="12">
        <f ca="1">IFERROR(__xludf.DUMMYFUNCTION("""COMPUTED_VALUE"""),3703365)</f>
        <v>3703365</v>
      </c>
      <c r="C10585" s="14">
        <f ca="1">IFERROR(__xludf.DUMMYFUNCTION("""COMPUTED_VALUE"""),1)</f>
        <v>1</v>
      </c>
      <c r="D10585" s="12" t="str">
        <f ca="1">IFERROR(__xludf.DUMMYFUNCTION("""COMPUTED_VALUE"""),"柿崎 晃司")</f>
        <v>柿崎 晃司</v>
      </c>
    </row>
    <row r="10586" spans="2:4" ht="13">
      <c r="B10586" s="12">
        <f ca="1">IFERROR(__xludf.DUMMYFUNCTION("""COMPUTED_VALUE"""),3703401)</f>
        <v>3703401</v>
      </c>
      <c r="C10586" s="14">
        <f ca="1">IFERROR(__xludf.DUMMYFUNCTION("""COMPUTED_VALUE"""),2)</f>
        <v>2</v>
      </c>
      <c r="D10586" s="12" t="str">
        <f ca="1">IFERROR(__xludf.DUMMYFUNCTION("""COMPUTED_VALUE"""),"柿崎 晃司")</f>
        <v>柿崎 晃司</v>
      </c>
    </row>
    <row r="10587" spans="2:4" ht="13">
      <c r="B10587" s="12">
        <f ca="1">IFERROR(__xludf.DUMMYFUNCTION("""COMPUTED_VALUE"""),3703402)</f>
        <v>3703402</v>
      </c>
      <c r="C10587" s="14">
        <f ca="1">IFERROR(__xludf.DUMMYFUNCTION("""COMPUTED_VALUE"""),5)</f>
        <v>5</v>
      </c>
      <c r="D10587" s="12" t="str">
        <f ca="1">IFERROR(__xludf.DUMMYFUNCTION("""COMPUTED_VALUE"""),"柿崎 晃司")</f>
        <v>柿崎 晃司</v>
      </c>
    </row>
    <row r="10588" spans="2:4" ht="13">
      <c r="B10588" s="12">
        <f ca="1">IFERROR(__xludf.DUMMYFUNCTION("""COMPUTED_VALUE"""),3703403)</f>
        <v>3703403</v>
      </c>
      <c r="C10588" s="14">
        <f ca="1">IFERROR(__xludf.DUMMYFUNCTION("""COMPUTED_VALUE"""),1)</f>
        <v>1</v>
      </c>
      <c r="D10588" s="12" t="str">
        <f ca="1">IFERROR(__xludf.DUMMYFUNCTION("""COMPUTED_VALUE"""),"柿崎 晃司")</f>
        <v>柿崎 晃司</v>
      </c>
    </row>
    <row r="10589" spans="2:4" ht="13">
      <c r="B10589" s="12">
        <f ca="1">IFERROR(__xludf.DUMMYFUNCTION("""COMPUTED_VALUE"""),3703408)</f>
        <v>3703408</v>
      </c>
      <c r="C10589" s="14">
        <f ca="1">IFERROR(__xludf.DUMMYFUNCTION("""COMPUTED_VALUE"""),4)</f>
        <v>4</v>
      </c>
      <c r="D10589" s="12" t="str">
        <f ca="1">IFERROR(__xludf.DUMMYFUNCTION("""COMPUTED_VALUE"""),"柿崎 晃司")</f>
        <v>柿崎 晃司</v>
      </c>
    </row>
    <row r="10590" spans="2:4" ht="13">
      <c r="B10590" s="12">
        <f ca="1">IFERROR(__xludf.DUMMYFUNCTION("""COMPUTED_VALUE"""),3703410)</f>
        <v>3703410</v>
      </c>
      <c r="C10590" s="14">
        <f ca="1">IFERROR(__xludf.DUMMYFUNCTION("""COMPUTED_VALUE"""),16)</f>
        <v>16</v>
      </c>
      <c r="D10590" s="12" t="str">
        <f ca="1">IFERROR(__xludf.DUMMYFUNCTION("""COMPUTED_VALUE"""),"柿崎 晃司")</f>
        <v>柿崎 晃司</v>
      </c>
    </row>
    <row r="10591" spans="2:4" ht="13">
      <c r="B10591" s="12">
        <f ca="1">IFERROR(__xludf.DUMMYFUNCTION("""COMPUTED_VALUE"""),3703427)</f>
        <v>3703427</v>
      </c>
      <c r="C10591" s="14">
        <f ca="1">IFERROR(__xludf.DUMMYFUNCTION("""COMPUTED_VALUE"""),0)</f>
        <v>0</v>
      </c>
      <c r="D10591" s="12" t="str">
        <f ca="1">IFERROR(__xludf.DUMMYFUNCTION("""COMPUTED_VALUE"""),"柿崎 晃司")</f>
        <v>柿崎 晃司</v>
      </c>
    </row>
    <row r="10592" spans="2:4" ht="13">
      <c r="B10592" s="12">
        <f ca="1">IFERROR(__xludf.DUMMYFUNCTION("""COMPUTED_VALUE"""),3703429)</f>
        <v>3703429</v>
      </c>
      <c r="C10592" s="14">
        <f ca="1">IFERROR(__xludf.DUMMYFUNCTION("""COMPUTED_VALUE"""),0)</f>
        <v>0</v>
      </c>
      <c r="D10592" s="12" t="str">
        <f ca="1">IFERROR(__xludf.DUMMYFUNCTION("""COMPUTED_VALUE"""),"柿崎 晃司")</f>
        <v>柿崎 晃司</v>
      </c>
    </row>
    <row r="10593" spans="2:4" ht="13">
      <c r="B10593" s="12">
        <f ca="1">IFERROR(__xludf.DUMMYFUNCTION("""COMPUTED_VALUE"""),3703430)</f>
        <v>3703430</v>
      </c>
      <c r="C10593" s="14">
        <f ca="1">IFERROR(__xludf.DUMMYFUNCTION("""COMPUTED_VALUE"""),5)</f>
        <v>5</v>
      </c>
      <c r="D10593" s="12" t="str">
        <f ca="1">IFERROR(__xludf.DUMMYFUNCTION("""COMPUTED_VALUE"""),"柿崎 晃司")</f>
        <v>柿崎 晃司</v>
      </c>
    </row>
    <row r="10594" spans="2:4" ht="13">
      <c r="B10594" s="12">
        <f ca="1">IFERROR(__xludf.DUMMYFUNCTION("""COMPUTED_VALUE"""),3703431)</f>
        <v>3703431</v>
      </c>
      <c r="C10594" s="14">
        <f ca="1">IFERROR(__xludf.DUMMYFUNCTION("""COMPUTED_VALUE"""),0)</f>
        <v>0</v>
      </c>
      <c r="D10594" s="12" t="str">
        <f ca="1">IFERROR(__xludf.DUMMYFUNCTION("""COMPUTED_VALUE"""),"柿崎 晃司")</f>
        <v>柿崎 晃司</v>
      </c>
    </row>
    <row r="10595" spans="2:4" ht="13">
      <c r="B10595" s="12">
        <f ca="1">IFERROR(__xludf.DUMMYFUNCTION("""COMPUTED_VALUE"""),3703435)</f>
        <v>3703435</v>
      </c>
      <c r="C10595" s="14">
        <f ca="1">IFERROR(__xludf.DUMMYFUNCTION("""COMPUTED_VALUE"""),28)</f>
        <v>28</v>
      </c>
      <c r="D10595" s="12" t="str">
        <f ca="1">IFERROR(__xludf.DUMMYFUNCTION("""COMPUTED_VALUE"""),"柿崎 晃司")</f>
        <v>柿崎 晃司</v>
      </c>
    </row>
    <row r="10596" spans="2:4" ht="13">
      <c r="B10596" s="12">
        <f ca="1">IFERROR(__xludf.DUMMYFUNCTION("""COMPUTED_VALUE"""),3703437)</f>
        <v>3703437</v>
      </c>
      <c r="C10596" s="14">
        <f ca="1">IFERROR(__xludf.DUMMYFUNCTION("""COMPUTED_VALUE"""),6)</f>
        <v>6</v>
      </c>
      <c r="D10596" s="12" t="str">
        <f ca="1">IFERROR(__xludf.DUMMYFUNCTION("""COMPUTED_VALUE"""),"柿崎 晃司")</f>
        <v>柿崎 晃司</v>
      </c>
    </row>
    <row r="10597" spans="2:4" ht="13">
      <c r="B10597" s="12">
        <f ca="1">IFERROR(__xludf.DUMMYFUNCTION("""COMPUTED_VALUE"""),3703441)</f>
        <v>3703441</v>
      </c>
      <c r="C10597" s="14">
        <f ca="1">IFERROR(__xludf.DUMMYFUNCTION("""COMPUTED_VALUE"""),2)</f>
        <v>2</v>
      </c>
      <c r="D10597" s="12" t="str">
        <f ca="1">IFERROR(__xludf.DUMMYFUNCTION("""COMPUTED_VALUE"""),"柿崎 晃司")</f>
        <v>柿崎 晃司</v>
      </c>
    </row>
    <row r="10598" spans="2:4" ht="13">
      <c r="B10598" s="12">
        <f ca="1">IFERROR(__xludf.DUMMYFUNCTION("""COMPUTED_VALUE"""),3703442)</f>
        <v>3703442</v>
      </c>
      <c r="C10598" s="14">
        <f ca="1">IFERROR(__xludf.DUMMYFUNCTION("""COMPUTED_VALUE"""),29)</f>
        <v>29</v>
      </c>
      <c r="D10598" s="12" t="str">
        <f ca="1">IFERROR(__xludf.DUMMYFUNCTION("""COMPUTED_VALUE"""),"柿崎 晃司")</f>
        <v>柿崎 晃司</v>
      </c>
    </row>
    <row r="10599" spans="2:4" ht="13">
      <c r="B10599" s="12">
        <f ca="1">IFERROR(__xludf.DUMMYFUNCTION("""COMPUTED_VALUE"""),3703443)</f>
        <v>3703443</v>
      </c>
      <c r="C10599" s="14">
        <f ca="1">IFERROR(__xludf.DUMMYFUNCTION("""COMPUTED_VALUE"""),5)</f>
        <v>5</v>
      </c>
      <c r="D10599" s="12" t="str">
        <f ca="1">IFERROR(__xludf.DUMMYFUNCTION("""COMPUTED_VALUE"""),"柿崎 晃司")</f>
        <v>柿崎 晃司</v>
      </c>
    </row>
    <row r="10600" spans="2:4" ht="13">
      <c r="B10600" s="12">
        <f ca="1">IFERROR(__xludf.DUMMYFUNCTION("""COMPUTED_VALUE"""),3703445)</f>
        <v>3703445</v>
      </c>
      <c r="C10600" s="14">
        <f ca="1">IFERROR(__xludf.DUMMYFUNCTION("""COMPUTED_VALUE"""),7)</f>
        <v>7</v>
      </c>
      <c r="D10600" s="12" t="str">
        <f ca="1">IFERROR(__xludf.DUMMYFUNCTION("""COMPUTED_VALUE"""),"柿崎 晃司")</f>
        <v>柿崎 晃司</v>
      </c>
    </row>
    <row r="10601" spans="2:4" ht="13">
      <c r="B10601" s="12">
        <f ca="1">IFERROR(__xludf.DUMMYFUNCTION("""COMPUTED_VALUE"""),3703446)</f>
        <v>3703446</v>
      </c>
      <c r="C10601" s="14">
        <f ca="1">IFERROR(__xludf.DUMMYFUNCTION("""COMPUTED_VALUE"""),6)</f>
        <v>6</v>
      </c>
      <c r="D10601" s="12" t="str">
        <f ca="1">IFERROR(__xludf.DUMMYFUNCTION("""COMPUTED_VALUE"""),"柿崎 晃司")</f>
        <v>柿崎 晃司</v>
      </c>
    </row>
    <row r="10602" spans="2:4" ht="13">
      <c r="B10602" s="12">
        <f ca="1">IFERROR(__xludf.DUMMYFUNCTION("""COMPUTED_VALUE"""),3703449)</f>
        <v>3703449</v>
      </c>
      <c r="C10602" s="14">
        <f ca="1">IFERROR(__xludf.DUMMYFUNCTION("""COMPUTED_VALUE"""),0)</f>
        <v>0</v>
      </c>
      <c r="D10602" s="12" t="str">
        <f ca="1">IFERROR(__xludf.DUMMYFUNCTION("""COMPUTED_VALUE"""),"柿崎 晃司")</f>
        <v>柿崎 晃司</v>
      </c>
    </row>
    <row r="10603" spans="2:4" ht="13">
      <c r="B10603" s="12">
        <f ca="1">IFERROR(__xludf.DUMMYFUNCTION("""COMPUTED_VALUE"""),3703450)</f>
        <v>3703450</v>
      </c>
      <c r="C10603" s="14">
        <f ca="1">IFERROR(__xludf.DUMMYFUNCTION("""COMPUTED_VALUE"""),11)</f>
        <v>11</v>
      </c>
      <c r="D10603" s="12" t="str">
        <f ca="1">IFERROR(__xludf.DUMMYFUNCTION("""COMPUTED_VALUE"""),"柿崎 晃司")</f>
        <v>柿崎 晃司</v>
      </c>
    </row>
    <row r="10604" spans="2:4" ht="13">
      <c r="B10604" s="12">
        <f ca="1">IFERROR(__xludf.DUMMYFUNCTION("""COMPUTED_VALUE"""),3703452)</f>
        <v>3703452</v>
      </c>
      <c r="C10604" s="14">
        <f ca="1">IFERROR(__xludf.DUMMYFUNCTION("""COMPUTED_VALUE"""),0)</f>
        <v>0</v>
      </c>
      <c r="D10604" s="12" t="str">
        <f ca="1">IFERROR(__xludf.DUMMYFUNCTION("""COMPUTED_VALUE"""),"柿崎 晃司")</f>
        <v>柿崎 晃司</v>
      </c>
    </row>
    <row r="10605" spans="2:4" ht="13">
      <c r="B10605" s="12">
        <f ca="1">IFERROR(__xludf.DUMMYFUNCTION("""COMPUTED_VALUE"""),3703453)</f>
        <v>3703453</v>
      </c>
      <c r="C10605" s="14">
        <f ca="1">IFERROR(__xludf.DUMMYFUNCTION("""COMPUTED_VALUE"""),0)</f>
        <v>0</v>
      </c>
      <c r="D10605" s="12" t="str">
        <f ca="1">IFERROR(__xludf.DUMMYFUNCTION("""COMPUTED_VALUE"""),"柿崎 晃司")</f>
        <v>柿崎 晃司</v>
      </c>
    </row>
    <row r="10606" spans="2:4" ht="13">
      <c r="B10606" s="12">
        <f ca="1">IFERROR(__xludf.DUMMYFUNCTION("""COMPUTED_VALUE"""),3703454)</f>
        <v>3703454</v>
      </c>
      <c r="C10606" s="14">
        <f ca="1">IFERROR(__xludf.DUMMYFUNCTION("""COMPUTED_VALUE"""),0)</f>
        <v>0</v>
      </c>
      <c r="D10606" s="12" t="str">
        <f ca="1">IFERROR(__xludf.DUMMYFUNCTION("""COMPUTED_VALUE"""),"柿崎 晃司")</f>
        <v>柿崎 晃司</v>
      </c>
    </row>
    <row r="10607" spans="2:4" ht="13">
      <c r="B10607" s="12">
        <f ca="1">IFERROR(__xludf.DUMMYFUNCTION("""COMPUTED_VALUE"""),3703458)</f>
        <v>3703458</v>
      </c>
      <c r="C10607" s="14">
        <f ca="1">IFERROR(__xludf.DUMMYFUNCTION("""COMPUTED_VALUE"""),0)</f>
        <v>0</v>
      </c>
      <c r="D10607" s="12" t="str">
        <f ca="1">IFERROR(__xludf.DUMMYFUNCTION("""COMPUTED_VALUE"""),"柿崎 晃司")</f>
        <v>柿崎 晃司</v>
      </c>
    </row>
    <row r="10608" spans="2:4" ht="13">
      <c r="B10608" s="12">
        <f ca="1">IFERROR(__xludf.DUMMYFUNCTION("""COMPUTED_VALUE"""),3703461)</f>
        <v>3703461</v>
      </c>
      <c r="C10608" s="14">
        <f ca="1">IFERROR(__xludf.DUMMYFUNCTION("""COMPUTED_VALUE"""),3)</f>
        <v>3</v>
      </c>
      <c r="D10608" s="12" t="str">
        <f ca="1">IFERROR(__xludf.DUMMYFUNCTION("""COMPUTED_VALUE"""),"柿崎 晃司")</f>
        <v>柿崎 晃司</v>
      </c>
    </row>
    <row r="10609" spans="2:4" ht="13">
      <c r="B10609" s="12">
        <f ca="1">IFERROR(__xludf.DUMMYFUNCTION("""COMPUTED_VALUE"""),3703462)</f>
        <v>3703462</v>
      </c>
      <c r="C10609" s="14">
        <f ca="1">IFERROR(__xludf.DUMMYFUNCTION("""COMPUTED_VALUE"""),5)</f>
        <v>5</v>
      </c>
      <c r="D10609" s="12" t="str">
        <f ca="1">IFERROR(__xludf.DUMMYFUNCTION("""COMPUTED_VALUE"""),"柿崎 晃司")</f>
        <v>柿崎 晃司</v>
      </c>
    </row>
    <row r="10610" spans="2:4" ht="13">
      <c r="B10610" s="12">
        <f ca="1">IFERROR(__xludf.DUMMYFUNCTION("""COMPUTED_VALUE"""),3703463)</f>
        <v>3703463</v>
      </c>
      <c r="C10610" s="14">
        <f ca="1">IFERROR(__xludf.DUMMYFUNCTION("""COMPUTED_VALUE"""),0)</f>
        <v>0</v>
      </c>
      <c r="D10610" s="12" t="str">
        <f ca="1">IFERROR(__xludf.DUMMYFUNCTION("""COMPUTED_VALUE"""),"柿崎 晃司")</f>
        <v>柿崎 晃司</v>
      </c>
    </row>
    <row r="10611" spans="2:4" ht="13">
      <c r="B10611" s="12">
        <f ca="1">IFERROR(__xludf.DUMMYFUNCTION("""COMPUTED_VALUE"""),3703477)</f>
        <v>3703477</v>
      </c>
      <c r="C10611" s="14">
        <f ca="1">IFERROR(__xludf.DUMMYFUNCTION("""COMPUTED_VALUE"""),3)</f>
        <v>3</v>
      </c>
      <c r="D10611" s="12" t="str">
        <f ca="1">IFERROR(__xludf.DUMMYFUNCTION("""COMPUTED_VALUE"""),"柿崎 晃司")</f>
        <v>柿崎 晃司</v>
      </c>
    </row>
    <row r="10612" spans="2:4" ht="13">
      <c r="B10612" s="12">
        <f ca="1">IFERROR(__xludf.DUMMYFUNCTION("""COMPUTED_VALUE"""),3703478)</f>
        <v>3703478</v>
      </c>
      <c r="C10612" s="14">
        <f ca="1">IFERROR(__xludf.DUMMYFUNCTION("""COMPUTED_VALUE"""),7)</f>
        <v>7</v>
      </c>
      <c r="D10612" s="12" t="str">
        <f ca="1">IFERROR(__xludf.DUMMYFUNCTION("""COMPUTED_VALUE"""),"柿崎 晃司")</f>
        <v>柿崎 晃司</v>
      </c>
    </row>
    <row r="10613" spans="2:4" ht="13">
      <c r="B10613" s="12">
        <f ca="1">IFERROR(__xludf.DUMMYFUNCTION("""COMPUTED_VALUE"""),3703479)</f>
        <v>3703479</v>
      </c>
      <c r="C10613" s="14">
        <f ca="1">IFERROR(__xludf.DUMMYFUNCTION("""COMPUTED_VALUE"""),23)</f>
        <v>23</v>
      </c>
      <c r="D10613" s="12" t="str">
        <f ca="1">IFERROR(__xludf.DUMMYFUNCTION("""COMPUTED_VALUE"""),"柿崎 晃司")</f>
        <v>柿崎 晃司</v>
      </c>
    </row>
    <row r="10614" spans="2:4" ht="13">
      <c r="B10614" s="12">
        <f ca="1">IFERROR(__xludf.DUMMYFUNCTION("""COMPUTED_VALUE"""),3703480)</f>
        <v>3703480</v>
      </c>
      <c r="C10614" s="14">
        <f ca="1">IFERROR(__xludf.DUMMYFUNCTION("""COMPUTED_VALUE"""),28)</f>
        <v>28</v>
      </c>
      <c r="D10614" s="12" t="str">
        <f ca="1">IFERROR(__xludf.DUMMYFUNCTION("""COMPUTED_VALUE"""),"柿崎 晃司")</f>
        <v>柿崎 晃司</v>
      </c>
    </row>
    <row r="10615" spans="2:4" ht="13">
      <c r="B10615" s="12">
        <f ca="1">IFERROR(__xludf.DUMMYFUNCTION("""COMPUTED_VALUE"""),3703481)</f>
        <v>3703481</v>
      </c>
      <c r="C10615" s="14">
        <f ca="1">IFERROR(__xludf.DUMMYFUNCTION("""COMPUTED_VALUE"""),0)</f>
        <v>0</v>
      </c>
      <c r="D10615" s="12" t="str">
        <f ca="1">IFERROR(__xludf.DUMMYFUNCTION("""COMPUTED_VALUE"""),"柿崎 晃司")</f>
        <v>柿崎 晃司</v>
      </c>
    </row>
    <row r="10616" spans="2:4" ht="13">
      <c r="B10616" s="12">
        <f ca="1">IFERROR(__xludf.DUMMYFUNCTION("""COMPUTED_VALUE"""),3703482)</f>
        <v>3703482</v>
      </c>
      <c r="C10616" s="14">
        <f ca="1">IFERROR(__xludf.DUMMYFUNCTION("""COMPUTED_VALUE"""),0)</f>
        <v>0</v>
      </c>
      <c r="D10616" s="12" t="str">
        <f ca="1">IFERROR(__xludf.DUMMYFUNCTION("""COMPUTED_VALUE"""),"柿崎 晃司")</f>
        <v>柿崎 晃司</v>
      </c>
    </row>
    <row r="10617" spans="2:4" ht="13">
      <c r="B10617" s="12">
        <f ca="1">IFERROR(__xludf.DUMMYFUNCTION("""COMPUTED_VALUE"""),3703483)</f>
        <v>3703483</v>
      </c>
      <c r="C10617" s="14">
        <f ca="1">IFERROR(__xludf.DUMMYFUNCTION("""COMPUTED_VALUE"""),10)</f>
        <v>10</v>
      </c>
      <c r="D10617" s="12" t="str">
        <f ca="1">IFERROR(__xludf.DUMMYFUNCTION("""COMPUTED_VALUE"""),"柿崎 晃司")</f>
        <v>柿崎 晃司</v>
      </c>
    </row>
    <row r="10618" spans="2:4" ht="13">
      <c r="B10618" s="12">
        <f ca="1">IFERROR(__xludf.DUMMYFUNCTION("""COMPUTED_VALUE"""),3703484)</f>
        <v>3703484</v>
      </c>
      <c r="C10618" s="14">
        <f ca="1">IFERROR(__xludf.DUMMYFUNCTION("""COMPUTED_VALUE"""),0)</f>
        <v>0</v>
      </c>
      <c r="D10618" s="12" t="str">
        <f ca="1">IFERROR(__xludf.DUMMYFUNCTION("""COMPUTED_VALUE"""),"柿崎 晃司")</f>
        <v>柿崎 晃司</v>
      </c>
    </row>
    <row r="10619" spans="2:4" ht="13">
      <c r="B10619" s="12">
        <f ca="1">IFERROR(__xludf.DUMMYFUNCTION("""COMPUTED_VALUE"""),3703485)</f>
        <v>3703485</v>
      </c>
      <c r="C10619" s="14">
        <f ca="1">IFERROR(__xludf.DUMMYFUNCTION("""COMPUTED_VALUE"""),2)</f>
        <v>2</v>
      </c>
      <c r="D10619" s="12" t="str">
        <f ca="1">IFERROR(__xludf.DUMMYFUNCTION("""COMPUTED_VALUE"""),"柿崎 晃司")</f>
        <v>柿崎 晃司</v>
      </c>
    </row>
    <row r="10620" spans="2:4" ht="13">
      <c r="B10620" s="12">
        <f ca="1">IFERROR(__xludf.DUMMYFUNCTION("""COMPUTED_VALUE"""),3703486)</f>
        <v>3703486</v>
      </c>
      <c r="C10620" s="14">
        <f ca="1">IFERROR(__xludf.DUMMYFUNCTION("""COMPUTED_VALUE"""),0)</f>
        <v>0</v>
      </c>
      <c r="D10620" s="12" t="str">
        <f ca="1">IFERROR(__xludf.DUMMYFUNCTION("""COMPUTED_VALUE"""),"柿崎 晃司")</f>
        <v>柿崎 晃司</v>
      </c>
    </row>
    <row r="10621" spans="2:4" ht="13">
      <c r="B10621" s="12">
        <f ca="1">IFERROR(__xludf.DUMMYFUNCTION("""COMPUTED_VALUE"""),3703488)</f>
        <v>3703488</v>
      </c>
      <c r="C10621" s="14">
        <f ca="1">IFERROR(__xludf.DUMMYFUNCTION("""COMPUTED_VALUE"""),29)</f>
        <v>29</v>
      </c>
      <c r="D10621" s="12" t="str">
        <f ca="1">IFERROR(__xludf.DUMMYFUNCTION("""COMPUTED_VALUE"""),"柿崎 晃司")</f>
        <v>柿崎 晃司</v>
      </c>
    </row>
    <row r="10622" spans="2:4" ht="13">
      <c r="B10622" s="12">
        <f ca="1">IFERROR(__xludf.DUMMYFUNCTION("""COMPUTED_VALUE"""),3703489)</f>
        <v>3703489</v>
      </c>
      <c r="C10622" s="14">
        <f ca="1">IFERROR(__xludf.DUMMYFUNCTION("""COMPUTED_VALUE"""),0)</f>
        <v>0</v>
      </c>
      <c r="D10622" s="12" t="str">
        <f ca="1">IFERROR(__xludf.DUMMYFUNCTION("""COMPUTED_VALUE"""),"柿崎 晃司")</f>
        <v>柿崎 晃司</v>
      </c>
    </row>
    <row r="10623" spans="2:4" ht="13">
      <c r="B10623" s="12">
        <f ca="1">IFERROR(__xludf.DUMMYFUNCTION("""COMPUTED_VALUE"""),3703491)</f>
        <v>3703491</v>
      </c>
      <c r="C10623" s="14">
        <f ca="1">IFERROR(__xludf.DUMMYFUNCTION("""COMPUTED_VALUE"""),0)</f>
        <v>0</v>
      </c>
      <c r="D10623" s="12" t="str">
        <f ca="1">IFERROR(__xludf.DUMMYFUNCTION("""COMPUTED_VALUE"""),"柿崎 晃司")</f>
        <v>柿崎 晃司</v>
      </c>
    </row>
    <row r="10624" spans="2:4" ht="13">
      <c r="B10624" s="12">
        <f ca="1">IFERROR(__xludf.DUMMYFUNCTION("""COMPUTED_VALUE"""),3703492)</f>
        <v>3703492</v>
      </c>
      <c r="C10624" s="14">
        <f ca="1">IFERROR(__xludf.DUMMYFUNCTION("""COMPUTED_VALUE"""),0)</f>
        <v>0</v>
      </c>
      <c r="D10624" s="12" t="str">
        <f ca="1">IFERROR(__xludf.DUMMYFUNCTION("""COMPUTED_VALUE"""),"柿崎 晃司")</f>
        <v>柿崎 晃司</v>
      </c>
    </row>
    <row r="10625" spans="2:4" ht="13">
      <c r="B10625" s="12">
        <f ca="1">IFERROR(__xludf.DUMMYFUNCTION("""COMPUTED_VALUE"""),3703496)</f>
        <v>3703496</v>
      </c>
      <c r="C10625" s="14">
        <f ca="1">IFERROR(__xludf.DUMMYFUNCTION("""COMPUTED_VALUE"""),8)</f>
        <v>8</v>
      </c>
      <c r="D10625" s="12" t="str">
        <f ca="1">IFERROR(__xludf.DUMMYFUNCTION("""COMPUTED_VALUE"""),"柿崎 晃司")</f>
        <v>柿崎 晃司</v>
      </c>
    </row>
    <row r="10626" spans="2:4" ht="13">
      <c r="B10626" s="12">
        <f ca="1">IFERROR(__xludf.DUMMYFUNCTION("""COMPUTED_VALUE"""),3703497)</f>
        <v>3703497</v>
      </c>
      <c r="C10626" s="14">
        <f ca="1">IFERROR(__xludf.DUMMYFUNCTION("""COMPUTED_VALUE"""),4)</f>
        <v>4</v>
      </c>
      <c r="D10626" s="12" t="str">
        <f ca="1">IFERROR(__xludf.DUMMYFUNCTION("""COMPUTED_VALUE"""),"柿崎 晃司")</f>
        <v>柿崎 晃司</v>
      </c>
    </row>
    <row r="10627" spans="2:4" ht="13">
      <c r="B10627" s="12">
        <f ca="1">IFERROR(__xludf.DUMMYFUNCTION("""COMPUTED_VALUE"""),3703498)</f>
        <v>3703498</v>
      </c>
      <c r="C10627" s="14">
        <f ca="1">IFERROR(__xludf.DUMMYFUNCTION("""COMPUTED_VALUE"""),11)</f>
        <v>11</v>
      </c>
      <c r="D10627" s="12" t="str">
        <f ca="1">IFERROR(__xludf.DUMMYFUNCTION("""COMPUTED_VALUE"""),"柿崎 晃司")</f>
        <v>柿崎 晃司</v>
      </c>
    </row>
    <row r="10628" spans="2:4" ht="13">
      <c r="B10628" s="12">
        <f ca="1">IFERROR(__xludf.DUMMYFUNCTION("""COMPUTED_VALUE"""),3703500)</f>
        <v>3703500</v>
      </c>
      <c r="C10628" s="14">
        <f ca="1">IFERROR(__xludf.DUMMYFUNCTION("""COMPUTED_VALUE"""),3)</f>
        <v>3</v>
      </c>
      <c r="D10628" s="12" t="str">
        <f ca="1">IFERROR(__xludf.DUMMYFUNCTION("""COMPUTED_VALUE"""),"柿崎 晃司")</f>
        <v>柿崎 晃司</v>
      </c>
    </row>
    <row r="10629" spans="2:4" ht="13">
      <c r="B10629" s="12">
        <f ca="1">IFERROR(__xludf.DUMMYFUNCTION("""COMPUTED_VALUE"""),3703501)</f>
        <v>3703501</v>
      </c>
      <c r="C10629" s="14">
        <f ca="1">IFERROR(__xludf.DUMMYFUNCTION("""COMPUTED_VALUE"""),5)</f>
        <v>5</v>
      </c>
      <c r="D10629" s="12" t="str">
        <f ca="1">IFERROR(__xludf.DUMMYFUNCTION("""COMPUTED_VALUE"""),"柿崎 晃司")</f>
        <v>柿崎 晃司</v>
      </c>
    </row>
    <row r="10630" spans="2:4" ht="13">
      <c r="B10630" s="12">
        <f ca="1">IFERROR(__xludf.DUMMYFUNCTION("""COMPUTED_VALUE"""),3703503)</f>
        <v>3703503</v>
      </c>
      <c r="C10630" s="14">
        <f ca="1">IFERROR(__xludf.DUMMYFUNCTION("""COMPUTED_VALUE"""),16)</f>
        <v>16</v>
      </c>
      <c r="D10630" s="12" t="str">
        <f ca="1">IFERROR(__xludf.DUMMYFUNCTION("""COMPUTED_VALUE"""),"柿崎 晃司")</f>
        <v>柿崎 晃司</v>
      </c>
    </row>
    <row r="10631" spans="2:4" ht="13">
      <c r="B10631" s="12">
        <f ca="1">IFERROR(__xludf.DUMMYFUNCTION("""COMPUTED_VALUE"""),3703505)</f>
        <v>3703505</v>
      </c>
      <c r="C10631" s="14">
        <f ca="1">IFERROR(__xludf.DUMMYFUNCTION("""COMPUTED_VALUE"""),2)</f>
        <v>2</v>
      </c>
      <c r="D10631" s="12" t="str">
        <f ca="1">IFERROR(__xludf.DUMMYFUNCTION("""COMPUTED_VALUE"""),"柿崎 晃司")</f>
        <v>柿崎 晃司</v>
      </c>
    </row>
    <row r="10632" spans="2:4" ht="13">
      <c r="B10632" s="12">
        <f ca="1">IFERROR(__xludf.DUMMYFUNCTION("""COMPUTED_VALUE"""),3703506)</f>
        <v>3703506</v>
      </c>
      <c r="C10632" s="14">
        <f ca="1">IFERROR(__xludf.DUMMYFUNCTION("""COMPUTED_VALUE"""),0)</f>
        <v>0</v>
      </c>
      <c r="D10632" s="12" t="str">
        <f ca="1">IFERROR(__xludf.DUMMYFUNCTION("""COMPUTED_VALUE"""),"柿崎 晃司")</f>
        <v>柿崎 晃司</v>
      </c>
    </row>
    <row r="10633" spans="2:4" ht="13">
      <c r="B10633" s="12">
        <f ca="1">IFERROR(__xludf.DUMMYFUNCTION("""COMPUTED_VALUE"""),3703507)</f>
        <v>3703507</v>
      </c>
      <c r="C10633" s="14">
        <f ca="1">IFERROR(__xludf.DUMMYFUNCTION("""COMPUTED_VALUE"""),4)</f>
        <v>4</v>
      </c>
      <c r="D10633" s="12" t="str">
        <f ca="1">IFERROR(__xludf.DUMMYFUNCTION("""COMPUTED_VALUE"""),"柿崎 晃司")</f>
        <v>柿崎 晃司</v>
      </c>
    </row>
    <row r="10634" spans="2:4" ht="13">
      <c r="B10634" s="12">
        <f ca="1">IFERROR(__xludf.DUMMYFUNCTION("""COMPUTED_VALUE"""),3703508)</f>
        <v>3703508</v>
      </c>
      <c r="C10634" s="14">
        <f ca="1">IFERROR(__xludf.DUMMYFUNCTION("""COMPUTED_VALUE"""),6)</f>
        <v>6</v>
      </c>
      <c r="D10634" s="12" t="str">
        <f ca="1">IFERROR(__xludf.DUMMYFUNCTION("""COMPUTED_VALUE"""),"柿崎 晃司")</f>
        <v>柿崎 晃司</v>
      </c>
    </row>
    <row r="10635" spans="2:4" ht="13">
      <c r="B10635" s="12">
        <f ca="1">IFERROR(__xludf.DUMMYFUNCTION("""COMPUTED_VALUE"""),3703509)</f>
        <v>3703509</v>
      </c>
      <c r="C10635" s="14">
        <f ca="1">IFERROR(__xludf.DUMMYFUNCTION("""COMPUTED_VALUE"""),2)</f>
        <v>2</v>
      </c>
      <c r="D10635" s="12" t="str">
        <f ca="1">IFERROR(__xludf.DUMMYFUNCTION("""COMPUTED_VALUE"""),"柿崎 晃司")</f>
        <v>柿崎 晃司</v>
      </c>
    </row>
    <row r="10636" spans="2:4" ht="13">
      <c r="B10636" s="12">
        <f ca="1">IFERROR(__xludf.DUMMYFUNCTION("""COMPUTED_VALUE"""),3703511)</f>
        <v>3703511</v>
      </c>
      <c r="C10636" s="14">
        <f ca="1">IFERROR(__xludf.DUMMYFUNCTION("""COMPUTED_VALUE"""),16)</f>
        <v>16</v>
      </c>
      <c r="D10636" s="12" t="str">
        <f ca="1">IFERROR(__xludf.DUMMYFUNCTION("""COMPUTED_VALUE"""),"柿崎 晃司")</f>
        <v>柿崎 晃司</v>
      </c>
    </row>
    <row r="10637" spans="2:4" ht="13">
      <c r="B10637" s="12">
        <f ca="1">IFERROR(__xludf.DUMMYFUNCTION("""COMPUTED_VALUE"""),3703512)</f>
        <v>3703512</v>
      </c>
      <c r="C10637" s="14">
        <f ca="1">IFERROR(__xludf.DUMMYFUNCTION("""COMPUTED_VALUE"""),4)</f>
        <v>4</v>
      </c>
      <c r="D10637" s="12" t="str">
        <f ca="1">IFERROR(__xludf.DUMMYFUNCTION("""COMPUTED_VALUE"""),"柿崎 晃司")</f>
        <v>柿崎 晃司</v>
      </c>
    </row>
    <row r="10638" spans="2:4" ht="13">
      <c r="B10638" s="12">
        <f ca="1">IFERROR(__xludf.DUMMYFUNCTION("""COMPUTED_VALUE"""),3703513)</f>
        <v>3703513</v>
      </c>
      <c r="C10638" s="14">
        <f ca="1">IFERROR(__xludf.DUMMYFUNCTION("""COMPUTED_VALUE"""),4)</f>
        <v>4</v>
      </c>
      <c r="D10638" s="12" t="str">
        <f ca="1">IFERROR(__xludf.DUMMYFUNCTION("""COMPUTED_VALUE"""),"柿崎 晃司")</f>
        <v>柿崎 晃司</v>
      </c>
    </row>
    <row r="10639" spans="2:4" ht="13">
      <c r="B10639" s="12">
        <f ca="1">IFERROR(__xludf.DUMMYFUNCTION("""COMPUTED_VALUE"""),3703514)</f>
        <v>3703514</v>
      </c>
      <c r="C10639" s="14">
        <f ca="1">IFERROR(__xludf.DUMMYFUNCTION("""COMPUTED_VALUE"""),12)</f>
        <v>12</v>
      </c>
      <c r="D10639" s="12" t="str">
        <f ca="1">IFERROR(__xludf.DUMMYFUNCTION("""COMPUTED_VALUE"""),"柿崎 晃司")</f>
        <v>柿崎 晃司</v>
      </c>
    </row>
    <row r="10640" spans="2:4" ht="13">
      <c r="B10640" s="12">
        <f ca="1">IFERROR(__xludf.DUMMYFUNCTION("""COMPUTED_VALUE"""),3703515)</f>
        <v>3703515</v>
      </c>
      <c r="C10640" s="14">
        <f ca="1">IFERROR(__xludf.DUMMYFUNCTION("""COMPUTED_VALUE"""),7)</f>
        <v>7</v>
      </c>
      <c r="D10640" s="12" t="str">
        <f ca="1">IFERROR(__xludf.DUMMYFUNCTION("""COMPUTED_VALUE"""),"柿崎 晃司")</f>
        <v>柿崎 晃司</v>
      </c>
    </row>
    <row r="10641" spans="2:4" ht="13">
      <c r="B10641" s="12">
        <f ca="1">IFERROR(__xludf.DUMMYFUNCTION("""COMPUTED_VALUE"""),3703516)</f>
        <v>3703516</v>
      </c>
      <c r="C10641" s="14">
        <f ca="1">IFERROR(__xludf.DUMMYFUNCTION("""COMPUTED_VALUE"""),7)</f>
        <v>7</v>
      </c>
      <c r="D10641" s="12" t="str">
        <f ca="1">IFERROR(__xludf.DUMMYFUNCTION("""COMPUTED_VALUE"""),"柿崎 晃司")</f>
        <v>柿崎 晃司</v>
      </c>
    </row>
    <row r="10642" spans="2:4" ht="13">
      <c r="B10642" s="12">
        <f ca="1">IFERROR(__xludf.DUMMYFUNCTION("""COMPUTED_VALUE"""),3703517)</f>
        <v>3703517</v>
      </c>
      <c r="C10642" s="14">
        <f ca="1">IFERROR(__xludf.DUMMYFUNCTION("""COMPUTED_VALUE"""),2)</f>
        <v>2</v>
      </c>
      <c r="D10642" s="12" t="str">
        <f ca="1">IFERROR(__xludf.DUMMYFUNCTION("""COMPUTED_VALUE"""),"柿崎 晃司")</f>
        <v>柿崎 晃司</v>
      </c>
    </row>
    <row r="10643" spans="2:4" ht="13">
      <c r="B10643" s="12">
        <f ca="1">IFERROR(__xludf.DUMMYFUNCTION("""COMPUTED_VALUE"""),3703521)</f>
        <v>3703521</v>
      </c>
      <c r="C10643" s="14">
        <f ca="1">IFERROR(__xludf.DUMMYFUNCTION("""COMPUTED_VALUE"""),6)</f>
        <v>6</v>
      </c>
      <c r="D10643" s="12" t="str">
        <f ca="1">IFERROR(__xludf.DUMMYFUNCTION("""COMPUTED_VALUE"""),"柿崎 晃司")</f>
        <v>柿崎 晃司</v>
      </c>
    </row>
    <row r="10644" spans="2:4" ht="13">
      <c r="B10644" s="12">
        <f ca="1">IFERROR(__xludf.DUMMYFUNCTION("""COMPUTED_VALUE"""),3703531)</f>
        <v>3703531</v>
      </c>
      <c r="C10644" s="14">
        <f ca="1">IFERROR(__xludf.DUMMYFUNCTION("""COMPUTED_VALUE"""),43)</f>
        <v>43</v>
      </c>
      <c r="D10644" s="12" t="str">
        <f ca="1">IFERROR(__xludf.DUMMYFUNCTION("""COMPUTED_VALUE"""),"柿崎 晃司")</f>
        <v>柿崎 晃司</v>
      </c>
    </row>
    <row r="10645" spans="2:4" ht="13">
      <c r="B10645" s="12">
        <f ca="1">IFERROR(__xludf.DUMMYFUNCTION("""COMPUTED_VALUE"""),3703535)</f>
        <v>3703535</v>
      </c>
      <c r="C10645" s="14">
        <f ca="1">IFERROR(__xludf.DUMMYFUNCTION("""COMPUTED_VALUE"""),13)</f>
        <v>13</v>
      </c>
      <c r="D10645" s="12" t="str">
        <f ca="1">IFERROR(__xludf.DUMMYFUNCTION("""COMPUTED_VALUE"""),"柿崎 晃司")</f>
        <v>柿崎 晃司</v>
      </c>
    </row>
    <row r="10646" spans="2:4" ht="13">
      <c r="B10646" s="12">
        <f ca="1">IFERROR(__xludf.DUMMYFUNCTION("""COMPUTED_VALUE"""),3703537)</f>
        <v>3703537</v>
      </c>
      <c r="C10646" s="14">
        <f ca="1">IFERROR(__xludf.DUMMYFUNCTION("""COMPUTED_VALUE"""),10)</f>
        <v>10</v>
      </c>
      <c r="D10646" s="12" t="str">
        <f ca="1">IFERROR(__xludf.DUMMYFUNCTION("""COMPUTED_VALUE"""),"柿崎 晃司")</f>
        <v>柿崎 晃司</v>
      </c>
    </row>
    <row r="10647" spans="2:4" ht="13">
      <c r="B10647" s="12">
        <f ca="1">IFERROR(__xludf.DUMMYFUNCTION("""COMPUTED_VALUE"""),3703538)</f>
        <v>3703538</v>
      </c>
      <c r="C10647" s="14">
        <f ca="1">IFERROR(__xludf.DUMMYFUNCTION("""COMPUTED_VALUE"""),1)</f>
        <v>1</v>
      </c>
      <c r="D10647" s="12" t="str">
        <f ca="1">IFERROR(__xludf.DUMMYFUNCTION("""COMPUTED_VALUE"""),"柿崎 晃司")</f>
        <v>柿崎 晃司</v>
      </c>
    </row>
    <row r="10648" spans="2:4" ht="13">
      <c r="B10648" s="12">
        <f ca="1">IFERROR(__xludf.DUMMYFUNCTION("""COMPUTED_VALUE"""),3703540)</f>
        <v>3703540</v>
      </c>
      <c r="C10648" s="14">
        <f ca="1">IFERROR(__xludf.DUMMYFUNCTION("""COMPUTED_VALUE"""),4)</f>
        <v>4</v>
      </c>
      <c r="D10648" s="12" t="str">
        <f ca="1">IFERROR(__xludf.DUMMYFUNCTION("""COMPUTED_VALUE"""),"柿崎 晃司")</f>
        <v>柿崎 晃司</v>
      </c>
    </row>
    <row r="10649" spans="2:4" ht="13">
      <c r="B10649" s="12">
        <f ca="1">IFERROR(__xludf.DUMMYFUNCTION("""COMPUTED_VALUE"""),3703541)</f>
        <v>3703541</v>
      </c>
      <c r="C10649" s="14">
        <f ca="1">IFERROR(__xludf.DUMMYFUNCTION("""COMPUTED_VALUE"""),0)</f>
        <v>0</v>
      </c>
      <c r="D10649" s="12" t="str">
        <f ca="1">IFERROR(__xludf.DUMMYFUNCTION("""COMPUTED_VALUE"""),"柿崎 晃司")</f>
        <v>柿崎 晃司</v>
      </c>
    </row>
    <row r="10650" spans="2:4" ht="13">
      <c r="B10650" s="12">
        <f ca="1">IFERROR(__xludf.DUMMYFUNCTION("""COMPUTED_VALUE"""),3703542)</f>
        <v>3703542</v>
      </c>
      <c r="C10650" s="14">
        <f ca="1">IFERROR(__xludf.DUMMYFUNCTION("""COMPUTED_VALUE"""),24)</f>
        <v>24</v>
      </c>
      <c r="D10650" s="12" t="str">
        <f ca="1">IFERROR(__xludf.DUMMYFUNCTION("""COMPUTED_VALUE"""),"柿崎 晃司")</f>
        <v>柿崎 晃司</v>
      </c>
    </row>
    <row r="10651" spans="2:4" ht="13">
      <c r="B10651" s="12">
        <f ca="1">IFERROR(__xludf.DUMMYFUNCTION("""COMPUTED_VALUE"""),3703543)</f>
        <v>3703543</v>
      </c>
      <c r="C10651" s="14">
        <f ca="1">IFERROR(__xludf.DUMMYFUNCTION("""COMPUTED_VALUE"""),15)</f>
        <v>15</v>
      </c>
      <c r="D10651" s="12" t="str">
        <f ca="1">IFERROR(__xludf.DUMMYFUNCTION("""COMPUTED_VALUE"""),"柿崎 晃司")</f>
        <v>柿崎 晃司</v>
      </c>
    </row>
    <row r="10652" spans="2:4" ht="13">
      <c r="B10652" s="12">
        <f ca="1">IFERROR(__xludf.DUMMYFUNCTION("""COMPUTED_VALUE"""),3703544)</f>
        <v>3703544</v>
      </c>
      <c r="C10652" s="14">
        <f ca="1">IFERROR(__xludf.DUMMYFUNCTION("""COMPUTED_VALUE"""),7)</f>
        <v>7</v>
      </c>
      <c r="D10652" s="12" t="str">
        <f ca="1">IFERROR(__xludf.DUMMYFUNCTION("""COMPUTED_VALUE"""),"柿崎 晃司")</f>
        <v>柿崎 晃司</v>
      </c>
    </row>
    <row r="10653" spans="2:4" ht="13">
      <c r="B10653" s="12">
        <f ca="1">IFERROR(__xludf.DUMMYFUNCTION("""COMPUTED_VALUE"""),3703545)</f>
        <v>3703545</v>
      </c>
      <c r="C10653" s="14">
        <f ca="1">IFERROR(__xludf.DUMMYFUNCTION("""COMPUTED_VALUE"""),10)</f>
        <v>10</v>
      </c>
      <c r="D10653" s="12" t="str">
        <f ca="1">IFERROR(__xludf.DUMMYFUNCTION("""COMPUTED_VALUE"""),"柿崎 晃司")</f>
        <v>柿崎 晃司</v>
      </c>
    </row>
    <row r="10654" spans="2:4" ht="13">
      <c r="B10654" s="12">
        <f ca="1">IFERROR(__xludf.DUMMYFUNCTION("""COMPUTED_VALUE"""),3703546)</f>
        <v>3703546</v>
      </c>
      <c r="C10654" s="14">
        <f ca="1">IFERROR(__xludf.DUMMYFUNCTION("""COMPUTED_VALUE"""),2)</f>
        <v>2</v>
      </c>
      <c r="D10654" s="12" t="str">
        <f ca="1">IFERROR(__xludf.DUMMYFUNCTION("""COMPUTED_VALUE"""),"柿崎 晃司")</f>
        <v>柿崎 晃司</v>
      </c>
    </row>
    <row r="10655" spans="2:4" ht="13">
      <c r="B10655" s="12">
        <f ca="1">IFERROR(__xludf.DUMMYFUNCTION("""COMPUTED_VALUE"""),3703548)</f>
        <v>3703548</v>
      </c>
      <c r="C10655" s="14">
        <f ca="1">IFERROR(__xludf.DUMMYFUNCTION("""COMPUTED_VALUE"""),13)</f>
        <v>13</v>
      </c>
      <c r="D10655" s="12" t="str">
        <f ca="1">IFERROR(__xludf.DUMMYFUNCTION("""COMPUTED_VALUE"""),"柿崎 晃司")</f>
        <v>柿崎 晃司</v>
      </c>
    </row>
    <row r="10656" spans="2:4" ht="13">
      <c r="B10656" s="12">
        <f ca="1">IFERROR(__xludf.DUMMYFUNCTION("""COMPUTED_VALUE"""),3703550)</f>
        <v>3703550</v>
      </c>
      <c r="C10656" s="14">
        <f ca="1">IFERROR(__xludf.DUMMYFUNCTION("""COMPUTED_VALUE"""),0)</f>
        <v>0</v>
      </c>
      <c r="D10656" s="12" t="str">
        <f ca="1">IFERROR(__xludf.DUMMYFUNCTION("""COMPUTED_VALUE"""),"柿崎 晃司")</f>
        <v>柿崎 晃司</v>
      </c>
    </row>
    <row r="10657" spans="2:4" ht="13">
      <c r="B10657" s="12">
        <f ca="1">IFERROR(__xludf.DUMMYFUNCTION("""COMPUTED_VALUE"""),3703551)</f>
        <v>3703551</v>
      </c>
      <c r="C10657" s="14">
        <f ca="1">IFERROR(__xludf.DUMMYFUNCTION("""COMPUTED_VALUE"""),22)</f>
        <v>22</v>
      </c>
      <c r="D10657" s="12" t="str">
        <f ca="1">IFERROR(__xludf.DUMMYFUNCTION("""COMPUTED_VALUE"""),"柿崎 晃司")</f>
        <v>柿崎 晃司</v>
      </c>
    </row>
    <row r="10658" spans="2:4" ht="13">
      <c r="B10658" s="12">
        <f ca="1">IFERROR(__xludf.DUMMYFUNCTION("""COMPUTED_VALUE"""),3703553)</f>
        <v>3703553</v>
      </c>
      <c r="C10658" s="14">
        <f ca="1">IFERROR(__xludf.DUMMYFUNCTION("""COMPUTED_VALUE"""),2)</f>
        <v>2</v>
      </c>
      <c r="D10658" s="12" t="str">
        <f ca="1">IFERROR(__xludf.DUMMYFUNCTION("""COMPUTED_VALUE"""),"柿崎 晃司")</f>
        <v>柿崎 晃司</v>
      </c>
    </row>
    <row r="10659" spans="2:4" ht="13">
      <c r="B10659" s="12">
        <f ca="1">IFERROR(__xludf.DUMMYFUNCTION("""COMPUTED_VALUE"""),3703554)</f>
        <v>3703554</v>
      </c>
      <c r="C10659" s="14">
        <f ca="1">IFERROR(__xludf.DUMMYFUNCTION("""COMPUTED_VALUE"""),0)</f>
        <v>0</v>
      </c>
      <c r="D10659" s="12" t="str">
        <f ca="1">IFERROR(__xludf.DUMMYFUNCTION("""COMPUTED_VALUE"""),"柿崎 晃司")</f>
        <v>柿崎 晃司</v>
      </c>
    </row>
    <row r="10660" spans="2:4" ht="13">
      <c r="B10660" s="12">
        <f ca="1">IFERROR(__xludf.DUMMYFUNCTION("""COMPUTED_VALUE"""),3703555)</f>
        <v>3703555</v>
      </c>
      <c r="C10660" s="14">
        <f ca="1">IFERROR(__xludf.DUMMYFUNCTION("""COMPUTED_VALUE"""),2)</f>
        <v>2</v>
      </c>
      <c r="D10660" s="12" t="str">
        <f ca="1">IFERROR(__xludf.DUMMYFUNCTION("""COMPUTED_VALUE"""),"柿崎 晃司")</f>
        <v>柿崎 晃司</v>
      </c>
    </row>
    <row r="10661" spans="2:4" ht="13">
      <c r="B10661" s="12">
        <f ca="1">IFERROR(__xludf.DUMMYFUNCTION("""COMPUTED_VALUE"""),3703556)</f>
        <v>3703556</v>
      </c>
      <c r="C10661" s="14">
        <f ca="1">IFERROR(__xludf.DUMMYFUNCTION("""COMPUTED_VALUE"""),11)</f>
        <v>11</v>
      </c>
      <c r="D10661" s="12" t="str">
        <f ca="1">IFERROR(__xludf.DUMMYFUNCTION("""COMPUTED_VALUE"""),"柿崎 晃司")</f>
        <v>柿崎 晃司</v>
      </c>
    </row>
    <row r="10662" spans="2:4" ht="13">
      <c r="B10662" s="12">
        <f ca="1">IFERROR(__xludf.DUMMYFUNCTION("""COMPUTED_VALUE"""),3703559)</f>
        <v>3703559</v>
      </c>
      <c r="C10662" s="14">
        <f ca="1">IFERROR(__xludf.DUMMYFUNCTION("""COMPUTED_VALUE"""),0)</f>
        <v>0</v>
      </c>
      <c r="D10662" s="12" t="str">
        <f ca="1">IFERROR(__xludf.DUMMYFUNCTION("""COMPUTED_VALUE"""),"柿崎 晃司")</f>
        <v>柿崎 晃司</v>
      </c>
    </row>
    <row r="10663" spans="2:4" ht="13">
      <c r="B10663" s="12">
        <f ca="1">IFERROR(__xludf.DUMMYFUNCTION("""COMPUTED_VALUE"""),3703561)</f>
        <v>3703561</v>
      </c>
      <c r="C10663" s="14">
        <f ca="1">IFERROR(__xludf.DUMMYFUNCTION("""COMPUTED_VALUE"""),9)</f>
        <v>9</v>
      </c>
      <c r="D10663" s="12" t="str">
        <f ca="1">IFERROR(__xludf.DUMMYFUNCTION("""COMPUTED_VALUE"""),"柿崎 晃司")</f>
        <v>柿崎 晃司</v>
      </c>
    </row>
    <row r="10664" spans="2:4" ht="13">
      <c r="B10664" s="12">
        <f ca="1">IFERROR(__xludf.DUMMYFUNCTION("""COMPUTED_VALUE"""),3703562)</f>
        <v>3703562</v>
      </c>
      <c r="C10664" s="14">
        <f ca="1">IFERROR(__xludf.DUMMYFUNCTION("""COMPUTED_VALUE"""),0)</f>
        <v>0</v>
      </c>
      <c r="D10664" s="12" t="str">
        <f ca="1">IFERROR(__xludf.DUMMYFUNCTION("""COMPUTED_VALUE"""),"柿崎 晃司")</f>
        <v>柿崎 晃司</v>
      </c>
    </row>
    <row r="10665" spans="2:4" ht="13">
      <c r="B10665" s="12">
        <f ca="1">IFERROR(__xludf.DUMMYFUNCTION("""COMPUTED_VALUE"""),3703563)</f>
        <v>3703563</v>
      </c>
      <c r="C10665" s="14">
        <f ca="1">IFERROR(__xludf.DUMMYFUNCTION("""COMPUTED_VALUE"""),11)</f>
        <v>11</v>
      </c>
      <c r="D10665" s="12" t="str">
        <f ca="1">IFERROR(__xludf.DUMMYFUNCTION("""COMPUTED_VALUE"""),"柿崎 晃司")</f>
        <v>柿崎 晃司</v>
      </c>
    </row>
    <row r="10666" spans="2:4" ht="13">
      <c r="B10666" s="12">
        <f ca="1">IFERROR(__xludf.DUMMYFUNCTION("""COMPUTED_VALUE"""),3703564)</f>
        <v>3703564</v>
      </c>
      <c r="C10666" s="14">
        <f ca="1">IFERROR(__xludf.DUMMYFUNCTION("""COMPUTED_VALUE"""),3)</f>
        <v>3</v>
      </c>
      <c r="D10666" s="12" t="str">
        <f ca="1">IFERROR(__xludf.DUMMYFUNCTION("""COMPUTED_VALUE"""),"柿崎 晃司")</f>
        <v>柿崎 晃司</v>
      </c>
    </row>
    <row r="10667" spans="2:4" ht="13">
      <c r="B10667" s="12">
        <f ca="1">IFERROR(__xludf.DUMMYFUNCTION("""COMPUTED_VALUE"""),3703565)</f>
        <v>3703565</v>
      </c>
      <c r="C10667" s="14">
        <f ca="1">IFERROR(__xludf.DUMMYFUNCTION("""COMPUTED_VALUE"""),5)</f>
        <v>5</v>
      </c>
      <c r="D10667" s="12" t="str">
        <f ca="1">IFERROR(__xludf.DUMMYFUNCTION("""COMPUTED_VALUE"""),"柿崎 晃司")</f>
        <v>柿崎 晃司</v>
      </c>
    </row>
    <row r="10668" spans="2:4" ht="13">
      <c r="B10668" s="12">
        <f ca="1">IFERROR(__xludf.DUMMYFUNCTION("""COMPUTED_VALUE"""),3703567)</f>
        <v>3703567</v>
      </c>
      <c r="C10668" s="14">
        <f ca="1">IFERROR(__xludf.DUMMYFUNCTION("""COMPUTED_VALUE"""),0)</f>
        <v>0</v>
      </c>
      <c r="D10668" s="12" t="str">
        <f ca="1">IFERROR(__xludf.DUMMYFUNCTION("""COMPUTED_VALUE"""),"柿崎 晃司")</f>
        <v>柿崎 晃司</v>
      </c>
    </row>
    <row r="10669" spans="2:4" ht="13">
      <c r="B10669" s="12">
        <f ca="1">IFERROR(__xludf.DUMMYFUNCTION("""COMPUTED_VALUE"""),3703569)</f>
        <v>3703569</v>
      </c>
      <c r="C10669" s="14">
        <f ca="1">IFERROR(__xludf.DUMMYFUNCTION("""COMPUTED_VALUE"""),0)</f>
        <v>0</v>
      </c>
      <c r="D10669" s="12" t="str">
        <f ca="1">IFERROR(__xludf.DUMMYFUNCTION("""COMPUTED_VALUE"""),"柿崎 晃司")</f>
        <v>柿崎 晃司</v>
      </c>
    </row>
    <row r="10670" spans="2:4" ht="13">
      <c r="B10670" s="12">
        <f ca="1">IFERROR(__xludf.DUMMYFUNCTION("""COMPUTED_VALUE"""),3703572)</f>
        <v>3703572</v>
      </c>
      <c r="C10670" s="14">
        <f ca="1">IFERROR(__xludf.DUMMYFUNCTION("""COMPUTED_VALUE"""),0)</f>
        <v>0</v>
      </c>
      <c r="D10670" s="12" t="str">
        <f ca="1">IFERROR(__xludf.DUMMYFUNCTION("""COMPUTED_VALUE"""),"柿崎 晃司")</f>
        <v>柿崎 晃司</v>
      </c>
    </row>
    <row r="10671" spans="2:4" ht="13">
      <c r="B10671" s="12">
        <f ca="1">IFERROR(__xludf.DUMMYFUNCTION("""COMPUTED_VALUE"""),3703575)</f>
        <v>3703575</v>
      </c>
      <c r="C10671" s="14">
        <f ca="1">IFERROR(__xludf.DUMMYFUNCTION("""COMPUTED_VALUE"""),2)</f>
        <v>2</v>
      </c>
      <c r="D10671" s="12" t="str">
        <f ca="1">IFERROR(__xludf.DUMMYFUNCTION("""COMPUTED_VALUE"""),"柿崎 晃司")</f>
        <v>柿崎 晃司</v>
      </c>
    </row>
    <row r="10672" spans="2:4" ht="13">
      <c r="B10672" s="12">
        <f ca="1">IFERROR(__xludf.DUMMYFUNCTION("""COMPUTED_VALUE"""),3703576)</f>
        <v>3703576</v>
      </c>
      <c r="C10672" s="14">
        <f ca="1">IFERROR(__xludf.DUMMYFUNCTION("""COMPUTED_VALUE"""),43)</f>
        <v>43</v>
      </c>
      <c r="D10672" s="12" t="str">
        <f ca="1">IFERROR(__xludf.DUMMYFUNCTION("""COMPUTED_VALUE"""),"柿崎 晃司")</f>
        <v>柿崎 晃司</v>
      </c>
    </row>
    <row r="10673" spans="2:4" ht="13">
      <c r="B10673" s="12">
        <f ca="1">IFERROR(__xludf.DUMMYFUNCTION("""COMPUTED_VALUE"""),3703577)</f>
        <v>3703577</v>
      </c>
      <c r="C10673" s="14">
        <f ca="1">IFERROR(__xludf.DUMMYFUNCTION("""COMPUTED_VALUE"""),9)</f>
        <v>9</v>
      </c>
      <c r="D10673" s="12" t="str">
        <f ca="1">IFERROR(__xludf.DUMMYFUNCTION("""COMPUTED_VALUE"""),"柿崎 晃司")</f>
        <v>柿崎 晃司</v>
      </c>
    </row>
    <row r="10674" spans="2:4" ht="13">
      <c r="B10674" s="12">
        <f ca="1">IFERROR(__xludf.DUMMYFUNCTION("""COMPUTED_VALUE"""),3703578)</f>
        <v>3703578</v>
      </c>
      <c r="C10674" s="14">
        <f ca="1">IFERROR(__xludf.DUMMYFUNCTION("""COMPUTED_VALUE"""),4)</f>
        <v>4</v>
      </c>
      <c r="D10674" s="12" t="str">
        <f ca="1">IFERROR(__xludf.DUMMYFUNCTION("""COMPUTED_VALUE"""),"柿崎 晃司")</f>
        <v>柿崎 晃司</v>
      </c>
    </row>
    <row r="10675" spans="2:4" ht="13">
      <c r="B10675" s="12">
        <f ca="1">IFERROR(__xludf.DUMMYFUNCTION("""COMPUTED_VALUE"""),3703580)</f>
        <v>3703580</v>
      </c>
      <c r="C10675" s="14">
        <f ca="1">IFERROR(__xludf.DUMMYFUNCTION("""COMPUTED_VALUE"""),11)</f>
        <v>11</v>
      </c>
      <c r="D10675" s="12" t="str">
        <f ca="1">IFERROR(__xludf.DUMMYFUNCTION("""COMPUTED_VALUE"""),"柿崎 晃司")</f>
        <v>柿崎 晃司</v>
      </c>
    </row>
    <row r="10676" spans="2:4" ht="13">
      <c r="B10676" s="12">
        <f ca="1">IFERROR(__xludf.DUMMYFUNCTION("""COMPUTED_VALUE"""),3703583)</f>
        <v>3703583</v>
      </c>
      <c r="C10676" s="14">
        <f ca="1">IFERROR(__xludf.DUMMYFUNCTION("""COMPUTED_VALUE"""),10)</f>
        <v>10</v>
      </c>
      <c r="D10676" s="12" t="str">
        <f ca="1">IFERROR(__xludf.DUMMYFUNCTION("""COMPUTED_VALUE"""),"柿崎 晃司")</f>
        <v>柿崎 晃司</v>
      </c>
    </row>
    <row r="10677" spans="2:4" ht="13">
      <c r="B10677" s="12">
        <f ca="1">IFERROR(__xludf.DUMMYFUNCTION("""COMPUTED_VALUE"""),3703587)</f>
        <v>3703587</v>
      </c>
      <c r="C10677" s="14">
        <f ca="1">IFERROR(__xludf.DUMMYFUNCTION("""COMPUTED_VALUE"""),0)</f>
        <v>0</v>
      </c>
      <c r="D10677" s="12" t="str">
        <f ca="1">IFERROR(__xludf.DUMMYFUNCTION("""COMPUTED_VALUE"""),"柿崎 晃司")</f>
        <v>柿崎 晃司</v>
      </c>
    </row>
    <row r="10678" spans="2:4" ht="13">
      <c r="B10678" s="12">
        <f ca="1">IFERROR(__xludf.DUMMYFUNCTION("""COMPUTED_VALUE"""),3703588)</f>
        <v>3703588</v>
      </c>
      <c r="C10678" s="14">
        <f ca="1">IFERROR(__xludf.DUMMYFUNCTION("""COMPUTED_VALUE"""),19)</f>
        <v>19</v>
      </c>
      <c r="D10678" s="12" t="str">
        <f ca="1">IFERROR(__xludf.DUMMYFUNCTION("""COMPUTED_VALUE"""),"柿崎 晃司")</f>
        <v>柿崎 晃司</v>
      </c>
    </row>
    <row r="10679" spans="2:4" ht="13">
      <c r="B10679" s="12">
        <f ca="1">IFERROR(__xludf.DUMMYFUNCTION("""COMPUTED_VALUE"""),3703591)</f>
        <v>3703591</v>
      </c>
      <c r="C10679" s="14">
        <f ca="1">IFERROR(__xludf.DUMMYFUNCTION("""COMPUTED_VALUE"""),0)</f>
        <v>0</v>
      </c>
      <c r="D10679" s="12" t="str">
        <f ca="1">IFERROR(__xludf.DUMMYFUNCTION("""COMPUTED_VALUE"""),"柿崎 晃司")</f>
        <v>柿崎 晃司</v>
      </c>
    </row>
    <row r="10680" spans="2:4" ht="13">
      <c r="B10680" s="12">
        <f ca="1">IFERROR(__xludf.DUMMYFUNCTION("""COMPUTED_VALUE"""),3703593)</f>
        <v>3703593</v>
      </c>
      <c r="C10680" s="14">
        <f ca="1">IFERROR(__xludf.DUMMYFUNCTION("""COMPUTED_VALUE"""),0)</f>
        <v>0</v>
      </c>
      <c r="D10680" s="12" t="str">
        <f ca="1">IFERROR(__xludf.DUMMYFUNCTION("""COMPUTED_VALUE"""),"柿崎 晃司")</f>
        <v>柿崎 晃司</v>
      </c>
    </row>
    <row r="10681" spans="2:4" ht="13">
      <c r="B10681" s="12">
        <f ca="1">IFERROR(__xludf.DUMMYFUNCTION("""COMPUTED_VALUE"""),3703597)</f>
        <v>3703597</v>
      </c>
      <c r="C10681" s="14">
        <f ca="1">IFERROR(__xludf.DUMMYFUNCTION("""COMPUTED_VALUE"""),0)</f>
        <v>0</v>
      </c>
      <c r="D10681" s="12" t="str">
        <f ca="1">IFERROR(__xludf.DUMMYFUNCTION("""COMPUTED_VALUE"""),"柿崎 晃司")</f>
        <v>柿崎 晃司</v>
      </c>
    </row>
    <row r="10682" spans="2:4" ht="13">
      <c r="B10682" s="12">
        <f ca="1">IFERROR(__xludf.DUMMYFUNCTION("""COMPUTED_VALUE"""),3703600)</f>
        <v>3703600</v>
      </c>
      <c r="C10682" s="14">
        <f ca="1">IFERROR(__xludf.DUMMYFUNCTION("""COMPUTED_VALUE"""),0)</f>
        <v>0</v>
      </c>
      <c r="D10682" s="12" t="str">
        <f ca="1">IFERROR(__xludf.DUMMYFUNCTION("""COMPUTED_VALUE"""),"柿崎 晃司")</f>
        <v>柿崎 晃司</v>
      </c>
    </row>
    <row r="10683" spans="2:4" ht="13">
      <c r="B10683" s="12">
        <f ca="1">IFERROR(__xludf.DUMMYFUNCTION("""COMPUTED_VALUE"""),3703602)</f>
        <v>3703602</v>
      </c>
      <c r="C10683" s="14">
        <f ca="1">IFERROR(__xludf.DUMMYFUNCTION("""COMPUTED_VALUE"""),23)</f>
        <v>23</v>
      </c>
      <c r="D10683" s="12" t="str">
        <f ca="1">IFERROR(__xludf.DUMMYFUNCTION("""COMPUTED_VALUE"""),"柿崎 晃司")</f>
        <v>柿崎 晃司</v>
      </c>
    </row>
    <row r="10684" spans="2:4" ht="13">
      <c r="B10684" s="12">
        <f ca="1">IFERROR(__xludf.DUMMYFUNCTION("""COMPUTED_VALUE"""),3703603)</f>
        <v>3703603</v>
      </c>
      <c r="C10684" s="14">
        <f ca="1">IFERROR(__xludf.DUMMYFUNCTION("""COMPUTED_VALUE"""),0)</f>
        <v>0</v>
      </c>
      <c r="D10684" s="12" t="str">
        <f ca="1">IFERROR(__xludf.DUMMYFUNCTION("""COMPUTED_VALUE"""),"柿崎 晃司")</f>
        <v>柿崎 晃司</v>
      </c>
    </row>
    <row r="10685" spans="2:4" ht="13">
      <c r="B10685" s="12">
        <f ca="1">IFERROR(__xludf.DUMMYFUNCTION("""COMPUTED_VALUE"""),3703604)</f>
        <v>3703604</v>
      </c>
      <c r="C10685" s="14">
        <f ca="1">IFERROR(__xludf.DUMMYFUNCTION("""COMPUTED_VALUE"""),2)</f>
        <v>2</v>
      </c>
      <c r="D10685" s="12" t="str">
        <f ca="1">IFERROR(__xludf.DUMMYFUNCTION("""COMPUTED_VALUE"""),"柿崎 晃司")</f>
        <v>柿崎 晃司</v>
      </c>
    </row>
    <row r="10686" spans="2:4" ht="13">
      <c r="B10686" s="12">
        <f ca="1">IFERROR(__xludf.DUMMYFUNCTION("""COMPUTED_VALUE"""),3703605)</f>
        <v>3703605</v>
      </c>
      <c r="C10686" s="14">
        <f ca="1">IFERROR(__xludf.DUMMYFUNCTION("""COMPUTED_VALUE"""),13)</f>
        <v>13</v>
      </c>
      <c r="D10686" s="12" t="str">
        <f ca="1">IFERROR(__xludf.DUMMYFUNCTION("""COMPUTED_VALUE"""),"柿崎 晃司")</f>
        <v>柿崎 晃司</v>
      </c>
    </row>
    <row r="10687" spans="2:4" ht="13">
      <c r="B10687" s="12">
        <f ca="1">IFERROR(__xludf.DUMMYFUNCTION("""COMPUTED_VALUE"""),3703606)</f>
        <v>3703606</v>
      </c>
      <c r="C10687" s="14">
        <f ca="1">IFERROR(__xludf.DUMMYFUNCTION("""COMPUTED_VALUE"""),15)</f>
        <v>15</v>
      </c>
      <c r="D10687" s="12" t="str">
        <f ca="1">IFERROR(__xludf.DUMMYFUNCTION("""COMPUTED_VALUE"""),"柿崎 晃司")</f>
        <v>柿崎 晃司</v>
      </c>
    </row>
    <row r="10688" spans="2:4" ht="13">
      <c r="B10688" s="12">
        <f ca="1">IFERROR(__xludf.DUMMYFUNCTION("""COMPUTED_VALUE"""),3703609)</f>
        <v>3703609</v>
      </c>
      <c r="C10688" s="14">
        <f ca="1">IFERROR(__xludf.DUMMYFUNCTION("""COMPUTED_VALUE"""),19)</f>
        <v>19</v>
      </c>
      <c r="D10688" s="12" t="str">
        <f ca="1">IFERROR(__xludf.DUMMYFUNCTION("""COMPUTED_VALUE"""),"柿崎 晃司")</f>
        <v>柿崎 晃司</v>
      </c>
    </row>
    <row r="10689" spans="2:4" ht="13">
      <c r="B10689" s="12">
        <f ca="1">IFERROR(__xludf.DUMMYFUNCTION("""COMPUTED_VALUE"""),3703616)</f>
        <v>3703616</v>
      </c>
      <c r="C10689" s="14">
        <f ca="1">IFERROR(__xludf.DUMMYFUNCTION("""COMPUTED_VALUE"""),15)</f>
        <v>15</v>
      </c>
      <c r="D10689" s="12" t="str">
        <f ca="1">IFERROR(__xludf.DUMMYFUNCTION("""COMPUTED_VALUE"""),"柿崎 晃司")</f>
        <v>柿崎 晃司</v>
      </c>
    </row>
    <row r="10690" spans="2:4" ht="13">
      <c r="B10690" s="12">
        <f ca="1">IFERROR(__xludf.DUMMYFUNCTION("""COMPUTED_VALUE"""),3703617)</f>
        <v>3703617</v>
      </c>
      <c r="C10690" s="14">
        <f ca="1">IFERROR(__xludf.DUMMYFUNCTION("""COMPUTED_VALUE"""),0)</f>
        <v>0</v>
      </c>
      <c r="D10690" s="12" t="str">
        <f ca="1">IFERROR(__xludf.DUMMYFUNCTION("""COMPUTED_VALUE"""),"柿崎 晃司")</f>
        <v>柿崎 晃司</v>
      </c>
    </row>
    <row r="10691" spans="2:4" ht="13">
      <c r="B10691" s="12">
        <f ca="1">IFERROR(__xludf.DUMMYFUNCTION("""COMPUTED_VALUE"""),3703618)</f>
        <v>3703618</v>
      </c>
      <c r="C10691" s="14">
        <f ca="1">IFERROR(__xludf.DUMMYFUNCTION("""COMPUTED_VALUE"""),1)</f>
        <v>1</v>
      </c>
      <c r="D10691" s="12" t="str">
        <f ca="1">IFERROR(__xludf.DUMMYFUNCTION("""COMPUTED_VALUE"""),"柿崎 晃司")</f>
        <v>柿崎 晃司</v>
      </c>
    </row>
    <row r="10692" spans="2:4" ht="13">
      <c r="B10692" s="12">
        <f ca="1">IFERROR(__xludf.DUMMYFUNCTION("""COMPUTED_VALUE"""),3703619)</f>
        <v>3703619</v>
      </c>
      <c r="C10692" s="14">
        <f ca="1">IFERROR(__xludf.DUMMYFUNCTION("""COMPUTED_VALUE"""),6)</f>
        <v>6</v>
      </c>
      <c r="D10692" s="12" t="str">
        <f ca="1">IFERROR(__xludf.DUMMYFUNCTION("""COMPUTED_VALUE"""),"柿崎 晃司")</f>
        <v>柿崎 晃司</v>
      </c>
    </row>
    <row r="10693" spans="2:4" ht="13">
      <c r="B10693" s="12">
        <f ca="1">IFERROR(__xludf.DUMMYFUNCTION("""COMPUTED_VALUE"""),3703620)</f>
        <v>3703620</v>
      </c>
      <c r="C10693" s="14">
        <f ca="1">IFERROR(__xludf.DUMMYFUNCTION("""COMPUTED_VALUE"""),0)</f>
        <v>0</v>
      </c>
      <c r="D10693" s="12" t="str">
        <f ca="1">IFERROR(__xludf.DUMMYFUNCTION("""COMPUTED_VALUE"""),"柿崎 晃司")</f>
        <v>柿崎 晃司</v>
      </c>
    </row>
    <row r="10694" spans="2:4" ht="13">
      <c r="B10694" s="12">
        <f ca="1">IFERROR(__xludf.DUMMYFUNCTION("""COMPUTED_VALUE"""),3703636)</f>
        <v>3703636</v>
      </c>
      <c r="C10694" s="14">
        <f ca="1">IFERROR(__xludf.DUMMYFUNCTION("""COMPUTED_VALUE"""),36)</f>
        <v>36</v>
      </c>
      <c r="D10694" s="12" t="str">
        <f ca="1">IFERROR(__xludf.DUMMYFUNCTION("""COMPUTED_VALUE"""),"柿崎 晃司")</f>
        <v>柿崎 晃司</v>
      </c>
    </row>
    <row r="10695" spans="2:4" ht="13">
      <c r="B10695" s="12">
        <f ca="1">IFERROR(__xludf.DUMMYFUNCTION("""COMPUTED_VALUE"""),3703638)</f>
        <v>3703638</v>
      </c>
      <c r="C10695" s="14">
        <f ca="1">IFERROR(__xludf.DUMMYFUNCTION("""COMPUTED_VALUE"""),2)</f>
        <v>2</v>
      </c>
      <c r="D10695" s="12" t="str">
        <f ca="1">IFERROR(__xludf.DUMMYFUNCTION("""COMPUTED_VALUE"""),"柿崎 晃司")</f>
        <v>柿崎 晃司</v>
      </c>
    </row>
    <row r="10696" spans="2:4" ht="13">
      <c r="B10696" s="12">
        <f ca="1">IFERROR(__xludf.DUMMYFUNCTION("""COMPUTED_VALUE"""),3703639)</f>
        <v>3703639</v>
      </c>
      <c r="C10696" s="14">
        <f ca="1">IFERROR(__xludf.DUMMYFUNCTION("""COMPUTED_VALUE"""),1)</f>
        <v>1</v>
      </c>
      <c r="D10696" s="12" t="str">
        <f ca="1">IFERROR(__xludf.DUMMYFUNCTION("""COMPUTED_VALUE"""),"柿崎 晃司")</f>
        <v>柿崎 晃司</v>
      </c>
    </row>
    <row r="10697" spans="2:4" ht="13">
      <c r="B10697" s="12">
        <f ca="1">IFERROR(__xludf.DUMMYFUNCTION("""COMPUTED_VALUE"""),3703640)</f>
        <v>3703640</v>
      </c>
      <c r="C10697" s="14">
        <f ca="1">IFERROR(__xludf.DUMMYFUNCTION("""COMPUTED_VALUE"""),0)</f>
        <v>0</v>
      </c>
      <c r="D10697" s="12" t="str">
        <f ca="1">IFERROR(__xludf.DUMMYFUNCTION("""COMPUTED_VALUE"""),"柿崎 晃司")</f>
        <v>柿崎 晃司</v>
      </c>
    </row>
    <row r="10698" spans="2:4" ht="13">
      <c r="B10698" s="12">
        <f ca="1">IFERROR(__xludf.DUMMYFUNCTION("""COMPUTED_VALUE"""),3703641)</f>
        <v>3703641</v>
      </c>
      <c r="C10698" s="14">
        <f ca="1">IFERROR(__xludf.DUMMYFUNCTION("""COMPUTED_VALUE"""),3)</f>
        <v>3</v>
      </c>
      <c r="D10698" s="12" t="str">
        <f ca="1">IFERROR(__xludf.DUMMYFUNCTION("""COMPUTED_VALUE"""),"柿崎 晃司")</f>
        <v>柿崎 晃司</v>
      </c>
    </row>
    <row r="10699" spans="2:4" ht="13">
      <c r="B10699" s="12">
        <f ca="1">IFERROR(__xludf.DUMMYFUNCTION("""COMPUTED_VALUE"""),3703642)</f>
        <v>3703642</v>
      </c>
      <c r="C10699" s="14">
        <f ca="1">IFERROR(__xludf.DUMMYFUNCTION("""COMPUTED_VALUE"""),1)</f>
        <v>1</v>
      </c>
      <c r="D10699" s="12" t="str">
        <f ca="1">IFERROR(__xludf.DUMMYFUNCTION("""COMPUTED_VALUE"""),"柿崎 晃司")</f>
        <v>柿崎 晃司</v>
      </c>
    </row>
    <row r="10700" spans="2:4" ht="13">
      <c r="B10700" s="12">
        <f ca="1">IFERROR(__xludf.DUMMYFUNCTION("""COMPUTED_VALUE"""),3703643)</f>
        <v>3703643</v>
      </c>
      <c r="C10700" s="14">
        <f ca="1">IFERROR(__xludf.DUMMYFUNCTION("""COMPUTED_VALUE"""),10)</f>
        <v>10</v>
      </c>
      <c r="D10700" s="12" t="str">
        <f ca="1">IFERROR(__xludf.DUMMYFUNCTION("""COMPUTED_VALUE"""),"柿崎 晃司")</f>
        <v>柿崎 晃司</v>
      </c>
    </row>
    <row r="10701" spans="2:4" ht="13">
      <c r="B10701" s="12">
        <f ca="1">IFERROR(__xludf.DUMMYFUNCTION("""COMPUTED_VALUE"""),3703644)</f>
        <v>3703644</v>
      </c>
      <c r="C10701" s="14">
        <f ca="1">IFERROR(__xludf.DUMMYFUNCTION("""COMPUTED_VALUE"""),2)</f>
        <v>2</v>
      </c>
      <c r="D10701" s="12" t="str">
        <f ca="1">IFERROR(__xludf.DUMMYFUNCTION("""COMPUTED_VALUE"""),"柿崎 晃司")</f>
        <v>柿崎 晃司</v>
      </c>
    </row>
    <row r="10702" spans="2:4" ht="13">
      <c r="B10702" s="12">
        <f ca="1">IFERROR(__xludf.DUMMYFUNCTION("""COMPUTED_VALUE"""),3703650)</f>
        <v>3703650</v>
      </c>
      <c r="C10702" s="14">
        <f ca="1">IFERROR(__xludf.DUMMYFUNCTION("""COMPUTED_VALUE"""),1)</f>
        <v>1</v>
      </c>
      <c r="D10702" s="12" t="str">
        <f ca="1">IFERROR(__xludf.DUMMYFUNCTION("""COMPUTED_VALUE"""),"柿崎 晃司")</f>
        <v>柿崎 晃司</v>
      </c>
    </row>
    <row r="10703" spans="2:4" ht="13">
      <c r="B10703" s="12">
        <f ca="1">IFERROR(__xludf.DUMMYFUNCTION("""COMPUTED_VALUE"""),3703651)</f>
        <v>3703651</v>
      </c>
      <c r="C10703" s="14">
        <f ca="1">IFERROR(__xludf.DUMMYFUNCTION("""COMPUTED_VALUE"""),1)</f>
        <v>1</v>
      </c>
      <c r="D10703" s="12" t="str">
        <f ca="1">IFERROR(__xludf.DUMMYFUNCTION("""COMPUTED_VALUE"""),"柿崎 晃司")</f>
        <v>柿崎 晃司</v>
      </c>
    </row>
    <row r="10704" spans="2:4" ht="13">
      <c r="B10704" s="12">
        <f ca="1">IFERROR(__xludf.DUMMYFUNCTION("""COMPUTED_VALUE"""),3703652)</f>
        <v>3703652</v>
      </c>
      <c r="C10704" s="14">
        <f ca="1">IFERROR(__xludf.DUMMYFUNCTION("""COMPUTED_VALUE"""),3)</f>
        <v>3</v>
      </c>
      <c r="D10704" s="12" t="str">
        <f ca="1">IFERROR(__xludf.DUMMYFUNCTION("""COMPUTED_VALUE"""),"柿崎 晃司")</f>
        <v>柿崎 晃司</v>
      </c>
    </row>
    <row r="10705" spans="2:4" ht="13">
      <c r="B10705" s="12">
        <f ca="1">IFERROR(__xludf.DUMMYFUNCTION("""COMPUTED_VALUE"""),3703653)</f>
        <v>3703653</v>
      </c>
      <c r="C10705" s="14">
        <f ca="1">IFERROR(__xludf.DUMMYFUNCTION("""COMPUTED_VALUE"""),14)</f>
        <v>14</v>
      </c>
      <c r="D10705" s="12" t="str">
        <f ca="1">IFERROR(__xludf.DUMMYFUNCTION("""COMPUTED_VALUE"""),"柿崎 晃司")</f>
        <v>柿崎 晃司</v>
      </c>
    </row>
    <row r="10706" spans="2:4" ht="13">
      <c r="B10706" s="12">
        <f ca="1">IFERROR(__xludf.DUMMYFUNCTION("""COMPUTED_VALUE"""),3703654)</f>
        <v>3703654</v>
      </c>
      <c r="C10706" s="14">
        <f ca="1">IFERROR(__xludf.DUMMYFUNCTION("""COMPUTED_VALUE"""),0)</f>
        <v>0</v>
      </c>
      <c r="D10706" s="12" t="str">
        <f ca="1">IFERROR(__xludf.DUMMYFUNCTION("""COMPUTED_VALUE"""),"柿崎 晃司")</f>
        <v>柿崎 晃司</v>
      </c>
    </row>
    <row r="10707" spans="2:4" ht="13">
      <c r="B10707" s="12">
        <f ca="1">IFERROR(__xludf.DUMMYFUNCTION("""COMPUTED_VALUE"""),3703655)</f>
        <v>3703655</v>
      </c>
      <c r="C10707" s="14">
        <f ca="1">IFERROR(__xludf.DUMMYFUNCTION("""COMPUTED_VALUE"""),7)</f>
        <v>7</v>
      </c>
      <c r="D10707" s="12" t="str">
        <f ca="1">IFERROR(__xludf.DUMMYFUNCTION("""COMPUTED_VALUE"""),"柿崎 晃司")</f>
        <v>柿崎 晃司</v>
      </c>
    </row>
    <row r="10708" spans="2:4" ht="13">
      <c r="B10708" s="12">
        <f ca="1">IFERROR(__xludf.DUMMYFUNCTION("""COMPUTED_VALUE"""),3703656)</f>
        <v>3703656</v>
      </c>
      <c r="C10708" s="14">
        <f ca="1">IFERROR(__xludf.DUMMYFUNCTION("""COMPUTED_VALUE"""),6)</f>
        <v>6</v>
      </c>
      <c r="D10708" s="12" t="str">
        <f ca="1">IFERROR(__xludf.DUMMYFUNCTION("""COMPUTED_VALUE"""),"柿崎 晃司")</f>
        <v>柿崎 晃司</v>
      </c>
    </row>
    <row r="10709" spans="2:4" ht="13">
      <c r="B10709" s="12">
        <f ca="1">IFERROR(__xludf.DUMMYFUNCTION("""COMPUTED_VALUE"""),3703657)</f>
        <v>3703657</v>
      </c>
      <c r="C10709" s="14">
        <f ca="1">IFERROR(__xludf.DUMMYFUNCTION("""COMPUTED_VALUE"""),2)</f>
        <v>2</v>
      </c>
      <c r="D10709" s="12" t="str">
        <f ca="1">IFERROR(__xludf.DUMMYFUNCTION("""COMPUTED_VALUE"""),"柿崎 晃司")</f>
        <v>柿崎 晃司</v>
      </c>
    </row>
    <row r="10710" spans="2:4" ht="13">
      <c r="B10710" s="12">
        <f ca="1">IFERROR(__xludf.DUMMYFUNCTION("""COMPUTED_VALUE"""),3703658)</f>
        <v>3703658</v>
      </c>
      <c r="C10710" s="14">
        <f ca="1">IFERROR(__xludf.DUMMYFUNCTION("""COMPUTED_VALUE"""),52)</f>
        <v>52</v>
      </c>
      <c r="D10710" s="12" t="str">
        <f ca="1">IFERROR(__xludf.DUMMYFUNCTION("""COMPUTED_VALUE"""),"柿崎 晃司")</f>
        <v>柿崎 晃司</v>
      </c>
    </row>
    <row r="10711" spans="2:4" ht="13">
      <c r="B10711" s="12">
        <f ca="1">IFERROR(__xludf.DUMMYFUNCTION("""COMPUTED_VALUE"""),3703659)</f>
        <v>3703659</v>
      </c>
      <c r="C10711" s="14">
        <f ca="1">IFERROR(__xludf.DUMMYFUNCTION("""COMPUTED_VALUE"""),0)</f>
        <v>0</v>
      </c>
      <c r="D10711" s="12" t="str">
        <f ca="1">IFERROR(__xludf.DUMMYFUNCTION("""COMPUTED_VALUE"""),"柿崎 晃司")</f>
        <v>柿崎 晃司</v>
      </c>
    </row>
    <row r="10712" spans="2:4" ht="13">
      <c r="B10712" s="12">
        <f ca="1">IFERROR(__xludf.DUMMYFUNCTION("""COMPUTED_VALUE"""),3703661)</f>
        <v>3703661</v>
      </c>
      <c r="C10712" s="14">
        <f ca="1">IFERROR(__xludf.DUMMYFUNCTION("""COMPUTED_VALUE"""),0)</f>
        <v>0</v>
      </c>
      <c r="D10712" s="12" t="str">
        <f ca="1">IFERROR(__xludf.DUMMYFUNCTION("""COMPUTED_VALUE"""),"柿崎 晃司")</f>
        <v>柿崎 晃司</v>
      </c>
    </row>
    <row r="10713" spans="2:4" ht="13">
      <c r="B10713" s="12">
        <f ca="1">IFERROR(__xludf.DUMMYFUNCTION("""COMPUTED_VALUE"""),3703662)</f>
        <v>3703662</v>
      </c>
      <c r="C10713" s="14">
        <f ca="1">IFERROR(__xludf.DUMMYFUNCTION("""COMPUTED_VALUE"""),0)</f>
        <v>0</v>
      </c>
      <c r="D10713" s="12" t="str">
        <f ca="1">IFERROR(__xludf.DUMMYFUNCTION("""COMPUTED_VALUE"""),"柿崎 晃司")</f>
        <v>柿崎 晃司</v>
      </c>
    </row>
    <row r="10714" spans="2:4" ht="13">
      <c r="B10714" s="12">
        <f ca="1">IFERROR(__xludf.DUMMYFUNCTION("""COMPUTED_VALUE"""),3703663)</f>
        <v>3703663</v>
      </c>
      <c r="C10714" s="14">
        <f ca="1">IFERROR(__xludf.DUMMYFUNCTION("""COMPUTED_VALUE"""),20)</f>
        <v>20</v>
      </c>
      <c r="D10714" s="12" t="str">
        <f ca="1">IFERROR(__xludf.DUMMYFUNCTION("""COMPUTED_VALUE"""),"柿崎 晃司")</f>
        <v>柿崎 晃司</v>
      </c>
    </row>
    <row r="10715" spans="2:4" ht="13">
      <c r="B10715" s="12">
        <f ca="1">IFERROR(__xludf.DUMMYFUNCTION("""COMPUTED_VALUE"""),3703665)</f>
        <v>3703665</v>
      </c>
      <c r="C10715" s="14">
        <f ca="1">IFERROR(__xludf.DUMMYFUNCTION("""COMPUTED_VALUE"""),2)</f>
        <v>2</v>
      </c>
      <c r="D10715" s="12" t="str">
        <f ca="1">IFERROR(__xludf.DUMMYFUNCTION("""COMPUTED_VALUE"""),"柿崎 晃司")</f>
        <v>柿崎 晃司</v>
      </c>
    </row>
    <row r="10716" spans="2:4" ht="13">
      <c r="B10716" s="12">
        <f ca="1">IFERROR(__xludf.DUMMYFUNCTION("""COMPUTED_VALUE"""),3703666)</f>
        <v>3703666</v>
      </c>
      <c r="C10716" s="14">
        <f ca="1">IFERROR(__xludf.DUMMYFUNCTION("""COMPUTED_VALUE"""),97)</f>
        <v>97</v>
      </c>
      <c r="D10716" s="12" t="str">
        <f ca="1">IFERROR(__xludf.DUMMYFUNCTION("""COMPUTED_VALUE"""),"柿崎 晃司")</f>
        <v>柿崎 晃司</v>
      </c>
    </row>
    <row r="10717" spans="2:4" ht="13">
      <c r="B10717" s="12">
        <f ca="1">IFERROR(__xludf.DUMMYFUNCTION("""COMPUTED_VALUE"""),3703667)</f>
        <v>3703667</v>
      </c>
      <c r="C10717" s="14">
        <f ca="1">IFERROR(__xludf.DUMMYFUNCTION("""COMPUTED_VALUE"""),3)</f>
        <v>3</v>
      </c>
      <c r="D10717" s="12" t="str">
        <f ca="1">IFERROR(__xludf.DUMMYFUNCTION("""COMPUTED_VALUE"""),"柿崎 晃司")</f>
        <v>柿崎 晃司</v>
      </c>
    </row>
    <row r="10718" spans="2:4" ht="13">
      <c r="B10718" s="12">
        <f ca="1">IFERROR(__xludf.DUMMYFUNCTION("""COMPUTED_VALUE"""),3703668)</f>
        <v>3703668</v>
      </c>
      <c r="C10718" s="14">
        <f ca="1">IFERROR(__xludf.DUMMYFUNCTION("""COMPUTED_VALUE"""),0)</f>
        <v>0</v>
      </c>
      <c r="D10718" s="12" t="str">
        <f ca="1">IFERROR(__xludf.DUMMYFUNCTION("""COMPUTED_VALUE"""),"柿崎 晃司")</f>
        <v>柿崎 晃司</v>
      </c>
    </row>
    <row r="10719" spans="2:4" ht="13">
      <c r="B10719" s="12">
        <f ca="1">IFERROR(__xludf.DUMMYFUNCTION("""COMPUTED_VALUE"""),3703669)</f>
        <v>3703669</v>
      </c>
      <c r="C10719" s="14">
        <f ca="1">IFERROR(__xludf.DUMMYFUNCTION("""COMPUTED_VALUE"""),1)</f>
        <v>1</v>
      </c>
      <c r="D10719" s="12" t="str">
        <f ca="1">IFERROR(__xludf.DUMMYFUNCTION("""COMPUTED_VALUE"""),"柿崎 晃司")</f>
        <v>柿崎 晃司</v>
      </c>
    </row>
    <row r="10720" spans="2:4" ht="13">
      <c r="B10720" s="12">
        <f ca="1">IFERROR(__xludf.DUMMYFUNCTION("""COMPUTED_VALUE"""),3703670)</f>
        <v>3703670</v>
      </c>
      <c r="C10720" s="14">
        <f ca="1">IFERROR(__xludf.DUMMYFUNCTION("""COMPUTED_VALUE"""),49)</f>
        <v>49</v>
      </c>
      <c r="D10720" s="12" t="str">
        <f ca="1">IFERROR(__xludf.DUMMYFUNCTION("""COMPUTED_VALUE"""),"柿崎 晃司")</f>
        <v>柿崎 晃司</v>
      </c>
    </row>
    <row r="10721" spans="2:4" ht="13">
      <c r="B10721" s="12">
        <f ca="1">IFERROR(__xludf.DUMMYFUNCTION("""COMPUTED_VALUE"""),3703671)</f>
        <v>3703671</v>
      </c>
      <c r="C10721" s="14">
        <f ca="1">IFERROR(__xludf.DUMMYFUNCTION("""COMPUTED_VALUE"""),3)</f>
        <v>3</v>
      </c>
      <c r="D10721" s="12" t="str">
        <f ca="1">IFERROR(__xludf.DUMMYFUNCTION("""COMPUTED_VALUE"""),"柿崎 晃司")</f>
        <v>柿崎 晃司</v>
      </c>
    </row>
    <row r="10722" spans="2:4" ht="13">
      <c r="B10722" s="12">
        <f ca="1">IFERROR(__xludf.DUMMYFUNCTION("""COMPUTED_VALUE"""),3703672)</f>
        <v>3703672</v>
      </c>
      <c r="C10722" s="14">
        <f ca="1">IFERROR(__xludf.DUMMYFUNCTION("""COMPUTED_VALUE"""),3)</f>
        <v>3</v>
      </c>
      <c r="D10722" s="12" t="str">
        <f ca="1">IFERROR(__xludf.DUMMYFUNCTION("""COMPUTED_VALUE"""),"柿崎 晃司")</f>
        <v>柿崎 晃司</v>
      </c>
    </row>
    <row r="10723" spans="2:4" ht="13">
      <c r="B10723" s="12">
        <f ca="1">IFERROR(__xludf.DUMMYFUNCTION("""COMPUTED_VALUE"""),3703673)</f>
        <v>3703673</v>
      </c>
      <c r="C10723" s="14">
        <f ca="1">IFERROR(__xludf.DUMMYFUNCTION("""COMPUTED_VALUE"""),1)</f>
        <v>1</v>
      </c>
      <c r="D10723" s="12" t="str">
        <f ca="1">IFERROR(__xludf.DUMMYFUNCTION("""COMPUTED_VALUE"""),"柿崎 晃司")</f>
        <v>柿崎 晃司</v>
      </c>
    </row>
    <row r="10724" spans="2:4" ht="13">
      <c r="B10724" s="12">
        <f ca="1">IFERROR(__xludf.DUMMYFUNCTION("""COMPUTED_VALUE"""),3703674)</f>
        <v>3703674</v>
      </c>
      <c r="C10724" s="14">
        <f ca="1">IFERROR(__xludf.DUMMYFUNCTION("""COMPUTED_VALUE"""),0)</f>
        <v>0</v>
      </c>
      <c r="D10724" s="12" t="str">
        <f ca="1">IFERROR(__xludf.DUMMYFUNCTION("""COMPUTED_VALUE"""),"柿崎 晃司")</f>
        <v>柿崎 晃司</v>
      </c>
    </row>
    <row r="10725" spans="2:4" ht="13">
      <c r="B10725" s="12">
        <f ca="1">IFERROR(__xludf.DUMMYFUNCTION("""COMPUTED_VALUE"""),3703675)</f>
        <v>3703675</v>
      </c>
      <c r="C10725" s="14">
        <f ca="1">IFERROR(__xludf.DUMMYFUNCTION("""COMPUTED_VALUE"""),21)</f>
        <v>21</v>
      </c>
      <c r="D10725" s="12" t="str">
        <f ca="1">IFERROR(__xludf.DUMMYFUNCTION("""COMPUTED_VALUE"""),"柿崎 晃司")</f>
        <v>柿崎 晃司</v>
      </c>
    </row>
    <row r="10726" spans="2:4" ht="13">
      <c r="B10726" s="12">
        <f ca="1">IFERROR(__xludf.DUMMYFUNCTION("""COMPUTED_VALUE"""),3703676)</f>
        <v>3703676</v>
      </c>
      <c r="C10726" s="14">
        <f ca="1">IFERROR(__xludf.DUMMYFUNCTION("""COMPUTED_VALUE"""),0)</f>
        <v>0</v>
      </c>
      <c r="D10726" s="12" t="str">
        <f ca="1">IFERROR(__xludf.DUMMYFUNCTION("""COMPUTED_VALUE"""),"柿崎 晃司")</f>
        <v>柿崎 晃司</v>
      </c>
    </row>
    <row r="10727" spans="2:4" ht="13">
      <c r="B10727" s="12">
        <f ca="1">IFERROR(__xludf.DUMMYFUNCTION("""COMPUTED_VALUE"""),3703677)</f>
        <v>3703677</v>
      </c>
      <c r="C10727" s="14">
        <f ca="1">IFERROR(__xludf.DUMMYFUNCTION("""COMPUTED_VALUE"""),8)</f>
        <v>8</v>
      </c>
      <c r="D10727" s="12" t="str">
        <f ca="1">IFERROR(__xludf.DUMMYFUNCTION("""COMPUTED_VALUE"""),"柿崎 晃司")</f>
        <v>柿崎 晃司</v>
      </c>
    </row>
    <row r="10728" spans="2:4" ht="13">
      <c r="B10728" s="12">
        <f ca="1">IFERROR(__xludf.DUMMYFUNCTION("""COMPUTED_VALUE"""),3703678)</f>
        <v>3703678</v>
      </c>
      <c r="C10728" s="14">
        <f ca="1">IFERROR(__xludf.DUMMYFUNCTION("""COMPUTED_VALUE"""),5)</f>
        <v>5</v>
      </c>
      <c r="D10728" s="12" t="str">
        <f ca="1">IFERROR(__xludf.DUMMYFUNCTION("""COMPUTED_VALUE"""),"柿崎 晃司")</f>
        <v>柿崎 晃司</v>
      </c>
    </row>
    <row r="10729" spans="2:4" ht="13">
      <c r="B10729" s="12">
        <f ca="1">IFERROR(__xludf.DUMMYFUNCTION("""COMPUTED_VALUE"""),3703679)</f>
        <v>3703679</v>
      </c>
      <c r="C10729" s="14">
        <f ca="1">IFERROR(__xludf.DUMMYFUNCTION("""COMPUTED_VALUE"""),8)</f>
        <v>8</v>
      </c>
      <c r="D10729" s="12" t="str">
        <f ca="1">IFERROR(__xludf.DUMMYFUNCTION("""COMPUTED_VALUE"""),"柿崎 晃司")</f>
        <v>柿崎 晃司</v>
      </c>
    </row>
    <row r="10730" spans="2:4" ht="13">
      <c r="B10730" s="12">
        <f ca="1">IFERROR(__xludf.DUMMYFUNCTION("""COMPUTED_VALUE"""),3703680)</f>
        <v>3703680</v>
      </c>
      <c r="C10730" s="14">
        <f ca="1">IFERROR(__xludf.DUMMYFUNCTION("""COMPUTED_VALUE"""),1)</f>
        <v>1</v>
      </c>
      <c r="D10730" s="12" t="str">
        <f ca="1">IFERROR(__xludf.DUMMYFUNCTION("""COMPUTED_VALUE"""),"柿崎 晃司")</f>
        <v>柿崎 晃司</v>
      </c>
    </row>
    <row r="10731" spans="2:4" ht="13">
      <c r="B10731" s="12">
        <f ca="1">IFERROR(__xludf.DUMMYFUNCTION("""COMPUTED_VALUE"""),3703681)</f>
        <v>3703681</v>
      </c>
      <c r="C10731" s="14">
        <f ca="1">IFERROR(__xludf.DUMMYFUNCTION("""COMPUTED_VALUE"""),13)</f>
        <v>13</v>
      </c>
      <c r="D10731" s="12" t="str">
        <f ca="1">IFERROR(__xludf.DUMMYFUNCTION("""COMPUTED_VALUE"""),"柿崎 晃司")</f>
        <v>柿崎 晃司</v>
      </c>
    </row>
    <row r="10732" spans="2:4" ht="13">
      <c r="B10732" s="12">
        <f ca="1">IFERROR(__xludf.DUMMYFUNCTION("""COMPUTED_VALUE"""),3703682)</f>
        <v>3703682</v>
      </c>
      <c r="C10732" s="14">
        <f ca="1">IFERROR(__xludf.DUMMYFUNCTION("""COMPUTED_VALUE"""),3)</f>
        <v>3</v>
      </c>
      <c r="D10732" s="12" t="str">
        <f ca="1">IFERROR(__xludf.DUMMYFUNCTION("""COMPUTED_VALUE"""),"柿崎 晃司")</f>
        <v>柿崎 晃司</v>
      </c>
    </row>
    <row r="10733" spans="2:4" ht="13">
      <c r="B10733" s="12">
        <f ca="1">IFERROR(__xludf.DUMMYFUNCTION("""COMPUTED_VALUE"""),3703684)</f>
        <v>3703684</v>
      </c>
      <c r="C10733" s="14">
        <f ca="1">IFERROR(__xludf.DUMMYFUNCTION("""COMPUTED_VALUE"""),8)</f>
        <v>8</v>
      </c>
      <c r="D10733" s="12" t="str">
        <f ca="1">IFERROR(__xludf.DUMMYFUNCTION("""COMPUTED_VALUE"""),"柿崎 晃司")</f>
        <v>柿崎 晃司</v>
      </c>
    </row>
    <row r="10734" spans="2:4" ht="13">
      <c r="B10734" s="12">
        <f ca="1">IFERROR(__xludf.DUMMYFUNCTION("""COMPUTED_VALUE"""),3703685)</f>
        <v>3703685</v>
      </c>
      <c r="C10734" s="14">
        <f ca="1">IFERROR(__xludf.DUMMYFUNCTION("""COMPUTED_VALUE"""),1)</f>
        <v>1</v>
      </c>
      <c r="D10734" s="12" t="str">
        <f ca="1">IFERROR(__xludf.DUMMYFUNCTION("""COMPUTED_VALUE"""),"柿崎 晃司")</f>
        <v>柿崎 晃司</v>
      </c>
    </row>
    <row r="10735" spans="2:4" ht="13">
      <c r="B10735" s="12">
        <f ca="1">IFERROR(__xludf.DUMMYFUNCTION("""COMPUTED_VALUE"""),3703686)</f>
        <v>3703686</v>
      </c>
      <c r="C10735" s="14">
        <f ca="1">IFERROR(__xludf.DUMMYFUNCTION("""COMPUTED_VALUE"""),11)</f>
        <v>11</v>
      </c>
      <c r="D10735" s="12" t="str">
        <f ca="1">IFERROR(__xludf.DUMMYFUNCTION("""COMPUTED_VALUE"""),"柿崎 晃司")</f>
        <v>柿崎 晃司</v>
      </c>
    </row>
    <row r="10736" spans="2:4" ht="13">
      <c r="B10736" s="12">
        <f ca="1">IFERROR(__xludf.DUMMYFUNCTION("""COMPUTED_VALUE"""),3703688)</f>
        <v>3703688</v>
      </c>
      <c r="C10736" s="14">
        <f ca="1">IFERROR(__xludf.DUMMYFUNCTION("""COMPUTED_VALUE"""),24)</f>
        <v>24</v>
      </c>
      <c r="D10736" s="12" t="str">
        <f ca="1">IFERROR(__xludf.DUMMYFUNCTION("""COMPUTED_VALUE"""),"柿崎 晃司")</f>
        <v>柿崎 晃司</v>
      </c>
    </row>
    <row r="10737" spans="2:4" ht="13">
      <c r="B10737" s="12">
        <f ca="1">IFERROR(__xludf.DUMMYFUNCTION("""COMPUTED_VALUE"""),3703689)</f>
        <v>3703689</v>
      </c>
      <c r="C10737" s="14">
        <f ca="1">IFERROR(__xludf.DUMMYFUNCTION("""COMPUTED_VALUE"""),11)</f>
        <v>11</v>
      </c>
      <c r="D10737" s="12" t="str">
        <f ca="1">IFERROR(__xludf.DUMMYFUNCTION("""COMPUTED_VALUE"""),"柿崎 晃司")</f>
        <v>柿崎 晃司</v>
      </c>
    </row>
    <row r="10738" spans="2:4" ht="13">
      <c r="B10738" s="12">
        <f ca="1">IFERROR(__xludf.DUMMYFUNCTION("""COMPUTED_VALUE"""),3703690)</f>
        <v>3703690</v>
      </c>
      <c r="C10738" s="14">
        <f ca="1">IFERROR(__xludf.DUMMYFUNCTION("""COMPUTED_VALUE"""),0)</f>
        <v>0</v>
      </c>
      <c r="D10738" s="12" t="str">
        <f ca="1">IFERROR(__xludf.DUMMYFUNCTION("""COMPUTED_VALUE"""),"柿崎 晃司")</f>
        <v>柿崎 晃司</v>
      </c>
    </row>
    <row r="10739" spans="2:4" ht="13">
      <c r="B10739" s="12">
        <f ca="1">IFERROR(__xludf.DUMMYFUNCTION("""COMPUTED_VALUE"""),3703691)</f>
        <v>3703691</v>
      </c>
      <c r="C10739" s="14">
        <f ca="1">IFERROR(__xludf.DUMMYFUNCTION("""COMPUTED_VALUE"""),4)</f>
        <v>4</v>
      </c>
      <c r="D10739" s="12" t="str">
        <f ca="1">IFERROR(__xludf.DUMMYFUNCTION("""COMPUTED_VALUE"""),"柿崎 晃司")</f>
        <v>柿崎 晃司</v>
      </c>
    </row>
    <row r="10740" spans="2:4" ht="13">
      <c r="B10740" s="12">
        <f ca="1">IFERROR(__xludf.DUMMYFUNCTION("""COMPUTED_VALUE"""),3703692)</f>
        <v>3703692</v>
      </c>
      <c r="C10740" s="14">
        <f ca="1">IFERROR(__xludf.DUMMYFUNCTION("""COMPUTED_VALUE"""),8)</f>
        <v>8</v>
      </c>
      <c r="D10740" s="12" t="str">
        <f ca="1">IFERROR(__xludf.DUMMYFUNCTION("""COMPUTED_VALUE"""),"柿崎 晃司")</f>
        <v>柿崎 晃司</v>
      </c>
    </row>
    <row r="10741" spans="2:4" ht="13">
      <c r="B10741" s="12">
        <f ca="1">IFERROR(__xludf.DUMMYFUNCTION("""COMPUTED_VALUE"""),3703693)</f>
        <v>3703693</v>
      </c>
      <c r="C10741" s="14">
        <f ca="1">IFERROR(__xludf.DUMMYFUNCTION("""COMPUTED_VALUE"""),3)</f>
        <v>3</v>
      </c>
      <c r="D10741" s="12" t="str">
        <f ca="1">IFERROR(__xludf.DUMMYFUNCTION("""COMPUTED_VALUE"""),"柿崎 晃司")</f>
        <v>柿崎 晃司</v>
      </c>
    </row>
    <row r="10742" spans="2:4" ht="13">
      <c r="B10742" s="12">
        <f ca="1">IFERROR(__xludf.DUMMYFUNCTION("""COMPUTED_VALUE"""),3703694)</f>
        <v>3703694</v>
      </c>
      <c r="C10742" s="14">
        <f ca="1">IFERROR(__xludf.DUMMYFUNCTION("""COMPUTED_VALUE"""),3)</f>
        <v>3</v>
      </c>
      <c r="D10742" s="12" t="str">
        <f ca="1">IFERROR(__xludf.DUMMYFUNCTION("""COMPUTED_VALUE"""),"柿崎 晃司")</f>
        <v>柿崎 晃司</v>
      </c>
    </row>
    <row r="10743" spans="2:4" ht="13">
      <c r="B10743" s="12">
        <f ca="1">IFERROR(__xludf.DUMMYFUNCTION("""COMPUTED_VALUE"""),3703695)</f>
        <v>3703695</v>
      </c>
      <c r="C10743" s="14">
        <f ca="1">IFERROR(__xludf.DUMMYFUNCTION("""COMPUTED_VALUE"""),0)</f>
        <v>0</v>
      </c>
      <c r="D10743" s="12" t="str">
        <f ca="1">IFERROR(__xludf.DUMMYFUNCTION("""COMPUTED_VALUE"""),"柿崎 晃司")</f>
        <v>柿崎 晃司</v>
      </c>
    </row>
    <row r="10744" spans="2:4" ht="13">
      <c r="B10744" s="12">
        <f ca="1">IFERROR(__xludf.DUMMYFUNCTION("""COMPUTED_VALUE"""),3703696)</f>
        <v>3703696</v>
      </c>
      <c r="C10744" s="14">
        <f ca="1">IFERROR(__xludf.DUMMYFUNCTION("""COMPUTED_VALUE"""),4)</f>
        <v>4</v>
      </c>
      <c r="D10744" s="12" t="str">
        <f ca="1">IFERROR(__xludf.DUMMYFUNCTION("""COMPUTED_VALUE"""),"柿崎 晃司")</f>
        <v>柿崎 晃司</v>
      </c>
    </row>
    <row r="10745" spans="2:4" ht="13">
      <c r="B10745" s="12">
        <f ca="1">IFERROR(__xludf.DUMMYFUNCTION("""COMPUTED_VALUE"""),3703697)</f>
        <v>3703697</v>
      </c>
      <c r="C10745" s="14">
        <f ca="1">IFERROR(__xludf.DUMMYFUNCTION("""COMPUTED_VALUE"""),12)</f>
        <v>12</v>
      </c>
      <c r="D10745" s="12" t="str">
        <f ca="1">IFERROR(__xludf.DUMMYFUNCTION("""COMPUTED_VALUE"""),"柿崎 晃司")</f>
        <v>柿崎 晃司</v>
      </c>
    </row>
    <row r="10746" spans="2:4" ht="13">
      <c r="B10746" s="12">
        <f ca="1">IFERROR(__xludf.DUMMYFUNCTION("""COMPUTED_VALUE"""),3703708)</f>
        <v>3703708</v>
      </c>
      <c r="C10746" s="14">
        <f ca="1">IFERROR(__xludf.DUMMYFUNCTION("""COMPUTED_VALUE"""),2)</f>
        <v>2</v>
      </c>
      <c r="D10746" s="12" t="str">
        <f ca="1">IFERROR(__xludf.DUMMYFUNCTION("""COMPUTED_VALUE"""),"柿崎 晃司")</f>
        <v>柿崎 晃司</v>
      </c>
    </row>
    <row r="10747" spans="2:4" ht="13">
      <c r="B10747" s="12">
        <f ca="1">IFERROR(__xludf.DUMMYFUNCTION("""COMPUTED_VALUE"""),3703709)</f>
        <v>3703709</v>
      </c>
      <c r="C10747" s="14">
        <f ca="1">IFERROR(__xludf.DUMMYFUNCTION("""COMPUTED_VALUE"""),0)</f>
        <v>0</v>
      </c>
      <c r="D10747" s="12" t="str">
        <f ca="1">IFERROR(__xludf.DUMMYFUNCTION("""COMPUTED_VALUE"""),"柿崎 晃司")</f>
        <v>柿崎 晃司</v>
      </c>
    </row>
    <row r="10748" spans="2:4" ht="13">
      <c r="B10748" s="12">
        <f ca="1">IFERROR(__xludf.DUMMYFUNCTION("""COMPUTED_VALUE"""),3703710)</f>
        <v>3703710</v>
      </c>
      <c r="C10748" s="14">
        <f ca="1">IFERROR(__xludf.DUMMYFUNCTION("""COMPUTED_VALUE"""),0)</f>
        <v>0</v>
      </c>
      <c r="D10748" s="12" t="str">
        <f ca="1">IFERROR(__xludf.DUMMYFUNCTION("""COMPUTED_VALUE"""),"柿崎 晃司")</f>
        <v>柿崎 晃司</v>
      </c>
    </row>
    <row r="10749" spans="2:4" ht="13">
      <c r="B10749" s="12">
        <f ca="1">IFERROR(__xludf.DUMMYFUNCTION("""COMPUTED_VALUE"""),3703711)</f>
        <v>3703711</v>
      </c>
      <c r="C10749" s="14">
        <f ca="1">IFERROR(__xludf.DUMMYFUNCTION("""COMPUTED_VALUE"""),10)</f>
        <v>10</v>
      </c>
      <c r="D10749" s="12" t="str">
        <f ca="1">IFERROR(__xludf.DUMMYFUNCTION("""COMPUTED_VALUE"""),"柿崎 晃司")</f>
        <v>柿崎 晃司</v>
      </c>
    </row>
    <row r="10750" spans="2:4" ht="13">
      <c r="B10750" s="12">
        <f ca="1">IFERROR(__xludf.DUMMYFUNCTION("""COMPUTED_VALUE"""),3703712)</f>
        <v>3703712</v>
      </c>
      <c r="C10750" s="14">
        <f ca="1">IFERROR(__xludf.DUMMYFUNCTION("""COMPUTED_VALUE"""),10)</f>
        <v>10</v>
      </c>
      <c r="D10750" s="12" t="str">
        <f ca="1">IFERROR(__xludf.DUMMYFUNCTION("""COMPUTED_VALUE"""),"柿崎 晃司")</f>
        <v>柿崎 晃司</v>
      </c>
    </row>
    <row r="10751" spans="2:4" ht="13">
      <c r="B10751" s="12">
        <f ca="1">IFERROR(__xludf.DUMMYFUNCTION("""COMPUTED_VALUE"""),3703713)</f>
        <v>3703713</v>
      </c>
      <c r="C10751" s="14">
        <f ca="1">IFERROR(__xludf.DUMMYFUNCTION("""COMPUTED_VALUE"""),0)</f>
        <v>0</v>
      </c>
      <c r="D10751" s="12" t="str">
        <f ca="1">IFERROR(__xludf.DUMMYFUNCTION("""COMPUTED_VALUE"""),"柿崎 晃司")</f>
        <v>柿崎 晃司</v>
      </c>
    </row>
    <row r="10752" spans="2:4" ht="13">
      <c r="B10752" s="12">
        <f ca="1">IFERROR(__xludf.DUMMYFUNCTION("""COMPUTED_VALUE"""),3703714)</f>
        <v>3703714</v>
      </c>
      <c r="C10752" s="14">
        <f ca="1">IFERROR(__xludf.DUMMYFUNCTION("""COMPUTED_VALUE"""),0)</f>
        <v>0</v>
      </c>
      <c r="D10752" s="12" t="str">
        <f ca="1">IFERROR(__xludf.DUMMYFUNCTION("""COMPUTED_VALUE"""),"柿崎 晃司")</f>
        <v>柿崎 晃司</v>
      </c>
    </row>
    <row r="10753" spans="2:4" ht="13">
      <c r="B10753" s="12">
        <f ca="1">IFERROR(__xludf.DUMMYFUNCTION("""COMPUTED_VALUE"""),3703715)</f>
        <v>3703715</v>
      </c>
      <c r="C10753" s="14">
        <f ca="1">IFERROR(__xludf.DUMMYFUNCTION("""COMPUTED_VALUE"""),0)</f>
        <v>0</v>
      </c>
      <c r="D10753" s="12" t="str">
        <f ca="1">IFERROR(__xludf.DUMMYFUNCTION("""COMPUTED_VALUE"""),"柿崎 晃司")</f>
        <v>柿崎 晃司</v>
      </c>
    </row>
    <row r="10754" spans="2:4" ht="13">
      <c r="B10754" s="12">
        <f ca="1">IFERROR(__xludf.DUMMYFUNCTION("""COMPUTED_VALUE"""),3703716)</f>
        <v>3703716</v>
      </c>
      <c r="C10754" s="14">
        <f ca="1">IFERROR(__xludf.DUMMYFUNCTION("""COMPUTED_VALUE"""),4)</f>
        <v>4</v>
      </c>
      <c r="D10754" s="12" t="str">
        <f ca="1">IFERROR(__xludf.DUMMYFUNCTION("""COMPUTED_VALUE"""),"柿崎 晃司")</f>
        <v>柿崎 晃司</v>
      </c>
    </row>
    <row r="10755" spans="2:4" ht="13">
      <c r="B10755" s="12">
        <f ca="1">IFERROR(__xludf.DUMMYFUNCTION("""COMPUTED_VALUE"""),3703717)</f>
        <v>3703717</v>
      </c>
      <c r="C10755" s="14">
        <f ca="1">IFERROR(__xludf.DUMMYFUNCTION("""COMPUTED_VALUE"""),4)</f>
        <v>4</v>
      </c>
      <c r="D10755" s="12" t="str">
        <f ca="1">IFERROR(__xludf.DUMMYFUNCTION("""COMPUTED_VALUE"""),"柿崎 晃司")</f>
        <v>柿崎 晃司</v>
      </c>
    </row>
    <row r="10756" spans="2:4" ht="13">
      <c r="B10756" s="12">
        <f ca="1">IFERROR(__xludf.DUMMYFUNCTION("""COMPUTED_VALUE"""),3703718)</f>
        <v>3703718</v>
      </c>
      <c r="C10756" s="14">
        <f ca="1">IFERROR(__xludf.DUMMYFUNCTION("""COMPUTED_VALUE"""),4)</f>
        <v>4</v>
      </c>
      <c r="D10756" s="12" t="str">
        <f ca="1">IFERROR(__xludf.DUMMYFUNCTION("""COMPUTED_VALUE"""),"柿崎 晃司")</f>
        <v>柿崎 晃司</v>
      </c>
    </row>
    <row r="10757" spans="2:4" ht="13">
      <c r="B10757" s="12">
        <f ca="1">IFERROR(__xludf.DUMMYFUNCTION("""COMPUTED_VALUE"""),3703719)</f>
        <v>3703719</v>
      </c>
      <c r="C10757" s="14">
        <f ca="1">IFERROR(__xludf.DUMMYFUNCTION("""COMPUTED_VALUE"""),13)</f>
        <v>13</v>
      </c>
      <c r="D10757" s="12" t="str">
        <f ca="1">IFERROR(__xludf.DUMMYFUNCTION("""COMPUTED_VALUE"""),"柿崎 晃司")</f>
        <v>柿崎 晃司</v>
      </c>
    </row>
    <row r="10758" spans="2:4" ht="13">
      <c r="B10758" s="12">
        <f ca="1">IFERROR(__xludf.DUMMYFUNCTION("""COMPUTED_VALUE"""),3703720)</f>
        <v>3703720</v>
      </c>
      <c r="C10758" s="14">
        <f ca="1">IFERROR(__xludf.DUMMYFUNCTION("""COMPUTED_VALUE"""),6)</f>
        <v>6</v>
      </c>
      <c r="D10758" s="12" t="str">
        <f ca="1">IFERROR(__xludf.DUMMYFUNCTION("""COMPUTED_VALUE"""),"柿崎 晃司")</f>
        <v>柿崎 晃司</v>
      </c>
    </row>
    <row r="10759" spans="2:4" ht="13">
      <c r="B10759" s="12">
        <f ca="1">IFERROR(__xludf.DUMMYFUNCTION("""COMPUTED_VALUE"""),3703721)</f>
        <v>3703721</v>
      </c>
      <c r="C10759" s="14">
        <f ca="1">IFERROR(__xludf.DUMMYFUNCTION("""COMPUTED_VALUE"""),9)</f>
        <v>9</v>
      </c>
      <c r="D10759" s="12" t="str">
        <f ca="1">IFERROR(__xludf.DUMMYFUNCTION("""COMPUTED_VALUE"""),"柿崎 晃司")</f>
        <v>柿崎 晃司</v>
      </c>
    </row>
    <row r="10760" spans="2:4" ht="13">
      <c r="B10760" s="12">
        <f ca="1">IFERROR(__xludf.DUMMYFUNCTION("""COMPUTED_VALUE"""),3703722)</f>
        <v>3703722</v>
      </c>
      <c r="C10760" s="14">
        <f ca="1">IFERROR(__xludf.DUMMYFUNCTION("""COMPUTED_VALUE"""),5)</f>
        <v>5</v>
      </c>
      <c r="D10760" s="12" t="str">
        <f ca="1">IFERROR(__xludf.DUMMYFUNCTION("""COMPUTED_VALUE"""),"柿崎 晃司")</f>
        <v>柿崎 晃司</v>
      </c>
    </row>
    <row r="10761" spans="2:4" ht="13">
      <c r="B10761" s="12">
        <f ca="1">IFERROR(__xludf.DUMMYFUNCTION("""COMPUTED_VALUE"""),3703723)</f>
        <v>3703723</v>
      </c>
      <c r="C10761" s="14">
        <f ca="1">IFERROR(__xludf.DUMMYFUNCTION("""COMPUTED_VALUE"""),0)</f>
        <v>0</v>
      </c>
      <c r="D10761" s="12" t="str">
        <f ca="1">IFERROR(__xludf.DUMMYFUNCTION("""COMPUTED_VALUE"""),"柿崎 晃司")</f>
        <v>柿崎 晃司</v>
      </c>
    </row>
    <row r="10762" spans="2:4" ht="13">
      <c r="B10762" s="12">
        <f ca="1">IFERROR(__xludf.DUMMYFUNCTION("""COMPUTED_VALUE"""),3703724)</f>
        <v>3703724</v>
      </c>
      <c r="C10762" s="14">
        <f ca="1">IFERROR(__xludf.DUMMYFUNCTION("""COMPUTED_VALUE"""),1)</f>
        <v>1</v>
      </c>
      <c r="D10762" s="12" t="str">
        <f ca="1">IFERROR(__xludf.DUMMYFUNCTION("""COMPUTED_VALUE"""),"柿崎 晃司")</f>
        <v>柿崎 晃司</v>
      </c>
    </row>
    <row r="10763" spans="2:4" ht="13">
      <c r="B10763" s="12">
        <f ca="1">IFERROR(__xludf.DUMMYFUNCTION("""COMPUTED_VALUE"""),3703725)</f>
        <v>3703725</v>
      </c>
      <c r="C10763" s="14">
        <f ca="1">IFERROR(__xludf.DUMMYFUNCTION("""COMPUTED_VALUE"""),0)</f>
        <v>0</v>
      </c>
      <c r="D10763" s="12" t="str">
        <f ca="1">IFERROR(__xludf.DUMMYFUNCTION("""COMPUTED_VALUE"""),"柿崎 晃司")</f>
        <v>柿崎 晃司</v>
      </c>
    </row>
    <row r="10764" spans="2:4" ht="13">
      <c r="B10764" s="12">
        <f ca="1">IFERROR(__xludf.DUMMYFUNCTION("""COMPUTED_VALUE"""),3703726)</f>
        <v>3703726</v>
      </c>
      <c r="C10764" s="14">
        <f ca="1">IFERROR(__xludf.DUMMYFUNCTION("""COMPUTED_VALUE"""),10)</f>
        <v>10</v>
      </c>
      <c r="D10764" s="12" t="str">
        <f ca="1">IFERROR(__xludf.DUMMYFUNCTION("""COMPUTED_VALUE"""),"柿崎 晃司")</f>
        <v>柿崎 晃司</v>
      </c>
    </row>
    <row r="10765" spans="2:4" ht="13">
      <c r="B10765" s="12">
        <f ca="1">IFERROR(__xludf.DUMMYFUNCTION("""COMPUTED_VALUE"""),3703727)</f>
        <v>3703727</v>
      </c>
      <c r="C10765" s="14">
        <f ca="1">IFERROR(__xludf.DUMMYFUNCTION("""COMPUTED_VALUE"""),8)</f>
        <v>8</v>
      </c>
      <c r="D10765" s="12" t="str">
        <f ca="1">IFERROR(__xludf.DUMMYFUNCTION("""COMPUTED_VALUE"""),"柿崎 晃司")</f>
        <v>柿崎 晃司</v>
      </c>
    </row>
    <row r="10766" spans="2:4" ht="13">
      <c r="B10766" s="12">
        <f ca="1">IFERROR(__xludf.DUMMYFUNCTION("""COMPUTED_VALUE"""),3703728)</f>
        <v>3703728</v>
      </c>
      <c r="C10766" s="14">
        <f ca="1">IFERROR(__xludf.DUMMYFUNCTION("""COMPUTED_VALUE"""),3)</f>
        <v>3</v>
      </c>
      <c r="D10766" s="12" t="str">
        <f ca="1">IFERROR(__xludf.DUMMYFUNCTION("""COMPUTED_VALUE"""),"柿崎 晃司")</f>
        <v>柿崎 晃司</v>
      </c>
    </row>
    <row r="10767" spans="2:4" ht="13">
      <c r="B10767" s="12">
        <f ca="1">IFERROR(__xludf.DUMMYFUNCTION("""COMPUTED_VALUE"""),3703729)</f>
        <v>3703729</v>
      </c>
      <c r="C10767" s="14">
        <f ca="1">IFERROR(__xludf.DUMMYFUNCTION("""COMPUTED_VALUE"""),27)</f>
        <v>27</v>
      </c>
      <c r="D10767" s="12" t="str">
        <f ca="1">IFERROR(__xludf.DUMMYFUNCTION("""COMPUTED_VALUE"""),"柿崎 晃司")</f>
        <v>柿崎 晃司</v>
      </c>
    </row>
    <row r="10768" spans="2:4" ht="13">
      <c r="B10768" s="12">
        <f ca="1">IFERROR(__xludf.DUMMYFUNCTION("""COMPUTED_VALUE"""),3703730)</f>
        <v>3703730</v>
      </c>
      <c r="C10768" s="14">
        <f ca="1">IFERROR(__xludf.DUMMYFUNCTION("""COMPUTED_VALUE"""),8)</f>
        <v>8</v>
      </c>
      <c r="D10768" s="12" t="str">
        <f ca="1">IFERROR(__xludf.DUMMYFUNCTION("""COMPUTED_VALUE"""),"柿崎 晃司")</f>
        <v>柿崎 晃司</v>
      </c>
    </row>
    <row r="10769" spans="2:4" ht="13">
      <c r="B10769" s="12">
        <f ca="1">IFERROR(__xludf.DUMMYFUNCTION("""COMPUTED_VALUE"""),3703731)</f>
        <v>3703731</v>
      </c>
      <c r="C10769" s="14">
        <f ca="1">IFERROR(__xludf.DUMMYFUNCTION("""COMPUTED_VALUE"""),0)</f>
        <v>0</v>
      </c>
      <c r="D10769" s="12" t="str">
        <f ca="1">IFERROR(__xludf.DUMMYFUNCTION("""COMPUTED_VALUE"""),"柿崎 晃司")</f>
        <v>柿崎 晃司</v>
      </c>
    </row>
    <row r="10770" spans="2:4" ht="13">
      <c r="B10770" s="12">
        <f ca="1">IFERROR(__xludf.DUMMYFUNCTION("""COMPUTED_VALUE"""),3703732)</f>
        <v>3703732</v>
      </c>
      <c r="C10770" s="14">
        <f ca="1">IFERROR(__xludf.DUMMYFUNCTION("""COMPUTED_VALUE"""),4)</f>
        <v>4</v>
      </c>
      <c r="D10770" s="12" t="str">
        <f ca="1">IFERROR(__xludf.DUMMYFUNCTION("""COMPUTED_VALUE"""),"柿崎 晃司")</f>
        <v>柿崎 晃司</v>
      </c>
    </row>
    <row r="10771" spans="2:4" ht="13">
      <c r="B10771" s="12">
        <f ca="1">IFERROR(__xludf.DUMMYFUNCTION("""COMPUTED_VALUE"""),3703733)</f>
        <v>3703733</v>
      </c>
      <c r="C10771" s="14">
        <f ca="1">IFERROR(__xludf.DUMMYFUNCTION("""COMPUTED_VALUE"""),12)</f>
        <v>12</v>
      </c>
      <c r="D10771" s="12" t="str">
        <f ca="1">IFERROR(__xludf.DUMMYFUNCTION("""COMPUTED_VALUE"""),"柿崎 晃司")</f>
        <v>柿崎 晃司</v>
      </c>
    </row>
    <row r="10772" spans="2:4" ht="13">
      <c r="B10772" s="12">
        <f ca="1">IFERROR(__xludf.DUMMYFUNCTION("""COMPUTED_VALUE"""),3703734)</f>
        <v>3703734</v>
      </c>
      <c r="C10772" s="14">
        <f ca="1">IFERROR(__xludf.DUMMYFUNCTION("""COMPUTED_VALUE"""),6)</f>
        <v>6</v>
      </c>
      <c r="D10772" s="12" t="str">
        <f ca="1">IFERROR(__xludf.DUMMYFUNCTION("""COMPUTED_VALUE"""),"柿崎 晃司")</f>
        <v>柿崎 晃司</v>
      </c>
    </row>
    <row r="10773" spans="2:4" ht="13">
      <c r="B10773" s="12">
        <f ca="1">IFERROR(__xludf.DUMMYFUNCTION("""COMPUTED_VALUE"""),3703735)</f>
        <v>3703735</v>
      </c>
      <c r="C10773" s="14">
        <f ca="1">IFERROR(__xludf.DUMMYFUNCTION("""COMPUTED_VALUE"""),4)</f>
        <v>4</v>
      </c>
      <c r="D10773" s="12" t="str">
        <f ca="1">IFERROR(__xludf.DUMMYFUNCTION("""COMPUTED_VALUE"""),"柿崎 晃司")</f>
        <v>柿崎 晃司</v>
      </c>
    </row>
    <row r="10774" spans="2:4" ht="13">
      <c r="B10774" s="12">
        <f ca="1">IFERROR(__xludf.DUMMYFUNCTION("""COMPUTED_VALUE"""),3703736)</f>
        <v>3703736</v>
      </c>
      <c r="C10774" s="14">
        <f ca="1">IFERROR(__xludf.DUMMYFUNCTION("""COMPUTED_VALUE"""),0)</f>
        <v>0</v>
      </c>
      <c r="D10774" s="12" t="str">
        <f ca="1">IFERROR(__xludf.DUMMYFUNCTION("""COMPUTED_VALUE"""),"柿崎 晃司")</f>
        <v>柿崎 晃司</v>
      </c>
    </row>
    <row r="10775" spans="2:4" ht="13">
      <c r="B10775" s="12">
        <f ca="1">IFERROR(__xludf.DUMMYFUNCTION("""COMPUTED_VALUE"""),3703737)</f>
        <v>3703737</v>
      </c>
      <c r="C10775" s="14">
        <f ca="1">IFERROR(__xludf.DUMMYFUNCTION("""COMPUTED_VALUE"""),1)</f>
        <v>1</v>
      </c>
      <c r="D10775" s="12" t="str">
        <f ca="1">IFERROR(__xludf.DUMMYFUNCTION("""COMPUTED_VALUE"""),"柿崎 晃司")</f>
        <v>柿崎 晃司</v>
      </c>
    </row>
    <row r="10776" spans="2:4" ht="13">
      <c r="B10776" s="12">
        <f ca="1">IFERROR(__xludf.DUMMYFUNCTION("""COMPUTED_VALUE"""),3703738)</f>
        <v>3703738</v>
      </c>
      <c r="C10776" s="14">
        <f ca="1">IFERROR(__xludf.DUMMYFUNCTION("""COMPUTED_VALUE"""),32)</f>
        <v>32</v>
      </c>
      <c r="D10776" s="12" t="str">
        <f ca="1">IFERROR(__xludf.DUMMYFUNCTION("""COMPUTED_VALUE"""),"柿崎 晃司")</f>
        <v>柿崎 晃司</v>
      </c>
    </row>
    <row r="10777" spans="2:4" ht="13">
      <c r="B10777" s="12">
        <f ca="1">IFERROR(__xludf.DUMMYFUNCTION("""COMPUTED_VALUE"""),3703740)</f>
        <v>3703740</v>
      </c>
      <c r="C10777" s="14">
        <f ca="1">IFERROR(__xludf.DUMMYFUNCTION("""COMPUTED_VALUE"""),3)</f>
        <v>3</v>
      </c>
      <c r="D10777" s="12" t="str">
        <f ca="1">IFERROR(__xludf.DUMMYFUNCTION("""COMPUTED_VALUE"""),"柿崎 晃司")</f>
        <v>柿崎 晃司</v>
      </c>
    </row>
    <row r="10778" spans="2:4" ht="13">
      <c r="B10778" s="12">
        <f ca="1">IFERROR(__xludf.DUMMYFUNCTION("""COMPUTED_VALUE"""),3703741)</f>
        <v>3703741</v>
      </c>
      <c r="C10778" s="14">
        <f ca="1">IFERROR(__xludf.DUMMYFUNCTION("""COMPUTED_VALUE"""),0)</f>
        <v>0</v>
      </c>
      <c r="D10778" s="12" t="str">
        <f ca="1">IFERROR(__xludf.DUMMYFUNCTION("""COMPUTED_VALUE"""),"柿崎 晃司")</f>
        <v>柿崎 晃司</v>
      </c>
    </row>
    <row r="10779" spans="2:4" ht="13">
      <c r="B10779" s="12">
        <f ca="1">IFERROR(__xludf.DUMMYFUNCTION("""COMPUTED_VALUE"""),3703742)</f>
        <v>3703742</v>
      </c>
      <c r="C10779" s="14">
        <f ca="1">IFERROR(__xludf.DUMMYFUNCTION("""COMPUTED_VALUE"""),2)</f>
        <v>2</v>
      </c>
      <c r="D10779" s="12" t="str">
        <f ca="1">IFERROR(__xludf.DUMMYFUNCTION("""COMPUTED_VALUE"""),"柿崎 晃司")</f>
        <v>柿崎 晃司</v>
      </c>
    </row>
    <row r="10780" spans="2:4" ht="13">
      <c r="B10780" s="12">
        <f ca="1">IFERROR(__xludf.DUMMYFUNCTION("""COMPUTED_VALUE"""),3703743)</f>
        <v>3703743</v>
      </c>
      <c r="C10780" s="14">
        <f ca="1">IFERROR(__xludf.DUMMYFUNCTION("""COMPUTED_VALUE"""),11)</f>
        <v>11</v>
      </c>
      <c r="D10780" s="12" t="str">
        <f ca="1">IFERROR(__xludf.DUMMYFUNCTION("""COMPUTED_VALUE"""),"柿崎 晃司")</f>
        <v>柿崎 晃司</v>
      </c>
    </row>
    <row r="10781" spans="2:4" ht="13">
      <c r="B10781" s="12">
        <f ca="1">IFERROR(__xludf.DUMMYFUNCTION("""COMPUTED_VALUE"""),3703744)</f>
        <v>3703744</v>
      </c>
      <c r="C10781" s="14">
        <f ca="1">IFERROR(__xludf.DUMMYFUNCTION("""COMPUTED_VALUE"""),8)</f>
        <v>8</v>
      </c>
      <c r="D10781" s="12" t="str">
        <f ca="1">IFERROR(__xludf.DUMMYFUNCTION("""COMPUTED_VALUE"""),"柿崎 晃司")</f>
        <v>柿崎 晃司</v>
      </c>
    </row>
    <row r="10782" spans="2:4" ht="13">
      <c r="B10782" s="12">
        <f ca="1">IFERROR(__xludf.DUMMYFUNCTION("""COMPUTED_VALUE"""),3703745)</f>
        <v>3703745</v>
      </c>
      <c r="C10782" s="14">
        <f ca="1">IFERROR(__xludf.DUMMYFUNCTION("""COMPUTED_VALUE"""),20)</f>
        <v>20</v>
      </c>
      <c r="D10782" s="12" t="str">
        <f ca="1">IFERROR(__xludf.DUMMYFUNCTION("""COMPUTED_VALUE"""),"柿崎 晃司")</f>
        <v>柿崎 晃司</v>
      </c>
    </row>
    <row r="10783" spans="2:4" ht="13">
      <c r="B10783" s="12">
        <f ca="1">IFERROR(__xludf.DUMMYFUNCTION("""COMPUTED_VALUE"""),3703746)</f>
        <v>3703746</v>
      </c>
      <c r="C10783" s="14">
        <f ca="1">IFERROR(__xludf.DUMMYFUNCTION("""COMPUTED_VALUE"""),19)</f>
        <v>19</v>
      </c>
      <c r="D10783" s="12" t="str">
        <f ca="1">IFERROR(__xludf.DUMMYFUNCTION("""COMPUTED_VALUE"""),"柿崎 晃司")</f>
        <v>柿崎 晃司</v>
      </c>
    </row>
    <row r="10784" spans="2:4" ht="13">
      <c r="B10784" s="12">
        <f ca="1">IFERROR(__xludf.DUMMYFUNCTION("""COMPUTED_VALUE"""),3703747)</f>
        <v>3703747</v>
      </c>
      <c r="C10784" s="14">
        <f ca="1">IFERROR(__xludf.DUMMYFUNCTION("""COMPUTED_VALUE"""),22)</f>
        <v>22</v>
      </c>
      <c r="D10784" s="12" t="str">
        <f ca="1">IFERROR(__xludf.DUMMYFUNCTION("""COMPUTED_VALUE"""),"柿崎 晃司")</f>
        <v>柿崎 晃司</v>
      </c>
    </row>
    <row r="10785" spans="2:4" ht="13">
      <c r="B10785" s="12">
        <f ca="1">IFERROR(__xludf.DUMMYFUNCTION("""COMPUTED_VALUE"""),3703748)</f>
        <v>3703748</v>
      </c>
      <c r="C10785" s="14">
        <f ca="1">IFERROR(__xludf.DUMMYFUNCTION("""COMPUTED_VALUE"""),16)</f>
        <v>16</v>
      </c>
      <c r="D10785" s="12" t="str">
        <f ca="1">IFERROR(__xludf.DUMMYFUNCTION("""COMPUTED_VALUE"""),"柿崎 晃司")</f>
        <v>柿崎 晃司</v>
      </c>
    </row>
    <row r="10786" spans="2:4" ht="13">
      <c r="B10786" s="12">
        <f ca="1">IFERROR(__xludf.DUMMYFUNCTION("""COMPUTED_VALUE"""),3703749)</f>
        <v>3703749</v>
      </c>
      <c r="C10786" s="14">
        <f ca="1">IFERROR(__xludf.DUMMYFUNCTION("""COMPUTED_VALUE"""),0)</f>
        <v>0</v>
      </c>
      <c r="D10786" s="12" t="str">
        <f ca="1">IFERROR(__xludf.DUMMYFUNCTION("""COMPUTED_VALUE"""),"柿崎 晃司")</f>
        <v>柿崎 晃司</v>
      </c>
    </row>
    <row r="10787" spans="2:4" ht="13">
      <c r="B10787" s="12">
        <f ca="1">IFERROR(__xludf.DUMMYFUNCTION("""COMPUTED_VALUE"""),3703750)</f>
        <v>3703750</v>
      </c>
      <c r="C10787" s="14">
        <f ca="1">IFERROR(__xludf.DUMMYFUNCTION("""COMPUTED_VALUE"""),26)</f>
        <v>26</v>
      </c>
      <c r="D10787" s="12" t="str">
        <f ca="1">IFERROR(__xludf.DUMMYFUNCTION("""COMPUTED_VALUE"""),"柿崎 晃司")</f>
        <v>柿崎 晃司</v>
      </c>
    </row>
    <row r="10788" spans="2:4" ht="13">
      <c r="B10788" s="12">
        <f ca="1">IFERROR(__xludf.DUMMYFUNCTION("""COMPUTED_VALUE"""),3703751)</f>
        <v>3703751</v>
      </c>
      <c r="C10788" s="14">
        <f ca="1">IFERROR(__xludf.DUMMYFUNCTION("""COMPUTED_VALUE"""),28)</f>
        <v>28</v>
      </c>
      <c r="D10788" s="12" t="str">
        <f ca="1">IFERROR(__xludf.DUMMYFUNCTION("""COMPUTED_VALUE"""),"柿崎 晃司")</f>
        <v>柿崎 晃司</v>
      </c>
    </row>
    <row r="10789" spans="2:4" ht="13">
      <c r="B10789" s="12">
        <f ca="1">IFERROR(__xludf.DUMMYFUNCTION("""COMPUTED_VALUE"""),3703752)</f>
        <v>3703752</v>
      </c>
      <c r="C10789" s="14">
        <f ca="1">IFERROR(__xludf.DUMMYFUNCTION("""COMPUTED_VALUE"""),47)</f>
        <v>47</v>
      </c>
      <c r="D10789" s="12" t="str">
        <f ca="1">IFERROR(__xludf.DUMMYFUNCTION("""COMPUTED_VALUE"""),"柿崎 晃司")</f>
        <v>柿崎 晃司</v>
      </c>
    </row>
    <row r="10790" spans="2:4" ht="13">
      <c r="B10790" s="12">
        <f ca="1">IFERROR(__xludf.DUMMYFUNCTION("""COMPUTED_VALUE"""),3703753)</f>
        <v>3703753</v>
      </c>
      <c r="C10790" s="14">
        <f ca="1">IFERROR(__xludf.DUMMYFUNCTION("""COMPUTED_VALUE"""),1)</f>
        <v>1</v>
      </c>
      <c r="D10790" s="12" t="str">
        <f ca="1">IFERROR(__xludf.DUMMYFUNCTION("""COMPUTED_VALUE"""),"柿崎 晃司")</f>
        <v>柿崎 晃司</v>
      </c>
    </row>
    <row r="10791" spans="2:4" ht="13">
      <c r="B10791" s="12">
        <f ca="1">IFERROR(__xludf.DUMMYFUNCTION("""COMPUTED_VALUE"""),3703754)</f>
        <v>3703754</v>
      </c>
      <c r="C10791" s="14">
        <f ca="1">IFERROR(__xludf.DUMMYFUNCTION("""COMPUTED_VALUE"""),25)</f>
        <v>25</v>
      </c>
      <c r="D10791" s="12" t="str">
        <f ca="1">IFERROR(__xludf.DUMMYFUNCTION("""COMPUTED_VALUE"""),"柿崎 晃司")</f>
        <v>柿崎 晃司</v>
      </c>
    </row>
    <row r="10792" spans="2:4" ht="13">
      <c r="B10792" s="12">
        <f ca="1">IFERROR(__xludf.DUMMYFUNCTION("""COMPUTED_VALUE"""),3703755)</f>
        <v>3703755</v>
      </c>
      <c r="C10792" s="14">
        <f ca="1">IFERROR(__xludf.DUMMYFUNCTION("""COMPUTED_VALUE"""),23)</f>
        <v>23</v>
      </c>
      <c r="D10792" s="12" t="str">
        <f ca="1">IFERROR(__xludf.DUMMYFUNCTION("""COMPUTED_VALUE"""),"柿崎 晃司")</f>
        <v>柿崎 晃司</v>
      </c>
    </row>
    <row r="10793" spans="2:4" ht="13">
      <c r="B10793" s="12">
        <f ca="1">IFERROR(__xludf.DUMMYFUNCTION("""COMPUTED_VALUE"""),3703756)</f>
        <v>3703756</v>
      </c>
      <c r="C10793" s="14">
        <f ca="1">IFERROR(__xludf.DUMMYFUNCTION("""COMPUTED_VALUE"""),2)</f>
        <v>2</v>
      </c>
      <c r="D10793" s="12" t="str">
        <f ca="1">IFERROR(__xludf.DUMMYFUNCTION("""COMPUTED_VALUE"""),"柿崎 晃司")</f>
        <v>柿崎 晃司</v>
      </c>
    </row>
    <row r="10794" spans="2:4" ht="13">
      <c r="B10794" s="12">
        <f ca="1">IFERROR(__xludf.DUMMYFUNCTION("""COMPUTED_VALUE"""),3703757)</f>
        <v>3703757</v>
      </c>
      <c r="C10794" s="14">
        <f ca="1">IFERROR(__xludf.DUMMYFUNCTION("""COMPUTED_VALUE"""),14)</f>
        <v>14</v>
      </c>
      <c r="D10794" s="12" t="str">
        <f ca="1">IFERROR(__xludf.DUMMYFUNCTION("""COMPUTED_VALUE"""),"柿崎 晃司")</f>
        <v>柿崎 晃司</v>
      </c>
    </row>
    <row r="10795" spans="2:4" ht="13">
      <c r="B10795" s="12">
        <f ca="1">IFERROR(__xludf.DUMMYFUNCTION("""COMPUTED_VALUE"""),3703758)</f>
        <v>3703758</v>
      </c>
      <c r="C10795" s="14">
        <f ca="1">IFERROR(__xludf.DUMMYFUNCTION("""COMPUTED_VALUE"""),0)</f>
        <v>0</v>
      </c>
      <c r="D10795" s="12" t="str">
        <f ca="1">IFERROR(__xludf.DUMMYFUNCTION("""COMPUTED_VALUE"""),"柿崎 晃司")</f>
        <v>柿崎 晃司</v>
      </c>
    </row>
    <row r="10796" spans="2:4" ht="13">
      <c r="B10796" s="12">
        <f ca="1">IFERROR(__xludf.DUMMYFUNCTION("""COMPUTED_VALUE"""),3703759)</f>
        <v>3703759</v>
      </c>
      <c r="C10796" s="14">
        <f ca="1">IFERROR(__xludf.DUMMYFUNCTION("""COMPUTED_VALUE"""),1)</f>
        <v>1</v>
      </c>
      <c r="D10796" s="12" t="str">
        <f ca="1">IFERROR(__xludf.DUMMYFUNCTION("""COMPUTED_VALUE"""),"柿崎 晃司")</f>
        <v>柿崎 晃司</v>
      </c>
    </row>
    <row r="10797" spans="2:4" ht="13">
      <c r="B10797" s="12">
        <f ca="1">IFERROR(__xludf.DUMMYFUNCTION("""COMPUTED_VALUE"""),3703760)</f>
        <v>3703760</v>
      </c>
      <c r="C10797" s="14">
        <f ca="1">IFERROR(__xludf.DUMMYFUNCTION("""COMPUTED_VALUE"""),0)</f>
        <v>0</v>
      </c>
      <c r="D10797" s="12" t="str">
        <f ca="1">IFERROR(__xludf.DUMMYFUNCTION("""COMPUTED_VALUE"""),"柿崎 晃司")</f>
        <v>柿崎 晃司</v>
      </c>
    </row>
    <row r="10798" spans="2:4" ht="13">
      <c r="B10798" s="12">
        <f ca="1">IFERROR(__xludf.DUMMYFUNCTION("""COMPUTED_VALUE"""),3703761)</f>
        <v>3703761</v>
      </c>
      <c r="C10798" s="14">
        <f ca="1">IFERROR(__xludf.DUMMYFUNCTION("""COMPUTED_VALUE"""),18)</f>
        <v>18</v>
      </c>
      <c r="D10798" s="12" t="str">
        <f ca="1">IFERROR(__xludf.DUMMYFUNCTION("""COMPUTED_VALUE"""),"柿崎 晃司")</f>
        <v>柿崎 晃司</v>
      </c>
    </row>
    <row r="10799" spans="2:4" ht="13">
      <c r="B10799" s="12">
        <f ca="1">IFERROR(__xludf.DUMMYFUNCTION("""COMPUTED_VALUE"""),3703762)</f>
        <v>3703762</v>
      </c>
      <c r="C10799" s="14">
        <f ca="1">IFERROR(__xludf.DUMMYFUNCTION("""COMPUTED_VALUE"""),2)</f>
        <v>2</v>
      </c>
      <c r="D10799" s="12" t="str">
        <f ca="1">IFERROR(__xludf.DUMMYFUNCTION("""COMPUTED_VALUE"""),"柿崎 晃司")</f>
        <v>柿崎 晃司</v>
      </c>
    </row>
    <row r="10800" spans="2:4" ht="13">
      <c r="B10800" s="12">
        <f ca="1">IFERROR(__xludf.DUMMYFUNCTION("""COMPUTED_VALUE"""),3703763)</f>
        <v>3703763</v>
      </c>
      <c r="C10800" s="14">
        <f ca="1">IFERROR(__xludf.DUMMYFUNCTION("""COMPUTED_VALUE"""),5)</f>
        <v>5</v>
      </c>
      <c r="D10800" s="12" t="str">
        <f ca="1">IFERROR(__xludf.DUMMYFUNCTION("""COMPUTED_VALUE"""),"柿崎 晃司")</f>
        <v>柿崎 晃司</v>
      </c>
    </row>
    <row r="10801" spans="2:4" ht="13">
      <c r="B10801" s="12">
        <f ca="1">IFERROR(__xludf.DUMMYFUNCTION("""COMPUTED_VALUE"""),3703764)</f>
        <v>3703764</v>
      </c>
      <c r="C10801" s="14">
        <f ca="1">IFERROR(__xludf.DUMMYFUNCTION("""COMPUTED_VALUE"""),5)</f>
        <v>5</v>
      </c>
      <c r="D10801" s="12" t="str">
        <f ca="1">IFERROR(__xludf.DUMMYFUNCTION("""COMPUTED_VALUE"""),"柿崎 晃司")</f>
        <v>柿崎 晃司</v>
      </c>
    </row>
    <row r="10802" spans="2:4" ht="13">
      <c r="B10802" s="12">
        <f ca="1">IFERROR(__xludf.DUMMYFUNCTION("""COMPUTED_VALUE"""),3703765)</f>
        <v>3703765</v>
      </c>
      <c r="C10802" s="14">
        <f ca="1">IFERROR(__xludf.DUMMYFUNCTION("""COMPUTED_VALUE"""),3)</f>
        <v>3</v>
      </c>
      <c r="D10802" s="12" t="str">
        <f ca="1">IFERROR(__xludf.DUMMYFUNCTION("""COMPUTED_VALUE"""),"柿崎 晃司")</f>
        <v>柿崎 晃司</v>
      </c>
    </row>
    <row r="10803" spans="2:4" ht="13">
      <c r="B10803" s="12">
        <f ca="1">IFERROR(__xludf.DUMMYFUNCTION("""COMPUTED_VALUE"""),3703766)</f>
        <v>3703766</v>
      </c>
      <c r="C10803" s="14">
        <f ca="1">IFERROR(__xludf.DUMMYFUNCTION("""COMPUTED_VALUE"""),0)</f>
        <v>0</v>
      </c>
      <c r="D10803" s="12" t="str">
        <f ca="1">IFERROR(__xludf.DUMMYFUNCTION("""COMPUTED_VALUE"""),"柿崎 晃司")</f>
        <v>柿崎 晃司</v>
      </c>
    </row>
    <row r="10804" spans="2:4" ht="13">
      <c r="B10804" s="12">
        <f ca="1">IFERROR(__xludf.DUMMYFUNCTION("""COMPUTED_VALUE"""),3703767)</f>
        <v>3703767</v>
      </c>
      <c r="C10804" s="14">
        <f ca="1">IFERROR(__xludf.DUMMYFUNCTION("""COMPUTED_VALUE"""),0)</f>
        <v>0</v>
      </c>
      <c r="D10804" s="12" t="str">
        <f ca="1">IFERROR(__xludf.DUMMYFUNCTION("""COMPUTED_VALUE"""),"柿崎 晃司")</f>
        <v>柿崎 晃司</v>
      </c>
    </row>
    <row r="10805" spans="2:4" ht="13">
      <c r="B10805" s="12">
        <f ca="1">IFERROR(__xludf.DUMMYFUNCTION("""COMPUTED_VALUE"""),3703768)</f>
        <v>3703768</v>
      </c>
      <c r="C10805" s="14">
        <f ca="1">IFERROR(__xludf.DUMMYFUNCTION("""COMPUTED_VALUE"""),0)</f>
        <v>0</v>
      </c>
      <c r="D10805" s="12" t="str">
        <f ca="1">IFERROR(__xludf.DUMMYFUNCTION("""COMPUTED_VALUE"""),"柿崎 晃司")</f>
        <v>柿崎 晃司</v>
      </c>
    </row>
    <row r="10806" spans="2:4" ht="13">
      <c r="B10806" s="12">
        <f ca="1">IFERROR(__xludf.DUMMYFUNCTION("""COMPUTED_VALUE"""),3703769)</f>
        <v>3703769</v>
      </c>
      <c r="C10806" s="14">
        <f ca="1">IFERROR(__xludf.DUMMYFUNCTION("""COMPUTED_VALUE"""),0)</f>
        <v>0</v>
      </c>
      <c r="D10806" s="12" t="str">
        <f ca="1">IFERROR(__xludf.DUMMYFUNCTION("""COMPUTED_VALUE"""),"柿崎 晃司")</f>
        <v>柿崎 晃司</v>
      </c>
    </row>
    <row r="10807" spans="2:4" ht="13">
      <c r="B10807" s="12">
        <f ca="1">IFERROR(__xludf.DUMMYFUNCTION("""COMPUTED_VALUE"""),3703770)</f>
        <v>3703770</v>
      </c>
      <c r="C10807" s="14">
        <f ca="1">IFERROR(__xludf.DUMMYFUNCTION("""COMPUTED_VALUE"""),0)</f>
        <v>0</v>
      </c>
      <c r="D10807" s="12" t="str">
        <f ca="1">IFERROR(__xludf.DUMMYFUNCTION("""COMPUTED_VALUE"""),"柿崎 晃司")</f>
        <v>柿崎 晃司</v>
      </c>
    </row>
    <row r="10808" spans="2:4" ht="13">
      <c r="B10808" s="12">
        <f ca="1">IFERROR(__xludf.DUMMYFUNCTION("""COMPUTED_VALUE"""),3703771)</f>
        <v>3703771</v>
      </c>
      <c r="C10808" s="14">
        <f ca="1">IFERROR(__xludf.DUMMYFUNCTION("""COMPUTED_VALUE"""),0)</f>
        <v>0</v>
      </c>
      <c r="D10808" s="12" t="str">
        <f ca="1">IFERROR(__xludf.DUMMYFUNCTION("""COMPUTED_VALUE"""),"柿崎 晃司")</f>
        <v>柿崎 晃司</v>
      </c>
    </row>
    <row r="10809" spans="2:4" ht="13">
      <c r="B10809" s="12">
        <f ca="1">IFERROR(__xludf.DUMMYFUNCTION("""COMPUTED_VALUE"""),3703772)</f>
        <v>3703772</v>
      </c>
      <c r="C10809" s="14">
        <f ca="1">IFERROR(__xludf.DUMMYFUNCTION("""COMPUTED_VALUE"""),0)</f>
        <v>0</v>
      </c>
      <c r="D10809" s="12" t="str">
        <f ca="1">IFERROR(__xludf.DUMMYFUNCTION("""COMPUTED_VALUE"""),"柿崎 晃司")</f>
        <v>柿崎 晃司</v>
      </c>
    </row>
    <row r="10810" spans="2:4" ht="13">
      <c r="B10810" s="12">
        <f ca="1">IFERROR(__xludf.DUMMYFUNCTION("""COMPUTED_VALUE"""),3703773)</f>
        <v>3703773</v>
      </c>
      <c r="C10810" s="14">
        <f ca="1">IFERROR(__xludf.DUMMYFUNCTION("""COMPUTED_VALUE"""),0)</f>
        <v>0</v>
      </c>
      <c r="D10810" s="12" t="str">
        <f ca="1">IFERROR(__xludf.DUMMYFUNCTION("""COMPUTED_VALUE"""),"柿崎 晃司")</f>
        <v>柿崎 晃司</v>
      </c>
    </row>
    <row r="10811" spans="2:4" ht="13">
      <c r="B10811" s="12">
        <f ca="1">IFERROR(__xludf.DUMMYFUNCTION("""COMPUTED_VALUE"""),3703774)</f>
        <v>3703774</v>
      </c>
      <c r="C10811" s="14">
        <f ca="1">IFERROR(__xludf.DUMMYFUNCTION("""COMPUTED_VALUE"""),0)</f>
        <v>0</v>
      </c>
      <c r="D10811" s="12" t="str">
        <f ca="1">IFERROR(__xludf.DUMMYFUNCTION("""COMPUTED_VALUE"""),"柿崎 晃司")</f>
        <v>柿崎 晃司</v>
      </c>
    </row>
    <row r="10812" spans="2:4" ht="13">
      <c r="B10812" s="12">
        <f ca="1">IFERROR(__xludf.DUMMYFUNCTION("""COMPUTED_VALUE"""),3703775)</f>
        <v>3703775</v>
      </c>
      <c r="C10812" s="14">
        <f ca="1">IFERROR(__xludf.DUMMYFUNCTION("""COMPUTED_VALUE"""),2)</f>
        <v>2</v>
      </c>
      <c r="D10812" s="12" t="str">
        <f ca="1">IFERROR(__xludf.DUMMYFUNCTION("""COMPUTED_VALUE"""),"柿崎 晃司")</f>
        <v>柿崎 晃司</v>
      </c>
    </row>
    <row r="10813" spans="2:4" ht="13">
      <c r="B10813" s="12">
        <f ca="1">IFERROR(__xludf.DUMMYFUNCTION("""COMPUTED_VALUE"""),3703776)</f>
        <v>3703776</v>
      </c>
      <c r="C10813" s="14">
        <f ca="1">IFERROR(__xludf.DUMMYFUNCTION("""COMPUTED_VALUE"""),1)</f>
        <v>1</v>
      </c>
      <c r="D10813" s="12" t="str">
        <f ca="1">IFERROR(__xludf.DUMMYFUNCTION("""COMPUTED_VALUE"""),"柿崎 晃司")</f>
        <v>柿崎 晃司</v>
      </c>
    </row>
    <row r="10814" spans="2:4" ht="13">
      <c r="B10814" s="12">
        <f ca="1">IFERROR(__xludf.DUMMYFUNCTION("""COMPUTED_VALUE"""),3703777)</f>
        <v>3703777</v>
      </c>
      <c r="C10814" s="14">
        <f ca="1">IFERROR(__xludf.DUMMYFUNCTION("""COMPUTED_VALUE"""),0)</f>
        <v>0</v>
      </c>
      <c r="D10814" s="12" t="str">
        <f ca="1">IFERROR(__xludf.DUMMYFUNCTION("""COMPUTED_VALUE"""),"柿崎 晃司")</f>
        <v>柿崎 晃司</v>
      </c>
    </row>
    <row r="10815" spans="2:4" ht="13">
      <c r="B10815" s="12">
        <f ca="1">IFERROR(__xludf.DUMMYFUNCTION("""COMPUTED_VALUE"""),3703778)</f>
        <v>3703778</v>
      </c>
      <c r="C10815" s="14">
        <f ca="1">IFERROR(__xludf.DUMMYFUNCTION("""COMPUTED_VALUE"""),6)</f>
        <v>6</v>
      </c>
      <c r="D10815" s="12" t="str">
        <f ca="1">IFERROR(__xludf.DUMMYFUNCTION("""COMPUTED_VALUE"""),"柿崎 晃司")</f>
        <v>柿崎 晃司</v>
      </c>
    </row>
    <row r="10816" spans="2:4" ht="13">
      <c r="B10816" s="12">
        <f ca="1">IFERROR(__xludf.DUMMYFUNCTION("""COMPUTED_VALUE"""),3703779)</f>
        <v>3703779</v>
      </c>
      <c r="C10816" s="14">
        <f ca="1">IFERROR(__xludf.DUMMYFUNCTION("""COMPUTED_VALUE"""),4)</f>
        <v>4</v>
      </c>
      <c r="D10816" s="12" t="str">
        <f ca="1">IFERROR(__xludf.DUMMYFUNCTION("""COMPUTED_VALUE"""),"柿崎 晃司")</f>
        <v>柿崎 晃司</v>
      </c>
    </row>
    <row r="10817" spans="2:4" ht="13">
      <c r="B10817" s="12">
        <f ca="1">IFERROR(__xludf.DUMMYFUNCTION("""COMPUTED_VALUE"""),3703780)</f>
        <v>3703780</v>
      </c>
      <c r="C10817" s="14">
        <f ca="1">IFERROR(__xludf.DUMMYFUNCTION("""COMPUTED_VALUE"""),65)</f>
        <v>65</v>
      </c>
      <c r="D10817" s="12" t="str">
        <f ca="1">IFERROR(__xludf.DUMMYFUNCTION("""COMPUTED_VALUE"""),"柿崎 晃司")</f>
        <v>柿崎 晃司</v>
      </c>
    </row>
    <row r="10818" spans="2:4" ht="13">
      <c r="B10818" s="12">
        <f ca="1">IFERROR(__xludf.DUMMYFUNCTION("""COMPUTED_VALUE"""),3703781)</f>
        <v>3703781</v>
      </c>
      <c r="C10818" s="14">
        <f ca="1">IFERROR(__xludf.DUMMYFUNCTION("""COMPUTED_VALUE"""),32)</f>
        <v>32</v>
      </c>
      <c r="D10818" s="12" t="str">
        <f ca="1">IFERROR(__xludf.DUMMYFUNCTION("""COMPUTED_VALUE"""),"柿崎 晃司")</f>
        <v>柿崎 晃司</v>
      </c>
    </row>
    <row r="10819" spans="2:4" ht="13">
      <c r="B10819" s="12">
        <f ca="1">IFERROR(__xludf.DUMMYFUNCTION("""COMPUTED_VALUE"""),3703782)</f>
        <v>3703782</v>
      </c>
      <c r="C10819" s="14">
        <f ca="1">IFERROR(__xludf.DUMMYFUNCTION("""COMPUTED_VALUE"""),25)</f>
        <v>25</v>
      </c>
      <c r="D10819" s="12" t="str">
        <f ca="1">IFERROR(__xludf.DUMMYFUNCTION("""COMPUTED_VALUE"""),"柿崎 晃司")</f>
        <v>柿崎 晃司</v>
      </c>
    </row>
    <row r="10820" spans="2:4" ht="13">
      <c r="B10820" s="12">
        <f ca="1">IFERROR(__xludf.DUMMYFUNCTION("""COMPUTED_VALUE"""),3703783)</f>
        <v>3703783</v>
      </c>
      <c r="C10820" s="14">
        <f ca="1">IFERROR(__xludf.DUMMYFUNCTION("""COMPUTED_VALUE"""),0)</f>
        <v>0</v>
      </c>
      <c r="D10820" s="12" t="str">
        <f ca="1">IFERROR(__xludf.DUMMYFUNCTION("""COMPUTED_VALUE"""),"柿崎 晃司")</f>
        <v>柿崎 晃司</v>
      </c>
    </row>
    <row r="10821" spans="2:4" ht="13">
      <c r="B10821" s="12">
        <f ca="1">IFERROR(__xludf.DUMMYFUNCTION("""COMPUTED_VALUE"""),3703784)</f>
        <v>3703784</v>
      </c>
      <c r="C10821" s="14">
        <f ca="1">IFERROR(__xludf.DUMMYFUNCTION("""COMPUTED_VALUE"""),0)</f>
        <v>0</v>
      </c>
      <c r="D10821" s="12" t="str">
        <f ca="1">IFERROR(__xludf.DUMMYFUNCTION("""COMPUTED_VALUE"""),"柿崎 晃司")</f>
        <v>柿崎 晃司</v>
      </c>
    </row>
    <row r="10822" spans="2:4" ht="13">
      <c r="B10822" s="12">
        <f ca="1">IFERROR(__xludf.DUMMYFUNCTION("""COMPUTED_VALUE"""),3703785)</f>
        <v>3703785</v>
      </c>
      <c r="C10822" s="14">
        <f ca="1">IFERROR(__xludf.DUMMYFUNCTION("""COMPUTED_VALUE"""),17)</f>
        <v>17</v>
      </c>
      <c r="D10822" s="12" t="str">
        <f ca="1">IFERROR(__xludf.DUMMYFUNCTION("""COMPUTED_VALUE"""),"柿崎 晃司")</f>
        <v>柿崎 晃司</v>
      </c>
    </row>
    <row r="10823" spans="2:4" ht="13">
      <c r="B10823" s="12">
        <f ca="1">IFERROR(__xludf.DUMMYFUNCTION("""COMPUTED_VALUE"""),3703786)</f>
        <v>3703786</v>
      </c>
      <c r="C10823" s="14">
        <f ca="1">IFERROR(__xludf.DUMMYFUNCTION("""COMPUTED_VALUE"""),2)</f>
        <v>2</v>
      </c>
      <c r="D10823" s="12" t="str">
        <f ca="1">IFERROR(__xludf.DUMMYFUNCTION("""COMPUTED_VALUE"""),"柿崎 晃司")</f>
        <v>柿崎 晃司</v>
      </c>
    </row>
    <row r="10824" spans="2:4" ht="13">
      <c r="B10824" s="12">
        <f ca="1">IFERROR(__xludf.DUMMYFUNCTION("""COMPUTED_VALUE"""),3703787)</f>
        <v>3703787</v>
      </c>
      <c r="C10824" s="14">
        <f ca="1">IFERROR(__xludf.DUMMYFUNCTION("""COMPUTED_VALUE"""),2)</f>
        <v>2</v>
      </c>
      <c r="D10824" s="12" t="str">
        <f ca="1">IFERROR(__xludf.DUMMYFUNCTION("""COMPUTED_VALUE"""),"柿崎 晃司")</f>
        <v>柿崎 晃司</v>
      </c>
    </row>
    <row r="10825" spans="2:4" ht="13">
      <c r="B10825" s="12">
        <f ca="1">IFERROR(__xludf.DUMMYFUNCTION("""COMPUTED_VALUE"""),3703788)</f>
        <v>3703788</v>
      </c>
      <c r="C10825" s="14">
        <f ca="1">IFERROR(__xludf.DUMMYFUNCTION("""COMPUTED_VALUE"""),3)</f>
        <v>3</v>
      </c>
      <c r="D10825" s="12" t="str">
        <f ca="1">IFERROR(__xludf.DUMMYFUNCTION("""COMPUTED_VALUE"""),"柿崎 晃司")</f>
        <v>柿崎 晃司</v>
      </c>
    </row>
    <row r="10826" spans="2:4" ht="13">
      <c r="B10826" s="12">
        <f ca="1">IFERROR(__xludf.DUMMYFUNCTION("""COMPUTED_VALUE"""),3703789)</f>
        <v>3703789</v>
      </c>
      <c r="C10826" s="14">
        <f ca="1">IFERROR(__xludf.DUMMYFUNCTION("""COMPUTED_VALUE"""),2)</f>
        <v>2</v>
      </c>
      <c r="D10826" s="12" t="str">
        <f ca="1">IFERROR(__xludf.DUMMYFUNCTION("""COMPUTED_VALUE"""),"柿崎 晃司")</f>
        <v>柿崎 晃司</v>
      </c>
    </row>
    <row r="10827" spans="2:4" ht="13">
      <c r="B10827" s="12">
        <f ca="1">IFERROR(__xludf.DUMMYFUNCTION("""COMPUTED_VALUE"""),3703790)</f>
        <v>3703790</v>
      </c>
      <c r="C10827" s="14">
        <f ca="1">IFERROR(__xludf.DUMMYFUNCTION("""COMPUTED_VALUE"""),10)</f>
        <v>10</v>
      </c>
      <c r="D10827" s="12" t="str">
        <f ca="1">IFERROR(__xludf.DUMMYFUNCTION("""COMPUTED_VALUE"""),"柿崎 晃司")</f>
        <v>柿崎 晃司</v>
      </c>
    </row>
    <row r="10828" spans="2:4" ht="13">
      <c r="B10828" s="12">
        <f ca="1">IFERROR(__xludf.DUMMYFUNCTION("""COMPUTED_VALUE"""),3703791)</f>
        <v>3703791</v>
      </c>
      <c r="C10828" s="14">
        <f ca="1">IFERROR(__xludf.DUMMYFUNCTION("""COMPUTED_VALUE"""),1)</f>
        <v>1</v>
      </c>
      <c r="D10828" s="12" t="str">
        <f ca="1">IFERROR(__xludf.DUMMYFUNCTION("""COMPUTED_VALUE"""),"柿崎 晃司")</f>
        <v>柿崎 晃司</v>
      </c>
    </row>
    <row r="10829" spans="2:4" ht="13">
      <c r="B10829" s="12">
        <f ca="1">IFERROR(__xludf.DUMMYFUNCTION("""COMPUTED_VALUE"""),3703792)</f>
        <v>3703792</v>
      </c>
      <c r="C10829" s="14">
        <f ca="1">IFERROR(__xludf.DUMMYFUNCTION("""COMPUTED_VALUE"""),7)</f>
        <v>7</v>
      </c>
      <c r="D10829" s="12" t="str">
        <f ca="1">IFERROR(__xludf.DUMMYFUNCTION("""COMPUTED_VALUE"""),"柿崎 晃司")</f>
        <v>柿崎 晃司</v>
      </c>
    </row>
    <row r="10830" spans="2:4" ht="13">
      <c r="B10830" s="12">
        <f ca="1">IFERROR(__xludf.DUMMYFUNCTION("""COMPUTED_VALUE"""),3703793)</f>
        <v>3703793</v>
      </c>
      <c r="C10830" s="14">
        <f ca="1">IFERROR(__xludf.DUMMYFUNCTION("""COMPUTED_VALUE"""),13)</f>
        <v>13</v>
      </c>
      <c r="D10830" s="12" t="str">
        <f ca="1">IFERROR(__xludf.DUMMYFUNCTION("""COMPUTED_VALUE"""),"柿崎 晃司")</f>
        <v>柿崎 晃司</v>
      </c>
    </row>
    <row r="10831" spans="2:4" ht="13">
      <c r="B10831" s="12">
        <f ca="1">IFERROR(__xludf.DUMMYFUNCTION("""COMPUTED_VALUE"""),3703794)</f>
        <v>3703794</v>
      </c>
      <c r="C10831" s="14">
        <f ca="1">IFERROR(__xludf.DUMMYFUNCTION("""COMPUTED_VALUE"""),1)</f>
        <v>1</v>
      </c>
      <c r="D10831" s="12" t="str">
        <f ca="1">IFERROR(__xludf.DUMMYFUNCTION("""COMPUTED_VALUE"""),"柿崎 晃司")</f>
        <v>柿崎 晃司</v>
      </c>
    </row>
    <row r="10832" spans="2:4" ht="13">
      <c r="B10832" s="12">
        <f ca="1">IFERROR(__xludf.DUMMYFUNCTION("""COMPUTED_VALUE"""),3703795)</f>
        <v>3703795</v>
      </c>
      <c r="C10832" s="14">
        <f ca="1">IFERROR(__xludf.DUMMYFUNCTION("""COMPUTED_VALUE"""),5)</f>
        <v>5</v>
      </c>
      <c r="D10832" s="12" t="str">
        <f ca="1">IFERROR(__xludf.DUMMYFUNCTION("""COMPUTED_VALUE"""),"柿崎 晃司")</f>
        <v>柿崎 晃司</v>
      </c>
    </row>
    <row r="10833" spans="2:4" ht="13">
      <c r="B10833" s="12">
        <f ca="1">IFERROR(__xludf.DUMMYFUNCTION("""COMPUTED_VALUE"""),3703796)</f>
        <v>3703796</v>
      </c>
      <c r="C10833" s="14">
        <f ca="1">IFERROR(__xludf.DUMMYFUNCTION("""COMPUTED_VALUE"""),3)</f>
        <v>3</v>
      </c>
      <c r="D10833" s="12" t="str">
        <f ca="1">IFERROR(__xludf.DUMMYFUNCTION("""COMPUTED_VALUE"""),"柿崎 晃司")</f>
        <v>柿崎 晃司</v>
      </c>
    </row>
    <row r="10834" spans="2:4" ht="13">
      <c r="B10834" s="12">
        <f ca="1">IFERROR(__xludf.DUMMYFUNCTION("""COMPUTED_VALUE"""),3703797)</f>
        <v>3703797</v>
      </c>
      <c r="C10834" s="14">
        <f ca="1">IFERROR(__xludf.DUMMYFUNCTION("""COMPUTED_VALUE"""),0)</f>
        <v>0</v>
      </c>
      <c r="D10834" s="12" t="str">
        <f ca="1">IFERROR(__xludf.DUMMYFUNCTION("""COMPUTED_VALUE"""),"柿崎 晃司")</f>
        <v>柿崎 晃司</v>
      </c>
    </row>
    <row r="10835" spans="2:4" ht="13">
      <c r="B10835" s="12">
        <f ca="1">IFERROR(__xludf.DUMMYFUNCTION("""COMPUTED_VALUE"""),3703798)</f>
        <v>3703798</v>
      </c>
      <c r="C10835" s="14">
        <f ca="1">IFERROR(__xludf.DUMMYFUNCTION("""COMPUTED_VALUE"""),0)</f>
        <v>0</v>
      </c>
      <c r="D10835" s="12" t="str">
        <f ca="1">IFERROR(__xludf.DUMMYFUNCTION("""COMPUTED_VALUE"""),"柿崎 晃司")</f>
        <v>柿崎 晃司</v>
      </c>
    </row>
    <row r="10836" spans="2:4" ht="13">
      <c r="B10836" s="12">
        <f ca="1">IFERROR(__xludf.DUMMYFUNCTION("""COMPUTED_VALUE"""),3703799)</f>
        <v>3703799</v>
      </c>
      <c r="C10836" s="14">
        <f ca="1">IFERROR(__xludf.DUMMYFUNCTION("""COMPUTED_VALUE"""),37)</f>
        <v>37</v>
      </c>
      <c r="D10836" s="12" t="str">
        <f ca="1">IFERROR(__xludf.DUMMYFUNCTION("""COMPUTED_VALUE"""),"柿崎 晃司")</f>
        <v>柿崎 晃司</v>
      </c>
    </row>
    <row r="10837" spans="2:4" ht="13">
      <c r="B10837" s="12">
        <f ca="1">IFERROR(__xludf.DUMMYFUNCTION("""COMPUTED_VALUE"""),3703800)</f>
        <v>3703800</v>
      </c>
      <c r="C10837" s="14">
        <f ca="1">IFERROR(__xludf.DUMMYFUNCTION("""COMPUTED_VALUE"""),0)</f>
        <v>0</v>
      </c>
      <c r="D10837" s="12" t="str">
        <f ca="1">IFERROR(__xludf.DUMMYFUNCTION("""COMPUTED_VALUE"""),"柿崎 晃司")</f>
        <v>柿崎 晃司</v>
      </c>
    </row>
    <row r="10838" spans="2:4" ht="13">
      <c r="B10838" s="12">
        <f ca="1">IFERROR(__xludf.DUMMYFUNCTION("""COMPUTED_VALUE"""),3703801)</f>
        <v>3703801</v>
      </c>
      <c r="C10838" s="14">
        <f ca="1">IFERROR(__xludf.DUMMYFUNCTION("""COMPUTED_VALUE"""),41)</f>
        <v>41</v>
      </c>
      <c r="D10838" s="12" t="str">
        <f ca="1">IFERROR(__xludf.DUMMYFUNCTION("""COMPUTED_VALUE"""),"柿崎 晃司")</f>
        <v>柿崎 晃司</v>
      </c>
    </row>
    <row r="10839" spans="2:4" ht="13">
      <c r="B10839" s="12">
        <f ca="1">IFERROR(__xludf.DUMMYFUNCTION("""COMPUTED_VALUE"""),3703802)</f>
        <v>3703802</v>
      </c>
      <c r="C10839" s="14">
        <f ca="1">IFERROR(__xludf.DUMMYFUNCTION("""COMPUTED_VALUE"""),41)</f>
        <v>41</v>
      </c>
      <c r="D10839" s="12" t="str">
        <f ca="1">IFERROR(__xludf.DUMMYFUNCTION("""COMPUTED_VALUE"""),"柿崎 晃司")</f>
        <v>柿崎 晃司</v>
      </c>
    </row>
    <row r="10840" spans="2:4" ht="13">
      <c r="B10840" s="12">
        <f ca="1">IFERROR(__xludf.DUMMYFUNCTION("""COMPUTED_VALUE"""),3703803)</f>
        <v>3703803</v>
      </c>
      <c r="C10840" s="14">
        <f ca="1">IFERROR(__xludf.DUMMYFUNCTION("""COMPUTED_VALUE"""),0)</f>
        <v>0</v>
      </c>
      <c r="D10840" s="12" t="str">
        <f ca="1">IFERROR(__xludf.DUMMYFUNCTION("""COMPUTED_VALUE"""),"柿崎 晃司")</f>
        <v>柿崎 晃司</v>
      </c>
    </row>
    <row r="10841" spans="2:4" ht="13">
      <c r="B10841" s="12">
        <f ca="1">IFERROR(__xludf.DUMMYFUNCTION("""COMPUTED_VALUE"""),3703804)</f>
        <v>3703804</v>
      </c>
      <c r="C10841" s="14">
        <f ca="1">IFERROR(__xludf.DUMMYFUNCTION("""COMPUTED_VALUE"""),17)</f>
        <v>17</v>
      </c>
      <c r="D10841" s="12" t="str">
        <f ca="1">IFERROR(__xludf.DUMMYFUNCTION("""COMPUTED_VALUE"""),"柿崎 晃司")</f>
        <v>柿崎 晃司</v>
      </c>
    </row>
    <row r="10842" spans="2:4" ht="13">
      <c r="B10842" s="12">
        <f ca="1">IFERROR(__xludf.DUMMYFUNCTION("""COMPUTED_VALUE"""),3703805)</f>
        <v>3703805</v>
      </c>
      <c r="C10842" s="14">
        <f ca="1">IFERROR(__xludf.DUMMYFUNCTION("""COMPUTED_VALUE"""),1)</f>
        <v>1</v>
      </c>
      <c r="D10842" s="12" t="str">
        <f ca="1">IFERROR(__xludf.DUMMYFUNCTION("""COMPUTED_VALUE"""),"柿崎 晃司")</f>
        <v>柿崎 晃司</v>
      </c>
    </row>
    <row r="10843" spans="2:4" ht="13">
      <c r="B10843" s="12">
        <f ca="1">IFERROR(__xludf.DUMMYFUNCTION("""COMPUTED_VALUE"""),3703806)</f>
        <v>3703806</v>
      </c>
      <c r="C10843" s="14">
        <f ca="1">IFERROR(__xludf.DUMMYFUNCTION("""COMPUTED_VALUE"""),0)</f>
        <v>0</v>
      </c>
      <c r="D10843" s="12" t="str">
        <f ca="1">IFERROR(__xludf.DUMMYFUNCTION("""COMPUTED_VALUE"""),"柿崎 晃司")</f>
        <v>柿崎 晃司</v>
      </c>
    </row>
    <row r="10844" spans="2:4" ht="13">
      <c r="B10844" s="12">
        <f ca="1">IFERROR(__xludf.DUMMYFUNCTION("""COMPUTED_VALUE"""),3703807)</f>
        <v>3703807</v>
      </c>
      <c r="C10844" s="14">
        <f ca="1">IFERROR(__xludf.DUMMYFUNCTION("""COMPUTED_VALUE"""),4)</f>
        <v>4</v>
      </c>
      <c r="D10844" s="12" t="str">
        <f ca="1">IFERROR(__xludf.DUMMYFUNCTION("""COMPUTED_VALUE"""),"柿崎 晃司")</f>
        <v>柿崎 晃司</v>
      </c>
    </row>
    <row r="10845" spans="2:4" ht="13">
      <c r="B10845" s="12">
        <f ca="1">IFERROR(__xludf.DUMMYFUNCTION("""COMPUTED_VALUE"""),3703808)</f>
        <v>3703808</v>
      </c>
      <c r="C10845" s="14">
        <f ca="1">IFERROR(__xludf.DUMMYFUNCTION("""COMPUTED_VALUE"""),0)</f>
        <v>0</v>
      </c>
      <c r="D10845" s="12" t="str">
        <f ca="1">IFERROR(__xludf.DUMMYFUNCTION("""COMPUTED_VALUE"""),"柿崎 晃司")</f>
        <v>柿崎 晃司</v>
      </c>
    </row>
    <row r="10846" spans="2:4" ht="13">
      <c r="B10846" s="12">
        <f ca="1">IFERROR(__xludf.DUMMYFUNCTION("""COMPUTED_VALUE"""),3703809)</f>
        <v>3703809</v>
      </c>
      <c r="C10846" s="14">
        <f ca="1">IFERROR(__xludf.DUMMYFUNCTION("""COMPUTED_VALUE"""),3)</f>
        <v>3</v>
      </c>
      <c r="D10846" s="12" t="str">
        <f ca="1">IFERROR(__xludf.DUMMYFUNCTION("""COMPUTED_VALUE"""),"柿崎 晃司")</f>
        <v>柿崎 晃司</v>
      </c>
    </row>
    <row r="10847" spans="2:4" ht="13">
      <c r="B10847" s="12">
        <f ca="1">IFERROR(__xludf.DUMMYFUNCTION("""COMPUTED_VALUE"""),3703811)</f>
        <v>3703811</v>
      </c>
      <c r="C10847" s="14">
        <f ca="1">IFERROR(__xludf.DUMMYFUNCTION("""COMPUTED_VALUE"""),4)</f>
        <v>4</v>
      </c>
      <c r="D10847" s="12" t="str">
        <f ca="1">IFERROR(__xludf.DUMMYFUNCTION("""COMPUTED_VALUE"""),"柿崎 晃司")</f>
        <v>柿崎 晃司</v>
      </c>
    </row>
    <row r="10848" spans="2:4" ht="13">
      <c r="B10848" s="12">
        <f ca="1">IFERROR(__xludf.DUMMYFUNCTION("""COMPUTED_VALUE"""),3703812)</f>
        <v>3703812</v>
      </c>
      <c r="C10848" s="14">
        <f ca="1">IFERROR(__xludf.DUMMYFUNCTION("""COMPUTED_VALUE"""),3)</f>
        <v>3</v>
      </c>
      <c r="D10848" s="12" t="str">
        <f ca="1">IFERROR(__xludf.DUMMYFUNCTION("""COMPUTED_VALUE"""),"柿崎 晃司")</f>
        <v>柿崎 晃司</v>
      </c>
    </row>
    <row r="10849" spans="2:4" ht="13">
      <c r="B10849" s="12">
        <f ca="1">IFERROR(__xludf.DUMMYFUNCTION("""COMPUTED_VALUE"""),3703814)</f>
        <v>3703814</v>
      </c>
      <c r="C10849" s="14">
        <f ca="1">IFERROR(__xludf.DUMMYFUNCTION("""COMPUTED_VALUE"""),2)</f>
        <v>2</v>
      </c>
      <c r="D10849" s="12" t="str">
        <f ca="1">IFERROR(__xludf.DUMMYFUNCTION("""COMPUTED_VALUE"""),"柿崎 晃司")</f>
        <v>柿崎 晃司</v>
      </c>
    </row>
    <row r="10850" spans="2:4" ht="13">
      <c r="B10850" s="12">
        <f ca="1">IFERROR(__xludf.DUMMYFUNCTION("""COMPUTED_VALUE"""),3703815)</f>
        <v>3703815</v>
      </c>
      <c r="C10850" s="14">
        <f ca="1">IFERROR(__xludf.DUMMYFUNCTION("""COMPUTED_VALUE"""),1)</f>
        <v>1</v>
      </c>
      <c r="D10850" s="12" t="str">
        <f ca="1">IFERROR(__xludf.DUMMYFUNCTION("""COMPUTED_VALUE"""),"柿崎 晃司")</f>
        <v>柿崎 晃司</v>
      </c>
    </row>
    <row r="10851" spans="2:4" ht="13">
      <c r="B10851" s="12">
        <f ca="1">IFERROR(__xludf.DUMMYFUNCTION("""COMPUTED_VALUE"""),3703816)</f>
        <v>3703816</v>
      </c>
      <c r="C10851" s="14">
        <f ca="1">IFERROR(__xludf.DUMMYFUNCTION("""COMPUTED_VALUE"""),2)</f>
        <v>2</v>
      </c>
      <c r="D10851" s="12" t="str">
        <f ca="1">IFERROR(__xludf.DUMMYFUNCTION("""COMPUTED_VALUE"""),"柿崎 晃司")</f>
        <v>柿崎 晃司</v>
      </c>
    </row>
    <row r="10852" spans="2:4" ht="13">
      <c r="B10852" s="12">
        <f ca="1">IFERROR(__xludf.DUMMYFUNCTION("""COMPUTED_VALUE"""),3703817)</f>
        <v>3703817</v>
      </c>
      <c r="C10852" s="14">
        <f ca="1">IFERROR(__xludf.DUMMYFUNCTION("""COMPUTED_VALUE"""),1)</f>
        <v>1</v>
      </c>
      <c r="D10852" s="12" t="str">
        <f ca="1">IFERROR(__xludf.DUMMYFUNCTION("""COMPUTED_VALUE"""),"柿崎 晃司")</f>
        <v>柿崎 晃司</v>
      </c>
    </row>
    <row r="10853" spans="2:4" ht="13">
      <c r="B10853" s="12">
        <f ca="1">IFERROR(__xludf.DUMMYFUNCTION("""COMPUTED_VALUE"""),3703818)</f>
        <v>3703818</v>
      </c>
      <c r="C10853" s="14">
        <f ca="1">IFERROR(__xludf.DUMMYFUNCTION("""COMPUTED_VALUE"""),49)</f>
        <v>49</v>
      </c>
      <c r="D10853" s="12" t="str">
        <f ca="1">IFERROR(__xludf.DUMMYFUNCTION("""COMPUTED_VALUE"""),"柿崎 晃司")</f>
        <v>柿崎 晃司</v>
      </c>
    </row>
    <row r="10854" spans="2:4" ht="13">
      <c r="B10854" s="12">
        <f ca="1">IFERROR(__xludf.DUMMYFUNCTION("""COMPUTED_VALUE"""),3703819)</f>
        <v>3703819</v>
      </c>
      <c r="C10854" s="14">
        <f ca="1">IFERROR(__xludf.DUMMYFUNCTION("""COMPUTED_VALUE"""),40)</f>
        <v>40</v>
      </c>
      <c r="D10854" s="12" t="str">
        <f ca="1">IFERROR(__xludf.DUMMYFUNCTION("""COMPUTED_VALUE"""),"柿崎 晃司")</f>
        <v>柿崎 晃司</v>
      </c>
    </row>
    <row r="10855" spans="2:4" ht="13">
      <c r="B10855" s="12">
        <f ca="1">IFERROR(__xludf.DUMMYFUNCTION("""COMPUTED_VALUE"""),3703820)</f>
        <v>3703820</v>
      </c>
      <c r="C10855" s="14">
        <f ca="1">IFERROR(__xludf.DUMMYFUNCTION("""COMPUTED_VALUE"""),1)</f>
        <v>1</v>
      </c>
      <c r="D10855" s="12" t="str">
        <f ca="1">IFERROR(__xludf.DUMMYFUNCTION("""COMPUTED_VALUE"""),"柿崎 晃司")</f>
        <v>柿崎 晃司</v>
      </c>
    </row>
    <row r="10856" spans="2:4" ht="13">
      <c r="B10856" s="12">
        <f ca="1">IFERROR(__xludf.DUMMYFUNCTION("""COMPUTED_VALUE"""),3703821)</f>
        <v>3703821</v>
      </c>
      <c r="C10856" s="14">
        <f ca="1">IFERROR(__xludf.DUMMYFUNCTION("""COMPUTED_VALUE"""),6)</f>
        <v>6</v>
      </c>
      <c r="D10856" s="12" t="str">
        <f ca="1">IFERROR(__xludf.DUMMYFUNCTION("""COMPUTED_VALUE"""),"柿崎 晃司")</f>
        <v>柿崎 晃司</v>
      </c>
    </row>
    <row r="10857" spans="2:4" ht="13">
      <c r="B10857" s="12">
        <f ca="1">IFERROR(__xludf.DUMMYFUNCTION("""COMPUTED_VALUE"""),3703822)</f>
        <v>3703822</v>
      </c>
      <c r="C10857" s="14">
        <f ca="1">IFERROR(__xludf.DUMMYFUNCTION("""COMPUTED_VALUE"""),9)</f>
        <v>9</v>
      </c>
      <c r="D10857" s="12" t="str">
        <f ca="1">IFERROR(__xludf.DUMMYFUNCTION("""COMPUTED_VALUE"""),"柿崎 晃司")</f>
        <v>柿崎 晃司</v>
      </c>
    </row>
    <row r="10858" spans="2:4" ht="13">
      <c r="B10858" s="12">
        <f ca="1">IFERROR(__xludf.DUMMYFUNCTION("""COMPUTED_VALUE"""),3703823)</f>
        <v>3703823</v>
      </c>
      <c r="C10858" s="14">
        <f ca="1">IFERROR(__xludf.DUMMYFUNCTION("""COMPUTED_VALUE"""),4)</f>
        <v>4</v>
      </c>
      <c r="D10858" s="12" t="str">
        <f ca="1">IFERROR(__xludf.DUMMYFUNCTION("""COMPUTED_VALUE"""),"柿崎 晃司")</f>
        <v>柿崎 晃司</v>
      </c>
    </row>
    <row r="10859" spans="2:4" ht="13">
      <c r="B10859" s="12">
        <f ca="1">IFERROR(__xludf.DUMMYFUNCTION("""COMPUTED_VALUE"""),3703824)</f>
        <v>3703824</v>
      </c>
      <c r="C10859" s="14">
        <f ca="1">IFERROR(__xludf.DUMMYFUNCTION("""COMPUTED_VALUE"""),18)</f>
        <v>18</v>
      </c>
      <c r="D10859" s="12" t="str">
        <f ca="1">IFERROR(__xludf.DUMMYFUNCTION("""COMPUTED_VALUE"""),"柿崎 晃司")</f>
        <v>柿崎 晃司</v>
      </c>
    </row>
    <row r="10860" spans="2:4" ht="13">
      <c r="B10860" s="12">
        <f ca="1">IFERROR(__xludf.DUMMYFUNCTION("""COMPUTED_VALUE"""),3703825)</f>
        <v>3703825</v>
      </c>
      <c r="C10860" s="14">
        <f ca="1">IFERROR(__xludf.DUMMYFUNCTION("""COMPUTED_VALUE"""),11)</f>
        <v>11</v>
      </c>
      <c r="D10860" s="12" t="str">
        <f ca="1">IFERROR(__xludf.DUMMYFUNCTION("""COMPUTED_VALUE"""),"柿崎 晃司")</f>
        <v>柿崎 晃司</v>
      </c>
    </row>
    <row r="10861" spans="2:4" ht="13">
      <c r="B10861" s="12">
        <f ca="1">IFERROR(__xludf.DUMMYFUNCTION("""COMPUTED_VALUE"""),3703826)</f>
        <v>3703826</v>
      </c>
      <c r="C10861" s="14">
        <f ca="1">IFERROR(__xludf.DUMMYFUNCTION("""COMPUTED_VALUE"""),14)</f>
        <v>14</v>
      </c>
      <c r="D10861" s="12" t="str">
        <f ca="1">IFERROR(__xludf.DUMMYFUNCTION("""COMPUTED_VALUE"""),"柿崎 晃司")</f>
        <v>柿崎 晃司</v>
      </c>
    </row>
    <row r="10862" spans="2:4" ht="13">
      <c r="B10862" s="12">
        <f ca="1">IFERROR(__xludf.DUMMYFUNCTION("""COMPUTED_VALUE"""),3703827)</f>
        <v>3703827</v>
      </c>
      <c r="C10862" s="14">
        <f ca="1">IFERROR(__xludf.DUMMYFUNCTION("""COMPUTED_VALUE"""),17)</f>
        <v>17</v>
      </c>
      <c r="D10862" s="12" t="str">
        <f ca="1">IFERROR(__xludf.DUMMYFUNCTION("""COMPUTED_VALUE"""),"柿崎 晃司")</f>
        <v>柿崎 晃司</v>
      </c>
    </row>
    <row r="10863" spans="2:4" ht="13">
      <c r="B10863" s="12">
        <f ca="1">IFERROR(__xludf.DUMMYFUNCTION("""COMPUTED_VALUE"""),3703828)</f>
        <v>3703828</v>
      </c>
      <c r="C10863" s="14">
        <f ca="1">IFERROR(__xludf.DUMMYFUNCTION("""COMPUTED_VALUE"""),2)</f>
        <v>2</v>
      </c>
      <c r="D10863" s="12" t="str">
        <f ca="1">IFERROR(__xludf.DUMMYFUNCTION("""COMPUTED_VALUE"""),"柿崎 晃司")</f>
        <v>柿崎 晃司</v>
      </c>
    </row>
    <row r="10864" spans="2:4" ht="13">
      <c r="B10864" s="12">
        <f ca="1">IFERROR(__xludf.DUMMYFUNCTION("""COMPUTED_VALUE"""),3703831)</f>
        <v>3703831</v>
      </c>
      <c r="C10864" s="14">
        <f ca="1">IFERROR(__xludf.DUMMYFUNCTION("""COMPUTED_VALUE"""),0)</f>
        <v>0</v>
      </c>
      <c r="D10864" s="12" t="str">
        <f ca="1">IFERROR(__xludf.DUMMYFUNCTION("""COMPUTED_VALUE"""),"柿崎 晃司")</f>
        <v>柿崎 晃司</v>
      </c>
    </row>
    <row r="10865" spans="2:4" ht="13">
      <c r="B10865" s="12">
        <f ca="1">IFERROR(__xludf.DUMMYFUNCTION("""COMPUTED_VALUE"""),3703832)</f>
        <v>3703832</v>
      </c>
      <c r="C10865" s="14">
        <f ca="1">IFERROR(__xludf.DUMMYFUNCTION("""COMPUTED_VALUE"""),2)</f>
        <v>2</v>
      </c>
      <c r="D10865" s="12" t="str">
        <f ca="1">IFERROR(__xludf.DUMMYFUNCTION("""COMPUTED_VALUE"""),"柿崎 晃司")</f>
        <v>柿崎 晃司</v>
      </c>
    </row>
    <row r="10866" spans="2:4" ht="13">
      <c r="B10866" s="12">
        <f ca="1">IFERROR(__xludf.DUMMYFUNCTION("""COMPUTED_VALUE"""),3703833)</f>
        <v>3703833</v>
      </c>
      <c r="C10866" s="14">
        <f ca="1">IFERROR(__xludf.DUMMYFUNCTION("""COMPUTED_VALUE"""),1)</f>
        <v>1</v>
      </c>
      <c r="D10866" s="12" t="str">
        <f ca="1">IFERROR(__xludf.DUMMYFUNCTION("""COMPUTED_VALUE"""),"柿崎 晃司")</f>
        <v>柿崎 晃司</v>
      </c>
    </row>
    <row r="10867" spans="2:4" ht="13">
      <c r="B10867" s="12">
        <f ca="1">IFERROR(__xludf.DUMMYFUNCTION("""COMPUTED_VALUE"""),3703834)</f>
        <v>3703834</v>
      </c>
      <c r="C10867" s="14">
        <f ca="1">IFERROR(__xludf.DUMMYFUNCTION("""COMPUTED_VALUE"""),0)</f>
        <v>0</v>
      </c>
      <c r="D10867" s="12" t="str">
        <f ca="1">IFERROR(__xludf.DUMMYFUNCTION("""COMPUTED_VALUE"""),"柿崎 晃司")</f>
        <v>柿崎 晃司</v>
      </c>
    </row>
    <row r="10868" spans="2:4" ht="13">
      <c r="B10868" s="12">
        <f ca="1">IFERROR(__xludf.DUMMYFUNCTION("""COMPUTED_VALUE"""),3703835)</f>
        <v>3703835</v>
      </c>
      <c r="C10868" s="14">
        <f ca="1">IFERROR(__xludf.DUMMYFUNCTION("""COMPUTED_VALUE"""),5)</f>
        <v>5</v>
      </c>
      <c r="D10868" s="12" t="str">
        <f ca="1">IFERROR(__xludf.DUMMYFUNCTION("""COMPUTED_VALUE"""),"柿崎 晃司")</f>
        <v>柿崎 晃司</v>
      </c>
    </row>
    <row r="10869" spans="2:4" ht="13">
      <c r="B10869" s="12">
        <f ca="1">IFERROR(__xludf.DUMMYFUNCTION("""COMPUTED_VALUE"""),3703836)</f>
        <v>3703836</v>
      </c>
      <c r="C10869" s="14">
        <f ca="1">IFERROR(__xludf.DUMMYFUNCTION("""COMPUTED_VALUE"""),4)</f>
        <v>4</v>
      </c>
      <c r="D10869" s="12" t="str">
        <f ca="1">IFERROR(__xludf.DUMMYFUNCTION("""COMPUTED_VALUE"""),"柿崎 晃司")</f>
        <v>柿崎 晃司</v>
      </c>
    </row>
    <row r="10870" spans="2:4" ht="13">
      <c r="B10870" s="12">
        <f ca="1">IFERROR(__xludf.DUMMYFUNCTION("""COMPUTED_VALUE"""),3703837)</f>
        <v>3703837</v>
      </c>
      <c r="C10870" s="14">
        <f ca="1">IFERROR(__xludf.DUMMYFUNCTION("""COMPUTED_VALUE"""),2)</f>
        <v>2</v>
      </c>
      <c r="D10870" s="12" t="str">
        <f ca="1">IFERROR(__xludf.DUMMYFUNCTION("""COMPUTED_VALUE"""),"柿崎 晃司")</f>
        <v>柿崎 晃司</v>
      </c>
    </row>
    <row r="10871" spans="2:4" ht="13">
      <c r="B10871" s="12">
        <f ca="1">IFERROR(__xludf.DUMMYFUNCTION("""COMPUTED_VALUE"""),3703838)</f>
        <v>3703838</v>
      </c>
      <c r="C10871" s="14">
        <f ca="1">IFERROR(__xludf.DUMMYFUNCTION("""COMPUTED_VALUE"""),2)</f>
        <v>2</v>
      </c>
      <c r="D10871" s="12" t="str">
        <f ca="1">IFERROR(__xludf.DUMMYFUNCTION("""COMPUTED_VALUE"""),"柿崎 晃司")</f>
        <v>柿崎 晃司</v>
      </c>
    </row>
    <row r="10872" spans="2:4" ht="13">
      <c r="B10872" s="12">
        <f ca="1">IFERROR(__xludf.DUMMYFUNCTION("""COMPUTED_VALUE"""),3703839)</f>
        <v>3703839</v>
      </c>
      <c r="C10872" s="14">
        <f ca="1">IFERROR(__xludf.DUMMYFUNCTION("""COMPUTED_VALUE"""),1)</f>
        <v>1</v>
      </c>
      <c r="D10872" s="12" t="str">
        <f ca="1">IFERROR(__xludf.DUMMYFUNCTION("""COMPUTED_VALUE"""),"柿崎 晃司")</f>
        <v>柿崎 晃司</v>
      </c>
    </row>
    <row r="10873" spans="2:4" ht="13">
      <c r="B10873" s="12">
        <f ca="1">IFERROR(__xludf.DUMMYFUNCTION("""COMPUTED_VALUE"""),3703840)</f>
        <v>3703840</v>
      </c>
      <c r="C10873" s="14">
        <f ca="1">IFERROR(__xludf.DUMMYFUNCTION("""COMPUTED_VALUE"""),12)</f>
        <v>12</v>
      </c>
      <c r="D10873" s="12" t="str">
        <f ca="1">IFERROR(__xludf.DUMMYFUNCTION("""COMPUTED_VALUE"""),"柿崎 晃司")</f>
        <v>柿崎 晃司</v>
      </c>
    </row>
    <row r="10874" spans="2:4" ht="13">
      <c r="B10874" s="12">
        <f ca="1">IFERROR(__xludf.DUMMYFUNCTION("""COMPUTED_VALUE"""),3703841)</f>
        <v>3703841</v>
      </c>
      <c r="C10874" s="14">
        <f ca="1">IFERROR(__xludf.DUMMYFUNCTION("""COMPUTED_VALUE"""),0)</f>
        <v>0</v>
      </c>
      <c r="D10874" s="12" t="str">
        <f ca="1">IFERROR(__xludf.DUMMYFUNCTION("""COMPUTED_VALUE"""),"柿崎 晃司")</f>
        <v>柿崎 晃司</v>
      </c>
    </row>
    <row r="10875" spans="2:4" ht="13">
      <c r="B10875" s="12">
        <f ca="1">IFERROR(__xludf.DUMMYFUNCTION("""COMPUTED_VALUE"""),3703842)</f>
        <v>3703842</v>
      </c>
      <c r="C10875" s="14">
        <f ca="1">IFERROR(__xludf.DUMMYFUNCTION("""COMPUTED_VALUE"""),12)</f>
        <v>12</v>
      </c>
      <c r="D10875" s="12" t="str">
        <f ca="1">IFERROR(__xludf.DUMMYFUNCTION("""COMPUTED_VALUE"""),"柿崎 晃司")</f>
        <v>柿崎 晃司</v>
      </c>
    </row>
    <row r="10876" spans="2:4" ht="13">
      <c r="B10876" s="12">
        <f ca="1">IFERROR(__xludf.DUMMYFUNCTION("""COMPUTED_VALUE"""),3703843)</f>
        <v>3703843</v>
      </c>
      <c r="C10876" s="14">
        <f ca="1">IFERROR(__xludf.DUMMYFUNCTION("""COMPUTED_VALUE"""),0)</f>
        <v>0</v>
      </c>
      <c r="D10876" s="12" t="str">
        <f ca="1">IFERROR(__xludf.DUMMYFUNCTION("""COMPUTED_VALUE"""),"柿崎 晃司")</f>
        <v>柿崎 晃司</v>
      </c>
    </row>
    <row r="10877" spans="2:4" ht="13">
      <c r="B10877" s="12">
        <f ca="1">IFERROR(__xludf.DUMMYFUNCTION("""COMPUTED_VALUE"""),3703844)</f>
        <v>3703844</v>
      </c>
      <c r="C10877" s="14">
        <f ca="1">IFERROR(__xludf.DUMMYFUNCTION("""COMPUTED_VALUE"""),3)</f>
        <v>3</v>
      </c>
      <c r="D10877" s="12" t="str">
        <f ca="1">IFERROR(__xludf.DUMMYFUNCTION("""COMPUTED_VALUE"""),"柿崎 晃司")</f>
        <v>柿崎 晃司</v>
      </c>
    </row>
    <row r="10878" spans="2:4" ht="13">
      <c r="B10878" s="12">
        <f ca="1">IFERROR(__xludf.DUMMYFUNCTION("""COMPUTED_VALUE"""),3703845)</f>
        <v>3703845</v>
      </c>
      <c r="C10878" s="14">
        <f ca="1">IFERROR(__xludf.DUMMYFUNCTION("""COMPUTED_VALUE"""),1)</f>
        <v>1</v>
      </c>
      <c r="D10878" s="12" t="str">
        <f ca="1">IFERROR(__xludf.DUMMYFUNCTION("""COMPUTED_VALUE"""),"柿崎 晃司")</f>
        <v>柿崎 晃司</v>
      </c>
    </row>
    <row r="10879" spans="2:4" ht="13">
      <c r="B10879" s="12">
        <f ca="1">IFERROR(__xludf.DUMMYFUNCTION("""COMPUTED_VALUE"""),3703846)</f>
        <v>3703846</v>
      </c>
      <c r="C10879" s="14">
        <f ca="1">IFERROR(__xludf.DUMMYFUNCTION("""COMPUTED_VALUE"""),1)</f>
        <v>1</v>
      </c>
      <c r="D10879" s="12" t="str">
        <f ca="1">IFERROR(__xludf.DUMMYFUNCTION("""COMPUTED_VALUE"""),"柿崎 晃司")</f>
        <v>柿崎 晃司</v>
      </c>
    </row>
    <row r="10880" spans="2:4" ht="13">
      <c r="B10880" s="12">
        <f ca="1">IFERROR(__xludf.DUMMYFUNCTION("""COMPUTED_VALUE"""),3703847)</f>
        <v>3703847</v>
      </c>
      <c r="C10880" s="14">
        <f ca="1">IFERROR(__xludf.DUMMYFUNCTION("""COMPUTED_VALUE"""),0)</f>
        <v>0</v>
      </c>
      <c r="D10880" s="12" t="str">
        <f ca="1">IFERROR(__xludf.DUMMYFUNCTION("""COMPUTED_VALUE"""),"柿崎 晃司")</f>
        <v>柿崎 晃司</v>
      </c>
    </row>
    <row r="10881" spans="2:4" ht="13">
      <c r="B10881" s="12">
        <f ca="1">IFERROR(__xludf.DUMMYFUNCTION("""COMPUTED_VALUE"""),3703853)</f>
        <v>3703853</v>
      </c>
      <c r="C10881" s="14">
        <f ca="1">IFERROR(__xludf.DUMMYFUNCTION("""COMPUTED_VALUE"""),18)</f>
        <v>18</v>
      </c>
      <c r="D10881" s="12" t="str">
        <f ca="1">IFERROR(__xludf.DUMMYFUNCTION("""COMPUTED_VALUE"""),"柿崎 晃司")</f>
        <v>柿崎 晃司</v>
      </c>
    </row>
    <row r="10882" spans="2:4" ht="13">
      <c r="B10882" s="12">
        <f ca="1">IFERROR(__xludf.DUMMYFUNCTION("""COMPUTED_VALUE"""),3703854)</f>
        <v>3703854</v>
      </c>
      <c r="C10882" s="14">
        <f ca="1">IFERROR(__xludf.DUMMYFUNCTION("""COMPUTED_VALUE"""),0)</f>
        <v>0</v>
      </c>
      <c r="D10882" s="12" t="str">
        <f ca="1">IFERROR(__xludf.DUMMYFUNCTION("""COMPUTED_VALUE"""),"柿崎 晃司")</f>
        <v>柿崎 晃司</v>
      </c>
    </row>
    <row r="10883" spans="2:4" ht="13">
      <c r="B10883" s="12">
        <f ca="1">IFERROR(__xludf.DUMMYFUNCTION("""COMPUTED_VALUE"""),3703855)</f>
        <v>3703855</v>
      </c>
      <c r="C10883" s="14">
        <f ca="1">IFERROR(__xludf.DUMMYFUNCTION("""COMPUTED_VALUE"""),17)</f>
        <v>17</v>
      </c>
      <c r="D10883" s="12" t="str">
        <f ca="1">IFERROR(__xludf.DUMMYFUNCTION("""COMPUTED_VALUE"""),"柿崎 晃司")</f>
        <v>柿崎 晃司</v>
      </c>
    </row>
    <row r="10884" spans="2:4" ht="13">
      <c r="B10884" s="12">
        <f ca="1">IFERROR(__xludf.DUMMYFUNCTION("""COMPUTED_VALUE"""),3703856)</f>
        <v>3703856</v>
      </c>
      <c r="C10884" s="14">
        <f ca="1">IFERROR(__xludf.DUMMYFUNCTION("""COMPUTED_VALUE"""),12)</f>
        <v>12</v>
      </c>
      <c r="D10884" s="12" t="str">
        <f ca="1">IFERROR(__xludf.DUMMYFUNCTION("""COMPUTED_VALUE"""),"柿崎 晃司")</f>
        <v>柿崎 晃司</v>
      </c>
    </row>
    <row r="10885" spans="2:4" ht="13">
      <c r="B10885" s="12">
        <f ca="1">IFERROR(__xludf.DUMMYFUNCTION("""COMPUTED_VALUE"""),3703857)</f>
        <v>3703857</v>
      </c>
      <c r="C10885" s="14">
        <f ca="1">IFERROR(__xludf.DUMMYFUNCTION("""COMPUTED_VALUE"""),1)</f>
        <v>1</v>
      </c>
      <c r="D10885" s="12" t="str">
        <f ca="1">IFERROR(__xludf.DUMMYFUNCTION("""COMPUTED_VALUE"""),"柿崎 晃司")</f>
        <v>柿崎 晃司</v>
      </c>
    </row>
    <row r="10886" spans="2:4" ht="13">
      <c r="B10886" s="12">
        <f ca="1">IFERROR(__xludf.DUMMYFUNCTION("""COMPUTED_VALUE"""),3703858)</f>
        <v>3703858</v>
      </c>
      <c r="C10886" s="14">
        <f ca="1">IFERROR(__xludf.DUMMYFUNCTION("""COMPUTED_VALUE"""),2)</f>
        <v>2</v>
      </c>
      <c r="D10886" s="12" t="str">
        <f ca="1">IFERROR(__xludf.DUMMYFUNCTION("""COMPUTED_VALUE"""),"柿崎 晃司")</f>
        <v>柿崎 晃司</v>
      </c>
    </row>
    <row r="10887" spans="2:4" ht="13">
      <c r="B10887" s="12">
        <f ca="1">IFERROR(__xludf.DUMMYFUNCTION("""COMPUTED_VALUE"""),3703859)</f>
        <v>3703859</v>
      </c>
      <c r="C10887" s="14">
        <f ca="1">IFERROR(__xludf.DUMMYFUNCTION("""COMPUTED_VALUE"""),2)</f>
        <v>2</v>
      </c>
      <c r="D10887" s="12" t="str">
        <f ca="1">IFERROR(__xludf.DUMMYFUNCTION("""COMPUTED_VALUE"""),"柿崎 晃司")</f>
        <v>柿崎 晃司</v>
      </c>
    </row>
    <row r="10888" spans="2:4" ht="13">
      <c r="B10888" s="12">
        <f ca="1">IFERROR(__xludf.DUMMYFUNCTION("""COMPUTED_VALUE"""),3703860)</f>
        <v>3703860</v>
      </c>
      <c r="C10888" s="14">
        <f ca="1">IFERROR(__xludf.DUMMYFUNCTION("""COMPUTED_VALUE"""),0)</f>
        <v>0</v>
      </c>
      <c r="D10888" s="12" t="str">
        <f ca="1">IFERROR(__xludf.DUMMYFUNCTION("""COMPUTED_VALUE"""),"柿崎 晃司")</f>
        <v>柿崎 晃司</v>
      </c>
    </row>
    <row r="10889" spans="2:4" ht="13">
      <c r="B10889" s="12">
        <f ca="1">IFERROR(__xludf.DUMMYFUNCTION("""COMPUTED_VALUE"""),3703861)</f>
        <v>3703861</v>
      </c>
      <c r="C10889" s="14">
        <f ca="1">IFERROR(__xludf.DUMMYFUNCTION("""COMPUTED_VALUE"""),9)</f>
        <v>9</v>
      </c>
      <c r="D10889" s="12" t="str">
        <f ca="1">IFERROR(__xludf.DUMMYFUNCTION("""COMPUTED_VALUE"""),"柿崎 晃司")</f>
        <v>柿崎 晃司</v>
      </c>
    </row>
    <row r="10890" spans="2:4" ht="13">
      <c r="B10890" s="12">
        <f ca="1">IFERROR(__xludf.DUMMYFUNCTION("""COMPUTED_VALUE"""),3703862)</f>
        <v>3703862</v>
      </c>
      <c r="C10890" s="14">
        <f ca="1">IFERROR(__xludf.DUMMYFUNCTION("""COMPUTED_VALUE"""),30)</f>
        <v>30</v>
      </c>
      <c r="D10890" s="12" t="str">
        <f ca="1">IFERROR(__xludf.DUMMYFUNCTION("""COMPUTED_VALUE"""),"柿崎 晃司")</f>
        <v>柿崎 晃司</v>
      </c>
    </row>
    <row r="10891" spans="2:4" ht="13">
      <c r="B10891" s="12">
        <f ca="1">IFERROR(__xludf.DUMMYFUNCTION("""COMPUTED_VALUE"""),3703863)</f>
        <v>3703863</v>
      </c>
      <c r="C10891" s="14">
        <f ca="1">IFERROR(__xludf.DUMMYFUNCTION("""COMPUTED_VALUE"""),7)</f>
        <v>7</v>
      </c>
      <c r="D10891" s="12" t="str">
        <f ca="1">IFERROR(__xludf.DUMMYFUNCTION("""COMPUTED_VALUE"""),"柿崎 晃司")</f>
        <v>柿崎 晃司</v>
      </c>
    </row>
    <row r="10892" spans="2:4" ht="13">
      <c r="B10892" s="12">
        <f ca="1">IFERROR(__xludf.DUMMYFUNCTION("""COMPUTED_VALUE"""),3703869)</f>
        <v>3703869</v>
      </c>
      <c r="C10892" s="14">
        <f ca="1">IFERROR(__xludf.DUMMYFUNCTION("""COMPUTED_VALUE"""),2)</f>
        <v>2</v>
      </c>
      <c r="D10892" s="12" t="str">
        <f ca="1">IFERROR(__xludf.DUMMYFUNCTION("""COMPUTED_VALUE"""),"柿崎 晃司")</f>
        <v>柿崎 晃司</v>
      </c>
    </row>
    <row r="10893" spans="2:4" ht="13">
      <c r="B10893" s="12">
        <f ca="1">IFERROR(__xludf.DUMMYFUNCTION("""COMPUTED_VALUE"""),3703872)</f>
        <v>3703872</v>
      </c>
      <c r="C10893" s="14">
        <f ca="1">IFERROR(__xludf.DUMMYFUNCTION("""COMPUTED_VALUE"""),4)</f>
        <v>4</v>
      </c>
      <c r="D10893" s="12" t="str">
        <f ca="1">IFERROR(__xludf.DUMMYFUNCTION("""COMPUTED_VALUE"""),"柿崎 晃司")</f>
        <v>柿崎 晃司</v>
      </c>
    </row>
    <row r="10894" spans="2:4" ht="13">
      <c r="B10894" s="12">
        <f ca="1">IFERROR(__xludf.DUMMYFUNCTION("""COMPUTED_VALUE"""),3703873)</f>
        <v>3703873</v>
      </c>
      <c r="C10894" s="14">
        <f ca="1">IFERROR(__xludf.DUMMYFUNCTION("""COMPUTED_VALUE"""),0)</f>
        <v>0</v>
      </c>
      <c r="D10894" s="12" t="str">
        <f ca="1">IFERROR(__xludf.DUMMYFUNCTION("""COMPUTED_VALUE"""),"柿崎 晃司")</f>
        <v>柿崎 晃司</v>
      </c>
    </row>
    <row r="10895" spans="2:4" ht="13">
      <c r="B10895" s="12">
        <f ca="1">IFERROR(__xludf.DUMMYFUNCTION("""COMPUTED_VALUE"""),3703874)</f>
        <v>3703874</v>
      </c>
      <c r="C10895" s="14">
        <f ca="1">IFERROR(__xludf.DUMMYFUNCTION("""COMPUTED_VALUE"""),2)</f>
        <v>2</v>
      </c>
      <c r="D10895" s="12" t="str">
        <f ca="1">IFERROR(__xludf.DUMMYFUNCTION("""COMPUTED_VALUE"""),"柿崎 晃司")</f>
        <v>柿崎 晃司</v>
      </c>
    </row>
    <row r="10896" spans="2:4" ht="13">
      <c r="B10896" s="12">
        <f ca="1">IFERROR(__xludf.DUMMYFUNCTION("""COMPUTED_VALUE"""),3703875)</f>
        <v>3703875</v>
      </c>
      <c r="C10896" s="14">
        <f ca="1">IFERROR(__xludf.DUMMYFUNCTION("""COMPUTED_VALUE"""),4)</f>
        <v>4</v>
      </c>
      <c r="D10896" s="12" t="str">
        <f ca="1">IFERROR(__xludf.DUMMYFUNCTION("""COMPUTED_VALUE"""),"柿崎 晃司")</f>
        <v>柿崎 晃司</v>
      </c>
    </row>
    <row r="10897" spans="2:4" ht="13">
      <c r="B10897" s="12">
        <f ca="1">IFERROR(__xludf.DUMMYFUNCTION("""COMPUTED_VALUE"""),3703876)</f>
        <v>3703876</v>
      </c>
      <c r="C10897" s="14">
        <f ca="1">IFERROR(__xludf.DUMMYFUNCTION("""COMPUTED_VALUE"""),2)</f>
        <v>2</v>
      </c>
      <c r="D10897" s="12" t="str">
        <f ca="1">IFERROR(__xludf.DUMMYFUNCTION("""COMPUTED_VALUE"""),"柿崎 晃司")</f>
        <v>柿崎 晃司</v>
      </c>
    </row>
    <row r="10898" spans="2:4" ht="13">
      <c r="B10898" s="12">
        <f ca="1">IFERROR(__xludf.DUMMYFUNCTION("""COMPUTED_VALUE"""),3703878)</f>
        <v>3703878</v>
      </c>
      <c r="C10898" s="14">
        <f ca="1">IFERROR(__xludf.DUMMYFUNCTION("""COMPUTED_VALUE"""),5)</f>
        <v>5</v>
      </c>
      <c r="D10898" s="12" t="str">
        <f ca="1">IFERROR(__xludf.DUMMYFUNCTION("""COMPUTED_VALUE"""),"柿崎 晃司")</f>
        <v>柿崎 晃司</v>
      </c>
    </row>
    <row r="10899" spans="2:4" ht="13">
      <c r="B10899" s="12">
        <f ca="1">IFERROR(__xludf.DUMMYFUNCTION("""COMPUTED_VALUE"""),3703879)</f>
        <v>3703879</v>
      </c>
      <c r="C10899" s="14">
        <f ca="1">IFERROR(__xludf.DUMMYFUNCTION("""COMPUTED_VALUE"""),0)</f>
        <v>0</v>
      </c>
      <c r="D10899" s="12" t="str">
        <f ca="1">IFERROR(__xludf.DUMMYFUNCTION("""COMPUTED_VALUE"""),"柿崎 晃司")</f>
        <v>柿崎 晃司</v>
      </c>
    </row>
    <row r="10900" spans="2:4" ht="13">
      <c r="B10900" s="12">
        <f ca="1">IFERROR(__xludf.DUMMYFUNCTION("""COMPUTED_VALUE"""),3703880)</f>
        <v>3703880</v>
      </c>
      <c r="C10900" s="14">
        <f ca="1">IFERROR(__xludf.DUMMYFUNCTION("""COMPUTED_VALUE"""),0)</f>
        <v>0</v>
      </c>
      <c r="D10900" s="12" t="str">
        <f ca="1">IFERROR(__xludf.DUMMYFUNCTION("""COMPUTED_VALUE"""),"柿崎 晃司")</f>
        <v>柿崎 晃司</v>
      </c>
    </row>
    <row r="10901" spans="2:4" ht="13">
      <c r="B10901" s="12">
        <f ca="1">IFERROR(__xludf.DUMMYFUNCTION("""COMPUTED_VALUE"""),3703888)</f>
        <v>3703888</v>
      </c>
      <c r="C10901" s="14">
        <f ca="1">IFERROR(__xludf.DUMMYFUNCTION("""COMPUTED_VALUE"""),2)</f>
        <v>2</v>
      </c>
      <c r="D10901" s="12" t="str">
        <f ca="1">IFERROR(__xludf.DUMMYFUNCTION("""COMPUTED_VALUE"""),"柿崎 晃司")</f>
        <v>柿崎 晃司</v>
      </c>
    </row>
    <row r="10902" spans="2:4" ht="13">
      <c r="B10902" s="12">
        <f ca="1">IFERROR(__xludf.DUMMYFUNCTION("""COMPUTED_VALUE"""),3703890)</f>
        <v>3703890</v>
      </c>
      <c r="C10902" s="14">
        <f ca="1">IFERROR(__xludf.DUMMYFUNCTION("""COMPUTED_VALUE"""),2)</f>
        <v>2</v>
      </c>
      <c r="D10902" s="12" t="str">
        <f ca="1">IFERROR(__xludf.DUMMYFUNCTION("""COMPUTED_VALUE"""),"柿崎 晃司")</f>
        <v>柿崎 晃司</v>
      </c>
    </row>
    <row r="10903" spans="2:4" ht="13">
      <c r="B10903" s="12">
        <f ca="1">IFERROR(__xludf.DUMMYFUNCTION("""COMPUTED_VALUE"""),3703891)</f>
        <v>3703891</v>
      </c>
      <c r="C10903" s="14">
        <f ca="1">IFERROR(__xludf.DUMMYFUNCTION("""COMPUTED_VALUE"""),3)</f>
        <v>3</v>
      </c>
      <c r="D10903" s="12" t="str">
        <f ca="1">IFERROR(__xludf.DUMMYFUNCTION("""COMPUTED_VALUE"""),"柿崎 晃司")</f>
        <v>柿崎 晃司</v>
      </c>
    </row>
    <row r="10904" spans="2:4" ht="13">
      <c r="B10904" s="12">
        <f ca="1">IFERROR(__xludf.DUMMYFUNCTION("""COMPUTED_VALUE"""),3703893)</f>
        <v>3703893</v>
      </c>
      <c r="C10904" s="14">
        <f ca="1">IFERROR(__xludf.DUMMYFUNCTION("""COMPUTED_VALUE"""),12)</f>
        <v>12</v>
      </c>
      <c r="D10904" s="12" t="str">
        <f ca="1">IFERROR(__xludf.DUMMYFUNCTION("""COMPUTED_VALUE"""),"柿崎 晃司")</f>
        <v>柿崎 晃司</v>
      </c>
    </row>
    <row r="10905" spans="2:4" ht="13">
      <c r="B10905" s="12">
        <f ca="1">IFERROR(__xludf.DUMMYFUNCTION("""COMPUTED_VALUE"""),3703897)</f>
        <v>3703897</v>
      </c>
      <c r="C10905" s="14">
        <f ca="1">IFERROR(__xludf.DUMMYFUNCTION("""COMPUTED_VALUE"""),0)</f>
        <v>0</v>
      </c>
      <c r="D10905" s="12" t="str">
        <f ca="1">IFERROR(__xludf.DUMMYFUNCTION("""COMPUTED_VALUE"""),"柿崎 晃司")</f>
        <v>柿崎 晃司</v>
      </c>
    </row>
    <row r="10906" spans="2:4" ht="13">
      <c r="B10906" s="12">
        <f ca="1">IFERROR(__xludf.DUMMYFUNCTION("""COMPUTED_VALUE"""),3703898)</f>
        <v>3703898</v>
      </c>
      <c r="C10906" s="14">
        <f ca="1">IFERROR(__xludf.DUMMYFUNCTION("""COMPUTED_VALUE"""),24)</f>
        <v>24</v>
      </c>
      <c r="D10906" s="12" t="str">
        <f ca="1">IFERROR(__xludf.DUMMYFUNCTION("""COMPUTED_VALUE"""),"柿崎 晃司")</f>
        <v>柿崎 晃司</v>
      </c>
    </row>
    <row r="10907" spans="2:4" ht="13">
      <c r="B10907" s="12">
        <f ca="1">IFERROR(__xludf.DUMMYFUNCTION("""COMPUTED_VALUE"""),3703899)</f>
        <v>3703899</v>
      </c>
      <c r="C10907" s="14">
        <f ca="1">IFERROR(__xludf.DUMMYFUNCTION("""COMPUTED_VALUE"""),1)</f>
        <v>1</v>
      </c>
      <c r="D10907" s="12" t="str">
        <f ca="1">IFERROR(__xludf.DUMMYFUNCTION("""COMPUTED_VALUE"""),"柿崎 晃司")</f>
        <v>柿崎 晃司</v>
      </c>
    </row>
    <row r="10908" spans="2:4" ht="13">
      <c r="B10908" s="12">
        <f ca="1">IFERROR(__xludf.DUMMYFUNCTION("""COMPUTED_VALUE"""),3703900)</f>
        <v>3703900</v>
      </c>
      <c r="C10908" s="14">
        <f ca="1">IFERROR(__xludf.DUMMYFUNCTION("""COMPUTED_VALUE"""),47)</f>
        <v>47</v>
      </c>
      <c r="D10908" s="12" t="str">
        <f ca="1">IFERROR(__xludf.DUMMYFUNCTION("""COMPUTED_VALUE"""),"柿崎 晃司")</f>
        <v>柿崎 晃司</v>
      </c>
    </row>
    <row r="10909" spans="2:4" ht="13">
      <c r="B10909" s="12">
        <f ca="1">IFERROR(__xludf.DUMMYFUNCTION("""COMPUTED_VALUE"""),3703901)</f>
        <v>3703901</v>
      </c>
      <c r="C10909" s="14">
        <f ca="1">IFERROR(__xludf.DUMMYFUNCTION("""COMPUTED_VALUE"""),9)</f>
        <v>9</v>
      </c>
      <c r="D10909" s="12" t="str">
        <f ca="1">IFERROR(__xludf.DUMMYFUNCTION("""COMPUTED_VALUE"""),"柿崎 晃司")</f>
        <v>柿崎 晃司</v>
      </c>
    </row>
    <row r="10910" spans="2:4" ht="13">
      <c r="B10910" s="12">
        <f ca="1">IFERROR(__xludf.DUMMYFUNCTION("""COMPUTED_VALUE"""),3703902)</f>
        <v>3703902</v>
      </c>
      <c r="C10910" s="14">
        <f ca="1">IFERROR(__xludf.DUMMYFUNCTION("""COMPUTED_VALUE"""),0)</f>
        <v>0</v>
      </c>
      <c r="D10910" s="12" t="str">
        <f ca="1">IFERROR(__xludf.DUMMYFUNCTION("""COMPUTED_VALUE"""),"柿崎 晃司")</f>
        <v>柿崎 晃司</v>
      </c>
    </row>
    <row r="10911" spans="2:4" ht="13">
      <c r="B10911" s="12">
        <f ca="1">IFERROR(__xludf.DUMMYFUNCTION("""COMPUTED_VALUE"""),3703903)</f>
        <v>3703903</v>
      </c>
      <c r="C10911" s="14">
        <f ca="1">IFERROR(__xludf.DUMMYFUNCTION("""COMPUTED_VALUE"""),11)</f>
        <v>11</v>
      </c>
      <c r="D10911" s="12" t="str">
        <f ca="1">IFERROR(__xludf.DUMMYFUNCTION("""COMPUTED_VALUE"""),"柿崎 晃司")</f>
        <v>柿崎 晃司</v>
      </c>
    </row>
    <row r="10912" spans="2:4" ht="13">
      <c r="B10912" s="12">
        <f ca="1">IFERROR(__xludf.DUMMYFUNCTION("""COMPUTED_VALUE"""),3703904)</f>
        <v>3703904</v>
      </c>
      <c r="C10912" s="14">
        <f ca="1">IFERROR(__xludf.DUMMYFUNCTION("""COMPUTED_VALUE"""),4)</f>
        <v>4</v>
      </c>
      <c r="D10912" s="12" t="str">
        <f ca="1">IFERROR(__xludf.DUMMYFUNCTION("""COMPUTED_VALUE"""),"柿崎 晃司")</f>
        <v>柿崎 晃司</v>
      </c>
    </row>
    <row r="10913" spans="2:4" ht="13">
      <c r="B10913" s="12">
        <f ca="1">IFERROR(__xludf.DUMMYFUNCTION("""COMPUTED_VALUE"""),3703905)</f>
        <v>3703905</v>
      </c>
      <c r="C10913" s="14">
        <f ca="1">IFERROR(__xludf.DUMMYFUNCTION("""COMPUTED_VALUE"""),0)</f>
        <v>0</v>
      </c>
      <c r="D10913" s="12" t="str">
        <f ca="1">IFERROR(__xludf.DUMMYFUNCTION("""COMPUTED_VALUE"""),"柿崎 晃司")</f>
        <v>柿崎 晃司</v>
      </c>
    </row>
    <row r="10914" spans="2:4" ht="13">
      <c r="B10914" s="12">
        <f ca="1">IFERROR(__xludf.DUMMYFUNCTION("""COMPUTED_VALUE"""),3703906)</f>
        <v>3703906</v>
      </c>
      <c r="C10914" s="14">
        <f ca="1">IFERROR(__xludf.DUMMYFUNCTION("""COMPUTED_VALUE"""),10)</f>
        <v>10</v>
      </c>
      <c r="D10914" s="12" t="str">
        <f ca="1">IFERROR(__xludf.DUMMYFUNCTION("""COMPUTED_VALUE"""),"柿崎 晃司")</f>
        <v>柿崎 晃司</v>
      </c>
    </row>
    <row r="10915" spans="2:4" ht="13">
      <c r="B10915" s="12">
        <f ca="1">IFERROR(__xludf.DUMMYFUNCTION("""COMPUTED_VALUE"""),3703909)</f>
        <v>3703909</v>
      </c>
      <c r="C10915" s="14">
        <f ca="1">IFERROR(__xludf.DUMMYFUNCTION("""COMPUTED_VALUE"""),4)</f>
        <v>4</v>
      </c>
      <c r="D10915" s="12" t="str">
        <f ca="1">IFERROR(__xludf.DUMMYFUNCTION("""COMPUTED_VALUE"""),"柿崎 晃司")</f>
        <v>柿崎 晃司</v>
      </c>
    </row>
    <row r="10916" spans="2:4" ht="13">
      <c r="B10916" s="12">
        <f ca="1">IFERROR(__xludf.DUMMYFUNCTION("""COMPUTED_VALUE"""),3703910)</f>
        <v>3703910</v>
      </c>
      <c r="C10916" s="14">
        <f ca="1">IFERROR(__xludf.DUMMYFUNCTION("""COMPUTED_VALUE"""),13)</f>
        <v>13</v>
      </c>
      <c r="D10916" s="12" t="str">
        <f ca="1">IFERROR(__xludf.DUMMYFUNCTION("""COMPUTED_VALUE"""),"柿崎 晃司")</f>
        <v>柿崎 晃司</v>
      </c>
    </row>
    <row r="10917" spans="2:4" ht="13">
      <c r="B10917" s="12">
        <f ca="1">IFERROR(__xludf.DUMMYFUNCTION("""COMPUTED_VALUE"""),3703911)</f>
        <v>3703911</v>
      </c>
      <c r="C10917" s="14">
        <f ca="1">IFERROR(__xludf.DUMMYFUNCTION("""COMPUTED_VALUE"""),2)</f>
        <v>2</v>
      </c>
      <c r="D10917" s="12" t="str">
        <f ca="1">IFERROR(__xludf.DUMMYFUNCTION("""COMPUTED_VALUE"""),"柿崎 晃司")</f>
        <v>柿崎 晃司</v>
      </c>
    </row>
    <row r="10918" spans="2:4" ht="13">
      <c r="B10918" s="12">
        <f ca="1">IFERROR(__xludf.DUMMYFUNCTION("""COMPUTED_VALUE"""),3703913)</f>
        <v>3703913</v>
      </c>
      <c r="C10918" s="14">
        <f ca="1">IFERROR(__xludf.DUMMYFUNCTION("""COMPUTED_VALUE"""),0)</f>
        <v>0</v>
      </c>
      <c r="D10918" s="12" t="str">
        <f ca="1">IFERROR(__xludf.DUMMYFUNCTION("""COMPUTED_VALUE"""),"柿崎 晃司")</f>
        <v>柿崎 晃司</v>
      </c>
    </row>
    <row r="10919" spans="2:4" ht="13">
      <c r="B10919" s="12">
        <f ca="1">IFERROR(__xludf.DUMMYFUNCTION("""COMPUTED_VALUE"""),3703914)</f>
        <v>3703914</v>
      </c>
      <c r="C10919" s="14">
        <f ca="1">IFERROR(__xludf.DUMMYFUNCTION("""COMPUTED_VALUE"""),9)</f>
        <v>9</v>
      </c>
      <c r="D10919" s="12" t="str">
        <f ca="1">IFERROR(__xludf.DUMMYFUNCTION("""COMPUTED_VALUE"""),"柿崎 晃司")</f>
        <v>柿崎 晃司</v>
      </c>
    </row>
    <row r="10920" spans="2:4" ht="13">
      <c r="B10920" s="12">
        <f ca="1">IFERROR(__xludf.DUMMYFUNCTION("""COMPUTED_VALUE"""),3703916)</f>
        <v>3703916</v>
      </c>
      <c r="C10920" s="14">
        <f ca="1">IFERROR(__xludf.DUMMYFUNCTION("""COMPUTED_VALUE"""),0)</f>
        <v>0</v>
      </c>
      <c r="D10920" s="12" t="str">
        <f ca="1">IFERROR(__xludf.DUMMYFUNCTION("""COMPUTED_VALUE"""),"柿崎 晃司")</f>
        <v>柿崎 晃司</v>
      </c>
    </row>
    <row r="10921" spans="2:4" ht="13">
      <c r="B10921" s="12">
        <f ca="1">IFERROR(__xludf.DUMMYFUNCTION("""COMPUTED_VALUE"""),3703917)</f>
        <v>3703917</v>
      </c>
      <c r="C10921" s="14">
        <f ca="1">IFERROR(__xludf.DUMMYFUNCTION("""COMPUTED_VALUE"""),0)</f>
        <v>0</v>
      </c>
      <c r="D10921" s="12" t="str">
        <f ca="1">IFERROR(__xludf.DUMMYFUNCTION("""COMPUTED_VALUE"""),"柿崎 晃司")</f>
        <v>柿崎 晃司</v>
      </c>
    </row>
    <row r="10922" spans="2:4" ht="13">
      <c r="B10922" s="12">
        <f ca="1">IFERROR(__xludf.DUMMYFUNCTION("""COMPUTED_VALUE"""),3703918)</f>
        <v>3703918</v>
      </c>
      <c r="C10922" s="14">
        <f ca="1">IFERROR(__xludf.DUMMYFUNCTION("""COMPUTED_VALUE"""),32)</f>
        <v>32</v>
      </c>
      <c r="D10922" s="12" t="str">
        <f ca="1">IFERROR(__xludf.DUMMYFUNCTION("""COMPUTED_VALUE"""),"柿崎 晃司")</f>
        <v>柿崎 晃司</v>
      </c>
    </row>
    <row r="10923" spans="2:4" ht="13">
      <c r="B10923" s="12">
        <f ca="1">IFERROR(__xludf.DUMMYFUNCTION("""COMPUTED_VALUE"""),3703919)</f>
        <v>3703919</v>
      </c>
      <c r="C10923" s="14">
        <f ca="1">IFERROR(__xludf.DUMMYFUNCTION("""COMPUTED_VALUE"""),15)</f>
        <v>15</v>
      </c>
      <c r="D10923" s="12" t="str">
        <f ca="1">IFERROR(__xludf.DUMMYFUNCTION("""COMPUTED_VALUE"""),"柿崎 晃司")</f>
        <v>柿崎 晃司</v>
      </c>
    </row>
    <row r="10924" spans="2:4" ht="13">
      <c r="B10924" s="12">
        <f ca="1">IFERROR(__xludf.DUMMYFUNCTION("""COMPUTED_VALUE"""),3703920)</f>
        <v>3703920</v>
      </c>
      <c r="C10924" s="14">
        <f ca="1">IFERROR(__xludf.DUMMYFUNCTION("""COMPUTED_VALUE"""),4)</f>
        <v>4</v>
      </c>
      <c r="D10924" s="12" t="str">
        <f ca="1">IFERROR(__xludf.DUMMYFUNCTION("""COMPUTED_VALUE"""),"柿崎 晃司")</f>
        <v>柿崎 晃司</v>
      </c>
    </row>
    <row r="10925" spans="2:4" ht="13">
      <c r="B10925" s="12">
        <f ca="1">IFERROR(__xludf.DUMMYFUNCTION("""COMPUTED_VALUE"""),3703932)</f>
        <v>3703932</v>
      </c>
      <c r="C10925" s="14">
        <f ca="1">IFERROR(__xludf.DUMMYFUNCTION("""COMPUTED_VALUE"""),1)</f>
        <v>1</v>
      </c>
      <c r="D10925" s="12" t="str">
        <f ca="1">IFERROR(__xludf.DUMMYFUNCTION("""COMPUTED_VALUE"""),"柿崎 晃司")</f>
        <v>柿崎 晃司</v>
      </c>
    </row>
    <row r="10926" spans="2:4" ht="13">
      <c r="B10926" s="12">
        <f ca="1">IFERROR(__xludf.DUMMYFUNCTION("""COMPUTED_VALUE"""),3703933)</f>
        <v>3703933</v>
      </c>
      <c r="C10926" s="14">
        <f ca="1">IFERROR(__xludf.DUMMYFUNCTION("""COMPUTED_VALUE"""),10)</f>
        <v>10</v>
      </c>
      <c r="D10926" s="12" t="str">
        <f ca="1">IFERROR(__xludf.DUMMYFUNCTION("""COMPUTED_VALUE"""),"柿崎 晃司")</f>
        <v>柿崎 晃司</v>
      </c>
    </row>
    <row r="10927" spans="2:4" ht="13">
      <c r="B10927" s="12">
        <f ca="1">IFERROR(__xludf.DUMMYFUNCTION("""COMPUTED_VALUE"""),3703934)</f>
        <v>3703934</v>
      </c>
      <c r="C10927" s="14">
        <f ca="1">IFERROR(__xludf.DUMMYFUNCTION("""COMPUTED_VALUE"""),5)</f>
        <v>5</v>
      </c>
      <c r="D10927" s="12" t="str">
        <f ca="1">IFERROR(__xludf.DUMMYFUNCTION("""COMPUTED_VALUE"""),"柿崎 晃司")</f>
        <v>柿崎 晃司</v>
      </c>
    </row>
    <row r="10928" spans="2:4" ht="13">
      <c r="B10928" s="12">
        <f ca="1">IFERROR(__xludf.DUMMYFUNCTION("""COMPUTED_VALUE"""),3703935)</f>
        <v>3703935</v>
      </c>
      <c r="C10928" s="14">
        <f ca="1">IFERROR(__xludf.DUMMYFUNCTION("""COMPUTED_VALUE"""),1)</f>
        <v>1</v>
      </c>
      <c r="D10928" s="12" t="str">
        <f ca="1">IFERROR(__xludf.DUMMYFUNCTION("""COMPUTED_VALUE"""),"柿崎 晃司")</f>
        <v>柿崎 晃司</v>
      </c>
    </row>
    <row r="10929" spans="2:4" ht="13">
      <c r="B10929" s="12">
        <f ca="1">IFERROR(__xludf.DUMMYFUNCTION("""COMPUTED_VALUE"""),3703936)</f>
        <v>3703936</v>
      </c>
      <c r="C10929" s="14">
        <f ca="1">IFERROR(__xludf.DUMMYFUNCTION("""COMPUTED_VALUE"""),3)</f>
        <v>3</v>
      </c>
      <c r="D10929" s="12" t="str">
        <f ca="1">IFERROR(__xludf.DUMMYFUNCTION("""COMPUTED_VALUE"""),"柿崎 晃司")</f>
        <v>柿崎 晃司</v>
      </c>
    </row>
    <row r="10930" spans="2:4" ht="13">
      <c r="B10930" s="12">
        <f ca="1">IFERROR(__xludf.DUMMYFUNCTION("""COMPUTED_VALUE"""),3703938)</f>
        <v>3703938</v>
      </c>
      <c r="C10930" s="14">
        <f ca="1">IFERROR(__xludf.DUMMYFUNCTION("""COMPUTED_VALUE"""),8)</f>
        <v>8</v>
      </c>
      <c r="D10930" s="12" t="str">
        <f ca="1">IFERROR(__xludf.DUMMYFUNCTION("""COMPUTED_VALUE"""),"柿崎 晃司")</f>
        <v>柿崎 晃司</v>
      </c>
    </row>
    <row r="10931" spans="2:4" ht="13">
      <c r="B10931" s="12">
        <f ca="1">IFERROR(__xludf.DUMMYFUNCTION("""COMPUTED_VALUE"""),3703939)</f>
        <v>3703939</v>
      </c>
      <c r="C10931" s="14">
        <f ca="1">IFERROR(__xludf.DUMMYFUNCTION("""COMPUTED_VALUE"""),24)</f>
        <v>24</v>
      </c>
      <c r="D10931" s="12" t="str">
        <f ca="1">IFERROR(__xludf.DUMMYFUNCTION("""COMPUTED_VALUE"""),"柿崎 晃司")</f>
        <v>柿崎 晃司</v>
      </c>
    </row>
    <row r="10932" spans="2:4" ht="13">
      <c r="B10932" s="12">
        <f ca="1">IFERROR(__xludf.DUMMYFUNCTION("""COMPUTED_VALUE"""),3703940)</f>
        <v>3703940</v>
      </c>
      <c r="C10932" s="14">
        <f ca="1">IFERROR(__xludf.DUMMYFUNCTION("""COMPUTED_VALUE"""),10)</f>
        <v>10</v>
      </c>
      <c r="D10932" s="12" t="str">
        <f ca="1">IFERROR(__xludf.DUMMYFUNCTION("""COMPUTED_VALUE"""),"柿崎 晃司")</f>
        <v>柿崎 晃司</v>
      </c>
    </row>
    <row r="10933" spans="2:4" ht="13">
      <c r="B10933" s="12">
        <f ca="1">IFERROR(__xludf.DUMMYFUNCTION("""COMPUTED_VALUE"""),3703941)</f>
        <v>3703941</v>
      </c>
      <c r="C10933" s="14">
        <f ca="1">IFERROR(__xludf.DUMMYFUNCTION("""COMPUTED_VALUE"""),2)</f>
        <v>2</v>
      </c>
      <c r="D10933" s="12" t="str">
        <f ca="1">IFERROR(__xludf.DUMMYFUNCTION("""COMPUTED_VALUE"""),"柿崎 晃司")</f>
        <v>柿崎 晃司</v>
      </c>
    </row>
    <row r="10934" spans="2:4" ht="13">
      <c r="B10934" s="12">
        <f ca="1">IFERROR(__xludf.DUMMYFUNCTION("""COMPUTED_VALUE"""),3703942)</f>
        <v>3703942</v>
      </c>
      <c r="C10934" s="14">
        <f ca="1">IFERROR(__xludf.DUMMYFUNCTION("""COMPUTED_VALUE"""),7)</f>
        <v>7</v>
      </c>
      <c r="D10934" s="12" t="str">
        <f ca="1">IFERROR(__xludf.DUMMYFUNCTION("""COMPUTED_VALUE"""),"柿崎 晃司")</f>
        <v>柿崎 晃司</v>
      </c>
    </row>
    <row r="10935" spans="2:4" ht="13">
      <c r="B10935" s="12">
        <f ca="1">IFERROR(__xludf.DUMMYFUNCTION("""COMPUTED_VALUE"""),3703943)</f>
        <v>3703943</v>
      </c>
      <c r="C10935" s="14">
        <f ca="1">IFERROR(__xludf.DUMMYFUNCTION("""COMPUTED_VALUE"""),4)</f>
        <v>4</v>
      </c>
      <c r="D10935" s="12" t="str">
        <f ca="1">IFERROR(__xludf.DUMMYFUNCTION("""COMPUTED_VALUE"""),"柿崎 晃司")</f>
        <v>柿崎 晃司</v>
      </c>
    </row>
    <row r="10936" spans="2:4" ht="13">
      <c r="B10936" s="12">
        <f ca="1">IFERROR(__xludf.DUMMYFUNCTION("""COMPUTED_VALUE"""),3703944)</f>
        <v>3703944</v>
      </c>
      <c r="C10936" s="14">
        <f ca="1">IFERROR(__xludf.DUMMYFUNCTION("""COMPUTED_VALUE"""),1)</f>
        <v>1</v>
      </c>
      <c r="D10936" s="12" t="str">
        <f ca="1">IFERROR(__xludf.DUMMYFUNCTION("""COMPUTED_VALUE"""),"柿崎 晃司")</f>
        <v>柿崎 晃司</v>
      </c>
    </row>
    <row r="10937" spans="2:4" ht="13">
      <c r="B10937" s="12">
        <f ca="1">IFERROR(__xludf.DUMMYFUNCTION("""COMPUTED_VALUE"""),3703945)</f>
        <v>3703945</v>
      </c>
      <c r="C10937" s="14">
        <f ca="1">IFERROR(__xludf.DUMMYFUNCTION("""COMPUTED_VALUE"""),1)</f>
        <v>1</v>
      </c>
      <c r="D10937" s="12" t="str">
        <f ca="1">IFERROR(__xludf.DUMMYFUNCTION("""COMPUTED_VALUE"""),"柿崎 晃司")</f>
        <v>柿崎 晃司</v>
      </c>
    </row>
    <row r="10938" spans="2:4" ht="13">
      <c r="B10938" s="12">
        <f ca="1">IFERROR(__xludf.DUMMYFUNCTION("""COMPUTED_VALUE"""),3703946)</f>
        <v>3703946</v>
      </c>
      <c r="C10938" s="14">
        <f ca="1">IFERROR(__xludf.DUMMYFUNCTION("""COMPUTED_VALUE"""),1)</f>
        <v>1</v>
      </c>
      <c r="D10938" s="12" t="str">
        <f ca="1">IFERROR(__xludf.DUMMYFUNCTION("""COMPUTED_VALUE"""),"柿崎 晃司")</f>
        <v>柿崎 晃司</v>
      </c>
    </row>
    <row r="10939" spans="2:4" ht="13">
      <c r="B10939" s="12">
        <f ca="1">IFERROR(__xludf.DUMMYFUNCTION("""COMPUTED_VALUE"""),3703947)</f>
        <v>3703947</v>
      </c>
      <c r="C10939" s="14">
        <f ca="1">IFERROR(__xludf.DUMMYFUNCTION("""COMPUTED_VALUE"""),2)</f>
        <v>2</v>
      </c>
      <c r="D10939" s="12" t="str">
        <f ca="1">IFERROR(__xludf.DUMMYFUNCTION("""COMPUTED_VALUE"""),"柿崎 晃司")</f>
        <v>柿崎 晃司</v>
      </c>
    </row>
    <row r="10940" spans="2:4" ht="13">
      <c r="B10940" s="12">
        <f ca="1">IFERROR(__xludf.DUMMYFUNCTION("""COMPUTED_VALUE"""),3703948)</f>
        <v>3703948</v>
      </c>
      <c r="C10940" s="14">
        <f ca="1">IFERROR(__xludf.DUMMYFUNCTION("""COMPUTED_VALUE"""),10)</f>
        <v>10</v>
      </c>
      <c r="D10940" s="12" t="str">
        <f ca="1">IFERROR(__xludf.DUMMYFUNCTION("""COMPUTED_VALUE"""),"柿崎 晃司")</f>
        <v>柿崎 晃司</v>
      </c>
    </row>
    <row r="10941" spans="2:4" ht="13">
      <c r="B10941" s="12">
        <f ca="1">IFERROR(__xludf.DUMMYFUNCTION("""COMPUTED_VALUE"""),3703949)</f>
        <v>3703949</v>
      </c>
      <c r="C10941" s="14">
        <f ca="1">IFERROR(__xludf.DUMMYFUNCTION("""COMPUTED_VALUE"""),0)</f>
        <v>0</v>
      </c>
      <c r="D10941" s="12" t="str">
        <f ca="1">IFERROR(__xludf.DUMMYFUNCTION("""COMPUTED_VALUE"""),"柿崎 晃司")</f>
        <v>柿崎 晃司</v>
      </c>
    </row>
    <row r="10942" spans="2:4" ht="13">
      <c r="B10942" s="12">
        <f ca="1">IFERROR(__xludf.DUMMYFUNCTION("""COMPUTED_VALUE"""),3703950)</f>
        <v>3703950</v>
      </c>
      <c r="C10942" s="14">
        <f ca="1">IFERROR(__xludf.DUMMYFUNCTION("""COMPUTED_VALUE"""),53)</f>
        <v>53</v>
      </c>
      <c r="D10942" s="12" t="str">
        <f ca="1">IFERROR(__xludf.DUMMYFUNCTION("""COMPUTED_VALUE"""),"柿崎 晃司")</f>
        <v>柿崎 晃司</v>
      </c>
    </row>
    <row r="10943" spans="2:4" ht="13">
      <c r="B10943" s="12">
        <f ca="1">IFERROR(__xludf.DUMMYFUNCTION("""COMPUTED_VALUE"""),3703951)</f>
        <v>3703951</v>
      </c>
      <c r="C10943" s="14">
        <f ca="1">IFERROR(__xludf.DUMMYFUNCTION("""COMPUTED_VALUE"""),56)</f>
        <v>56</v>
      </c>
      <c r="D10943" s="12" t="str">
        <f ca="1">IFERROR(__xludf.DUMMYFUNCTION("""COMPUTED_VALUE"""),"柿崎 晃司")</f>
        <v>柿崎 晃司</v>
      </c>
    </row>
    <row r="10944" spans="2:4" ht="13">
      <c r="B10944" s="12">
        <f ca="1">IFERROR(__xludf.DUMMYFUNCTION("""COMPUTED_VALUE"""),3703952)</f>
        <v>3703952</v>
      </c>
      <c r="C10944" s="14">
        <f ca="1">IFERROR(__xludf.DUMMYFUNCTION("""COMPUTED_VALUE"""),1)</f>
        <v>1</v>
      </c>
      <c r="D10944" s="12" t="str">
        <f ca="1">IFERROR(__xludf.DUMMYFUNCTION("""COMPUTED_VALUE"""),"柿崎 晃司")</f>
        <v>柿崎 晃司</v>
      </c>
    </row>
    <row r="10945" spans="2:4" ht="13">
      <c r="B10945" s="12">
        <f ca="1">IFERROR(__xludf.DUMMYFUNCTION("""COMPUTED_VALUE"""),3703953)</f>
        <v>3703953</v>
      </c>
      <c r="C10945" s="14">
        <f ca="1">IFERROR(__xludf.DUMMYFUNCTION("""COMPUTED_VALUE"""),6)</f>
        <v>6</v>
      </c>
      <c r="D10945" s="12" t="str">
        <f ca="1">IFERROR(__xludf.DUMMYFUNCTION("""COMPUTED_VALUE"""),"柿崎 晃司")</f>
        <v>柿崎 晃司</v>
      </c>
    </row>
    <row r="10946" spans="2:4" ht="13">
      <c r="B10946" s="12">
        <f ca="1">IFERROR(__xludf.DUMMYFUNCTION("""COMPUTED_VALUE"""),3703954)</f>
        <v>3703954</v>
      </c>
      <c r="C10946" s="14">
        <f ca="1">IFERROR(__xludf.DUMMYFUNCTION("""COMPUTED_VALUE"""),0)</f>
        <v>0</v>
      </c>
      <c r="D10946" s="12" t="str">
        <f ca="1">IFERROR(__xludf.DUMMYFUNCTION("""COMPUTED_VALUE"""),"柿崎 晃司")</f>
        <v>柿崎 晃司</v>
      </c>
    </row>
    <row r="10947" spans="2:4" ht="13">
      <c r="B10947" s="12">
        <f ca="1">IFERROR(__xludf.DUMMYFUNCTION("""COMPUTED_VALUE"""),3703955)</f>
        <v>3703955</v>
      </c>
      <c r="C10947" s="14">
        <f ca="1">IFERROR(__xludf.DUMMYFUNCTION("""COMPUTED_VALUE"""),6)</f>
        <v>6</v>
      </c>
      <c r="D10947" s="12" t="str">
        <f ca="1">IFERROR(__xludf.DUMMYFUNCTION("""COMPUTED_VALUE"""),"柿崎 晃司")</f>
        <v>柿崎 晃司</v>
      </c>
    </row>
    <row r="10948" spans="2:4" ht="13">
      <c r="B10948" s="12">
        <f ca="1">IFERROR(__xludf.DUMMYFUNCTION("""COMPUTED_VALUE"""),3703956)</f>
        <v>3703956</v>
      </c>
      <c r="C10948" s="14">
        <f ca="1">IFERROR(__xludf.DUMMYFUNCTION("""COMPUTED_VALUE"""),9)</f>
        <v>9</v>
      </c>
      <c r="D10948" s="12" t="str">
        <f ca="1">IFERROR(__xludf.DUMMYFUNCTION("""COMPUTED_VALUE"""),"柿崎 晃司")</f>
        <v>柿崎 晃司</v>
      </c>
    </row>
    <row r="10949" spans="2:4" ht="13">
      <c r="B10949" s="12">
        <f ca="1">IFERROR(__xludf.DUMMYFUNCTION("""COMPUTED_VALUE"""),3703957)</f>
        <v>3703957</v>
      </c>
      <c r="C10949" s="14">
        <f ca="1">IFERROR(__xludf.DUMMYFUNCTION("""COMPUTED_VALUE"""),9)</f>
        <v>9</v>
      </c>
      <c r="D10949" s="12" t="str">
        <f ca="1">IFERROR(__xludf.DUMMYFUNCTION("""COMPUTED_VALUE"""),"柿崎 晃司")</f>
        <v>柿崎 晃司</v>
      </c>
    </row>
    <row r="10950" spans="2:4" ht="13">
      <c r="B10950" s="12">
        <f ca="1">IFERROR(__xludf.DUMMYFUNCTION("""COMPUTED_VALUE"""),3703958)</f>
        <v>3703958</v>
      </c>
      <c r="C10950" s="14">
        <f ca="1">IFERROR(__xludf.DUMMYFUNCTION("""COMPUTED_VALUE"""),2)</f>
        <v>2</v>
      </c>
      <c r="D10950" s="12" t="str">
        <f ca="1">IFERROR(__xludf.DUMMYFUNCTION("""COMPUTED_VALUE"""),"柿崎 晃司")</f>
        <v>柿崎 晃司</v>
      </c>
    </row>
    <row r="10951" spans="2:4" ht="13">
      <c r="B10951" s="12">
        <f ca="1">IFERROR(__xludf.DUMMYFUNCTION("""COMPUTED_VALUE"""),3703959)</f>
        <v>3703959</v>
      </c>
      <c r="C10951" s="14">
        <f ca="1">IFERROR(__xludf.DUMMYFUNCTION("""COMPUTED_VALUE"""),0)</f>
        <v>0</v>
      </c>
      <c r="D10951" s="12" t="str">
        <f ca="1">IFERROR(__xludf.DUMMYFUNCTION("""COMPUTED_VALUE"""),"柿崎 晃司")</f>
        <v>柿崎 晃司</v>
      </c>
    </row>
    <row r="10952" spans="2:4" ht="13">
      <c r="B10952" s="12">
        <f ca="1">IFERROR(__xludf.DUMMYFUNCTION("""COMPUTED_VALUE"""),3703960)</f>
        <v>3703960</v>
      </c>
      <c r="C10952" s="14">
        <f ca="1">IFERROR(__xludf.DUMMYFUNCTION("""COMPUTED_VALUE"""),2)</f>
        <v>2</v>
      </c>
      <c r="D10952" s="12" t="str">
        <f ca="1">IFERROR(__xludf.DUMMYFUNCTION("""COMPUTED_VALUE"""),"柿崎 晃司")</f>
        <v>柿崎 晃司</v>
      </c>
    </row>
    <row r="10953" spans="2:4" ht="13">
      <c r="B10953" s="12">
        <f ca="1">IFERROR(__xludf.DUMMYFUNCTION("""COMPUTED_VALUE"""),3703961)</f>
        <v>3703961</v>
      </c>
      <c r="C10953" s="14">
        <f ca="1">IFERROR(__xludf.DUMMYFUNCTION("""COMPUTED_VALUE"""),6)</f>
        <v>6</v>
      </c>
      <c r="D10953" s="12" t="str">
        <f ca="1">IFERROR(__xludf.DUMMYFUNCTION("""COMPUTED_VALUE"""),"柿崎 晃司")</f>
        <v>柿崎 晃司</v>
      </c>
    </row>
    <row r="10954" spans="2:4" ht="13">
      <c r="B10954" s="12">
        <f ca="1">IFERROR(__xludf.DUMMYFUNCTION("""COMPUTED_VALUE"""),3703964)</f>
        <v>3703964</v>
      </c>
      <c r="C10954" s="14">
        <f ca="1">IFERROR(__xludf.DUMMYFUNCTION("""COMPUTED_VALUE"""),5)</f>
        <v>5</v>
      </c>
      <c r="D10954" s="12" t="str">
        <f ca="1">IFERROR(__xludf.DUMMYFUNCTION("""COMPUTED_VALUE"""),"柿崎 晃司")</f>
        <v>柿崎 晃司</v>
      </c>
    </row>
    <row r="10955" spans="2:4" ht="13">
      <c r="B10955" s="12">
        <f ca="1">IFERROR(__xludf.DUMMYFUNCTION("""COMPUTED_VALUE"""),3703965)</f>
        <v>3703965</v>
      </c>
      <c r="C10955" s="14">
        <f ca="1">IFERROR(__xludf.DUMMYFUNCTION("""COMPUTED_VALUE"""),79)</f>
        <v>79</v>
      </c>
      <c r="D10955" s="12" t="str">
        <f ca="1">IFERROR(__xludf.DUMMYFUNCTION("""COMPUTED_VALUE"""),"柿崎 晃司")</f>
        <v>柿崎 晃司</v>
      </c>
    </row>
    <row r="10956" spans="2:4" ht="13">
      <c r="B10956" s="12">
        <f ca="1">IFERROR(__xludf.DUMMYFUNCTION("""COMPUTED_VALUE"""),3703967)</f>
        <v>3703967</v>
      </c>
      <c r="C10956" s="14">
        <f ca="1">IFERROR(__xludf.DUMMYFUNCTION("""COMPUTED_VALUE"""),0)</f>
        <v>0</v>
      </c>
      <c r="D10956" s="12" t="str">
        <f ca="1">IFERROR(__xludf.DUMMYFUNCTION("""COMPUTED_VALUE"""),"柿崎 晃司")</f>
        <v>柿崎 晃司</v>
      </c>
    </row>
    <row r="10957" spans="2:4" ht="13">
      <c r="B10957" s="12">
        <f ca="1">IFERROR(__xludf.DUMMYFUNCTION("""COMPUTED_VALUE"""),3703971)</f>
        <v>3703971</v>
      </c>
      <c r="C10957" s="14">
        <f ca="1">IFERROR(__xludf.DUMMYFUNCTION("""COMPUTED_VALUE"""),6)</f>
        <v>6</v>
      </c>
      <c r="D10957" s="12" t="str">
        <f ca="1">IFERROR(__xludf.DUMMYFUNCTION("""COMPUTED_VALUE"""),"柿崎 晃司")</f>
        <v>柿崎 晃司</v>
      </c>
    </row>
    <row r="10958" spans="2:4" ht="13">
      <c r="B10958" s="12">
        <f ca="1">IFERROR(__xludf.DUMMYFUNCTION("""COMPUTED_VALUE"""),3703972)</f>
        <v>3703972</v>
      </c>
      <c r="C10958" s="14">
        <f ca="1">IFERROR(__xludf.DUMMYFUNCTION("""COMPUTED_VALUE"""),0)</f>
        <v>0</v>
      </c>
      <c r="D10958" s="12" t="str">
        <f ca="1">IFERROR(__xludf.DUMMYFUNCTION("""COMPUTED_VALUE"""),"柿崎 晃司")</f>
        <v>柿崎 晃司</v>
      </c>
    </row>
    <row r="10959" spans="2:4" ht="13">
      <c r="B10959" s="12">
        <f ca="1">IFERROR(__xludf.DUMMYFUNCTION("""COMPUTED_VALUE"""),3703973)</f>
        <v>3703973</v>
      </c>
      <c r="C10959" s="14">
        <f ca="1">IFERROR(__xludf.DUMMYFUNCTION("""COMPUTED_VALUE"""),8)</f>
        <v>8</v>
      </c>
      <c r="D10959" s="12" t="str">
        <f ca="1">IFERROR(__xludf.DUMMYFUNCTION("""COMPUTED_VALUE"""),"柿崎 晃司")</f>
        <v>柿崎 晃司</v>
      </c>
    </row>
    <row r="10960" spans="2:4" ht="13">
      <c r="B10960" s="12">
        <f ca="1">IFERROR(__xludf.DUMMYFUNCTION("""COMPUTED_VALUE"""),3703974)</f>
        <v>3703974</v>
      </c>
      <c r="C10960" s="14">
        <f ca="1">IFERROR(__xludf.DUMMYFUNCTION("""COMPUTED_VALUE"""),1)</f>
        <v>1</v>
      </c>
      <c r="D10960" s="12" t="str">
        <f ca="1">IFERROR(__xludf.DUMMYFUNCTION("""COMPUTED_VALUE"""),"柿崎 晃司")</f>
        <v>柿崎 晃司</v>
      </c>
    </row>
    <row r="10961" spans="2:4" ht="13">
      <c r="B10961" s="12">
        <f ca="1">IFERROR(__xludf.DUMMYFUNCTION("""COMPUTED_VALUE"""),3703975)</f>
        <v>3703975</v>
      </c>
      <c r="C10961" s="14">
        <f ca="1">IFERROR(__xludf.DUMMYFUNCTION("""COMPUTED_VALUE"""),2)</f>
        <v>2</v>
      </c>
      <c r="D10961" s="12" t="str">
        <f ca="1">IFERROR(__xludf.DUMMYFUNCTION("""COMPUTED_VALUE"""),"柿崎 晃司")</f>
        <v>柿崎 晃司</v>
      </c>
    </row>
    <row r="10962" spans="2:4" ht="13">
      <c r="B10962" s="12">
        <f ca="1">IFERROR(__xludf.DUMMYFUNCTION("""COMPUTED_VALUE"""),3703976)</f>
        <v>3703976</v>
      </c>
      <c r="C10962" s="14">
        <f ca="1">IFERROR(__xludf.DUMMYFUNCTION("""COMPUTED_VALUE"""),3)</f>
        <v>3</v>
      </c>
      <c r="D10962" s="12" t="str">
        <f ca="1">IFERROR(__xludf.DUMMYFUNCTION("""COMPUTED_VALUE"""),"柿崎 晃司")</f>
        <v>柿崎 晃司</v>
      </c>
    </row>
    <row r="10963" spans="2:4" ht="13">
      <c r="B10963" s="12">
        <f ca="1">IFERROR(__xludf.DUMMYFUNCTION("""COMPUTED_VALUE"""),3703977)</f>
        <v>3703977</v>
      </c>
      <c r="C10963" s="14">
        <f ca="1">IFERROR(__xludf.DUMMYFUNCTION("""COMPUTED_VALUE"""),0)</f>
        <v>0</v>
      </c>
      <c r="D10963" s="12" t="str">
        <f ca="1">IFERROR(__xludf.DUMMYFUNCTION("""COMPUTED_VALUE"""),"柿崎 晃司")</f>
        <v>柿崎 晃司</v>
      </c>
    </row>
    <row r="10964" spans="2:4" ht="13">
      <c r="B10964" s="12">
        <f ca="1">IFERROR(__xludf.DUMMYFUNCTION("""COMPUTED_VALUE"""),3703978)</f>
        <v>3703978</v>
      </c>
      <c r="C10964" s="14">
        <f ca="1">IFERROR(__xludf.DUMMYFUNCTION("""COMPUTED_VALUE"""),0)</f>
        <v>0</v>
      </c>
      <c r="D10964" s="12" t="str">
        <f ca="1">IFERROR(__xludf.DUMMYFUNCTION("""COMPUTED_VALUE"""),"柿崎 晃司")</f>
        <v>柿崎 晃司</v>
      </c>
    </row>
    <row r="10965" spans="2:4" ht="13">
      <c r="B10965" s="12">
        <f ca="1">IFERROR(__xludf.DUMMYFUNCTION("""COMPUTED_VALUE"""),3703979)</f>
        <v>3703979</v>
      </c>
      <c r="C10965" s="14">
        <f ca="1">IFERROR(__xludf.DUMMYFUNCTION("""COMPUTED_VALUE"""),0)</f>
        <v>0</v>
      </c>
      <c r="D10965" s="12" t="str">
        <f ca="1">IFERROR(__xludf.DUMMYFUNCTION("""COMPUTED_VALUE"""),"柿崎 晃司")</f>
        <v>柿崎 晃司</v>
      </c>
    </row>
    <row r="10966" spans="2:4" ht="13">
      <c r="B10966" s="12">
        <f ca="1">IFERROR(__xludf.DUMMYFUNCTION("""COMPUTED_VALUE"""),3703980)</f>
        <v>3703980</v>
      </c>
      <c r="C10966" s="14">
        <f ca="1">IFERROR(__xludf.DUMMYFUNCTION("""COMPUTED_VALUE"""),0)</f>
        <v>0</v>
      </c>
      <c r="D10966" s="12" t="str">
        <f ca="1">IFERROR(__xludf.DUMMYFUNCTION("""COMPUTED_VALUE"""),"柿崎 晃司")</f>
        <v>柿崎 晃司</v>
      </c>
    </row>
    <row r="10967" spans="2:4" ht="13">
      <c r="B10967" s="12">
        <f ca="1">IFERROR(__xludf.DUMMYFUNCTION("""COMPUTED_VALUE"""),3703981)</f>
        <v>3703981</v>
      </c>
      <c r="C10967" s="14">
        <f ca="1">IFERROR(__xludf.DUMMYFUNCTION("""COMPUTED_VALUE"""),5)</f>
        <v>5</v>
      </c>
      <c r="D10967" s="12" t="str">
        <f ca="1">IFERROR(__xludf.DUMMYFUNCTION("""COMPUTED_VALUE"""),"柿崎 晃司")</f>
        <v>柿崎 晃司</v>
      </c>
    </row>
    <row r="10968" spans="2:4" ht="13">
      <c r="B10968" s="12">
        <f ca="1">IFERROR(__xludf.DUMMYFUNCTION("""COMPUTED_VALUE"""),3703982)</f>
        <v>3703982</v>
      </c>
      <c r="C10968" s="14">
        <f ca="1">IFERROR(__xludf.DUMMYFUNCTION("""COMPUTED_VALUE"""),4)</f>
        <v>4</v>
      </c>
      <c r="D10968" s="12" t="str">
        <f ca="1">IFERROR(__xludf.DUMMYFUNCTION("""COMPUTED_VALUE"""),"柿崎 晃司")</f>
        <v>柿崎 晃司</v>
      </c>
    </row>
    <row r="10969" spans="2:4" ht="13">
      <c r="B10969" s="12">
        <f ca="1">IFERROR(__xludf.DUMMYFUNCTION("""COMPUTED_VALUE"""),3703983)</f>
        <v>3703983</v>
      </c>
      <c r="C10969" s="14">
        <f ca="1">IFERROR(__xludf.DUMMYFUNCTION("""COMPUTED_VALUE"""),2)</f>
        <v>2</v>
      </c>
      <c r="D10969" s="12" t="str">
        <f ca="1">IFERROR(__xludf.DUMMYFUNCTION("""COMPUTED_VALUE"""),"柿崎 晃司")</f>
        <v>柿崎 晃司</v>
      </c>
    </row>
    <row r="10970" spans="2:4" ht="13">
      <c r="B10970" s="12">
        <f ca="1">IFERROR(__xludf.DUMMYFUNCTION("""COMPUTED_VALUE"""),3703984)</f>
        <v>3703984</v>
      </c>
      <c r="C10970" s="14">
        <f ca="1">IFERROR(__xludf.DUMMYFUNCTION("""COMPUTED_VALUE"""),7)</f>
        <v>7</v>
      </c>
      <c r="D10970" s="12" t="str">
        <f ca="1">IFERROR(__xludf.DUMMYFUNCTION("""COMPUTED_VALUE"""),"柿崎 晃司")</f>
        <v>柿崎 晃司</v>
      </c>
    </row>
    <row r="10971" spans="2:4" ht="13">
      <c r="B10971" s="12">
        <f ca="1">IFERROR(__xludf.DUMMYFUNCTION("""COMPUTED_VALUE"""),3703985)</f>
        <v>3703985</v>
      </c>
      <c r="C10971" s="14">
        <f ca="1">IFERROR(__xludf.DUMMYFUNCTION("""COMPUTED_VALUE"""),0)</f>
        <v>0</v>
      </c>
      <c r="D10971" s="12" t="str">
        <f ca="1">IFERROR(__xludf.DUMMYFUNCTION("""COMPUTED_VALUE"""),"柿崎 晃司")</f>
        <v>柿崎 晃司</v>
      </c>
    </row>
    <row r="10972" spans="2:4" ht="13">
      <c r="B10972" s="12">
        <f ca="1">IFERROR(__xludf.DUMMYFUNCTION("""COMPUTED_VALUE"""),3703986)</f>
        <v>3703986</v>
      </c>
      <c r="C10972" s="14">
        <f ca="1">IFERROR(__xludf.DUMMYFUNCTION("""COMPUTED_VALUE"""),9)</f>
        <v>9</v>
      </c>
      <c r="D10972" s="12" t="str">
        <f ca="1">IFERROR(__xludf.DUMMYFUNCTION("""COMPUTED_VALUE"""),"柿崎 晃司")</f>
        <v>柿崎 晃司</v>
      </c>
    </row>
    <row r="10973" spans="2:4" ht="13">
      <c r="B10973" s="12">
        <f ca="1">IFERROR(__xludf.DUMMYFUNCTION("""COMPUTED_VALUE"""),3703987)</f>
        <v>3703987</v>
      </c>
      <c r="C10973" s="14">
        <f ca="1">IFERROR(__xludf.DUMMYFUNCTION("""COMPUTED_VALUE"""),23)</f>
        <v>23</v>
      </c>
      <c r="D10973" s="12" t="str">
        <f ca="1">IFERROR(__xludf.DUMMYFUNCTION("""COMPUTED_VALUE"""),"柿崎 晃司")</f>
        <v>柿崎 晃司</v>
      </c>
    </row>
    <row r="10974" spans="2:4" ht="13">
      <c r="B10974" s="12">
        <f ca="1">IFERROR(__xludf.DUMMYFUNCTION("""COMPUTED_VALUE"""),3703988)</f>
        <v>3703988</v>
      </c>
      <c r="C10974" s="14">
        <f ca="1">IFERROR(__xludf.DUMMYFUNCTION("""COMPUTED_VALUE"""),2)</f>
        <v>2</v>
      </c>
      <c r="D10974" s="12" t="str">
        <f ca="1">IFERROR(__xludf.DUMMYFUNCTION("""COMPUTED_VALUE"""),"柿崎 晃司")</f>
        <v>柿崎 晃司</v>
      </c>
    </row>
    <row r="10975" spans="2:4" ht="13">
      <c r="B10975" s="12">
        <f ca="1">IFERROR(__xludf.DUMMYFUNCTION("""COMPUTED_VALUE"""),3703989)</f>
        <v>3703989</v>
      </c>
      <c r="C10975" s="14">
        <f ca="1">IFERROR(__xludf.DUMMYFUNCTION("""COMPUTED_VALUE"""),0)</f>
        <v>0</v>
      </c>
      <c r="D10975" s="12" t="str">
        <f ca="1">IFERROR(__xludf.DUMMYFUNCTION("""COMPUTED_VALUE"""),"柿崎 晃司")</f>
        <v>柿崎 晃司</v>
      </c>
    </row>
    <row r="10976" spans="2:4" ht="13">
      <c r="B10976" s="12">
        <f ca="1">IFERROR(__xludf.DUMMYFUNCTION("""COMPUTED_VALUE"""),3703990)</f>
        <v>3703990</v>
      </c>
      <c r="C10976" s="14">
        <f ca="1">IFERROR(__xludf.DUMMYFUNCTION("""COMPUTED_VALUE"""),0)</f>
        <v>0</v>
      </c>
      <c r="D10976" s="12" t="str">
        <f ca="1">IFERROR(__xludf.DUMMYFUNCTION("""COMPUTED_VALUE"""),"柿崎 晃司")</f>
        <v>柿崎 晃司</v>
      </c>
    </row>
    <row r="10977" spans="2:4" ht="13">
      <c r="B10977" s="12">
        <f ca="1">IFERROR(__xludf.DUMMYFUNCTION("""COMPUTED_VALUE"""),3703991)</f>
        <v>3703991</v>
      </c>
      <c r="C10977" s="14">
        <f ca="1">IFERROR(__xludf.DUMMYFUNCTION("""COMPUTED_VALUE"""),0)</f>
        <v>0</v>
      </c>
      <c r="D10977" s="12" t="str">
        <f ca="1">IFERROR(__xludf.DUMMYFUNCTION("""COMPUTED_VALUE"""),"柿崎 晃司")</f>
        <v>柿崎 晃司</v>
      </c>
    </row>
    <row r="10978" spans="2:4" ht="13">
      <c r="B10978" s="12">
        <f ca="1">IFERROR(__xludf.DUMMYFUNCTION("""COMPUTED_VALUE"""),3703992)</f>
        <v>3703992</v>
      </c>
      <c r="C10978" s="14">
        <f ca="1">IFERROR(__xludf.DUMMYFUNCTION("""COMPUTED_VALUE"""),5)</f>
        <v>5</v>
      </c>
      <c r="D10978" s="12" t="str">
        <f ca="1">IFERROR(__xludf.DUMMYFUNCTION("""COMPUTED_VALUE"""),"柿崎 晃司")</f>
        <v>柿崎 晃司</v>
      </c>
    </row>
    <row r="10979" spans="2:4" ht="13">
      <c r="B10979" s="12">
        <f ca="1">IFERROR(__xludf.DUMMYFUNCTION("""COMPUTED_VALUE"""),3703993)</f>
        <v>3703993</v>
      </c>
      <c r="C10979" s="14">
        <f ca="1">IFERROR(__xludf.DUMMYFUNCTION("""COMPUTED_VALUE"""),15)</f>
        <v>15</v>
      </c>
      <c r="D10979" s="12" t="str">
        <f ca="1">IFERROR(__xludf.DUMMYFUNCTION("""COMPUTED_VALUE"""),"柿崎 晃司")</f>
        <v>柿崎 晃司</v>
      </c>
    </row>
    <row r="10980" spans="2:4" ht="13">
      <c r="B10980" s="12">
        <f ca="1">IFERROR(__xludf.DUMMYFUNCTION("""COMPUTED_VALUE"""),3703994)</f>
        <v>3703994</v>
      </c>
      <c r="C10980" s="14">
        <f ca="1">IFERROR(__xludf.DUMMYFUNCTION("""COMPUTED_VALUE"""),2)</f>
        <v>2</v>
      </c>
      <c r="D10980" s="12" t="str">
        <f ca="1">IFERROR(__xludf.DUMMYFUNCTION("""COMPUTED_VALUE"""),"柿崎 晃司")</f>
        <v>柿崎 晃司</v>
      </c>
    </row>
    <row r="10981" spans="2:4" ht="13">
      <c r="B10981" s="12">
        <f ca="1">IFERROR(__xludf.DUMMYFUNCTION("""COMPUTED_VALUE"""),3703995)</f>
        <v>3703995</v>
      </c>
      <c r="C10981" s="14">
        <f ca="1">IFERROR(__xludf.DUMMYFUNCTION("""COMPUTED_VALUE"""),3)</f>
        <v>3</v>
      </c>
      <c r="D10981" s="12" t="str">
        <f ca="1">IFERROR(__xludf.DUMMYFUNCTION("""COMPUTED_VALUE"""),"柿崎 晃司")</f>
        <v>柿崎 晃司</v>
      </c>
    </row>
    <row r="10982" spans="2:4" ht="13">
      <c r="B10982" s="12">
        <f ca="1">IFERROR(__xludf.DUMMYFUNCTION("""COMPUTED_VALUE"""),3703996)</f>
        <v>3703996</v>
      </c>
      <c r="C10982" s="14">
        <f ca="1">IFERROR(__xludf.DUMMYFUNCTION("""COMPUTED_VALUE"""),6)</f>
        <v>6</v>
      </c>
      <c r="D10982" s="12" t="str">
        <f ca="1">IFERROR(__xludf.DUMMYFUNCTION("""COMPUTED_VALUE"""),"柿崎 晃司")</f>
        <v>柿崎 晃司</v>
      </c>
    </row>
    <row r="10983" spans="2:4" ht="13">
      <c r="B10983" s="12">
        <f ca="1">IFERROR(__xludf.DUMMYFUNCTION("""COMPUTED_VALUE"""),3703997)</f>
        <v>3703997</v>
      </c>
      <c r="C10983" s="14">
        <f ca="1">IFERROR(__xludf.DUMMYFUNCTION("""COMPUTED_VALUE"""),13)</f>
        <v>13</v>
      </c>
      <c r="D10983" s="12" t="str">
        <f ca="1">IFERROR(__xludf.DUMMYFUNCTION("""COMPUTED_VALUE"""),"柿崎 晃司")</f>
        <v>柿崎 晃司</v>
      </c>
    </row>
    <row r="10984" spans="2:4" ht="13">
      <c r="B10984" s="12">
        <f ca="1">IFERROR(__xludf.DUMMYFUNCTION("""COMPUTED_VALUE"""),3703998)</f>
        <v>3703998</v>
      </c>
      <c r="C10984" s="14">
        <f ca="1">IFERROR(__xludf.DUMMYFUNCTION("""COMPUTED_VALUE"""),4)</f>
        <v>4</v>
      </c>
      <c r="D10984" s="12" t="str">
        <f ca="1">IFERROR(__xludf.DUMMYFUNCTION("""COMPUTED_VALUE"""),"柿崎 晃司")</f>
        <v>柿崎 晃司</v>
      </c>
    </row>
    <row r="10985" spans="2:4" ht="13">
      <c r="B10985" s="12">
        <f ca="1">IFERROR(__xludf.DUMMYFUNCTION("""COMPUTED_VALUE"""),3703999)</f>
        <v>3703999</v>
      </c>
      <c r="C10985" s="14">
        <f ca="1">IFERROR(__xludf.DUMMYFUNCTION("""COMPUTED_VALUE"""),5)</f>
        <v>5</v>
      </c>
      <c r="D10985" s="12" t="str">
        <f ca="1">IFERROR(__xludf.DUMMYFUNCTION("""COMPUTED_VALUE"""),"柿崎 晃司")</f>
        <v>柿崎 晃司</v>
      </c>
    </row>
    <row r="10986" spans="2:4" ht="13">
      <c r="B10986" s="12">
        <f ca="1">IFERROR(__xludf.DUMMYFUNCTION("""COMPUTED_VALUE"""),3704000)</f>
        <v>3704000</v>
      </c>
      <c r="C10986" s="14">
        <f ca="1">IFERROR(__xludf.DUMMYFUNCTION("""COMPUTED_VALUE"""),20)</f>
        <v>20</v>
      </c>
      <c r="D10986" s="12" t="str">
        <f ca="1">IFERROR(__xludf.DUMMYFUNCTION("""COMPUTED_VALUE"""),"柿崎 晃司")</f>
        <v>柿崎 晃司</v>
      </c>
    </row>
    <row r="10987" spans="2:4" ht="13">
      <c r="B10987" s="12">
        <f ca="1">IFERROR(__xludf.DUMMYFUNCTION("""COMPUTED_VALUE"""),3704001)</f>
        <v>3704001</v>
      </c>
      <c r="C10987" s="14">
        <f ca="1">IFERROR(__xludf.DUMMYFUNCTION("""COMPUTED_VALUE"""),29)</f>
        <v>29</v>
      </c>
      <c r="D10987" s="12" t="str">
        <f ca="1">IFERROR(__xludf.DUMMYFUNCTION("""COMPUTED_VALUE"""),"柿崎 晃司")</f>
        <v>柿崎 晃司</v>
      </c>
    </row>
    <row r="10988" spans="2:4" ht="13">
      <c r="B10988" s="12">
        <f ca="1">IFERROR(__xludf.DUMMYFUNCTION("""COMPUTED_VALUE"""),3704002)</f>
        <v>3704002</v>
      </c>
      <c r="C10988" s="14">
        <f ca="1">IFERROR(__xludf.DUMMYFUNCTION("""COMPUTED_VALUE"""),26)</f>
        <v>26</v>
      </c>
      <c r="D10988" s="12" t="str">
        <f ca="1">IFERROR(__xludf.DUMMYFUNCTION("""COMPUTED_VALUE"""),"柿崎 晃司")</f>
        <v>柿崎 晃司</v>
      </c>
    </row>
    <row r="10989" spans="2:4" ht="13">
      <c r="B10989" s="12">
        <f ca="1">IFERROR(__xludf.DUMMYFUNCTION("""COMPUTED_VALUE"""),3704003)</f>
        <v>3704003</v>
      </c>
      <c r="C10989" s="14">
        <f ca="1">IFERROR(__xludf.DUMMYFUNCTION("""COMPUTED_VALUE"""),0)</f>
        <v>0</v>
      </c>
      <c r="D10989" s="12" t="str">
        <f ca="1">IFERROR(__xludf.DUMMYFUNCTION("""COMPUTED_VALUE"""),"柿崎 晃司")</f>
        <v>柿崎 晃司</v>
      </c>
    </row>
    <row r="10990" spans="2:4" ht="13">
      <c r="B10990" s="12">
        <f ca="1">IFERROR(__xludf.DUMMYFUNCTION("""COMPUTED_VALUE"""),3704004)</f>
        <v>3704004</v>
      </c>
      <c r="C10990" s="14">
        <f ca="1">IFERROR(__xludf.DUMMYFUNCTION("""COMPUTED_VALUE"""),5)</f>
        <v>5</v>
      </c>
      <c r="D10990" s="12" t="str">
        <f ca="1">IFERROR(__xludf.DUMMYFUNCTION("""COMPUTED_VALUE"""),"柿崎 晃司")</f>
        <v>柿崎 晃司</v>
      </c>
    </row>
    <row r="10991" spans="2:4" ht="13">
      <c r="B10991" s="12">
        <f ca="1">IFERROR(__xludf.DUMMYFUNCTION("""COMPUTED_VALUE"""),3704005)</f>
        <v>3704005</v>
      </c>
      <c r="C10991" s="14">
        <f ca="1">IFERROR(__xludf.DUMMYFUNCTION("""COMPUTED_VALUE"""),0)</f>
        <v>0</v>
      </c>
      <c r="D10991" s="12" t="str">
        <f ca="1">IFERROR(__xludf.DUMMYFUNCTION("""COMPUTED_VALUE"""),"柿崎 晃司")</f>
        <v>柿崎 晃司</v>
      </c>
    </row>
    <row r="10992" spans="2:4" ht="13">
      <c r="B10992" s="12">
        <f ca="1">IFERROR(__xludf.DUMMYFUNCTION("""COMPUTED_VALUE"""),3704006)</f>
        <v>3704006</v>
      </c>
      <c r="C10992" s="14">
        <f ca="1">IFERROR(__xludf.DUMMYFUNCTION("""COMPUTED_VALUE"""),3)</f>
        <v>3</v>
      </c>
      <c r="D10992" s="12" t="str">
        <f ca="1">IFERROR(__xludf.DUMMYFUNCTION("""COMPUTED_VALUE"""),"柿崎 晃司")</f>
        <v>柿崎 晃司</v>
      </c>
    </row>
    <row r="10993" spans="2:4" ht="13">
      <c r="B10993" s="12">
        <f ca="1">IFERROR(__xludf.DUMMYFUNCTION("""COMPUTED_VALUE"""),3704007)</f>
        <v>3704007</v>
      </c>
      <c r="C10993" s="14">
        <f ca="1">IFERROR(__xludf.DUMMYFUNCTION("""COMPUTED_VALUE"""),0)</f>
        <v>0</v>
      </c>
      <c r="D10993" s="12" t="str">
        <f ca="1">IFERROR(__xludf.DUMMYFUNCTION("""COMPUTED_VALUE"""),"柿崎 晃司")</f>
        <v>柿崎 晃司</v>
      </c>
    </row>
    <row r="10994" spans="2:4" ht="13">
      <c r="B10994" s="12">
        <f ca="1">IFERROR(__xludf.DUMMYFUNCTION("""COMPUTED_VALUE"""),3704008)</f>
        <v>3704008</v>
      </c>
      <c r="C10994" s="14">
        <f ca="1">IFERROR(__xludf.DUMMYFUNCTION("""COMPUTED_VALUE"""),1)</f>
        <v>1</v>
      </c>
      <c r="D10994" s="12" t="str">
        <f ca="1">IFERROR(__xludf.DUMMYFUNCTION("""COMPUTED_VALUE"""),"柿崎 晃司")</f>
        <v>柿崎 晃司</v>
      </c>
    </row>
    <row r="10995" spans="2:4" ht="13">
      <c r="B10995" s="12">
        <f ca="1">IFERROR(__xludf.DUMMYFUNCTION("""COMPUTED_VALUE"""),3704009)</f>
        <v>3704009</v>
      </c>
      <c r="C10995" s="14">
        <f ca="1">IFERROR(__xludf.DUMMYFUNCTION("""COMPUTED_VALUE"""),0)</f>
        <v>0</v>
      </c>
      <c r="D10995" s="12" t="str">
        <f ca="1">IFERROR(__xludf.DUMMYFUNCTION("""COMPUTED_VALUE"""),"柿崎 晃司")</f>
        <v>柿崎 晃司</v>
      </c>
    </row>
    <row r="10996" spans="2:4" ht="13">
      <c r="B10996" s="12">
        <f ca="1">IFERROR(__xludf.DUMMYFUNCTION("""COMPUTED_VALUE"""),3704010)</f>
        <v>3704010</v>
      </c>
      <c r="C10996" s="14">
        <f ca="1">IFERROR(__xludf.DUMMYFUNCTION("""COMPUTED_VALUE"""),0)</f>
        <v>0</v>
      </c>
      <c r="D10996" s="12" t="str">
        <f ca="1">IFERROR(__xludf.DUMMYFUNCTION("""COMPUTED_VALUE"""),"柿崎 晃司")</f>
        <v>柿崎 晃司</v>
      </c>
    </row>
    <row r="10997" spans="2:4" ht="13">
      <c r="B10997" s="12">
        <f ca="1">IFERROR(__xludf.DUMMYFUNCTION("""COMPUTED_VALUE"""),3704011)</f>
        <v>3704011</v>
      </c>
      <c r="C10997" s="14">
        <f ca="1">IFERROR(__xludf.DUMMYFUNCTION("""COMPUTED_VALUE"""),0)</f>
        <v>0</v>
      </c>
      <c r="D10997" s="12" t="str">
        <f ca="1">IFERROR(__xludf.DUMMYFUNCTION("""COMPUTED_VALUE"""),"柿崎 晃司")</f>
        <v>柿崎 晃司</v>
      </c>
    </row>
    <row r="10998" spans="2:4" ht="13">
      <c r="B10998" s="12">
        <f ca="1">IFERROR(__xludf.DUMMYFUNCTION("""COMPUTED_VALUE"""),3704012)</f>
        <v>3704012</v>
      </c>
      <c r="C10998" s="14">
        <f ca="1">IFERROR(__xludf.DUMMYFUNCTION("""COMPUTED_VALUE"""),0)</f>
        <v>0</v>
      </c>
      <c r="D10998" s="12" t="str">
        <f ca="1">IFERROR(__xludf.DUMMYFUNCTION("""COMPUTED_VALUE"""),"柿崎 晃司")</f>
        <v>柿崎 晃司</v>
      </c>
    </row>
    <row r="10999" spans="2:4" ht="13">
      <c r="B10999" s="12">
        <f ca="1">IFERROR(__xludf.DUMMYFUNCTION("""COMPUTED_VALUE"""),3704013)</f>
        <v>3704013</v>
      </c>
      <c r="C10999" s="14">
        <f ca="1">IFERROR(__xludf.DUMMYFUNCTION("""COMPUTED_VALUE"""),0)</f>
        <v>0</v>
      </c>
      <c r="D10999" s="12" t="str">
        <f ca="1">IFERROR(__xludf.DUMMYFUNCTION("""COMPUTED_VALUE"""),"柿崎 晃司")</f>
        <v>柿崎 晃司</v>
      </c>
    </row>
    <row r="11000" spans="2:4" ht="13">
      <c r="B11000" s="12">
        <f ca="1">IFERROR(__xludf.DUMMYFUNCTION("""COMPUTED_VALUE"""),3704014)</f>
        <v>3704014</v>
      </c>
      <c r="C11000" s="14">
        <f ca="1">IFERROR(__xludf.DUMMYFUNCTION("""COMPUTED_VALUE"""),0)</f>
        <v>0</v>
      </c>
      <c r="D11000" s="12" t="str">
        <f ca="1">IFERROR(__xludf.DUMMYFUNCTION("""COMPUTED_VALUE"""),"柿崎 晃司")</f>
        <v>柿崎 晃司</v>
      </c>
    </row>
    <row r="11001" spans="2:4" ht="13">
      <c r="B11001" s="12">
        <f ca="1">IFERROR(__xludf.DUMMYFUNCTION("""COMPUTED_VALUE"""),3704015)</f>
        <v>3704015</v>
      </c>
      <c r="C11001" s="14">
        <f ca="1">IFERROR(__xludf.DUMMYFUNCTION("""COMPUTED_VALUE"""),0)</f>
        <v>0</v>
      </c>
      <c r="D11001" s="12" t="str">
        <f ca="1">IFERROR(__xludf.DUMMYFUNCTION("""COMPUTED_VALUE"""),"柿崎 晃司")</f>
        <v>柿崎 晃司</v>
      </c>
    </row>
    <row r="11002" spans="2:4" ht="13">
      <c r="B11002" s="12">
        <f ca="1">IFERROR(__xludf.DUMMYFUNCTION("""COMPUTED_VALUE"""),3704016)</f>
        <v>3704016</v>
      </c>
      <c r="C11002" s="14">
        <f ca="1">IFERROR(__xludf.DUMMYFUNCTION("""COMPUTED_VALUE"""),0)</f>
        <v>0</v>
      </c>
      <c r="D11002" s="12" t="str">
        <f ca="1">IFERROR(__xludf.DUMMYFUNCTION("""COMPUTED_VALUE"""),"柿崎 晃司")</f>
        <v>柿崎 晃司</v>
      </c>
    </row>
    <row r="11003" spans="2:4" ht="13">
      <c r="B11003" s="12">
        <f ca="1">IFERROR(__xludf.DUMMYFUNCTION("""COMPUTED_VALUE"""),3704017)</f>
        <v>3704017</v>
      </c>
      <c r="C11003" s="14">
        <f ca="1">IFERROR(__xludf.DUMMYFUNCTION("""COMPUTED_VALUE"""),0)</f>
        <v>0</v>
      </c>
      <c r="D11003" s="12" t="str">
        <f ca="1">IFERROR(__xludf.DUMMYFUNCTION("""COMPUTED_VALUE"""),"柿崎 晃司")</f>
        <v>柿崎 晃司</v>
      </c>
    </row>
    <row r="11004" spans="2:4" ht="13">
      <c r="B11004" s="12">
        <f ca="1">IFERROR(__xludf.DUMMYFUNCTION("""COMPUTED_VALUE"""),3704018)</f>
        <v>3704018</v>
      </c>
      <c r="C11004" s="14">
        <f ca="1">IFERROR(__xludf.DUMMYFUNCTION("""COMPUTED_VALUE"""),0)</f>
        <v>0</v>
      </c>
      <c r="D11004" s="12" t="str">
        <f ca="1">IFERROR(__xludf.DUMMYFUNCTION("""COMPUTED_VALUE"""),"柿崎 晃司")</f>
        <v>柿崎 晃司</v>
      </c>
    </row>
    <row r="11005" spans="2:4" ht="13">
      <c r="B11005" s="12">
        <f ca="1">IFERROR(__xludf.DUMMYFUNCTION("""COMPUTED_VALUE"""),3704019)</f>
        <v>3704019</v>
      </c>
      <c r="C11005" s="14">
        <f ca="1">IFERROR(__xludf.DUMMYFUNCTION("""COMPUTED_VALUE"""),11)</f>
        <v>11</v>
      </c>
      <c r="D11005" s="12" t="str">
        <f ca="1">IFERROR(__xludf.DUMMYFUNCTION("""COMPUTED_VALUE"""),"柿崎 晃司")</f>
        <v>柿崎 晃司</v>
      </c>
    </row>
    <row r="11006" spans="2:4" ht="13">
      <c r="B11006" s="12">
        <f ca="1">IFERROR(__xludf.DUMMYFUNCTION("""COMPUTED_VALUE"""),3704020)</f>
        <v>3704020</v>
      </c>
      <c r="C11006" s="14">
        <f ca="1">IFERROR(__xludf.DUMMYFUNCTION("""COMPUTED_VALUE"""),4)</f>
        <v>4</v>
      </c>
      <c r="D11006" s="12" t="str">
        <f ca="1">IFERROR(__xludf.DUMMYFUNCTION("""COMPUTED_VALUE"""),"柿崎 晃司")</f>
        <v>柿崎 晃司</v>
      </c>
    </row>
    <row r="11007" spans="2:4" ht="13">
      <c r="B11007" s="12">
        <f ca="1">IFERROR(__xludf.DUMMYFUNCTION("""COMPUTED_VALUE"""),3704021)</f>
        <v>3704021</v>
      </c>
      <c r="C11007" s="14">
        <f ca="1">IFERROR(__xludf.DUMMYFUNCTION("""COMPUTED_VALUE"""),0)</f>
        <v>0</v>
      </c>
      <c r="D11007" s="12" t="str">
        <f ca="1">IFERROR(__xludf.DUMMYFUNCTION("""COMPUTED_VALUE"""),"柿崎 晃司")</f>
        <v>柿崎 晃司</v>
      </c>
    </row>
    <row r="11008" spans="2:4" ht="13">
      <c r="B11008" s="12">
        <f ca="1">IFERROR(__xludf.DUMMYFUNCTION("""COMPUTED_VALUE"""),3704022)</f>
        <v>3704022</v>
      </c>
      <c r="C11008" s="14">
        <f ca="1">IFERROR(__xludf.DUMMYFUNCTION("""COMPUTED_VALUE"""),0)</f>
        <v>0</v>
      </c>
      <c r="D11008" s="12" t="str">
        <f ca="1">IFERROR(__xludf.DUMMYFUNCTION("""COMPUTED_VALUE"""),"柿崎 晃司")</f>
        <v>柿崎 晃司</v>
      </c>
    </row>
    <row r="11009" spans="2:4" ht="13">
      <c r="B11009" s="12">
        <f ca="1">IFERROR(__xludf.DUMMYFUNCTION("""COMPUTED_VALUE"""),3704023)</f>
        <v>3704023</v>
      </c>
      <c r="C11009" s="14">
        <f ca="1">IFERROR(__xludf.DUMMYFUNCTION("""COMPUTED_VALUE"""),0)</f>
        <v>0</v>
      </c>
      <c r="D11009" s="12" t="str">
        <f ca="1">IFERROR(__xludf.DUMMYFUNCTION("""COMPUTED_VALUE"""),"柿崎 晃司")</f>
        <v>柿崎 晃司</v>
      </c>
    </row>
    <row r="11010" spans="2:4" ht="13">
      <c r="B11010" s="12">
        <f ca="1">IFERROR(__xludf.DUMMYFUNCTION("""COMPUTED_VALUE"""),3704024)</f>
        <v>3704024</v>
      </c>
      <c r="C11010" s="14">
        <f ca="1">IFERROR(__xludf.DUMMYFUNCTION("""COMPUTED_VALUE"""),20)</f>
        <v>20</v>
      </c>
      <c r="D11010" s="12" t="str">
        <f ca="1">IFERROR(__xludf.DUMMYFUNCTION("""COMPUTED_VALUE"""),"柿崎 晃司")</f>
        <v>柿崎 晃司</v>
      </c>
    </row>
    <row r="11011" spans="2:4" ht="13">
      <c r="B11011" s="12">
        <f ca="1">IFERROR(__xludf.DUMMYFUNCTION("""COMPUTED_VALUE"""),3704025)</f>
        <v>3704025</v>
      </c>
      <c r="C11011" s="14">
        <f ca="1">IFERROR(__xludf.DUMMYFUNCTION("""COMPUTED_VALUE"""),15)</f>
        <v>15</v>
      </c>
      <c r="D11011" s="12" t="str">
        <f ca="1">IFERROR(__xludf.DUMMYFUNCTION("""COMPUTED_VALUE"""),"柿崎 晃司")</f>
        <v>柿崎 晃司</v>
      </c>
    </row>
    <row r="11012" spans="2:4" ht="13">
      <c r="B11012" s="12">
        <f ca="1">IFERROR(__xludf.DUMMYFUNCTION("""COMPUTED_VALUE"""),3704026)</f>
        <v>3704026</v>
      </c>
      <c r="C11012" s="14">
        <f ca="1">IFERROR(__xludf.DUMMYFUNCTION("""COMPUTED_VALUE"""),8)</f>
        <v>8</v>
      </c>
      <c r="D11012" s="12" t="str">
        <f ca="1">IFERROR(__xludf.DUMMYFUNCTION("""COMPUTED_VALUE"""),"柿崎 晃司")</f>
        <v>柿崎 晃司</v>
      </c>
    </row>
    <row r="11013" spans="2:4" ht="13">
      <c r="B11013" s="12">
        <f ca="1">IFERROR(__xludf.DUMMYFUNCTION("""COMPUTED_VALUE"""),3704027)</f>
        <v>3704027</v>
      </c>
      <c r="C11013" s="14">
        <f ca="1">IFERROR(__xludf.DUMMYFUNCTION("""COMPUTED_VALUE"""),8)</f>
        <v>8</v>
      </c>
      <c r="D11013" s="12" t="str">
        <f ca="1">IFERROR(__xludf.DUMMYFUNCTION("""COMPUTED_VALUE"""),"柿崎 晃司")</f>
        <v>柿崎 晃司</v>
      </c>
    </row>
    <row r="11014" spans="2:4" ht="13">
      <c r="B11014" s="12">
        <f ca="1">IFERROR(__xludf.DUMMYFUNCTION("""COMPUTED_VALUE"""),3704028)</f>
        <v>3704028</v>
      </c>
      <c r="C11014" s="14">
        <f ca="1">IFERROR(__xludf.DUMMYFUNCTION("""COMPUTED_VALUE"""),7)</f>
        <v>7</v>
      </c>
      <c r="D11014" s="12" t="str">
        <f ca="1">IFERROR(__xludf.DUMMYFUNCTION("""COMPUTED_VALUE"""),"柿崎 晃司")</f>
        <v>柿崎 晃司</v>
      </c>
    </row>
    <row r="11015" spans="2:4" ht="13">
      <c r="B11015" s="12">
        <f ca="1">IFERROR(__xludf.DUMMYFUNCTION("""COMPUTED_VALUE"""),3704029)</f>
        <v>3704029</v>
      </c>
      <c r="C11015" s="14">
        <f ca="1">IFERROR(__xludf.DUMMYFUNCTION("""COMPUTED_VALUE"""),8)</f>
        <v>8</v>
      </c>
      <c r="D11015" s="12" t="str">
        <f ca="1">IFERROR(__xludf.DUMMYFUNCTION("""COMPUTED_VALUE"""),"柿崎 晃司")</f>
        <v>柿崎 晃司</v>
      </c>
    </row>
    <row r="11016" spans="2:4" ht="13">
      <c r="B11016" s="12">
        <f ca="1">IFERROR(__xludf.DUMMYFUNCTION("""COMPUTED_VALUE"""),3704030)</f>
        <v>3704030</v>
      </c>
      <c r="C11016" s="14">
        <f ca="1">IFERROR(__xludf.DUMMYFUNCTION("""COMPUTED_VALUE"""),8)</f>
        <v>8</v>
      </c>
      <c r="D11016" s="12" t="str">
        <f ca="1">IFERROR(__xludf.DUMMYFUNCTION("""COMPUTED_VALUE"""),"柿崎 晃司")</f>
        <v>柿崎 晃司</v>
      </c>
    </row>
    <row r="11017" spans="2:4" ht="13">
      <c r="B11017" s="12">
        <f ca="1">IFERROR(__xludf.DUMMYFUNCTION("""COMPUTED_VALUE"""),3704031)</f>
        <v>3704031</v>
      </c>
      <c r="C11017" s="14">
        <f ca="1">IFERROR(__xludf.DUMMYFUNCTION("""COMPUTED_VALUE"""),5)</f>
        <v>5</v>
      </c>
      <c r="D11017" s="12" t="str">
        <f ca="1">IFERROR(__xludf.DUMMYFUNCTION("""COMPUTED_VALUE"""),"柿崎 晃司")</f>
        <v>柿崎 晃司</v>
      </c>
    </row>
    <row r="11018" spans="2:4" ht="13">
      <c r="B11018" s="12">
        <f ca="1">IFERROR(__xludf.DUMMYFUNCTION("""COMPUTED_VALUE"""),3704032)</f>
        <v>3704032</v>
      </c>
      <c r="C11018" s="14">
        <f ca="1">IFERROR(__xludf.DUMMYFUNCTION("""COMPUTED_VALUE"""),7)</f>
        <v>7</v>
      </c>
      <c r="D11018" s="12" t="str">
        <f ca="1">IFERROR(__xludf.DUMMYFUNCTION("""COMPUTED_VALUE"""),"柿崎 晃司")</f>
        <v>柿崎 晃司</v>
      </c>
    </row>
    <row r="11019" spans="2:4" ht="13">
      <c r="B11019" s="12">
        <f ca="1">IFERROR(__xludf.DUMMYFUNCTION("""COMPUTED_VALUE"""),3704033)</f>
        <v>3704033</v>
      </c>
      <c r="C11019" s="14">
        <f ca="1">IFERROR(__xludf.DUMMYFUNCTION("""COMPUTED_VALUE"""),5)</f>
        <v>5</v>
      </c>
      <c r="D11019" s="12" t="str">
        <f ca="1">IFERROR(__xludf.DUMMYFUNCTION("""COMPUTED_VALUE"""),"柿崎 晃司")</f>
        <v>柿崎 晃司</v>
      </c>
    </row>
    <row r="11020" spans="2:4" ht="13">
      <c r="B11020" s="12">
        <f ca="1">IFERROR(__xludf.DUMMYFUNCTION("""COMPUTED_VALUE"""),3704034)</f>
        <v>3704034</v>
      </c>
      <c r="C11020" s="14">
        <f ca="1">IFERROR(__xludf.DUMMYFUNCTION("""COMPUTED_VALUE"""),0)</f>
        <v>0</v>
      </c>
      <c r="D11020" s="12" t="str">
        <f ca="1">IFERROR(__xludf.DUMMYFUNCTION("""COMPUTED_VALUE"""),"柿崎 晃司")</f>
        <v>柿崎 晃司</v>
      </c>
    </row>
    <row r="11021" spans="2:4" ht="13">
      <c r="B11021" s="12">
        <f ca="1">IFERROR(__xludf.DUMMYFUNCTION("""COMPUTED_VALUE"""),3704035)</f>
        <v>3704035</v>
      </c>
      <c r="C11021" s="14">
        <f ca="1">IFERROR(__xludf.DUMMYFUNCTION("""COMPUTED_VALUE"""),4)</f>
        <v>4</v>
      </c>
      <c r="D11021" s="12" t="str">
        <f ca="1">IFERROR(__xludf.DUMMYFUNCTION("""COMPUTED_VALUE"""),"柿崎 晃司")</f>
        <v>柿崎 晃司</v>
      </c>
    </row>
    <row r="11022" spans="2:4" ht="13">
      <c r="B11022" s="12">
        <f ca="1">IFERROR(__xludf.DUMMYFUNCTION("""COMPUTED_VALUE"""),3704036)</f>
        <v>3704036</v>
      </c>
      <c r="C11022" s="14">
        <f ca="1">IFERROR(__xludf.DUMMYFUNCTION("""COMPUTED_VALUE"""),0)</f>
        <v>0</v>
      </c>
      <c r="D11022" s="12" t="str">
        <f ca="1">IFERROR(__xludf.DUMMYFUNCTION("""COMPUTED_VALUE"""),"柿崎 晃司")</f>
        <v>柿崎 晃司</v>
      </c>
    </row>
    <row r="11023" spans="2:4" ht="13">
      <c r="B11023" s="12">
        <f ca="1">IFERROR(__xludf.DUMMYFUNCTION("""COMPUTED_VALUE"""),3704037)</f>
        <v>3704037</v>
      </c>
      <c r="C11023" s="14">
        <f ca="1">IFERROR(__xludf.DUMMYFUNCTION("""COMPUTED_VALUE"""),0)</f>
        <v>0</v>
      </c>
      <c r="D11023" s="12" t="str">
        <f ca="1">IFERROR(__xludf.DUMMYFUNCTION("""COMPUTED_VALUE"""),"柿崎 晃司")</f>
        <v>柿崎 晃司</v>
      </c>
    </row>
    <row r="11024" spans="2:4" ht="13">
      <c r="B11024" s="12">
        <f ca="1">IFERROR(__xludf.DUMMYFUNCTION("""COMPUTED_VALUE"""),3704038)</f>
        <v>3704038</v>
      </c>
      <c r="C11024" s="14">
        <f ca="1">IFERROR(__xludf.DUMMYFUNCTION("""COMPUTED_VALUE"""),3)</f>
        <v>3</v>
      </c>
      <c r="D11024" s="12" t="str">
        <f ca="1">IFERROR(__xludf.DUMMYFUNCTION("""COMPUTED_VALUE"""),"柿崎 晃司")</f>
        <v>柿崎 晃司</v>
      </c>
    </row>
    <row r="11025" spans="2:4" ht="13">
      <c r="B11025" s="12">
        <f ca="1">IFERROR(__xludf.DUMMYFUNCTION("""COMPUTED_VALUE"""),3704039)</f>
        <v>3704039</v>
      </c>
      <c r="C11025" s="14">
        <f ca="1">IFERROR(__xludf.DUMMYFUNCTION("""COMPUTED_VALUE"""),7)</f>
        <v>7</v>
      </c>
      <c r="D11025" s="12" t="str">
        <f ca="1">IFERROR(__xludf.DUMMYFUNCTION("""COMPUTED_VALUE"""),"柿崎 晃司")</f>
        <v>柿崎 晃司</v>
      </c>
    </row>
    <row r="11026" spans="2:4" ht="13">
      <c r="B11026" s="12">
        <f ca="1">IFERROR(__xludf.DUMMYFUNCTION("""COMPUTED_VALUE"""),3704040)</f>
        <v>3704040</v>
      </c>
      <c r="C11026" s="14">
        <f ca="1">IFERROR(__xludf.DUMMYFUNCTION("""COMPUTED_VALUE"""),0)</f>
        <v>0</v>
      </c>
      <c r="D11026" s="12" t="str">
        <f ca="1">IFERROR(__xludf.DUMMYFUNCTION("""COMPUTED_VALUE"""),"柿崎 晃司")</f>
        <v>柿崎 晃司</v>
      </c>
    </row>
    <row r="11027" spans="2:4" ht="13">
      <c r="B11027" s="12">
        <f ca="1">IFERROR(__xludf.DUMMYFUNCTION("""COMPUTED_VALUE"""),3704041)</f>
        <v>3704041</v>
      </c>
      <c r="C11027" s="14">
        <f ca="1">IFERROR(__xludf.DUMMYFUNCTION("""COMPUTED_VALUE"""),0)</f>
        <v>0</v>
      </c>
      <c r="D11027" s="12" t="str">
        <f ca="1">IFERROR(__xludf.DUMMYFUNCTION("""COMPUTED_VALUE"""),"柿崎 晃司")</f>
        <v>柿崎 晃司</v>
      </c>
    </row>
    <row r="11028" spans="2:4" ht="13">
      <c r="B11028" s="12">
        <f ca="1">IFERROR(__xludf.DUMMYFUNCTION("""COMPUTED_VALUE"""),3704042)</f>
        <v>3704042</v>
      </c>
      <c r="C11028" s="14">
        <f ca="1">IFERROR(__xludf.DUMMYFUNCTION("""COMPUTED_VALUE"""),0)</f>
        <v>0</v>
      </c>
      <c r="D11028" s="12" t="str">
        <f ca="1">IFERROR(__xludf.DUMMYFUNCTION("""COMPUTED_VALUE"""),"柿崎 晃司")</f>
        <v>柿崎 晃司</v>
      </c>
    </row>
    <row r="11029" spans="2:4" ht="13">
      <c r="B11029" s="12">
        <f ca="1">IFERROR(__xludf.DUMMYFUNCTION("""COMPUTED_VALUE"""),3705008)</f>
        <v>3705008</v>
      </c>
      <c r="C11029" s="14">
        <f ca="1">IFERROR(__xludf.DUMMYFUNCTION("""COMPUTED_VALUE"""),1)</f>
        <v>1</v>
      </c>
      <c r="D11029" s="12" t="str">
        <f ca="1">IFERROR(__xludf.DUMMYFUNCTION("""COMPUTED_VALUE"""),"大木 優香")</f>
        <v>大木 優香</v>
      </c>
    </row>
    <row r="11030" spans="2:4" ht="13">
      <c r="B11030" s="12">
        <f ca="1">IFERROR(__xludf.DUMMYFUNCTION("""COMPUTED_VALUE"""),3705015)</f>
        <v>3705015</v>
      </c>
      <c r="C11030" s="14">
        <f ca="1">IFERROR(__xludf.DUMMYFUNCTION("""COMPUTED_VALUE"""),0)</f>
        <v>0</v>
      </c>
      <c r="D11030" s="12" t="str">
        <f ca="1">IFERROR(__xludf.DUMMYFUNCTION("""COMPUTED_VALUE"""),"大木 優香")</f>
        <v>大木 優香</v>
      </c>
    </row>
    <row r="11031" spans="2:4" ht="13">
      <c r="B11031" s="12">
        <f ca="1">IFERROR(__xludf.DUMMYFUNCTION("""COMPUTED_VALUE"""),3705016)</f>
        <v>3705016</v>
      </c>
      <c r="C11031" s="14">
        <f ca="1">IFERROR(__xludf.DUMMYFUNCTION("""COMPUTED_VALUE"""),3)</f>
        <v>3</v>
      </c>
      <c r="D11031" s="12" t="str">
        <f ca="1">IFERROR(__xludf.DUMMYFUNCTION("""COMPUTED_VALUE"""),"大木 優香")</f>
        <v>大木 優香</v>
      </c>
    </row>
    <row r="11032" spans="2:4" ht="13">
      <c r="B11032" s="12">
        <f ca="1">IFERROR(__xludf.DUMMYFUNCTION("""COMPUTED_VALUE"""),3705027)</f>
        <v>3705027</v>
      </c>
      <c r="C11032" s="14">
        <f ca="1">IFERROR(__xludf.DUMMYFUNCTION("""COMPUTED_VALUE"""),1)</f>
        <v>1</v>
      </c>
      <c r="D11032" s="12" t="str">
        <f ca="1">IFERROR(__xludf.DUMMYFUNCTION("""COMPUTED_VALUE"""),"大木 優香")</f>
        <v>大木 優香</v>
      </c>
    </row>
    <row r="11033" spans="2:4" ht="13">
      <c r="B11033" s="12">
        <f ca="1">IFERROR(__xludf.DUMMYFUNCTION("""COMPUTED_VALUE"""),3705028)</f>
        <v>3705028</v>
      </c>
      <c r="C11033" s="14">
        <f ca="1">IFERROR(__xludf.DUMMYFUNCTION("""COMPUTED_VALUE"""),1)</f>
        <v>1</v>
      </c>
      <c r="D11033" s="12" t="str">
        <f ca="1">IFERROR(__xludf.DUMMYFUNCTION("""COMPUTED_VALUE"""),"大木 優香")</f>
        <v>大木 優香</v>
      </c>
    </row>
    <row r="11034" spans="2:4" ht="13">
      <c r="B11034" s="12">
        <f ca="1">IFERROR(__xludf.DUMMYFUNCTION("""COMPUTED_VALUE"""),3705032)</f>
        <v>3705032</v>
      </c>
      <c r="C11034" s="14">
        <f ca="1">IFERROR(__xludf.DUMMYFUNCTION("""COMPUTED_VALUE"""),11)</f>
        <v>11</v>
      </c>
      <c r="D11034" s="12" t="str">
        <f ca="1">IFERROR(__xludf.DUMMYFUNCTION("""COMPUTED_VALUE"""),"大木 優香")</f>
        <v>大木 優香</v>
      </c>
    </row>
    <row r="11035" spans="2:4" ht="13">
      <c r="B11035" s="12">
        <f ca="1">IFERROR(__xludf.DUMMYFUNCTION("""COMPUTED_VALUE"""),3705035)</f>
        <v>3705035</v>
      </c>
      <c r="C11035" s="14">
        <f ca="1">IFERROR(__xludf.DUMMYFUNCTION("""COMPUTED_VALUE"""),4)</f>
        <v>4</v>
      </c>
      <c r="D11035" s="12" t="str">
        <f ca="1">IFERROR(__xludf.DUMMYFUNCTION("""COMPUTED_VALUE"""),"大木 優香")</f>
        <v>大木 優香</v>
      </c>
    </row>
    <row r="11036" spans="2:4" ht="13">
      <c r="B11036" s="12">
        <f ca="1">IFERROR(__xludf.DUMMYFUNCTION("""COMPUTED_VALUE"""),3705039)</f>
        <v>3705039</v>
      </c>
      <c r="C11036" s="14">
        <f ca="1">IFERROR(__xludf.DUMMYFUNCTION("""COMPUTED_VALUE"""),3)</f>
        <v>3</v>
      </c>
      <c r="D11036" s="12" t="str">
        <f ca="1">IFERROR(__xludf.DUMMYFUNCTION("""COMPUTED_VALUE"""),"大木 優香")</f>
        <v>大木 優香</v>
      </c>
    </row>
    <row r="11037" spans="2:4" ht="13">
      <c r="B11037" s="12">
        <f ca="1">IFERROR(__xludf.DUMMYFUNCTION("""COMPUTED_VALUE"""),3705043)</f>
        <v>3705043</v>
      </c>
      <c r="C11037" s="14">
        <f ca="1">IFERROR(__xludf.DUMMYFUNCTION("""COMPUTED_VALUE"""),5)</f>
        <v>5</v>
      </c>
      <c r="D11037" s="12" t="str">
        <f ca="1">IFERROR(__xludf.DUMMYFUNCTION("""COMPUTED_VALUE"""),"大木 優香")</f>
        <v>大木 優香</v>
      </c>
    </row>
    <row r="11038" spans="2:4" ht="13">
      <c r="B11038" s="12">
        <f ca="1">IFERROR(__xludf.DUMMYFUNCTION("""COMPUTED_VALUE"""),3705058)</f>
        <v>3705058</v>
      </c>
      <c r="C11038" s="14">
        <f ca="1">IFERROR(__xludf.DUMMYFUNCTION("""COMPUTED_VALUE"""),3)</f>
        <v>3</v>
      </c>
      <c r="D11038" s="12" t="str">
        <f ca="1">IFERROR(__xludf.DUMMYFUNCTION("""COMPUTED_VALUE"""),"大木 優香")</f>
        <v>大木 優香</v>
      </c>
    </row>
    <row r="11039" spans="2:4" ht="13">
      <c r="B11039" s="12">
        <f ca="1">IFERROR(__xludf.DUMMYFUNCTION("""COMPUTED_VALUE"""),3705063)</f>
        <v>3705063</v>
      </c>
      <c r="C11039" s="14">
        <f ca="1">IFERROR(__xludf.DUMMYFUNCTION("""COMPUTED_VALUE"""),0)</f>
        <v>0</v>
      </c>
      <c r="D11039" s="12" t="str">
        <f ca="1">IFERROR(__xludf.DUMMYFUNCTION("""COMPUTED_VALUE"""),"大木 優香")</f>
        <v>大木 優香</v>
      </c>
    </row>
    <row r="11040" spans="2:4" ht="13">
      <c r="B11040" s="12">
        <f ca="1">IFERROR(__xludf.DUMMYFUNCTION("""COMPUTED_VALUE"""),3705073)</f>
        <v>3705073</v>
      </c>
      <c r="C11040" s="14">
        <f ca="1">IFERROR(__xludf.DUMMYFUNCTION("""COMPUTED_VALUE"""),0)</f>
        <v>0</v>
      </c>
      <c r="D11040" s="12" t="str">
        <f ca="1">IFERROR(__xludf.DUMMYFUNCTION("""COMPUTED_VALUE"""),"大木 優香")</f>
        <v>大木 優香</v>
      </c>
    </row>
    <row r="11041" spans="2:4" ht="13">
      <c r="B11041" s="12">
        <f ca="1">IFERROR(__xludf.DUMMYFUNCTION("""COMPUTED_VALUE"""),3705091)</f>
        <v>3705091</v>
      </c>
      <c r="C11041" s="14">
        <f ca="1">IFERROR(__xludf.DUMMYFUNCTION("""COMPUTED_VALUE"""),3)</f>
        <v>3</v>
      </c>
      <c r="D11041" s="12" t="str">
        <f ca="1">IFERROR(__xludf.DUMMYFUNCTION("""COMPUTED_VALUE"""),"大木 優香")</f>
        <v>大木 優香</v>
      </c>
    </row>
    <row r="11042" spans="2:4" ht="13">
      <c r="B11042" s="12">
        <f ca="1">IFERROR(__xludf.DUMMYFUNCTION("""COMPUTED_VALUE"""),3705098)</f>
        <v>3705098</v>
      </c>
      <c r="C11042" s="14">
        <f ca="1">IFERROR(__xludf.DUMMYFUNCTION("""COMPUTED_VALUE"""),0)</f>
        <v>0</v>
      </c>
      <c r="D11042" s="12" t="str">
        <f ca="1">IFERROR(__xludf.DUMMYFUNCTION("""COMPUTED_VALUE"""),"大木 優香")</f>
        <v>大木 優香</v>
      </c>
    </row>
    <row r="11043" spans="2:4" ht="13">
      <c r="B11043" s="12">
        <f ca="1">IFERROR(__xludf.DUMMYFUNCTION("""COMPUTED_VALUE"""),3705100)</f>
        <v>3705100</v>
      </c>
      <c r="C11043" s="14">
        <f ca="1">IFERROR(__xludf.DUMMYFUNCTION("""COMPUTED_VALUE"""),4)</f>
        <v>4</v>
      </c>
      <c r="D11043" s="12" t="str">
        <f ca="1">IFERROR(__xludf.DUMMYFUNCTION("""COMPUTED_VALUE"""),"大木 優香")</f>
        <v>大木 優香</v>
      </c>
    </row>
    <row r="11044" spans="2:4" ht="13">
      <c r="B11044" s="12">
        <f ca="1">IFERROR(__xludf.DUMMYFUNCTION("""COMPUTED_VALUE"""),3705102)</f>
        <v>3705102</v>
      </c>
      <c r="C11044" s="14">
        <f ca="1">IFERROR(__xludf.DUMMYFUNCTION("""COMPUTED_VALUE"""),6)</f>
        <v>6</v>
      </c>
      <c r="D11044" s="12" t="str">
        <f ca="1">IFERROR(__xludf.DUMMYFUNCTION("""COMPUTED_VALUE"""),"大木 優香")</f>
        <v>大木 優香</v>
      </c>
    </row>
    <row r="11045" spans="2:4" ht="13">
      <c r="B11045" s="12">
        <f ca="1">IFERROR(__xludf.DUMMYFUNCTION("""COMPUTED_VALUE"""),3705107)</f>
        <v>3705107</v>
      </c>
      <c r="C11045" s="14">
        <f ca="1">IFERROR(__xludf.DUMMYFUNCTION("""COMPUTED_VALUE"""),8)</f>
        <v>8</v>
      </c>
      <c r="D11045" s="12" t="str">
        <f ca="1">IFERROR(__xludf.DUMMYFUNCTION("""COMPUTED_VALUE"""),"大木 優香")</f>
        <v>大木 優香</v>
      </c>
    </row>
    <row r="11046" spans="2:4" ht="13">
      <c r="B11046" s="12">
        <f ca="1">IFERROR(__xludf.DUMMYFUNCTION("""COMPUTED_VALUE"""),3705117)</f>
        <v>3705117</v>
      </c>
      <c r="C11046" s="14">
        <f ca="1">IFERROR(__xludf.DUMMYFUNCTION("""COMPUTED_VALUE"""),2)</f>
        <v>2</v>
      </c>
      <c r="D11046" s="12" t="str">
        <f ca="1">IFERROR(__xludf.DUMMYFUNCTION("""COMPUTED_VALUE"""),"大木 優香")</f>
        <v>大木 優香</v>
      </c>
    </row>
    <row r="11047" spans="2:4" ht="13">
      <c r="B11047" s="12">
        <f ca="1">IFERROR(__xludf.DUMMYFUNCTION("""COMPUTED_VALUE"""),3705119)</f>
        <v>3705119</v>
      </c>
      <c r="C11047" s="14">
        <f ca="1">IFERROR(__xludf.DUMMYFUNCTION("""COMPUTED_VALUE"""),2)</f>
        <v>2</v>
      </c>
      <c r="D11047" s="12" t="str">
        <f ca="1">IFERROR(__xludf.DUMMYFUNCTION("""COMPUTED_VALUE"""),"大木 優香")</f>
        <v>大木 優香</v>
      </c>
    </row>
    <row r="11048" spans="2:4" ht="13">
      <c r="B11048" s="12">
        <f ca="1">IFERROR(__xludf.DUMMYFUNCTION("""COMPUTED_VALUE"""),3705125)</f>
        <v>3705125</v>
      </c>
      <c r="C11048" s="14">
        <f ca="1">IFERROR(__xludf.DUMMYFUNCTION("""COMPUTED_VALUE"""),3)</f>
        <v>3</v>
      </c>
      <c r="D11048" s="12" t="str">
        <f ca="1">IFERROR(__xludf.DUMMYFUNCTION("""COMPUTED_VALUE"""),"大木 優香")</f>
        <v>大木 優香</v>
      </c>
    </row>
    <row r="11049" spans="2:4" ht="13">
      <c r="B11049" s="12">
        <f ca="1">IFERROR(__xludf.DUMMYFUNCTION("""COMPUTED_VALUE"""),3705126)</f>
        <v>3705126</v>
      </c>
      <c r="C11049" s="14">
        <f ca="1">IFERROR(__xludf.DUMMYFUNCTION("""COMPUTED_VALUE"""),3)</f>
        <v>3</v>
      </c>
      <c r="D11049" s="12" t="str">
        <f ca="1">IFERROR(__xludf.DUMMYFUNCTION("""COMPUTED_VALUE"""),"大木 優香")</f>
        <v>大木 優香</v>
      </c>
    </row>
    <row r="11050" spans="2:4" ht="13">
      <c r="B11050" s="12">
        <f ca="1">IFERROR(__xludf.DUMMYFUNCTION("""COMPUTED_VALUE"""),3705132)</f>
        <v>3705132</v>
      </c>
      <c r="C11050" s="14">
        <f ca="1">IFERROR(__xludf.DUMMYFUNCTION("""COMPUTED_VALUE"""),2)</f>
        <v>2</v>
      </c>
      <c r="D11050" s="12" t="str">
        <f ca="1">IFERROR(__xludf.DUMMYFUNCTION("""COMPUTED_VALUE"""),"大木 優香")</f>
        <v>大木 優香</v>
      </c>
    </row>
    <row r="11051" spans="2:4" ht="13">
      <c r="B11051" s="12">
        <f ca="1">IFERROR(__xludf.DUMMYFUNCTION("""COMPUTED_VALUE"""),3705134)</f>
        <v>3705134</v>
      </c>
      <c r="C11051" s="14">
        <f ca="1">IFERROR(__xludf.DUMMYFUNCTION("""COMPUTED_VALUE"""),1)</f>
        <v>1</v>
      </c>
      <c r="D11051" s="12" t="str">
        <f ca="1">IFERROR(__xludf.DUMMYFUNCTION("""COMPUTED_VALUE"""),"大木 優香")</f>
        <v>大木 優香</v>
      </c>
    </row>
    <row r="11052" spans="2:4" ht="13">
      <c r="B11052" s="12">
        <f ca="1">IFERROR(__xludf.DUMMYFUNCTION("""COMPUTED_VALUE"""),3705146)</f>
        <v>3705146</v>
      </c>
      <c r="C11052" s="14">
        <f ca="1">IFERROR(__xludf.DUMMYFUNCTION("""COMPUTED_VALUE"""),6)</f>
        <v>6</v>
      </c>
      <c r="D11052" s="12" t="str">
        <f ca="1">IFERROR(__xludf.DUMMYFUNCTION("""COMPUTED_VALUE"""),"大木 優香")</f>
        <v>大木 優香</v>
      </c>
    </row>
    <row r="11053" spans="2:4" ht="13">
      <c r="B11053" s="12">
        <f ca="1">IFERROR(__xludf.DUMMYFUNCTION("""COMPUTED_VALUE"""),3705148)</f>
        <v>3705148</v>
      </c>
      <c r="C11053" s="14">
        <f ca="1">IFERROR(__xludf.DUMMYFUNCTION("""COMPUTED_VALUE"""),0)</f>
        <v>0</v>
      </c>
      <c r="D11053" s="12" t="str">
        <f ca="1">IFERROR(__xludf.DUMMYFUNCTION("""COMPUTED_VALUE"""),"大木 優香")</f>
        <v>大木 優香</v>
      </c>
    </row>
    <row r="11054" spans="2:4" ht="13">
      <c r="B11054" s="12">
        <f ca="1">IFERROR(__xludf.DUMMYFUNCTION("""COMPUTED_VALUE"""),3705149)</f>
        <v>3705149</v>
      </c>
      <c r="C11054" s="14">
        <f ca="1">IFERROR(__xludf.DUMMYFUNCTION("""COMPUTED_VALUE"""),3)</f>
        <v>3</v>
      </c>
      <c r="D11054" s="12" t="str">
        <f ca="1">IFERROR(__xludf.DUMMYFUNCTION("""COMPUTED_VALUE"""),"大木 優香")</f>
        <v>大木 優香</v>
      </c>
    </row>
    <row r="11055" spans="2:4" ht="13">
      <c r="B11055" s="12">
        <f ca="1">IFERROR(__xludf.DUMMYFUNCTION("""COMPUTED_VALUE"""),3705151)</f>
        <v>3705151</v>
      </c>
      <c r="C11055" s="14">
        <f ca="1">IFERROR(__xludf.DUMMYFUNCTION("""COMPUTED_VALUE"""),1)</f>
        <v>1</v>
      </c>
      <c r="D11055" s="12" t="str">
        <f ca="1">IFERROR(__xludf.DUMMYFUNCTION("""COMPUTED_VALUE"""),"大木 優香")</f>
        <v>大木 優香</v>
      </c>
    </row>
    <row r="11056" spans="2:4" ht="13">
      <c r="B11056" s="12">
        <f ca="1">IFERROR(__xludf.DUMMYFUNCTION("""COMPUTED_VALUE"""),3705152)</f>
        <v>3705152</v>
      </c>
      <c r="C11056" s="14">
        <f ca="1">IFERROR(__xludf.DUMMYFUNCTION("""COMPUTED_VALUE"""),1)</f>
        <v>1</v>
      </c>
      <c r="D11056" s="12" t="str">
        <f ca="1">IFERROR(__xludf.DUMMYFUNCTION("""COMPUTED_VALUE"""),"大木 優香")</f>
        <v>大木 優香</v>
      </c>
    </row>
    <row r="11057" spans="2:4" ht="13">
      <c r="B11057" s="12">
        <f ca="1">IFERROR(__xludf.DUMMYFUNCTION("""COMPUTED_VALUE"""),3705153)</f>
        <v>3705153</v>
      </c>
      <c r="C11057" s="14">
        <f ca="1">IFERROR(__xludf.DUMMYFUNCTION("""COMPUTED_VALUE"""),0)</f>
        <v>0</v>
      </c>
      <c r="D11057" s="12" t="str">
        <f ca="1">IFERROR(__xludf.DUMMYFUNCTION("""COMPUTED_VALUE"""),"芳賀 亮輔")</f>
        <v>芳賀 亮輔</v>
      </c>
    </row>
    <row r="11058" spans="2:4" ht="13">
      <c r="B11058" s="12">
        <f ca="1">IFERROR(__xludf.DUMMYFUNCTION("""COMPUTED_VALUE"""),3705156)</f>
        <v>3705156</v>
      </c>
      <c r="C11058" s="14">
        <f ca="1">IFERROR(__xludf.DUMMYFUNCTION("""COMPUTED_VALUE"""),0)</f>
        <v>0</v>
      </c>
      <c r="D11058" s="12" t="str">
        <f ca="1">IFERROR(__xludf.DUMMYFUNCTION("""COMPUTED_VALUE"""),"大木 優香")</f>
        <v>大木 優香</v>
      </c>
    </row>
    <row r="11059" spans="2:4" ht="13">
      <c r="B11059" s="12">
        <f ca="1">IFERROR(__xludf.DUMMYFUNCTION("""COMPUTED_VALUE"""),3705157)</f>
        <v>3705157</v>
      </c>
      <c r="C11059" s="14">
        <f ca="1">IFERROR(__xludf.DUMMYFUNCTION("""COMPUTED_VALUE"""),1)</f>
        <v>1</v>
      </c>
      <c r="D11059" s="12" t="str">
        <f ca="1">IFERROR(__xludf.DUMMYFUNCTION("""COMPUTED_VALUE"""),"大木 優香")</f>
        <v>大木 優香</v>
      </c>
    </row>
    <row r="11060" spans="2:4" ht="13">
      <c r="B11060" s="12">
        <f ca="1">IFERROR(__xludf.DUMMYFUNCTION("""COMPUTED_VALUE"""),3705162)</f>
        <v>3705162</v>
      </c>
      <c r="C11060" s="14">
        <f ca="1">IFERROR(__xludf.DUMMYFUNCTION("""COMPUTED_VALUE"""),0)</f>
        <v>0</v>
      </c>
      <c r="D11060" s="12" t="str">
        <f ca="1">IFERROR(__xludf.DUMMYFUNCTION("""COMPUTED_VALUE"""),"大木 優香")</f>
        <v>大木 優香</v>
      </c>
    </row>
    <row r="11061" spans="2:4" ht="13">
      <c r="B11061" s="12">
        <f ca="1">IFERROR(__xludf.DUMMYFUNCTION("""COMPUTED_VALUE"""),3705165)</f>
        <v>3705165</v>
      </c>
      <c r="C11061" s="14">
        <f ca="1">IFERROR(__xludf.DUMMYFUNCTION("""COMPUTED_VALUE"""),7)</f>
        <v>7</v>
      </c>
      <c r="D11061" s="12" t="str">
        <f ca="1">IFERROR(__xludf.DUMMYFUNCTION("""COMPUTED_VALUE"""),"大木 優香")</f>
        <v>大木 優香</v>
      </c>
    </row>
    <row r="11062" spans="2:4" ht="13">
      <c r="B11062" s="12">
        <f ca="1">IFERROR(__xludf.DUMMYFUNCTION("""COMPUTED_VALUE"""),3705167)</f>
        <v>3705167</v>
      </c>
      <c r="C11062" s="14">
        <f ca="1">IFERROR(__xludf.DUMMYFUNCTION("""COMPUTED_VALUE"""),4)</f>
        <v>4</v>
      </c>
      <c r="D11062" s="12" t="str">
        <f ca="1">IFERROR(__xludf.DUMMYFUNCTION("""COMPUTED_VALUE"""),"大木 優香")</f>
        <v>大木 優香</v>
      </c>
    </row>
    <row r="11063" spans="2:4" ht="13">
      <c r="B11063" s="12">
        <f ca="1">IFERROR(__xludf.DUMMYFUNCTION("""COMPUTED_VALUE"""),3705168)</f>
        <v>3705168</v>
      </c>
      <c r="C11063" s="14">
        <f ca="1">IFERROR(__xludf.DUMMYFUNCTION("""COMPUTED_VALUE"""),0)</f>
        <v>0</v>
      </c>
      <c r="D11063" s="12" t="str">
        <f ca="1">IFERROR(__xludf.DUMMYFUNCTION("""COMPUTED_VALUE"""),"大木 優香")</f>
        <v>大木 優香</v>
      </c>
    </row>
    <row r="11064" spans="2:4" ht="13">
      <c r="B11064" s="12">
        <f ca="1">IFERROR(__xludf.DUMMYFUNCTION("""COMPUTED_VALUE"""),3705169)</f>
        <v>3705169</v>
      </c>
      <c r="C11064" s="14">
        <f ca="1">IFERROR(__xludf.DUMMYFUNCTION("""COMPUTED_VALUE"""),1)</f>
        <v>1</v>
      </c>
      <c r="D11064" s="12" t="str">
        <f ca="1">IFERROR(__xludf.DUMMYFUNCTION("""COMPUTED_VALUE"""),"大木 優香")</f>
        <v>大木 優香</v>
      </c>
    </row>
    <row r="11065" spans="2:4" ht="13">
      <c r="B11065" s="12">
        <f ca="1">IFERROR(__xludf.DUMMYFUNCTION("""COMPUTED_VALUE"""),3705170)</f>
        <v>3705170</v>
      </c>
      <c r="C11065" s="14">
        <f ca="1">IFERROR(__xludf.DUMMYFUNCTION("""COMPUTED_VALUE"""),13)</f>
        <v>13</v>
      </c>
      <c r="D11065" s="12" t="str">
        <f ca="1">IFERROR(__xludf.DUMMYFUNCTION("""COMPUTED_VALUE"""),"大木 優香")</f>
        <v>大木 優香</v>
      </c>
    </row>
    <row r="11066" spans="2:4" ht="13">
      <c r="B11066" s="12">
        <f ca="1">IFERROR(__xludf.DUMMYFUNCTION("""COMPUTED_VALUE"""),3705171)</f>
        <v>3705171</v>
      </c>
      <c r="C11066" s="14">
        <f ca="1">IFERROR(__xludf.DUMMYFUNCTION("""COMPUTED_VALUE"""),2)</f>
        <v>2</v>
      </c>
      <c r="D11066" s="12" t="str">
        <f ca="1">IFERROR(__xludf.DUMMYFUNCTION("""COMPUTED_VALUE"""),"大木 優香")</f>
        <v>大木 優香</v>
      </c>
    </row>
    <row r="11067" spans="2:4" ht="13">
      <c r="B11067" s="12">
        <f ca="1">IFERROR(__xludf.DUMMYFUNCTION("""COMPUTED_VALUE"""),3705172)</f>
        <v>3705172</v>
      </c>
      <c r="C11067" s="14">
        <f ca="1">IFERROR(__xludf.DUMMYFUNCTION("""COMPUTED_VALUE"""),2)</f>
        <v>2</v>
      </c>
      <c r="D11067" s="12" t="str">
        <f ca="1">IFERROR(__xludf.DUMMYFUNCTION("""COMPUTED_VALUE"""),"大木 優香")</f>
        <v>大木 優香</v>
      </c>
    </row>
    <row r="11068" spans="2:4" ht="13">
      <c r="B11068" s="12">
        <f ca="1">IFERROR(__xludf.DUMMYFUNCTION("""COMPUTED_VALUE"""),3705176)</f>
        <v>3705176</v>
      </c>
      <c r="C11068" s="14">
        <f ca="1">IFERROR(__xludf.DUMMYFUNCTION("""COMPUTED_VALUE"""),4)</f>
        <v>4</v>
      </c>
      <c r="D11068" s="12" t="str">
        <f ca="1">IFERROR(__xludf.DUMMYFUNCTION("""COMPUTED_VALUE"""),"大木 優香")</f>
        <v>大木 優香</v>
      </c>
    </row>
    <row r="11069" spans="2:4" ht="13">
      <c r="B11069" s="12">
        <f ca="1">IFERROR(__xludf.DUMMYFUNCTION("""COMPUTED_VALUE"""),3705178)</f>
        <v>3705178</v>
      </c>
      <c r="C11069" s="14">
        <f ca="1">IFERROR(__xludf.DUMMYFUNCTION("""COMPUTED_VALUE"""),2)</f>
        <v>2</v>
      </c>
      <c r="D11069" s="12" t="str">
        <f ca="1">IFERROR(__xludf.DUMMYFUNCTION("""COMPUTED_VALUE"""),"大木 優香")</f>
        <v>大木 優香</v>
      </c>
    </row>
    <row r="11070" spans="2:4" ht="13">
      <c r="B11070" s="12">
        <f ca="1">IFERROR(__xludf.DUMMYFUNCTION("""COMPUTED_VALUE"""),3705180)</f>
        <v>3705180</v>
      </c>
      <c r="C11070" s="14">
        <f ca="1">IFERROR(__xludf.DUMMYFUNCTION("""COMPUTED_VALUE"""),0)</f>
        <v>0</v>
      </c>
      <c r="D11070" s="12" t="str">
        <f ca="1">IFERROR(__xludf.DUMMYFUNCTION("""COMPUTED_VALUE"""),"大木 優香")</f>
        <v>大木 優香</v>
      </c>
    </row>
    <row r="11071" spans="2:4" ht="13">
      <c r="B11071" s="12">
        <f ca="1">IFERROR(__xludf.DUMMYFUNCTION("""COMPUTED_VALUE"""),3705186)</f>
        <v>3705186</v>
      </c>
      <c r="C11071" s="14">
        <f ca="1">IFERROR(__xludf.DUMMYFUNCTION("""COMPUTED_VALUE"""),8)</f>
        <v>8</v>
      </c>
      <c r="D11071" s="12" t="str">
        <f ca="1">IFERROR(__xludf.DUMMYFUNCTION("""COMPUTED_VALUE"""),"大木 優香")</f>
        <v>大木 優香</v>
      </c>
    </row>
    <row r="11072" spans="2:4" ht="13">
      <c r="B11072" s="12">
        <f ca="1">IFERROR(__xludf.DUMMYFUNCTION("""COMPUTED_VALUE"""),3705187)</f>
        <v>3705187</v>
      </c>
      <c r="C11072" s="14">
        <f ca="1">IFERROR(__xludf.DUMMYFUNCTION("""COMPUTED_VALUE"""),0)</f>
        <v>0</v>
      </c>
      <c r="D11072" s="12" t="str">
        <f ca="1">IFERROR(__xludf.DUMMYFUNCTION("""COMPUTED_VALUE"""),"大木 優香")</f>
        <v>大木 優香</v>
      </c>
    </row>
    <row r="11073" spans="2:4" ht="13">
      <c r="B11073" s="12">
        <f ca="1">IFERROR(__xludf.DUMMYFUNCTION("""COMPUTED_VALUE"""),3705188)</f>
        <v>3705188</v>
      </c>
      <c r="C11073" s="14">
        <f ca="1">IFERROR(__xludf.DUMMYFUNCTION("""COMPUTED_VALUE"""),1)</f>
        <v>1</v>
      </c>
      <c r="D11073" s="12" t="str">
        <f ca="1">IFERROR(__xludf.DUMMYFUNCTION("""COMPUTED_VALUE"""),"大木 優香")</f>
        <v>大木 優香</v>
      </c>
    </row>
    <row r="11074" spans="2:4" ht="13">
      <c r="B11074" s="12">
        <f ca="1">IFERROR(__xludf.DUMMYFUNCTION("""COMPUTED_VALUE"""),3705189)</f>
        <v>3705189</v>
      </c>
      <c r="C11074" s="14">
        <f ca="1">IFERROR(__xludf.DUMMYFUNCTION("""COMPUTED_VALUE"""),2)</f>
        <v>2</v>
      </c>
      <c r="D11074" s="12" t="str">
        <f ca="1">IFERROR(__xludf.DUMMYFUNCTION("""COMPUTED_VALUE"""),"大木 優香")</f>
        <v>大木 優香</v>
      </c>
    </row>
    <row r="11075" spans="2:4" ht="13">
      <c r="B11075" s="12">
        <f ca="1">IFERROR(__xludf.DUMMYFUNCTION("""COMPUTED_VALUE"""),3705190)</f>
        <v>3705190</v>
      </c>
      <c r="C11075" s="14">
        <f ca="1">IFERROR(__xludf.DUMMYFUNCTION("""COMPUTED_VALUE"""),1)</f>
        <v>1</v>
      </c>
      <c r="D11075" s="12" t="str">
        <f ca="1">IFERROR(__xludf.DUMMYFUNCTION("""COMPUTED_VALUE"""),"大木 優香")</f>
        <v>大木 優香</v>
      </c>
    </row>
    <row r="11076" spans="2:4" ht="13">
      <c r="B11076" s="12">
        <f ca="1">IFERROR(__xludf.DUMMYFUNCTION("""COMPUTED_VALUE"""),3705191)</f>
        <v>3705191</v>
      </c>
      <c r="C11076" s="14">
        <f ca="1">IFERROR(__xludf.DUMMYFUNCTION("""COMPUTED_VALUE"""),5)</f>
        <v>5</v>
      </c>
      <c r="D11076" s="12" t="str">
        <f ca="1">IFERROR(__xludf.DUMMYFUNCTION("""COMPUTED_VALUE"""),"大木 優香")</f>
        <v>大木 優香</v>
      </c>
    </row>
    <row r="11077" spans="2:4" ht="13">
      <c r="B11077" s="12">
        <f ca="1">IFERROR(__xludf.DUMMYFUNCTION("""COMPUTED_VALUE"""),3705192)</f>
        <v>3705192</v>
      </c>
      <c r="C11077" s="14">
        <f ca="1">IFERROR(__xludf.DUMMYFUNCTION("""COMPUTED_VALUE"""),0)</f>
        <v>0</v>
      </c>
      <c r="D11077" s="12" t="str">
        <f ca="1">IFERROR(__xludf.DUMMYFUNCTION("""COMPUTED_VALUE"""),"大木 優香")</f>
        <v>大木 優香</v>
      </c>
    </row>
    <row r="11078" spans="2:4" ht="13">
      <c r="B11078" s="12">
        <f ca="1">IFERROR(__xludf.DUMMYFUNCTION("""COMPUTED_VALUE"""),3705193)</f>
        <v>3705193</v>
      </c>
      <c r="C11078" s="14">
        <f ca="1">IFERROR(__xludf.DUMMYFUNCTION("""COMPUTED_VALUE"""),1)</f>
        <v>1</v>
      </c>
      <c r="D11078" s="12" t="str">
        <f ca="1">IFERROR(__xludf.DUMMYFUNCTION("""COMPUTED_VALUE"""),"大木 優香")</f>
        <v>大木 優香</v>
      </c>
    </row>
    <row r="11079" spans="2:4" ht="13">
      <c r="B11079" s="12">
        <f ca="1">IFERROR(__xludf.DUMMYFUNCTION("""COMPUTED_VALUE"""),3705197)</f>
        <v>3705197</v>
      </c>
      <c r="C11079" s="14">
        <f ca="1">IFERROR(__xludf.DUMMYFUNCTION("""COMPUTED_VALUE"""),7)</f>
        <v>7</v>
      </c>
      <c r="D11079" s="12" t="str">
        <f ca="1">IFERROR(__xludf.DUMMYFUNCTION("""COMPUTED_VALUE"""),"大木 優香")</f>
        <v>大木 優香</v>
      </c>
    </row>
    <row r="11080" spans="2:4" ht="13">
      <c r="B11080" s="12">
        <f ca="1">IFERROR(__xludf.DUMMYFUNCTION("""COMPUTED_VALUE"""),3705199)</f>
        <v>3705199</v>
      </c>
      <c r="C11080" s="14">
        <f ca="1">IFERROR(__xludf.DUMMYFUNCTION("""COMPUTED_VALUE"""),0)</f>
        <v>0</v>
      </c>
      <c r="D11080" s="12" t="str">
        <f ca="1">IFERROR(__xludf.DUMMYFUNCTION("""COMPUTED_VALUE"""),"大木 優香")</f>
        <v>大木 優香</v>
      </c>
    </row>
    <row r="11081" spans="2:4" ht="13">
      <c r="B11081" s="12">
        <f ca="1">IFERROR(__xludf.DUMMYFUNCTION("""COMPUTED_VALUE"""),3705202)</f>
        <v>3705202</v>
      </c>
      <c r="C11081" s="14">
        <f ca="1">IFERROR(__xludf.DUMMYFUNCTION("""COMPUTED_VALUE"""),0)</f>
        <v>0</v>
      </c>
      <c r="D11081" s="12" t="str">
        <f ca="1">IFERROR(__xludf.DUMMYFUNCTION("""COMPUTED_VALUE"""),"大木 優香")</f>
        <v>大木 優香</v>
      </c>
    </row>
    <row r="11082" spans="2:4" ht="13">
      <c r="B11082" s="12">
        <f ca="1">IFERROR(__xludf.DUMMYFUNCTION("""COMPUTED_VALUE"""),3705204)</f>
        <v>3705204</v>
      </c>
      <c r="C11082" s="14">
        <f ca="1">IFERROR(__xludf.DUMMYFUNCTION("""COMPUTED_VALUE"""),0)</f>
        <v>0</v>
      </c>
      <c r="D11082" s="12" t="str">
        <f ca="1">IFERROR(__xludf.DUMMYFUNCTION("""COMPUTED_VALUE"""),"大木 優香")</f>
        <v>大木 優香</v>
      </c>
    </row>
    <row r="11083" spans="2:4" ht="13">
      <c r="B11083" s="12">
        <f ca="1">IFERROR(__xludf.DUMMYFUNCTION("""COMPUTED_VALUE"""),3705205)</f>
        <v>3705205</v>
      </c>
      <c r="C11083" s="14">
        <f ca="1">IFERROR(__xludf.DUMMYFUNCTION("""COMPUTED_VALUE"""),3)</f>
        <v>3</v>
      </c>
      <c r="D11083" s="12" t="str">
        <f ca="1">IFERROR(__xludf.DUMMYFUNCTION("""COMPUTED_VALUE"""),"大木 優香")</f>
        <v>大木 優香</v>
      </c>
    </row>
    <row r="11084" spans="2:4" ht="13">
      <c r="B11084" s="12">
        <f ca="1">IFERROR(__xludf.DUMMYFUNCTION("""COMPUTED_VALUE"""),3705206)</f>
        <v>3705206</v>
      </c>
      <c r="C11084" s="14">
        <f ca="1">IFERROR(__xludf.DUMMYFUNCTION("""COMPUTED_VALUE"""),1)</f>
        <v>1</v>
      </c>
      <c r="D11084" s="12" t="str">
        <f ca="1">IFERROR(__xludf.DUMMYFUNCTION("""COMPUTED_VALUE"""),"大木 優香")</f>
        <v>大木 優香</v>
      </c>
    </row>
    <row r="11085" spans="2:4" ht="13">
      <c r="B11085" s="12">
        <f ca="1">IFERROR(__xludf.DUMMYFUNCTION("""COMPUTED_VALUE"""),3705207)</f>
        <v>3705207</v>
      </c>
      <c r="C11085" s="14">
        <f ca="1">IFERROR(__xludf.DUMMYFUNCTION("""COMPUTED_VALUE"""),2)</f>
        <v>2</v>
      </c>
      <c r="D11085" s="12" t="str">
        <f ca="1">IFERROR(__xludf.DUMMYFUNCTION("""COMPUTED_VALUE"""),"大木 優香")</f>
        <v>大木 優香</v>
      </c>
    </row>
    <row r="11086" spans="2:4" ht="13">
      <c r="B11086" s="12">
        <f ca="1">IFERROR(__xludf.DUMMYFUNCTION("""COMPUTED_VALUE"""),3705213)</f>
        <v>3705213</v>
      </c>
      <c r="C11086" s="14">
        <f ca="1">IFERROR(__xludf.DUMMYFUNCTION("""COMPUTED_VALUE"""),3)</f>
        <v>3</v>
      </c>
      <c r="D11086" s="12" t="str">
        <f ca="1">IFERROR(__xludf.DUMMYFUNCTION("""COMPUTED_VALUE"""),"大木 優香")</f>
        <v>大木 優香</v>
      </c>
    </row>
    <row r="11087" spans="2:4" ht="13">
      <c r="B11087" s="12">
        <f ca="1">IFERROR(__xludf.DUMMYFUNCTION("""COMPUTED_VALUE"""),3705214)</f>
        <v>3705214</v>
      </c>
      <c r="C11087" s="14">
        <f ca="1">IFERROR(__xludf.DUMMYFUNCTION("""COMPUTED_VALUE"""),7)</f>
        <v>7</v>
      </c>
      <c r="D11087" s="12" t="str">
        <f ca="1">IFERROR(__xludf.DUMMYFUNCTION("""COMPUTED_VALUE"""),"大木 優香")</f>
        <v>大木 優香</v>
      </c>
    </row>
    <row r="11088" spans="2:4" ht="13">
      <c r="B11088" s="12">
        <f ca="1">IFERROR(__xludf.DUMMYFUNCTION("""COMPUTED_VALUE"""),3705215)</f>
        <v>3705215</v>
      </c>
      <c r="C11088" s="14">
        <f ca="1">IFERROR(__xludf.DUMMYFUNCTION("""COMPUTED_VALUE"""),2)</f>
        <v>2</v>
      </c>
      <c r="D11088" s="12" t="str">
        <f ca="1">IFERROR(__xludf.DUMMYFUNCTION("""COMPUTED_VALUE"""),"大木 優香")</f>
        <v>大木 優香</v>
      </c>
    </row>
    <row r="11089" spans="2:4" ht="13">
      <c r="B11089" s="12">
        <f ca="1">IFERROR(__xludf.DUMMYFUNCTION("""COMPUTED_VALUE"""),3705217)</f>
        <v>3705217</v>
      </c>
      <c r="C11089" s="14">
        <f ca="1">IFERROR(__xludf.DUMMYFUNCTION("""COMPUTED_VALUE"""),2)</f>
        <v>2</v>
      </c>
      <c r="D11089" s="12" t="str">
        <f ca="1">IFERROR(__xludf.DUMMYFUNCTION("""COMPUTED_VALUE"""),"大木 優香")</f>
        <v>大木 優香</v>
      </c>
    </row>
    <row r="11090" spans="2:4" ht="13">
      <c r="B11090" s="12">
        <f ca="1">IFERROR(__xludf.DUMMYFUNCTION("""COMPUTED_VALUE"""),3705218)</f>
        <v>3705218</v>
      </c>
      <c r="C11090" s="14">
        <f ca="1">IFERROR(__xludf.DUMMYFUNCTION("""COMPUTED_VALUE"""),25)</f>
        <v>25</v>
      </c>
      <c r="D11090" s="12" t="str">
        <f ca="1">IFERROR(__xludf.DUMMYFUNCTION("""COMPUTED_VALUE"""),"大木 優香")</f>
        <v>大木 優香</v>
      </c>
    </row>
    <row r="11091" spans="2:4" ht="13">
      <c r="B11091" s="12">
        <f ca="1">IFERROR(__xludf.DUMMYFUNCTION("""COMPUTED_VALUE"""),3705219)</f>
        <v>3705219</v>
      </c>
      <c r="C11091" s="14">
        <f ca="1">IFERROR(__xludf.DUMMYFUNCTION("""COMPUTED_VALUE"""),4)</f>
        <v>4</v>
      </c>
      <c r="D11091" s="12" t="str">
        <f ca="1">IFERROR(__xludf.DUMMYFUNCTION("""COMPUTED_VALUE"""),"大木 優香")</f>
        <v>大木 優香</v>
      </c>
    </row>
    <row r="11092" spans="2:4" ht="13">
      <c r="B11092" s="12">
        <f ca="1">IFERROR(__xludf.DUMMYFUNCTION("""COMPUTED_VALUE"""),3705220)</f>
        <v>3705220</v>
      </c>
      <c r="C11092" s="14">
        <f ca="1">IFERROR(__xludf.DUMMYFUNCTION("""COMPUTED_VALUE"""),6)</f>
        <v>6</v>
      </c>
      <c r="D11092" s="12" t="str">
        <f ca="1">IFERROR(__xludf.DUMMYFUNCTION("""COMPUTED_VALUE"""),"大木 優香")</f>
        <v>大木 優香</v>
      </c>
    </row>
    <row r="11093" spans="2:4" ht="13">
      <c r="B11093" s="12">
        <f ca="1">IFERROR(__xludf.DUMMYFUNCTION("""COMPUTED_VALUE"""),3705221)</f>
        <v>3705221</v>
      </c>
      <c r="C11093" s="14">
        <f ca="1">IFERROR(__xludf.DUMMYFUNCTION("""COMPUTED_VALUE"""),0)</f>
        <v>0</v>
      </c>
      <c r="D11093" s="12" t="str">
        <f ca="1">IFERROR(__xludf.DUMMYFUNCTION("""COMPUTED_VALUE"""),"大木 優香")</f>
        <v>大木 優香</v>
      </c>
    </row>
    <row r="11094" spans="2:4" ht="13">
      <c r="B11094" s="12">
        <f ca="1">IFERROR(__xludf.DUMMYFUNCTION("""COMPUTED_VALUE"""),3705222)</f>
        <v>3705222</v>
      </c>
      <c r="C11094" s="14">
        <f ca="1">IFERROR(__xludf.DUMMYFUNCTION("""COMPUTED_VALUE"""),2)</f>
        <v>2</v>
      </c>
      <c r="D11094" s="12" t="str">
        <f ca="1">IFERROR(__xludf.DUMMYFUNCTION("""COMPUTED_VALUE"""),"大木 優香")</f>
        <v>大木 優香</v>
      </c>
    </row>
    <row r="11095" spans="2:4" ht="13">
      <c r="B11095" s="12">
        <f ca="1">IFERROR(__xludf.DUMMYFUNCTION("""COMPUTED_VALUE"""),3705223)</f>
        <v>3705223</v>
      </c>
      <c r="C11095" s="14">
        <f ca="1">IFERROR(__xludf.DUMMYFUNCTION("""COMPUTED_VALUE"""),0)</f>
        <v>0</v>
      </c>
      <c r="D11095" s="12" t="str">
        <f ca="1">IFERROR(__xludf.DUMMYFUNCTION("""COMPUTED_VALUE"""),"大木 優香")</f>
        <v>大木 優香</v>
      </c>
    </row>
    <row r="11096" spans="2:4" ht="13">
      <c r="B11096" s="12">
        <f ca="1">IFERROR(__xludf.DUMMYFUNCTION("""COMPUTED_VALUE"""),3705224)</f>
        <v>3705224</v>
      </c>
      <c r="C11096" s="14">
        <f ca="1">IFERROR(__xludf.DUMMYFUNCTION("""COMPUTED_VALUE"""),0)</f>
        <v>0</v>
      </c>
      <c r="D11096" s="12" t="str">
        <f ca="1">IFERROR(__xludf.DUMMYFUNCTION("""COMPUTED_VALUE"""),"大木 優香")</f>
        <v>大木 優香</v>
      </c>
    </row>
    <row r="11097" spans="2:4" ht="13">
      <c r="B11097" s="12">
        <f ca="1">IFERROR(__xludf.DUMMYFUNCTION("""COMPUTED_VALUE"""),3705225)</f>
        <v>3705225</v>
      </c>
      <c r="C11097" s="14">
        <f ca="1">IFERROR(__xludf.DUMMYFUNCTION("""COMPUTED_VALUE"""),5)</f>
        <v>5</v>
      </c>
      <c r="D11097" s="12" t="str">
        <f ca="1">IFERROR(__xludf.DUMMYFUNCTION("""COMPUTED_VALUE"""),"大木 優香")</f>
        <v>大木 優香</v>
      </c>
    </row>
    <row r="11098" spans="2:4" ht="13">
      <c r="B11098" s="12">
        <f ca="1">IFERROR(__xludf.DUMMYFUNCTION("""COMPUTED_VALUE"""),3705226)</f>
        <v>3705226</v>
      </c>
      <c r="C11098" s="14">
        <f ca="1">IFERROR(__xludf.DUMMYFUNCTION("""COMPUTED_VALUE"""),1)</f>
        <v>1</v>
      </c>
      <c r="D11098" s="12" t="str">
        <f ca="1">IFERROR(__xludf.DUMMYFUNCTION("""COMPUTED_VALUE"""),"大木 優香")</f>
        <v>大木 優香</v>
      </c>
    </row>
    <row r="11099" spans="2:4" ht="13">
      <c r="B11099" s="12">
        <f ca="1">IFERROR(__xludf.DUMMYFUNCTION("""COMPUTED_VALUE"""),3705227)</f>
        <v>3705227</v>
      </c>
      <c r="C11099" s="14">
        <f ca="1">IFERROR(__xludf.DUMMYFUNCTION("""COMPUTED_VALUE"""),2)</f>
        <v>2</v>
      </c>
      <c r="D11099" s="12" t="str">
        <f ca="1">IFERROR(__xludf.DUMMYFUNCTION("""COMPUTED_VALUE"""),"大木 優香")</f>
        <v>大木 優香</v>
      </c>
    </row>
    <row r="11100" spans="2:4" ht="13">
      <c r="B11100" s="12">
        <f ca="1">IFERROR(__xludf.DUMMYFUNCTION("""COMPUTED_VALUE"""),3705228)</f>
        <v>3705228</v>
      </c>
      <c r="C11100" s="14">
        <f ca="1">IFERROR(__xludf.DUMMYFUNCTION("""COMPUTED_VALUE"""),0)</f>
        <v>0</v>
      </c>
      <c r="D11100" s="12" t="str">
        <f ca="1">IFERROR(__xludf.DUMMYFUNCTION("""COMPUTED_VALUE"""),"大木 優香")</f>
        <v>大木 優香</v>
      </c>
    </row>
    <row r="11101" spans="2:4" ht="13">
      <c r="B11101" s="12">
        <f ca="1">IFERROR(__xludf.DUMMYFUNCTION("""COMPUTED_VALUE"""),3705229)</f>
        <v>3705229</v>
      </c>
      <c r="C11101" s="14">
        <f ca="1">IFERROR(__xludf.DUMMYFUNCTION("""COMPUTED_VALUE"""),2)</f>
        <v>2</v>
      </c>
      <c r="D11101" s="12" t="str">
        <f ca="1">IFERROR(__xludf.DUMMYFUNCTION("""COMPUTED_VALUE"""),"大木 優香")</f>
        <v>大木 優香</v>
      </c>
    </row>
    <row r="11102" spans="2:4" ht="13">
      <c r="B11102" s="12">
        <f ca="1">IFERROR(__xludf.DUMMYFUNCTION("""COMPUTED_VALUE"""),3705230)</f>
        <v>3705230</v>
      </c>
      <c r="C11102" s="14">
        <f ca="1">IFERROR(__xludf.DUMMYFUNCTION("""COMPUTED_VALUE"""),6)</f>
        <v>6</v>
      </c>
      <c r="D11102" s="12" t="str">
        <f ca="1">IFERROR(__xludf.DUMMYFUNCTION("""COMPUTED_VALUE"""),"大木 優香")</f>
        <v>大木 優香</v>
      </c>
    </row>
    <row r="11103" spans="2:4" ht="13">
      <c r="B11103" s="12">
        <f ca="1">IFERROR(__xludf.DUMMYFUNCTION("""COMPUTED_VALUE"""),3705231)</f>
        <v>3705231</v>
      </c>
      <c r="C11103" s="14">
        <f ca="1">IFERROR(__xludf.DUMMYFUNCTION("""COMPUTED_VALUE"""),4)</f>
        <v>4</v>
      </c>
      <c r="D11103" s="12" t="str">
        <f ca="1">IFERROR(__xludf.DUMMYFUNCTION("""COMPUTED_VALUE"""),"大木 優香")</f>
        <v>大木 優香</v>
      </c>
    </row>
    <row r="11104" spans="2:4" ht="13">
      <c r="B11104" s="12">
        <f ca="1">IFERROR(__xludf.DUMMYFUNCTION("""COMPUTED_VALUE"""),3705232)</f>
        <v>3705232</v>
      </c>
      <c r="C11104" s="14">
        <f ca="1">IFERROR(__xludf.DUMMYFUNCTION("""COMPUTED_VALUE"""),2)</f>
        <v>2</v>
      </c>
      <c r="D11104" s="12" t="str">
        <f ca="1">IFERROR(__xludf.DUMMYFUNCTION("""COMPUTED_VALUE"""),"大木 優香")</f>
        <v>大木 優香</v>
      </c>
    </row>
    <row r="11105" spans="2:4" ht="13">
      <c r="B11105" s="12">
        <f ca="1">IFERROR(__xludf.DUMMYFUNCTION("""COMPUTED_VALUE"""),3705233)</f>
        <v>3705233</v>
      </c>
      <c r="C11105" s="14">
        <f ca="1">IFERROR(__xludf.DUMMYFUNCTION("""COMPUTED_VALUE"""),2)</f>
        <v>2</v>
      </c>
      <c r="D11105" s="12" t="str">
        <f ca="1">IFERROR(__xludf.DUMMYFUNCTION("""COMPUTED_VALUE"""),"大木 優香")</f>
        <v>大木 優香</v>
      </c>
    </row>
    <row r="11106" spans="2:4" ht="13">
      <c r="B11106" s="12">
        <f ca="1">IFERROR(__xludf.DUMMYFUNCTION("""COMPUTED_VALUE"""),3705234)</f>
        <v>3705234</v>
      </c>
      <c r="C11106" s="14">
        <f ca="1">IFERROR(__xludf.DUMMYFUNCTION("""COMPUTED_VALUE"""),2)</f>
        <v>2</v>
      </c>
      <c r="D11106" s="12" t="str">
        <f ca="1">IFERROR(__xludf.DUMMYFUNCTION("""COMPUTED_VALUE"""),"大木 優香")</f>
        <v>大木 優香</v>
      </c>
    </row>
    <row r="11107" spans="2:4" ht="13">
      <c r="B11107" s="12">
        <f ca="1">IFERROR(__xludf.DUMMYFUNCTION("""COMPUTED_VALUE"""),3705237)</f>
        <v>3705237</v>
      </c>
      <c r="C11107" s="14">
        <f ca="1">IFERROR(__xludf.DUMMYFUNCTION("""COMPUTED_VALUE"""),0)</f>
        <v>0</v>
      </c>
      <c r="D11107" s="12" t="str">
        <f ca="1">IFERROR(__xludf.DUMMYFUNCTION("""COMPUTED_VALUE"""),"大木 優香")</f>
        <v>大木 優香</v>
      </c>
    </row>
    <row r="11108" spans="2:4" ht="13">
      <c r="B11108" s="12">
        <f ca="1">IFERROR(__xludf.DUMMYFUNCTION("""COMPUTED_VALUE"""),3705238)</f>
        <v>3705238</v>
      </c>
      <c r="C11108" s="14">
        <f ca="1">IFERROR(__xludf.DUMMYFUNCTION("""COMPUTED_VALUE"""),0)</f>
        <v>0</v>
      </c>
      <c r="D11108" s="12" t="str">
        <f ca="1">IFERROR(__xludf.DUMMYFUNCTION("""COMPUTED_VALUE"""),"大木 優香")</f>
        <v>大木 優香</v>
      </c>
    </row>
    <row r="11109" spans="2:4" ht="13">
      <c r="B11109" s="12">
        <f ca="1">IFERROR(__xludf.DUMMYFUNCTION("""COMPUTED_VALUE"""),3705239)</f>
        <v>3705239</v>
      </c>
      <c r="C11109" s="14">
        <f ca="1">IFERROR(__xludf.DUMMYFUNCTION("""COMPUTED_VALUE"""),0)</f>
        <v>0</v>
      </c>
      <c r="D11109" s="12" t="str">
        <f ca="1">IFERROR(__xludf.DUMMYFUNCTION("""COMPUTED_VALUE"""),"大木 優香")</f>
        <v>大木 優香</v>
      </c>
    </row>
    <row r="11110" spans="2:4" ht="13">
      <c r="B11110" s="12">
        <f ca="1">IFERROR(__xludf.DUMMYFUNCTION("""COMPUTED_VALUE"""),3705240)</f>
        <v>3705240</v>
      </c>
      <c r="C11110" s="14">
        <f ca="1">IFERROR(__xludf.DUMMYFUNCTION("""COMPUTED_VALUE"""),2)</f>
        <v>2</v>
      </c>
      <c r="D11110" s="12" t="str">
        <f ca="1">IFERROR(__xludf.DUMMYFUNCTION("""COMPUTED_VALUE"""),"大木 優香")</f>
        <v>大木 優香</v>
      </c>
    </row>
    <row r="11111" spans="2:4" ht="13">
      <c r="B11111" s="12">
        <f ca="1">IFERROR(__xludf.DUMMYFUNCTION("""COMPUTED_VALUE"""),3705241)</f>
        <v>3705241</v>
      </c>
      <c r="C11111" s="14">
        <f ca="1">IFERROR(__xludf.DUMMYFUNCTION("""COMPUTED_VALUE"""),1)</f>
        <v>1</v>
      </c>
      <c r="D11111" s="12" t="str">
        <f ca="1">IFERROR(__xludf.DUMMYFUNCTION("""COMPUTED_VALUE"""),"大木 優香")</f>
        <v>大木 優香</v>
      </c>
    </row>
    <row r="11112" spans="2:4" ht="13">
      <c r="B11112" s="12">
        <f ca="1">IFERROR(__xludf.DUMMYFUNCTION("""COMPUTED_VALUE"""),3705242)</f>
        <v>3705242</v>
      </c>
      <c r="C11112" s="14">
        <f ca="1">IFERROR(__xludf.DUMMYFUNCTION("""COMPUTED_VALUE"""),1)</f>
        <v>1</v>
      </c>
      <c r="D11112" s="12" t="str">
        <f ca="1">IFERROR(__xludf.DUMMYFUNCTION("""COMPUTED_VALUE"""),"大木 優香")</f>
        <v>大木 優香</v>
      </c>
    </row>
    <row r="11113" spans="2:4" ht="13">
      <c r="B11113" s="12">
        <f ca="1">IFERROR(__xludf.DUMMYFUNCTION("""COMPUTED_VALUE"""),3705243)</f>
        <v>3705243</v>
      </c>
      <c r="C11113" s="14">
        <f ca="1">IFERROR(__xludf.DUMMYFUNCTION("""COMPUTED_VALUE"""),0)</f>
        <v>0</v>
      </c>
      <c r="D11113" s="12" t="str">
        <f ca="1">IFERROR(__xludf.DUMMYFUNCTION("""COMPUTED_VALUE"""),"大木 優香")</f>
        <v>大木 優香</v>
      </c>
    </row>
    <row r="11114" spans="2:4" ht="13">
      <c r="B11114" s="12">
        <f ca="1">IFERROR(__xludf.DUMMYFUNCTION("""COMPUTED_VALUE"""),3705244)</f>
        <v>3705244</v>
      </c>
      <c r="C11114" s="14">
        <f ca="1">IFERROR(__xludf.DUMMYFUNCTION("""COMPUTED_VALUE"""),0)</f>
        <v>0</v>
      </c>
      <c r="D11114" s="12" t="str">
        <f ca="1">IFERROR(__xludf.DUMMYFUNCTION("""COMPUTED_VALUE"""),"大木 優香")</f>
        <v>大木 優香</v>
      </c>
    </row>
    <row r="11115" spans="2:4" ht="13">
      <c r="B11115" s="12">
        <f ca="1">IFERROR(__xludf.DUMMYFUNCTION("""COMPUTED_VALUE"""),3705245)</f>
        <v>3705245</v>
      </c>
      <c r="C11115" s="14">
        <f ca="1">IFERROR(__xludf.DUMMYFUNCTION("""COMPUTED_VALUE"""),0)</f>
        <v>0</v>
      </c>
      <c r="D11115" s="12" t="str">
        <f ca="1">IFERROR(__xludf.DUMMYFUNCTION("""COMPUTED_VALUE"""),"大木 優香")</f>
        <v>大木 優香</v>
      </c>
    </row>
    <row r="11116" spans="2:4" ht="13">
      <c r="B11116" s="12">
        <f ca="1">IFERROR(__xludf.DUMMYFUNCTION("""COMPUTED_VALUE"""),3705246)</f>
        <v>3705246</v>
      </c>
      <c r="C11116" s="14">
        <f ca="1">IFERROR(__xludf.DUMMYFUNCTION("""COMPUTED_VALUE"""),0)</f>
        <v>0</v>
      </c>
      <c r="D11116" s="12" t="str">
        <f ca="1">IFERROR(__xludf.DUMMYFUNCTION("""COMPUTED_VALUE"""),"大木 優香")</f>
        <v>大木 優香</v>
      </c>
    </row>
    <row r="11117" spans="2:4" ht="13">
      <c r="B11117" s="12">
        <f ca="1">IFERROR(__xludf.DUMMYFUNCTION("""COMPUTED_VALUE"""),3705248)</f>
        <v>3705248</v>
      </c>
      <c r="C11117" s="14">
        <f ca="1">IFERROR(__xludf.DUMMYFUNCTION("""COMPUTED_VALUE"""),3)</f>
        <v>3</v>
      </c>
      <c r="D11117" s="12" t="str">
        <f ca="1">IFERROR(__xludf.DUMMYFUNCTION("""COMPUTED_VALUE"""),"大木 優香")</f>
        <v>大木 優香</v>
      </c>
    </row>
    <row r="11118" spans="2:4" ht="13">
      <c r="B11118" s="12">
        <f ca="1">IFERROR(__xludf.DUMMYFUNCTION("""COMPUTED_VALUE"""),3705249)</f>
        <v>3705249</v>
      </c>
      <c r="C11118" s="14">
        <f ca="1">IFERROR(__xludf.DUMMYFUNCTION("""COMPUTED_VALUE"""),2)</f>
        <v>2</v>
      </c>
      <c r="D11118" s="12" t="str">
        <f ca="1">IFERROR(__xludf.DUMMYFUNCTION("""COMPUTED_VALUE"""),"大木 優香")</f>
        <v>大木 優香</v>
      </c>
    </row>
    <row r="11119" spans="2:4" ht="13">
      <c r="B11119" s="12">
        <f ca="1">IFERROR(__xludf.DUMMYFUNCTION("""COMPUTED_VALUE"""),3705251)</f>
        <v>3705251</v>
      </c>
      <c r="C11119" s="14">
        <f ca="1">IFERROR(__xludf.DUMMYFUNCTION("""COMPUTED_VALUE"""),8)</f>
        <v>8</v>
      </c>
      <c r="D11119" s="12" t="str">
        <f ca="1">IFERROR(__xludf.DUMMYFUNCTION("""COMPUTED_VALUE"""),"大木 優香")</f>
        <v>大木 優香</v>
      </c>
    </row>
    <row r="11120" spans="2:4" ht="13">
      <c r="B11120" s="12">
        <f ca="1">IFERROR(__xludf.DUMMYFUNCTION("""COMPUTED_VALUE"""),3705252)</f>
        <v>3705252</v>
      </c>
      <c r="C11120" s="14">
        <f ca="1">IFERROR(__xludf.DUMMYFUNCTION("""COMPUTED_VALUE"""),2)</f>
        <v>2</v>
      </c>
      <c r="D11120" s="12" t="str">
        <f ca="1">IFERROR(__xludf.DUMMYFUNCTION("""COMPUTED_VALUE"""),"大木 優香")</f>
        <v>大木 優香</v>
      </c>
    </row>
    <row r="11121" spans="2:4" ht="13">
      <c r="B11121" s="12">
        <f ca="1">IFERROR(__xludf.DUMMYFUNCTION("""COMPUTED_VALUE"""),3705253)</f>
        <v>3705253</v>
      </c>
      <c r="C11121" s="14">
        <f ca="1">IFERROR(__xludf.DUMMYFUNCTION("""COMPUTED_VALUE"""),0)</f>
        <v>0</v>
      </c>
      <c r="D11121" s="12" t="str">
        <f ca="1">IFERROR(__xludf.DUMMYFUNCTION("""COMPUTED_VALUE"""),"大木 優香")</f>
        <v>大木 優香</v>
      </c>
    </row>
    <row r="11122" spans="2:4" ht="13">
      <c r="B11122" s="12">
        <f ca="1">IFERROR(__xludf.DUMMYFUNCTION("""COMPUTED_VALUE"""),3705254)</f>
        <v>3705254</v>
      </c>
      <c r="C11122" s="14">
        <f ca="1">IFERROR(__xludf.DUMMYFUNCTION("""COMPUTED_VALUE"""),2)</f>
        <v>2</v>
      </c>
      <c r="D11122" s="12" t="str">
        <f ca="1">IFERROR(__xludf.DUMMYFUNCTION("""COMPUTED_VALUE"""),"大木 優香")</f>
        <v>大木 優香</v>
      </c>
    </row>
    <row r="11123" spans="2:4" ht="13">
      <c r="B11123" s="12">
        <f ca="1">IFERROR(__xludf.DUMMYFUNCTION("""COMPUTED_VALUE"""),3705255)</f>
        <v>3705255</v>
      </c>
      <c r="C11123" s="14">
        <f ca="1">IFERROR(__xludf.DUMMYFUNCTION("""COMPUTED_VALUE"""),0)</f>
        <v>0</v>
      </c>
      <c r="D11123" s="12" t="str">
        <f ca="1">IFERROR(__xludf.DUMMYFUNCTION("""COMPUTED_VALUE"""),"大木 優香")</f>
        <v>大木 優香</v>
      </c>
    </row>
    <row r="11124" spans="2:4" ht="13">
      <c r="B11124" s="12">
        <f ca="1">IFERROR(__xludf.DUMMYFUNCTION("""COMPUTED_VALUE"""),3705256)</f>
        <v>3705256</v>
      </c>
      <c r="C11124" s="14">
        <f ca="1">IFERROR(__xludf.DUMMYFUNCTION("""COMPUTED_VALUE"""),2)</f>
        <v>2</v>
      </c>
      <c r="D11124" s="12" t="str">
        <f ca="1">IFERROR(__xludf.DUMMYFUNCTION("""COMPUTED_VALUE"""),"大木 優香")</f>
        <v>大木 優香</v>
      </c>
    </row>
    <row r="11125" spans="2:4" ht="13">
      <c r="B11125" s="12">
        <f ca="1">IFERROR(__xludf.DUMMYFUNCTION("""COMPUTED_VALUE"""),3705258)</f>
        <v>3705258</v>
      </c>
      <c r="C11125" s="14">
        <f ca="1">IFERROR(__xludf.DUMMYFUNCTION("""COMPUTED_VALUE"""),9)</f>
        <v>9</v>
      </c>
      <c r="D11125" s="12" t="str">
        <f ca="1">IFERROR(__xludf.DUMMYFUNCTION("""COMPUTED_VALUE"""),"大木 優香")</f>
        <v>大木 優香</v>
      </c>
    </row>
    <row r="11126" spans="2:4" ht="13">
      <c r="B11126" s="12">
        <f ca="1">IFERROR(__xludf.DUMMYFUNCTION("""COMPUTED_VALUE"""),3705260)</f>
        <v>3705260</v>
      </c>
      <c r="C11126" s="14">
        <f ca="1">IFERROR(__xludf.DUMMYFUNCTION("""COMPUTED_VALUE"""),1)</f>
        <v>1</v>
      </c>
      <c r="D11126" s="12" t="str">
        <f ca="1">IFERROR(__xludf.DUMMYFUNCTION("""COMPUTED_VALUE"""),"大木 優香")</f>
        <v>大木 優香</v>
      </c>
    </row>
    <row r="11127" spans="2:4" ht="13">
      <c r="B11127" s="12">
        <f ca="1">IFERROR(__xludf.DUMMYFUNCTION("""COMPUTED_VALUE"""),3705261)</f>
        <v>3705261</v>
      </c>
      <c r="C11127" s="14">
        <f ca="1">IFERROR(__xludf.DUMMYFUNCTION("""COMPUTED_VALUE"""),10)</f>
        <v>10</v>
      </c>
      <c r="D11127" s="12" t="str">
        <f ca="1">IFERROR(__xludf.DUMMYFUNCTION("""COMPUTED_VALUE"""),"大木 優香")</f>
        <v>大木 優香</v>
      </c>
    </row>
    <row r="11128" spans="2:4" ht="13">
      <c r="B11128" s="12">
        <f ca="1">IFERROR(__xludf.DUMMYFUNCTION("""COMPUTED_VALUE"""),3705262)</f>
        <v>3705262</v>
      </c>
      <c r="C11128" s="14">
        <f ca="1">IFERROR(__xludf.DUMMYFUNCTION("""COMPUTED_VALUE"""),1)</f>
        <v>1</v>
      </c>
      <c r="D11128" s="12" t="str">
        <f ca="1">IFERROR(__xludf.DUMMYFUNCTION("""COMPUTED_VALUE"""),"大木 優香")</f>
        <v>大木 優香</v>
      </c>
    </row>
    <row r="11129" spans="2:4" ht="13">
      <c r="B11129" s="12">
        <f ca="1">IFERROR(__xludf.DUMMYFUNCTION("""COMPUTED_VALUE"""),3705263)</f>
        <v>3705263</v>
      </c>
      <c r="C11129" s="14">
        <f ca="1">IFERROR(__xludf.DUMMYFUNCTION("""COMPUTED_VALUE"""),0)</f>
        <v>0</v>
      </c>
      <c r="D11129" s="12" t="str">
        <f ca="1">IFERROR(__xludf.DUMMYFUNCTION("""COMPUTED_VALUE"""),"大木 優香")</f>
        <v>大木 優香</v>
      </c>
    </row>
    <row r="11130" spans="2:4" ht="13">
      <c r="B11130" s="12">
        <f ca="1">IFERROR(__xludf.DUMMYFUNCTION("""COMPUTED_VALUE"""),3705264)</f>
        <v>3705264</v>
      </c>
      <c r="C11130" s="14">
        <f ca="1">IFERROR(__xludf.DUMMYFUNCTION("""COMPUTED_VALUE"""),0)</f>
        <v>0</v>
      </c>
      <c r="D11130" s="12" t="str">
        <f ca="1">IFERROR(__xludf.DUMMYFUNCTION("""COMPUTED_VALUE"""),"大木 優香")</f>
        <v>大木 優香</v>
      </c>
    </row>
    <row r="11131" spans="2:4" ht="13">
      <c r="B11131" s="12">
        <f ca="1">IFERROR(__xludf.DUMMYFUNCTION("""COMPUTED_VALUE"""),3705265)</f>
        <v>3705265</v>
      </c>
      <c r="C11131" s="14">
        <f ca="1">IFERROR(__xludf.DUMMYFUNCTION("""COMPUTED_VALUE"""),0)</f>
        <v>0</v>
      </c>
      <c r="D11131" s="12" t="str">
        <f ca="1">IFERROR(__xludf.DUMMYFUNCTION("""COMPUTED_VALUE"""),"大木 優香")</f>
        <v>大木 優香</v>
      </c>
    </row>
    <row r="11132" spans="2:4" ht="13">
      <c r="B11132" s="12">
        <f ca="1">IFERROR(__xludf.DUMMYFUNCTION("""COMPUTED_VALUE"""),3705266)</f>
        <v>3705266</v>
      </c>
      <c r="C11132" s="14">
        <f ca="1">IFERROR(__xludf.DUMMYFUNCTION("""COMPUTED_VALUE"""),9)</f>
        <v>9</v>
      </c>
      <c r="D11132" s="12" t="str">
        <f ca="1">IFERROR(__xludf.DUMMYFUNCTION("""COMPUTED_VALUE"""),"大木 優香")</f>
        <v>大木 優香</v>
      </c>
    </row>
    <row r="11133" spans="2:4" ht="13">
      <c r="B11133" s="12">
        <f ca="1">IFERROR(__xludf.DUMMYFUNCTION("""COMPUTED_VALUE"""),3705267)</f>
        <v>3705267</v>
      </c>
      <c r="C11133" s="14">
        <f ca="1">IFERROR(__xludf.DUMMYFUNCTION("""COMPUTED_VALUE"""),3)</f>
        <v>3</v>
      </c>
      <c r="D11133" s="12" t="str">
        <f ca="1">IFERROR(__xludf.DUMMYFUNCTION("""COMPUTED_VALUE"""),"大木 優香")</f>
        <v>大木 優香</v>
      </c>
    </row>
    <row r="11134" spans="2:4" ht="13">
      <c r="B11134" s="12">
        <f ca="1">IFERROR(__xludf.DUMMYFUNCTION("""COMPUTED_VALUE"""),3705269)</f>
        <v>3705269</v>
      </c>
      <c r="C11134" s="14">
        <f ca="1">IFERROR(__xludf.DUMMYFUNCTION("""COMPUTED_VALUE"""),6)</f>
        <v>6</v>
      </c>
      <c r="D11134" s="12" t="str">
        <f ca="1">IFERROR(__xludf.DUMMYFUNCTION("""COMPUTED_VALUE"""),"大木 優香")</f>
        <v>大木 優香</v>
      </c>
    </row>
    <row r="11135" spans="2:4" ht="13">
      <c r="B11135" s="12">
        <f ca="1">IFERROR(__xludf.DUMMYFUNCTION("""COMPUTED_VALUE"""),3705270)</f>
        <v>3705270</v>
      </c>
      <c r="C11135" s="14">
        <f ca="1">IFERROR(__xludf.DUMMYFUNCTION("""COMPUTED_VALUE"""),0)</f>
        <v>0</v>
      </c>
      <c r="D11135" s="12" t="str">
        <f ca="1">IFERROR(__xludf.DUMMYFUNCTION("""COMPUTED_VALUE"""),"大木 優香")</f>
        <v>大木 優香</v>
      </c>
    </row>
    <row r="11136" spans="2:4" ht="13">
      <c r="B11136" s="12">
        <f ca="1">IFERROR(__xludf.DUMMYFUNCTION("""COMPUTED_VALUE"""),3705271)</f>
        <v>3705271</v>
      </c>
      <c r="C11136" s="14">
        <f ca="1">IFERROR(__xludf.DUMMYFUNCTION("""COMPUTED_VALUE"""),4)</f>
        <v>4</v>
      </c>
      <c r="D11136" s="12" t="str">
        <f ca="1">IFERROR(__xludf.DUMMYFUNCTION("""COMPUTED_VALUE"""),"大木 優香")</f>
        <v>大木 優香</v>
      </c>
    </row>
    <row r="11137" spans="2:4" ht="13">
      <c r="B11137" s="12">
        <f ca="1">IFERROR(__xludf.DUMMYFUNCTION("""COMPUTED_VALUE"""),3705272)</f>
        <v>3705272</v>
      </c>
      <c r="C11137" s="14">
        <f ca="1">IFERROR(__xludf.DUMMYFUNCTION("""COMPUTED_VALUE"""),16)</f>
        <v>16</v>
      </c>
      <c r="D11137" s="12" t="str">
        <f ca="1">IFERROR(__xludf.DUMMYFUNCTION("""COMPUTED_VALUE"""),"大木 優香")</f>
        <v>大木 優香</v>
      </c>
    </row>
    <row r="11138" spans="2:4" ht="13">
      <c r="B11138" s="12">
        <f ca="1">IFERROR(__xludf.DUMMYFUNCTION("""COMPUTED_VALUE"""),3705273)</f>
        <v>3705273</v>
      </c>
      <c r="C11138" s="14">
        <f ca="1">IFERROR(__xludf.DUMMYFUNCTION("""COMPUTED_VALUE"""),2)</f>
        <v>2</v>
      </c>
      <c r="D11138" s="12" t="str">
        <f ca="1">IFERROR(__xludf.DUMMYFUNCTION("""COMPUTED_VALUE"""),"大木 優香")</f>
        <v>大木 優香</v>
      </c>
    </row>
    <row r="11139" spans="2:4" ht="13">
      <c r="B11139" s="12">
        <f ca="1">IFERROR(__xludf.DUMMYFUNCTION("""COMPUTED_VALUE"""),3705274)</f>
        <v>3705274</v>
      </c>
      <c r="C11139" s="14">
        <f ca="1">IFERROR(__xludf.DUMMYFUNCTION("""COMPUTED_VALUE"""),1)</f>
        <v>1</v>
      </c>
      <c r="D11139" s="12" t="str">
        <f ca="1">IFERROR(__xludf.DUMMYFUNCTION("""COMPUTED_VALUE"""),"大木 優香")</f>
        <v>大木 優香</v>
      </c>
    </row>
    <row r="11140" spans="2:4" ht="13">
      <c r="B11140" s="12">
        <f ca="1">IFERROR(__xludf.DUMMYFUNCTION("""COMPUTED_VALUE"""),3705275)</f>
        <v>3705275</v>
      </c>
      <c r="C11140" s="14">
        <f ca="1">IFERROR(__xludf.DUMMYFUNCTION("""COMPUTED_VALUE"""),0)</f>
        <v>0</v>
      </c>
      <c r="D11140" s="12" t="str">
        <f ca="1">IFERROR(__xludf.DUMMYFUNCTION("""COMPUTED_VALUE"""),"大木 優香")</f>
        <v>大木 優香</v>
      </c>
    </row>
    <row r="11141" spans="2:4" ht="13">
      <c r="B11141" s="12">
        <f ca="1">IFERROR(__xludf.DUMMYFUNCTION("""COMPUTED_VALUE"""),3705276)</f>
        <v>3705276</v>
      </c>
      <c r="C11141" s="14">
        <f ca="1">IFERROR(__xludf.DUMMYFUNCTION("""COMPUTED_VALUE"""),0)</f>
        <v>0</v>
      </c>
      <c r="D11141" s="12" t="str">
        <f ca="1">IFERROR(__xludf.DUMMYFUNCTION("""COMPUTED_VALUE"""),"大木 優香")</f>
        <v>大木 優香</v>
      </c>
    </row>
    <row r="11142" spans="2:4" ht="13">
      <c r="B11142" s="12">
        <f ca="1">IFERROR(__xludf.DUMMYFUNCTION("""COMPUTED_VALUE"""),3705277)</f>
        <v>3705277</v>
      </c>
      <c r="C11142" s="14">
        <f ca="1">IFERROR(__xludf.DUMMYFUNCTION("""COMPUTED_VALUE"""),0)</f>
        <v>0</v>
      </c>
      <c r="D11142" s="12" t="str">
        <f ca="1">IFERROR(__xludf.DUMMYFUNCTION("""COMPUTED_VALUE"""),"大木 優香")</f>
        <v>大木 優香</v>
      </c>
    </row>
    <row r="11143" spans="2:4" ht="13">
      <c r="B11143" s="12">
        <f ca="1">IFERROR(__xludf.DUMMYFUNCTION("""COMPUTED_VALUE"""),3705278)</f>
        <v>3705278</v>
      </c>
      <c r="C11143" s="14">
        <f ca="1">IFERROR(__xludf.DUMMYFUNCTION("""COMPUTED_VALUE"""),0)</f>
        <v>0</v>
      </c>
      <c r="D11143" s="12" t="str">
        <f ca="1">IFERROR(__xludf.DUMMYFUNCTION("""COMPUTED_VALUE"""),"大木 優香")</f>
        <v>大木 優香</v>
      </c>
    </row>
    <row r="11144" spans="2:4" ht="13">
      <c r="B11144" s="12">
        <f ca="1">IFERROR(__xludf.DUMMYFUNCTION("""COMPUTED_VALUE"""),3705279)</f>
        <v>3705279</v>
      </c>
      <c r="C11144" s="14">
        <f ca="1">IFERROR(__xludf.DUMMYFUNCTION("""COMPUTED_VALUE"""),0)</f>
        <v>0</v>
      </c>
      <c r="D11144" s="12" t="str">
        <f ca="1">IFERROR(__xludf.DUMMYFUNCTION("""COMPUTED_VALUE"""),"大木 優香")</f>
        <v>大木 優香</v>
      </c>
    </row>
    <row r="11145" spans="2:4" ht="13">
      <c r="B11145" s="12">
        <f ca="1">IFERROR(__xludf.DUMMYFUNCTION("""COMPUTED_VALUE"""),3705280)</f>
        <v>3705280</v>
      </c>
      <c r="C11145" s="14">
        <f ca="1">IFERROR(__xludf.DUMMYFUNCTION("""COMPUTED_VALUE"""),1)</f>
        <v>1</v>
      </c>
      <c r="D11145" s="12" t="str">
        <f ca="1">IFERROR(__xludf.DUMMYFUNCTION("""COMPUTED_VALUE"""),"大木 優香")</f>
        <v>大木 優香</v>
      </c>
    </row>
    <row r="11146" spans="2:4" ht="13">
      <c r="B11146" s="12">
        <f ca="1">IFERROR(__xludf.DUMMYFUNCTION("""COMPUTED_VALUE"""),3705281)</f>
        <v>3705281</v>
      </c>
      <c r="C11146" s="14">
        <f ca="1">IFERROR(__xludf.DUMMYFUNCTION("""COMPUTED_VALUE"""),6)</f>
        <v>6</v>
      </c>
      <c r="D11146" s="12" t="str">
        <f ca="1">IFERROR(__xludf.DUMMYFUNCTION("""COMPUTED_VALUE"""),"大木 優香")</f>
        <v>大木 優香</v>
      </c>
    </row>
    <row r="11147" spans="2:4" ht="13">
      <c r="B11147" s="12">
        <f ca="1">IFERROR(__xludf.DUMMYFUNCTION("""COMPUTED_VALUE"""),3705282)</f>
        <v>3705282</v>
      </c>
      <c r="C11147" s="14">
        <f ca="1">IFERROR(__xludf.DUMMYFUNCTION("""COMPUTED_VALUE"""),0)</f>
        <v>0</v>
      </c>
      <c r="D11147" s="12" t="str">
        <f ca="1">IFERROR(__xludf.DUMMYFUNCTION("""COMPUTED_VALUE"""),"大木 優香")</f>
        <v>大木 優香</v>
      </c>
    </row>
    <row r="11148" spans="2:4" ht="13">
      <c r="B11148" s="12">
        <f ca="1">IFERROR(__xludf.DUMMYFUNCTION("""COMPUTED_VALUE"""),3706401)</f>
        <v>3706401</v>
      </c>
      <c r="C11148" s="14">
        <f ca="1">IFERROR(__xludf.DUMMYFUNCTION("""COMPUTED_VALUE"""),0)</f>
        <v>0</v>
      </c>
      <c r="D11148" s="12" t="str">
        <f ca="1">IFERROR(__xludf.DUMMYFUNCTION("""COMPUTED_VALUE"""),"大木 優香")</f>
        <v>大木 優香</v>
      </c>
    </row>
    <row r="11149" spans="2:4" ht="13">
      <c r="B11149" s="12">
        <f ca="1">IFERROR(__xludf.DUMMYFUNCTION("""COMPUTED_VALUE"""),3706402)</f>
        <v>3706402</v>
      </c>
      <c r="C11149" s="14">
        <f ca="1">IFERROR(__xludf.DUMMYFUNCTION("""COMPUTED_VALUE"""),0)</f>
        <v>0</v>
      </c>
      <c r="D11149" s="12" t="str">
        <f ca="1">IFERROR(__xludf.DUMMYFUNCTION("""COMPUTED_VALUE"""),"大木 優香")</f>
        <v>大木 優香</v>
      </c>
    </row>
    <row r="11150" spans="2:4" ht="13">
      <c r="B11150" s="12">
        <f ca="1">IFERROR(__xludf.DUMMYFUNCTION("""COMPUTED_VALUE"""),3706405)</f>
        <v>3706405</v>
      </c>
      <c r="C11150" s="14">
        <f ca="1">IFERROR(__xludf.DUMMYFUNCTION("""COMPUTED_VALUE"""),0)</f>
        <v>0</v>
      </c>
      <c r="D11150" s="12" t="str">
        <f ca="1">IFERROR(__xludf.DUMMYFUNCTION("""COMPUTED_VALUE"""),"大木 優香")</f>
        <v>大木 優香</v>
      </c>
    </row>
    <row r="11151" spans="2:4" ht="13">
      <c r="B11151" s="12">
        <f ca="1">IFERROR(__xludf.DUMMYFUNCTION("""COMPUTED_VALUE"""),3706407)</f>
        <v>3706407</v>
      </c>
      <c r="C11151" s="14">
        <f ca="1">IFERROR(__xludf.DUMMYFUNCTION("""COMPUTED_VALUE"""),0)</f>
        <v>0</v>
      </c>
      <c r="D11151" s="12" t="str">
        <f ca="1">IFERROR(__xludf.DUMMYFUNCTION("""COMPUTED_VALUE"""),"大木 優香")</f>
        <v>大木 優香</v>
      </c>
    </row>
    <row r="11152" spans="2:4" ht="13">
      <c r="B11152" s="12">
        <f ca="1">IFERROR(__xludf.DUMMYFUNCTION("""COMPUTED_VALUE"""),3706408)</f>
        <v>3706408</v>
      </c>
      <c r="C11152" s="14">
        <f ca="1">IFERROR(__xludf.DUMMYFUNCTION("""COMPUTED_VALUE"""),0)</f>
        <v>0</v>
      </c>
      <c r="D11152" s="12" t="str">
        <f ca="1">IFERROR(__xludf.DUMMYFUNCTION("""COMPUTED_VALUE"""),"大木 優香")</f>
        <v>大木 優香</v>
      </c>
    </row>
    <row r="11153" spans="2:4" ht="13">
      <c r="B11153" s="12">
        <f ca="1">IFERROR(__xludf.DUMMYFUNCTION("""COMPUTED_VALUE"""),3706411)</f>
        <v>3706411</v>
      </c>
      <c r="C11153" s="14">
        <f ca="1">IFERROR(__xludf.DUMMYFUNCTION("""COMPUTED_VALUE"""),0)</f>
        <v>0</v>
      </c>
      <c r="D11153" s="12" t="str">
        <f ca="1">IFERROR(__xludf.DUMMYFUNCTION("""COMPUTED_VALUE"""),"大木 優香")</f>
        <v>大木 優香</v>
      </c>
    </row>
    <row r="11154" spans="2:4" ht="13">
      <c r="B11154" s="12">
        <f ca="1">IFERROR(__xludf.DUMMYFUNCTION("""COMPUTED_VALUE"""),3706414)</f>
        <v>3706414</v>
      </c>
      <c r="C11154" s="14">
        <f ca="1">IFERROR(__xludf.DUMMYFUNCTION("""COMPUTED_VALUE"""),0)</f>
        <v>0</v>
      </c>
      <c r="D11154" s="12" t="str">
        <f ca="1">IFERROR(__xludf.DUMMYFUNCTION("""COMPUTED_VALUE"""),"大木 優香")</f>
        <v>大木 優香</v>
      </c>
    </row>
    <row r="11155" spans="2:4" ht="13">
      <c r="B11155" s="12">
        <f ca="1">IFERROR(__xludf.DUMMYFUNCTION("""COMPUTED_VALUE"""),3706415)</f>
        <v>3706415</v>
      </c>
      <c r="C11155" s="14">
        <f ca="1">IFERROR(__xludf.DUMMYFUNCTION("""COMPUTED_VALUE"""),0)</f>
        <v>0</v>
      </c>
      <c r="D11155" s="12" t="str">
        <f ca="1">IFERROR(__xludf.DUMMYFUNCTION("""COMPUTED_VALUE"""),"大木 優香")</f>
        <v>大木 優香</v>
      </c>
    </row>
    <row r="11156" spans="2:4" ht="13">
      <c r="B11156" s="12">
        <f ca="1">IFERROR(__xludf.DUMMYFUNCTION("""COMPUTED_VALUE"""),3706416)</f>
        <v>3706416</v>
      </c>
      <c r="C11156" s="14">
        <f ca="1">IFERROR(__xludf.DUMMYFUNCTION("""COMPUTED_VALUE"""),0)</f>
        <v>0</v>
      </c>
      <c r="D11156" s="12" t="str">
        <f ca="1">IFERROR(__xludf.DUMMYFUNCTION("""COMPUTED_VALUE"""),"大木 優香")</f>
        <v>大木 優香</v>
      </c>
    </row>
    <row r="11157" spans="2:4" ht="13">
      <c r="B11157" s="12">
        <f ca="1">IFERROR(__xludf.DUMMYFUNCTION("""COMPUTED_VALUE"""),3706418)</f>
        <v>3706418</v>
      </c>
      <c r="C11157" s="14">
        <f ca="1">IFERROR(__xludf.DUMMYFUNCTION("""COMPUTED_VALUE"""),0)</f>
        <v>0</v>
      </c>
      <c r="D11157" s="12" t="str">
        <f ca="1">IFERROR(__xludf.DUMMYFUNCTION("""COMPUTED_VALUE"""),"大木 優香")</f>
        <v>大木 優香</v>
      </c>
    </row>
    <row r="11158" spans="2:4" ht="13">
      <c r="B11158" s="12">
        <f ca="1">IFERROR(__xludf.DUMMYFUNCTION("""COMPUTED_VALUE"""),3706420)</f>
        <v>3706420</v>
      </c>
      <c r="C11158" s="14">
        <f ca="1">IFERROR(__xludf.DUMMYFUNCTION("""COMPUTED_VALUE"""),0)</f>
        <v>0</v>
      </c>
      <c r="D11158" s="12" t="str">
        <f ca="1">IFERROR(__xludf.DUMMYFUNCTION("""COMPUTED_VALUE"""),"大木 優香")</f>
        <v>大木 優香</v>
      </c>
    </row>
    <row r="11159" spans="2:4" ht="13">
      <c r="B11159" s="12">
        <f ca="1">IFERROR(__xludf.DUMMYFUNCTION("""COMPUTED_VALUE"""),3706421)</f>
        <v>3706421</v>
      </c>
      <c r="C11159" s="14">
        <f ca="1">IFERROR(__xludf.DUMMYFUNCTION("""COMPUTED_VALUE"""),0)</f>
        <v>0</v>
      </c>
      <c r="D11159" s="12" t="str">
        <f ca="1">IFERROR(__xludf.DUMMYFUNCTION("""COMPUTED_VALUE"""),"大木 優香")</f>
        <v>大木 優香</v>
      </c>
    </row>
    <row r="11160" spans="2:4" ht="13">
      <c r="B11160" s="12">
        <f ca="1">IFERROR(__xludf.DUMMYFUNCTION("""COMPUTED_VALUE"""),3706423)</f>
        <v>3706423</v>
      </c>
      <c r="C11160" s="14">
        <f ca="1">IFERROR(__xludf.DUMMYFUNCTION("""COMPUTED_VALUE"""),0)</f>
        <v>0</v>
      </c>
      <c r="D11160" s="12" t="str">
        <f ca="1">IFERROR(__xludf.DUMMYFUNCTION("""COMPUTED_VALUE"""),"大木 優香")</f>
        <v>大木 優香</v>
      </c>
    </row>
    <row r="11161" spans="2:4" ht="13">
      <c r="B11161" s="12">
        <f ca="1">IFERROR(__xludf.DUMMYFUNCTION("""COMPUTED_VALUE"""),3706424)</f>
        <v>3706424</v>
      </c>
      <c r="C11161" s="14">
        <f ca="1">IFERROR(__xludf.DUMMYFUNCTION("""COMPUTED_VALUE"""),0)</f>
        <v>0</v>
      </c>
      <c r="D11161" s="12" t="str">
        <f ca="1">IFERROR(__xludf.DUMMYFUNCTION("""COMPUTED_VALUE"""),"大木 優香")</f>
        <v>大木 優香</v>
      </c>
    </row>
    <row r="11162" spans="2:4" ht="13">
      <c r="B11162" s="12">
        <f ca="1">IFERROR(__xludf.DUMMYFUNCTION("""COMPUTED_VALUE"""),3706425)</f>
        <v>3706425</v>
      </c>
      <c r="C11162" s="14">
        <f ca="1">IFERROR(__xludf.DUMMYFUNCTION("""COMPUTED_VALUE"""),0)</f>
        <v>0</v>
      </c>
      <c r="D11162" s="12" t="str">
        <f ca="1">IFERROR(__xludf.DUMMYFUNCTION("""COMPUTED_VALUE"""),"大木 優香")</f>
        <v>大木 優香</v>
      </c>
    </row>
    <row r="11163" spans="2:4" ht="13">
      <c r="B11163" s="12">
        <f ca="1">IFERROR(__xludf.DUMMYFUNCTION("""COMPUTED_VALUE"""),3706426)</f>
        <v>3706426</v>
      </c>
      <c r="C11163" s="14">
        <f ca="1">IFERROR(__xludf.DUMMYFUNCTION("""COMPUTED_VALUE"""),0)</f>
        <v>0</v>
      </c>
      <c r="D11163" s="12" t="str">
        <f ca="1">IFERROR(__xludf.DUMMYFUNCTION("""COMPUTED_VALUE"""),"大木 優香")</f>
        <v>大木 優香</v>
      </c>
    </row>
    <row r="11164" spans="2:4" ht="13">
      <c r="B11164" s="12">
        <f ca="1">IFERROR(__xludf.DUMMYFUNCTION("""COMPUTED_VALUE"""),3706428)</f>
        <v>3706428</v>
      </c>
      <c r="C11164" s="14">
        <f ca="1">IFERROR(__xludf.DUMMYFUNCTION("""COMPUTED_VALUE"""),0)</f>
        <v>0</v>
      </c>
      <c r="D11164" s="12" t="str">
        <f ca="1">IFERROR(__xludf.DUMMYFUNCTION("""COMPUTED_VALUE"""),"大木 優香")</f>
        <v>大木 優香</v>
      </c>
    </row>
    <row r="11165" spans="2:4" ht="13">
      <c r="B11165" s="12">
        <f ca="1">IFERROR(__xludf.DUMMYFUNCTION("""COMPUTED_VALUE"""),3706429)</f>
        <v>3706429</v>
      </c>
      <c r="C11165" s="14">
        <f ca="1">IFERROR(__xludf.DUMMYFUNCTION("""COMPUTED_VALUE"""),0)</f>
        <v>0</v>
      </c>
      <c r="D11165" s="12" t="str">
        <f ca="1">IFERROR(__xludf.DUMMYFUNCTION("""COMPUTED_VALUE"""),"大木 優香")</f>
        <v>大木 優香</v>
      </c>
    </row>
    <row r="11166" spans="2:4" ht="13">
      <c r="B11166" s="12">
        <f ca="1">IFERROR(__xludf.DUMMYFUNCTION("""COMPUTED_VALUE"""),3706431)</f>
        <v>3706431</v>
      </c>
      <c r="C11166" s="14">
        <f ca="1">IFERROR(__xludf.DUMMYFUNCTION("""COMPUTED_VALUE"""),0)</f>
        <v>0</v>
      </c>
      <c r="D11166" s="12" t="str">
        <f ca="1">IFERROR(__xludf.DUMMYFUNCTION("""COMPUTED_VALUE"""),"大木 優香")</f>
        <v>大木 優香</v>
      </c>
    </row>
    <row r="11167" spans="2:4" ht="13">
      <c r="B11167" s="12">
        <f ca="1">IFERROR(__xludf.DUMMYFUNCTION("""COMPUTED_VALUE"""),3706434)</f>
        <v>3706434</v>
      </c>
      <c r="C11167" s="14">
        <f ca="1">IFERROR(__xludf.DUMMYFUNCTION("""COMPUTED_VALUE"""),0)</f>
        <v>0</v>
      </c>
      <c r="D11167" s="12" t="str">
        <f ca="1">IFERROR(__xludf.DUMMYFUNCTION("""COMPUTED_VALUE"""),"大木 優香")</f>
        <v>大木 優香</v>
      </c>
    </row>
    <row r="11168" spans="2:4" ht="13">
      <c r="B11168" s="12">
        <f ca="1">IFERROR(__xludf.DUMMYFUNCTION("""COMPUTED_VALUE"""),3706436)</f>
        <v>3706436</v>
      </c>
      <c r="C11168" s="14">
        <f ca="1">IFERROR(__xludf.DUMMYFUNCTION("""COMPUTED_VALUE"""),0)</f>
        <v>0</v>
      </c>
      <c r="D11168" s="12" t="str">
        <f ca="1">IFERROR(__xludf.DUMMYFUNCTION("""COMPUTED_VALUE"""),"大木 優香")</f>
        <v>大木 優香</v>
      </c>
    </row>
    <row r="11169" spans="2:4" ht="13">
      <c r="B11169" s="12">
        <f ca="1">IFERROR(__xludf.DUMMYFUNCTION("""COMPUTED_VALUE"""),3706440)</f>
        <v>3706440</v>
      </c>
      <c r="C11169" s="14">
        <f ca="1">IFERROR(__xludf.DUMMYFUNCTION("""COMPUTED_VALUE"""),0)</f>
        <v>0</v>
      </c>
      <c r="D11169" s="12" t="str">
        <f ca="1">IFERROR(__xludf.DUMMYFUNCTION("""COMPUTED_VALUE"""),"大木 優香")</f>
        <v>大木 優香</v>
      </c>
    </row>
    <row r="11170" spans="2:4" ht="13">
      <c r="B11170" s="12">
        <f ca="1">IFERROR(__xludf.DUMMYFUNCTION("""COMPUTED_VALUE"""),3706442)</f>
        <v>3706442</v>
      </c>
      <c r="C11170" s="14">
        <f ca="1">IFERROR(__xludf.DUMMYFUNCTION("""COMPUTED_VALUE"""),0)</f>
        <v>0</v>
      </c>
      <c r="D11170" s="12" t="str">
        <f ca="1">IFERROR(__xludf.DUMMYFUNCTION("""COMPUTED_VALUE"""),"大木 優香")</f>
        <v>大木 優香</v>
      </c>
    </row>
    <row r="11171" spans="2:4" ht="13">
      <c r="B11171" s="12">
        <f ca="1">IFERROR(__xludf.DUMMYFUNCTION("""COMPUTED_VALUE"""),3706443)</f>
        <v>3706443</v>
      </c>
      <c r="C11171" s="14">
        <f ca="1">IFERROR(__xludf.DUMMYFUNCTION("""COMPUTED_VALUE"""),0)</f>
        <v>0</v>
      </c>
      <c r="D11171" s="12" t="str">
        <f ca="1">IFERROR(__xludf.DUMMYFUNCTION("""COMPUTED_VALUE"""),"大木 優香")</f>
        <v>大木 優香</v>
      </c>
    </row>
    <row r="11172" spans="2:4" ht="13">
      <c r="B11172" s="12">
        <f ca="1">IFERROR(__xludf.DUMMYFUNCTION("""COMPUTED_VALUE"""),3706448)</f>
        <v>3706448</v>
      </c>
      <c r="C11172" s="14">
        <f ca="1">IFERROR(__xludf.DUMMYFUNCTION("""COMPUTED_VALUE"""),0)</f>
        <v>0</v>
      </c>
      <c r="D11172" s="12" t="str">
        <f ca="1">IFERROR(__xludf.DUMMYFUNCTION("""COMPUTED_VALUE"""),"大木 優香")</f>
        <v>大木 優香</v>
      </c>
    </row>
    <row r="11173" spans="2:4" ht="13">
      <c r="B11173" s="12">
        <f ca="1">IFERROR(__xludf.DUMMYFUNCTION("""COMPUTED_VALUE"""),3706451)</f>
        <v>3706451</v>
      </c>
      <c r="C11173" s="14">
        <f ca="1">IFERROR(__xludf.DUMMYFUNCTION("""COMPUTED_VALUE"""),0)</f>
        <v>0</v>
      </c>
      <c r="D11173" s="12" t="str">
        <f ca="1">IFERROR(__xludf.DUMMYFUNCTION("""COMPUTED_VALUE"""),"大木 優香")</f>
        <v>大木 優香</v>
      </c>
    </row>
    <row r="11174" spans="2:4" ht="13">
      <c r="B11174" s="12">
        <f ca="1">IFERROR(__xludf.DUMMYFUNCTION("""COMPUTED_VALUE"""),3706454)</f>
        <v>3706454</v>
      </c>
      <c r="C11174" s="14">
        <f ca="1">IFERROR(__xludf.DUMMYFUNCTION("""COMPUTED_VALUE"""),0)</f>
        <v>0</v>
      </c>
      <c r="D11174" s="12" t="str">
        <f ca="1">IFERROR(__xludf.DUMMYFUNCTION("""COMPUTED_VALUE"""),"大木 優香")</f>
        <v>大木 優香</v>
      </c>
    </row>
    <row r="11175" spans="2:4" ht="13">
      <c r="B11175" s="12">
        <f ca="1">IFERROR(__xludf.DUMMYFUNCTION("""COMPUTED_VALUE"""),3706458)</f>
        <v>3706458</v>
      </c>
      <c r="C11175" s="14">
        <f ca="1">IFERROR(__xludf.DUMMYFUNCTION("""COMPUTED_VALUE"""),0)</f>
        <v>0</v>
      </c>
      <c r="D11175" s="12" t="str">
        <f ca="1">IFERROR(__xludf.DUMMYFUNCTION("""COMPUTED_VALUE"""),"大木 優香")</f>
        <v>大木 優香</v>
      </c>
    </row>
    <row r="11176" spans="2:4" ht="13">
      <c r="B11176" s="12">
        <f ca="1">IFERROR(__xludf.DUMMYFUNCTION("""COMPUTED_VALUE"""),3706460)</f>
        <v>3706460</v>
      </c>
      <c r="C11176" s="14">
        <f ca="1">IFERROR(__xludf.DUMMYFUNCTION("""COMPUTED_VALUE"""),0)</f>
        <v>0</v>
      </c>
      <c r="D11176" s="12" t="str">
        <f ca="1">IFERROR(__xludf.DUMMYFUNCTION("""COMPUTED_VALUE"""),"大木 優香")</f>
        <v>大木 優香</v>
      </c>
    </row>
    <row r="11177" spans="2:4" ht="13">
      <c r="B11177" s="12">
        <f ca="1">IFERROR(__xludf.DUMMYFUNCTION("""COMPUTED_VALUE"""),3706462)</f>
        <v>3706462</v>
      </c>
      <c r="C11177" s="14">
        <f ca="1">IFERROR(__xludf.DUMMYFUNCTION("""COMPUTED_VALUE"""),0)</f>
        <v>0</v>
      </c>
      <c r="D11177" s="12" t="str">
        <f ca="1">IFERROR(__xludf.DUMMYFUNCTION("""COMPUTED_VALUE"""),"大木 優香")</f>
        <v>大木 優香</v>
      </c>
    </row>
    <row r="11178" spans="2:4" ht="13">
      <c r="B11178" s="12">
        <f ca="1">IFERROR(__xludf.DUMMYFUNCTION("""COMPUTED_VALUE"""),3706466)</f>
        <v>3706466</v>
      </c>
      <c r="C11178" s="14">
        <f ca="1">IFERROR(__xludf.DUMMYFUNCTION("""COMPUTED_VALUE"""),0)</f>
        <v>0</v>
      </c>
      <c r="D11178" s="12" t="str">
        <f ca="1">IFERROR(__xludf.DUMMYFUNCTION("""COMPUTED_VALUE"""),"大木 優香")</f>
        <v>大木 優香</v>
      </c>
    </row>
    <row r="11179" spans="2:4" ht="13">
      <c r="B11179" s="12">
        <f ca="1">IFERROR(__xludf.DUMMYFUNCTION("""COMPUTED_VALUE"""),3706467)</f>
        <v>3706467</v>
      </c>
      <c r="C11179" s="14">
        <f ca="1">IFERROR(__xludf.DUMMYFUNCTION("""COMPUTED_VALUE"""),0)</f>
        <v>0</v>
      </c>
      <c r="D11179" s="12" t="str">
        <f ca="1">IFERROR(__xludf.DUMMYFUNCTION("""COMPUTED_VALUE"""),"大木 優香")</f>
        <v>大木 優香</v>
      </c>
    </row>
    <row r="11180" spans="2:4" ht="13">
      <c r="B11180" s="12">
        <f ca="1">IFERROR(__xludf.DUMMYFUNCTION("""COMPUTED_VALUE"""),3706471)</f>
        <v>3706471</v>
      </c>
      <c r="C11180" s="14">
        <f ca="1">IFERROR(__xludf.DUMMYFUNCTION("""COMPUTED_VALUE"""),0)</f>
        <v>0</v>
      </c>
      <c r="D11180" s="12" t="str">
        <f ca="1">IFERROR(__xludf.DUMMYFUNCTION("""COMPUTED_VALUE"""),"大木 優香")</f>
        <v>大木 優香</v>
      </c>
    </row>
    <row r="11181" spans="2:4" ht="13">
      <c r="B11181" s="12">
        <f ca="1">IFERROR(__xludf.DUMMYFUNCTION("""COMPUTED_VALUE"""),3706472)</f>
        <v>3706472</v>
      </c>
      <c r="C11181" s="14">
        <f ca="1">IFERROR(__xludf.DUMMYFUNCTION("""COMPUTED_VALUE"""),0)</f>
        <v>0</v>
      </c>
      <c r="D11181" s="12" t="str">
        <f ca="1">IFERROR(__xludf.DUMMYFUNCTION("""COMPUTED_VALUE"""),"大木 優香")</f>
        <v>大木 優香</v>
      </c>
    </row>
    <row r="11182" spans="2:4" ht="13">
      <c r="B11182" s="12">
        <f ca="1">IFERROR(__xludf.DUMMYFUNCTION("""COMPUTED_VALUE"""),3706473)</f>
        <v>3706473</v>
      </c>
      <c r="C11182" s="14">
        <f ca="1">IFERROR(__xludf.DUMMYFUNCTION("""COMPUTED_VALUE"""),0)</f>
        <v>0</v>
      </c>
      <c r="D11182" s="12" t="str">
        <f ca="1">IFERROR(__xludf.DUMMYFUNCTION("""COMPUTED_VALUE"""),"大木 優香")</f>
        <v>大木 優香</v>
      </c>
    </row>
    <row r="11183" spans="2:4" ht="13">
      <c r="B11183" s="12">
        <f ca="1">IFERROR(__xludf.DUMMYFUNCTION("""COMPUTED_VALUE"""),3706475)</f>
        <v>3706475</v>
      </c>
      <c r="C11183" s="14">
        <f ca="1">IFERROR(__xludf.DUMMYFUNCTION("""COMPUTED_VALUE"""),0)</f>
        <v>0</v>
      </c>
      <c r="D11183" s="12" t="str">
        <f ca="1">IFERROR(__xludf.DUMMYFUNCTION("""COMPUTED_VALUE"""),"大木 優香")</f>
        <v>大木 優香</v>
      </c>
    </row>
    <row r="11184" spans="2:4" ht="13">
      <c r="B11184" s="12">
        <f ca="1">IFERROR(__xludf.DUMMYFUNCTION("""COMPUTED_VALUE"""),3706476)</f>
        <v>3706476</v>
      </c>
      <c r="C11184" s="14">
        <f ca="1">IFERROR(__xludf.DUMMYFUNCTION("""COMPUTED_VALUE"""),0)</f>
        <v>0</v>
      </c>
      <c r="D11184" s="12" t="str">
        <f ca="1">IFERROR(__xludf.DUMMYFUNCTION("""COMPUTED_VALUE"""),"大木 優香")</f>
        <v>大木 優香</v>
      </c>
    </row>
    <row r="11185" spans="2:4" ht="13">
      <c r="B11185" s="12">
        <f ca="1">IFERROR(__xludf.DUMMYFUNCTION("""COMPUTED_VALUE"""),3706479)</f>
        <v>3706479</v>
      </c>
      <c r="C11185" s="14">
        <f ca="1">IFERROR(__xludf.DUMMYFUNCTION("""COMPUTED_VALUE"""),0)</f>
        <v>0</v>
      </c>
      <c r="D11185" s="12" t="str">
        <f ca="1">IFERROR(__xludf.DUMMYFUNCTION("""COMPUTED_VALUE"""),"大木 優香")</f>
        <v>大木 優香</v>
      </c>
    </row>
    <row r="11186" spans="2:4" ht="13">
      <c r="B11186" s="12">
        <f ca="1">IFERROR(__xludf.DUMMYFUNCTION("""COMPUTED_VALUE"""),3706482)</f>
        <v>3706482</v>
      </c>
      <c r="C11186" s="14">
        <f ca="1">IFERROR(__xludf.DUMMYFUNCTION("""COMPUTED_VALUE"""),0)</f>
        <v>0</v>
      </c>
      <c r="D11186" s="12" t="str">
        <f ca="1">IFERROR(__xludf.DUMMYFUNCTION("""COMPUTED_VALUE"""),"大木 優香")</f>
        <v>大木 優香</v>
      </c>
    </row>
    <row r="11187" spans="2:4" ht="13">
      <c r="B11187" s="12">
        <f ca="1">IFERROR(__xludf.DUMMYFUNCTION("""COMPUTED_VALUE"""),3706483)</f>
        <v>3706483</v>
      </c>
      <c r="C11187" s="14">
        <f ca="1">IFERROR(__xludf.DUMMYFUNCTION("""COMPUTED_VALUE"""),0)</f>
        <v>0</v>
      </c>
      <c r="D11187" s="12" t="str">
        <f ca="1">IFERROR(__xludf.DUMMYFUNCTION("""COMPUTED_VALUE"""),"大木 優香")</f>
        <v>大木 優香</v>
      </c>
    </row>
    <row r="11188" spans="2:4" ht="13">
      <c r="B11188" s="12">
        <f ca="1">IFERROR(__xludf.DUMMYFUNCTION("""COMPUTED_VALUE"""),3706485)</f>
        <v>3706485</v>
      </c>
      <c r="C11188" s="14">
        <f ca="1">IFERROR(__xludf.DUMMYFUNCTION("""COMPUTED_VALUE"""),0)</f>
        <v>0</v>
      </c>
      <c r="D11188" s="12" t="str">
        <f ca="1">IFERROR(__xludf.DUMMYFUNCTION("""COMPUTED_VALUE"""),"大木 優香")</f>
        <v>大木 優香</v>
      </c>
    </row>
    <row r="11189" spans="2:4" ht="13">
      <c r="B11189" s="12">
        <f ca="1">IFERROR(__xludf.DUMMYFUNCTION("""COMPUTED_VALUE"""),3706486)</f>
        <v>3706486</v>
      </c>
      <c r="C11189" s="14">
        <f ca="1">IFERROR(__xludf.DUMMYFUNCTION("""COMPUTED_VALUE"""),0)</f>
        <v>0</v>
      </c>
      <c r="D11189" s="12" t="str">
        <f ca="1">IFERROR(__xludf.DUMMYFUNCTION("""COMPUTED_VALUE"""),"大木 優香")</f>
        <v>大木 優香</v>
      </c>
    </row>
    <row r="11190" spans="2:4" ht="13">
      <c r="B11190" s="12">
        <f ca="1">IFERROR(__xludf.DUMMYFUNCTION("""COMPUTED_VALUE"""),3706487)</f>
        <v>3706487</v>
      </c>
      <c r="C11190" s="14">
        <f ca="1">IFERROR(__xludf.DUMMYFUNCTION("""COMPUTED_VALUE"""),0)</f>
        <v>0</v>
      </c>
      <c r="D11190" s="12" t="str">
        <f ca="1">IFERROR(__xludf.DUMMYFUNCTION("""COMPUTED_VALUE"""),"大木 優香")</f>
        <v>大木 優香</v>
      </c>
    </row>
    <row r="11191" spans="2:4" ht="13">
      <c r="B11191" s="12">
        <f ca="1">IFERROR(__xludf.DUMMYFUNCTION("""COMPUTED_VALUE"""),3706490)</f>
        <v>3706490</v>
      </c>
      <c r="C11191" s="14">
        <f ca="1">IFERROR(__xludf.DUMMYFUNCTION("""COMPUTED_VALUE"""),0)</f>
        <v>0</v>
      </c>
      <c r="D11191" s="12" t="str">
        <f ca="1">IFERROR(__xludf.DUMMYFUNCTION("""COMPUTED_VALUE"""),"大木 優香")</f>
        <v>大木 優香</v>
      </c>
    </row>
    <row r="11192" spans="2:4" ht="13">
      <c r="B11192" s="12">
        <f ca="1">IFERROR(__xludf.DUMMYFUNCTION("""COMPUTED_VALUE"""),3706491)</f>
        <v>3706491</v>
      </c>
      <c r="C11192" s="14">
        <f ca="1">IFERROR(__xludf.DUMMYFUNCTION("""COMPUTED_VALUE"""),0)</f>
        <v>0</v>
      </c>
      <c r="D11192" s="12" t="str">
        <f ca="1">IFERROR(__xludf.DUMMYFUNCTION("""COMPUTED_VALUE"""),"大木 優香")</f>
        <v>大木 優香</v>
      </c>
    </row>
    <row r="11193" spans="2:4" ht="13">
      <c r="B11193" s="12">
        <f ca="1">IFERROR(__xludf.DUMMYFUNCTION("""COMPUTED_VALUE"""),3706492)</f>
        <v>3706492</v>
      </c>
      <c r="C11193" s="14">
        <f ca="1">IFERROR(__xludf.DUMMYFUNCTION("""COMPUTED_VALUE"""),0)</f>
        <v>0</v>
      </c>
      <c r="D11193" s="12" t="str">
        <f ca="1">IFERROR(__xludf.DUMMYFUNCTION("""COMPUTED_VALUE"""),"大木 優香")</f>
        <v>大木 優香</v>
      </c>
    </row>
    <row r="11194" spans="2:4" ht="13">
      <c r="B11194" s="12">
        <f ca="1">IFERROR(__xludf.DUMMYFUNCTION("""COMPUTED_VALUE"""),3706494)</f>
        <v>3706494</v>
      </c>
      <c r="C11194" s="14">
        <f ca="1">IFERROR(__xludf.DUMMYFUNCTION("""COMPUTED_VALUE"""),0)</f>
        <v>0</v>
      </c>
      <c r="D11194" s="12" t="str">
        <f ca="1">IFERROR(__xludf.DUMMYFUNCTION("""COMPUTED_VALUE"""),"大木 優香")</f>
        <v>大木 優香</v>
      </c>
    </row>
    <row r="11195" spans="2:4" ht="13">
      <c r="B11195" s="12">
        <f ca="1">IFERROR(__xludf.DUMMYFUNCTION("""COMPUTED_VALUE"""),3706496)</f>
        <v>3706496</v>
      </c>
      <c r="C11195" s="14">
        <f ca="1">IFERROR(__xludf.DUMMYFUNCTION("""COMPUTED_VALUE"""),0)</f>
        <v>0</v>
      </c>
      <c r="D11195" s="12" t="str">
        <f ca="1">IFERROR(__xludf.DUMMYFUNCTION("""COMPUTED_VALUE"""),"大木 優香")</f>
        <v>大木 優香</v>
      </c>
    </row>
    <row r="11196" spans="2:4" ht="13">
      <c r="B11196" s="12">
        <f ca="1">IFERROR(__xludf.DUMMYFUNCTION("""COMPUTED_VALUE"""),3706497)</f>
        <v>3706497</v>
      </c>
      <c r="C11196" s="14">
        <f ca="1">IFERROR(__xludf.DUMMYFUNCTION("""COMPUTED_VALUE"""),0)</f>
        <v>0</v>
      </c>
      <c r="D11196" s="12" t="str">
        <f ca="1">IFERROR(__xludf.DUMMYFUNCTION("""COMPUTED_VALUE"""),"大木 優香")</f>
        <v>大木 優香</v>
      </c>
    </row>
    <row r="11197" spans="2:4" ht="13">
      <c r="B11197" s="12">
        <f ca="1">IFERROR(__xludf.DUMMYFUNCTION("""COMPUTED_VALUE"""),3706499)</f>
        <v>3706499</v>
      </c>
      <c r="C11197" s="14">
        <f ca="1">IFERROR(__xludf.DUMMYFUNCTION("""COMPUTED_VALUE"""),0)</f>
        <v>0</v>
      </c>
      <c r="D11197" s="12" t="str">
        <f ca="1">IFERROR(__xludf.DUMMYFUNCTION("""COMPUTED_VALUE"""),"大木 優香")</f>
        <v>大木 優香</v>
      </c>
    </row>
    <row r="11198" spans="2:4" ht="13">
      <c r="B11198" s="12">
        <f ca="1">IFERROR(__xludf.DUMMYFUNCTION("""COMPUTED_VALUE"""),3706500)</f>
        <v>3706500</v>
      </c>
      <c r="C11198" s="14">
        <f ca="1">IFERROR(__xludf.DUMMYFUNCTION("""COMPUTED_VALUE"""),0)</f>
        <v>0</v>
      </c>
      <c r="D11198" s="12" t="str">
        <f ca="1">IFERROR(__xludf.DUMMYFUNCTION("""COMPUTED_VALUE"""),"大木 優香")</f>
        <v>大木 優香</v>
      </c>
    </row>
    <row r="11199" spans="2:4" ht="13">
      <c r="B11199" s="12">
        <f ca="1">IFERROR(__xludf.DUMMYFUNCTION("""COMPUTED_VALUE"""),3706502)</f>
        <v>3706502</v>
      </c>
      <c r="C11199" s="14">
        <f ca="1">IFERROR(__xludf.DUMMYFUNCTION("""COMPUTED_VALUE"""),0)</f>
        <v>0</v>
      </c>
      <c r="D11199" s="12" t="str">
        <f ca="1">IFERROR(__xludf.DUMMYFUNCTION("""COMPUTED_VALUE"""),"大木 優香")</f>
        <v>大木 優香</v>
      </c>
    </row>
    <row r="11200" spans="2:4" ht="13">
      <c r="B11200" s="12">
        <f ca="1">IFERROR(__xludf.DUMMYFUNCTION("""COMPUTED_VALUE"""),3706505)</f>
        <v>3706505</v>
      </c>
      <c r="C11200" s="14">
        <f ca="1">IFERROR(__xludf.DUMMYFUNCTION("""COMPUTED_VALUE"""),0)</f>
        <v>0</v>
      </c>
      <c r="D11200" s="12" t="str">
        <f ca="1">IFERROR(__xludf.DUMMYFUNCTION("""COMPUTED_VALUE"""),"大木 優香")</f>
        <v>大木 優香</v>
      </c>
    </row>
    <row r="11201" spans="2:4" ht="13">
      <c r="B11201" s="12">
        <f ca="1">IFERROR(__xludf.DUMMYFUNCTION("""COMPUTED_VALUE"""),3706506)</f>
        <v>3706506</v>
      </c>
      <c r="C11201" s="14">
        <f ca="1">IFERROR(__xludf.DUMMYFUNCTION("""COMPUTED_VALUE"""),0)</f>
        <v>0</v>
      </c>
      <c r="D11201" s="12" t="str">
        <f ca="1">IFERROR(__xludf.DUMMYFUNCTION("""COMPUTED_VALUE"""),"大木 優香")</f>
        <v>大木 優香</v>
      </c>
    </row>
    <row r="11202" spans="2:4" ht="13">
      <c r="B11202" s="12">
        <f ca="1">IFERROR(__xludf.DUMMYFUNCTION("""COMPUTED_VALUE"""),3706508)</f>
        <v>3706508</v>
      </c>
      <c r="C11202" s="14">
        <f ca="1">IFERROR(__xludf.DUMMYFUNCTION("""COMPUTED_VALUE"""),0)</f>
        <v>0</v>
      </c>
      <c r="D11202" s="12" t="str">
        <f ca="1">IFERROR(__xludf.DUMMYFUNCTION("""COMPUTED_VALUE"""),"大木 優香")</f>
        <v>大木 優香</v>
      </c>
    </row>
    <row r="11203" spans="2:4" ht="13">
      <c r="B11203" s="12">
        <f ca="1">IFERROR(__xludf.DUMMYFUNCTION("""COMPUTED_VALUE"""),3706509)</f>
        <v>3706509</v>
      </c>
      <c r="C11203" s="14">
        <f ca="1">IFERROR(__xludf.DUMMYFUNCTION("""COMPUTED_VALUE"""),0)</f>
        <v>0</v>
      </c>
      <c r="D11203" s="12" t="str">
        <f ca="1">IFERROR(__xludf.DUMMYFUNCTION("""COMPUTED_VALUE"""),"大木 優香")</f>
        <v>大木 優香</v>
      </c>
    </row>
    <row r="11204" spans="2:4" ht="13">
      <c r="B11204" s="12">
        <f ca="1">IFERROR(__xludf.DUMMYFUNCTION("""COMPUTED_VALUE"""),3706512)</f>
        <v>3706512</v>
      </c>
      <c r="C11204" s="14">
        <f ca="1">IFERROR(__xludf.DUMMYFUNCTION("""COMPUTED_VALUE"""),0)</f>
        <v>0</v>
      </c>
      <c r="D11204" s="12" t="str">
        <f ca="1">IFERROR(__xludf.DUMMYFUNCTION("""COMPUTED_VALUE"""),"大木 優香")</f>
        <v>大木 優香</v>
      </c>
    </row>
    <row r="11205" spans="2:4" ht="13">
      <c r="B11205" s="12">
        <f ca="1">IFERROR(__xludf.DUMMYFUNCTION("""COMPUTED_VALUE"""),3706514)</f>
        <v>3706514</v>
      </c>
      <c r="C11205" s="14">
        <f ca="1">IFERROR(__xludf.DUMMYFUNCTION("""COMPUTED_VALUE"""),0)</f>
        <v>0</v>
      </c>
      <c r="D11205" s="12" t="str">
        <f ca="1">IFERROR(__xludf.DUMMYFUNCTION("""COMPUTED_VALUE"""),"大木 優香")</f>
        <v>大木 優香</v>
      </c>
    </row>
    <row r="11206" spans="2:4" ht="13">
      <c r="B11206" s="12">
        <f ca="1">IFERROR(__xludf.DUMMYFUNCTION("""COMPUTED_VALUE"""),3706515)</f>
        <v>3706515</v>
      </c>
      <c r="C11206" s="14">
        <f ca="1">IFERROR(__xludf.DUMMYFUNCTION("""COMPUTED_VALUE"""),0)</f>
        <v>0</v>
      </c>
      <c r="D11206" s="12" t="str">
        <f ca="1">IFERROR(__xludf.DUMMYFUNCTION("""COMPUTED_VALUE"""),"大木 優香")</f>
        <v>大木 優香</v>
      </c>
    </row>
    <row r="11207" spans="2:4" ht="13">
      <c r="B11207" s="12">
        <f ca="1">IFERROR(__xludf.DUMMYFUNCTION("""COMPUTED_VALUE"""),3706517)</f>
        <v>3706517</v>
      </c>
      <c r="C11207" s="14">
        <f ca="1">IFERROR(__xludf.DUMMYFUNCTION("""COMPUTED_VALUE"""),0)</f>
        <v>0</v>
      </c>
      <c r="D11207" s="12" t="str">
        <f ca="1">IFERROR(__xludf.DUMMYFUNCTION("""COMPUTED_VALUE"""),"大木 優香")</f>
        <v>大木 優香</v>
      </c>
    </row>
    <row r="11208" spans="2:4" ht="13">
      <c r="B11208" s="12">
        <f ca="1">IFERROR(__xludf.DUMMYFUNCTION("""COMPUTED_VALUE"""),3706518)</f>
        <v>3706518</v>
      </c>
      <c r="C11208" s="14">
        <f ca="1">IFERROR(__xludf.DUMMYFUNCTION("""COMPUTED_VALUE"""),0)</f>
        <v>0</v>
      </c>
      <c r="D11208" s="12" t="str">
        <f ca="1">IFERROR(__xludf.DUMMYFUNCTION("""COMPUTED_VALUE"""),"大木 優香")</f>
        <v>大木 優香</v>
      </c>
    </row>
    <row r="11209" spans="2:4" ht="13">
      <c r="B11209" s="12">
        <f ca="1">IFERROR(__xludf.DUMMYFUNCTION("""COMPUTED_VALUE"""),3706519)</f>
        <v>3706519</v>
      </c>
      <c r="C11209" s="14">
        <f ca="1">IFERROR(__xludf.DUMMYFUNCTION("""COMPUTED_VALUE"""),0)</f>
        <v>0</v>
      </c>
      <c r="D11209" s="12" t="str">
        <f ca="1">IFERROR(__xludf.DUMMYFUNCTION("""COMPUTED_VALUE"""),"大木 優香")</f>
        <v>大木 優香</v>
      </c>
    </row>
    <row r="11210" spans="2:4" ht="13">
      <c r="B11210" s="12">
        <f ca="1">IFERROR(__xludf.DUMMYFUNCTION("""COMPUTED_VALUE"""),3706520)</f>
        <v>3706520</v>
      </c>
      <c r="C11210" s="14">
        <f ca="1">IFERROR(__xludf.DUMMYFUNCTION("""COMPUTED_VALUE"""),0)</f>
        <v>0</v>
      </c>
      <c r="D11210" s="12" t="str">
        <f ca="1">IFERROR(__xludf.DUMMYFUNCTION("""COMPUTED_VALUE"""),"大木 優香")</f>
        <v>大木 優香</v>
      </c>
    </row>
    <row r="11211" spans="2:4" ht="13">
      <c r="B11211" s="12">
        <f ca="1">IFERROR(__xludf.DUMMYFUNCTION("""COMPUTED_VALUE"""),3706521)</f>
        <v>3706521</v>
      </c>
      <c r="C11211" s="14">
        <f ca="1">IFERROR(__xludf.DUMMYFUNCTION("""COMPUTED_VALUE"""),0)</f>
        <v>0</v>
      </c>
      <c r="D11211" s="12" t="str">
        <f ca="1">IFERROR(__xludf.DUMMYFUNCTION("""COMPUTED_VALUE"""),"大木 優香")</f>
        <v>大木 優香</v>
      </c>
    </row>
    <row r="11212" spans="2:4" ht="13">
      <c r="B11212" s="12">
        <f ca="1">IFERROR(__xludf.DUMMYFUNCTION("""COMPUTED_VALUE"""),3706522)</f>
        <v>3706522</v>
      </c>
      <c r="C11212" s="14">
        <f ca="1">IFERROR(__xludf.DUMMYFUNCTION("""COMPUTED_VALUE"""),0)</f>
        <v>0</v>
      </c>
      <c r="D11212" s="12" t="str">
        <f ca="1">IFERROR(__xludf.DUMMYFUNCTION("""COMPUTED_VALUE"""),"大木 優香")</f>
        <v>大木 優香</v>
      </c>
    </row>
    <row r="11213" spans="2:4" ht="13">
      <c r="B11213" s="12">
        <f ca="1">IFERROR(__xludf.DUMMYFUNCTION("""COMPUTED_VALUE"""),3706525)</f>
        <v>3706525</v>
      </c>
      <c r="C11213" s="14">
        <f ca="1">IFERROR(__xludf.DUMMYFUNCTION("""COMPUTED_VALUE"""),0)</f>
        <v>0</v>
      </c>
      <c r="D11213" s="12" t="str">
        <f ca="1">IFERROR(__xludf.DUMMYFUNCTION("""COMPUTED_VALUE"""),"大木 優香")</f>
        <v>大木 優香</v>
      </c>
    </row>
    <row r="11214" spans="2:4" ht="13">
      <c r="B11214" s="12">
        <f ca="1">IFERROR(__xludf.DUMMYFUNCTION("""COMPUTED_VALUE"""),3706528)</f>
        <v>3706528</v>
      </c>
      <c r="C11214" s="14">
        <f ca="1">IFERROR(__xludf.DUMMYFUNCTION("""COMPUTED_VALUE"""),0)</f>
        <v>0</v>
      </c>
      <c r="D11214" s="12" t="str">
        <f ca="1">IFERROR(__xludf.DUMMYFUNCTION("""COMPUTED_VALUE"""),"大木 優香")</f>
        <v>大木 優香</v>
      </c>
    </row>
    <row r="11215" spans="2:4" ht="13">
      <c r="B11215" s="12">
        <f ca="1">IFERROR(__xludf.DUMMYFUNCTION("""COMPUTED_VALUE"""),3706529)</f>
        <v>3706529</v>
      </c>
      <c r="C11215" s="14">
        <f ca="1">IFERROR(__xludf.DUMMYFUNCTION("""COMPUTED_VALUE"""),0)</f>
        <v>0</v>
      </c>
      <c r="D11215" s="12" t="str">
        <f ca="1">IFERROR(__xludf.DUMMYFUNCTION("""COMPUTED_VALUE"""),"大木 優香")</f>
        <v>大木 優香</v>
      </c>
    </row>
    <row r="11216" spans="2:4" ht="13">
      <c r="B11216" s="12">
        <f ca="1">IFERROR(__xludf.DUMMYFUNCTION("""COMPUTED_VALUE"""),3706532)</f>
        <v>3706532</v>
      </c>
      <c r="C11216" s="14">
        <f ca="1">IFERROR(__xludf.DUMMYFUNCTION("""COMPUTED_VALUE"""),0)</f>
        <v>0</v>
      </c>
      <c r="D11216" s="12" t="str">
        <f ca="1">IFERROR(__xludf.DUMMYFUNCTION("""COMPUTED_VALUE"""),"大木 優香")</f>
        <v>大木 優香</v>
      </c>
    </row>
    <row r="11217" spans="2:4" ht="13">
      <c r="B11217" s="12">
        <f ca="1">IFERROR(__xludf.DUMMYFUNCTION("""COMPUTED_VALUE"""),3706534)</f>
        <v>3706534</v>
      </c>
      <c r="C11217" s="14">
        <f ca="1">IFERROR(__xludf.DUMMYFUNCTION("""COMPUTED_VALUE"""),0)</f>
        <v>0</v>
      </c>
      <c r="D11217" s="12" t="str">
        <f ca="1">IFERROR(__xludf.DUMMYFUNCTION("""COMPUTED_VALUE"""),"大木 優香")</f>
        <v>大木 優香</v>
      </c>
    </row>
    <row r="11218" spans="2:4" ht="13">
      <c r="B11218" s="12">
        <f ca="1">IFERROR(__xludf.DUMMYFUNCTION("""COMPUTED_VALUE"""),3706535)</f>
        <v>3706535</v>
      </c>
      <c r="C11218" s="14">
        <f ca="1">IFERROR(__xludf.DUMMYFUNCTION("""COMPUTED_VALUE"""),0)</f>
        <v>0</v>
      </c>
      <c r="D11218" s="12" t="str">
        <f ca="1">IFERROR(__xludf.DUMMYFUNCTION("""COMPUTED_VALUE"""),"大木 優香")</f>
        <v>大木 優香</v>
      </c>
    </row>
    <row r="11219" spans="2:4" ht="13">
      <c r="B11219" s="12">
        <f ca="1">IFERROR(__xludf.DUMMYFUNCTION("""COMPUTED_VALUE"""),3706538)</f>
        <v>3706538</v>
      </c>
      <c r="C11219" s="14">
        <f ca="1">IFERROR(__xludf.DUMMYFUNCTION("""COMPUTED_VALUE"""),0)</f>
        <v>0</v>
      </c>
      <c r="D11219" s="12" t="str">
        <f ca="1">IFERROR(__xludf.DUMMYFUNCTION("""COMPUTED_VALUE"""),"大木 優香")</f>
        <v>大木 優香</v>
      </c>
    </row>
    <row r="11220" spans="2:4" ht="13">
      <c r="B11220" s="12">
        <f ca="1">IFERROR(__xludf.DUMMYFUNCTION("""COMPUTED_VALUE"""),3706541)</f>
        <v>3706541</v>
      </c>
      <c r="C11220" s="14">
        <f ca="1">IFERROR(__xludf.DUMMYFUNCTION("""COMPUTED_VALUE"""),0)</f>
        <v>0</v>
      </c>
      <c r="D11220" s="12" t="str">
        <f ca="1">IFERROR(__xludf.DUMMYFUNCTION("""COMPUTED_VALUE"""),"大木 優香")</f>
        <v>大木 優香</v>
      </c>
    </row>
    <row r="11221" spans="2:4" ht="13">
      <c r="B11221" s="12">
        <f ca="1">IFERROR(__xludf.DUMMYFUNCTION("""COMPUTED_VALUE"""),3706543)</f>
        <v>3706543</v>
      </c>
      <c r="C11221" s="14">
        <f ca="1">IFERROR(__xludf.DUMMYFUNCTION("""COMPUTED_VALUE"""),0)</f>
        <v>0</v>
      </c>
      <c r="D11221" s="12" t="str">
        <f ca="1">IFERROR(__xludf.DUMMYFUNCTION("""COMPUTED_VALUE"""),"大木 優香")</f>
        <v>大木 優香</v>
      </c>
    </row>
    <row r="11222" spans="2:4" ht="13">
      <c r="B11222" s="12">
        <f ca="1">IFERROR(__xludf.DUMMYFUNCTION("""COMPUTED_VALUE"""),3706544)</f>
        <v>3706544</v>
      </c>
      <c r="C11222" s="14">
        <f ca="1">IFERROR(__xludf.DUMMYFUNCTION("""COMPUTED_VALUE"""),0)</f>
        <v>0</v>
      </c>
      <c r="D11222" s="12" t="str">
        <f ca="1">IFERROR(__xludf.DUMMYFUNCTION("""COMPUTED_VALUE"""),"大木 優香")</f>
        <v>大木 優香</v>
      </c>
    </row>
    <row r="11223" spans="2:4" ht="13">
      <c r="B11223" s="12">
        <f ca="1">IFERROR(__xludf.DUMMYFUNCTION("""COMPUTED_VALUE"""),3706545)</f>
        <v>3706545</v>
      </c>
      <c r="C11223" s="14">
        <f ca="1">IFERROR(__xludf.DUMMYFUNCTION("""COMPUTED_VALUE"""),0)</f>
        <v>0</v>
      </c>
      <c r="D11223" s="12" t="str">
        <f ca="1">IFERROR(__xludf.DUMMYFUNCTION("""COMPUTED_VALUE"""),"大木 優香")</f>
        <v>大木 優香</v>
      </c>
    </row>
    <row r="11224" spans="2:4" ht="13">
      <c r="B11224" s="12">
        <f ca="1">IFERROR(__xludf.DUMMYFUNCTION("""COMPUTED_VALUE"""),3706546)</f>
        <v>3706546</v>
      </c>
      <c r="C11224" s="14">
        <f ca="1">IFERROR(__xludf.DUMMYFUNCTION("""COMPUTED_VALUE"""),0)</f>
        <v>0</v>
      </c>
      <c r="D11224" s="12" t="str">
        <f ca="1">IFERROR(__xludf.DUMMYFUNCTION("""COMPUTED_VALUE"""),"大木 優香")</f>
        <v>大木 優香</v>
      </c>
    </row>
    <row r="11225" spans="2:4" ht="13">
      <c r="B11225" s="12">
        <f ca="1">IFERROR(__xludf.DUMMYFUNCTION("""COMPUTED_VALUE"""),3706548)</f>
        <v>3706548</v>
      </c>
      <c r="C11225" s="14">
        <f ca="1">IFERROR(__xludf.DUMMYFUNCTION("""COMPUTED_VALUE"""),0)</f>
        <v>0</v>
      </c>
      <c r="D11225" s="12" t="str">
        <f ca="1">IFERROR(__xludf.DUMMYFUNCTION("""COMPUTED_VALUE"""),"大木 優香")</f>
        <v>大木 優香</v>
      </c>
    </row>
    <row r="11226" spans="2:4" ht="13">
      <c r="B11226" s="12">
        <f ca="1">IFERROR(__xludf.DUMMYFUNCTION("""COMPUTED_VALUE"""),3706551)</f>
        <v>3706551</v>
      </c>
      <c r="C11226" s="14">
        <f ca="1">IFERROR(__xludf.DUMMYFUNCTION("""COMPUTED_VALUE"""),0)</f>
        <v>0</v>
      </c>
      <c r="D11226" s="12" t="str">
        <f ca="1">IFERROR(__xludf.DUMMYFUNCTION("""COMPUTED_VALUE"""),"大木 優香")</f>
        <v>大木 優香</v>
      </c>
    </row>
    <row r="11227" spans="2:4" ht="13">
      <c r="B11227" s="12">
        <f ca="1">IFERROR(__xludf.DUMMYFUNCTION("""COMPUTED_VALUE"""),3706552)</f>
        <v>3706552</v>
      </c>
      <c r="C11227" s="14">
        <f ca="1">IFERROR(__xludf.DUMMYFUNCTION("""COMPUTED_VALUE"""),0)</f>
        <v>0</v>
      </c>
      <c r="D11227" s="12" t="str">
        <f ca="1">IFERROR(__xludf.DUMMYFUNCTION("""COMPUTED_VALUE"""),"大木 優香")</f>
        <v>大木 優香</v>
      </c>
    </row>
    <row r="11228" spans="2:4" ht="13">
      <c r="B11228" s="12">
        <f ca="1">IFERROR(__xludf.DUMMYFUNCTION("""COMPUTED_VALUE"""),3706554)</f>
        <v>3706554</v>
      </c>
      <c r="C11228" s="14">
        <f ca="1">IFERROR(__xludf.DUMMYFUNCTION("""COMPUTED_VALUE"""),0)</f>
        <v>0</v>
      </c>
      <c r="D11228" s="12" t="str">
        <f ca="1">IFERROR(__xludf.DUMMYFUNCTION("""COMPUTED_VALUE"""),"大木 優香")</f>
        <v>大木 優香</v>
      </c>
    </row>
    <row r="11229" spans="2:4" ht="13">
      <c r="B11229" s="12">
        <f ca="1">IFERROR(__xludf.DUMMYFUNCTION("""COMPUTED_VALUE"""),3706557)</f>
        <v>3706557</v>
      </c>
      <c r="C11229" s="14">
        <f ca="1">IFERROR(__xludf.DUMMYFUNCTION("""COMPUTED_VALUE"""),0)</f>
        <v>0</v>
      </c>
      <c r="D11229" s="12" t="str">
        <f ca="1">IFERROR(__xludf.DUMMYFUNCTION("""COMPUTED_VALUE"""),"大木 優香")</f>
        <v>大木 優香</v>
      </c>
    </row>
    <row r="11230" spans="2:4" ht="13">
      <c r="B11230" s="12">
        <f ca="1">IFERROR(__xludf.DUMMYFUNCTION("""COMPUTED_VALUE"""),3706558)</f>
        <v>3706558</v>
      </c>
      <c r="C11230" s="14">
        <f ca="1">IFERROR(__xludf.DUMMYFUNCTION("""COMPUTED_VALUE"""),0)</f>
        <v>0</v>
      </c>
      <c r="D11230" s="12" t="str">
        <f ca="1">IFERROR(__xludf.DUMMYFUNCTION("""COMPUTED_VALUE"""),"大木 優香")</f>
        <v>大木 優香</v>
      </c>
    </row>
    <row r="11231" spans="2:4" ht="13">
      <c r="B11231" s="12">
        <f ca="1">IFERROR(__xludf.DUMMYFUNCTION("""COMPUTED_VALUE"""),3706560)</f>
        <v>3706560</v>
      </c>
      <c r="C11231" s="14">
        <f ca="1">IFERROR(__xludf.DUMMYFUNCTION("""COMPUTED_VALUE"""),0)</f>
        <v>0</v>
      </c>
      <c r="D11231" s="12" t="str">
        <f ca="1">IFERROR(__xludf.DUMMYFUNCTION("""COMPUTED_VALUE"""),"大木 優香")</f>
        <v>大木 優香</v>
      </c>
    </row>
    <row r="11232" spans="2:4" ht="13">
      <c r="B11232" s="12">
        <f ca="1">IFERROR(__xludf.DUMMYFUNCTION("""COMPUTED_VALUE"""),3706561)</f>
        <v>3706561</v>
      </c>
      <c r="C11232" s="14">
        <f ca="1">IFERROR(__xludf.DUMMYFUNCTION("""COMPUTED_VALUE"""),0)</f>
        <v>0</v>
      </c>
      <c r="D11232" s="12" t="str">
        <f ca="1">IFERROR(__xludf.DUMMYFUNCTION("""COMPUTED_VALUE"""),"大木 優香")</f>
        <v>大木 優香</v>
      </c>
    </row>
    <row r="11233" spans="2:4" ht="13">
      <c r="B11233" s="12">
        <f ca="1">IFERROR(__xludf.DUMMYFUNCTION("""COMPUTED_VALUE"""),3706562)</f>
        <v>3706562</v>
      </c>
      <c r="C11233" s="14">
        <f ca="1">IFERROR(__xludf.DUMMYFUNCTION("""COMPUTED_VALUE"""),0)</f>
        <v>0</v>
      </c>
      <c r="D11233" s="12" t="str">
        <f ca="1">IFERROR(__xludf.DUMMYFUNCTION("""COMPUTED_VALUE"""),"大木 優香")</f>
        <v>大木 優香</v>
      </c>
    </row>
    <row r="11234" spans="2:4" ht="13">
      <c r="B11234" s="12">
        <f ca="1">IFERROR(__xludf.DUMMYFUNCTION("""COMPUTED_VALUE"""),3706564)</f>
        <v>3706564</v>
      </c>
      <c r="C11234" s="14">
        <f ca="1">IFERROR(__xludf.DUMMYFUNCTION("""COMPUTED_VALUE"""),0)</f>
        <v>0</v>
      </c>
      <c r="D11234" s="12" t="str">
        <f ca="1">IFERROR(__xludf.DUMMYFUNCTION("""COMPUTED_VALUE"""),"大木 優香")</f>
        <v>大木 優香</v>
      </c>
    </row>
    <row r="11235" spans="2:4" ht="13">
      <c r="B11235" s="12">
        <f ca="1">IFERROR(__xludf.DUMMYFUNCTION("""COMPUTED_VALUE"""),3706565)</f>
        <v>3706565</v>
      </c>
      <c r="C11235" s="14">
        <f ca="1">IFERROR(__xludf.DUMMYFUNCTION("""COMPUTED_VALUE"""),0)</f>
        <v>0</v>
      </c>
      <c r="D11235" s="12" t="str">
        <f ca="1">IFERROR(__xludf.DUMMYFUNCTION("""COMPUTED_VALUE"""),"大木 優香")</f>
        <v>大木 優香</v>
      </c>
    </row>
    <row r="11236" spans="2:4" ht="13">
      <c r="B11236" s="12">
        <f ca="1">IFERROR(__xludf.DUMMYFUNCTION("""COMPUTED_VALUE"""),3706568)</f>
        <v>3706568</v>
      </c>
      <c r="C11236" s="14">
        <f ca="1">IFERROR(__xludf.DUMMYFUNCTION("""COMPUTED_VALUE"""),0)</f>
        <v>0</v>
      </c>
      <c r="D11236" s="12" t="str">
        <f ca="1">IFERROR(__xludf.DUMMYFUNCTION("""COMPUTED_VALUE"""),"大木 優香")</f>
        <v>大木 優香</v>
      </c>
    </row>
    <row r="11237" spans="2:4" ht="13">
      <c r="B11237" s="12">
        <f ca="1">IFERROR(__xludf.DUMMYFUNCTION("""COMPUTED_VALUE"""),3706570)</f>
        <v>3706570</v>
      </c>
      <c r="C11237" s="14">
        <f ca="1">IFERROR(__xludf.DUMMYFUNCTION("""COMPUTED_VALUE"""),0)</f>
        <v>0</v>
      </c>
      <c r="D11237" s="12" t="str">
        <f ca="1">IFERROR(__xludf.DUMMYFUNCTION("""COMPUTED_VALUE"""),"大木 優香")</f>
        <v>大木 優香</v>
      </c>
    </row>
    <row r="11238" spans="2:4" ht="13">
      <c r="B11238" s="12">
        <f ca="1">IFERROR(__xludf.DUMMYFUNCTION("""COMPUTED_VALUE"""),3706571)</f>
        <v>3706571</v>
      </c>
      <c r="C11238" s="14">
        <f ca="1">IFERROR(__xludf.DUMMYFUNCTION("""COMPUTED_VALUE"""),0)</f>
        <v>0</v>
      </c>
      <c r="D11238" s="12" t="str">
        <f ca="1">IFERROR(__xludf.DUMMYFUNCTION("""COMPUTED_VALUE"""),"大木 優香")</f>
        <v>大木 優香</v>
      </c>
    </row>
    <row r="11239" spans="2:4" ht="13">
      <c r="B11239" s="12">
        <f ca="1">IFERROR(__xludf.DUMMYFUNCTION("""COMPUTED_VALUE"""),3706572)</f>
        <v>3706572</v>
      </c>
      <c r="C11239" s="14">
        <f ca="1">IFERROR(__xludf.DUMMYFUNCTION("""COMPUTED_VALUE"""),0)</f>
        <v>0</v>
      </c>
      <c r="D11239" s="12" t="str">
        <f ca="1">IFERROR(__xludf.DUMMYFUNCTION("""COMPUTED_VALUE"""),"大木 優香")</f>
        <v>大木 優香</v>
      </c>
    </row>
    <row r="11240" spans="2:4" ht="13">
      <c r="B11240" s="12">
        <f ca="1">IFERROR(__xludf.DUMMYFUNCTION("""COMPUTED_VALUE"""),3706573)</f>
        <v>3706573</v>
      </c>
      <c r="C11240" s="14">
        <f ca="1">IFERROR(__xludf.DUMMYFUNCTION("""COMPUTED_VALUE"""),0)</f>
        <v>0</v>
      </c>
      <c r="D11240" s="12" t="str">
        <f ca="1">IFERROR(__xludf.DUMMYFUNCTION("""COMPUTED_VALUE"""),"大木 優香")</f>
        <v>大木 優香</v>
      </c>
    </row>
    <row r="11241" spans="2:4" ht="13">
      <c r="B11241" s="12">
        <f ca="1">IFERROR(__xludf.DUMMYFUNCTION("""COMPUTED_VALUE"""),3706574)</f>
        <v>3706574</v>
      </c>
      <c r="C11241" s="14">
        <f ca="1">IFERROR(__xludf.DUMMYFUNCTION("""COMPUTED_VALUE"""),0)</f>
        <v>0</v>
      </c>
      <c r="D11241" s="12" t="str">
        <f ca="1">IFERROR(__xludf.DUMMYFUNCTION("""COMPUTED_VALUE"""),"大木 優香")</f>
        <v>大木 優香</v>
      </c>
    </row>
    <row r="11242" spans="2:4" ht="13">
      <c r="B11242" s="12">
        <f ca="1">IFERROR(__xludf.DUMMYFUNCTION("""COMPUTED_VALUE"""),3706575)</f>
        <v>3706575</v>
      </c>
      <c r="C11242" s="14">
        <f ca="1">IFERROR(__xludf.DUMMYFUNCTION("""COMPUTED_VALUE"""),0)</f>
        <v>0</v>
      </c>
      <c r="D11242" s="12" t="str">
        <f ca="1">IFERROR(__xludf.DUMMYFUNCTION("""COMPUTED_VALUE"""),"大木 優香")</f>
        <v>大木 優香</v>
      </c>
    </row>
    <row r="11243" spans="2:4" ht="13">
      <c r="B11243" s="12">
        <f ca="1">IFERROR(__xludf.DUMMYFUNCTION("""COMPUTED_VALUE"""),3706576)</f>
        <v>3706576</v>
      </c>
      <c r="C11243" s="14">
        <f ca="1">IFERROR(__xludf.DUMMYFUNCTION("""COMPUTED_VALUE"""),0)</f>
        <v>0</v>
      </c>
      <c r="D11243" s="12" t="str">
        <f ca="1">IFERROR(__xludf.DUMMYFUNCTION("""COMPUTED_VALUE"""),"大木 優香")</f>
        <v>大木 優香</v>
      </c>
    </row>
    <row r="11244" spans="2:4" ht="13">
      <c r="B11244" s="12">
        <f ca="1">IFERROR(__xludf.DUMMYFUNCTION("""COMPUTED_VALUE"""),3706577)</f>
        <v>3706577</v>
      </c>
      <c r="C11244" s="14">
        <f ca="1">IFERROR(__xludf.DUMMYFUNCTION("""COMPUTED_VALUE"""),0)</f>
        <v>0</v>
      </c>
      <c r="D11244" s="12" t="str">
        <f ca="1">IFERROR(__xludf.DUMMYFUNCTION("""COMPUTED_VALUE"""),"大木 優香")</f>
        <v>大木 優香</v>
      </c>
    </row>
    <row r="11245" spans="2:4" ht="13">
      <c r="B11245" s="12">
        <f ca="1">IFERROR(__xludf.DUMMYFUNCTION("""COMPUTED_VALUE"""),3706578)</f>
        <v>3706578</v>
      </c>
      <c r="C11245" s="14">
        <f ca="1">IFERROR(__xludf.DUMMYFUNCTION("""COMPUTED_VALUE"""),0)</f>
        <v>0</v>
      </c>
      <c r="D11245" s="12" t="str">
        <f ca="1">IFERROR(__xludf.DUMMYFUNCTION("""COMPUTED_VALUE"""),"大木 優香")</f>
        <v>大木 優香</v>
      </c>
    </row>
    <row r="11246" spans="2:4" ht="13">
      <c r="B11246" s="12">
        <f ca="1">IFERROR(__xludf.DUMMYFUNCTION("""COMPUTED_VALUE"""),3706581)</f>
        <v>3706581</v>
      </c>
      <c r="C11246" s="14">
        <f ca="1">IFERROR(__xludf.DUMMYFUNCTION("""COMPUTED_VALUE"""),0)</f>
        <v>0</v>
      </c>
      <c r="D11246" s="12" t="str">
        <f ca="1">IFERROR(__xludf.DUMMYFUNCTION("""COMPUTED_VALUE"""),"大木 優香")</f>
        <v>大木 優香</v>
      </c>
    </row>
    <row r="11247" spans="2:4" ht="13">
      <c r="B11247" s="12">
        <f ca="1">IFERROR(__xludf.DUMMYFUNCTION("""COMPUTED_VALUE"""),3706582)</f>
        <v>3706582</v>
      </c>
      <c r="C11247" s="14">
        <f ca="1">IFERROR(__xludf.DUMMYFUNCTION("""COMPUTED_VALUE"""),0)</f>
        <v>0</v>
      </c>
      <c r="D11247" s="12" t="str">
        <f ca="1">IFERROR(__xludf.DUMMYFUNCTION("""COMPUTED_VALUE"""),"大木 優香")</f>
        <v>大木 優香</v>
      </c>
    </row>
    <row r="11248" spans="2:4" ht="13">
      <c r="B11248" s="12">
        <f ca="1">IFERROR(__xludf.DUMMYFUNCTION("""COMPUTED_VALUE"""),3706583)</f>
        <v>3706583</v>
      </c>
      <c r="C11248" s="14">
        <f ca="1">IFERROR(__xludf.DUMMYFUNCTION("""COMPUTED_VALUE"""),0)</f>
        <v>0</v>
      </c>
      <c r="D11248" s="12" t="str">
        <f ca="1">IFERROR(__xludf.DUMMYFUNCTION("""COMPUTED_VALUE"""),"大木 優香")</f>
        <v>大木 優香</v>
      </c>
    </row>
    <row r="11249" spans="2:4" ht="13">
      <c r="B11249" s="12">
        <f ca="1">IFERROR(__xludf.DUMMYFUNCTION("""COMPUTED_VALUE"""),3706584)</f>
        <v>3706584</v>
      </c>
      <c r="C11249" s="14">
        <f ca="1">IFERROR(__xludf.DUMMYFUNCTION("""COMPUTED_VALUE"""),0)</f>
        <v>0</v>
      </c>
      <c r="D11249" s="12" t="str">
        <f ca="1">IFERROR(__xludf.DUMMYFUNCTION("""COMPUTED_VALUE"""),"大木 優香")</f>
        <v>大木 優香</v>
      </c>
    </row>
    <row r="11250" spans="2:4" ht="13">
      <c r="B11250" s="12">
        <f ca="1">IFERROR(__xludf.DUMMYFUNCTION("""COMPUTED_VALUE"""),3706585)</f>
        <v>3706585</v>
      </c>
      <c r="C11250" s="14">
        <f ca="1">IFERROR(__xludf.DUMMYFUNCTION("""COMPUTED_VALUE"""),0)</f>
        <v>0</v>
      </c>
      <c r="D11250" s="12" t="str">
        <f ca="1">IFERROR(__xludf.DUMMYFUNCTION("""COMPUTED_VALUE"""),"大木 優香")</f>
        <v>大木 優香</v>
      </c>
    </row>
    <row r="11251" spans="2:4" ht="13">
      <c r="B11251" s="12">
        <f ca="1">IFERROR(__xludf.DUMMYFUNCTION("""COMPUTED_VALUE"""),3706586)</f>
        <v>3706586</v>
      </c>
      <c r="C11251" s="14">
        <f ca="1">IFERROR(__xludf.DUMMYFUNCTION("""COMPUTED_VALUE"""),0)</f>
        <v>0</v>
      </c>
      <c r="D11251" s="12" t="str">
        <f ca="1">IFERROR(__xludf.DUMMYFUNCTION("""COMPUTED_VALUE"""),"大木 優香")</f>
        <v>大木 優香</v>
      </c>
    </row>
    <row r="11252" spans="2:4" ht="13">
      <c r="B11252" s="12">
        <f ca="1">IFERROR(__xludf.DUMMYFUNCTION("""COMPUTED_VALUE"""),3706589)</f>
        <v>3706589</v>
      </c>
      <c r="C11252" s="14">
        <f ca="1">IFERROR(__xludf.DUMMYFUNCTION("""COMPUTED_VALUE"""),0)</f>
        <v>0</v>
      </c>
      <c r="D11252" s="12" t="str">
        <f ca="1">IFERROR(__xludf.DUMMYFUNCTION("""COMPUTED_VALUE"""),"大木 優香")</f>
        <v>大木 優香</v>
      </c>
    </row>
    <row r="11253" spans="2:4" ht="13">
      <c r="B11253" s="12">
        <f ca="1">IFERROR(__xludf.DUMMYFUNCTION("""COMPUTED_VALUE"""),3706590)</f>
        <v>3706590</v>
      </c>
      <c r="C11253" s="14">
        <f ca="1">IFERROR(__xludf.DUMMYFUNCTION("""COMPUTED_VALUE"""),0)</f>
        <v>0</v>
      </c>
      <c r="D11253" s="12" t="str">
        <f ca="1">IFERROR(__xludf.DUMMYFUNCTION("""COMPUTED_VALUE"""),"大木 優香")</f>
        <v>大木 優香</v>
      </c>
    </row>
    <row r="11254" spans="2:4" ht="13">
      <c r="B11254" s="12">
        <f ca="1">IFERROR(__xludf.DUMMYFUNCTION("""COMPUTED_VALUE"""),3706591)</f>
        <v>3706591</v>
      </c>
      <c r="C11254" s="14">
        <f ca="1">IFERROR(__xludf.DUMMYFUNCTION("""COMPUTED_VALUE"""),0)</f>
        <v>0</v>
      </c>
      <c r="D11254" s="12" t="str">
        <f ca="1">IFERROR(__xludf.DUMMYFUNCTION("""COMPUTED_VALUE"""),"大木 優香")</f>
        <v>大木 優香</v>
      </c>
    </row>
    <row r="11255" spans="2:4" ht="13">
      <c r="B11255" s="12">
        <f ca="1">IFERROR(__xludf.DUMMYFUNCTION("""COMPUTED_VALUE"""),3706592)</f>
        <v>3706592</v>
      </c>
      <c r="C11255" s="14">
        <f ca="1">IFERROR(__xludf.DUMMYFUNCTION("""COMPUTED_VALUE"""),0)</f>
        <v>0</v>
      </c>
      <c r="D11255" s="12" t="str">
        <f ca="1">IFERROR(__xludf.DUMMYFUNCTION("""COMPUTED_VALUE"""),"大木 優香")</f>
        <v>大木 優香</v>
      </c>
    </row>
    <row r="11256" spans="2:4" ht="13">
      <c r="B11256" s="12">
        <f ca="1">IFERROR(__xludf.DUMMYFUNCTION("""COMPUTED_VALUE"""),3706596)</f>
        <v>3706596</v>
      </c>
      <c r="C11256" s="14">
        <f ca="1">IFERROR(__xludf.DUMMYFUNCTION("""COMPUTED_VALUE"""),0)</f>
        <v>0</v>
      </c>
      <c r="D11256" s="12" t="str">
        <f ca="1">IFERROR(__xludf.DUMMYFUNCTION("""COMPUTED_VALUE"""),"大木 優香")</f>
        <v>大木 優香</v>
      </c>
    </row>
    <row r="11257" spans="2:4" ht="13">
      <c r="B11257" s="12">
        <f ca="1">IFERROR(__xludf.DUMMYFUNCTION("""COMPUTED_VALUE"""),3706597)</f>
        <v>3706597</v>
      </c>
      <c r="C11257" s="14">
        <f ca="1">IFERROR(__xludf.DUMMYFUNCTION("""COMPUTED_VALUE"""),0)</f>
        <v>0</v>
      </c>
      <c r="D11257" s="12" t="str">
        <f ca="1">IFERROR(__xludf.DUMMYFUNCTION("""COMPUTED_VALUE"""),"大木 優香")</f>
        <v>大木 優香</v>
      </c>
    </row>
    <row r="11258" spans="2:4" ht="13">
      <c r="B11258" s="12">
        <f ca="1">IFERROR(__xludf.DUMMYFUNCTION("""COMPUTED_VALUE"""),3706604)</f>
        <v>3706604</v>
      </c>
      <c r="C11258" s="14">
        <f ca="1">IFERROR(__xludf.DUMMYFUNCTION("""COMPUTED_VALUE"""),0)</f>
        <v>0</v>
      </c>
      <c r="D11258" s="12" t="str">
        <f ca="1">IFERROR(__xludf.DUMMYFUNCTION("""COMPUTED_VALUE"""),"大木 優香")</f>
        <v>大木 優香</v>
      </c>
    </row>
    <row r="11259" spans="2:4" ht="13">
      <c r="B11259" s="12">
        <f ca="1">IFERROR(__xludf.DUMMYFUNCTION("""COMPUTED_VALUE"""),3706605)</f>
        <v>3706605</v>
      </c>
      <c r="C11259" s="14">
        <f ca="1">IFERROR(__xludf.DUMMYFUNCTION("""COMPUTED_VALUE"""),0)</f>
        <v>0</v>
      </c>
      <c r="D11259" s="12" t="str">
        <f ca="1">IFERROR(__xludf.DUMMYFUNCTION("""COMPUTED_VALUE"""),"大木 優香")</f>
        <v>大木 優香</v>
      </c>
    </row>
    <row r="11260" spans="2:4" ht="13">
      <c r="B11260" s="12">
        <f ca="1">IFERROR(__xludf.DUMMYFUNCTION("""COMPUTED_VALUE"""),3706606)</f>
        <v>3706606</v>
      </c>
      <c r="C11260" s="14">
        <f ca="1">IFERROR(__xludf.DUMMYFUNCTION("""COMPUTED_VALUE"""),0)</f>
        <v>0</v>
      </c>
      <c r="D11260" s="12" t="str">
        <f ca="1">IFERROR(__xludf.DUMMYFUNCTION("""COMPUTED_VALUE"""),"大木 優香")</f>
        <v>大木 優香</v>
      </c>
    </row>
    <row r="11261" spans="2:4" ht="13">
      <c r="B11261" s="12">
        <f ca="1">IFERROR(__xludf.DUMMYFUNCTION("""COMPUTED_VALUE"""),3706608)</f>
        <v>3706608</v>
      </c>
      <c r="C11261" s="14">
        <f ca="1">IFERROR(__xludf.DUMMYFUNCTION("""COMPUTED_VALUE"""),0)</f>
        <v>0</v>
      </c>
      <c r="D11261" s="12" t="str">
        <f ca="1">IFERROR(__xludf.DUMMYFUNCTION("""COMPUTED_VALUE"""),"大木 優香")</f>
        <v>大木 優香</v>
      </c>
    </row>
    <row r="11262" spans="2:4" ht="13">
      <c r="B11262" s="12">
        <f ca="1">IFERROR(__xludf.DUMMYFUNCTION("""COMPUTED_VALUE"""),3706610)</f>
        <v>3706610</v>
      </c>
      <c r="C11262" s="14">
        <f ca="1">IFERROR(__xludf.DUMMYFUNCTION("""COMPUTED_VALUE"""),0)</f>
        <v>0</v>
      </c>
      <c r="D11262" s="12" t="str">
        <f ca="1">IFERROR(__xludf.DUMMYFUNCTION("""COMPUTED_VALUE"""),"大木 優香")</f>
        <v>大木 優香</v>
      </c>
    </row>
    <row r="11263" spans="2:4" ht="13">
      <c r="B11263" s="12">
        <f ca="1">IFERROR(__xludf.DUMMYFUNCTION("""COMPUTED_VALUE"""),3706612)</f>
        <v>3706612</v>
      </c>
      <c r="C11263" s="14">
        <f ca="1">IFERROR(__xludf.DUMMYFUNCTION("""COMPUTED_VALUE"""),0)</f>
        <v>0</v>
      </c>
      <c r="D11263" s="12" t="str">
        <f ca="1">IFERROR(__xludf.DUMMYFUNCTION("""COMPUTED_VALUE"""),"大木 優香")</f>
        <v>大木 優香</v>
      </c>
    </row>
    <row r="11264" spans="2:4" ht="13">
      <c r="B11264" s="12">
        <f ca="1">IFERROR(__xludf.DUMMYFUNCTION("""COMPUTED_VALUE"""),3706613)</f>
        <v>3706613</v>
      </c>
      <c r="C11264" s="14">
        <f ca="1">IFERROR(__xludf.DUMMYFUNCTION("""COMPUTED_VALUE"""),0)</f>
        <v>0</v>
      </c>
      <c r="D11264" s="12" t="str">
        <f ca="1">IFERROR(__xludf.DUMMYFUNCTION("""COMPUTED_VALUE"""),"大木 優香")</f>
        <v>大木 優香</v>
      </c>
    </row>
    <row r="11265" spans="2:4" ht="13">
      <c r="B11265" s="12">
        <f ca="1">IFERROR(__xludf.DUMMYFUNCTION("""COMPUTED_VALUE"""),3706618)</f>
        <v>3706618</v>
      </c>
      <c r="C11265" s="14">
        <f ca="1">IFERROR(__xludf.DUMMYFUNCTION("""COMPUTED_VALUE"""),0)</f>
        <v>0</v>
      </c>
      <c r="D11265" s="12" t="str">
        <f ca="1">IFERROR(__xludf.DUMMYFUNCTION("""COMPUTED_VALUE"""),"大木 優香")</f>
        <v>大木 優香</v>
      </c>
    </row>
    <row r="11266" spans="2:4" ht="13">
      <c r="B11266" s="12">
        <f ca="1">IFERROR(__xludf.DUMMYFUNCTION("""COMPUTED_VALUE"""),3706620)</f>
        <v>3706620</v>
      </c>
      <c r="C11266" s="14">
        <f ca="1">IFERROR(__xludf.DUMMYFUNCTION("""COMPUTED_VALUE"""),0)</f>
        <v>0</v>
      </c>
      <c r="D11266" s="12" t="str">
        <f ca="1">IFERROR(__xludf.DUMMYFUNCTION("""COMPUTED_VALUE"""),"大木 優香")</f>
        <v>大木 優香</v>
      </c>
    </row>
    <row r="11267" spans="2:4" ht="13">
      <c r="B11267" s="12">
        <f ca="1">IFERROR(__xludf.DUMMYFUNCTION("""COMPUTED_VALUE"""),3706622)</f>
        <v>3706622</v>
      </c>
      <c r="C11267" s="14">
        <f ca="1">IFERROR(__xludf.DUMMYFUNCTION("""COMPUTED_VALUE"""),0)</f>
        <v>0</v>
      </c>
      <c r="D11267" s="12" t="str">
        <f ca="1">IFERROR(__xludf.DUMMYFUNCTION("""COMPUTED_VALUE"""),"大木 優香")</f>
        <v>大木 優香</v>
      </c>
    </row>
    <row r="11268" spans="2:4" ht="13">
      <c r="B11268" s="12">
        <f ca="1">IFERROR(__xludf.DUMMYFUNCTION("""COMPUTED_VALUE"""),3706623)</f>
        <v>3706623</v>
      </c>
      <c r="C11268" s="14">
        <f ca="1">IFERROR(__xludf.DUMMYFUNCTION("""COMPUTED_VALUE"""),0)</f>
        <v>0</v>
      </c>
      <c r="D11268" s="12" t="str">
        <f ca="1">IFERROR(__xludf.DUMMYFUNCTION("""COMPUTED_VALUE"""),"大木 優香")</f>
        <v>大木 優香</v>
      </c>
    </row>
    <row r="11269" spans="2:4" ht="13">
      <c r="B11269" s="12">
        <f ca="1">IFERROR(__xludf.DUMMYFUNCTION("""COMPUTED_VALUE"""),3706624)</f>
        <v>3706624</v>
      </c>
      <c r="C11269" s="14">
        <f ca="1">IFERROR(__xludf.DUMMYFUNCTION("""COMPUTED_VALUE"""),0)</f>
        <v>0</v>
      </c>
      <c r="D11269" s="12" t="str">
        <f ca="1">IFERROR(__xludf.DUMMYFUNCTION("""COMPUTED_VALUE"""),"大木 優香")</f>
        <v>大木 優香</v>
      </c>
    </row>
    <row r="11270" spans="2:4" ht="13">
      <c r="B11270" s="12">
        <f ca="1">IFERROR(__xludf.DUMMYFUNCTION("""COMPUTED_VALUE"""),3706625)</f>
        <v>3706625</v>
      </c>
      <c r="C11270" s="14">
        <f ca="1">IFERROR(__xludf.DUMMYFUNCTION("""COMPUTED_VALUE"""),0)</f>
        <v>0</v>
      </c>
      <c r="D11270" s="12" t="str">
        <f ca="1">IFERROR(__xludf.DUMMYFUNCTION("""COMPUTED_VALUE"""),"大木 優香")</f>
        <v>大木 優香</v>
      </c>
    </row>
    <row r="11271" spans="2:4" ht="13">
      <c r="B11271" s="12">
        <f ca="1">IFERROR(__xludf.DUMMYFUNCTION("""COMPUTED_VALUE"""),3706626)</f>
        <v>3706626</v>
      </c>
      <c r="C11271" s="14">
        <f ca="1">IFERROR(__xludf.DUMMYFUNCTION("""COMPUTED_VALUE"""),0)</f>
        <v>0</v>
      </c>
      <c r="D11271" s="12" t="str">
        <f ca="1">IFERROR(__xludf.DUMMYFUNCTION("""COMPUTED_VALUE"""),"大木 優香")</f>
        <v>大木 優香</v>
      </c>
    </row>
    <row r="11272" spans="2:4" ht="13">
      <c r="B11272" s="12">
        <f ca="1">IFERROR(__xludf.DUMMYFUNCTION("""COMPUTED_VALUE"""),3706628)</f>
        <v>3706628</v>
      </c>
      <c r="C11272" s="14">
        <f ca="1">IFERROR(__xludf.DUMMYFUNCTION("""COMPUTED_VALUE"""),0)</f>
        <v>0</v>
      </c>
      <c r="D11272" s="12" t="str">
        <f ca="1">IFERROR(__xludf.DUMMYFUNCTION("""COMPUTED_VALUE"""),"大木 優香")</f>
        <v>大木 優香</v>
      </c>
    </row>
    <row r="11273" spans="2:4" ht="13">
      <c r="B11273" s="12">
        <f ca="1">IFERROR(__xludf.DUMMYFUNCTION("""COMPUTED_VALUE"""),3706631)</f>
        <v>3706631</v>
      </c>
      <c r="C11273" s="14">
        <f ca="1">IFERROR(__xludf.DUMMYFUNCTION("""COMPUTED_VALUE"""),0)</f>
        <v>0</v>
      </c>
      <c r="D11273" s="12" t="str">
        <f ca="1">IFERROR(__xludf.DUMMYFUNCTION("""COMPUTED_VALUE"""),"大木 優香")</f>
        <v>大木 優香</v>
      </c>
    </row>
    <row r="11274" spans="2:4" ht="13">
      <c r="B11274" s="12">
        <f ca="1">IFERROR(__xludf.DUMMYFUNCTION("""COMPUTED_VALUE"""),3706633)</f>
        <v>3706633</v>
      </c>
      <c r="C11274" s="14">
        <f ca="1">IFERROR(__xludf.DUMMYFUNCTION("""COMPUTED_VALUE"""),0)</f>
        <v>0</v>
      </c>
      <c r="D11274" s="12" t="str">
        <f ca="1">IFERROR(__xludf.DUMMYFUNCTION("""COMPUTED_VALUE"""),"大木 優香")</f>
        <v>大木 優香</v>
      </c>
    </row>
    <row r="11275" spans="2:4" ht="13">
      <c r="B11275" s="12">
        <f ca="1">IFERROR(__xludf.DUMMYFUNCTION("""COMPUTED_VALUE"""),3706635)</f>
        <v>3706635</v>
      </c>
      <c r="C11275" s="14">
        <f ca="1">IFERROR(__xludf.DUMMYFUNCTION("""COMPUTED_VALUE"""),0)</f>
        <v>0</v>
      </c>
      <c r="D11275" s="12" t="str">
        <f ca="1">IFERROR(__xludf.DUMMYFUNCTION("""COMPUTED_VALUE"""),"大木 優香")</f>
        <v>大木 優香</v>
      </c>
    </row>
    <row r="11276" spans="2:4" ht="13">
      <c r="B11276" s="12">
        <f ca="1">IFERROR(__xludf.DUMMYFUNCTION("""COMPUTED_VALUE"""),3706638)</f>
        <v>3706638</v>
      </c>
      <c r="C11276" s="14">
        <f ca="1">IFERROR(__xludf.DUMMYFUNCTION("""COMPUTED_VALUE"""),0)</f>
        <v>0</v>
      </c>
      <c r="D11276" s="12" t="str">
        <f ca="1">IFERROR(__xludf.DUMMYFUNCTION("""COMPUTED_VALUE"""),"大木 優香")</f>
        <v>大木 優香</v>
      </c>
    </row>
    <row r="11277" spans="2:4" ht="13">
      <c r="B11277" s="12">
        <f ca="1">IFERROR(__xludf.DUMMYFUNCTION("""COMPUTED_VALUE"""),3706640)</f>
        <v>3706640</v>
      </c>
      <c r="C11277" s="14">
        <f ca="1">IFERROR(__xludf.DUMMYFUNCTION("""COMPUTED_VALUE"""),0)</f>
        <v>0</v>
      </c>
      <c r="D11277" s="12" t="str">
        <f ca="1">IFERROR(__xludf.DUMMYFUNCTION("""COMPUTED_VALUE"""),"大木 優香")</f>
        <v>大木 優香</v>
      </c>
    </row>
    <row r="11278" spans="2:4" ht="13">
      <c r="B11278" s="12">
        <f ca="1">IFERROR(__xludf.DUMMYFUNCTION("""COMPUTED_VALUE"""),3706645)</f>
        <v>3706645</v>
      </c>
      <c r="C11278" s="14">
        <f ca="1">IFERROR(__xludf.DUMMYFUNCTION("""COMPUTED_VALUE"""),0)</f>
        <v>0</v>
      </c>
      <c r="D11278" s="12" t="str">
        <f ca="1">IFERROR(__xludf.DUMMYFUNCTION("""COMPUTED_VALUE"""),"大木 優香")</f>
        <v>大木 優香</v>
      </c>
    </row>
    <row r="11279" spans="2:4" ht="13">
      <c r="B11279" s="12">
        <f ca="1">IFERROR(__xludf.DUMMYFUNCTION("""COMPUTED_VALUE"""),3706646)</f>
        <v>3706646</v>
      </c>
      <c r="C11279" s="14">
        <f ca="1">IFERROR(__xludf.DUMMYFUNCTION("""COMPUTED_VALUE"""),0)</f>
        <v>0</v>
      </c>
      <c r="D11279" s="12" t="str">
        <f ca="1">IFERROR(__xludf.DUMMYFUNCTION("""COMPUTED_VALUE"""),"大木 優香")</f>
        <v>大木 優香</v>
      </c>
    </row>
    <row r="11280" spans="2:4" ht="13">
      <c r="B11280" s="12">
        <f ca="1">IFERROR(__xludf.DUMMYFUNCTION("""COMPUTED_VALUE"""),3706647)</f>
        <v>3706647</v>
      </c>
      <c r="C11280" s="14">
        <f ca="1">IFERROR(__xludf.DUMMYFUNCTION("""COMPUTED_VALUE"""),0)</f>
        <v>0</v>
      </c>
      <c r="D11280" s="12" t="str">
        <f ca="1">IFERROR(__xludf.DUMMYFUNCTION("""COMPUTED_VALUE"""),"大木 優香")</f>
        <v>大木 優香</v>
      </c>
    </row>
    <row r="11281" spans="2:4" ht="13">
      <c r="B11281" s="12">
        <f ca="1">IFERROR(__xludf.DUMMYFUNCTION("""COMPUTED_VALUE"""),3706648)</f>
        <v>3706648</v>
      </c>
      <c r="C11281" s="14">
        <f ca="1">IFERROR(__xludf.DUMMYFUNCTION("""COMPUTED_VALUE"""),0)</f>
        <v>0</v>
      </c>
      <c r="D11281" s="12" t="str">
        <f ca="1">IFERROR(__xludf.DUMMYFUNCTION("""COMPUTED_VALUE"""),"大木 優香")</f>
        <v>大木 優香</v>
      </c>
    </row>
    <row r="11282" spans="2:4" ht="13">
      <c r="B11282" s="12">
        <f ca="1">IFERROR(__xludf.DUMMYFUNCTION("""COMPUTED_VALUE"""),3706651)</f>
        <v>3706651</v>
      </c>
      <c r="C11282" s="14">
        <f ca="1">IFERROR(__xludf.DUMMYFUNCTION("""COMPUTED_VALUE"""),0)</f>
        <v>0</v>
      </c>
      <c r="D11282" s="12" t="str">
        <f ca="1">IFERROR(__xludf.DUMMYFUNCTION("""COMPUTED_VALUE"""),"大木 優香")</f>
        <v>大木 優香</v>
      </c>
    </row>
    <row r="11283" spans="2:4" ht="13">
      <c r="B11283" s="12">
        <f ca="1">IFERROR(__xludf.DUMMYFUNCTION("""COMPUTED_VALUE"""),3706653)</f>
        <v>3706653</v>
      </c>
      <c r="C11283" s="14">
        <f ca="1">IFERROR(__xludf.DUMMYFUNCTION("""COMPUTED_VALUE"""),0)</f>
        <v>0</v>
      </c>
      <c r="D11283" s="12" t="str">
        <f ca="1">IFERROR(__xludf.DUMMYFUNCTION("""COMPUTED_VALUE"""),"大木 優香")</f>
        <v>大木 優香</v>
      </c>
    </row>
    <row r="11284" spans="2:4" ht="13">
      <c r="B11284" s="12">
        <f ca="1">IFERROR(__xludf.DUMMYFUNCTION("""COMPUTED_VALUE"""),3706655)</f>
        <v>3706655</v>
      </c>
      <c r="C11284" s="14">
        <f ca="1">IFERROR(__xludf.DUMMYFUNCTION("""COMPUTED_VALUE"""),0)</f>
        <v>0</v>
      </c>
      <c r="D11284" s="12" t="str">
        <f ca="1">IFERROR(__xludf.DUMMYFUNCTION("""COMPUTED_VALUE"""),"大木 優香")</f>
        <v>大木 優香</v>
      </c>
    </row>
    <row r="11285" spans="2:4" ht="13">
      <c r="B11285" s="12">
        <f ca="1">IFERROR(__xludf.DUMMYFUNCTION("""COMPUTED_VALUE"""),3706657)</f>
        <v>3706657</v>
      </c>
      <c r="C11285" s="14">
        <f ca="1">IFERROR(__xludf.DUMMYFUNCTION("""COMPUTED_VALUE"""),0)</f>
        <v>0</v>
      </c>
      <c r="D11285" s="12" t="str">
        <f ca="1">IFERROR(__xludf.DUMMYFUNCTION("""COMPUTED_VALUE"""),"大木 優香")</f>
        <v>大木 優香</v>
      </c>
    </row>
    <row r="11286" spans="2:4" ht="13">
      <c r="B11286" s="12">
        <f ca="1">IFERROR(__xludf.DUMMYFUNCTION("""COMPUTED_VALUE"""),3706658)</f>
        <v>3706658</v>
      </c>
      <c r="C11286" s="14">
        <f ca="1">IFERROR(__xludf.DUMMYFUNCTION("""COMPUTED_VALUE"""),0)</f>
        <v>0</v>
      </c>
      <c r="D11286" s="12" t="str">
        <f ca="1">IFERROR(__xludf.DUMMYFUNCTION("""COMPUTED_VALUE"""),"大木 優香")</f>
        <v>大木 優香</v>
      </c>
    </row>
    <row r="11287" spans="2:4" ht="13">
      <c r="B11287" s="12">
        <f ca="1">IFERROR(__xludf.DUMMYFUNCTION("""COMPUTED_VALUE"""),3706662)</f>
        <v>3706662</v>
      </c>
      <c r="C11287" s="14">
        <f ca="1">IFERROR(__xludf.DUMMYFUNCTION("""COMPUTED_VALUE"""),0)</f>
        <v>0</v>
      </c>
      <c r="D11287" s="12" t="str">
        <f ca="1">IFERROR(__xludf.DUMMYFUNCTION("""COMPUTED_VALUE"""),"大木 優香")</f>
        <v>大木 優香</v>
      </c>
    </row>
    <row r="11288" spans="2:4" ht="13">
      <c r="B11288" s="12">
        <f ca="1">IFERROR(__xludf.DUMMYFUNCTION("""COMPUTED_VALUE"""),3706665)</f>
        <v>3706665</v>
      </c>
      <c r="C11288" s="14">
        <f ca="1">IFERROR(__xludf.DUMMYFUNCTION("""COMPUTED_VALUE"""),0)</f>
        <v>0</v>
      </c>
      <c r="D11288" s="12" t="str">
        <f ca="1">IFERROR(__xludf.DUMMYFUNCTION("""COMPUTED_VALUE"""),"大木 優香")</f>
        <v>大木 優香</v>
      </c>
    </row>
    <row r="11289" spans="2:4" ht="13">
      <c r="B11289" s="12">
        <f ca="1">IFERROR(__xludf.DUMMYFUNCTION("""COMPUTED_VALUE"""),3706667)</f>
        <v>3706667</v>
      </c>
      <c r="C11289" s="14">
        <f ca="1">IFERROR(__xludf.DUMMYFUNCTION("""COMPUTED_VALUE"""),0)</f>
        <v>0</v>
      </c>
      <c r="D11289" s="12" t="str">
        <f ca="1">IFERROR(__xludf.DUMMYFUNCTION("""COMPUTED_VALUE"""),"大木 優香")</f>
        <v>大木 優香</v>
      </c>
    </row>
    <row r="11290" spans="2:4" ht="13">
      <c r="B11290" s="12">
        <f ca="1">IFERROR(__xludf.DUMMYFUNCTION("""COMPUTED_VALUE"""),3706670)</f>
        <v>3706670</v>
      </c>
      <c r="C11290" s="14">
        <f ca="1">IFERROR(__xludf.DUMMYFUNCTION("""COMPUTED_VALUE"""),0)</f>
        <v>0</v>
      </c>
      <c r="D11290" s="12" t="str">
        <f ca="1">IFERROR(__xludf.DUMMYFUNCTION("""COMPUTED_VALUE"""),"大木 優香")</f>
        <v>大木 優香</v>
      </c>
    </row>
    <row r="11291" spans="2:4" ht="13">
      <c r="B11291" s="12">
        <f ca="1">IFERROR(__xludf.DUMMYFUNCTION("""COMPUTED_VALUE"""),3706671)</f>
        <v>3706671</v>
      </c>
      <c r="C11291" s="14">
        <f ca="1">IFERROR(__xludf.DUMMYFUNCTION("""COMPUTED_VALUE"""),0)</f>
        <v>0</v>
      </c>
      <c r="D11291" s="12" t="str">
        <f ca="1">IFERROR(__xludf.DUMMYFUNCTION("""COMPUTED_VALUE"""),"大木 優香")</f>
        <v>大木 優香</v>
      </c>
    </row>
    <row r="11292" spans="2:4" ht="13">
      <c r="B11292" s="12">
        <f ca="1">IFERROR(__xludf.DUMMYFUNCTION("""COMPUTED_VALUE"""),3706674)</f>
        <v>3706674</v>
      </c>
      <c r="C11292" s="14">
        <f ca="1">IFERROR(__xludf.DUMMYFUNCTION("""COMPUTED_VALUE"""),0)</f>
        <v>0</v>
      </c>
      <c r="D11292" s="12" t="str">
        <f ca="1">IFERROR(__xludf.DUMMYFUNCTION("""COMPUTED_VALUE"""),"大木 優香")</f>
        <v>大木 優香</v>
      </c>
    </row>
    <row r="11293" spans="2:4" ht="13">
      <c r="B11293" s="12">
        <f ca="1">IFERROR(__xludf.DUMMYFUNCTION("""COMPUTED_VALUE"""),3706676)</f>
        <v>3706676</v>
      </c>
      <c r="C11293" s="14">
        <f ca="1">IFERROR(__xludf.DUMMYFUNCTION("""COMPUTED_VALUE"""),0)</f>
        <v>0</v>
      </c>
      <c r="D11293" s="12" t="str">
        <f ca="1">IFERROR(__xludf.DUMMYFUNCTION("""COMPUTED_VALUE"""),"大木 優香")</f>
        <v>大木 優香</v>
      </c>
    </row>
    <row r="11294" spans="2:4" ht="13">
      <c r="B11294" s="12">
        <f ca="1">IFERROR(__xludf.DUMMYFUNCTION("""COMPUTED_VALUE"""),3706677)</f>
        <v>3706677</v>
      </c>
      <c r="C11294" s="14">
        <f ca="1">IFERROR(__xludf.DUMMYFUNCTION("""COMPUTED_VALUE"""),0)</f>
        <v>0</v>
      </c>
      <c r="D11294" s="12" t="str">
        <f ca="1">IFERROR(__xludf.DUMMYFUNCTION("""COMPUTED_VALUE"""),"大木 優香")</f>
        <v>大木 優香</v>
      </c>
    </row>
    <row r="11295" spans="2:4" ht="13">
      <c r="B11295" s="12">
        <f ca="1">IFERROR(__xludf.DUMMYFUNCTION("""COMPUTED_VALUE"""),3706681)</f>
        <v>3706681</v>
      </c>
      <c r="C11295" s="14">
        <f ca="1">IFERROR(__xludf.DUMMYFUNCTION("""COMPUTED_VALUE"""),0)</f>
        <v>0</v>
      </c>
      <c r="D11295" s="12" t="str">
        <f ca="1">IFERROR(__xludf.DUMMYFUNCTION("""COMPUTED_VALUE"""),"大木 優香")</f>
        <v>大木 優香</v>
      </c>
    </row>
    <row r="11296" spans="2:4" ht="13">
      <c r="B11296" s="12">
        <f ca="1">IFERROR(__xludf.DUMMYFUNCTION("""COMPUTED_VALUE"""),3706682)</f>
        <v>3706682</v>
      </c>
      <c r="C11296" s="14">
        <f ca="1">IFERROR(__xludf.DUMMYFUNCTION("""COMPUTED_VALUE"""),0)</f>
        <v>0</v>
      </c>
      <c r="D11296" s="12" t="str">
        <f ca="1">IFERROR(__xludf.DUMMYFUNCTION("""COMPUTED_VALUE"""),"大木 優香")</f>
        <v>大木 優香</v>
      </c>
    </row>
    <row r="11297" spans="2:4" ht="13">
      <c r="B11297" s="12">
        <f ca="1">IFERROR(__xludf.DUMMYFUNCTION("""COMPUTED_VALUE"""),3706684)</f>
        <v>3706684</v>
      </c>
      <c r="C11297" s="14">
        <f ca="1">IFERROR(__xludf.DUMMYFUNCTION("""COMPUTED_VALUE"""),0)</f>
        <v>0</v>
      </c>
      <c r="D11297" s="12" t="str">
        <f ca="1">IFERROR(__xludf.DUMMYFUNCTION("""COMPUTED_VALUE"""),"大木 優香")</f>
        <v>大木 優香</v>
      </c>
    </row>
    <row r="11298" spans="2:4" ht="13">
      <c r="B11298" s="12">
        <f ca="1">IFERROR(__xludf.DUMMYFUNCTION("""COMPUTED_VALUE"""),3706685)</f>
        <v>3706685</v>
      </c>
      <c r="C11298" s="14">
        <f ca="1">IFERROR(__xludf.DUMMYFUNCTION("""COMPUTED_VALUE"""),0)</f>
        <v>0</v>
      </c>
      <c r="D11298" s="12" t="str">
        <f ca="1">IFERROR(__xludf.DUMMYFUNCTION("""COMPUTED_VALUE"""),"大木 優香")</f>
        <v>大木 優香</v>
      </c>
    </row>
    <row r="11299" spans="2:4" ht="13">
      <c r="B11299" s="12">
        <f ca="1">IFERROR(__xludf.DUMMYFUNCTION("""COMPUTED_VALUE"""),3706689)</f>
        <v>3706689</v>
      </c>
      <c r="C11299" s="14">
        <f ca="1">IFERROR(__xludf.DUMMYFUNCTION("""COMPUTED_VALUE"""),0)</f>
        <v>0</v>
      </c>
      <c r="D11299" s="12" t="str">
        <f ca="1">IFERROR(__xludf.DUMMYFUNCTION("""COMPUTED_VALUE"""),"大木 優香")</f>
        <v>大木 優香</v>
      </c>
    </row>
    <row r="11300" spans="2:4" ht="13">
      <c r="B11300" s="12">
        <f ca="1">IFERROR(__xludf.DUMMYFUNCTION("""COMPUTED_VALUE"""),3706690)</f>
        <v>3706690</v>
      </c>
      <c r="C11300" s="14">
        <f ca="1">IFERROR(__xludf.DUMMYFUNCTION("""COMPUTED_VALUE"""),0)</f>
        <v>0</v>
      </c>
      <c r="D11300" s="12" t="str">
        <f ca="1">IFERROR(__xludf.DUMMYFUNCTION("""COMPUTED_VALUE"""),"大木 優香")</f>
        <v>大木 優香</v>
      </c>
    </row>
    <row r="11301" spans="2:4" ht="13">
      <c r="B11301" s="12">
        <f ca="1">IFERROR(__xludf.DUMMYFUNCTION("""COMPUTED_VALUE"""),3706691)</f>
        <v>3706691</v>
      </c>
      <c r="C11301" s="14">
        <f ca="1">IFERROR(__xludf.DUMMYFUNCTION("""COMPUTED_VALUE"""),0)</f>
        <v>0</v>
      </c>
      <c r="D11301" s="12" t="str">
        <f ca="1">IFERROR(__xludf.DUMMYFUNCTION("""COMPUTED_VALUE"""),"大木 優香")</f>
        <v>大木 優香</v>
      </c>
    </row>
    <row r="11302" spans="2:4" ht="13">
      <c r="B11302" s="12">
        <f ca="1">IFERROR(__xludf.DUMMYFUNCTION("""COMPUTED_VALUE"""),3706692)</f>
        <v>3706692</v>
      </c>
      <c r="C11302" s="14">
        <f ca="1">IFERROR(__xludf.DUMMYFUNCTION("""COMPUTED_VALUE"""),3)</f>
        <v>3</v>
      </c>
      <c r="D11302" s="12" t="str">
        <f ca="1">IFERROR(__xludf.DUMMYFUNCTION("""COMPUTED_VALUE"""),"大木 優香")</f>
        <v>大木 優香</v>
      </c>
    </row>
    <row r="11303" spans="2:4" ht="13">
      <c r="B11303" s="12">
        <f ca="1">IFERROR(__xludf.DUMMYFUNCTION("""COMPUTED_VALUE"""),3706693)</f>
        <v>3706693</v>
      </c>
      <c r="C11303" s="14">
        <f ca="1">IFERROR(__xludf.DUMMYFUNCTION("""COMPUTED_VALUE"""),0)</f>
        <v>0</v>
      </c>
      <c r="D11303" s="12" t="str">
        <f ca="1">IFERROR(__xludf.DUMMYFUNCTION("""COMPUTED_VALUE"""),"大木 優香")</f>
        <v>大木 優香</v>
      </c>
    </row>
    <row r="11304" spans="2:4" ht="13">
      <c r="B11304" s="12">
        <f ca="1">IFERROR(__xludf.DUMMYFUNCTION("""COMPUTED_VALUE"""),3706695)</f>
        <v>3706695</v>
      </c>
      <c r="C11304" s="14">
        <f ca="1">IFERROR(__xludf.DUMMYFUNCTION("""COMPUTED_VALUE"""),0)</f>
        <v>0</v>
      </c>
      <c r="D11304" s="12" t="str">
        <f ca="1">IFERROR(__xludf.DUMMYFUNCTION("""COMPUTED_VALUE"""),"大木 優香")</f>
        <v>大木 優香</v>
      </c>
    </row>
    <row r="11305" spans="2:4" ht="13">
      <c r="B11305" s="12">
        <f ca="1">IFERROR(__xludf.DUMMYFUNCTION("""COMPUTED_VALUE"""),3706696)</f>
        <v>3706696</v>
      </c>
      <c r="C11305" s="14">
        <f ca="1">IFERROR(__xludf.DUMMYFUNCTION("""COMPUTED_VALUE"""),0)</f>
        <v>0</v>
      </c>
      <c r="D11305" s="12" t="str">
        <f ca="1">IFERROR(__xludf.DUMMYFUNCTION("""COMPUTED_VALUE"""),"大木 優香")</f>
        <v>大木 優香</v>
      </c>
    </row>
    <row r="11306" spans="2:4" ht="13">
      <c r="B11306" s="12">
        <f ca="1">IFERROR(__xludf.DUMMYFUNCTION("""COMPUTED_VALUE"""),3706698)</f>
        <v>3706698</v>
      </c>
      <c r="C11306" s="14">
        <f ca="1">IFERROR(__xludf.DUMMYFUNCTION("""COMPUTED_VALUE"""),0)</f>
        <v>0</v>
      </c>
      <c r="D11306" s="12" t="str">
        <f ca="1">IFERROR(__xludf.DUMMYFUNCTION("""COMPUTED_VALUE"""),"大木 優香")</f>
        <v>大木 優香</v>
      </c>
    </row>
    <row r="11307" spans="2:4" ht="13">
      <c r="B11307" s="12">
        <f ca="1">IFERROR(__xludf.DUMMYFUNCTION("""COMPUTED_VALUE"""),3706699)</f>
        <v>3706699</v>
      </c>
      <c r="C11307" s="14">
        <f ca="1">IFERROR(__xludf.DUMMYFUNCTION("""COMPUTED_VALUE"""),0)</f>
        <v>0</v>
      </c>
      <c r="D11307" s="12" t="str">
        <f ca="1">IFERROR(__xludf.DUMMYFUNCTION("""COMPUTED_VALUE"""),"大木 優香")</f>
        <v>大木 優香</v>
      </c>
    </row>
    <row r="11308" spans="2:4" ht="13">
      <c r="B11308" s="12">
        <f ca="1">IFERROR(__xludf.DUMMYFUNCTION("""COMPUTED_VALUE"""),3706700)</f>
        <v>3706700</v>
      </c>
      <c r="C11308" s="14">
        <f ca="1">IFERROR(__xludf.DUMMYFUNCTION("""COMPUTED_VALUE"""),2)</f>
        <v>2</v>
      </c>
      <c r="D11308" s="12" t="str">
        <f ca="1">IFERROR(__xludf.DUMMYFUNCTION("""COMPUTED_VALUE"""),"大木 優香")</f>
        <v>大木 優香</v>
      </c>
    </row>
    <row r="11309" spans="2:4" ht="13">
      <c r="B11309" s="12">
        <f ca="1">IFERROR(__xludf.DUMMYFUNCTION("""COMPUTED_VALUE"""),3706701)</f>
        <v>3706701</v>
      </c>
      <c r="C11309" s="14">
        <f ca="1">IFERROR(__xludf.DUMMYFUNCTION("""COMPUTED_VALUE"""),0)</f>
        <v>0</v>
      </c>
      <c r="D11309" s="12" t="str">
        <f ca="1">IFERROR(__xludf.DUMMYFUNCTION("""COMPUTED_VALUE"""),"大木 優香")</f>
        <v>大木 優香</v>
      </c>
    </row>
    <row r="11310" spans="2:4" ht="13">
      <c r="B11310" s="12">
        <f ca="1">IFERROR(__xludf.DUMMYFUNCTION("""COMPUTED_VALUE"""),3706702)</f>
        <v>3706702</v>
      </c>
      <c r="C11310" s="14">
        <f ca="1">IFERROR(__xludf.DUMMYFUNCTION("""COMPUTED_VALUE"""),10)</f>
        <v>10</v>
      </c>
      <c r="D11310" s="12" t="str">
        <f ca="1">IFERROR(__xludf.DUMMYFUNCTION("""COMPUTED_VALUE"""),"大木 優香")</f>
        <v>大木 優香</v>
      </c>
    </row>
    <row r="11311" spans="2:4" ht="13">
      <c r="B11311" s="12">
        <f ca="1">IFERROR(__xludf.DUMMYFUNCTION("""COMPUTED_VALUE"""),3706705)</f>
        <v>3706705</v>
      </c>
      <c r="C11311" s="14">
        <f ca="1">IFERROR(__xludf.DUMMYFUNCTION("""COMPUTED_VALUE"""),1)</f>
        <v>1</v>
      </c>
      <c r="D11311" s="12" t="str">
        <f ca="1">IFERROR(__xludf.DUMMYFUNCTION("""COMPUTED_VALUE"""),"大木 優香")</f>
        <v>大木 優香</v>
      </c>
    </row>
    <row r="11312" spans="2:4" ht="13">
      <c r="B11312" s="12">
        <f ca="1">IFERROR(__xludf.DUMMYFUNCTION("""COMPUTED_VALUE"""),3706706)</f>
        <v>3706706</v>
      </c>
      <c r="C11312" s="14">
        <f ca="1">IFERROR(__xludf.DUMMYFUNCTION("""COMPUTED_VALUE"""),0)</f>
        <v>0</v>
      </c>
      <c r="D11312" s="12" t="str">
        <f ca="1">IFERROR(__xludf.DUMMYFUNCTION("""COMPUTED_VALUE"""),"大木 優香")</f>
        <v>大木 優香</v>
      </c>
    </row>
    <row r="11313" spans="2:4" ht="13">
      <c r="B11313" s="12">
        <f ca="1">IFERROR(__xludf.DUMMYFUNCTION("""COMPUTED_VALUE"""),3706708)</f>
        <v>3706708</v>
      </c>
      <c r="C11313" s="14">
        <f ca="1">IFERROR(__xludf.DUMMYFUNCTION("""COMPUTED_VALUE"""),21)</f>
        <v>21</v>
      </c>
      <c r="D11313" s="12" t="str">
        <f ca="1">IFERROR(__xludf.DUMMYFUNCTION("""COMPUTED_VALUE"""),"大木 優香")</f>
        <v>大木 優香</v>
      </c>
    </row>
    <row r="11314" spans="2:4" ht="13">
      <c r="B11314" s="12">
        <f ca="1">IFERROR(__xludf.DUMMYFUNCTION("""COMPUTED_VALUE"""),3706710)</f>
        <v>3706710</v>
      </c>
      <c r="C11314" s="14">
        <f ca="1">IFERROR(__xludf.DUMMYFUNCTION("""COMPUTED_VALUE"""),8)</f>
        <v>8</v>
      </c>
      <c r="D11314" s="12" t="str">
        <f ca="1">IFERROR(__xludf.DUMMYFUNCTION("""COMPUTED_VALUE"""),"大木 優香")</f>
        <v>大木 優香</v>
      </c>
    </row>
    <row r="11315" spans="2:4" ht="13">
      <c r="B11315" s="12">
        <f ca="1">IFERROR(__xludf.DUMMYFUNCTION("""COMPUTED_VALUE"""),3706711)</f>
        <v>3706711</v>
      </c>
      <c r="C11315" s="14">
        <f ca="1">IFERROR(__xludf.DUMMYFUNCTION("""COMPUTED_VALUE"""),0)</f>
        <v>0</v>
      </c>
      <c r="D11315" s="12" t="str">
        <f ca="1">IFERROR(__xludf.DUMMYFUNCTION("""COMPUTED_VALUE"""),"大木 優香")</f>
        <v>大木 優香</v>
      </c>
    </row>
    <row r="11316" spans="2:4" ht="13">
      <c r="B11316" s="12">
        <f ca="1">IFERROR(__xludf.DUMMYFUNCTION("""COMPUTED_VALUE"""),3706712)</f>
        <v>3706712</v>
      </c>
      <c r="C11316" s="14">
        <f ca="1">IFERROR(__xludf.DUMMYFUNCTION("""COMPUTED_VALUE"""),3)</f>
        <v>3</v>
      </c>
      <c r="D11316" s="12" t="str">
        <f ca="1">IFERROR(__xludf.DUMMYFUNCTION("""COMPUTED_VALUE"""),"大木 優香")</f>
        <v>大木 優香</v>
      </c>
    </row>
    <row r="11317" spans="2:4" ht="13">
      <c r="B11317" s="12">
        <f ca="1">IFERROR(__xludf.DUMMYFUNCTION("""COMPUTED_VALUE"""),3706713)</f>
        <v>3706713</v>
      </c>
      <c r="C11317" s="14">
        <f ca="1">IFERROR(__xludf.DUMMYFUNCTION("""COMPUTED_VALUE"""),36)</f>
        <v>36</v>
      </c>
      <c r="D11317" s="12" t="str">
        <f ca="1">IFERROR(__xludf.DUMMYFUNCTION("""COMPUTED_VALUE"""),"大木 優香")</f>
        <v>大木 優香</v>
      </c>
    </row>
    <row r="11318" spans="2:4" ht="13">
      <c r="B11318" s="12">
        <f ca="1">IFERROR(__xludf.DUMMYFUNCTION("""COMPUTED_VALUE"""),3706714)</f>
        <v>3706714</v>
      </c>
      <c r="C11318" s="14">
        <f ca="1">IFERROR(__xludf.DUMMYFUNCTION("""COMPUTED_VALUE"""),13)</f>
        <v>13</v>
      </c>
      <c r="D11318" s="12" t="str">
        <f ca="1">IFERROR(__xludf.DUMMYFUNCTION("""COMPUTED_VALUE"""),"大木 優香")</f>
        <v>大木 優香</v>
      </c>
    </row>
    <row r="11319" spans="2:4" ht="13">
      <c r="B11319" s="12">
        <f ca="1">IFERROR(__xludf.DUMMYFUNCTION("""COMPUTED_VALUE"""),3706721)</f>
        <v>3706721</v>
      </c>
      <c r="C11319" s="14">
        <f ca="1">IFERROR(__xludf.DUMMYFUNCTION("""COMPUTED_VALUE"""),33)</f>
        <v>33</v>
      </c>
      <c r="D11319" s="12" t="str">
        <f ca="1">IFERROR(__xludf.DUMMYFUNCTION("""COMPUTED_VALUE"""),"大木 優香")</f>
        <v>大木 優香</v>
      </c>
    </row>
    <row r="11320" spans="2:4" ht="13">
      <c r="B11320" s="12">
        <f ca="1">IFERROR(__xludf.DUMMYFUNCTION("""COMPUTED_VALUE"""),3706722)</f>
        <v>3706722</v>
      </c>
      <c r="C11320" s="14">
        <f ca="1">IFERROR(__xludf.DUMMYFUNCTION("""COMPUTED_VALUE"""),3)</f>
        <v>3</v>
      </c>
      <c r="D11320" s="12" t="str">
        <f ca="1">IFERROR(__xludf.DUMMYFUNCTION("""COMPUTED_VALUE"""),"大木 優香")</f>
        <v>大木 優香</v>
      </c>
    </row>
    <row r="11321" spans="2:4" ht="13">
      <c r="B11321" s="12">
        <f ca="1">IFERROR(__xludf.DUMMYFUNCTION("""COMPUTED_VALUE"""),3706726)</f>
        <v>3706726</v>
      </c>
      <c r="C11321" s="14">
        <f ca="1">IFERROR(__xludf.DUMMYFUNCTION("""COMPUTED_VALUE"""),0)</f>
        <v>0</v>
      </c>
      <c r="D11321" s="12" t="str">
        <f ca="1">IFERROR(__xludf.DUMMYFUNCTION("""COMPUTED_VALUE"""),"大木 優香")</f>
        <v>大木 優香</v>
      </c>
    </row>
    <row r="11322" spans="2:4" ht="13">
      <c r="B11322" s="12">
        <f ca="1">IFERROR(__xludf.DUMMYFUNCTION("""COMPUTED_VALUE"""),3706729)</f>
        <v>3706729</v>
      </c>
      <c r="C11322" s="14">
        <f ca="1">IFERROR(__xludf.DUMMYFUNCTION("""COMPUTED_VALUE"""),1)</f>
        <v>1</v>
      </c>
      <c r="D11322" s="12" t="str">
        <f ca="1">IFERROR(__xludf.DUMMYFUNCTION("""COMPUTED_VALUE"""),"大木 優香")</f>
        <v>大木 優香</v>
      </c>
    </row>
    <row r="11323" spans="2:4" ht="13">
      <c r="B11323" s="12">
        <f ca="1">IFERROR(__xludf.DUMMYFUNCTION("""COMPUTED_VALUE"""),3706731)</f>
        <v>3706731</v>
      </c>
      <c r="C11323" s="14">
        <f ca="1">IFERROR(__xludf.DUMMYFUNCTION("""COMPUTED_VALUE"""),33)</f>
        <v>33</v>
      </c>
      <c r="D11323" s="12" t="str">
        <f ca="1">IFERROR(__xludf.DUMMYFUNCTION("""COMPUTED_VALUE"""),"大木 優香")</f>
        <v>大木 優香</v>
      </c>
    </row>
    <row r="11324" spans="2:4" ht="13">
      <c r="B11324" s="12">
        <f ca="1">IFERROR(__xludf.DUMMYFUNCTION("""COMPUTED_VALUE"""),3706733)</f>
        <v>3706733</v>
      </c>
      <c r="C11324" s="14">
        <f ca="1">IFERROR(__xludf.DUMMYFUNCTION("""COMPUTED_VALUE"""),16)</f>
        <v>16</v>
      </c>
      <c r="D11324" s="12" t="str">
        <f ca="1">IFERROR(__xludf.DUMMYFUNCTION("""COMPUTED_VALUE"""),"大木 優香")</f>
        <v>大木 優香</v>
      </c>
    </row>
    <row r="11325" spans="2:4" ht="13">
      <c r="B11325" s="12">
        <f ca="1">IFERROR(__xludf.DUMMYFUNCTION("""COMPUTED_VALUE"""),3706739)</f>
        <v>3706739</v>
      </c>
      <c r="C11325" s="14">
        <f ca="1">IFERROR(__xludf.DUMMYFUNCTION("""COMPUTED_VALUE"""),6)</f>
        <v>6</v>
      </c>
      <c r="D11325" s="12" t="str">
        <f ca="1">IFERROR(__xludf.DUMMYFUNCTION("""COMPUTED_VALUE"""),"大木 優香")</f>
        <v>大木 優香</v>
      </c>
    </row>
    <row r="11326" spans="2:4" ht="13">
      <c r="B11326" s="12">
        <f ca="1">IFERROR(__xludf.DUMMYFUNCTION("""COMPUTED_VALUE"""),3706740)</f>
        <v>3706740</v>
      </c>
      <c r="C11326" s="14">
        <f ca="1">IFERROR(__xludf.DUMMYFUNCTION("""COMPUTED_VALUE"""),7)</f>
        <v>7</v>
      </c>
      <c r="D11326" s="12" t="str">
        <f ca="1">IFERROR(__xludf.DUMMYFUNCTION("""COMPUTED_VALUE"""),"大木 優香")</f>
        <v>大木 優香</v>
      </c>
    </row>
    <row r="11327" spans="2:4" ht="13">
      <c r="B11327" s="12">
        <f ca="1">IFERROR(__xludf.DUMMYFUNCTION("""COMPUTED_VALUE"""),3706745)</f>
        <v>3706745</v>
      </c>
      <c r="C11327" s="14">
        <f ca="1">IFERROR(__xludf.DUMMYFUNCTION("""COMPUTED_VALUE"""),10)</f>
        <v>10</v>
      </c>
      <c r="D11327" s="12" t="str">
        <f ca="1">IFERROR(__xludf.DUMMYFUNCTION("""COMPUTED_VALUE"""),"大木 優香")</f>
        <v>大木 優香</v>
      </c>
    </row>
    <row r="11328" spans="2:4" ht="13">
      <c r="B11328" s="12">
        <f ca="1">IFERROR(__xludf.DUMMYFUNCTION("""COMPUTED_VALUE"""),3706746)</f>
        <v>3706746</v>
      </c>
      <c r="C11328" s="14">
        <f ca="1">IFERROR(__xludf.DUMMYFUNCTION("""COMPUTED_VALUE"""),0)</f>
        <v>0</v>
      </c>
      <c r="D11328" s="12" t="str">
        <f ca="1">IFERROR(__xludf.DUMMYFUNCTION("""COMPUTED_VALUE"""),"大木 優香")</f>
        <v>大木 優香</v>
      </c>
    </row>
    <row r="11329" spans="2:4" ht="13">
      <c r="B11329" s="12">
        <f ca="1">IFERROR(__xludf.DUMMYFUNCTION("""COMPUTED_VALUE"""),3706750)</f>
        <v>3706750</v>
      </c>
      <c r="C11329" s="14">
        <f ca="1">IFERROR(__xludf.DUMMYFUNCTION("""COMPUTED_VALUE"""),0)</f>
        <v>0</v>
      </c>
      <c r="D11329" s="12" t="str">
        <f ca="1">IFERROR(__xludf.DUMMYFUNCTION("""COMPUTED_VALUE"""),"大木 優香")</f>
        <v>大木 優香</v>
      </c>
    </row>
    <row r="11330" spans="2:4" ht="13">
      <c r="B11330" s="12">
        <f ca="1">IFERROR(__xludf.DUMMYFUNCTION("""COMPUTED_VALUE"""),3706756)</f>
        <v>3706756</v>
      </c>
      <c r="C11330" s="14">
        <f ca="1">IFERROR(__xludf.DUMMYFUNCTION("""COMPUTED_VALUE"""),18)</f>
        <v>18</v>
      </c>
      <c r="D11330" s="12" t="str">
        <f ca="1">IFERROR(__xludf.DUMMYFUNCTION("""COMPUTED_VALUE"""),"大木 優香")</f>
        <v>大木 優香</v>
      </c>
    </row>
    <row r="11331" spans="2:4" ht="13">
      <c r="B11331" s="12">
        <f ca="1">IFERROR(__xludf.DUMMYFUNCTION("""COMPUTED_VALUE"""),3706757)</f>
        <v>3706757</v>
      </c>
      <c r="C11331" s="14">
        <f ca="1">IFERROR(__xludf.DUMMYFUNCTION("""COMPUTED_VALUE"""),2)</f>
        <v>2</v>
      </c>
      <c r="D11331" s="12" t="str">
        <f ca="1">IFERROR(__xludf.DUMMYFUNCTION("""COMPUTED_VALUE"""),"大木 優香")</f>
        <v>大木 優香</v>
      </c>
    </row>
    <row r="11332" spans="2:4" ht="13">
      <c r="B11332" s="12">
        <f ca="1">IFERROR(__xludf.DUMMYFUNCTION("""COMPUTED_VALUE"""),3706758)</f>
        <v>3706758</v>
      </c>
      <c r="C11332" s="14">
        <f ca="1">IFERROR(__xludf.DUMMYFUNCTION("""COMPUTED_VALUE"""),1)</f>
        <v>1</v>
      </c>
      <c r="D11332" s="12" t="str">
        <f ca="1">IFERROR(__xludf.DUMMYFUNCTION("""COMPUTED_VALUE"""),"大木 優香")</f>
        <v>大木 優香</v>
      </c>
    </row>
    <row r="11333" spans="2:4" ht="13">
      <c r="B11333" s="12">
        <f ca="1">IFERROR(__xludf.DUMMYFUNCTION("""COMPUTED_VALUE"""),3706763)</f>
        <v>3706763</v>
      </c>
      <c r="C11333" s="14">
        <f ca="1">IFERROR(__xludf.DUMMYFUNCTION("""COMPUTED_VALUE"""),0)</f>
        <v>0</v>
      </c>
      <c r="D11333" s="12" t="str">
        <f ca="1">IFERROR(__xludf.DUMMYFUNCTION("""COMPUTED_VALUE"""),"大木 優香")</f>
        <v>大木 優香</v>
      </c>
    </row>
    <row r="11334" spans="2:4" ht="13">
      <c r="B11334" s="12">
        <f ca="1">IFERROR(__xludf.DUMMYFUNCTION("""COMPUTED_VALUE"""),3706765)</f>
        <v>3706765</v>
      </c>
      <c r="C11334" s="14">
        <f ca="1">IFERROR(__xludf.DUMMYFUNCTION("""COMPUTED_VALUE"""),16)</f>
        <v>16</v>
      </c>
      <c r="D11334" s="12" t="str">
        <f ca="1">IFERROR(__xludf.DUMMYFUNCTION("""COMPUTED_VALUE"""),"大木 優香")</f>
        <v>大木 優香</v>
      </c>
    </row>
    <row r="11335" spans="2:4" ht="13">
      <c r="B11335" s="12">
        <f ca="1">IFERROR(__xludf.DUMMYFUNCTION("""COMPUTED_VALUE"""),3706766)</f>
        <v>3706766</v>
      </c>
      <c r="C11335" s="14">
        <f ca="1">IFERROR(__xludf.DUMMYFUNCTION("""COMPUTED_VALUE"""),1)</f>
        <v>1</v>
      </c>
      <c r="D11335" s="12" t="str">
        <f ca="1">IFERROR(__xludf.DUMMYFUNCTION("""COMPUTED_VALUE"""),"大木 優香")</f>
        <v>大木 優香</v>
      </c>
    </row>
    <row r="11336" spans="2:4" ht="13">
      <c r="B11336" s="12">
        <f ca="1">IFERROR(__xludf.DUMMYFUNCTION("""COMPUTED_VALUE"""),3706768)</f>
        <v>3706768</v>
      </c>
      <c r="C11336" s="14">
        <f ca="1">IFERROR(__xludf.DUMMYFUNCTION("""COMPUTED_VALUE"""),1)</f>
        <v>1</v>
      </c>
      <c r="D11336" s="12" t="str">
        <f ca="1">IFERROR(__xludf.DUMMYFUNCTION("""COMPUTED_VALUE"""),"大木 優香")</f>
        <v>大木 優香</v>
      </c>
    </row>
    <row r="11337" spans="2:4" ht="13">
      <c r="B11337" s="12">
        <f ca="1">IFERROR(__xludf.DUMMYFUNCTION("""COMPUTED_VALUE"""),3706769)</f>
        <v>3706769</v>
      </c>
      <c r="C11337" s="14">
        <f ca="1">IFERROR(__xludf.DUMMYFUNCTION("""COMPUTED_VALUE"""),0)</f>
        <v>0</v>
      </c>
      <c r="D11337" s="12" t="str">
        <f ca="1">IFERROR(__xludf.DUMMYFUNCTION("""COMPUTED_VALUE"""),"大木 優香")</f>
        <v>大木 優香</v>
      </c>
    </row>
    <row r="11338" spans="2:4" ht="13">
      <c r="B11338" s="12">
        <f ca="1">IFERROR(__xludf.DUMMYFUNCTION("""COMPUTED_VALUE"""),3706770)</f>
        <v>3706770</v>
      </c>
      <c r="C11338" s="14">
        <f ca="1">IFERROR(__xludf.DUMMYFUNCTION("""COMPUTED_VALUE"""),0)</f>
        <v>0</v>
      </c>
      <c r="D11338" s="12" t="str">
        <f ca="1">IFERROR(__xludf.DUMMYFUNCTION("""COMPUTED_VALUE"""),"大木 優香")</f>
        <v>大木 優香</v>
      </c>
    </row>
    <row r="11339" spans="2:4" ht="13">
      <c r="B11339" s="12">
        <f ca="1">IFERROR(__xludf.DUMMYFUNCTION("""COMPUTED_VALUE"""),3706773)</f>
        <v>3706773</v>
      </c>
      <c r="C11339" s="14">
        <f ca="1">IFERROR(__xludf.DUMMYFUNCTION("""COMPUTED_VALUE"""),18)</f>
        <v>18</v>
      </c>
      <c r="D11339" s="12" t="str">
        <f ca="1">IFERROR(__xludf.DUMMYFUNCTION("""COMPUTED_VALUE"""),"大木 優香")</f>
        <v>大木 優香</v>
      </c>
    </row>
    <row r="11340" spans="2:4" ht="13">
      <c r="B11340" s="12">
        <f ca="1">IFERROR(__xludf.DUMMYFUNCTION("""COMPUTED_VALUE"""),3706775)</f>
        <v>3706775</v>
      </c>
      <c r="C11340" s="14">
        <f ca="1">IFERROR(__xludf.DUMMYFUNCTION("""COMPUTED_VALUE"""),55)</f>
        <v>55</v>
      </c>
      <c r="D11340" s="12" t="str">
        <f ca="1">IFERROR(__xludf.DUMMYFUNCTION("""COMPUTED_VALUE"""),"大木 優香")</f>
        <v>大木 優香</v>
      </c>
    </row>
    <row r="11341" spans="2:4" ht="13">
      <c r="B11341" s="12">
        <f ca="1">IFERROR(__xludf.DUMMYFUNCTION("""COMPUTED_VALUE"""),3706777)</f>
        <v>3706777</v>
      </c>
      <c r="C11341" s="14">
        <f ca="1">IFERROR(__xludf.DUMMYFUNCTION("""COMPUTED_VALUE"""),0)</f>
        <v>0</v>
      </c>
      <c r="D11341" s="12" t="str">
        <f ca="1">IFERROR(__xludf.DUMMYFUNCTION("""COMPUTED_VALUE"""),"大木 優香")</f>
        <v>大木 優香</v>
      </c>
    </row>
    <row r="11342" spans="2:4" ht="13">
      <c r="B11342" s="12">
        <f ca="1">IFERROR(__xludf.DUMMYFUNCTION("""COMPUTED_VALUE"""),3706780)</f>
        <v>3706780</v>
      </c>
      <c r="C11342" s="14">
        <f ca="1">IFERROR(__xludf.DUMMYFUNCTION("""COMPUTED_VALUE"""),18)</f>
        <v>18</v>
      </c>
      <c r="D11342" s="12" t="str">
        <f ca="1">IFERROR(__xludf.DUMMYFUNCTION("""COMPUTED_VALUE"""),"大木 優香")</f>
        <v>大木 優香</v>
      </c>
    </row>
    <row r="11343" spans="2:4" ht="13">
      <c r="B11343" s="12">
        <f ca="1">IFERROR(__xludf.DUMMYFUNCTION("""COMPUTED_VALUE"""),3706781)</f>
        <v>3706781</v>
      </c>
      <c r="C11343" s="14">
        <f ca="1">IFERROR(__xludf.DUMMYFUNCTION("""COMPUTED_VALUE"""),5)</f>
        <v>5</v>
      </c>
      <c r="D11343" s="12" t="str">
        <f ca="1">IFERROR(__xludf.DUMMYFUNCTION("""COMPUTED_VALUE"""),"大木 優香")</f>
        <v>大木 優香</v>
      </c>
    </row>
    <row r="11344" spans="2:4" ht="13">
      <c r="B11344" s="12">
        <f ca="1">IFERROR(__xludf.DUMMYFUNCTION("""COMPUTED_VALUE"""),3706784)</f>
        <v>3706784</v>
      </c>
      <c r="C11344" s="14">
        <f ca="1">IFERROR(__xludf.DUMMYFUNCTION("""COMPUTED_VALUE"""),6)</f>
        <v>6</v>
      </c>
      <c r="D11344" s="12" t="str">
        <f ca="1">IFERROR(__xludf.DUMMYFUNCTION("""COMPUTED_VALUE"""),"大木 優香")</f>
        <v>大木 優香</v>
      </c>
    </row>
    <row r="11345" spans="2:4" ht="13">
      <c r="B11345" s="12">
        <f ca="1">IFERROR(__xludf.DUMMYFUNCTION("""COMPUTED_VALUE"""),3706785)</f>
        <v>3706785</v>
      </c>
      <c r="C11345" s="14">
        <f ca="1">IFERROR(__xludf.DUMMYFUNCTION("""COMPUTED_VALUE"""),28)</f>
        <v>28</v>
      </c>
      <c r="D11345" s="12" t="str">
        <f ca="1">IFERROR(__xludf.DUMMYFUNCTION("""COMPUTED_VALUE"""),"大木 優香")</f>
        <v>大木 優香</v>
      </c>
    </row>
    <row r="11346" spans="2:4" ht="13">
      <c r="B11346" s="12">
        <f ca="1">IFERROR(__xludf.DUMMYFUNCTION("""COMPUTED_VALUE"""),3706787)</f>
        <v>3706787</v>
      </c>
      <c r="C11346" s="14">
        <f ca="1">IFERROR(__xludf.DUMMYFUNCTION("""COMPUTED_VALUE"""),7)</f>
        <v>7</v>
      </c>
      <c r="D11346" s="12" t="str">
        <f ca="1">IFERROR(__xludf.DUMMYFUNCTION("""COMPUTED_VALUE"""),"大木 優香")</f>
        <v>大木 優香</v>
      </c>
    </row>
    <row r="11347" spans="2:4" ht="13">
      <c r="B11347" s="12">
        <f ca="1">IFERROR(__xludf.DUMMYFUNCTION("""COMPUTED_VALUE"""),3706789)</f>
        <v>3706789</v>
      </c>
      <c r="C11347" s="14">
        <f ca="1">IFERROR(__xludf.DUMMYFUNCTION("""COMPUTED_VALUE"""),54)</f>
        <v>54</v>
      </c>
      <c r="D11347" s="12" t="str">
        <f ca="1">IFERROR(__xludf.DUMMYFUNCTION("""COMPUTED_VALUE"""),"大木 優香")</f>
        <v>大木 優香</v>
      </c>
    </row>
    <row r="11348" spans="2:4" ht="13">
      <c r="B11348" s="12">
        <f ca="1">IFERROR(__xludf.DUMMYFUNCTION("""COMPUTED_VALUE"""),3706791)</f>
        <v>3706791</v>
      </c>
      <c r="C11348" s="14">
        <f ca="1">IFERROR(__xludf.DUMMYFUNCTION("""COMPUTED_VALUE"""),0)</f>
        <v>0</v>
      </c>
      <c r="D11348" s="12" t="str">
        <f ca="1">IFERROR(__xludf.DUMMYFUNCTION("""COMPUTED_VALUE"""),"大木 優香")</f>
        <v>大木 優香</v>
      </c>
    </row>
    <row r="11349" spans="2:4" ht="13">
      <c r="B11349" s="12">
        <f ca="1">IFERROR(__xludf.DUMMYFUNCTION("""COMPUTED_VALUE"""),3706793)</f>
        <v>3706793</v>
      </c>
      <c r="C11349" s="14">
        <f ca="1">IFERROR(__xludf.DUMMYFUNCTION("""COMPUTED_VALUE"""),10)</f>
        <v>10</v>
      </c>
      <c r="D11349" s="12" t="str">
        <f ca="1">IFERROR(__xludf.DUMMYFUNCTION("""COMPUTED_VALUE"""),"大木 優香")</f>
        <v>大木 優香</v>
      </c>
    </row>
    <row r="11350" spans="2:4" ht="13">
      <c r="B11350" s="12">
        <f ca="1">IFERROR(__xludf.DUMMYFUNCTION("""COMPUTED_VALUE"""),3706804)</f>
        <v>3706804</v>
      </c>
      <c r="C11350" s="14">
        <f ca="1">IFERROR(__xludf.DUMMYFUNCTION("""COMPUTED_VALUE"""),16)</f>
        <v>16</v>
      </c>
      <c r="D11350" s="12" t="str">
        <f ca="1">IFERROR(__xludf.DUMMYFUNCTION("""COMPUTED_VALUE"""),"大木 優香")</f>
        <v>大木 優香</v>
      </c>
    </row>
    <row r="11351" spans="2:4" ht="13">
      <c r="B11351" s="12">
        <f ca="1">IFERROR(__xludf.DUMMYFUNCTION("""COMPUTED_VALUE"""),3706805)</f>
        <v>3706805</v>
      </c>
      <c r="C11351" s="14">
        <f ca="1">IFERROR(__xludf.DUMMYFUNCTION("""COMPUTED_VALUE"""),0)</f>
        <v>0</v>
      </c>
      <c r="D11351" s="12" t="str">
        <f ca="1">IFERROR(__xludf.DUMMYFUNCTION("""COMPUTED_VALUE"""),"大木 優香")</f>
        <v>大木 優香</v>
      </c>
    </row>
    <row r="11352" spans="2:4" ht="13">
      <c r="B11352" s="12">
        <f ca="1">IFERROR(__xludf.DUMMYFUNCTION("""COMPUTED_VALUE"""),3706806)</f>
        <v>3706806</v>
      </c>
      <c r="C11352" s="14">
        <f ca="1">IFERROR(__xludf.DUMMYFUNCTION("""COMPUTED_VALUE"""),5)</f>
        <v>5</v>
      </c>
      <c r="D11352" s="12" t="str">
        <f ca="1">IFERROR(__xludf.DUMMYFUNCTION("""COMPUTED_VALUE"""),"大木 優香")</f>
        <v>大木 優香</v>
      </c>
    </row>
    <row r="11353" spans="2:4" ht="13">
      <c r="B11353" s="12">
        <f ca="1">IFERROR(__xludf.DUMMYFUNCTION("""COMPUTED_VALUE"""),3706808)</f>
        <v>3706808</v>
      </c>
      <c r="C11353" s="14">
        <f ca="1">IFERROR(__xludf.DUMMYFUNCTION("""COMPUTED_VALUE"""),0)</f>
        <v>0</v>
      </c>
      <c r="D11353" s="12" t="str">
        <f ca="1">IFERROR(__xludf.DUMMYFUNCTION("""COMPUTED_VALUE"""),"大木 優香")</f>
        <v>大木 優香</v>
      </c>
    </row>
    <row r="11354" spans="2:4" ht="13">
      <c r="B11354" s="12">
        <f ca="1">IFERROR(__xludf.DUMMYFUNCTION("""COMPUTED_VALUE"""),3706809)</f>
        <v>3706809</v>
      </c>
      <c r="C11354" s="14">
        <f ca="1">IFERROR(__xludf.DUMMYFUNCTION("""COMPUTED_VALUE"""),1)</f>
        <v>1</v>
      </c>
      <c r="D11354" s="12" t="str">
        <f ca="1">IFERROR(__xludf.DUMMYFUNCTION("""COMPUTED_VALUE"""),"大木 優香")</f>
        <v>大木 優香</v>
      </c>
    </row>
    <row r="11355" spans="2:4" ht="13">
      <c r="B11355" s="12">
        <f ca="1">IFERROR(__xludf.DUMMYFUNCTION("""COMPUTED_VALUE"""),3706810)</f>
        <v>3706810</v>
      </c>
      <c r="C11355" s="14">
        <f ca="1">IFERROR(__xludf.DUMMYFUNCTION("""COMPUTED_VALUE"""),44)</f>
        <v>44</v>
      </c>
      <c r="D11355" s="12" t="str">
        <f ca="1">IFERROR(__xludf.DUMMYFUNCTION("""COMPUTED_VALUE"""),"大木 優香")</f>
        <v>大木 優香</v>
      </c>
    </row>
    <row r="11356" spans="2:4" ht="13">
      <c r="B11356" s="12">
        <f ca="1">IFERROR(__xludf.DUMMYFUNCTION("""COMPUTED_VALUE"""),3706812)</f>
        <v>3706812</v>
      </c>
      <c r="C11356" s="14">
        <f ca="1">IFERROR(__xludf.DUMMYFUNCTION("""COMPUTED_VALUE"""),2)</f>
        <v>2</v>
      </c>
      <c r="D11356" s="12" t="str">
        <f ca="1">IFERROR(__xludf.DUMMYFUNCTION("""COMPUTED_VALUE"""),"大木 優香")</f>
        <v>大木 優香</v>
      </c>
    </row>
    <row r="11357" spans="2:4" ht="13">
      <c r="B11357" s="12">
        <f ca="1">IFERROR(__xludf.DUMMYFUNCTION("""COMPUTED_VALUE"""),3706814)</f>
        <v>3706814</v>
      </c>
      <c r="C11357" s="14">
        <f ca="1">IFERROR(__xludf.DUMMYFUNCTION("""COMPUTED_VALUE"""),0)</f>
        <v>0</v>
      </c>
      <c r="D11357" s="12" t="str">
        <f ca="1">IFERROR(__xludf.DUMMYFUNCTION("""COMPUTED_VALUE"""),"大木 優香")</f>
        <v>大木 優香</v>
      </c>
    </row>
    <row r="11358" spans="2:4" ht="13">
      <c r="B11358" s="12">
        <f ca="1">IFERROR(__xludf.DUMMYFUNCTION("""COMPUTED_VALUE"""),3706818)</f>
        <v>3706818</v>
      </c>
      <c r="C11358" s="14">
        <f ca="1">IFERROR(__xludf.DUMMYFUNCTION("""COMPUTED_VALUE"""),11)</f>
        <v>11</v>
      </c>
      <c r="D11358" s="12" t="str">
        <f ca="1">IFERROR(__xludf.DUMMYFUNCTION("""COMPUTED_VALUE"""),"大木 優香")</f>
        <v>大木 優香</v>
      </c>
    </row>
    <row r="11359" spans="2:4" ht="13">
      <c r="B11359" s="12">
        <f ca="1">IFERROR(__xludf.DUMMYFUNCTION("""COMPUTED_VALUE"""),3706819)</f>
        <v>3706819</v>
      </c>
      <c r="C11359" s="14">
        <f ca="1">IFERROR(__xludf.DUMMYFUNCTION("""COMPUTED_VALUE"""),0)</f>
        <v>0</v>
      </c>
      <c r="D11359" s="12" t="str">
        <f ca="1">IFERROR(__xludf.DUMMYFUNCTION("""COMPUTED_VALUE"""),"大木 優香")</f>
        <v>大木 優香</v>
      </c>
    </row>
    <row r="11360" spans="2:4" ht="13">
      <c r="B11360" s="12">
        <f ca="1">IFERROR(__xludf.DUMMYFUNCTION("""COMPUTED_VALUE"""),3706820)</f>
        <v>3706820</v>
      </c>
      <c r="C11360" s="14">
        <f ca="1">IFERROR(__xludf.DUMMYFUNCTION("""COMPUTED_VALUE"""),0)</f>
        <v>0</v>
      </c>
      <c r="D11360" s="12" t="str">
        <f ca="1">IFERROR(__xludf.DUMMYFUNCTION("""COMPUTED_VALUE"""),"大木 優香")</f>
        <v>大木 優香</v>
      </c>
    </row>
    <row r="11361" spans="2:4" ht="13">
      <c r="B11361" s="12">
        <f ca="1">IFERROR(__xludf.DUMMYFUNCTION("""COMPUTED_VALUE"""),3706822)</f>
        <v>3706822</v>
      </c>
      <c r="C11361" s="14">
        <f ca="1">IFERROR(__xludf.DUMMYFUNCTION("""COMPUTED_VALUE"""),0)</f>
        <v>0</v>
      </c>
      <c r="D11361" s="12" t="str">
        <f ca="1">IFERROR(__xludf.DUMMYFUNCTION("""COMPUTED_VALUE"""),"大木 優香")</f>
        <v>大木 優香</v>
      </c>
    </row>
    <row r="11362" spans="2:4" ht="13">
      <c r="B11362" s="12">
        <f ca="1">IFERROR(__xludf.DUMMYFUNCTION("""COMPUTED_VALUE"""),3706824)</f>
        <v>3706824</v>
      </c>
      <c r="C11362" s="14">
        <f ca="1">IFERROR(__xludf.DUMMYFUNCTION("""COMPUTED_VALUE"""),0)</f>
        <v>0</v>
      </c>
      <c r="D11362" s="12" t="str">
        <f ca="1">IFERROR(__xludf.DUMMYFUNCTION("""COMPUTED_VALUE"""),"大木 優香")</f>
        <v>大木 優香</v>
      </c>
    </row>
    <row r="11363" spans="2:4" ht="13">
      <c r="B11363" s="12">
        <f ca="1">IFERROR(__xludf.DUMMYFUNCTION("""COMPUTED_VALUE"""),3706826)</f>
        <v>3706826</v>
      </c>
      <c r="C11363" s="14">
        <f ca="1">IFERROR(__xludf.DUMMYFUNCTION("""COMPUTED_VALUE"""),0)</f>
        <v>0</v>
      </c>
      <c r="D11363" s="12" t="str">
        <f ca="1">IFERROR(__xludf.DUMMYFUNCTION("""COMPUTED_VALUE"""),"大木 優香")</f>
        <v>大木 優香</v>
      </c>
    </row>
    <row r="11364" spans="2:4" ht="13">
      <c r="B11364" s="12">
        <f ca="1">IFERROR(__xludf.DUMMYFUNCTION("""COMPUTED_VALUE"""),3706830)</f>
        <v>3706830</v>
      </c>
      <c r="C11364" s="14">
        <f ca="1">IFERROR(__xludf.DUMMYFUNCTION("""COMPUTED_VALUE"""),10)</f>
        <v>10</v>
      </c>
      <c r="D11364" s="12" t="str">
        <f ca="1">IFERROR(__xludf.DUMMYFUNCTION("""COMPUTED_VALUE"""),"大木 優香")</f>
        <v>大木 優香</v>
      </c>
    </row>
    <row r="11365" spans="2:4" ht="13">
      <c r="B11365" s="12">
        <f ca="1">IFERROR(__xludf.DUMMYFUNCTION("""COMPUTED_VALUE"""),3706831)</f>
        <v>3706831</v>
      </c>
      <c r="C11365" s="14">
        <f ca="1">IFERROR(__xludf.DUMMYFUNCTION("""COMPUTED_VALUE"""),4)</f>
        <v>4</v>
      </c>
      <c r="D11365" s="12" t="str">
        <f ca="1">IFERROR(__xludf.DUMMYFUNCTION("""COMPUTED_VALUE"""),"大木 優香")</f>
        <v>大木 優香</v>
      </c>
    </row>
    <row r="11366" spans="2:4" ht="13">
      <c r="B11366" s="12">
        <f ca="1">IFERROR(__xludf.DUMMYFUNCTION("""COMPUTED_VALUE"""),3706832)</f>
        <v>3706832</v>
      </c>
      <c r="C11366" s="14">
        <f ca="1">IFERROR(__xludf.DUMMYFUNCTION("""COMPUTED_VALUE"""),5)</f>
        <v>5</v>
      </c>
      <c r="D11366" s="12" t="str">
        <f ca="1">IFERROR(__xludf.DUMMYFUNCTION("""COMPUTED_VALUE"""),"大木 優香")</f>
        <v>大木 優香</v>
      </c>
    </row>
    <row r="11367" spans="2:4" ht="13">
      <c r="B11367" s="12">
        <f ca="1">IFERROR(__xludf.DUMMYFUNCTION("""COMPUTED_VALUE"""),3706836)</f>
        <v>3706836</v>
      </c>
      <c r="C11367" s="14">
        <f ca="1">IFERROR(__xludf.DUMMYFUNCTION("""COMPUTED_VALUE"""),1)</f>
        <v>1</v>
      </c>
      <c r="D11367" s="12" t="str">
        <f ca="1">IFERROR(__xludf.DUMMYFUNCTION("""COMPUTED_VALUE"""),"大木 優香")</f>
        <v>大木 優香</v>
      </c>
    </row>
    <row r="11368" spans="2:4" ht="13">
      <c r="B11368" s="12">
        <f ca="1">IFERROR(__xludf.DUMMYFUNCTION("""COMPUTED_VALUE"""),3706837)</f>
        <v>3706837</v>
      </c>
      <c r="C11368" s="14">
        <f ca="1">IFERROR(__xludf.DUMMYFUNCTION("""COMPUTED_VALUE"""),8)</f>
        <v>8</v>
      </c>
      <c r="D11368" s="12" t="str">
        <f ca="1">IFERROR(__xludf.DUMMYFUNCTION("""COMPUTED_VALUE"""),"大木 優香")</f>
        <v>大木 優香</v>
      </c>
    </row>
    <row r="11369" spans="2:4" ht="13">
      <c r="B11369" s="12">
        <f ca="1">IFERROR(__xludf.DUMMYFUNCTION("""COMPUTED_VALUE"""),3706839)</f>
        <v>3706839</v>
      </c>
      <c r="C11369" s="14">
        <f ca="1">IFERROR(__xludf.DUMMYFUNCTION("""COMPUTED_VALUE"""),5)</f>
        <v>5</v>
      </c>
      <c r="D11369" s="12" t="str">
        <f ca="1">IFERROR(__xludf.DUMMYFUNCTION("""COMPUTED_VALUE"""),"大木 優香")</f>
        <v>大木 優香</v>
      </c>
    </row>
    <row r="11370" spans="2:4" ht="13">
      <c r="B11370" s="12">
        <f ca="1">IFERROR(__xludf.DUMMYFUNCTION("""COMPUTED_VALUE"""),3706845)</f>
        <v>3706845</v>
      </c>
      <c r="C11370" s="14">
        <f ca="1">IFERROR(__xludf.DUMMYFUNCTION("""COMPUTED_VALUE"""),0)</f>
        <v>0</v>
      </c>
      <c r="D11370" s="12" t="str">
        <f ca="1">IFERROR(__xludf.DUMMYFUNCTION("""COMPUTED_VALUE"""),"大木 優香")</f>
        <v>大木 優香</v>
      </c>
    </row>
    <row r="11371" spans="2:4" ht="13">
      <c r="B11371" s="12">
        <f ca="1">IFERROR(__xludf.DUMMYFUNCTION("""COMPUTED_VALUE"""),3706846)</f>
        <v>3706846</v>
      </c>
      <c r="C11371" s="14">
        <f ca="1">IFERROR(__xludf.DUMMYFUNCTION("""COMPUTED_VALUE"""),0)</f>
        <v>0</v>
      </c>
      <c r="D11371" s="12" t="str">
        <f ca="1">IFERROR(__xludf.DUMMYFUNCTION("""COMPUTED_VALUE"""),"大木 優香")</f>
        <v>大木 優香</v>
      </c>
    </row>
    <row r="11372" spans="2:4" ht="13">
      <c r="B11372" s="12">
        <f ca="1">IFERROR(__xludf.DUMMYFUNCTION("""COMPUTED_VALUE"""),3706847)</f>
        <v>3706847</v>
      </c>
      <c r="C11372" s="14">
        <f ca="1">IFERROR(__xludf.DUMMYFUNCTION("""COMPUTED_VALUE"""),0)</f>
        <v>0</v>
      </c>
      <c r="D11372" s="12" t="str">
        <f ca="1">IFERROR(__xludf.DUMMYFUNCTION("""COMPUTED_VALUE"""),"大木 優香")</f>
        <v>大木 優香</v>
      </c>
    </row>
    <row r="11373" spans="2:4" ht="13">
      <c r="B11373" s="12">
        <f ca="1">IFERROR(__xludf.DUMMYFUNCTION("""COMPUTED_VALUE"""),3706850)</f>
        <v>3706850</v>
      </c>
      <c r="C11373" s="14">
        <f ca="1">IFERROR(__xludf.DUMMYFUNCTION("""COMPUTED_VALUE"""),0)</f>
        <v>0</v>
      </c>
      <c r="D11373" s="12" t="str">
        <f ca="1">IFERROR(__xludf.DUMMYFUNCTION("""COMPUTED_VALUE"""),"大木 優香")</f>
        <v>大木 優香</v>
      </c>
    </row>
    <row r="11374" spans="2:4" ht="13">
      <c r="B11374" s="12">
        <f ca="1">IFERROR(__xludf.DUMMYFUNCTION("""COMPUTED_VALUE"""),3706851)</f>
        <v>3706851</v>
      </c>
      <c r="C11374" s="14">
        <f ca="1">IFERROR(__xludf.DUMMYFUNCTION("""COMPUTED_VALUE"""),0)</f>
        <v>0</v>
      </c>
      <c r="D11374" s="12" t="str">
        <f ca="1">IFERROR(__xludf.DUMMYFUNCTION("""COMPUTED_VALUE"""),"大木 優香")</f>
        <v>大木 優香</v>
      </c>
    </row>
    <row r="11375" spans="2:4" ht="13">
      <c r="B11375" s="12">
        <f ca="1">IFERROR(__xludf.DUMMYFUNCTION("""COMPUTED_VALUE"""),3706854)</f>
        <v>3706854</v>
      </c>
      <c r="C11375" s="14">
        <f ca="1">IFERROR(__xludf.DUMMYFUNCTION("""COMPUTED_VALUE"""),9)</f>
        <v>9</v>
      </c>
      <c r="D11375" s="12" t="str">
        <f ca="1">IFERROR(__xludf.DUMMYFUNCTION("""COMPUTED_VALUE"""),"大木 優香")</f>
        <v>大木 優香</v>
      </c>
    </row>
    <row r="11376" spans="2:4" ht="13">
      <c r="B11376" s="12">
        <f ca="1">IFERROR(__xludf.DUMMYFUNCTION("""COMPUTED_VALUE"""),3706859)</f>
        <v>3706859</v>
      </c>
      <c r="C11376" s="14">
        <f ca="1">IFERROR(__xludf.DUMMYFUNCTION("""COMPUTED_VALUE"""),0)</f>
        <v>0</v>
      </c>
      <c r="D11376" s="12" t="str">
        <f ca="1">IFERROR(__xludf.DUMMYFUNCTION("""COMPUTED_VALUE"""),"大木 優香")</f>
        <v>大木 優香</v>
      </c>
    </row>
    <row r="11377" spans="2:4" ht="13">
      <c r="B11377" s="12">
        <f ca="1">IFERROR(__xludf.DUMMYFUNCTION("""COMPUTED_VALUE"""),3706860)</f>
        <v>3706860</v>
      </c>
      <c r="C11377" s="14">
        <f ca="1">IFERROR(__xludf.DUMMYFUNCTION("""COMPUTED_VALUE"""),0)</f>
        <v>0</v>
      </c>
      <c r="D11377" s="12" t="str">
        <f ca="1">IFERROR(__xludf.DUMMYFUNCTION("""COMPUTED_VALUE"""),"大木 優香")</f>
        <v>大木 優香</v>
      </c>
    </row>
    <row r="11378" spans="2:4" ht="13">
      <c r="B11378" s="12">
        <f ca="1">IFERROR(__xludf.DUMMYFUNCTION("""COMPUTED_VALUE"""),3706863)</f>
        <v>3706863</v>
      </c>
      <c r="C11378" s="14">
        <f ca="1">IFERROR(__xludf.DUMMYFUNCTION("""COMPUTED_VALUE"""),0)</f>
        <v>0</v>
      </c>
      <c r="D11378" s="12" t="str">
        <f ca="1">IFERROR(__xludf.DUMMYFUNCTION("""COMPUTED_VALUE"""),"大木 優香")</f>
        <v>大木 優香</v>
      </c>
    </row>
    <row r="11379" spans="2:4" ht="13">
      <c r="B11379" s="12">
        <f ca="1">IFERROR(__xludf.DUMMYFUNCTION("""COMPUTED_VALUE"""),3706865)</f>
        <v>3706865</v>
      </c>
      <c r="C11379" s="14">
        <f ca="1">IFERROR(__xludf.DUMMYFUNCTION("""COMPUTED_VALUE"""),1)</f>
        <v>1</v>
      </c>
      <c r="D11379" s="12" t="str">
        <f ca="1">IFERROR(__xludf.DUMMYFUNCTION("""COMPUTED_VALUE"""),"大木 優香")</f>
        <v>大木 優香</v>
      </c>
    </row>
    <row r="11380" spans="2:4" ht="13">
      <c r="B11380" s="12">
        <f ca="1">IFERROR(__xludf.DUMMYFUNCTION("""COMPUTED_VALUE"""),3706866)</f>
        <v>3706866</v>
      </c>
      <c r="C11380" s="14">
        <f ca="1">IFERROR(__xludf.DUMMYFUNCTION("""COMPUTED_VALUE"""),0)</f>
        <v>0</v>
      </c>
      <c r="D11380" s="12" t="str">
        <f ca="1">IFERROR(__xludf.DUMMYFUNCTION("""COMPUTED_VALUE"""),"大木 優香")</f>
        <v>大木 優香</v>
      </c>
    </row>
    <row r="11381" spans="2:4" ht="13">
      <c r="B11381" s="12">
        <f ca="1">IFERROR(__xludf.DUMMYFUNCTION("""COMPUTED_VALUE"""),3706867)</f>
        <v>3706867</v>
      </c>
      <c r="C11381" s="14">
        <f ca="1">IFERROR(__xludf.DUMMYFUNCTION("""COMPUTED_VALUE"""),22)</f>
        <v>22</v>
      </c>
      <c r="D11381" s="12" t="str">
        <f ca="1">IFERROR(__xludf.DUMMYFUNCTION("""COMPUTED_VALUE"""),"大木 優香")</f>
        <v>大木 優香</v>
      </c>
    </row>
    <row r="11382" spans="2:4" ht="13">
      <c r="B11382" s="12">
        <f ca="1">IFERROR(__xludf.DUMMYFUNCTION("""COMPUTED_VALUE"""),3706869)</f>
        <v>3706869</v>
      </c>
      <c r="C11382" s="14">
        <f ca="1">IFERROR(__xludf.DUMMYFUNCTION("""COMPUTED_VALUE"""),0)</f>
        <v>0</v>
      </c>
      <c r="D11382" s="12" t="str">
        <f ca="1">IFERROR(__xludf.DUMMYFUNCTION("""COMPUTED_VALUE"""),"大木 優香")</f>
        <v>大木 優香</v>
      </c>
    </row>
    <row r="11383" spans="2:4" ht="13">
      <c r="B11383" s="12">
        <f ca="1">IFERROR(__xludf.DUMMYFUNCTION("""COMPUTED_VALUE"""),3706873)</f>
        <v>3706873</v>
      </c>
      <c r="C11383" s="14">
        <f ca="1">IFERROR(__xludf.DUMMYFUNCTION("""COMPUTED_VALUE"""),1)</f>
        <v>1</v>
      </c>
      <c r="D11383" s="12" t="str">
        <f ca="1">IFERROR(__xludf.DUMMYFUNCTION("""COMPUTED_VALUE"""),"大木 優香")</f>
        <v>大木 優香</v>
      </c>
    </row>
    <row r="11384" spans="2:4" ht="13">
      <c r="B11384" s="12">
        <f ca="1">IFERROR(__xludf.DUMMYFUNCTION("""COMPUTED_VALUE"""),3706874)</f>
        <v>3706874</v>
      </c>
      <c r="C11384" s="14">
        <f ca="1">IFERROR(__xludf.DUMMYFUNCTION("""COMPUTED_VALUE"""),0)</f>
        <v>0</v>
      </c>
      <c r="D11384" s="12" t="str">
        <f ca="1">IFERROR(__xludf.DUMMYFUNCTION("""COMPUTED_VALUE"""),"大木 優香")</f>
        <v>大木 優香</v>
      </c>
    </row>
    <row r="11385" spans="2:4" ht="13">
      <c r="B11385" s="12">
        <f ca="1">IFERROR(__xludf.DUMMYFUNCTION("""COMPUTED_VALUE"""),3706876)</f>
        <v>3706876</v>
      </c>
      <c r="C11385" s="14">
        <f ca="1">IFERROR(__xludf.DUMMYFUNCTION("""COMPUTED_VALUE"""),38)</f>
        <v>38</v>
      </c>
      <c r="D11385" s="12" t="str">
        <f ca="1">IFERROR(__xludf.DUMMYFUNCTION("""COMPUTED_VALUE"""),"大木 優香")</f>
        <v>大木 優香</v>
      </c>
    </row>
    <row r="11386" spans="2:4" ht="13">
      <c r="B11386" s="12">
        <f ca="1">IFERROR(__xludf.DUMMYFUNCTION("""COMPUTED_VALUE"""),3706879)</f>
        <v>3706879</v>
      </c>
      <c r="C11386" s="14">
        <f ca="1">IFERROR(__xludf.DUMMYFUNCTION("""COMPUTED_VALUE"""),6)</f>
        <v>6</v>
      </c>
      <c r="D11386" s="12" t="str">
        <f ca="1">IFERROR(__xludf.DUMMYFUNCTION("""COMPUTED_VALUE"""),"大木 優香")</f>
        <v>大木 優香</v>
      </c>
    </row>
    <row r="11387" spans="2:4" ht="13">
      <c r="B11387" s="12">
        <f ca="1">IFERROR(__xludf.DUMMYFUNCTION("""COMPUTED_VALUE"""),3706880)</f>
        <v>3706880</v>
      </c>
      <c r="C11387" s="14">
        <f ca="1">IFERROR(__xludf.DUMMYFUNCTION("""COMPUTED_VALUE"""),0)</f>
        <v>0</v>
      </c>
      <c r="D11387" s="12" t="str">
        <f ca="1">IFERROR(__xludf.DUMMYFUNCTION("""COMPUTED_VALUE"""),"大木 優香")</f>
        <v>大木 優香</v>
      </c>
    </row>
    <row r="11388" spans="2:4" ht="13">
      <c r="B11388" s="12">
        <f ca="1">IFERROR(__xludf.DUMMYFUNCTION("""COMPUTED_VALUE"""),3706881)</f>
        <v>3706881</v>
      </c>
      <c r="C11388" s="14">
        <f ca="1">IFERROR(__xludf.DUMMYFUNCTION("""COMPUTED_VALUE"""),6)</f>
        <v>6</v>
      </c>
      <c r="D11388" s="12" t="str">
        <f ca="1">IFERROR(__xludf.DUMMYFUNCTION("""COMPUTED_VALUE"""),"大木 優香")</f>
        <v>大木 優香</v>
      </c>
    </row>
    <row r="11389" spans="2:4" ht="13">
      <c r="B11389" s="12">
        <f ca="1">IFERROR(__xludf.DUMMYFUNCTION("""COMPUTED_VALUE"""),3706883)</f>
        <v>3706883</v>
      </c>
      <c r="C11389" s="14">
        <f ca="1">IFERROR(__xludf.DUMMYFUNCTION("""COMPUTED_VALUE"""),0)</f>
        <v>0</v>
      </c>
      <c r="D11389" s="12" t="str">
        <f ca="1">IFERROR(__xludf.DUMMYFUNCTION("""COMPUTED_VALUE"""),"大木 優香")</f>
        <v>大木 優香</v>
      </c>
    </row>
    <row r="11390" spans="2:4" ht="13">
      <c r="B11390" s="12">
        <f ca="1">IFERROR(__xludf.DUMMYFUNCTION("""COMPUTED_VALUE"""),3706886)</f>
        <v>3706886</v>
      </c>
      <c r="C11390" s="14">
        <f ca="1">IFERROR(__xludf.DUMMYFUNCTION("""COMPUTED_VALUE"""),50)</f>
        <v>50</v>
      </c>
      <c r="D11390" s="12" t="str">
        <f ca="1">IFERROR(__xludf.DUMMYFUNCTION("""COMPUTED_VALUE"""),"大木 優香")</f>
        <v>大木 優香</v>
      </c>
    </row>
    <row r="11391" spans="2:4" ht="13">
      <c r="B11391" s="12">
        <f ca="1">IFERROR(__xludf.DUMMYFUNCTION("""COMPUTED_VALUE"""),3706888)</f>
        <v>3706888</v>
      </c>
      <c r="C11391" s="14">
        <f ca="1">IFERROR(__xludf.DUMMYFUNCTION("""COMPUTED_VALUE"""),34)</f>
        <v>34</v>
      </c>
      <c r="D11391" s="12" t="str">
        <f ca="1">IFERROR(__xludf.DUMMYFUNCTION("""COMPUTED_VALUE"""),"大木 優香")</f>
        <v>大木 優香</v>
      </c>
    </row>
    <row r="11392" spans="2:4" ht="13">
      <c r="B11392" s="12">
        <f ca="1">IFERROR(__xludf.DUMMYFUNCTION("""COMPUTED_VALUE"""),3706889)</f>
        <v>3706889</v>
      </c>
      <c r="C11392" s="14">
        <f ca="1">IFERROR(__xludf.DUMMYFUNCTION("""COMPUTED_VALUE"""),0)</f>
        <v>0</v>
      </c>
      <c r="D11392" s="12" t="str">
        <f ca="1">IFERROR(__xludf.DUMMYFUNCTION("""COMPUTED_VALUE"""),"大木 優香")</f>
        <v>大木 優香</v>
      </c>
    </row>
    <row r="11393" spans="2:4" ht="13">
      <c r="B11393" s="12">
        <f ca="1">IFERROR(__xludf.DUMMYFUNCTION("""COMPUTED_VALUE"""),3706890)</f>
        <v>3706890</v>
      </c>
      <c r="C11393" s="14">
        <f ca="1">IFERROR(__xludf.DUMMYFUNCTION("""COMPUTED_VALUE"""),20)</f>
        <v>20</v>
      </c>
      <c r="D11393" s="12" t="str">
        <f ca="1">IFERROR(__xludf.DUMMYFUNCTION("""COMPUTED_VALUE"""),"大木 優香")</f>
        <v>大木 優香</v>
      </c>
    </row>
    <row r="11394" spans="2:4" ht="13">
      <c r="B11394" s="12">
        <f ca="1">IFERROR(__xludf.DUMMYFUNCTION("""COMPUTED_VALUE"""),3706891)</f>
        <v>3706891</v>
      </c>
      <c r="C11394" s="14">
        <f ca="1">IFERROR(__xludf.DUMMYFUNCTION("""COMPUTED_VALUE"""),65)</f>
        <v>65</v>
      </c>
      <c r="D11394" s="12" t="str">
        <f ca="1">IFERROR(__xludf.DUMMYFUNCTION("""COMPUTED_VALUE"""),"大木 優香")</f>
        <v>大木 優香</v>
      </c>
    </row>
    <row r="11395" spans="2:4" ht="13">
      <c r="B11395" s="12">
        <f ca="1">IFERROR(__xludf.DUMMYFUNCTION("""COMPUTED_VALUE"""),3706892)</f>
        <v>3706892</v>
      </c>
      <c r="C11395" s="14">
        <f ca="1">IFERROR(__xludf.DUMMYFUNCTION("""COMPUTED_VALUE"""),1)</f>
        <v>1</v>
      </c>
      <c r="D11395" s="12" t="str">
        <f ca="1">IFERROR(__xludf.DUMMYFUNCTION("""COMPUTED_VALUE"""),"大木 優香")</f>
        <v>大木 優香</v>
      </c>
    </row>
    <row r="11396" spans="2:4" ht="13">
      <c r="B11396" s="12">
        <f ca="1">IFERROR(__xludf.DUMMYFUNCTION("""COMPUTED_VALUE"""),3706894)</f>
        <v>3706894</v>
      </c>
      <c r="C11396" s="14">
        <f ca="1">IFERROR(__xludf.DUMMYFUNCTION("""COMPUTED_VALUE"""),1)</f>
        <v>1</v>
      </c>
      <c r="D11396" s="12" t="str">
        <f ca="1">IFERROR(__xludf.DUMMYFUNCTION("""COMPUTED_VALUE"""),"大木 優香")</f>
        <v>大木 優香</v>
      </c>
    </row>
    <row r="11397" spans="2:4" ht="13">
      <c r="B11397" s="12">
        <f ca="1">IFERROR(__xludf.DUMMYFUNCTION("""COMPUTED_VALUE"""),3706899)</f>
        <v>3706899</v>
      </c>
      <c r="C11397" s="14">
        <f ca="1">IFERROR(__xludf.DUMMYFUNCTION("""COMPUTED_VALUE"""),0)</f>
        <v>0</v>
      </c>
      <c r="D11397" s="12" t="str">
        <f ca="1">IFERROR(__xludf.DUMMYFUNCTION("""COMPUTED_VALUE"""),"大木 優香")</f>
        <v>大木 優香</v>
      </c>
    </row>
    <row r="11398" spans="2:4" ht="13">
      <c r="B11398" s="12">
        <f ca="1">IFERROR(__xludf.DUMMYFUNCTION("""COMPUTED_VALUE"""),3706900)</f>
        <v>3706900</v>
      </c>
      <c r="C11398" s="14">
        <f ca="1">IFERROR(__xludf.DUMMYFUNCTION("""COMPUTED_VALUE"""),0)</f>
        <v>0</v>
      </c>
      <c r="D11398" s="12" t="str">
        <f ca="1">IFERROR(__xludf.DUMMYFUNCTION("""COMPUTED_VALUE"""),"大木 優香")</f>
        <v>大木 優香</v>
      </c>
    </row>
    <row r="11399" spans="2:4" ht="13">
      <c r="B11399" s="12">
        <f ca="1">IFERROR(__xludf.DUMMYFUNCTION("""COMPUTED_VALUE"""),3706901)</f>
        <v>3706901</v>
      </c>
      <c r="C11399" s="14">
        <f ca="1">IFERROR(__xludf.DUMMYFUNCTION("""COMPUTED_VALUE"""),0)</f>
        <v>0</v>
      </c>
      <c r="D11399" s="12" t="str">
        <f ca="1">IFERROR(__xludf.DUMMYFUNCTION("""COMPUTED_VALUE"""),"大木 優香")</f>
        <v>大木 優香</v>
      </c>
    </row>
    <row r="11400" spans="2:4" ht="13">
      <c r="B11400" s="12">
        <f ca="1">IFERROR(__xludf.DUMMYFUNCTION("""COMPUTED_VALUE"""),3706902)</f>
        <v>3706902</v>
      </c>
      <c r="C11400" s="14">
        <f ca="1">IFERROR(__xludf.DUMMYFUNCTION("""COMPUTED_VALUE"""),0)</f>
        <v>0</v>
      </c>
      <c r="D11400" s="12" t="str">
        <f ca="1">IFERROR(__xludf.DUMMYFUNCTION("""COMPUTED_VALUE"""),"大木 優香")</f>
        <v>大木 優香</v>
      </c>
    </row>
    <row r="11401" spans="2:4" ht="13">
      <c r="B11401" s="12">
        <f ca="1">IFERROR(__xludf.DUMMYFUNCTION("""COMPUTED_VALUE"""),3706904)</f>
        <v>3706904</v>
      </c>
      <c r="C11401" s="14">
        <f ca="1">IFERROR(__xludf.DUMMYFUNCTION("""COMPUTED_VALUE"""),1)</f>
        <v>1</v>
      </c>
      <c r="D11401" s="12" t="str">
        <f ca="1">IFERROR(__xludf.DUMMYFUNCTION("""COMPUTED_VALUE"""),"大木 優香")</f>
        <v>大木 優香</v>
      </c>
    </row>
    <row r="11402" spans="2:4" ht="13">
      <c r="B11402" s="12">
        <f ca="1">IFERROR(__xludf.DUMMYFUNCTION("""COMPUTED_VALUE"""),3706912)</f>
        <v>3706912</v>
      </c>
      <c r="C11402" s="14">
        <f ca="1">IFERROR(__xludf.DUMMYFUNCTION("""COMPUTED_VALUE"""),0)</f>
        <v>0</v>
      </c>
      <c r="D11402" s="12" t="str">
        <f ca="1">IFERROR(__xludf.DUMMYFUNCTION("""COMPUTED_VALUE"""),"大木 優香")</f>
        <v>大木 優香</v>
      </c>
    </row>
    <row r="11403" spans="2:4" ht="13">
      <c r="B11403" s="12">
        <f ca="1">IFERROR(__xludf.DUMMYFUNCTION("""COMPUTED_VALUE"""),3706913)</f>
        <v>3706913</v>
      </c>
      <c r="C11403" s="14">
        <f ca="1">IFERROR(__xludf.DUMMYFUNCTION("""COMPUTED_VALUE"""),0)</f>
        <v>0</v>
      </c>
      <c r="D11403" s="12" t="str">
        <f ca="1">IFERROR(__xludf.DUMMYFUNCTION("""COMPUTED_VALUE"""),"大木 優香")</f>
        <v>大木 優香</v>
      </c>
    </row>
    <row r="11404" spans="2:4" ht="13">
      <c r="B11404" s="12">
        <f ca="1">IFERROR(__xludf.DUMMYFUNCTION("""COMPUTED_VALUE"""),3706916)</f>
        <v>3706916</v>
      </c>
      <c r="C11404" s="14">
        <f ca="1">IFERROR(__xludf.DUMMYFUNCTION("""COMPUTED_VALUE"""),5)</f>
        <v>5</v>
      </c>
      <c r="D11404" s="12" t="str">
        <f ca="1">IFERROR(__xludf.DUMMYFUNCTION("""COMPUTED_VALUE"""),"大木 優香")</f>
        <v>大木 優香</v>
      </c>
    </row>
    <row r="11405" spans="2:4" ht="13">
      <c r="B11405" s="12">
        <f ca="1">IFERROR(__xludf.DUMMYFUNCTION("""COMPUTED_VALUE"""),3706917)</f>
        <v>3706917</v>
      </c>
      <c r="C11405" s="14">
        <f ca="1">IFERROR(__xludf.DUMMYFUNCTION("""COMPUTED_VALUE"""),0)</f>
        <v>0</v>
      </c>
      <c r="D11405" s="12" t="str">
        <f ca="1">IFERROR(__xludf.DUMMYFUNCTION("""COMPUTED_VALUE"""),"大木 優香")</f>
        <v>大木 優香</v>
      </c>
    </row>
    <row r="11406" spans="2:4" ht="13">
      <c r="B11406" s="12">
        <f ca="1">IFERROR(__xludf.DUMMYFUNCTION("""COMPUTED_VALUE"""),3706918)</f>
        <v>3706918</v>
      </c>
      <c r="C11406" s="14">
        <f ca="1">IFERROR(__xludf.DUMMYFUNCTION("""COMPUTED_VALUE"""),0)</f>
        <v>0</v>
      </c>
      <c r="D11406" s="12" t="str">
        <f ca="1">IFERROR(__xludf.DUMMYFUNCTION("""COMPUTED_VALUE"""),"大木 優香")</f>
        <v>大木 優香</v>
      </c>
    </row>
    <row r="11407" spans="2:4" ht="13">
      <c r="B11407" s="12">
        <f ca="1">IFERROR(__xludf.DUMMYFUNCTION("""COMPUTED_VALUE"""),3706919)</f>
        <v>3706919</v>
      </c>
      <c r="C11407" s="14">
        <f ca="1">IFERROR(__xludf.DUMMYFUNCTION("""COMPUTED_VALUE"""),0)</f>
        <v>0</v>
      </c>
      <c r="D11407" s="12" t="str">
        <f ca="1">IFERROR(__xludf.DUMMYFUNCTION("""COMPUTED_VALUE"""),"大木 優香")</f>
        <v>大木 優香</v>
      </c>
    </row>
    <row r="11408" spans="2:4" ht="13">
      <c r="B11408" s="12">
        <f ca="1">IFERROR(__xludf.DUMMYFUNCTION("""COMPUTED_VALUE"""),3706920)</f>
        <v>3706920</v>
      </c>
      <c r="C11408" s="14">
        <f ca="1">IFERROR(__xludf.DUMMYFUNCTION("""COMPUTED_VALUE"""),0)</f>
        <v>0</v>
      </c>
      <c r="D11408" s="12" t="str">
        <f ca="1">IFERROR(__xludf.DUMMYFUNCTION("""COMPUTED_VALUE"""),"大木 優香")</f>
        <v>大木 優香</v>
      </c>
    </row>
    <row r="11409" spans="2:4" ht="13">
      <c r="B11409" s="12">
        <f ca="1">IFERROR(__xludf.DUMMYFUNCTION("""COMPUTED_VALUE"""),3706922)</f>
        <v>3706922</v>
      </c>
      <c r="C11409" s="14">
        <f ca="1">IFERROR(__xludf.DUMMYFUNCTION("""COMPUTED_VALUE"""),0)</f>
        <v>0</v>
      </c>
      <c r="D11409" s="12" t="str">
        <f ca="1">IFERROR(__xludf.DUMMYFUNCTION("""COMPUTED_VALUE"""),"大木 優香")</f>
        <v>大木 優香</v>
      </c>
    </row>
    <row r="11410" spans="2:4" ht="13">
      <c r="B11410" s="12">
        <f ca="1">IFERROR(__xludf.DUMMYFUNCTION("""COMPUTED_VALUE"""),3706923)</f>
        <v>3706923</v>
      </c>
      <c r="C11410" s="14">
        <f ca="1">IFERROR(__xludf.DUMMYFUNCTION("""COMPUTED_VALUE"""),0)</f>
        <v>0</v>
      </c>
      <c r="D11410" s="12" t="str">
        <f ca="1">IFERROR(__xludf.DUMMYFUNCTION("""COMPUTED_VALUE"""),"大木 優香")</f>
        <v>大木 優香</v>
      </c>
    </row>
    <row r="11411" spans="2:4" ht="13">
      <c r="B11411" s="12">
        <f ca="1">IFERROR(__xludf.DUMMYFUNCTION("""COMPUTED_VALUE"""),3706926)</f>
        <v>3706926</v>
      </c>
      <c r="C11411" s="14">
        <f ca="1">IFERROR(__xludf.DUMMYFUNCTION("""COMPUTED_VALUE"""),0)</f>
        <v>0</v>
      </c>
      <c r="D11411" s="12" t="str">
        <f ca="1">IFERROR(__xludf.DUMMYFUNCTION("""COMPUTED_VALUE"""),"大木 優香")</f>
        <v>大木 優香</v>
      </c>
    </row>
    <row r="11412" spans="2:4" ht="13">
      <c r="B11412" s="12">
        <f ca="1">IFERROR(__xludf.DUMMYFUNCTION("""COMPUTED_VALUE"""),3706927)</f>
        <v>3706927</v>
      </c>
      <c r="C11412" s="14">
        <f ca="1">IFERROR(__xludf.DUMMYFUNCTION("""COMPUTED_VALUE"""),0)</f>
        <v>0</v>
      </c>
      <c r="D11412" s="12" t="str">
        <f ca="1">IFERROR(__xludf.DUMMYFUNCTION("""COMPUTED_VALUE"""),"大木 優香")</f>
        <v>大木 優香</v>
      </c>
    </row>
    <row r="11413" spans="2:4" ht="13">
      <c r="B11413" s="12">
        <f ca="1">IFERROR(__xludf.DUMMYFUNCTION("""COMPUTED_VALUE"""),3706928)</f>
        <v>3706928</v>
      </c>
      <c r="C11413" s="14">
        <f ca="1">IFERROR(__xludf.DUMMYFUNCTION("""COMPUTED_VALUE"""),0)</f>
        <v>0</v>
      </c>
      <c r="D11413" s="12" t="str">
        <f ca="1">IFERROR(__xludf.DUMMYFUNCTION("""COMPUTED_VALUE"""),"大木 優香")</f>
        <v>大木 優香</v>
      </c>
    </row>
    <row r="11414" spans="2:4" ht="13">
      <c r="B11414" s="12">
        <f ca="1">IFERROR(__xludf.DUMMYFUNCTION("""COMPUTED_VALUE"""),3706929)</f>
        <v>3706929</v>
      </c>
      <c r="C11414" s="14">
        <f ca="1">IFERROR(__xludf.DUMMYFUNCTION("""COMPUTED_VALUE"""),0)</f>
        <v>0</v>
      </c>
      <c r="D11414" s="12" t="str">
        <f ca="1">IFERROR(__xludf.DUMMYFUNCTION("""COMPUTED_VALUE"""),"大木 優香")</f>
        <v>大木 優香</v>
      </c>
    </row>
    <row r="11415" spans="2:4" ht="13">
      <c r="B11415" s="12">
        <f ca="1">IFERROR(__xludf.DUMMYFUNCTION("""COMPUTED_VALUE"""),3706930)</f>
        <v>3706930</v>
      </c>
      <c r="C11415" s="14">
        <f ca="1">IFERROR(__xludf.DUMMYFUNCTION("""COMPUTED_VALUE"""),11)</f>
        <v>11</v>
      </c>
      <c r="D11415" s="12" t="str">
        <f ca="1">IFERROR(__xludf.DUMMYFUNCTION("""COMPUTED_VALUE"""),"大木 優香")</f>
        <v>大木 優香</v>
      </c>
    </row>
    <row r="11416" spans="2:4" ht="13">
      <c r="B11416" s="12">
        <f ca="1">IFERROR(__xludf.DUMMYFUNCTION("""COMPUTED_VALUE"""),3706931)</f>
        <v>3706931</v>
      </c>
      <c r="C11416" s="14">
        <f ca="1">IFERROR(__xludf.DUMMYFUNCTION("""COMPUTED_VALUE"""),5)</f>
        <v>5</v>
      </c>
      <c r="D11416" s="12" t="str">
        <f ca="1">IFERROR(__xludf.DUMMYFUNCTION("""COMPUTED_VALUE"""),"大木 優香")</f>
        <v>大木 優香</v>
      </c>
    </row>
    <row r="11417" spans="2:4" ht="13">
      <c r="B11417" s="12">
        <f ca="1">IFERROR(__xludf.DUMMYFUNCTION("""COMPUTED_VALUE"""),3706932)</f>
        <v>3706932</v>
      </c>
      <c r="C11417" s="14">
        <f ca="1">IFERROR(__xludf.DUMMYFUNCTION("""COMPUTED_VALUE"""),0)</f>
        <v>0</v>
      </c>
      <c r="D11417" s="12" t="str">
        <f ca="1">IFERROR(__xludf.DUMMYFUNCTION("""COMPUTED_VALUE"""),"大木 優香")</f>
        <v>大木 優香</v>
      </c>
    </row>
    <row r="11418" spans="2:4" ht="13">
      <c r="B11418" s="12">
        <f ca="1">IFERROR(__xludf.DUMMYFUNCTION("""COMPUTED_VALUE"""),3706933)</f>
        <v>3706933</v>
      </c>
      <c r="C11418" s="14">
        <f ca="1">IFERROR(__xludf.DUMMYFUNCTION("""COMPUTED_VALUE"""),0)</f>
        <v>0</v>
      </c>
      <c r="D11418" s="12" t="str">
        <f ca="1">IFERROR(__xludf.DUMMYFUNCTION("""COMPUTED_VALUE"""),"大木 優香")</f>
        <v>大木 優香</v>
      </c>
    </row>
    <row r="11419" spans="2:4" ht="13">
      <c r="B11419" s="12">
        <f ca="1">IFERROR(__xludf.DUMMYFUNCTION("""COMPUTED_VALUE"""),3706934)</f>
        <v>3706934</v>
      </c>
      <c r="C11419" s="14">
        <f ca="1">IFERROR(__xludf.DUMMYFUNCTION("""COMPUTED_VALUE"""),0)</f>
        <v>0</v>
      </c>
      <c r="D11419" s="12" t="str">
        <f ca="1">IFERROR(__xludf.DUMMYFUNCTION("""COMPUTED_VALUE"""),"大木 優香")</f>
        <v>大木 優香</v>
      </c>
    </row>
    <row r="11420" spans="2:4" ht="13">
      <c r="B11420" s="12">
        <f ca="1">IFERROR(__xludf.DUMMYFUNCTION("""COMPUTED_VALUE"""),3706935)</f>
        <v>3706935</v>
      </c>
      <c r="C11420" s="14">
        <f ca="1">IFERROR(__xludf.DUMMYFUNCTION("""COMPUTED_VALUE"""),0)</f>
        <v>0</v>
      </c>
      <c r="D11420" s="12" t="str">
        <f ca="1">IFERROR(__xludf.DUMMYFUNCTION("""COMPUTED_VALUE"""),"大木 優香")</f>
        <v>大木 優香</v>
      </c>
    </row>
    <row r="11421" spans="2:4" ht="13">
      <c r="B11421" s="12">
        <f ca="1">IFERROR(__xludf.DUMMYFUNCTION("""COMPUTED_VALUE"""),3706937)</f>
        <v>3706937</v>
      </c>
      <c r="C11421" s="14">
        <f ca="1">IFERROR(__xludf.DUMMYFUNCTION("""COMPUTED_VALUE"""),13)</f>
        <v>13</v>
      </c>
      <c r="D11421" s="12" t="str">
        <f ca="1">IFERROR(__xludf.DUMMYFUNCTION("""COMPUTED_VALUE"""),"大木 優香")</f>
        <v>大木 優香</v>
      </c>
    </row>
    <row r="11422" spans="2:4" ht="13">
      <c r="B11422" s="12">
        <f ca="1">IFERROR(__xludf.DUMMYFUNCTION("""COMPUTED_VALUE"""),3706938)</f>
        <v>3706938</v>
      </c>
      <c r="C11422" s="14">
        <f ca="1">IFERROR(__xludf.DUMMYFUNCTION("""COMPUTED_VALUE"""),0)</f>
        <v>0</v>
      </c>
      <c r="D11422" s="12" t="str">
        <f ca="1">IFERROR(__xludf.DUMMYFUNCTION("""COMPUTED_VALUE"""),"大木 優香")</f>
        <v>大木 優香</v>
      </c>
    </row>
    <row r="11423" spans="2:4" ht="13">
      <c r="B11423" s="12">
        <f ca="1">IFERROR(__xludf.DUMMYFUNCTION("""COMPUTED_VALUE"""),3706940)</f>
        <v>3706940</v>
      </c>
      <c r="C11423" s="14">
        <f ca="1">IFERROR(__xludf.DUMMYFUNCTION("""COMPUTED_VALUE"""),47)</f>
        <v>47</v>
      </c>
      <c r="D11423" s="12" t="str">
        <f ca="1">IFERROR(__xludf.DUMMYFUNCTION("""COMPUTED_VALUE"""),"大木 優香")</f>
        <v>大木 優香</v>
      </c>
    </row>
    <row r="11424" spans="2:4" ht="13">
      <c r="B11424" s="12">
        <f ca="1">IFERROR(__xludf.DUMMYFUNCTION("""COMPUTED_VALUE"""),3706941)</f>
        <v>3706941</v>
      </c>
      <c r="C11424" s="14">
        <f ca="1">IFERROR(__xludf.DUMMYFUNCTION("""COMPUTED_VALUE"""),0)</f>
        <v>0</v>
      </c>
      <c r="D11424" s="12" t="str">
        <f ca="1">IFERROR(__xludf.DUMMYFUNCTION("""COMPUTED_VALUE"""),"大木 優香")</f>
        <v>大木 優香</v>
      </c>
    </row>
    <row r="11425" spans="2:4" ht="13">
      <c r="B11425" s="12">
        <f ca="1">IFERROR(__xludf.DUMMYFUNCTION("""COMPUTED_VALUE"""),3706942)</f>
        <v>3706942</v>
      </c>
      <c r="C11425" s="14">
        <f ca="1">IFERROR(__xludf.DUMMYFUNCTION("""COMPUTED_VALUE"""),0)</f>
        <v>0</v>
      </c>
      <c r="D11425" s="12" t="str">
        <f ca="1">IFERROR(__xludf.DUMMYFUNCTION("""COMPUTED_VALUE"""),"大木 優香")</f>
        <v>大木 優香</v>
      </c>
    </row>
    <row r="11426" spans="2:4" ht="13">
      <c r="B11426" s="12">
        <f ca="1">IFERROR(__xludf.DUMMYFUNCTION("""COMPUTED_VALUE"""),3706943)</f>
        <v>3706943</v>
      </c>
      <c r="C11426" s="14">
        <f ca="1">IFERROR(__xludf.DUMMYFUNCTION("""COMPUTED_VALUE"""),0)</f>
        <v>0</v>
      </c>
      <c r="D11426" s="12" t="str">
        <f ca="1">IFERROR(__xludf.DUMMYFUNCTION("""COMPUTED_VALUE"""),"大木 優香")</f>
        <v>大木 優香</v>
      </c>
    </row>
    <row r="11427" spans="2:4" ht="13">
      <c r="B11427" s="12">
        <f ca="1">IFERROR(__xludf.DUMMYFUNCTION("""COMPUTED_VALUE"""),3706945)</f>
        <v>3706945</v>
      </c>
      <c r="C11427" s="14">
        <f ca="1">IFERROR(__xludf.DUMMYFUNCTION("""COMPUTED_VALUE"""),23)</f>
        <v>23</v>
      </c>
      <c r="D11427" s="12" t="str">
        <f ca="1">IFERROR(__xludf.DUMMYFUNCTION("""COMPUTED_VALUE"""),"大木 優香")</f>
        <v>大木 優香</v>
      </c>
    </row>
    <row r="11428" spans="2:4" ht="13">
      <c r="B11428" s="12">
        <f ca="1">IFERROR(__xludf.DUMMYFUNCTION("""COMPUTED_VALUE"""),3706947)</f>
        <v>3706947</v>
      </c>
      <c r="C11428" s="14">
        <f ca="1">IFERROR(__xludf.DUMMYFUNCTION("""COMPUTED_VALUE"""),0)</f>
        <v>0</v>
      </c>
      <c r="D11428" s="12" t="str">
        <f ca="1">IFERROR(__xludf.DUMMYFUNCTION("""COMPUTED_VALUE"""),"大木 優香")</f>
        <v>大木 優香</v>
      </c>
    </row>
    <row r="11429" spans="2:4" ht="13">
      <c r="B11429" s="12">
        <f ca="1">IFERROR(__xludf.DUMMYFUNCTION("""COMPUTED_VALUE"""),3706948)</f>
        <v>3706948</v>
      </c>
      <c r="C11429" s="14">
        <f ca="1">IFERROR(__xludf.DUMMYFUNCTION("""COMPUTED_VALUE"""),37)</f>
        <v>37</v>
      </c>
      <c r="D11429" s="12" t="str">
        <f ca="1">IFERROR(__xludf.DUMMYFUNCTION("""COMPUTED_VALUE"""),"大木 優香")</f>
        <v>大木 優香</v>
      </c>
    </row>
    <row r="11430" spans="2:4" ht="13">
      <c r="B11430" s="12">
        <f ca="1">IFERROR(__xludf.DUMMYFUNCTION("""COMPUTED_VALUE"""),3706949)</f>
        <v>3706949</v>
      </c>
      <c r="C11430" s="14">
        <f ca="1">IFERROR(__xludf.DUMMYFUNCTION("""COMPUTED_VALUE"""),37)</f>
        <v>37</v>
      </c>
      <c r="D11430" s="12" t="str">
        <f ca="1">IFERROR(__xludf.DUMMYFUNCTION("""COMPUTED_VALUE"""),"大木 優香")</f>
        <v>大木 優香</v>
      </c>
    </row>
    <row r="11431" spans="2:4" ht="13">
      <c r="B11431" s="12">
        <f ca="1">IFERROR(__xludf.DUMMYFUNCTION("""COMPUTED_VALUE"""),3706950)</f>
        <v>3706950</v>
      </c>
      <c r="C11431" s="14">
        <f ca="1">IFERROR(__xludf.DUMMYFUNCTION("""COMPUTED_VALUE"""),5)</f>
        <v>5</v>
      </c>
      <c r="D11431" s="12" t="str">
        <f ca="1">IFERROR(__xludf.DUMMYFUNCTION("""COMPUTED_VALUE"""),"大木 優香")</f>
        <v>大木 優香</v>
      </c>
    </row>
    <row r="11432" spans="2:4" ht="13">
      <c r="B11432" s="12">
        <f ca="1">IFERROR(__xludf.DUMMYFUNCTION("""COMPUTED_VALUE"""),3706951)</f>
        <v>3706951</v>
      </c>
      <c r="C11432" s="14">
        <f ca="1">IFERROR(__xludf.DUMMYFUNCTION("""COMPUTED_VALUE"""),18)</f>
        <v>18</v>
      </c>
      <c r="D11432" s="12" t="str">
        <f ca="1">IFERROR(__xludf.DUMMYFUNCTION("""COMPUTED_VALUE"""),"大木 優香")</f>
        <v>大木 優香</v>
      </c>
    </row>
    <row r="11433" spans="2:4" ht="13">
      <c r="B11433" s="12">
        <f ca="1">IFERROR(__xludf.DUMMYFUNCTION("""COMPUTED_VALUE"""),3706952)</f>
        <v>3706952</v>
      </c>
      <c r="C11433" s="14">
        <f ca="1">IFERROR(__xludf.DUMMYFUNCTION("""COMPUTED_VALUE"""),0)</f>
        <v>0</v>
      </c>
      <c r="D11433" s="12" t="str">
        <f ca="1">IFERROR(__xludf.DUMMYFUNCTION("""COMPUTED_VALUE"""),"大木 優香")</f>
        <v>大木 優香</v>
      </c>
    </row>
    <row r="11434" spans="2:4" ht="13">
      <c r="B11434" s="12">
        <f ca="1">IFERROR(__xludf.DUMMYFUNCTION("""COMPUTED_VALUE"""),3706953)</f>
        <v>3706953</v>
      </c>
      <c r="C11434" s="14">
        <f ca="1">IFERROR(__xludf.DUMMYFUNCTION("""COMPUTED_VALUE"""),25)</f>
        <v>25</v>
      </c>
      <c r="D11434" s="12" t="str">
        <f ca="1">IFERROR(__xludf.DUMMYFUNCTION("""COMPUTED_VALUE"""),"大木 優香")</f>
        <v>大木 優香</v>
      </c>
    </row>
    <row r="11435" spans="2:4" ht="13">
      <c r="B11435" s="12">
        <f ca="1">IFERROR(__xludf.DUMMYFUNCTION("""COMPUTED_VALUE"""),3706954)</f>
        <v>3706954</v>
      </c>
      <c r="C11435" s="14">
        <f ca="1">IFERROR(__xludf.DUMMYFUNCTION("""COMPUTED_VALUE"""),0)</f>
        <v>0</v>
      </c>
      <c r="D11435" s="12" t="str">
        <f ca="1">IFERROR(__xludf.DUMMYFUNCTION("""COMPUTED_VALUE"""),"大木 優香")</f>
        <v>大木 優香</v>
      </c>
    </row>
    <row r="11436" spans="2:4" ht="13">
      <c r="B11436" s="12">
        <f ca="1">IFERROR(__xludf.DUMMYFUNCTION("""COMPUTED_VALUE"""),3706955)</f>
        <v>3706955</v>
      </c>
      <c r="C11436" s="14">
        <f ca="1">IFERROR(__xludf.DUMMYFUNCTION("""COMPUTED_VALUE"""),0)</f>
        <v>0</v>
      </c>
      <c r="D11436" s="12" t="str">
        <f ca="1">IFERROR(__xludf.DUMMYFUNCTION("""COMPUTED_VALUE"""),"大木 優香")</f>
        <v>大木 優香</v>
      </c>
    </row>
    <row r="11437" spans="2:4" ht="13">
      <c r="B11437" s="12">
        <f ca="1">IFERROR(__xludf.DUMMYFUNCTION("""COMPUTED_VALUE"""),3706956)</f>
        <v>3706956</v>
      </c>
      <c r="C11437" s="14">
        <f ca="1">IFERROR(__xludf.DUMMYFUNCTION("""COMPUTED_VALUE"""),0)</f>
        <v>0</v>
      </c>
      <c r="D11437" s="12" t="str">
        <f ca="1">IFERROR(__xludf.DUMMYFUNCTION("""COMPUTED_VALUE"""),"大木 優香")</f>
        <v>大木 優香</v>
      </c>
    </row>
    <row r="11438" spans="2:4" ht="13">
      <c r="B11438" s="12">
        <f ca="1">IFERROR(__xludf.DUMMYFUNCTION("""COMPUTED_VALUE"""),3707000)</f>
        <v>3707000</v>
      </c>
      <c r="C11438" s="14">
        <f ca="1">IFERROR(__xludf.DUMMYFUNCTION("""COMPUTED_VALUE"""),0)</f>
        <v>0</v>
      </c>
      <c r="D11438" s="12" t="str">
        <f ca="1">IFERROR(__xludf.DUMMYFUNCTION("""COMPUTED_VALUE"""),"成嶋 夏未")</f>
        <v>成嶋 夏未</v>
      </c>
    </row>
    <row r="11439" spans="2:4" ht="13">
      <c r="B11439" s="12">
        <f ca="1">IFERROR(__xludf.DUMMYFUNCTION("""COMPUTED_VALUE"""),3707001)</f>
        <v>3707001</v>
      </c>
      <c r="C11439" s="14">
        <f ca="1">IFERROR(__xludf.DUMMYFUNCTION("""COMPUTED_VALUE"""),0)</f>
        <v>0</v>
      </c>
      <c r="D11439" s="12" t="str">
        <f ca="1">IFERROR(__xludf.DUMMYFUNCTION("""COMPUTED_VALUE"""),"内丸 裕子")</f>
        <v>内丸 裕子</v>
      </c>
    </row>
    <row r="11440" spans="2:4" ht="13">
      <c r="B11440" s="12">
        <f ca="1">IFERROR(__xludf.DUMMYFUNCTION("""COMPUTED_VALUE"""),3707002)</f>
        <v>3707002</v>
      </c>
      <c r="C11440" s="14">
        <f ca="1">IFERROR(__xludf.DUMMYFUNCTION("""COMPUTED_VALUE"""),4)</f>
        <v>4</v>
      </c>
      <c r="D11440" s="12" t="str">
        <f ca="1">IFERROR(__xludf.DUMMYFUNCTION("""COMPUTED_VALUE"""),"松尾 尚樹")</f>
        <v>松尾 尚樹</v>
      </c>
    </row>
    <row r="11441" spans="2:4" ht="13">
      <c r="B11441" s="12">
        <f ca="1">IFERROR(__xludf.DUMMYFUNCTION("""COMPUTED_VALUE"""),3707018)</f>
        <v>3707018</v>
      </c>
      <c r="C11441" s="14">
        <f ca="1">IFERROR(__xludf.DUMMYFUNCTION("""COMPUTED_VALUE"""),1)</f>
        <v>1</v>
      </c>
      <c r="D11441" s="12" t="str">
        <f ca="1">IFERROR(__xludf.DUMMYFUNCTION("""COMPUTED_VALUE"""),"小関 麻起")</f>
        <v>小関 麻起</v>
      </c>
    </row>
    <row r="11442" spans="2:4" ht="13">
      <c r="B11442" s="12">
        <f ca="1">IFERROR(__xludf.DUMMYFUNCTION("""COMPUTED_VALUE"""),3707024)</f>
        <v>3707024</v>
      </c>
      <c r="C11442" s="14">
        <f ca="1">IFERROR(__xludf.DUMMYFUNCTION("""COMPUTED_VALUE"""),0)</f>
        <v>0</v>
      </c>
      <c r="D11442" s="12" t="str">
        <f ca="1">IFERROR(__xludf.DUMMYFUNCTION("""COMPUTED_VALUE"""),"松尾 尚樹")</f>
        <v>松尾 尚樹</v>
      </c>
    </row>
    <row r="11443" spans="2:4" ht="13">
      <c r="B11443" s="12">
        <f ca="1">IFERROR(__xludf.DUMMYFUNCTION("""COMPUTED_VALUE"""),3707028)</f>
        <v>3707028</v>
      </c>
      <c r="C11443" s="14">
        <f ca="1">IFERROR(__xludf.DUMMYFUNCTION("""COMPUTED_VALUE"""),18)</f>
        <v>18</v>
      </c>
      <c r="D11443" s="12" t="str">
        <f ca="1">IFERROR(__xludf.DUMMYFUNCTION("""COMPUTED_VALUE"""),"芳賀 亮輔")</f>
        <v>芳賀 亮輔</v>
      </c>
    </row>
    <row r="11444" spans="2:4" ht="13">
      <c r="B11444" s="12">
        <f ca="1">IFERROR(__xludf.DUMMYFUNCTION("""COMPUTED_VALUE"""),3707041)</f>
        <v>3707041</v>
      </c>
      <c r="C11444" s="14">
        <f ca="1">IFERROR(__xludf.DUMMYFUNCTION("""COMPUTED_VALUE"""),2)</f>
        <v>2</v>
      </c>
      <c r="D11444" s="12" t="str">
        <f ca="1">IFERROR(__xludf.DUMMYFUNCTION("""COMPUTED_VALUE"""),"長谷川 陸朗")</f>
        <v>長谷川 陸朗</v>
      </c>
    </row>
    <row r="11445" spans="2:4" ht="13">
      <c r="B11445" s="12">
        <f ca="1">IFERROR(__xludf.DUMMYFUNCTION("""COMPUTED_VALUE"""),3707065)</f>
        <v>3707065</v>
      </c>
      <c r="C11445" s="14">
        <f ca="1">IFERROR(__xludf.DUMMYFUNCTION("""COMPUTED_VALUE"""),10)</f>
        <v>10</v>
      </c>
      <c r="D11445" s="12" t="str">
        <f ca="1">IFERROR(__xludf.DUMMYFUNCTION("""COMPUTED_VALUE"""),"長谷川 陸朗")</f>
        <v>長谷川 陸朗</v>
      </c>
    </row>
    <row r="11446" spans="2:4" ht="13">
      <c r="B11446" s="12">
        <f ca="1">IFERROR(__xludf.DUMMYFUNCTION("""COMPUTED_VALUE"""),3707070)</f>
        <v>3707070</v>
      </c>
      <c r="C11446" s="14">
        <f ca="1">IFERROR(__xludf.DUMMYFUNCTION("""COMPUTED_VALUE"""),0)</f>
        <v>0</v>
      </c>
      <c r="D11446" s="12" t="str">
        <f ca="1">IFERROR(__xludf.DUMMYFUNCTION("""COMPUTED_VALUE"""),"長谷川 陸朗")</f>
        <v>長谷川 陸朗</v>
      </c>
    </row>
    <row r="11447" spans="2:4" ht="13">
      <c r="B11447" s="12">
        <f ca="1">IFERROR(__xludf.DUMMYFUNCTION("""COMPUTED_VALUE"""),3707074)</f>
        <v>3707074</v>
      </c>
      <c r="C11447" s="14">
        <f ca="1">IFERROR(__xludf.DUMMYFUNCTION("""COMPUTED_VALUE"""),0)</f>
        <v>0</v>
      </c>
      <c r="D11447" s="12" t="str">
        <f ca="1">IFERROR(__xludf.DUMMYFUNCTION("""COMPUTED_VALUE"""),"芳賀 亮輔")</f>
        <v>芳賀 亮輔</v>
      </c>
    </row>
    <row r="11448" spans="2:4" ht="13">
      <c r="B11448" s="12">
        <f ca="1">IFERROR(__xludf.DUMMYFUNCTION("""COMPUTED_VALUE"""),3707090)</f>
        <v>3707090</v>
      </c>
      <c r="C11448" s="14">
        <f ca="1">IFERROR(__xludf.DUMMYFUNCTION("""COMPUTED_VALUE"""),4)</f>
        <v>4</v>
      </c>
      <c r="D11448" s="12" t="str">
        <f ca="1">IFERROR(__xludf.DUMMYFUNCTION("""COMPUTED_VALUE"""),"菅野 ぎんが")</f>
        <v>菅野 ぎんが</v>
      </c>
    </row>
    <row r="11449" spans="2:4" ht="13">
      <c r="B11449" s="12">
        <f ca="1">IFERROR(__xludf.DUMMYFUNCTION("""COMPUTED_VALUE"""),3707097)</f>
        <v>3707097</v>
      </c>
      <c r="C11449" s="14">
        <f ca="1">IFERROR(__xludf.DUMMYFUNCTION("""COMPUTED_VALUE"""),3)</f>
        <v>3</v>
      </c>
      <c r="D11449" s="12" t="str">
        <f ca="1">IFERROR(__xludf.DUMMYFUNCTION("""COMPUTED_VALUE"""),"松尾 尚樹")</f>
        <v>松尾 尚樹</v>
      </c>
    </row>
    <row r="11450" spans="2:4" ht="13">
      <c r="B11450" s="12">
        <f ca="1">IFERROR(__xludf.DUMMYFUNCTION("""COMPUTED_VALUE"""),3707101)</f>
        <v>3707101</v>
      </c>
      <c r="C11450" s="14">
        <f ca="1">IFERROR(__xludf.DUMMYFUNCTION("""COMPUTED_VALUE"""),0)</f>
        <v>0</v>
      </c>
      <c r="D11450" s="12" t="str">
        <f ca="1">IFERROR(__xludf.DUMMYFUNCTION("""COMPUTED_VALUE"""),"芳賀 亮輔")</f>
        <v>芳賀 亮輔</v>
      </c>
    </row>
    <row r="11451" spans="2:4" ht="13">
      <c r="B11451" s="12">
        <f ca="1">IFERROR(__xludf.DUMMYFUNCTION("""COMPUTED_VALUE"""),3707108)</f>
        <v>3707108</v>
      </c>
      <c r="C11451" s="14">
        <f ca="1">IFERROR(__xludf.DUMMYFUNCTION("""COMPUTED_VALUE"""),1)</f>
        <v>1</v>
      </c>
      <c r="D11451" s="12" t="str">
        <f ca="1">IFERROR(__xludf.DUMMYFUNCTION("""COMPUTED_VALUE"""),"長谷川 陸朗")</f>
        <v>長谷川 陸朗</v>
      </c>
    </row>
    <row r="11452" spans="2:4" ht="13">
      <c r="B11452" s="12">
        <f ca="1">IFERROR(__xludf.DUMMYFUNCTION("""COMPUTED_VALUE"""),3707124)</f>
        <v>3707124</v>
      </c>
      <c r="C11452" s="14">
        <f ca="1">IFERROR(__xludf.DUMMYFUNCTION("""COMPUTED_VALUE"""),0)</f>
        <v>0</v>
      </c>
      <c r="D11452" s="12" t="str">
        <f ca="1">IFERROR(__xludf.DUMMYFUNCTION("""COMPUTED_VALUE"""),"長谷川 陸朗")</f>
        <v>長谷川 陸朗</v>
      </c>
    </row>
    <row r="11453" spans="2:4" ht="13">
      <c r="B11453" s="12">
        <f ca="1">IFERROR(__xludf.DUMMYFUNCTION("""COMPUTED_VALUE"""),3707125)</f>
        <v>3707125</v>
      </c>
      <c r="C11453" s="14">
        <f ca="1">IFERROR(__xludf.DUMMYFUNCTION("""COMPUTED_VALUE"""),0)</f>
        <v>0</v>
      </c>
      <c r="D11453" s="12" t="str">
        <f ca="1">IFERROR(__xludf.DUMMYFUNCTION("""COMPUTED_VALUE"""),"老田 純輝")</f>
        <v>老田 純輝</v>
      </c>
    </row>
    <row r="11454" spans="2:4" ht="13">
      <c r="B11454" s="12">
        <f ca="1">IFERROR(__xludf.DUMMYFUNCTION("""COMPUTED_VALUE"""),3707126)</f>
        <v>3707126</v>
      </c>
      <c r="C11454" s="14">
        <f ca="1">IFERROR(__xludf.DUMMYFUNCTION("""COMPUTED_VALUE"""),2)</f>
        <v>2</v>
      </c>
      <c r="D11454" s="12" t="str">
        <f ca="1">IFERROR(__xludf.DUMMYFUNCTION("""COMPUTED_VALUE"""),"老田 純輝")</f>
        <v>老田 純輝</v>
      </c>
    </row>
    <row r="11455" spans="2:4" ht="13">
      <c r="B11455" s="12">
        <f ca="1">IFERROR(__xludf.DUMMYFUNCTION("""COMPUTED_VALUE"""),3707130)</f>
        <v>3707130</v>
      </c>
      <c r="C11455" s="14">
        <f ca="1">IFERROR(__xludf.DUMMYFUNCTION("""COMPUTED_VALUE"""),37)</f>
        <v>37</v>
      </c>
      <c r="D11455" s="12" t="str">
        <f ca="1">IFERROR(__xludf.DUMMYFUNCTION("""COMPUTED_VALUE"""),"長谷川 陸朗")</f>
        <v>長谷川 陸朗</v>
      </c>
    </row>
    <row r="11456" spans="2:4" ht="13">
      <c r="B11456" s="12">
        <f ca="1">IFERROR(__xludf.DUMMYFUNCTION("""COMPUTED_VALUE"""),3707144)</f>
        <v>3707144</v>
      </c>
      <c r="C11456" s="14">
        <f ca="1">IFERROR(__xludf.DUMMYFUNCTION("""COMPUTED_VALUE"""),3)</f>
        <v>3</v>
      </c>
      <c r="D11456" s="12" t="str">
        <f ca="1">IFERROR(__xludf.DUMMYFUNCTION("""COMPUTED_VALUE"""),"老田 純輝")</f>
        <v>老田 純輝</v>
      </c>
    </row>
    <row r="11457" spans="2:4" ht="13">
      <c r="B11457" s="12">
        <f ca="1">IFERROR(__xludf.DUMMYFUNCTION("""COMPUTED_VALUE"""),3707149)</f>
        <v>3707149</v>
      </c>
      <c r="C11457" s="14">
        <f ca="1">IFERROR(__xludf.DUMMYFUNCTION("""COMPUTED_VALUE"""),3)</f>
        <v>3</v>
      </c>
      <c r="D11457" s="12" t="str">
        <f ca="1">IFERROR(__xludf.DUMMYFUNCTION("""COMPUTED_VALUE"""),"小関 麻起")</f>
        <v>小関 麻起</v>
      </c>
    </row>
    <row r="11458" spans="2:4" ht="13">
      <c r="B11458" s="12">
        <f ca="1">IFERROR(__xludf.DUMMYFUNCTION("""COMPUTED_VALUE"""),3707161)</f>
        <v>3707161</v>
      </c>
      <c r="C11458" s="14">
        <f ca="1">IFERROR(__xludf.DUMMYFUNCTION("""COMPUTED_VALUE"""),2)</f>
        <v>2</v>
      </c>
      <c r="D11458" s="12" t="str">
        <f ca="1">IFERROR(__xludf.DUMMYFUNCTION("""COMPUTED_VALUE"""),"稲場 勇介")</f>
        <v>稲場 勇介</v>
      </c>
    </row>
    <row r="11459" spans="2:4" ht="13">
      <c r="B11459" s="12">
        <f ca="1">IFERROR(__xludf.DUMMYFUNCTION("""COMPUTED_VALUE"""),3707226)</f>
        <v>3707226</v>
      </c>
      <c r="C11459" s="14">
        <f ca="1">IFERROR(__xludf.DUMMYFUNCTION("""COMPUTED_VALUE"""),0)</f>
        <v>0</v>
      </c>
      <c r="D11459" s="12" t="str">
        <f ca="1">IFERROR(__xludf.DUMMYFUNCTION("""COMPUTED_VALUE"""),"堀越 駿")</f>
        <v>堀越 駿</v>
      </c>
    </row>
    <row r="11460" spans="2:4" ht="13">
      <c r="B11460" s="12">
        <f ca="1">IFERROR(__xludf.DUMMYFUNCTION("""COMPUTED_VALUE"""),3707241)</f>
        <v>3707241</v>
      </c>
      <c r="C11460" s="14">
        <f ca="1">IFERROR(__xludf.DUMMYFUNCTION("""COMPUTED_VALUE"""),9)</f>
        <v>9</v>
      </c>
      <c r="D11460" s="12" t="str">
        <f ca="1">IFERROR(__xludf.DUMMYFUNCTION("""COMPUTED_VALUE"""),"菅野 ぎんが")</f>
        <v>菅野 ぎんが</v>
      </c>
    </row>
    <row r="11461" spans="2:4" ht="13">
      <c r="B11461" s="12">
        <f ca="1">IFERROR(__xludf.DUMMYFUNCTION("""COMPUTED_VALUE"""),3707260)</f>
        <v>3707260</v>
      </c>
      <c r="C11461" s="14">
        <f ca="1">IFERROR(__xludf.DUMMYFUNCTION("""COMPUTED_VALUE"""),0)</f>
        <v>0</v>
      </c>
      <c r="D11461" s="12" t="str">
        <f ca="1">IFERROR(__xludf.DUMMYFUNCTION("""COMPUTED_VALUE"""),"小関 麻起")</f>
        <v>小関 麻起</v>
      </c>
    </row>
    <row r="11462" spans="2:4" ht="13">
      <c r="B11462" s="12">
        <f ca="1">IFERROR(__xludf.DUMMYFUNCTION("""COMPUTED_VALUE"""),3707261)</f>
        <v>3707261</v>
      </c>
      <c r="C11462" s="14">
        <f ca="1">IFERROR(__xludf.DUMMYFUNCTION("""COMPUTED_VALUE"""),0)</f>
        <v>0</v>
      </c>
      <c r="D11462" s="12" t="str">
        <f ca="1">IFERROR(__xludf.DUMMYFUNCTION("""COMPUTED_VALUE"""),"荻曽 克輝")</f>
        <v>荻曽 克輝</v>
      </c>
    </row>
    <row r="11463" spans="2:4" ht="13">
      <c r="B11463" s="12">
        <f ca="1">IFERROR(__xludf.DUMMYFUNCTION("""COMPUTED_VALUE"""),3707272)</f>
        <v>3707272</v>
      </c>
      <c r="C11463" s="14">
        <f ca="1">IFERROR(__xludf.DUMMYFUNCTION("""COMPUTED_VALUE"""),0)</f>
        <v>0</v>
      </c>
      <c r="D11463" s="12" t="str">
        <f ca="1">IFERROR(__xludf.DUMMYFUNCTION("""COMPUTED_VALUE"""),"長谷川 陸朗")</f>
        <v>長谷川 陸朗</v>
      </c>
    </row>
    <row r="11464" spans="2:4" ht="13">
      <c r="B11464" s="12">
        <f ca="1">IFERROR(__xludf.DUMMYFUNCTION("""COMPUTED_VALUE"""),3707280)</f>
        <v>3707280</v>
      </c>
      <c r="C11464" s="14">
        <f ca="1">IFERROR(__xludf.DUMMYFUNCTION("""COMPUTED_VALUE"""),3)</f>
        <v>3</v>
      </c>
      <c r="D11464" s="12" t="str">
        <f ca="1">IFERROR(__xludf.DUMMYFUNCTION("""COMPUTED_VALUE"""),"長谷川 陸朗")</f>
        <v>長谷川 陸朗</v>
      </c>
    </row>
    <row r="11465" spans="2:4" ht="13">
      <c r="B11465" s="12">
        <f ca="1">IFERROR(__xludf.DUMMYFUNCTION("""COMPUTED_VALUE"""),3707306)</f>
        <v>3707306</v>
      </c>
      <c r="C11465" s="14">
        <f ca="1">IFERROR(__xludf.DUMMYFUNCTION("""COMPUTED_VALUE"""),0)</f>
        <v>0</v>
      </c>
      <c r="D11465" s="12" t="str">
        <f ca="1">IFERROR(__xludf.DUMMYFUNCTION("""COMPUTED_VALUE"""),"長谷川 陸朗")</f>
        <v>長谷川 陸朗</v>
      </c>
    </row>
    <row r="11466" spans="2:4" ht="13">
      <c r="B11466" s="12">
        <f ca="1">IFERROR(__xludf.DUMMYFUNCTION("""COMPUTED_VALUE"""),3707309)</f>
        <v>3707309</v>
      </c>
      <c r="C11466" s="14">
        <f ca="1">IFERROR(__xludf.DUMMYFUNCTION("""COMPUTED_VALUE"""),0)</f>
        <v>0</v>
      </c>
      <c r="D11466" s="12" t="str">
        <f ca="1">IFERROR(__xludf.DUMMYFUNCTION("""COMPUTED_VALUE"""),"菅野 ぎんが")</f>
        <v>菅野 ぎんが</v>
      </c>
    </row>
    <row r="11467" spans="2:4" ht="13">
      <c r="B11467" s="12">
        <f ca="1">IFERROR(__xludf.DUMMYFUNCTION("""COMPUTED_VALUE"""),3707317)</f>
        <v>3707317</v>
      </c>
      <c r="C11467" s="14">
        <f ca="1">IFERROR(__xludf.DUMMYFUNCTION("""COMPUTED_VALUE"""),3)</f>
        <v>3</v>
      </c>
      <c r="D11467" s="12" t="str">
        <f ca="1">IFERROR(__xludf.DUMMYFUNCTION("""COMPUTED_VALUE"""),"長谷川 陸朗")</f>
        <v>長谷川 陸朗</v>
      </c>
    </row>
    <row r="11468" spans="2:4" ht="13">
      <c r="B11468" s="12">
        <f ca="1">IFERROR(__xludf.DUMMYFUNCTION("""COMPUTED_VALUE"""),3707320)</f>
        <v>3707320</v>
      </c>
      <c r="C11468" s="14">
        <f ca="1">IFERROR(__xludf.DUMMYFUNCTION("""COMPUTED_VALUE"""),0)</f>
        <v>0</v>
      </c>
      <c r="D11468" s="12" t="str">
        <f ca="1">IFERROR(__xludf.DUMMYFUNCTION("""COMPUTED_VALUE"""),"森 光智")</f>
        <v>森 光智</v>
      </c>
    </row>
    <row r="11469" spans="2:4" ht="13">
      <c r="B11469" s="12">
        <f ca="1">IFERROR(__xludf.DUMMYFUNCTION("""COMPUTED_VALUE"""),3707322)</f>
        <v>3707322</v>
      </c>
      <c r="C11469" s="14">
        <f ca="1">IFERROR(__xludf.DUMMYFUNCTION("""COMPUTED_VALUE"""),1)</f>
        <v>1</v>
      </c>
      <c r="D11469" s="12" t="str">
        <f ca="1">IFERROR(__xludf.DUMMYFUNCTION("""COMPUTED_VALUE"""),"奥野 貴大")</f>
        <v>奥野 貴大</v>
      </c>
    </row>
    <row r="11470" spans="2:4" ht="13">
      <c r="B11470" s="12">
        <f ca="1">IFERROR(__xludf.DUMMYFUNCTION("""COMPUTED_VALUE"""),3707325)</f>
        <v>3707325</v>
      </c>
      <c r="C11470" s="14">
        <f ca="1">IFERROR(__xludf.DUMMYFUNCTION("""COMPUTED_VALUE"""),1)</f>
        <v>1</v>
      </c>
      <c r="D11470" s="12" t="str">
        <f ca="1">IFERROR(__xludf.DUMMYFUNCTION("""COMPUTED_VALUE"""),"菅野 ぎんが")</f>
        <v>菅野 ぎんが</v>
      </c>
    </row>
    <row r="11471" spans="2:4" ht="13">
      <c r="B11471" s="12">
        <f ca="1">IFERROR(__xludf.DUMMYFUNCTION("""COMPUTED_VALUE"""),3707337)</f>
        <v>3707337</v>
      </c>
      <c r="C11471" s="14">
        <f ca="1">IFERROR(__xludf.DUMMYFUNCTION("""COMPUTED_VALUE"""),7)</f>
        <v>7</v>
      </c>
      <c r="D11471" s="12" t="str">
        <f ca="1">IFERROR(__xludf.DUMMYFUNCTION("""COMPUTED_VALUE"""),"長谷川 陸朗")</f>
        <v>長谷川 陸朗</v>
      </c>
    </row>
    <row r="11472" spans="2:4" ht="13">
      <c r="B11472" s="12">
        <f ca="1">IFERROR(__xludf.DUMMYFUNCTION("""COMPUTED_VALUE"""),3707340)</f>
        <v>3707340</v>
      </c>
      <c r="C11472" s="14">
        <f ca="1">IFERROR(__xludf.DUMMYFUNCTION("""COMPUTED_VALUE"""),0)</f>
        <v>0</v>
      </c>
      <c r="D11472" s="12" t="str">
        <f ca="1">IFERROR(__xludf.DUMMYFUNCTION("""COMPUTED_VALUE"""),"長谷川 陸朗")</f>
        <v>長谷川 陸朗</v>
      </c>
    </row>
    <row r="11473" spans="2:4" ht="13">
      <c r="B11473" s="12">
        <f ca="1">IFERROR(__xludf.DUMMYFUNCTION("""COMPUTED_VALUE"""),3707342)</f>
        <v>3707342</v>
      </c>
      <c r="C11473" s="14">
        <f ca="1">IFERROR(__xludf.DUMMYFUNCTION("""COMPUTED_VALUE"""),2)</f>
        <v>2</v>
      </c>
      <c r="D11473" s="12" t="str">
        <f ca="1">IFERROR(__xludf.DUMMYFUNCTION("""COMPUTED_VALUE"""),"菅野 ぎんが")</f>
        <v>菅野 ぎんが</v>
      </c>
    </row>
    <row r="11474" spans="2:4" ht="13">
      <c r="B11474" s="12">
        <f ca="1">IFERROR(__xludf.DUMMYFUNCTION("""COMPUTED_VALUE"""),3707344)</f>
        <v>3707344</v>
      </c>
      <c r="C11474" s="14">
        <f ca="1">IFERROR(__xludf.DUMMYFUNCTION("""COMPUTED_VALUE"""),2)</f>
        <v>2</v>
      </c>
      <c r="D11474" s="12" t="str">
        <f ca="1">IFERROR(__xludf.DUMMYFUNCTION("""COMPUTED_VALUE"""),"栗原 大武")</f>
        <v>栗原 大武</v>
      </c>
    </row>
    <row r="11475" spans="2:4" ht="13">
      <c r="B11475" s="12">
        <f ca="1">IFERROR(__xludf.DUMMYFUNCTION("""COMPUTED_VALUE"""),3707346)</f>
        <v>3707346</v>
      </c>
      <c r="C11475" s="14">
        <f ca="1">IFERROR(__xludf.DUMMYFUNCTION("""COMPUTED_VALUE"""),0)</f>
        <v>0</v>
      </c>
      <c r="D11475" s="12" t="str">
        <f ca="1">IFERROR(__xludf.DUMMYFUNCTION("""COMPUTED_VALUE"""),"荻曽 克輝")</f>
        <v>荻曽 克輝</v>
      </c>
    </row>
    <row r="11476" spans="2:4" ht="13">
      <c r="B11476" s="12">
        <f ca="1">IFERROR(__xludf.DUMMYFUNCTION("""COMPUTED_VALUE"""),3707349)</f>
        <v>3707349</v>
      </c>
      <c r="C11476" s="14">
        <f ca="1">IFERROR(__xludf.DUMMYFUNCTION("""COMPUTED_VALUE"""),0)</f>
        <v>0</v>
      </c>
      <c r="D11476" s="12" t="str">
        <f ca="1">IFERROR(__xludf.DUMMYFUNCTION("""COMPUTED_VALUE"""),"栗原 大武")</f>
        <v>栗原 大武</v>
      </c>
    </row>
    <row r="11477" spans="2:4" ht="13">
      <c r="B11477" s="12">
        <f ca="1">IFERROR(__xludf.DUMMYFUNCTION("""COMPUTED_VALUE"""),3707369)</f>
        <v>3707369</v>
      </c>
      <c r="C11477" s="14">
        <f ca="1">IFERROR(__xludf.DUMMYFUNCTION("""COMPUTED_VALUE"""),0)</f>
        <v>0</v>
      </c>
      <c r="D11477" s="12" t="str">
        <f ca="1">IFERROR(__xludf.DUMMYFUNCTION("""COMPUTED_VALUE"""),"芳賀 亮輔")</f>
        <v>芳賀 亮輔</v>
      </c>
    </row>
    <row r="11478" spans="2:4" ht="13">
      <c r="B11478" s="12">
        <f ca="1">IFERROR(__xludf.DUMMYFUNCTION("""COMPUTED_VALUE"""),3707370)</f>
        <v>3707370</v>
      </c>
      <c r="C11478" s="14">
        <f ca="1">IFERROR(__xludf.DUMMYFUNCTION("""COMPUTED_VALUE"""),1)</f>
        <v>1</v>
      </c>
      <c r="D11478" s="12" t="str">
        <f ca="1">IFERROR(__xludf.DUMMYFUNCTION("""COMPUTED_VALUE"""),"内丸 裕子")</f>
        <v>内丸 裕子</v>
      </c>
    </row>
    <row r="11479" spans="2:4" ht="13">
      <c r="B11479" s="12">
        <f ca="1">IFERROR(__xludf.DUMMYFUNCTION("""COMPUTED_VALUE"""),3707372)</f>
        <v>3707372</v>
      </c>
      <c r="C11479" s="14">
        <f ca="1">IFERROR(__xludf.DUMMYFUNCTION("""COMPUTED_VALUE"""),0)</f>
        <v>0</v>
      </c>
      <c r="D11479" s="12" t="str">
        <f ca="1">IFERROR(__xludf.DUMMYFUNCTION("""COMPUTED_VALUE"""),"老田 純輝")</f>
        <v>老田 純輝</v>
      </c>
    </row>
    <row r="11480" spans="2:4" ht="13">
      <c r="B11480" s="12">
        <f ca="1">IFERROR(__xludf.DUMMYFUNCTION("""COMPUTED_VALUE"""),3707380)</f>
        <v>3707380</v>
      </c>
      <c r="C11480" s="14">
        <f ca="1">IFERROR(__xludf.DUMMYFUNCTION("""COMPUTED_VALUE"""),0)</f>
        <v>0</v>
      </c>
      <c r="D11480" s="12" t="str">
        <f ca="1">IFERROR(__xludf.DUMMYFUNCTION("""COMPUTED_VALUE"""),"老田 純輝")</f>
        <v>老田 純輝</v>
      </c>
    </row>
    <row r="11481" spans="2:4" ht="13">
      <c r="B11481" s="12">
        <f ca="1">IFERROR(__xludf.DUMMYFUNCTION("""COMPUTED_VALUE"""),3707381)</f>
        <v>3707381</v>
      </c>
      <c r="C11481" s="14">
        <f ca="1">IFERROR(__xludf.DUMMYFUNCTION("""COMPUTED_VALUE"""),21)</f>
        <v>21</v>
      </c>
      <c r="D11481" s="12" t="str">
        <f ca="1">IFERROR(__xludf.DUMMYFUNCTION("""COMPUTED_VALUE"""),"桐山 勝気")</f>
        <v>桐山 勝気</v>
      </c>
    </row>
    <row r="11482" spans="2:4" ht="13">
      <c r="B11482" s="12">
        <f ca="1">IFERROR(__xludf.DUMMYFUNCTION("""COMPUTED_VALUE"""),3707382)</f>
        <v>3707382</v>
      </c>
      <c r="C11482" s="14">
        <f ca="1">IFERROR(__xludf.DUMMYFUNCTION("""COMPUTED_VALUE"""),7)</f>
        <v>7</v>
      </c>
      <c r="D11482" s="12" t="str">
        <f ca="1">IFERROR(__xludf.DUMMYFUNCTION("""COMPUTED_VALUE"""),"老田 純輝")</f>
        <v>老田 純輝</v>
      </c>
    </row>
    <row r="11483" spans="2:4" ht="13">
      <c r="B11483" s="12">
        <f ca="1">IFERROR(__xludf.DUMMYFUNCTION("""COMPUTED_VALUE"""),3707383)</f>
        <v>3707383</v>
      </c>
      <c r="C11483" s="14">
        <f ca="1">IFERROR(__xludf.DUMMYFUNCTION("""COMPUTED_VALUE"""),1)</f>
        <v>1</v>
      </c>
      <c r="D11483" s="12" t="str">
        <f ca="1">IFERROR(__xludf.DUMMYFUNCTION("""COMPUTED_VALUE"""),"小関 麻起")</f>
        <v>小関 麻起</v>
      </c>
    </row>
    <row r="11484" spans="2:4" ht="13">
      <c r="B11484" s="12">
        <f ca="1">IFERROR(__xludf.DUMMYFUNCTION("""COMPUTED_VALUE"""),3707385)</f>
        <v>3707385</v>
      </c>
      <c r="C11484" s="14">
        <f ca="1">IFERROR(__xludf.DUMMYFUNCTION("""COMPUTED_VALUE"""),8)</f>
        <v>8</v>
      </c>
      <c r="D11484" s="12" t="str">
        <f ca="1">IFERROR(__xludf.DUMMYFUNCTION("""COMPUTED_VALUE"""),"川島 幹也")</f>
        <v>川島 幹也</v>
      </c>
    </row>
    <row r="11485" spans="2:4" ht="13">
      <c r="B11485" s="12">
        <f ca="1">IFERROR(__xludf.DUMMYFUNCTION("""COMPUTED_VALUE"""),3707394)</f>
        <v>3707394</v>
      </c>
      <c r="C11485" s="14">
        <f ca="1">IFERROR(__xludf.DUMMYFUNCTION("""COMPUTED_VALUE"""),0)</f>
        <v>0</v>
      </c>
      <c r="D11485" s="12" t="str">
        <f ca="1">IFERROR(__xludf.DUMMYFUNCTION("""COMPUTED_VALUE"""),"小関 麻起")</f>
        <v>小関 麻起</v>
      </c>
    </row>
    <row r="11486" spans="2:4" ht="13">
      <c r="B11486" s="12">
        <f ca="1">IFERROR(__xludf.DUMMYFUNCTION("""COMPUTED_VALUE"""),3707399)</f>
        <v>3707399</v>
      </c>
      <c r="C11486" s="14">
        <f ca="1">IFERROR(__xludf.DUMMYFUNCTION("""COMPUTED_VALUE"""),54)</f>
        <v>54</v>
      </c>
      <c r="D11486" s="12" t="str">
        <f ca="1">IFERROR(__xludf.DUMMYFUNCTION("""COMPUTED_VALUE"""),"桑原 明子")</f>
        <v>桑原 明子</v>
      </c>
    </row>
    <row r="11487" spans="2:4" ht="13">
      <c r="B11487" s="12">
        <f ca="1">IFERROR(__xludf.DUMMYFUNCTION("""COMPUTED_VALUE"""),3707402)</f>
        <v>3707402</v>
      </c>
      <c r="C11487" s="14">
        <f ca="1">IFERROR(__xludf.DUMMYFUNCTION("""COMPUTED_VALUE"""),0)</f>
        <v>0</v>
      </c>
      <c r="D11487" s="12" t="str">
        <f ca="1">IFERROR(__xludf.DUMMYFUNCTION("""COMPUTED_VALUE"""),"老田 純輝")</f>
        <v>老田 純輝</v>
      </c>
    </row>
    <row r="11488" spans="2:4" ht="13">
      <c r="B11488" s="12">
        <f ca="1">IFERROR(__xludf.DUMMYFUNCTION("""COMPUTED_VALUE"""),3710000)</f>
        <v>3710000</v>
      </c>
      <c r="C11488" s="14">
        <f ca="1">IFERROR(__xludf.DUMMYFUNCTION("""COMPUTED_VALUE"""),0)</f>
        <v>0</v>
      </c>
      <c r="D11488" s="12" t="str">
        <f ca="1">IFERROR(__xludf.DUMMYFUNCTION("""COMPUTED_VALUE"""),"大木 優香")</f>
        <v>大木 優香</v>
      </c>
    </row>
    <row r="11489" spans="2:4" ht="13">
      <c r="B11489" s="12">
        <f ca="1">IFERROR(__xludf.DUMMYFUNCTION("""COMPUTED_VALUE"""),3713000)</f>
        <v>3713000</v>
      </c>
      <c r="C11489" s="14">
        <f ca="1">IFERROR(__xludf.DUMMYFUNCTION("""COMPUTED_VALUE"""),0)</f>
        <v>0</v>
      </c>
      <c r="D11489" s="12" t="str">
        <f ca="1">IFERROR(__xludf.DUMMYFUNCTION("""COMPUTED_VALUE"""),"柿崎 晃司")</f>
        <v>柿崎 晃司</v>
      </c>
    </row>
    <row r="11490" spans="2:4" ht="13">
      <c r="B11490" s="12">
        <f ca="1">IFERROR(__xludf.DUMMYFUNCTION("""COMPUTED_VALUE"""),3713001)</f>
        <v>3713001</v>
      </c>
      <c r="C11490" s="14">
        <f ca="1">IFERROR(__xludf.DUMMYFUNCTION("""COMPUTED_VALUE"""),43)</f>
        <v>43</v>
      </c>
      <c r="D11490" s="12" t="str">
        <f ca="1">IFERROR(__xludf.DUMMYFUNCTION("""COMPUTED_VALUE"""),"柿崎 晃司")</f>
        <v>柿崎 晃司</v>
      </c>
    </row>
    <row r="11491" spans="2:4" ht="13">
      <c r="B11491" s="12">
        <f ca="1">IFERROR(__xludf.DUMMYFUNCTION("""COMPUTED_VALUE"""),3713002)</f>
        <v>3713002</v>
      </c>
      <c r="C11491" s="14">
        <f ca="1">IFERROR(__xludf.DUMMYFUNCTION("""COMPUTED_VALUE"""),29)</f>
        <v>29</v>
      </c>
      <c r="D11491" s="12" t="str">
        <f ca="1">IFERROR(__xludf.DUMMYFUNCTION("""COMPUTED_VALUE"""),"柿崎 晃司")</f>
        <v>柿崎 晃司</v>
      </c>
    </row>
    <row r="11492" spans="2:4" ht="13">
      <c r="B11492" s="12">
        <f ca="1">IFERROR(__xludf.DUMMYFUNCTION("""COMPUTED_VALUE"""),3713003)</f>
        <v>3713003</v>
      </c>
      <c r="C11492" s="14">
        <f ca="1">IFERROR(__xludf.DUMMYFUNCTION("""COMPUTED_VALUE"""),32)</f>
        <v>32</v>
      </c>
      <c r="D11492" s="12" t="str">
        <f ca="1">IFERROR(__xludf.DUMMYFUNCTION("""COMPUTED_VALUE"""),"柿崎 晃司")</f>
        <v>柿崎 晃司</v>
      </c>
    </row>
    <row r="11493" spans="2:4" ht="13">
      <c r="B11493" s="12">
        <f ca="1">IFERROR(__xludf.DUMMYFUNCTION("""COMPUTED_VALUE"""),3713004)</f>
        <v>3713004</v>
      </c>
      <c r="C11493" s="14">
        <f ca="1">IFERROR(__xludf.DUMMYFUNCTION("""COMPUTED_VALUE"""),20)</f>
        <v>20</v>
      </c>
      <c r="D11493" s="12" t="str">
        <f ca="1">IFERROR(__xludf.DUMMYFUNCTION("""COMPUTED_VALUE"""),"柿崎 晃司")</f>
        <v>柿崎 晃司</v>
      </c>
    </row>
    <row r="11494" spans="2:4" ht="13">
      <c r="B11494" s="12">
        <f ca="1">IFERROR(__xludf.DUMMYFUNCTION("""COMPUTED_VALUE"""),3713005)</f>
        <v>3713005</v>
      </c>
      <c r="C11494" s="14">
        <f ca="1">IFERROR(__xludf.DUMMYFUNCTION("""COMPUTED_VALUE"""),17)</f>
        <v>17</v>
      </c>
      <c r="D11494" s="12" t="str">
        <f ca="1">IFERROR(__xludf.DUMMYFUNCTION("""COMPUTED_VALUE"""),"柿崎 晃司")</f>
        <v>柿崎 晃司</v>
      </c>
    </row>
    <row r="11495" spans="2:4" ht="13">
      <c r="B11495" s="12">
        <f ca="1">IFERROR(__xludf.DUMMYFUNCTION("""COMPUTED_VALUE"""),3713006)</f>
        <v>3713006</v>
      </c>
      <c r="C11495" s="14">
        <f ca="1">IFERROR(__xludf.DUMMYFUNCTION("""COMPUTED_VALUE"""),19)</f>
        <v>19</v>
      </c>
      <c r="D11495" s="12" t="str">
        <f ca="1">IFERROR(__xludf.DUMMYFUNCTION("""COMPUTED_VALUE"""),"柿崎 晃司")</f>
        <v>柿崎 晃司</v>
      </c>
    </row>
    <row r="11496" spans="2:4" ht="13">
      <c r="B11496" s="12">
        <f ca="1">IFERROR(__xludf.DUMMYFUNCTION("""COMPUTED_VALUE"""),3713007)</f>
        <v>3713007</v>
      </c>
      <c r="C11496" s="14">
        <f ca="1">IFERROR(__xludf.DUMMYFUNCTION("""COMPUTED_VALUE"""),55)</f>
        <v>55</v>
      </c>
      <c r="D11496" s="12" t="str">
        <f ca="1">IFERROR(__xludf.DUMMYFUNCTION("""COMPUTED_VALUE"""),"柿崎 晃司")</f>
        <v>柿崎 晃司</v>
      </c>
    </row>
    <row r="11497" spans="2:4" ht="13">
      <c r="B11497" s="12">
        <f ca="1">IFERROR(__xludf.DUMMYFUNCTION("""COMPUTED_VALUE"""),3713008)</f>
        <v>3713008</v>
      </c>
      <c r="C11497" s="14">
        <f ca="1">IFERROR(__xludf.DUMMYFUNCTION("""COMPUTED_VALUE"""),38)</f>
        <v>38</v>
      </c>
      <c r="D11497" s="12" t="str">
        <f ca="1">IFERROR(__xludf.DUMMYFUNCTION("""COMPUTED_VALUE"""),"柿崎 晃司")</f>
        <v>柿崎 晃司</v>
      </c>
    </row>
    <row r="11498" spans="2:4" ht="13">
      <c r="B11498" s="12">
        <f ca="1">IFERROR(__xludf.DUMMYFUNCTION("""COMPUTED_VALUE"""),3713009)</f>
        <v>3713009</v>
      </c>
      <c r="C11498" s="14">
        <f ca="1">IFERROR(__xludf.DUMMYFUNCTION("""COMPUTED_VALUE"""),41)</f>
        <v>41</v>
      </c>
      <c r="D11498" s="12" t="str">
        <f ca="1">IFERROR(__xludf.DUMMYFUNCTION("""COMPUTED_VALUE"""),"柿崎 晃司")</f>
        <v>柿崎 晃司</v>
      </c>
    </row>
    <row r="11499" spans="2:4" ht="13">
      <c r="B11499" s="12">
        <f ca="1">IFERROR(__xludf.DUMMYFUNCTION("""COMPUTED_VALUE"""),3713010)</f>
        <v>3713010</v>
      </c>
      <c r="C11499" s="14">
        <f ca="1">IFERROR(__xludf.DUMMYFUNCTION("""COMPUTED_VALUE"""),51)</f>
        <v>51</v>
      </c>
      <c r="D11499" s="12" t="str">
        <f ca="1">IFERROR(__xludf.DUMMYFUNCTION("""COMPUTED_VALUE"""),"柿崎 晃司")</f>
        <v>柿崎 晃司</v>
      </c>
    </row>
    <row r="11500" spans="2:4" ht="13">
      <c r="B11500" s="12">
        <f ca="1">IFERROR(__xludf.DUMMYFUNCTION("""COMPUTED_VALUE"""),3713011)</f>
        <v>3713011</v>
      </c>
      <c r="C11500" s="14">
        <f ca="1">IFERROR(__xludf.DUMMYFUNCTION("""COMPUTED_VALUE"""),62)</f>
        <v>62</v>
      </c>
      <c r="D11500" s="12" t="str">
        <f ca="1">IFERROR(__xludf.DUMMYFUNCTION("""COMPUTED_VALUE"""),"柿崎 晃司")</f>
        <v>柿崎 晃司</v>
      </c>
    </row>
    <row r="11501" spans="2:4" ht="13">
      <c r="B11501" s="12">
        <f ca="1">IFERROR(__xludf.DUMMYFUNCTION("""COMPUTED_VALUE"""),3713012)</f>
        <v>3713012</v>
      </c>
      <c r="C11501" s="14">
        <f ca="1">IFERROR(__xludf.DUMMYFUNCTION("""COMPUTED_VALUE"""),75)</f>
        <v>75</v>
      </c>
      <c r="D11501" s="12" t="str">
        <f ca="1">IFERROR(__xludf.DUMMYFUNCTION("""COMPUTED_VALUE"""),"柿崎 晃司")</f>
        <v>柿崎 晃司</v>
      </c>
    </row>
    <row r="11502" spans="2:4" ht="13">
      <c r="B11502" s="12">
        <f ca="1">IFERROR(__xludf.DUMMYFUNCTION("""COMPUTED_VALUE"""),3713013)</f>
        <v>3713013</v>
      </c>
      <c r="C11502" s="14">
        <f ca="1">IFERROR(__xludf.DUMMYFUNCTION("""COMPUTED_VALUE"""),43)</f>
        <v>43</v>
      </c>
      <c r="D11502" s="12" t="str">
        <f ca="1">IFERROR(__xludf.DUMMYFUNCTION("""COMPUTED_VALUE"""),"柿崎 晃司")</f>
        <v>柿崎 晃司</v>
      </c>
    </row>
    <row r="11503" spans="2:4" ht="13">
      <c r="B11503" s="12">
        <f ca="1">IFERROR(__xludf.DUMMYFUNCTION("""COMPUTED_VALUE"""),3713014)</f>
        <v>3713014</v>
      </c>
      <c r="C11503" s="14">
        <f ca="1">IFERROR(__xludf.DUMMYFUNCTION("""COMPUTED_VALUE"""),46)</f>
        <v>46</v>
      </c>
      <c r="D11503" s="12" t="str">
        <f ca="1">IFERROR(__xludf.DUMMYFUNCTION("""COMPUTED_VALUE"""),"柿崎 晃司")</f>
        <v>柿崎 晃司</v>
      </c>
    </row>
    <row r="11504" spans="2:4" ht="13">
      <c r="B11504" s="12">
        <f ca="1">IFERROR(__xludf.DUMMYFUNCTION("""COMPUTED_VALUE"""),3713015)</f>
        <v>3713015</v>
      </c>
      <c r="C11504" s="14">
        <f ca="1">IFERROR(__xludf.DUMMYFUNCTION("""COMPUTED_VALUE"""),47)</f>
        <v>47</v>
      </c>
      <c r="D11504" s="12" t="str">
        <f ca="1">IFERROR(__xludf.DUMMYFUNCTION("""COMPUTED_VALUE"""),"柿崎 晃司")</f>
        <v>柿崎 晃司</v>
      </c>
    </row>
    <row r="11505" spans="2:4" ht="13">
      <c r="B11505" s="12">
        <f ca="1">IFERROR(__xludf.DUMMYFUNCTION("""COMPUTED_VALUE"""),3713016)</f>
        <v>3713016</v>
      </c>
      <c r="C11505" s="14">
        <f ca="1">IFERROR(__xludf.DUMMYFUNCTION("""COMPUTED_VALUE"""),35)</f>
        <v>35</v>
      </c>
      <c r="D11505" s="12" t="str">
        <f ca="1">IFERROR(__xludf.DUMMYFUNCTION("""COMPUTED_VALUE"""),"柿崎 晃司")</f>
        <v>柿崎 晃司</v>
      </c>
    </row>
    <row r="11506" spans="2:4" ht="13">
      <c r="B11506" s="12">
        <f ca="1">IFERROR(__xludf.DUMMYFUNCTION("""COMPUTED_VALUE"""),3713017)</f>
        <v>3713017</v>
      </c>
      <c r="C11506" s="14">
        <f ca="1">IFERROR(__xludf.DUMMYFUNCTION("""COMPUTED_VALUE"""),40)</f>
        <v>40</v>
      </c>
      <c r="D11506" s="12" t="str">
        <f ca="1">IFERROR(__xludf.DUMMYFUNCTION("""COMPUTED_VALUE"""),"柿崎 晃司")</f>
        <v>柿崎 晃司</v>
      </c>
    </row>
    <row r="11507" spans="2:4" ht="13">
      <c r="B11507" s="12">
        <f ca="1">IFERROR(__xludf.DUMMYFUNCTION("""COMPUTED_VALUE"""),3713018)</f>
        <v>3713018</v>
      </c>
      <c r="C11507" s="14">
        <f ca="1">IFERROR(__xludf.DUMMYFUNCTION("""COMPUTED_VALUE"""),44)</f>
        <v>44</v>
      </c>
      <c r="D11507" s="12" t="str">
        <f ca="1">IFERROR(__xludf.DUMMYFUNCTION("""COMPUTED_VALUE"""),"柿崎 晃司")</f>
        <v>柿崎 晃司</v>
      </c>
    </row>
    <row r="11508" spans="2:4" ht="13">
      <c r="B11508" s="12">
        <f ca="1">IFERROR(__xludf.DUMMYFUNCTION("""COMPUTED_VALUE"""),3713019)</f>
        <v>3713019</v>
      </c>
      <c r="C11508" s="14">
        <f ca="1">IFERROR(__xludf.DUMMYFUNCTION("""COMPUTED_VALUE"""),51)</f>
        <v>51</v>
      </c>
      <c r="D11508" s="12" t="str">
        <f ca="1">IFERROR(__xludf.DUMMYFUNCTION("""COMPUTED_VALUE"""),"柿崎 晃司")</f>
        <v>柿崎 晃司</v>
      </c>
    </row>
    <row r="11509" spans="2:4" ht="13">
      <c r="B11509" s="12">
        <f ca="1">IFERROR(__xludf.DUMMYFUNCTION("""COMPUTED_VALUE"""),3713020)</f>
        <v>3713020</v>
      </c>
      <c r="C11509" s="14">
        <f ca="1">IFERROR(__xludf.DUMMYFUNCTION("""COMPUTED_VALUE"""),41)</f>
        <v>41</v>
      </c>
      <c r="D11509" s="12" t="str">
        <f ca="1">IFERROR(__xludf.DUMMYFUNCTION("""COMPUTED_VALUE"""),"柿崎 晃司")</f>
        <v>柿崎 晃司</v>
      </c>
    </row>
    <row r="11510" spans="2:4" ht="13">
      <c r="B11510" s="12">
        <f ca="1">IFERROR(__xludf.DUMMYFUNCTION("""COMPUTED_VALUE"""),3713021)</f>
        <v>3713021</v>
      </c>
      <c r="C11510" s="14">
        <f ca="1">IFERROR(__xludf.DUMMYFUNCTION("""COMPUTED_VALUE"""),40)</f>
        <v>40</v>
      </c>
      <c r="D11510" s="12" t="str">
        <f ca="1">IFERROR(__xludf.DUMMYFUNCTION("""COMPUTED_VALUE"""),"柿崎 晃司")</f>
        <v>柿崎 晃司</v>
      </c>
    </row>
    <row r="11511" spans="2:4" ht="13">
      <c r="B11511" s="12">
        <f ca="1">IFERROR(__xludf.DUMMYFUNCTION("""COMPUTED_VALUE"""),3713022)</f>
        <v>3713022</v>
      </c>
      <c r="C11511" s="14">
        <f ca="1">IFERROR(__xludf.DUMMYFUNCTION("""COMPUTED_VALUE"""),37)</f>
        <v>37</v>
      </c>
      <c r="D11511" s="12" t="str">
        <f ca="1">IFERROR(__xludf.DUMMYFUNCTION("""COMPUTED_VALUE"""),"柿崎 晃司")</f>
        <v>柿崎 晃司</v>
      </c>
    </row>
    <row r="11512" spans="2:4" ht="13">
      <c r="B11512" s="12">
        <f ca="1">IFERROR(__xludf.DUMMYFUNCTION("""COMPUTED_VALUE"""),3713023)</f>
        <v>3713023</v>
      </c>
      <c r="C11512" s="14">
        <f ca="1">IFERROR(__xludf.DUMMYFUNCTION("""COMPUTED_VALUE"""),39)</f>
        <v>39</v>
      </c>
      <c r="D11512" s="12" t="str">
        <f ca="1">IFERROR(__xludf.DUMMYFUNCTION("""COMPUTED_VALUE"""),"柿崎 晃司")</f>
        <v>柿崎 晃司</v>
      </c>
    </row>
    <row r="11513" spans="2:4" ht="13">
      <c r="B11513" s="12">
        <f ca="1">IFERROR(__xludf.DUMMYFUNCTION("""COMPUTED_VALUE"""),3713024)</f>
        <v>3713024</v>
      </c>
      <c r="C11513" s="14">
        <f ca="1">IFERROR(__xludf.DUMMYFUNCTION("""COMPUTED_VALUE"""),84)</f>
        <v>84</v>
      </c>
      <c r="D11513" s="12" t="str">
        <f ca="1">IFERROR(__xludf.DUMMYFUNCTION("""COMPUTED_VALUE"""),"柿崎 晃司")</f>
        <v>柿崎 晃司</v>
      </c>
    </row>
    <row r="11514" spans="2:4" ht="13">
      <c r="B11514" s="12">
        <f ca="1">IFERROR(__xludf.DUMMYFUNCTION("""COMPUTED_VALUE"""),3713025)</f>
        <v>3713025</v>
      </c>
      <c r="C11514" s="14">
        <f ca="1">IFERROR(__xludf.DUMMYFUNCTION("""COMPUTED_VALUE"""),65)</f>
        <v>65</v>
      </c>
      <c r="D11514" s="12" t="str">
        <f ca="1">IFERROR(__xludf.DUMMYFUNCTION("""COMPUTED_VALUE"""),"柿崎 晃司")</f>
        <v>柿崎 晃司</v>
      </c>
    </row>
    <row r="11515" spans="2:4" ht="13">
      <c r="B11515" s="12">
        <f ca="1">IFERROR(__xludf.DUMMYFUNCTION("""COMPUTED_VALUE"""),3713026)</f>
        <v>3713026</v>
      </c>
      <c r="C11515" s="14">
        <f ca="1">IFERROR(__xludf.DUMMYFUNCTION("""COMPUTED_VALUE"""),76)</f>
        <v>76</v>
      </c>
      <c r="D11515" s="12" t="str">
        <f ca="1">IFERROR(__xludf.DUMMYFUNCTION("""COMPUTED_VALUE"""),"柿崎 晃司")</f>
        <v>柿崎 晃司</v>
      </c>
    </row>
    <row r="11516" spans="2:4" ht="13">
      <c r="B11516" s="12">
        <f ca="1">IFERROR(__xludf.DUMMYFUNCTION("""COMPUTED_VALUE"""),3713027)</f>
        <v>3713027</v>
      </c>
      <c r="C11516" s="14">
        <f ca="1">IFERROR(__xludf.DUMMYFUNCTION("""COMPUTED_VALUE"""),92)</f>
        <v>92</v>
      </c>
      <c r="D11516" s="12" t="str">
        <f ca="1">IFERROR(__xludf.DUMMYFUNCTION("""COMPUTED_VALUE"""),"柿崎 晃司")</f>
        <v>柿崎 晃司</v>
      </c>
    </row>
    <row r="11517" spans="2:4" ht="13">
      <c r="B11517" s="12">
        <f ca="1">IFERROR(__xludf.DUMMYFUNCTION("""COMPUTED_VALUE"""),3713028)</f>
        <v>3713028</v>
      </c>
      <c r="C11517" s="14">
        <f ca="1">IFERROR(__xludf.DUMMYFUNCTION("""COMPUTED_VALUE"""),66)</f>
        <v>66</v>
      </c>
      <c r="D11517" s="12" t="str">
        <f ca="1">IFERROR(__xludf.DUMMYFUNCTION("""COMPUTED_VALUE"""),"柿崎 晃司")</f>
        <v>柿崎 晃司</v>
      </c>
    </row>
    <row r="11518" spans="2:4" ht="13">
      <c r="B11518" s="12">
        <f ca="1">IFERROR(__xludf.DUMMYFUNCTION("""COMPUTED_VALUE"""),3713029)</f>
        <v>3713029</v>
      </c>
      <c r="C11518" s="14">
        <f ca="1">IFERROR(__xludf.DUMMYFUNCTION("""COMPUTED_VALUE"""),57)</f>
        <v>57</v>
      </c>
      <c r="D11518" s="12" t="str">
        <f ca="1">IFERROR(__xludf.DUMMYFUNCTION("""COMPUTED_VALUE"""),"柿崎 晃司")</f>
        <v>柿崎 晃司</v>
      </c>
    </row>
    <row r="11519" spans="2:4" ht="13">
      <c r="B11519" s="12">
        <f ca="1">IFERROR(__xludf.DUMMYFUNCTION("""COMPUTED_VALUE"""),3713030)</f>
        <v>3713030</v>
      </c>
      <c r="C11519" s="14">
        <f ca="1">IFERROR(__xludf.DUMMYFUNCTION("""COMPUTED_VALUE"""),45)</f>
        <v>45</v>
      </c>
      <c r="D11519" s="12" t="str">
        <f ca="1">IFERROR(__xludf.DUMMYFUNCTION("""COMPUTED_VALUE"""),"柿崎 晃司")</f>
        <v>柿崎 晃司</v>
      </c>
    </row>
    <row r="11520" spans="2:4" ht="13">
      <c r="B11520" s="12">
        <f ca="1">IFERROR(__xludf.DUMMYFUNCTION("""COMPUTED_VALUE"""),3713031)</f>
        <v>3713031</v>
      </c>
      <c r="C11520" s="14">
        <f ca="1">IFERROR(__xludf.DUMMYFUNCTION("""COMPUTED_VALUE"""),33)</f>
        <v>33</v>
      </c>
      <c r="D11520" s="12" t="str">
        <f ca="1">IFERROR(__xludf.DUMMYFUNCTION("""COMPUTED_VALUE"""),"柿崎 晃司")</f>
        <v>柿崎 晃司</v>
      </c>
    </row>
    <row r="11521" spans="2:4" ht="13">
      <c r="B11521" s="12">
        <f ca="1">IFERROR(__xludf.DUMMYFUNCTION("""COMPUTED_VALUE"""),3713032)</f>
        <v>3713032</v>
      </c>
      <c r="C11521" s="14">
        <f ca="1">IFERROR(__xludf.DUMMYFUNCTION("""COMPUTED_VALUE"""),61)</f>
        <v>61</v>
      </c>
      <c r="D11521" s="12" t="str">
        <f ca="1">IFERROR(__xludf.DUMMYFUNCTION("""COMPUTED_VALUE"""),"柿崎 晃司")</f>
        <v>柿崎 晃司</v>
      </c>
    </row>
    <row r="11522" spans="2:4" ht="13">
      <c r="B11522" s="12">
        <f ca="1">IFERROR(__xludf.DUMMYFUNCTION("""COMPUTED_VALUE"""),3713033)</f>
        <v>3713033</v>
      </c>
      <c r="C11522" s="14">
        <f ca="1">IFERROR(__xludf.DUMMYFUNCTION("""COMPUTED_VALUE"""),30)</f>
        <v>30</v>
      </c>
      <c r="D11522" s="12" t="str">
        <f ca="1">IFERROR(__xludf.DUMMYFUNCTION("""COMPUTED_VALUE"""),"柿崎 晃司")</f>
        <v>柿崎 晃司</v>
      </c>
    </row>
    <row r="11523" spans="2:4" ht="13">
      <c r="B11523" s="12">
        <f ca="1">IFERROR(__xludf.DUMMYFUNCTION("""COMPUTED_VALUE"""),3713034)</f>
        <v>3713034</v>
      </c>
      <c r="C11523" s="14">
        <f ca="1">IFERROR(__xludf.DUMMYFUNCTION("""COMPUTED_VALUE"""),24)</f>
        <v>24</v>
      </c>
      <c r="D11523" s="12" t="str">
        <f ca="1">IFERROR(__xludf.DUMMYFUNCTION("""COMPUTED_VALUE"""),"柿崎 晃司")</f>
        <v>柿崎 晃司</v>
      </c>
    </row>
    <row r="11524" spans="2:4" ht="13">
      <c r="B11524" s="12">
        <f ca="1">IFERROR(__xludf.DUMMYFUNCTION("""COMPUTED_VALUE"""),3713035)</f>
        <v>3713035</v>
      </c>
      <c r="C11524" s="14">
        <f ca="1">IFERROR(__xludf.DUMMYFUNCTION("""COMPUTED_VALUE"""),13)</f>
        <v>13</v>
      </c>
      <c r="D11524" s="12" t="str">
        <f ca="1">IFERROR(__xludf.DUMMYFUNCTION("""COMPUTED_VALUE"""),"柿崎 晃司")</f>
        <v>柿崎 晃司</v>
      </c>
    </row>
    <row r="11525" spans="2:4" ht="13">
      <c r="B11525" s="12">
        <f ca="1">IFERROR(__xludf.DUMMYFUNCTION("""COMPUTED_VALUE"""),3713036)</f>
        <v>3713036</v>
      </c>
      <c r="C11525" s="14">
        <f ca="1">IFERROR(__xludf.DUMMYFUNCTION("""COMPUTED_VALUE"""),8)</f>
        <v>8</v>
      </c>
      <c r="D11525" s="12" t="str">
        <f ca="1">IFERROR(__xludf.DUMMYFUNCTION("""COMPUTED_VALUE"""),"柿崎 晃司")</f>
        <v>柿崎 晃司</v>
      </c>
    </row>
    <row r="11526" spans="2:4" ht="13">
      <c r="B11526" s="12">
        <f ca="1">IFERROR(__xludf.DUMMYFUNCTION("""COMPUTED_VALUE"""),3713037)</f>
        <v>3713037</v>
      </c>
      <c r="C11526" s="14">
        <f ca="1">IFERROR(__xludf.DUMMYFUNCTION("""COMPUTED_VALUE"""),21)</f>
        <v>21</v>
      </c>
      <c r="D11526" s="12" t="str">
        <f ca="1">IFERROR(__xludf.DUMMYFUNCTION("""COMPUTED_VALUE"""),"柿崎 晃司")</f>
        <v>柿崎 晃司</v>
      </c>
    </row>
    <row r="11527" spans="2:4" ht="13">
      <c r="B11527" s="12">
        <f ca="1">IFERROR(__xludf.DUMMYFUNCTION("""COMPUTED_VALUE"""),3713038)</f>
        <v>3713038</v>
      </c>
      <c r="C11527" s="14">
        <f ca="1">IFERROR(__xludf.DUMMYFUNCTION("""COMPUTED_VALUE"""),85)</f>
        <v>85</v>
      </c>
      <c r="D11527" s="12" t="str">
        <f ca="1">IFERROR(__xludf.DUMMYFUNCTION("""COMPUTED_VALUE"""),"柿崎 晃司")</f>
        <v>柿崎 晃司</v>
      </c>
    </row>
    <row r="11528" spans="2:4" ht="13">
      <c r="B11528" s="12">
        <f ca="1">IFERROR(__xludf.DUMMYFUNCTION("""COMPUTED_VALUE"""),3713039)</f>
        <v>3713039</v>
      </c>
      <c r="C11528" s="14">
        <f ca="1">IFERROR(__xludf.DUMMYFUNCTION("""COMPUTED_VALUE"""),28)</f>
        <v>28</v>
      </c>
      <c r="D11528" s="12" t="str">
        <f ca="1">IFERROR(__xludf.DUMMYFUNCTION("""COMPUTED_VALUE"""),"柿崎 晃司")</f>
        <v>柿崎 晃司</v>
      </c>
    </row>
    <row r="11529" spans="2:4" ht="13">
      <c r="B11529" s="12">
        <f ca="1">IFERROR(__xludf.DUMMYFUNCTION("""COMPUTED_VALUE"""),3713040)</f>
        <v>3713040</v>
      </c>
      <c r="C11529" s="14">
        <f ca="1">IFERROR(__xludf.DUMMYFUNCTION("""COMPUTED_VALUE"""),71)</f>
        <v>71</v>
      </c>
      <c r="D11529" s="12" t="str">
        <f ca="1">IFERROR(__xludf.DUMMYFUNCTION("""COMPUTED_VALUE"""),"柿崎 晃司")</f>
        <v>柿崎 晃司</v>
      </c>
    </row>
    <row r="11530" spans="2:4" ht="13">
      <c r="B11530" s="12">
        <f ca="1">IFERROR(__xludf.DUMMYFUNCTION("""COMPUTED_VALUE"""),3713041)</f>
        <v>3713041</v>
      </c>
      <c r="C11530" s="14">
        <f ca="1">IFERROR(__xludf.DUMMYFUNCTION("""COMPUTED_VALUE"""),36)</f>
        <v>36</v>
      </c>
      <c r="D11530" s="12" t="str">
        <f ca="1">IFERROR(__xludf.DUMMYFUNCTION("""COMPUTED_VALUE"""),"柿崎 晃司")</f>
        <v>柿崎 晃司</v>
      </c>
    </row>
    <row r="11531" spans="2:4" ht="13">
      <c r="B11531" s="12">
        <f ca="1">IFERROR(__xludf.DUMMYFUNCTION("""COMPUTED_VALUE"""),3713042)</f>
        <v>3713042</v>
      </c>
      <c r="C11531" s="14">
        <f ca="1">IFERROR(__xludf.DUMMYFUNCTION("""COMPUTED_VALUE"""),40)</f>
        <v>40</v>
      </c>
      <c r="D11531" s="12" t="str">
        <f ca="1">IFERROR(__xludf.DUMMYFUNCTION("""COMPUTED_VALUE"""),"柿崎 晃司")</f>
        <v>柿崎 晃司</v>
      </c>
    </row>
    <row r="11532" spans="2:4" ht="13">
      <c r="B11532" s="12">
        <f ca="1">IFERROR(__xludf.DUMMYFUNCTION("""COMPUTED_VALUE"""),3713043)</f>
        <v>3713043</v>
      </c>
      <c r="C11532" s="14">
        <f ca="1">IFERROR(__xludf.DUMMYFUNCTION("""COMPUTED_VALUE"""),46)</f>
        <v>46</v>
      </c>
      <c r="D11532" s="12" t="str">
        <f ca="1">IFERROR(__xludf.DUMMYFUNCTION("""COMPUTED_VALUE"""),"柿崎 晃司")</f>
        <v>柿崎 晃司</v>
      </c>
    </row>
    <row r="11533" spans="2:4" ht="13">
      <c r="B11533" s="12">
        <f ca="1">IFERROR(__xludf.DUMMYFUNCTION("""COMPUTED_VALUE"""),3713044)</f>
        <v>3713044</v>
      </c>
      <c r="C11533" s="14">
        <f ca="1">IFERROR(__xludf.DUMMYFUNCTION("""COMPUTED_VALUE"""),48)</f>
        <v>48</v>
      </c>
      <c r="D11533" s="12" t="str">
        <f ca="1">IFERROR(__xludf.DUMMYFUNCTION("""COMPUTED_VALUE"""),"柿崎 晃司")</f>
        <v>柿崎 晃司</v>
      </c>
    </row>
    <row r="11534" spans="2:4" ht="13">
      <c r="B11534" s="12">
        <f ca="1">IFERROR(__xludf.DUMMYFUNCTION("""COMPUTED_VALUE"""),3713045)</f>
        <v>3713045</v>
      </c>
      <c r="C11534" s="14">
        <f ca="1">IFERROR(__xludf.DUMMYFUNCTION("""COMPUTED_VALUE"""),17)</f>
        <v>17</v>
      </c>
      <c r="D11534" s="12" t="str">
        <f ca="1">IFERROR(__xludf.DUMMYFUNCTION("""COMPUTED_VALUE"""),"柿崎 晃司")</f>
        <v>柿崎 晃司</v>
      </c>
    </row>
    <row r="11535" spans="2:4" ht="13">
      <c r="B11535" s="12">
        <f ca="1">IFERROR(__xludf.DUMMYFUNCTION("""COMPUTED_VALUE"""),3713046)</f>
        <v>3713046</v>
      </c>
      <c r="C11535" s="14">
        <f ca="1">IFERROR(__xludf.DUMMYFUNCTION("""COMPUTED_VALUE"""),17)</f>
        <v>17</v>
      </c>
      <c r="D11535" s="12" t="str">
        <f ca="1">IFERROR(__xludf.DUMMYFUNCTION("""COMPUTED_VALUE"""),"柿崎 晃司")</f>
        <v>柿崎 晃司</v>
      </c>
    </row>
    <row r="11536" spans="2:4" ht="13">
      <c r="B11536" s="12">
        <f ca="1">IFERROR(__xludf.DUMMYFUNCTION("""COMPUTED_VALUE"""),3713047)</f>
        <v>3713047</v>
      </c>
      <c r="C11536" s="14">
        <f ca="1">IFERROR(__xludf.DUMMYFUNCTION("""COMPUTED_VALUE"""),26)</f>
        <v>26</v>
      </c>
      <c r="D11536" s="12" t="str">
        <f ca="1">IFERROR(__xludf.DUMMYFUNCTION("""COMPUTED_VALUE"""),"柿崎 晃司")</f>
        <v>柿崎 晃司</v>
      </c>
    </row>
    <row r="11537" spans="2:4" ht="13">
      <c r="B11537" s="12">
        <f ca="1">IFERROR(__xludf.DUMMYFUNCTION("""COMPUTED_VALUE"""),3713048)</f>
        <v>3713048</v>
      </c>
      <c r="C11537" s="14">
        <f ca="1">IFERROR(__xludf.DUMMYFUNCTION("""COMPUTED_VALUE"""),44)</f>
        <v>44</v>
      </c>
      <c r="D11537" s="12" t="str">
        <f ca="1">IFERROR(__xludf.DUMMYFUNCTION("""COMPUTED_VALUE"""),"柿崎 晃司")</f>
        <v>柿崎 晃司</v>
      </c>
    </row>
    <row r="11538" spans="2:4" ht="13">
      <c r="B11538" s="12">
        <f ca="1">IFERROR(__xludf.DUMMYFUNCTION("""COMPUTED_VALUE"""),3713049)</f>
        <v>3713049</v>
      </c>
      <c r="C11538" s="14">
        <f ca="1">IFERROR(__xludf.DUMMYFUNCTION("""COMPUTED_VALUE"""),9)</f>
        <v>9</v>
      </c>
      <c r="D11538" s="12" t="str">
        <f ca="1">IFERROR(__xludf.DUMMYFUNCTION("""COMPUTED_VALUE"""),"柿崎 晃司")</f>
        <v>柿崎 晃司</v>
      </c>
    </row>
    <row r="11539" spans="2:4" ht="13">
      <c r="B11539" s="12">
        <f ca="1">IFERROR(__xludf.DUMMYFUNCTION("""COMPUTED_VALUE"""),3713050)</f>
        <v>3713050</v>
      </c>
      <c r="C11539" s="14">
        <f ca="1">IFERROR(__xludf.DUMMYFUNCTION("""COMPUTED_VALUE"""),27)</f>
        <v>27</v>
      </c>
      <c r="D11539" s="12" t="str">
        <f ca="1">IFERROR(__xludf.DUMMYFUNCTION("""COMPUTED_VALUE"""),"柿崎 晃司")</f>
        <v>柿崎 晃司</v>
      </c>
    </row>
    <row r="11540" spans="2:4" ht="13">
      <c r="B11540" s="12">
        <f ca="1">IFERROR(__xludf.DUMMYFUNCTION("""COMPUTED_VALUE"""),3713051)</f>
        <v>3713051</v>
      </c>
      <c r="C11540" s="14">
        <f ca="1">IFERROR(__xludf.DUMMYFUNCTION("""COMPUTED_VALUE"""),17)</f>
        <v>17</v>
      </c>
      <c r="D11540" s="12" t="str">
        <f ca="1">IFERROR(__xludf.DUMMYFUNCTION("""COMPUTED_VALUE"""),"柿崎 晃司")</f>
        <v>柿崎 晃司</v>
      </c>
    </row>
    <row r="11541" spans="2:4" ht="13">
      <c r="B11541" s="12">
        <f ca="1">IFERROR(__xludf.DUMMYFUNCTION("""COMPUTED_VALUE"""),3713052)</f>
        <v>3713052</v>
      </c>
      <c r="C11541" s="14">
        <f ca="1">IFERROR(__xludf.DUMMYFUNCTION("""COMPUTED_VALUE"""),18)</f>
        <v>18</v>
      </c>
      <c r="D11541" s="12" t="str">
        <f ca="1">IFERROR(__xludf.DUMMYFUNCTION("""COMPUTED_VALUE"""),"柿崎 晃司")</f>
        <v>柿崎 晃司</v>
      </c>
    </row>
    <row r="11542" spans="2:4" ht="13">
      <c r="B11542" s="12">
        <f ca="1">IFERROR(__xludf.DUMMYFUNCTION("""COMPUTED_VALUE"""),3713053)</f>
        <v>3713053</v>
      </c>
      <c r="C11542" s="14">
        <f ca="1">IFERROR(__xludf.DUMMYFUNCTION("""COMPUTED_VALUE"""),31)</f>
        <v>31</v>
      </c>
      <c r="D11542" s="12" t="str">
        <f ca="1">IFERROR(__xludf.DUMMYFUNCTION("""COMPUTED_VALUE"""),"柿崎 晃司")</f>
        <v>柿崎 晃司</v>
      </c>
    </row>
    <row r="11543" spans="2:4" ht="13">
      <c r="B11543" s="12">
        <f ca="1">IFERROR(__xludf.DUMMYFUNCTION("""COMPUTED_VALUE"""),3713054)</f>
        <v>3713054</v>
      </c>
      <c r="C11543" s="14">
        <f ca="1">IFERROR(__xludf.DUMMYFUNCTION("""COMPUTED_VALUE"""),61)</f>
        <v>61</v>
      </c>
      <c r="D11543" s="12" t="str">
        <f ca="1">IFERROR(__xludf.DUMMYFUNCTION("""COMPUTED_VALUE"""),"柿崎 晃司")</f>
        <v>柿崎 晃司</v>
      </c>
    </row>
    <row r="11544" spans="2:4" ht="13">
      <c r="B11544" s="12">
        <f ca="1">IFERROR(__xludf.DUMMYFUNCTION("""COMPUTED_VALUE"""),3713055)</f>
        <v>3713055</v>
      </c>
      <c r="C11544" s="14">
        <f ca="1">IFERROR(__xludf.DUMMYFUNCTION("""COMPUTED_VALUE"""),34)</f>
        <v>34</v>
      </c>
      <c r="D11544" s="12" t="str">
        <f ca="1">IFERROR(__xludf.DUMMYFUNCTION("""COMPUTED_VALUE"""),"柿崎 晃司")</f>
        <v>柿崎 晃司</v>
      </c>
    </row>
    <row r="11545" spans="2:4" ht="13">
      <c r="B11545" s="12">
        <f ca="1">IFERROR(__xludf.DUMMYFUNCTION("""COMPUTED_VALUE"""),3713056)</f>
        <v>3713056</v>
      </c>
      <c r="C11545" s="14">
        <f ca="1">IFERROR(__xludf.DUMMYFUNCTION("""COMPUTED_VALUE"""),16)</f>
        <v>16</v>
      </c>
      <c r="D11545" s="12" t="str">
        <f ca="1">IFERROR(__xludf.DUMMYFUNCTION("""COMPUTED_VALUE"""),"柿崎 晃司")</f>
        <v>柿崎 晃司</v>
      </c>
    </row>
    <row r="11546" spans="2:4" ht="13">
      <c r="B11546" s="12">
        <f ca="1">IFERROR(__xludf.DUMMYFUNCTION("""COMPUTED_VALUE"""),3713057)</f>
        <v>3713057</v>
      </c>
      <c r="C11546" s="14">
        <f ca="1">IFERROR(__xludf.DUMMYFUNCTION("""COMPUTED_VALUE"""),28)</f>
        <v>28</v>
      </c>
      <c r="D11546" s="12" t="str">
        <f ca="1">IFERROR(__xludf.DUMMYFUNCTION("""COMPUTED_VALUE"""),"柿崎 晃司")</f>
        <v>柿崎 晃司</v>
      </c>
    </row>
    <row r="11547" spans="2:4" ht="13">
      <c r="B11547" s="12">
        <f ca="1">IFERROR(__xludf.DUMMYFUNCTION("""COMPUTED_VALUE"""),3713058)</f>
        <v>3713058</v>
      </c>
      <c r="C11547" s="14">
        <f ca="1">IFERROR(__xludf.DUMMYFUNCTION("""COMPUTED_VALUE"""),65)</f>
        <v>65</v>
      </c>
      <c r="D11547" s="12" t="str">
        <f ca="1">IFERROR(__xludf.DUMMYFUNCTION("""COMPUTED_VALUE"""),"柿崎 晃司")</f>
        <v>柿崎 晃司</v>
      </c>
    </row>
    <row r="11548" spans="2:4" ht="13">
      <c r="B11548" s="12">
        <f ca="1">IFERROR(__xludf.DUMMYFUNCTION("""COMPUTED_VALUE"""),3713059)</f>
        <v>3713059</v>
      </c>
      <c r="C11548" s="14">
        <f ca="1">IFERROR(__xludf.DUMMYFUNCTION("""COMPUTED_VALUE"""),17)</f>
        <v>17</v>
      </c>
      <c r="D11548" s="12" t="str">
        <f ca="1">IFERROR(__xludf.DUMMYFUNCTION("""COMPUTED_VALUE"""),"柿崎 晃司")</f>
        <v>柿崎 晃司</v>
      </c>
    </row>
    <row r="11549" spans="2:4" ht="13">
      <c r="B11549" s="12">
        <f ca="1">IFERROR(__xludf.DUMMYFUNCTION("""COMPUTED_VALUE"""),3713060)</f>
        <v>3713060</v>
      </c>
      <c r="C11549" s="14">
        <f ca="1">IFERROR(__xludf.DUMMYFUNCTION("""COMPUTED_VALUE"""),19)</f>
        <v>19</v>
      </c>
      <c r="D11549" s="12" t="str">
        <f ca="1">IFERROR(__xludf.DUMMYFUNCTION("""COMPUTED_VALUE"""),"柿崎 晃司")</f>
        <v>柿崎 晃司</v>
      </c>
    </row>
    <row r="11550" spans="2:4" ht="13">
      <c r="B11550" s="12">
        <f ca="1">IFERROR(__xludf.DUMMYFUNCTION("""COMPUTED_VALUE"""),3713061)</f>
        <v>3713061</v>
      </c>
      <c r="C11550" s="14">
        <f ca="1">IFERROR(__xludf.DUMMYFUNCTION("""COMPUTED_VALUE"""),11)</f>
        <v>11</v>
      </c>
      <c r="D11550" s="12" t="str">
        <f ca="1">IFERROR(__xludf.DUMMYFUNCTION("""COMPUTED_VALUE"""),"柿崎 晃司")</f>
        <v>柿崎 晃司</v>
      </c>
    </row>
    <row r="11551" spans="2:4" ht="13">
      <c r="B11551" s="12">
        <f ca="1">IFERROR(__xludf.DUMMYFUNCTION("""COMPUTED_VALUE"""),3713062)</f>
        <v>3713062</v>
      </c>
      <c r="C11551" s="14">
        <f ca="1">IFERROR(__xludf.DUMMYFUNCTION("""COMPUTED_VALUE"""),37)</f>
        <v>37</v>
      </c>
      <c r="D11551" s="12" t="str">
        <f ca="1">IFERROR(__xludf.DUMMYFUNCTION("""COMPUTED_VALUE"""),"柿崎 晃司")</f>
        <v>柿崎 晃司</v>
      </c>
    </row>
    <row r="11552" spans="2:4" ht="13">
      <c r="B11552" s="12">
        <f ca="1">IFERROR(__xludf.DUMMYFUNCTION("""COMPUTED_VALUE"""),3713063)</f>
        <v>3713063</v>
      </c>
      <c r="C11552" s="14">
        <f ca="1">IFERROR(__xludf.DUMMYFUNCTION("""COMPUTED_VALUE"""),26)</f>
        <v>26</v>
      </c>
      <c r="D11552" s="12" t="str">
        <f ca="1">IFERROR(__xludf.DUMMYFUNCTION("""COMPUTED_VALUE"""),"柿崎 晃司")</f>
        <v>柿崎 晃司</v>
      </c>
    </row>
    <row r="11553" spans="2:4" ht="13">
      <c r="B11553" s="12">
        <f ca="1">IFERROR(__xludf.DUMMYFUNCTION("""COMPUTED_VALUE"""),3713064)</f>
        <v>3713064</v>
      </c>
      <c r="C11553" s="14">
        <f ca="1">IFERROR(__xludf.DUMMYFUNCTION("""COMPUTED_VALUE"""),29)</f>
        <v>29</v>
      </c>
      <c r="D11553" s="12" t="str">
        <f ca="1">IFERROR(__xludf.DUMMYFUNCTION("""COMPUTED_VALUE"""),"柿崎 晃司")</f>
        <v>柿崎 晃司</v>
      </c>
    </row>
    <row r="11554" spans="2:4" ht="13">
      <c r="B11554" s="12">
        <f ca="1">IFERROR(__xludf.DUMMYFUNCTION("""COMPUTED_VALUE"""),3713065)</f>
        <v>3713065</v>
      </c>
      <c r="C11554" s="14">
        <f ca="1">IFERROR(__xludf.DUMMYFUNCTION("""COMPUTED_VALUE"""),17)</f>
        <v>17</v>
      </c>
      <c r="D11554" s="12" t="str">
        <f ca="1">IFERROR(__xludf.DUMMYFUNCTION("""COMPUTED_VALUE"""),"柿崎 晃司")</f>
        <v>柿崎 晃司</v>
      </c>
    </row>
    <row r="11555" spans="2:4" ht="13">
      <c r="B11555" s="12">
        <f ca="1">IFERROR(__xludf.DUMMYFUNCTION("""COMPUTED_VALUE"""),3713066)</f>
        <v>3713066</v>
      </c>
      <c r="C11555" s="14">
        <f ca="1">IFERROR(__xludf.DUMMYFUNCTION("""COMPUTED_VALUE"""),31)</f>
        <v>31</v>
      </c>
      <c r="D11555" s="12" t="str">
        <f ca="1">IFERROR(__xludf.DUMMYFUNCTION("""COMPUTED_VALUE"""),"柿崎 晃司")</f>
        <v>柿崎 晃司</v>
      </c>
    </row>
    <row r="11556" spans="2:4" ht="13">
      <c r="B11556" s="12">
        <f ca="1">IFERROR(__xludf.DUMMYFUNCTION("""COMPUTED_VALUE"""),3713067)</f>
        <v>3713067</v>
      </c>
      <c r="C11556" s="14">
        <f ca="1">IFERROR(__xludf.DUMMYFUNCTION("""COMPUTED_VALUE"""),13)</f>
        <v>13</v>
      </c>
      <c r="D11556" s="12" t="str">
        <f ca="1">IFERROR(__xludf.DUMMYFUNCTION("""COMPUTED_VALUE"""),"柿崎 晃司")</f>
        <v>柿崎 晃司</v>
      </c>
    </row>
    <row r="11557" spans="2:4" ht="13">
      <c r="B11557" s="12">
        <f ca="1">IFERROR(__xludf.DUMMYFUNCTION("""COMPUTED_VALUE"""),3713069)</f>
        <v>3713069</v>
      </c>
      <c r="C11557" s="14">
        <f ca="1">IFERROR(__xludf.DUMMYFUNCTION("""COMPUTED_VALUE"""),43)</f>
        <v>43</v>
      </c>
      <c r="D11557" s="12" t="str">
        <f ca="1">IFERROR(__xludf.DUMMYFUNCTION("""COMPUTED_VALUE"""),"柿崎 晃司")</f>
        <v>柿崎 晃司</v>
      </c>
    </row>
    <row r="11558" spans="2:4" ht="13">
      <c r="B11558" s="12">
        <f ca="1">IFERROR(__xludf.DUMMYFUNCTION("""COMPUTED_VALUE"""),3713070)</f>
        <v>3713070</v>
      </c>
      <c r="C11558" s="14">
        <f ca="1">IFERROR(__xludf.DUMMYFUNCTION("""COMPUTED_VALUE"""),35)</f>
        <v>35</v>
      </c>
      <c r="D11558" s="12" t="str">
        <f ca="1">IFERROR(__xludf.DUMMYFUNCTION("""COMPUTED_VALUE"""),"柿崎 晃司")</f>
        <v>柿崎 晃司</v>
      </c>
    </row>
    <row r="11559" spans="2:4" ht="13">
      <c r="B11559" s="12">
        <f ca="1">IFERROR(__xludf.DUMMYFUNCTION("""COMPUTED_VALUE"""),3713071)</f>
        <v>3713071</v>
      </c>
      <c r="C11559" s="14">
        <f ca="1">IFERROR(__xludf.DUMMYFUNCTION("""COMPUTED_VALUE"""),35)</f>
        <v>35</v>
      </c>
      <c r="D11559" s="12" t="str">
        <f ca="1">IFERROR(__xludf.DUMMYFUNCTION("""COMPUTED_VALUE"""),"柿崎 晃司")</f>
        <v>柿崎 晃司</v>
      </c>
    </row>
    <row r="11560" spans="2:4" ht="13">
      <c r="B11560" s="12">
        <f ca="1">IFERROR(__xludf.DUMMYFUNCTION("""COMPUTED_VALUE"""),3713072)</f>
        <v>3713072</v>
      </c>
      <c r="C11560" s="14">
        <f ca="1">IFERROR(__xludf.DUMMYFUNCTION("""COMPUTED_VALUE"""),20)</f>
        <v>20</v>
      </c>
      <c r="D11560" s="12" t="str">
        <f ca="1">IFERROR(__xludf.DUMMYFUNCTION("""COMPUTED_VALUE"""),"柿崎 晃司")</f>
        <v>柿崎 晃司</v>
      </c>
    </row>
    <row r="11561" spans="2:4" ht="13">
      <c r="B11561" s="12">
        <f ca="1">IFERROR(__xludf.DUMMYFUNCTION("""COMPUTED_VALUE"""),3713073)</f>
        <v>3713073</v>
      </c>
      <c r="C11561" s="14">
        <f ca="1">IFERROR(__xludf.DUMMYFUNCTION("""COMPUTED_VALUE"""),60)</f>
        <v>60</v>
      </c>
      <c r="D11561" s="12" t="str">
        <f ca="1">IFERROR(__xludf.DUMMYFUNCTION("""COMPUTED_VALUE"""),"柿崎 晃司")</f>
        <v>柿崎 晃司</v>
      </c>
    </row>
    <row r="11562" spans="2:4" ht="13">
      <c r="B11562" s="12">
        <f ca="1">IFERROR(__xludf.DUMMYFUNCTION("""COMPUTED_VALUE"""),3713074)</f>
        <v>3713074</v>
      </c>
      <c r="C11562" s="14">
        <f ca="1">IFERROR(__xludf.DUMMYFUNCTION("""COMPUTED_VALUE"""),51)</f>
        <v>51</v>
      </c>
      <c r="D11562" s="12" t="str">
        <f ca="1">IFERROR(__xludf.DUMMYFUNCTION("""COMPUTED_VALUE"""),"柿崎 晃司")</f>
        <v>柿崎 晃司</v>
      </c>
    </row>
    <row r="11563" spans="2:4" ht="13">
      <c r="B11563" s="12">
        <f ca="1">IFERROR(__xludf.DUMMYFUNCTION("""COMPUTED_VALUE"""),3713075)</f>
        <v>3713075</v>
      </c>
      <c r="C11563" s="14">
        <f ca="1">IFERROR(__xludf.DUMMYFUNCTION("""COMPUTED_VALUE"""),32)</f>
        <v>32</v>
      </c>
      <c r="D11563" s="12" t="str">
        <f ca="1">IFERROR(__xludf.DUMMYFUNCTION("""COMPUTED_VALUE"""),"柿崎 晃司")</f>
        <v>柿崎 晃司</v>
      </c>
    </row>
    <row r="11564" spans="2:4" ht="13">
      <c r="B11564" s="12">
        <f ca="1">IFERROR(__xludf.DUMMYFUNCTION("""COMPUTED_VALUE"""),3713076)</f>
        <v>3713076</v>
      </c>
      <c r="C11564" s="14">
        <f ca="1">IFERROR(__xludf.DUMMYFUNCTION("""COMPUTED_VALUE"""),37)</f>
        <v>37</v>
      </c>
      <c r="D11564" s="12" t="str">
        <f ca="1">IFERROR(__xludf.DUMMYFUNCTION("""COMPUTED_VALUE"""),"柿崎 晃司")</f>
        <v>柿崎 晃司</v>
      </c>
    </row>
    <row r="11565" spans="2:4" ht="13">
      <c r="B11565" s="12">
        <f ca="1">IFERROR(__xludf.DUMMYFUNCTION("""COMPUTED_VALUE"""),3713077)</f>
        <v>3713077</v>
      </c>
      <c r="C11565" s="14">
        <f ca="1">IFERROR(__xludf.DUMMYFUNCTION("""COMPUTED_VALUE"""),38)</f>
        <v>38</v>
      </c>
      <c r="D11565" s="12" t="str">
        <f ca="1">IFERROR(__xludf.DUMMYFUNCTION("""COMPUTED_VALUE"""),"柿崎 晃司")</f>
        <v>柿崎 晃司</v>
      </c>
    </row>
    <row r="11566" spans="2:4" ht="13">
      <c r="B11566" s="12">
        <f ca="1">IFERROR(__xludf.DUMMYFUNCTION("""COMPUTED_VALUE"""),3713078)</f>
        <v>3713078</v>
      </c>
      <c r="C11566" s="14">
        <f ca="1">IFERROR(__xludf.DUMMYFUNCTION("""COMPUTED_VALUE"""),6)</f>
        <v>6</v>
      </c>
      <c r="D11566" s="12" t="str">
        <f ca="1">IFERROR(__xludf.DUMMYFUNCTION("""COMPUTED_VALUE"""),"柿崎 晃司")</f>
        <v>柿崎 晃司</v>
      </c>
    </row>
    <row r="11567" spans="2:4" ht="13">
      <c r="B11567" s="12">
        <f ca="1">IFERROR(__xludf.DUMMYFUNCTION("""COMPUTED_VALUE"""),3713079)</f>
        <v>3713079</v>
      </c>
      <c r="C11567" s="14">
        <f ca="1">IFERROR(__xludf.DUMMYFUNCTION("""COMPUTED_VALUE"""),26)</f>
        <v>26</v>
      </c>
      <c r="D11567" s="12" t="str">
        <f ca="1">IFERROR(__xludf.DUMMYFUNCTION("""COMPUTED_VALUE"""),"柿崎 晃司")</f>
        <v>柿崎 晃司</v>
      </c>
    </row>
    <row r="11568" spans="2:4" ht="13">
      <c r="B11568" s="12">
        <f ca="1">IFERROR(__xludf.DUMMYFUNCTION("""COMPUTED_VALUE"""),3713080)</f>
        <v>3713080</v>
      </c>
      <c r="C11568" s="14">
        <f ca="1">IFERROR(__xludf.DUMMYFUNCTION("""COMPUTED_VALUE"""),20)</f>
        <v>20</v>
      </c>
      <c r="D11568" s="12" t="str">
        <f ca="1">IFERROR(__xludf.DUMMYFUNCTION("""COMPUTED_VALUE"""),"柿崎 晃司")</f>
        <v>柿崎 晃司</v>
      </c>
    </row>
    <row r="11569" spans="2:4" ht="13">
      <c r="B11569" s="12">
        <f ca="1">IFERROR(__xludf.DUMMYFUNCTION("""COMPUTED_VALUE"""),3713081)</f>
        <v>3713081</v>
      </c>
      <c r="C11569" s="14">
        <f ca="1">IFERROR(__xludf.DUMMYFUNCTION("""COMPUTED_VALUE"""),28)</f>
        <v>28</v>
      </c>
      <c r="D11569" s="12" t="str">
        <f ca="1">IFERROR(__xludf.DUMMYFUNCTION("""COMPUTED_VALUE"""),"柿崎 晃司")</f>
        <v>柿崎 晃司</v>
      </c>
    </row>
    <row r="11570" spans="2:4" ht="13">
      <c r="B11570" s="12">
        <f ca="1">IFERROR(__xludf.DUMMYFUNCTION("""COMPUTED_VALUE"""),3713082)</f>
        <v>3713082</v>
      </c>
      <c r="C11570" s="14">
        <f ca="1">IFERROR(__xludf.DUMMYFUNCTION("""COMPUTED_VALUE"""),29)</f>
        <v>29</v>
      </c>
      <c r="D11570" s="12" t="str">
        <f ca="1">IFERROR(__xludf.DUMMYFUNCTION("""COMPUTED_VALUE"""),"柿崎 晃司")</f>
        <v>柿崎 晃司</v>
      </c>
    </row>
    <row r="11571" spans="2:4" ht="13">
      <c r="B11571" s="12">
        <f ca="1">IFERROR(__xludf.DUMMYFUNCTION("""COMPUTED_VALUE"""),3713083)</f>
        <v>3713083</v>
      </c>
      <c r="C11571" s="14">
        <f ca="1">IFERROR(__xludf.DUMMYFUNCTION("""COMPUTED_VALUE"""),31)</f>
        <v>31</v>
      </c>
      <c r="D11571" s="12" t="str">
        <f ca="1">IFERROR(__xludf.DUMMYFUNCTION("""COMPUTED_VALUE"""),"柿崎 晃司")</f>
        <v>柿崎 晃司</v>
      </c>
    </row>
    <row r="11572" spans="2:4" ht="13">
      <c r="B11572" s="12">
        <f ca="1">IFERROR(__xludf.DUMMYFUNCTION("""COMPUTED_VALUE"""),3713084)</f>
        <v>3713084</v>
      </c>
      <c r="C11572" s="14">
        <f ca="1">IFERROR(__xludf.DUMMYFUNCTION("""COMPUTED_VALUE"""),19)</f>
        <v>19</v>
      </c>
      <c r="D11572" s="12" t="str">
        <f ca="1">IFERROR(__xludf.DUMMYFUNCTION("""COMPUTED_VALUE"""),"柿崎 晃司")</f>
        <v>柿崎 晃司</v>
      </c>
    </row>
    <row r="11573" spans="2:4" ht="13">
      <c r="B11573" s="12">
        <f ca="1">IFERROR(__xludf.DUMMYFUNCTION("""COMPUTED_VALUE"""),3713085)</f>
        <v>3713085</v>
      </c>
      <c r="C11573" s="14">
        <f ca="1">IFERROR(__xludf.DUMMYFUNCTION("""COMPUTED_VALUE"""),30)</f>
        <v>30</v>
      </c>
      <c r="D11573" s="12" t="str">
        <f ca="1">IFERROR(__xludf.DUMMYFUNCTION("""COMPUTED_VALUE"""),"柿崎 晃司")</f>
        <v>柿崎 晃司</v>
      </c>
    </row>
    <row r="11574" spans="2:4" ht="13">
      <c r="B11574" s="12">
        <f ca="1">IFERROR(__xludf.DUMMYFUNCTION("""COMPUTED_VALUE"""),3713086)</f>
        <v>3713086</v>
      </c>
      <c r="C11574" s="14">
        <f ca="1">IFERROR(__xludf.DUMMYFUNCTION("""COMPUTED_VALUE"""),42)</f>
        <v>42</v>
      </c>
      <c r="D11574" s="12" t="str">
        <f ca="1">IFERROR(__xludf.DUMMYFUNCTION("""COMPUTED_VALUE"""),"柿崎 晃司")</f>
        <v>柿崎 晃司</v>
      </c>
    </row>
    <row r="11575" spans="2:4" ht="13">
      <c r="B11575" s="12">
        <f ca="1">IFERROR(__xludf.DUMMYFUNCTION("""COMPUTED_VALUE"""),3713087)</f>
        <v>3713087</v>
      </c>
      <c r="C11575" s="14">
        <f ca="1">IFERROR(__xludf.DUMMYFUNCTION("""COMPUTED_VALUE"""),27)</f>
        <v>27</v>
      </c>
      <c r="D11575" s="12" t="str">
        <f ca="1">IFERROR(__xludf.DUMMYFUNCTION("""COMPUTED_VALUE"""),"柿崎 晃司")</f>
        <v>柿崎 晃司</v>
      </c>
    </row>
    <row r="11576" spans="2:4" ht="13">
      <c r="B11576" s="12">
        <f ca="1">IFERROR(__xludf.DUMMYFUNCTION("""COMPUTED_VALUE"""),3713088)</f>
        <v>3713088</v>
      </c>
      <c r="C11576" s="14">
        <f ca="1">IFERROR(__xludf.DUMMYFUNCTION("""COMPUTED_VALUE"""),0)</f>
        <v>0</v>
      </c>
      <c r="D11576" s="12" t="str">
        <f ca="1">IFERROR(__xludf.DUMMYFUNCTION("""COMPUTED_VALUE"""),"柿崎 晃司")</f>
        <v>柿崎 晃司</v>
      </c>
    </row>
    <row r="11577" spans="2:4" ht="13">
      <c r="B11577" s="12">
        <f ca="1">IFERROR(__xludf.DUMMYFUNCTION("""COMPUTED_VALUE"""),3713089)</f>
        <v>3713089</v>
      </c>
      <c r="C11577" s="14">
        <f ca="1">IFERROR(__xludf.DUMMYFUNCTION("""COMPUTED_VALUE"""),52)</f>
        <v>52</v>
      </c>
      <c r="D11577" s="12" t="str">
        <f ca="1">IFERROR(__xludf.DUMMYFUNCTION("""COMPUTED_VALUE"""),"柿崎 晃司")</f>
        <v>柿崎 晃司</v>
      </c>
    </row>
    <row r="11578" spans="2:4" ht="13">
      <c r="B11578" s="12">
        <f ca="1">IFERROR(__xludf.DUMMYFUNCTION("""COMPUTED_VALUE"""),3713090)</f>
        <v>3713090</v>
      </c>
      <c r="C11578" s="14">
        <f ca="1">IFERROR(__xludf.DUMMYFUNCTION("""COMPUTED_VALUE"""),46)</f>
        <v>46</v>
      </c>
      <c r="D11578" s="12" t="str">
        <f ca="1">IFERROR(__xludf.DUMMYFUNCTION("""COMPUTED_VALUE"""),"柿崎 晃司")</f>
        <v>柿崎 晃司</v>
      </c>
    </row>
    <row r="11579" spans="2:4" ht="13">
      <c r="B11579" s="12">
        <f ca="1">IFERROR(__xludf.DUMMYFUNCTION("""COMPUTED_VALUE"""),3713091)</f>
        <v>3713091</v>
      </c>
      <c r="C11579" s="14">
        <f ca="1">IFERROR(__xludf.DUMMYFUNCTION("""COMPUTED_VALUE"""),56)</f>
        <v>56</v>
      </c>
      <c r="D11579" s="12" t="str">
        <f ca="1">IFERROR(__xludf.DUMMYFUNCTION("""COMPUTED_VALUE"""),"柿崎 晃司")</f>
        <v>柿崎 晃司</v>
      </c>
    </row>
    <row r="11580" spans="2:4" ht="13">
      <c r="B11580" s="12">
        <f ca="1">IFERROR(__xludf.DUMMYFUNCTION("""COMPUTED_VALUE"""),3713092)</f>
        <v>3713092</v>
      </c>
      <c r="C11580" s="14">
        <f ca="1">IFERROR(__xludf.DUMMYFUNCTION("""COMPUTED_VALUE"""),48)</f>
        <v>48</v>
      </c>
      <c r="D11580" s="12" t="str">
        <f ca="1">IFERROR(__xludf.DUMMYFUNCTION("""COMPUTED_VALUE"""),"柿崎 晃司")</f>
        <v>柿崎 晃司</v>
      </c>
    </row>
    <row r="11581" spans="2:4" ht="13">
      <c r="B11581" s="12">
        <f ca="1">IFERROR(__xludf.DUMMYFUNCTION("""COMPUTED_VALUE"""),3713093)</f>
        <v>3713093</v>
      </c>
      <c r="C11581" s="14">
        <f ca="1">IFERROR(__xludf.DUMMYFUNCTION("""COMPUTED_VALUE"""),23)</f>
        <v>23</v>
      </c>
      <c r="D11581" s="12" t="str">
        <f ca="1">IFERROR(__xludf.DUMMYFUNCTION("""COMPUTED_VALUE"""),"柿崎 晃司")</f>
        <v>柿崎 晃司</v>
      </c>
    </row>
    <row r="11582" spans="2:4" ht="13">
      <c r="B11582" s="12">
        <f ca="1">IFERROR(__xludf.DUMMYFUNCTION("""COMPUTED_VALUE"""),3713094)</f>
        <v>3713094</v>
      </c>
      <c r="C11582" s="14">
        <f ca="1">IFERROR(__xludf.DUMMYFUNCTION("""COMPUTED_VALUE"""),12)</f>
        <v>12</v>
      </c>
      <c r="D11582" s="12" t="str">
        <f ca="1">IFERROR(__xludf.DUMMYFUNCTION("""COMPUTED_VALUE"""),"柿崎 晃司")</f>
        <v>柿崎 晃司</v>
      </c>
    </row>
    <row r="11583" spans="2:4" ht="13">
      <c r="B11583" s="12">
        <f ca="1">IFERROR(__xludf.DUMMYFUNCTION("""COMPUTED_VALUE"""),3713095)</f>
        <v>3713095</v>
      </c>
      <c r="C11583" s="14">
        <f ca="1">IFERROR(__xludf.DUMMYFUNCTION("""COMPUTED_VALUE"""),28)</f>
        <v>28</v>
      </c>
      <c r="D11583" s="12" t="str">
        <f ca="1">IFERROR(__xludf.DUMMYFUNCTION("""COMPUTED_VALUE"""),"柿崎 晃司")</f>
        <v>柿崎 晃司</v>
      </c>
    </row>
    <row r="11584" spans="2:4" ht="13">
      <c r="B11584" s="12">
        <f ca="1">IFERROR(__xludf.DUMMYFUNCTION("""COMPUTED_VALUE"""),3713096)</f>
        <v>3713096</v>
      </c>
      <c r="C11584" s="14">
        <f ca="1">IFERROR(__xludf.DUMMYFUNCTION("""COMPUTED_VALUE"""),30)</f>
        <v>30</v>
      </c>
      <c r="D11584" s="12" t="str">
        <f ca="1">IFERROR(__xludf.DUMMYFUNCTION("""COMPUTED_VALUE"""),"柿崎 晃司")</f>
        <v>柿崎 晃司</v>
      </c>
    </row>
    <row r="11585" spans="2:4" ht="13">
      <c r="B11585" s="12">
        <f ca="1">IFERROR(__xludf.DUMMYFUNCTION("""COMPUTED_VALUE"""),3713097)</f>
        <v>3713097</v>
      </c>
      <c r="C11585" s="14">
        <f ca="1">IFERROR(__xludf.DUMMYFUNCTION("""COMPUTED_VALUE"""),29)</f>
        <v>29</v>
      </c>
      <c r="D11585" s="12" t="str">
        <f ca="1">IFERROR(__xludf.DUMMYFUNCTION("""COMPUTED_VALUE"""),"柿崎 晃司")</f>
        <v>柿崎 晃司</v>
      </c>
    </row>
    <row r="11586" spans="2:4" ht="13">
      <c r="B11586" s="12">
        <f ca="1">IFERROR(__xludf.DUMMYFUNCTION("""COMPUTED_VALUE"""),3713098)</f>
        <v>3713098</v>
      </c>
      <c r="C11586" s="14">
        <f ca="1">IFERROR(__xludf.DUMMYFUNCTION("""COMPUTED_VALUE"""),68)</f>
        <v>68</v>
      </c>
      <c r="D11586" s="12" t="str">
        <f ca="1">IFERROR(__xludf.DUMMYFUNCTION("""COMPUTED_VALUE"""),"柿崎 晃司")</f>
        <v>柿崎 晃司</v>
      </c>
    </row>
    <row r="11587" spans="2:4" ht="13">
      <c r="B11587" s="12">
        <f ca="1">IFERROR(__xludf.DUMMYFUNCTION("""COMPUTED_VALUE"""),3713099)</f>
        <v>3713099</v>
      </c>
      <c r="C11587" s="14">
        <f ca="1">IFERROR(__xludf.DUMMYFUNCTION("""COMPUTED_VALUE"""),57)</f>
        <v>57</v>
      </c>
      <c r="D11587" s="12" t="str">
        <f ca="1">IFERROR(__xludf.DUMMYFUNCTION("""COMPUTED_VALUE"""),"柿崎 晃司")</f>
        <v>柿崎 晃司</v>
      </c>
    </row>
    <row r="11588" spans="2:4" ht="13">
      <c r="B11588" s="12">
        <f ca="1">IFERROR(__xludf.DUMMYFUNCTION("""COMPUTED_VALUE"""),3713100)</f>
        <v>3713100</v>
      </c>
      <c r="C11588" s="14">
        <f ca="1">IFERROR(__xludf.DUMMYFUNCTION("""COMPUTED_VALUE"""),36)</f>
        <v>36</v>
      </c>
      <c r="D11588" s="12" t="str">
        <f ca="1">IFERROR(__xludf.DUMMYFUNCTION("""COMPUTED_VALUE"""),"柿崎 晃司")</f>
        <v>柿崎 晃司</v>
      </c>
    </row>
    <row r="11589" spans="2:4" ht="13">
      <c r="B11589" s="12">
        <f ca="1">IFERROR(__xludf.DUMMYFUNCTION("""COMPUTED_VALUE"""),3713101)</f>
        <v>3713101</v>
      </c>
      <c r="C11589" s="14">
        <f ca="1">IFERROR(__xludf.DUMMYFUNCTION("""COMPUTED_VALUE"""),71)</f>
        <v>71</v>
      </c>
      <c r="D11589" s="12" t="str">
        <f ca="1">IFERROR(__xludf.DUMMYFUNCTION("""COMPUTED_VALUE"""),"柿崎 晃司")</f>
        <v>柿崎 晃司</v>
      </c>
    </row>
    <row r="11590" spans="2:4" ht="13">
      <c r="B11590" s="12">
        <f ca="1">IFERROR(__xludf.DUMMYFUNCTION("""COMPUTED_VALUE"""),3713102)</f>
        <v>3713102</v>
      </c>
      <c r="C11590" s="14">
        <f ca="1">IFERROR(__xludf.DUMMYFUNCTION("""COMPUTED_VALUE"""),24)</f>
        <v>24</v>
      </c>
      <c r="D11590" s="12" t="str">
        <f ca="1">IFERROR(__xludf.DUMMYFUNCTION("""COMPUTED_VALUE"""),"柿崎 晃司")</f>
        <v>柿崎 晃司</v>
      </c>
    </row>
    <row r="11591" spans="2:4" ht="13">
      <c r="B11591" s="12">
        <f ca="1">IFERROR(__xludf.DUMMYFUNCTION("""COMPUTED_VALUE"""),3713103)</f>
        <v>3713103</v>
      </c>
      <c r="C11591" s="14">
        <f ca="1">IFERROR(__xludf.DUMMYFUNCTION("""COMPUTED_VALUE"""),62)</f>
        <v>62</v>
      </c>
      <c r="D11591" s="12" t="str">
        <f ca="1">IFERROR(__xludf.DUMMYFUNCTION("""COMPUTED_VALUE"""),"柿崎 晃司")</f>
        <v>柿崎 晃司</v>
      </c>
    </row>
    <row r="11592" spans="2:4" ht="13">
      <c r="B11592" s="12">
        <f ca="1">IFERROR(__xludf.DUMMYFUNCTION("""COMPUTED_VALUE"""),3713104)</f>
        <v>3713104</v>
      </c>
      <c r="C11592" s="14">
        <f ca="1">IFERROR(__xludf.DUMMYFUNCTION("""COMPUTED_VALUE"""),31)</f>
        <v>31</v>
      </c>
      <c r="D11592" s="12" t="str">
        <f ca="1">IFERROR(__xludf.DUMMYFUNCTION("""COMPUTED_VALUE"""),"柿崎 晃司")</f>
        <v>柿崎 晃司</v>
      </c>
    </row>
    <row r="11593" spans="2:4" ht="13">
      <c r="B11593" s="12">
        <f ca="1">IFERROR(__xludf.DUMMYFUNCTION("""COMPUTED_VALUE"""),3713105)</f>
        <v>3713105</v>
      </c>
      <c r="C11593" s="14">
        <f ca="1">IFERROR(__xludf.DUMMYFUNCTION("""COMPUTED_VALUE"""),48)</f>
        <v>48</v>
      </c>
      <c r="D11593" s="12" t="str">
        <f ca="1">IFERROR(__xludf.DUMMYFUNCTION("""COMPUTED_VALUE"""),"柿崎 晃司")</f>
        <v>柿崎 晃司</v>
      </c>
    </row>
    <row r="11594" spans="2:4" ht="13">
      <c r="B11594" s="12">
        <f ca="1">IFERROR(__xludf.DUMMYFUNCTION("""COMPUTED_VALUE"""),3713106)</f>
        <v>3713106</v>
      </c>
      <c r="C11594" s="14">
        <f ca="1">IFERROR(__xludf.DUMMYFUNCTION("""COMPUTED_VALUE"""),24)</f>
        <v>24</v>
      </c>
      <c r="D11594" s="12" t="str">
        <f ca="1">IFERROR(__xludf.DUMMYFUNCTION("""COMPUTED_VALUE"""),"柿崎 晃司")</f>
        <v>柿崎 晃司</v>
      </c>
    </row>
    <row r="11595" spans="2:4" ht="13">
      <c r="B11595" s="12">
        <f ca="1">IFERROR(__xludf.DUMMYFUNCTION("""COMPUTED_VALUE"""),3713107)</f>
        <v>3713107</v>
      </c>
      <c r="C11595" s="14">
        <f ca="1">IFERROR(__xludf.DUMMYFUNCTION("""COMPUTED_VALUE"""),31)</f>
        <v>31</v>
      </c>
      <c r="D11595" s="12" t="str">
        <f ca="1">IFERROR(__xludf.DUMMYFUNCTION("""COMPUTED_VALUE"""),"柿崎 晃司")</f>
        <v>柿崎 晃司</v>
      </c>
    </row>
    <row r="11596" spans="2:4" ht="13">
      <c r="B11596" s="12">
        <f ca="1">IFERROR(__xludf.DUMMYFUNCTION("""COMPUTED_VALUE"""),3713108)</f>
        <v>3713108</v>
      </c>
      <c r="C11596" s="14">
        <f ca="1">IFERROR(__xludf.DUMMYFUNCTION("""COMPUTED_VALUE"""),44)</f>
        <v>44</v>
      </c>
      <c r="D11596" s="12" t="str">
        <f ca="1">IFERROR(__xludf.DUMMYFUNCTION("""COMPUTED_VALUE"""),"柿崎 晃司")</f>
        <v>柿崎 晃司</v>
      </c>
    </row>
    <row r="11597" spans="2:4" ht="13">
      <c r="B11597" s="12">
        <f ca="1">IFERROR(__xludf.DUMMYFUNCTION("""COMPUTED_VALUE"""),3713109)</f>
        <v>3713109</v>
      </c>
      <c r="C11597" s="14">
        <f ca="1">IFERROR(__xludf.DUMMYFUNCTION("""COMPUTED_VALUE"""),23)</f>
        <v>23</v>
      </c>
      <c r="D11597" s="12" t="str">
        <f ca="1">IFERROR(__xludf.DUMMYFUNCTION("""COMPUTED_VALUE"""),"柿崎 晃司")</f>
        <v>柿崎 晃司</v>
      </c>
    </row>
    <row r="11598" spans="2:4" ht="13">
      <c r="B11598" s="12">
        <f ca="1">IFERROR(__xludf.DUMMYFUNCTION("""COMPUTED_VALUE"""),3713110)</f>
        <v>3713110</v>
      </c>
      <c r="C11598" s="14">
        <f ca="1">IFERROR(__xludf.DUMMYFUNCTION("""COMPUTED_VALUE"""),21)</f>
        <v>21</v>
      </c>
      <c r="D11598" s="12" t="str">
        <f ca="1">IFERROR(__xludf.DUMMYFUNCTION("""COMPUTED_VALUE"""),"柿崎 晃司")</f>
        <v>柿崎 晃司</v>
      </c>
    </row>
    <row r="11599" spans="2:4" ht="13">
      <c r="B11599" s="12">
        <f ca="1">IFERROR(__xludf.DUMMYFUNCTION("""COMPUTED_VALUE"""),3713111)</f>
        <v>3713111</v>
      </c>
      <c r="C11599" s="14">
        <f ca="1">IFERROR(__xludf.DUMMYFUNCTION("""COMPUTED_VALUE"""),31)</f>
        <v>31</v>
      </c>
      <c r="D11599" s="12" t="str">
        <f ca="1">IFERROR(__xludf.DUMMYFUNCTION("""COMPUTED_VALUE"""),"柿崎 晃司")</f>
        <v>柿崎 晃司</v>
      </c>
    </row>
    <row r="11600" spans="2:4" ht="13">
      <c r="B11600" s="12">
        <f ca="1">IFERROR(__xludf.DUMMYFUNCTION("""COMPUTED_VALUE"""),3713112)</f>
        <v>3713112</v>
      </c>
      <c r="C11600" s="14">
        <f ca="1">IFERROR(__xludf.DUMMYFUNCTION("""COMPUTED_VALUE"""),37)</f>
        <v>37</v>
      </c>
      <c r="D11600" s="12" t="str">
        <f ca="1">IFERROR(__xludf.DUMMYFUNCTION("""COMPUTED_VALUE"""),"柿崎 晃司")</f>
        <v>柿崎 晃司</v>
      </c>
    </row>
    <row r="11601" spans="2:4" ht="13">
      <c r="B11601" s="12">
        <f ca="1">IFERROR(__xludf.DUMMYFUNCTION("""COMPUTED_VALUE"""),3713113)</f>
        <v>3713113</v>
      </c>
      <c r="C11601" s="14">
        <f ca="1">IFERROR(__xludf.DUMMYFUNCTION("""COMPUTED_VALUE"""),30)</f>
        <v>30</v>
      </c>
      <c r="D11601" s="12" t="str">
        <f ca="1">IFERROR(__xludf.DUMMYFUNCTION("""COMPUTED_VALUE"""),"柿崎 晃司")</f>
        <v>柿崎 晃司</v>
      </c>
    </row>
    <row r="11602" spans="2:4" ht="13">
      <c r="B11602" s="12">
        <f ca="1">IFERROR(__xludf.DUMMYFUNCTION("""COMPUTED_VALUE"""),3713114)</f>
        <v>3713114</v>
      </c>
      <c r="C11602" s="14">
        <f ca="1">IFERROR(__xludf.DUMMYFUNCTION("""COMPUTED_VALUE"""),42)</f>
        <v>42</v>
      </c>
      <c r="D11602" s="12" t="str">
        <f ca="1">IFERROR(__xludf.DUMMYFUNCTION("""COMPUTED_VALUE"""),"柿崎 晃司")</f>
        <v>柿崎 晃司</v>
      </c>
    </row>
    <row r="11603" spans="2:4" ht="13">
      <c r="B11603" s="12">
        <f ca="1">IFERROR(__xludf.DUMMYFUNCTION("""COMPUTED_VALUE"""),3713115)</f>
        <v>3713115</v>
      </c>
      <c r="C11603" s="14">
        <f ca="1">IFERROR(__xludf.DUMMYFUNCTION("""COMPUTED_VALUE"""),45)</f>
        <v>45</v>
      </c>
      <c r="D11603" s="12" t="str">
        <f ca="1">IFERROR(__xludf.DUMMYFUNCTION("""COMPUTED_VALUE"""),"柿崎 晃司")</f>
        <v>柿崎 晃司</v>
      </c>
    </row>
    <row r="11604" spans="2:4" ht="13">
      <c r="B11604" s="12">
        <f ca="1">IFERROR(__xludf.DUMMYFUNCTION("""COMPUTED_VALUE"""),3713116)</f>
        <v>3713116</v>
      </c>
      <c r="C11604" s="14">
        <f ca="1">IFERROR(__xludf.DUMMYFUNCTION("""COMPUTED_VALUE"""),30)</f>
        <v>30</v>
      </c>
      <c r="D11604" s="12" t="str">
        <f ca="1">IFERROR(__xludf.DUMMYFUNCTION("""COMPUTED_VALUE"""),"柿崎 晃司")</f>
        <v>柿崎 晃司</v>
      </c>
    </row>
    <row r="11605" spans="2:4" ht="13">
      <c r="B11605" s="12">
        <f ca="1">IFERROR(__xludf.DUMMYFUNCTION("""COMPUTED_VALUE"""),3713117)</f>
        <v>3713117</v>
      </c>
      <c r="C11605" s="14">
        <f ca="1">IFERROR(__xludf.DUMMYFUNCTION("""COMPUTED_VALUE"""),35)</f>
        <v>35</v>
      </c>
      <c r="D11605" s="12" t="str">
        <f ca="1">IFERROR(__xludf.DUMMYFUNCTION("""COMPUTED_VALUE"""),"柿崎 晃司")</f>
        <v>柿崎 晃司</v>
      </c>
    </row>
    <row r="11606" spans="2:4" ht="13">
      <c r="B11606" s="12">
        <f ca="1">IFERROR(__xludf.DUMMYFUNCTION("""COMPUTED_VALUE"""),3713118)</f>
        <v>3713118</v>
      </c>
      <c r="C11606" s="14">
        <f ca="1">IFERROR(__xludf.DUMMYFUNCTION("""COMPUTED_VALUE"""),17)</f>
        <v>17</v>
      </c>
      <c r="D11606" s="12" t="str">
        <f ca="1">IFERROR(__xludf.DUMMYFUNCTION("""COMPUTED_VALUE"""),"柿崎 晃司")</f>
        <v>柿崎 晃司</v>
      </c>
    </row>
    <row r="11607" spans="2:4" ht="13">
      <c r="B11607" s="12">
        <f ca="1">IFERROR(__xludf.DUMMYFUNCTION("""COMPUTED_VALUE"""),3713119)</f>
        <v>3713119</v>
      </c>
      <c r="C11607" s="14">
        <f ca="1">IFERROR(__xludf.DUMMYFUNCTION("""COMPUTED_VALUE"""),37)</f>
        <v>37</v>
      </c>
      <c r="D11607" s="12" t="str">
        <f ca="1">IFERROR(__xludf.DUMMYFUNCTION("""COMPUTED_VALUE"""),"柿崎 晃司")</f>
        <v>柿崎 晃司</v>
      </c>
    </row>
    <row r="11608" spans="2:4" ht="13">
      <c r="B11608" s="12">
        <f ca="1">IFERROR(__xludf.DUMMYFUNCTION("""COMPUTED_VALUE"""),3713120)</f>
        <v>3713120</v>
      </c>
      <c r="C11608" s="14">
        <f ca="1">IFERROR(__xludf.DUMMYFUNCTION("""COMPUTED_VALUE"""),32)</f>
        <v>32</v>
      </c>
      <c r="D11608" s="12" t="str">
        <f ca="1">IFERROR(__xludf.DUMMYFUNCTION("""COMPUTED_VALUE"""),"柿崎 晃司")</f>
        <v>柿崎 晃司</v>
      </c>
    </row>
    <row r="11609" spans="2:4" ht="13">
      <c r="B11609" s="12">
        <f ca="1">IFERROR(__xludf.DUMMYFUNCTION("""COMPUTED_VALUE"""),3713121)</f>
        <v>3713121</v>
      </c>
      <c r="C11609" s="14">
        <f ca="1">IFERROR(__xludf.DUMMYFUNCTION("""COMPUTED_VALUE"""),52)</f>
        <v>52</v>
      </c>
      <c r="D11609" s="12" t="str">
        <f ca="1">IFERROR(__xludf.DUMMYFUNCTION("""COMPUTED_VALUE"""),"柿崎 晃司")</f>
        <v>柿崎 晃司</v>
      </c>
    </row>
    <row r="11610" spans="2:4" ht="13">
      <c r="B11610" s="12">
        <f ca="1">IFERROR(__xludf.DUMMYFUNCTION("""COMPUTED_VALUE"""),3713122)</f>
        <v>3713122</v>
      </c>
      <c r="C11610" s="14">
        <f ca="1">IFERROR(__xludf.DUMMYFUNCTION("""COMPUTED_VALUE"""),22)</f>
        <v>22</v>
      </c>
      <c r="D11610" s="12" t="str">
        <f ca="1">IFERROR(__xludf.DUMMYFUNCTION("""COMPUTED_VALUE"""),"柿崎 晃司")</f>
        <v>柿崎 晃司</v>
      </c>
    </row>
    <row r="11611" spans="2:4" ht="13">
      <c r="B11611" s="12">
        <f ca="1">IFERROR(__xludf.DUMMYFUNCTION("""COMPUTED_VALUE"""),3713123)</f>
        <v>3713123</v>
      </c>
      <c r="C11611" s="14">
        <f ca="1">IFERROR(__xludf.DUMMYFUNCTION("""COMPUTED_VALUE"""),17)</f>
        <v>17</v>
      </c>
      <c r="D11611" s="12" t="str">
        <f ca="1">IFERROR(__xludf.DUMMYFUNCTION("""COMPUTED_VALUE"""),"柿崎 晃司")</f>
        <v>柿崎 晃司</v>
      </c>
    </row>
    <row r="11612" spans="2:4" ht="13">
      <c r="B11612" s="12">
        <f ca="1">IFERROR(__xludf.DUMMYFUNCTION("""COMPUTED_VALUE"""),3713124)</f>
        <v>3713124</v>
      </c>
      <c r="C11612" s="14">
        <f ca="1">IFERROR(__xludf.DUMMYFUNCTION("""COMPUTED_VALUE"""),55)</f>
        <v>55</v>
      </c>
      <c r="D11612" s="12" t="str">
        <f ca="1">IFERROR(__xludf.DUMMYFUNCTION("""COMPUTED_VALUE"""),"柿崎 晃司")</f>
        <v>柿崎 晃司</v>
      </c>
    </row>
    <row r="11613" spans="2:4" ht="13">
      <c r="B11613" s="12">
        <f ca="1">IFERROR(__xludf.DUMMYFUNCTION("""COMPUTED_VALUE"""),3713125)</f>
        <v>3713125</v>
      </c>
      <c r="C11613" s="14">
        <f ca="1">IFERROR(__xludf.DUMMYFUNCTION("""COMPUTED_VALUE"""),42)</f>
        <v>42</v>
      </c>
      <c r="D11613" s="12" t="str">
        <f ca="1">IFERROR(__xludf.DUMMYFUNCTION("""COMPUTED_VALUE"""),"柿崎 晃司")</f>
        <v>柿崎 晃司</v>
      </c>
    </row>
    <row r="11614" spans="2:4" ht="13">
      <c r="B11614" s="12">
        <f ca="1">IFERROR(__xludf.DUMMYFUNCTION("""COMPUTED_VALUE"""),3713126)</f>
        <v>3713126</v>
      </c>
      <c r="C11614" s="14">
        <f ca="1">IFERROR(__xludf.DUMMYFUNCTION("""COMPUTED_VALUE"""),30)</f>
        <v>30</v>
      </c>
      <c r="D11614" s="12" t="str">
        <f ca="1">IFERROR(__xludf.DUMMYFUNCTION("""COMPUTED_VALUE"""),"柿崎 晃司")</f>
        <v>柿崎 晃司</v>
      </c>
    </row>
    <row r="11615" spans="2:4" ht="13">
      <c r="B11615" s="12">
        <f ca="1">IFERROR(__xludf.DUMMYFUNCTION("""COMPUTED_VALUE"""),3713127)</f>
        <v>3713127</v>
      </c>
      <c r="C11615" s="14">
        <f ca="1">IFERROR(__xludf.DUMMYFUNCTION("""COMPUTED_VALUE"""),0)</f>
        <v>0</v>
      </c>
      <c r="D11615" s="12" t="str">
        <f ca="1">IFERROR(__xludf.DUMMYFUNCTION("""COMPUTED_VALUE"""),"柿崎 晃司")</f>
        <v>柿崎 晃司</v>
      </c>
    </row>
    <row r="11616" spans="2:4" ht="13">
      <c r="B11616" s="12">
        <f ca="1">IFERROR(__xludf.DUMMYFUNCTION("""COMPUTED_VALUE"""),3713128)</f>
        <v>3713128</v>
      </c>
      <c r="C11616" s="14">
        <f ca="1">IFERROR(__xludf.DUMMYFUNCTION("""COMPUTED_VALUE"""),92)</f>
        <v>92</v>
      </c>
      <c r="D11616" s="12" t="str">
        <f ca="1">IFERROR(__xludf.DUMMYFUNCTION("""COMPUTED_VALUE"""),"柿崎 晃司")</f>
        <v>柿崎 晃司</v>
      </c>
    </row>
    <row r="11617" spans="2:4" ht="13">
      <c r="B11617" s="12">
        <f ca="1">IFERROR(__xludf.DUMMYFUNCTION("""COMPUTED_VALUE"""),3713129)</f>
        <v>3713129</v>
      </c>
      <c r="C11617" s="14">
        <f ca="1">IFERROR(__xludf.DUMMYFUNCTION("""COMPUTED_VALUE"""),44)</f>
        <v>44</v>
      </c>
      <c r="D11617" s="12" t="str">
        <f ca="1">IFERROR(__xludf.DUMMYFUNCTION("""COMPUTED_VALUE"""),"柿崎 晃司")</f>
        <v>柿崎 晃司</v>
      </c>
    </row>
    <row r="11618" spans="2:4" ht="13">
      <c r="B11618" s="12">
        <f ca="1">IFERROR(__xludf.DUMMYFUNCTION("""COMPUTED_VALUE"""),3713130)</f>
        <v>3713130</v>
      </c>
      <c r="C11618" s="14">
        <f ca="1">IFERROR(__xludf.DUMMYFUNCTION("""COMPUTED_VALUE"""),48)</f>
        <v>48</v>
      </c>
      <c r="D11618" s="12" t="str">
        <f ca="1">IFERROR(__xludf.DUMMYFUNCTION("""COMPUTED_VALUE"""),"柿崎 晃司")</f>
        <v>柿崎 晃司</v>
      </c>
    </row>
    <row r="11619" spans="2:4" ht="13">
      <c r="B11619" s="12">
        <f ca="1">IFERROR(__xludf.DUMMYFUNCTION("""COMPUTED_VALUE"""),3713131)</f>
        <v>3713131</v>
      </c>
      <c r="C11619" s="14">
        <f ca="1">IFERROR(__xludf.DUMMYFUNCTION("""COMPUTED_VALUE"""),42)</f>
        <v>42</v>
      </c>
      <c r="D11619" s="12" t="str">
        <f ca="1">IFERROR(__xludf.DUMMYFUNCTION("""COMPUTED_VALUE"""),"柿崎 晃司")</f>
        <v>柿崎 晃司</v>
      </c>
    </row>
    <row r="11620" spans="2:4" ht="13">
      <c r="B11620" s="12">
        <f ca="1">IFERROR(__xludf.DUMMYFUNCTION("""COMPUTED_VALUE"""),3713132)</f>
        <v>3713132</v>
      </c>
      <c r="C11620" s="14">
        <f ca="1">IFERROR(__xludf.DUMMYFUNCTION("""COMPUTED_VALUE"""),13)</f>
        <v>13</v>
      </c>
      <c r="D11620" s="12" t="str">
        <f ca="1">IFERROR(__xludf.DUMMYFUNCTION("""COMPUTED_VALUE"""),"柿崎 晃司")</f>
        <v>柿崎 晃司</v>
      </c>
    </row>
    <row r="11621" spans="2:4" ht="13">
      <c r="B11621" s="12">
        <f ca="1">IFERROR(__xludf.DUMMYFUNCTION("""COMPUTED_VALUE"""),3713133)</f>
        <v>3713133</v>
      </c>
      <c r="C11621" s="14">
        <f ca="1">IFERROR(__xludf.DUMMYFUNCTION("""COMPUTED_VALUE"""),62)</f>
        <v>62</v>
      </c>
      <c r="D11621" s="12" t="str">
        <f ca="1">IFERROR(__xludf.DUMMYFUNCTION("""COMPUTED_VALUE"""),"柿崎 晃司")</f>
        <v>柿崎 晃司</v>
      </c>
    </row>
    <row r="11622" spans="2:4" ht="13">
      <c r="B11622" s="12">
        <f ca="1">IFERROR(__xludf.DUMMYFUNCTION("""COMPUTED_VALUE"""),3713134)</f>
        <v>3713134</v>
      </c>
      <c r="C11622" s="14">
        <f ca="1">IFERROR(__xludf.DUMMYFUNCTION("""COMPUTED_VALUE"""),32)</f>
        <v>32</v>
      </c>
      <c r="D11622" s="12" t="str">
        <f ca="1">IFERROR(__xludf.DUMMYFUNCTION("""COMPUTED_VALUE"""),"柿崎 晃司")</f>
        <v>柿崎 晃司</v>
      </c>
    </row>
    <row r="11623" spans="2:4" ht="13">
      <c r="B11623" s="12">
        <f ca="1">IFERROR(__xludf.DUMMYFUNCTION("""COMPUTED_VALUE"""),3713135)</f>
        <v>3713135</v>
      </c>
      <c r="C11623" s="14">
        <f ca="1">IFERROR(__xludf.DUMMYFUNCTION("""COMPUTED_VALUE"""),30)</f>
        <v>30</v>
      </c>
      <c r="D11623" s="12" t="str">
        <f ca="1">IFERROR(__xludf.DUMMYFUNCTION("""COMPUTED_VALUE"""),"柿崎 晃司")</f>
        <v>柿崎 晃司</v>
      </c>
    </row>
    <row r="11624" spans="2:4" ht="13">
      <c r="B11624" s="12">
        <f ca="1">IFERROR(__xludf.DUMMYFUNCTION("""COMPUTED_VALUE"""),3713136)</f>
        <v>3713136</v>
      </c>
      <c r="C11624" s="14">
        <f ca="1">IFERROR(__xludf.DUMMYFUNCTION("""COMPUTED_VALUE"""),36)</f>
        <v>36</v>
      </c>
      <c r="D11624" s="12" t="str">
        <f ca="1">IFERROR(__xludf.DUMMYFUNCTION("""COMPUTED_VALUE"""),"柿崎 晃司")</f>
        <v>柿崎 晃司</v>
      </c>
    </row>
    <row r="11625" spans="2:4" ht="13">
      <c r="B11625" s="12">
        <f ca="1">IFERROR(__xludf.DUMMYFUNCTION("""COMPUTED_VALUE"""),3713137)</f>
        <v>3713137</v>
      </c>
      <c r="C11625" s="14">
        <f ca="1">IFERROR(__xludf.DUMMYFUNCTION("""COMPUTED_VALUE"""),24)</f>
        <v>24</v>
      </c>
      <c r="D11625" s="12" t="str">
        <f ca="1">IFERROR(__xludf.DUMMYFUNCTION("""COMPUTED_VALUE"""),"柿崎 晃司")</f>
        <v>柿崎 晃司</v>
      </c>
    </row>
    <row r="11626" spans="2:4" ht="13">
      <c r="B11626" s="12">
        <f ca="1">IFERROR(__xludf.DUMMYFUNCTION("""COMPUTED_VALUE"""),3713138)</f>
        <v>3713138</v>
      </c>
      <c r="C11626" s="14">
        <f ca="1">IFERROR(__xludf.DUMMYFUNCTION("""COMPUTED_VALUE"""),74)</f>
        <v>74</v>
      </c>
      <c r="D11626" s="12" t="str">
        <f ca="1">IFERROR(__xludf.DUMMYFUNCTION("""COMPUTED_VALUE"""),"柿崎 晃司")</f>
        <v>柿崎 晃司</v>
      </c>
    </row>
    <row r="11627" spans="2:4" ht="13">
      <c r="B11627" s="12">
        <f ca="1">IFERROR(__xludf.DUMMYFUNCTION("""COMPUTED_VALUE"""),3713139)</f>
        <v>3713139</v>
      </c>
      <c r="C11627" s="14">
        <f ca="1">IFERROR(__xludf.DUMMYFUNCTION("""COMPUTED_VALUE"""),28)</f>
        <v>28</v>
      </c>
      <c r="D11627" s="12" t="str">
        <f ca="1">IFERROR(__xludf.DUMMYFUNCTION("""COMPUTED_VALUE"""),"柿崎 晃司")</f>
        <v>柿崎 晃司</v>
      </c>
    </row>
    <row r="11628" spans="2:4" ht="13">
      <c r="B11628" s="12">
        <f ca="1">IFERROR(__xludf.DUMMYFUNCTION("""COMPUTED_VALUE"""),3713140)</f>
        <v>3713140</v>
      </c>
      <c r="C11628" s="14">
        <f ca="1">IFERROR(__xludf.DUMMYFUNCTION("""COMPUTED_VALUE"""),21)</f>
        <v>21</v>
      </c>
      <c r="D11628" s="12" t="str">
        <f ca="1">IFERROR(__xludf.DUMMYFUNCTION("""COMPUTED_VALUE"""),"柿崎 晃司")</f>
        <v>柿崎 晃司</v>
      </c>
    </row>
    <row r="11629" spans="2:4" ht="13">
      <c r="B11629" s="12">
        <f ca="1">IFERROR(__xludf.DUMMYFUNCTION("""COMPUTED_VALUE"""),3713141)</f>
        <v>3713141</v>
      </c>
      <c r="C11629" s="14">
        <f ca="1">IFERROR(__xludf.DUMMYFUNCTION("""COMPUTED_VALUE"""),36)</f>
        <v>36</v>
      </c>
      <c r="D11629" s="12" t="str">
        <f ca="1">IFERROR(__xludf.DUMMYFUNCTION("""COMPUTED_VALUE"""),"柿崎 晃司")</f>
        <v>柿崎 晃司</v>
      </c>
    </row>
    <row r="11630" spans="2:4" ht="13">
      <c r="B11630" s="12">
        <f ca="1">IFERROR(__xludf.DUMMYFUNCTION("""COMPUTED_VALUE"""),3713142)</f>
        <v>3713142</v>
      </c>
      <c r="C11630" s="14">
        <f ca="1">IFERROR(__xludf.DUMMYFUNCTION("""COMPUTED_VALUE"""),21)</f>
        <v>21</v>
      </c>
      <c r="D11630" s="12" t="str">
        <f ca="1">IFERROR(__xludf.DUMMYFUNCTION("""COMPUTED_VALUE"""),"柿崎 晃司")</f>
        <v>柿崎 晃司</v>
      </c>
    </row>
    <row r="11631" spans="2:4" ht="13">
      <c r="B11631" s="12">
        <f ca="1">IFERROR(__xludf.DUMMYFUNCTION("""COMPUTED_VALUE"""),3713143)</f>
        <v>3713143</v>
      </c>
      <c r="C11631" s="14">
        <f ca="1">IFERROR(__xludf.DUMMYFUNCTION("""COMPUTED_VALUE"""),76)</f>
        <v>76</v>
      </c>
      <c r="D11631" s="12" t="str">
        <f ca="1">IFERROR(__xludf.DUMMYFUNCTION("""COMPUTED_VALUE"""),"柿崎 晃司")</f>
        <v>柿崎 晃司</v>
      </c>
    </row>
    <row r="11632" spans="2:4" ht="13">
      <c r="B11632" s="12">
        <f ca="1">IFERROR(__xludf.DUMMYFUNCTION("""COMPUTED_VALUE"""),3713144)</f>
        <v>3713144</v>
      </c>
      <c r="C11632" s="14">
        <f ca="1">IFERROR(__xludf.DUMMYFUNCTION("""COMPUTED_VALUE"""),43)</f>
        <v>43</v>
      </c>
      <c r="D11632" s="12" t="str">
        <f ca="1">IFERROR(__xludf.DUMMYFUNCTION("""COMPUTED_VALUE"""),"柿崎 晃司")</f>
        <v>柿崎 晃司</v>
      </c>
    </row>
    <row r="11633" spans="2:4" ht="13">
      <c r="B11633" s="12">
        <f ca="1">IFERROR(__xludf.DUMMYFUNCTION("""COMPUTED_VALUE"""),3713145)</f>
        <v>3713145</v>
      </c>
      <c r="C11633" s="14">
        <f ca="1">IFERROR(__xludf.DUMMYFUNCTION("""COMPUTED_VALUE"""),30)</f>
        <v>30</v>
      </c>
      <c r="D11633" s="12" t="str">
        <f ca="1">IFERROR(__xludf.DUMMYFUNCTION("""COMPUTED_VALUE"""),"柿崎 晃司")</f>
        <v>柿崎 晃司</v>
      </c>
    </row>
    <row r="11634" spans="2:4" ht="13">
      <c r="B11634" s="12">
        <f ca="1">IFERROR(__xludf.DUMMYFUNCTION("""COMPUTED_VALUE"""),3713146)</f>
        <v>3713146</v>
      </c>
      <c r="C11634" s="14">
        <f ca="1">IFERROR(__xludf.DUMMYFUNCTION("""COMPUTED_VALUE"""),44)</f>
        <v>44</v>
      </c>
      <c r="D11634" s="12" t="str">
        <f ca="1">IFERROR(__xludf.DUMMYFUNCTION("""COMPUTED_VALUE"""),"柿崎 晃司")</f>
        <v>柿崎 晃司</v>
      </c>
    </row>
    <row r="11635" spans="2:4" ht="13">
      <c r="B11635" s="12">
        <f ca="1">IFERROR(__xludf.DUMMYFUNCTION("""COMPUTED_VALUE"""),3713147)</f>
        <v>3713147</v>
      </c>
      <c r="C11635" s="14">
        <f ca="1">IFERROR(__xludf.DUMMYFUNCTION("""COMPUTED_VALUE"""),23)</f>
        <v>23</v>
      </c>
      <c r="D11635" s="12" t="str">
        <f ca="1">IFERROR(__xludf.DUMMYFUNCTION("""COMPUTED_VALUE"""),"柿崎 晃司")</f>
        <v>柿崎 晃司</v>
      </c>
    </row>
    <row r="11636" spans="2:4" ht="13">
      <c r="B11636" s="12">
        <f ca="1">IFERROR(__xludf.DUMMYFUNCTION("""COMPUTED_VALUE"""),3713148)</f>
        <v>3713148</v>
      </c>
      <c r="C11636" s="14">
        <f ca="1">IFERROR(__xludf.DUMMYFUNCTION("""COMPUTED_VALUE"""),19)</f>
        <v>19</v>
      </c>
      <c r="D11636" s="12" t="str">
        <f ca="1">IFERROR(__xludf.DUMMYFUNCTION("""COMPUTED_VALUE"""),"柿崎 晃司")</f>
        <v>柿崎 晃司</v>
      </c>
    </row>
    <row r="11637" spans="2:4" ht="13">
      <c r="B11637" s="12">
        <f ca="1">IFERROR(__xludf.DUMMYFUNCTION("""COMPUTED_VALUE"""),3713149)</f>
        <v>3713149</v>
      </c>
      <c r="C11637" s="14">
        <f ca="1">IFERROR(__xludf.DUMMYFUNCTION("""COMPUTED_VALUE"""),18)</f>
        <v>18</v>
      </c>
      <c r="D11637" s="12" t="str">
        <f ca="1">IFERROR(__xludf.DUMMYFUNCTION("""COMPUTED_VALUE"""),"柿崎 晃司")</f>
        <v>柿崎 晃司</v>
      </c>
    </row>
    <row r="11638" spans="2:4" ht="13">
      <c r="B11638" s="12">
        <f ca="1">IFERROR(__xludf.DUMMYFUNCTION("""COMPUTED_VALUE"""),3713150)</f>
        <v>3713150</v>
      </c>
      <c r="C11638" s="14">
        <f ca="1">IFERROR(__xludf.DUMMYFUNCTION("""COMPUTED_VALUE"""),43)</f>
        <v>43</v>
      </c>
      <c r="D11638" s="12" t="str">
        <f ca="1">IFERROR(__xludf.DUMMYFUNCTION("""COMPUTED_VALUE"""),"柿崎 晃司")</f>
        <v>柿崎 晃司</v>
      </c>
    </row>
    <row r="11639" spans="2:4" ht="13">
      <c r="B11639" s="12">
        <f ca="1">IFERROR(__xludf.DUMMYFUNCTION("""COMPUTED_VALUE"""),3713151)</f>
        <v>3713151</v>
      </c>
      <c r="C11639" s="14">
        <f ca="1">IFERROR(__xludf.DUMMYFUNCTION("""COMPUTED_VALUE"""),29)</f>
        <v>29</v>
      </c>
      <c r="D11639" s="12" t="str">
        <f ca="1">IFERROR(__xludf.DUMMYFUNCTION("""COMPUTED_VALUE"""),"柿崎 晃司")</f>
        <v>柿崎 晃司</v>
      </c>
    </row>
    <row r="11640" spans="2:4" ht="13">
      <c r="B11640" s="12">
        <f ca="1">IFERROR(__xludf.DUMMYFUNCTION("""COMPUTED_VALUE"""),3713152)</f>
        <v>3713152</v>
      </c>
      <c r="C11640" s="14">
        <f ca="1">IFERROR(__xludf.DUMMYFUNCTION("""COMPUTED_VALUE"""),18)</f>
        <v>18</v>
      </c>
      <c r="D11640" s="12" t="str">
        <f ca="1">IFERROR(__xludf.DUMMYFUNCTION("""COMPUTED_VALUE"""),"柿崎 晃司")</f>
        <v>柿崎 晃司</v>
      </c>
    </row>
    <row r="11641" spans="2:4" ht="13">
      <c r="B11641" s="12">
        <f ca="1">IFERROR(__xludf.DUMMYFUNCTION("""COMPUTED_VALUE"""),3713153)</f>
        <v>3713153</v>
      </c>
      <c r="C11641" s="14">
        <f ca="1">IFERROR(__xludf.DUMMYFUNCTION("""COMPUTED_VALUE"""),55)</f>
        <v>55</v>
      </c>
      <c r="D11641" s="12" t="str">
        <f ca="1">IFERROR(__xludf.DUMMYFUNCTION("""COMPUTED_VALUE"""),"柿崎 晃司")</f>
        <v>柿崎 晃司</v>
      </c>
    </row>
    <row r="11642" spans="2:4" ht="13">
      <c r="B11642" s="12">
        <f ca="1">IFERROR(__xludf.DUMMYFUNCTION("""COMPUTED_VALUE"""),3713154)</f>
        <v>3713154</v>
      </c>
      <c r="C11642" s="14">
        <f ca="1">IFERROR(__xludf.DUMMYFUNCTION("""COMPUTED_VALUE"""),92)</f>
        <v>92</v>
      </c>
      <c r="D11642" s="12" t="str">
        <f ca="1">IFERROR(__xludf.DUMMYFUNCTION("""COMPUTED_VALUE"""),"柿崎 晃司")</f>
        <v>柿崎 晃司</v>
      </c>
    </row>
    <row r="11643" spans="2:4" ht="13">
      <c r="B11643" s="12">
        <f ca="1">IFERROR(__xludf.DUMMYFUNCTION("""COMPUTED_VALUE"""),3713156)</f>
        <v>3713156</v>
      </c>
      <c r="C11643" s="14">
        <f ca="1">IFERROR(__xludf.DUMMYFUNCTION("""COMPUTED_VALUE"""),25)</f>
        <v>25</v>
      </c>
      <c r="D11643" s="12" t="str">
        <f ca="1">IFERROR(__xludf.DUMMYFUNCTION("""COMPUTED_VALUE"""),"柿崎 晃司")</f>
        <v>柿崎 晃司</v>
      </c>
    </row>
    <row r="11644" spans="2:4" ht="13">
      <c r="B11644" s="12">
        <f ca="1">IFERROR(__xludf.DUMMYFUNCTION("""COMPUTED_VALUE"""),3713157)</f>
        <v>3713157</v>
      </c>
      <c r="C11644" s="14">
        <f ca="1">IFERROR(__xludf.DUMMYFUNCTION("""COMPUTED_VALUE"""),27)</f>
        <v>27</v>
      </c>
      <c r="D11644" s="12" t="str">
        <f ca="1">IFERROR(__xludf.DUMMYFUNCTION("""COMPUTED_VALUE"""),"柿崎 晃司")</f>
        <v>柿崎 晃司</v>
      </c>
    </row>
    <row r="11645" spans="2:4" ht="13">
      <c r="B11645" s="12">
        <f ca="1">IFERROR(__xludf.DUMMYFUNCTION("""COMPUTED_VALUE"""),3713158)</f>
        <v>3713158</v>
      </c>
      <c r="C11645" s="14">
        <f ca="1">IFERROR(__xludf.DUMMYFUNCTION("""COMPUTED_VALUE"""),11)</f>
        <v>11</v>
      </c>
      <c r="D11645" s="12" t="str">
        <f ca="1">IFERROR(__xludf.DUMMYFUNCTION("""COMPUTED_VALUE"""),"柿崎 晃司")</f>
        <v>柿崎 晃司</v>
      </c>
    </row>
    <row r="11646" spans="2:4" ht="13">
      <c r="B11646" s="12">
        <f ca="1">IFERROR(__xludf.DUMMYFUNCTION("""COMPUTED_VALUE"""),3713159)</f>
        <v>3713159</v>
      </c>
      <c r="C11646" s="14">
        <f ca="1">IFERROR(__xludf.DUMMYFUNCTION("""COMPUTED_VALUE"""),46)</f>
        <v>46</v>
      </c>
      <c r="D11646" s="12" t="str">
        <f ca="1">IFERROR(__xludf.DUMMYFUNCTION("""COMPUTED_VALUE"""),"柿崎 晃司")</f>
        <v>柿崎 晃司</v>
      </c>
    </row>
    <row r="11647" spans="2:4" ht="13">
      <c r="B11647" s="12">
        <f ca="1">IFERROR(__xludf.DUMMYFUNCTION("""COMPUTED_VALUE"""),3713160)</f>
        <v>3713160</v>
      </c>
      <c r="C11647" s="14">
        <f ca="1">IFERROR(__xludf.DUMMYFUNCTION("""COMPUTED_VALUE"""),0)</f>
        <v>0</v>
      </c>
      <c r="D11647" s="12" t="str">
        <f ca="1">IFERROR(__xludf.DUMMYFUNCTION("""COMPUTED_VALUE"""),"柿崎 晃司")</f>
        <v>柿崎 晃司</v>
      </c>
    </row>
    <row r="11648" spans="2:4" ht="13">
      <c r="B11648" s="12">
        <f ca="1">IFERROR(__xludf.DUMMYFUNCTION("""COMPUTED_VALUE"""),3713161)</f>
        <v>3713161</v>
      </c>
      <c r="C11648" s="14">
        <f ca="1">IFERROR(__xludf.DUMMYFUNCTION("""COMPUTED_VALUE"""),42)</f>
        <v>42</v>
      </c>
      <c r="D11648" s="12" t="str">
        <f ca="1">IFERROR(__xludf.DUMMYFUNCTION("""COMPUTED_VALUE"""),"柿崎 晃司")</f>
        <v>柿崎 晃司</v>
      </c>
    </row>
    <row r="11649" spans="2:4" ht="13">
      <c r="B11649" s="12">
        <f ca="1">IFERROR(__xludf.DUMMYFUNCTION("""COMPUTED_VALUE"""),3713162)</f>
        <v>3713162</v>
      </c>
      <c r="C11649" s="14">
        <f ca="1">IFERROR(__xludf.DUMMYFUNCTION("""COMPUTED_VALUE"""),56)</f>
        <v>56</v>
      </c>
      <c r="D11649" s="12" t="str">
        <f ca="1">IFERROR(__xludf.DUMMYFUNCTION("""COMPUTED_VALUE"""),"柿崎 晃司")</f>
        <v>柿崎 晃司</v>
      </c>
    </row>
    <row r="11650" spans="2:4" ht="13">
      <c r="B11650" s="12">
        <f ca="1">IFERROR(__xludf.DUMMYFUNCTION("""COMPUTED_VALUE"""),3713163)</f>
        <v>3713163</v>
      </c>
      <c r="C11650" s="14">
        <f ca="1">IFERROR(__xludf.DUMMYFUNCTION("""COMPUTED_VALUE"""),68)</f>
        <v>68</v>
      </c>
      <c r="D11650" s="12" t="str">
        <f ca="1">IFERROR(__xludf.DUMMYFUNCTION("""COMPUTED_VALUE"""),"柿崎 晃司")</f>
        <v>柿崎 晃司</v>
      </c>
    </row>
    <row r="11651" spans="2:4" ht="13">
      <c r="B11651" s="12">
        <f ca="1">IFERROR(__xludf.DUMMYFUNCTION("""COMPUTED_VALUE"""),3713164)</f>
        <v>3713164</v>
      </c>
      <c r="C11651" s="14">
        <f ca="1">IFERROR(__xludf.DUMMYFUNCTION("""COMPUTED_VALUE"""),55)</f>
        <v>55</v>
      </c>
      <c r="D11651" s="12" t="str">
        <f ca="1">IFERROR(__xludf.DUMMYFUNCTION("""COMPUTED_VALUE"""),"柿崎 晃司")</f>
        <v>柿崎 晃司</v>
      </c>
    </row>
    <row r="11652" spans="2:4" ht="13">
      <c r="B11652" s="12">
        <f ca="1">IFERROR(__xludf.DUMMYFUNCTION("""COMPUTED_VALUE"""),3713165)</f>
        <v>3713165</v>
      </c>
      <c r="C11652" s="14">
        <f ca="1">IFERROR(__xludf.DUMMYFUNCTION("""COMPUTED_VALUE"""),49)</f>
        <v>49</v>
      </c>
      <c r="D11652" s="12" t="str">
        <f ca="1">IFERROR(__xludf.DUMMYFUNCTION("""COMPUTED_VALUE"""),"柿崎 晃司")</f>
        <v>柿崎 晃司</v>
      </c>
    </row>
    <row r="11653" spans="2:4" ht="13">
      <c r="B11653" s="12">
        <f ca="1">IFERROR(__xludf.DUMMYFUNCTION("""COMPUTED_VALUE"""),3713166)</f>
        <v>3713166</v>
      </c>
      <c r="C11653" s="14">
        <f ca="1">IFERROR(__xludf.DUMMYFUNCTION("""COMPUTED_VALUE"""),55)</f>
        <v>55</v>
      </c>
      <c r="D11653" s="12" t="str">
        <f ca="1">IFERROR(__xludf.DUMMYFUNCTION("""COMPUTED_VALUE"""),"柿崎 晃司")</f>
        <v>柿崎 晃司</v>
      </c>
    </row>
    <row r="11654" spans="2:4" ht="13">
      <c r="B11654" s="12">
        <f ca="1">IFERROR(__xludf.DUMMYFUNCTION("""COMPUTED_VALUE"""),3713167)</f>
        <v>3713167</v>
      </c>
      <c r="C11654" s="14">
        <f ca="1">IFERROR(__xludf.DUMMYFUNCTION("""COMPUTED_VALUE"""),51)</f>
        <v>51</v>
      </c>
      <c r="D11654" s="12" t="str">
        <f ca="1">IFERROR(__xludf.DUMMYFUNCTION("""COMPUTED_VALUE"""),"柿崎 晃司")</f>
        <v>柿崎 晃司</v>
      </c>
    </row>
    <row r="11655" spans="2:4" ht="13">
      <c r="B11655" s="12">
        <f ca="1">IFERROR(__xludf.DUMMYFUNCTION("""COMPUTED_VALUE"""),3713168)</f>
        <v>3713168</v>
      </c>
      <c r="C11655" s="14">
        <f ca="1">IFERROR(__xludf.DUMMYFUNCTION("""COMPUTED_VALUE"""),27)</f>
        <v>27</v>
      </c>
      <c r="D11655" s="12" t="str">
        <f ca="1">IFERROR(__xludf.DUMMYFUNCTION("""COMPUTED_VALUE"""),"柿崎 晃司")</f>
        <v>柿崎 晃司</v>
      </c>
    </row>
    <row r="11656" spans="2:4" ht="13">
      <c r="B11656" s="12">
        <f ca="1">IFERROR(__xludf.DUMMYFUNCTION("""COMPUTED_VALUE"""),3713169)</f>
        <v>3713169</v>
      </c>
      <c r="C11656" s="14">
        <f ca="1">IFERROR(__xludf.DUMMYFUNCTION("""COMPUTED_VALUE"""),12)</f>
        <v>12</v>
      </c>
      <c r="D11656" s="12" t="str">
        <f ca="1">IFERROR(__xludf.DUMMYFUNCTION("""COMPUTED_VALUE"""),"柿崎 晃司")</f>
        <v>柿崎 晃司</v>
      </c>
    </row>
    <row r="11657" spans="2:4" ht="13">
      <c r="B11657" s="12">
        <f ca="1">IFERROR(__xludf.DUMMYFUNCTION("""COMPUTED_VALUE"""),3713170)</f>
        <v>3713170</v>
      </c>
      <c r="C11657" s="14">
        <f ca="1">IFERROR(__xludf.DUMMYFUNCTION("""COMPUTED_VALUE"""),73)</f>
        <v>73</v>
      </c>
      <c r="D11657" s="12" t="str">
        <f ca="1">IFERROR(__xludf.DUMMYFUNCTION("""COMPUTED_VALUE"""),"柿崎 晃司")</f>
        <v>柿崎 晃司</v>
      </c>
    </row>
    <row r="11658" spans="2:4" ht="13">
      <c r="B11658" s="12">
        <f ca="1">IFERROR(__xludf.DUMMYFUNCTION("""COMPUTED_VALUE"""),3713171)</f>
        <v>3713171</v>
      </c>
      <c r="C11658" s="14">
        <f ca="1">IFERROR(__xludf.DUMMYFUNCTION("""COMPUTED_VALUE"""),105)</f>
        <v>105</v>
      </c>
      <c r="D11658" s="12" t="str">
        <f ca="1">IFERROR(__xludf.DUMMYFUNCTION("""COMPUTED_VALUE"""),"柿崎 晃司")</f>
        <v>柿崎 晃司</v>
      </c>
    </row>
    <row r="11659" spans="2:4" ht="13">
      <c r="B11659" s="12">
        <f ca="1">IFERROR(__xludf.DUMMYFUNCTION("""COMPUTED_VALUE"""),3713172)</f>
        <v>3713172</v>
      </c>
      <c r="C11659" s="14">
        <f ca="1">IFERROR(__xludf.DUMMYFUNCTION("""COMPUTED_VALUE"""),47)</f>
        <v>47</v>
      </c>
      <c r="D11659" s="12" t="str">
        <f ca="1">IFERROR(__xludf.DUMMYFUNCTION("""COMPUTED_VALUE"""),"柿崎 晃司")</f>
        <v>柿崎 晃司</v>
      </c>
    </row>
    <row r="11660" spans="2:4" ht="13">
      <c r="B11660" s="12">
        <f ca="1">IFERROR(__xludf.DUMMYFUNCTION("""COMPUTED_VALUE"""),3713173)</f>
        <v>3713173</v>
      </c>
      <c r="C11660" s="14">
        <f ca="1">IFERROR(__xludf.DUMMYFUNCTION("""COMPUTED_VALUE"""),73)</f>
        <v>73</v>
      </c>
      <c r="D11660" s="12" t="str">
        <f ca="1">IFERROR(__xludf.DUMMYFUNCTION("""COMPUTED_VALUE"""),"柿崎 晃司")</f>
        <v>柿崎 晃司</v>
      </c>
    </row>
    <row r="11661" spans="2:4" ht="13">
      <c r="B11661" s="12">
        <f ca="1">IFERROR(__xludf.DUMMYFUNCTION("""COMPUTED_VALUE"""),3713174)</f>
        <v>3713174</v>
      </c>
      <c r="C11661" s="14">
        <f ca="1">IFERROR(__xludf.DUMMYFUNCTION("""COMPUTED_VALUE"""),45)</f>
        <v>45</v>
      </c>
      <c r="D11661" s="12" t="str">
        <f ca="1">IFERROR(__xludf.DUMMYFUNCTION("""COMPUTED_VALUE"""),"柿崎 晃司")</f>
        <v>柿崎 晃司</v>
      </c>
    </row>
    <row r="11662" spans="2:4" ht="13">
      <c r="B11662" s="12">
        <f ca="1">IFERROR(__xludf.DUMMYFUNCTION("""COMPUTED_VALUE"""),3713175)</f>
        <v>3713175</v>
      </c>
      <c r="C11662" s="14">
        <f ca="1">IFERROR(__xludf.DUMMYFUNCTION("""COMPUTED_VALUE"""),51)</f>
        <v>51</v>
      </c>
      <c r="D11662" s="12" t="str">
        <f ca="1">IFERROR(__xludf.DUMMYFUNCTION("""COMPUTED_VALUE"""),"柿崎 晃司")</f>
        <v>柿崎 晃司</v>
      </c>
    </row>
    <row r="11663" spans="2:4" ht="13">
      <c r="B11663" s="12">
        <f ca="1">IFERROR(__xludf.DUMMYFUNCTION("""COMPUTED_VALUE"""),3713176)</f>
        <v>3713176</v>
      </c>
      <c r="C11663" s="14">
        <f ca="1">IFERROR(__xludf.DUMMYFUNCTION("""COMPUTED_VALUE"""),81)</f>
        <v>81</v>
      </c>
      <c r="D11663" s="12" t="str">
        <f ca="1">IFERROR(__xludf.DUMMYFUNCTION("""COMPUTED_VALUE"""),"柿崎 晃司")</f>
        <v>柿崎 晃司</v>
      </c>
    </row>
    <row r="11664" spans="2:4" ht="13">
      <c r="B11664" s="12">
        <f ca="1">IFERROR(__xludf.DUMMYFUNCTION("""COMPUTED_VALUE"""),3713177)</f>
        <v>3713177</v>
      </c>
      <c r="C11664" s="14">
        <f ca="1">IFERROR(__xludf.DUMMYFUNCTION("""COMPUTED_VALUE"""),80)</f>
        <v>80</v>
      </c>
      <c r="D11664" s="12" t="str">
        <f ca="1">IFERROR(__xludf.DUMMYFUNCTION("""COMPUTED_VALUE"""),"柿崎 晃司")</f>
        <v>柿崎 晃司</v>
      </c>
    </row>
    <row r="11665" spans="2:4" ht="13">
      <c r="B11665" s="12">
        <f ca="1">IFERROR(__xludf.DUMMYFUNCTION("""COMPUTED_VALUE"""),3713178)</f>
        <v>3713178</v>
      </c>
      <c r="C11665" s="14">
        <f ca="1">IFERROR(__xludf.DUMMYFUNCTION("""COMPUTED_VALUE"""),77)</f>
        <v>77</v>
      </c>
      <c r="D11665" s="12" t="str">
        <f ca="1">IFERROR(__xludf.DUMMYFUNCTION("""COMPUTED_VALUE"""),"柿崎 晃司")</f>
        <v>柿崎 晃司</v>
      </c>
    </row>
    <row r="11666" spans="2:4" ht="13">
      <c r="B11666" s="12">
        <f ca="1">IFERROR(__xludf.DUMMYFUNCTION("""COMPUTED_VALUE"""),3713179)</f>
        <v>3713179</v>
      </c>
      <c r="C11666" s="14">
        <f ca="1">IFERROR(__xludf.DUMMYFUNCTION("""COMPUTED_VALUE"""),33)</f>
        <v>33</v>
      </c>
      <c r="D11666" s="12" t="str">
        <f ca="1">IFERROR(__xludf.DUMMYFUNCTION("""COMPUTED_VALUE"""),"柿崎 晃司")</f>
        <v>柿崎 晃司</v>
      </c>
    </row>
    <row r="11667" spans="2:4" ht="13">
      <c r="B11667" s="12">
        <f ca="1">IFERROR(__xludf.DUMMYFUNCTION("""COMPUTED_VALUE"""),3713180)</f>
        <v>3713180</v>
      </c>
      <c r="C11667" s="14">
        <f ca="1">IFERROR(__xludf.DUMMYFUNCTION("""COMPUTED_VALUE"""),43)</f>
        <v>43</v>
      </c>
      <c r="D11667" s="12" t="str">
        <f ca="1">IFERROR(__xludf.DUMMYFUNCTION("""COMPUTED_VALUE"""),"柿崎 晃司")</f>
        <v>柿崎 晃司</v>
      </c>
    </row>
    <row r="11668" spans="2:4" ht="13">
      <c r="B11668" s="12">
        <f ca="1">IFERROR(__xludf.DUMMYFUNCTION("""COMPUTED_VALUE"""),3713181)</f>
        <v>3713181</v>
      </c>
      <c r="C11668" s="14">
        <f ca="1">IFERROR(__xludf.DUMMYFUNCTION("""COMPUTED_VALUE"""),72)</f>
        <v>72</v>
      </c>
      <c r="D11668" s="12" t="str">
        <f ca="1">IFERROR(__xludf.DUMMYFUNCTION("""COMPUTED_VALUE"""),"柿崎 晃司")</f>
        <v>柿崎 晃司</v>
      </c>
    </row>
    <row r="11669" spans="2:4" ht="13">
      <c r="B11669" s="12">
        <f ca="1">IFERROR(__xludf.DUMMYFUNCTION("""COMPUTED_VALUE"""),3713182)</f>
        <v>3713182</v>
      </c>
      <c r="C11669" s="14">
        <f ca="1">IFERROR(__xludf.DUMMYFUNCTION("""COMPUTED_VALUE"""),59)</f>
        <v>59</v>
      </c>
      <c r="D11669" s="12" t="str">
        <f ca="1">IFERROR(__xludf.DUMMYFUNCTION("""COMPUTED_VALUE"""),"柿崎 晃司")</f>
        <v>柿崎 晃司</v>
      </c>
    </row>
    <row r="11670" spans="2:4" ht="13">
      <c r="B11670" s="12">
        <f ca="1">IFERROR(__xludf.DUMMYFUNCTION("""COMPUTED_VALUE"""),3713183)</f>
        <v>3713183</v>
      </c>
      <c r="C11670" s="14">
        <f ca="1">IFERROR(__xludf.DUMMYFUNCTION("""COMPUTED_VALUE"""),62)</f>
        <v>62</v>
      </c>
      <c r="D11670" s="12" t="str">
        <f ca="1">IFERROR(__xludf.DUMMYFUNCTION("""COMPUTED_VALUE"""),"柿崎 晃司")</f>
        <v>柿崎 晃司</v>
      </c>
    </row>
    <row r="11671" spans="2:4" ht="13">
      <c r="B11671" s="12">
        <f ca="1">IFERROR(__xludf.DUMMYFUNCTION("""COMPUTED_VALUE"""),3713184)</f>
        <v>3713184</v>
      </c>
      <c r="C11671" s="14">
        <f ca="1">IFERROR(__xludf.DUMMYFUNCTION("""COMPUTED_VALUE"""),38)</f>
        <v>38</v>
      </c>
      <c r="D11671" s="12" t="str">
        <f ca="1">IFERROR(__xludf.DUMMYFUNCTION("""COMPUTED_VALUE"""),"柿崎 晃司")</f>
        <v>柿崎 晃司</v>
      </c>
    </row>
    <row r="11672" spans="2:4" ht="13">
      <c r="B11672" s="12">
        <f ca="1">IFERROR(__xludf.DUMMYFUNCTION("""COMPUTED_VALUE"""),3713185)</f>
        <v>3713185</v>
      </c>
      <c r="C11672" s="14">
        <f ca="1">IFERROR(__xludf.DUMMYFUNCTION("""COMPUTED_VALUE"""),49)</f>
        <v>49</v>
      </c>
      <c r="D11672" s="12" t="str">
        <f ca="1">IFERROR(__xludf.DUMMYFUNCTION("""COMPUTED_VALUE"""),"柿崎 晃司")</f>
        <v>柿崎 晃司</v>
      </c>
    </row>
    <row r="11673" spans="2:4" ht="13">
      <c r="B11673" s="12">
        <f ca="1">IFERROR(__xludf.DUMMYFUNCTION("""COMPUTED_VALUE"""),3713186)</f>
        <v>3713186</v>
      </c>
      <c r="C11673" s="14">
        <f ca="1">IFERROR(__xludf.DUMMYFUNCTION("""COMPUTED_VALUE"""),69)</f>
        <v>69</v>
      </c>
      <c r="D11673" s="12" t="str">
        <f ca="1">IFERROR(__xludf.DUMMYFUNCTION("""COMPUTED_VALUE"""),"柿崎 晃司")</f>
        <v>柿崎 晃司</v>
      </c>
    </row>
    <row r="11674" spans="2:4" ht="13">
      <c r="B11674" s="12">
        <f ca="1">IFERROR(__xludf.DUMMYFUNCTION("""COMPUTED_VALUE"""),3713187)</f>
        <v>3713187</v>
      </c>
      <c r="C11674" s="14">
        <f ca="1">IFERROR(__xludf.DUMMYFUNCTION("""COMPUTED_VALUE"""),62)</f>
        <v>62</v>
      </c>
      <c r="D11674" s="12" t="str">
        <f ca="1">IFERROR(__xludf.DUMMYFUNCTION("""COMPUTED_VALUE"""),"柿崎 晃司")</f>
        <v>柿崎 晃司</v>
      </c>
    </row>
    <row r="11675" spans="2:4" ht="13">
      <c r="B11675" s="12">
        <f ca="1">IFERROR(__xludf.DUMMYFUNCTION("""COMPUTED_VALUE"""),3713188)</f>
        <v>3713188</v>
      </c>
      <c r="C11675" s="14">
        <f ca="1">IFERROR(__xludf.DUMMYFUNCTION("""COMPUTED_VALUE"""),64)</f>
        <v>64</v>
      </c>
      <c r="D11675" s="12" t="str">
        <f ca="1">IFERROR(__xludf.DUMMYFUNCTION("""COMPUTED_VALUE"""),"柿崎 晃司")</f>
        <v>柿崎 晃司</v>
      </c>
    </row>
    <row r="11676" spans="2:4" ht="13">
      <c r="B11676" s="12">
        <f ca="1">IFERROR(__xludf.DUMMYFUNCTION("""COMPUTED_VALUE"""),3713189)</f>
        <v>3713189</v>
      </c>
      <c r="C11676" s="14">
        <f ca="1">IFERROR(__xludf.DUMMYFUNCTION("""COMPUTED_VALUE"""),57)</f>
        <v>57</v>
      </c>
      <c r="D11676" s="12" t="str">
        <f ca="1">IFERROR(__xludf.DUMMYFUNCTION("""COMPUTED_VALUE"""),"柿崎 晃司")</f>
        <v>柿崎 晃司</v>
      </c>
    </row>
    <row r="11677" spans="2:4" ht="13">
      <c r="B11677" s="12">
        <f ca="1">IFERROR(__xludf.DUMMYFUNCTION("""COMPUTED_VALUE"""),3713190)</f>
        <v>3713190</v>
      </c>
      <c r="C11677" s="14">
        <f ca="1">IFERROR(__xludf.DUMMYFUNCTION("""COMPUTED_VALUE"""),53)</f>
        <v>53</v>
      </c>
      <c r="D11677" s="12" t="str">
        <f ca="1">IFERROR(__xludf.DUMMYFUNCTION("""COMPUTED_VALUE"""),"柿崎 晃司")</f>
        <v>柿崎 晃司</v>
      </c>
    </row>
    <row r="11678" spans="2:4" ht="13">
      <c r="B11678" s="12">
        <f ca="1">IFERROR(__xludf.DUMMYFUNCTION("""COMPUTED_VALUE"""),3713191)</f>
        <v>3713191</v>
      </c>
      <c r="C11678" s="14">
        <f ca="1">IFERROR(__xludf.DUMMYFUNCTION("""COMPUTED_VALUE"""),27)</f>
        <v>27</v>
      </c>
      <c r="D11678" s="12" t="str">
        <f ca="1">IFERROR(__xludf.DUMMYFUNCTION("""COMPUTED_VALUE"""),"柿崎 晃司")</f>
        <v>柿崎 晃司</v>
      </c>
    </row>
    <row r="11679" spans="2:4" ht="13">
      <c r="B11679" s="12">
        <f ca="1">IFERROR(__xludf.DUMMYFUNCTION("""COMPUTED_VALUE"""),3713192)</f>
        <v>3713192</v>
      </c>
      <c r="C11679" s="14">
        <f ca="1">IFERROR(__xludf.DUMMYFUNCTION("""COMPUTED_VALUE"""),34)</f>
        <v>34</v>
      </c>
      <c r="D11679" s="12" t="str">
        <f ca="1">IFERROR(__xludf.DUMMYFUNCTION("""COMPUTED_VALUE"""),"柿崎 晃司")</f>
        <v>柿崎 晃司</v>
      </c>
    </row>
    <row r="11680" spans="2:4" ht="13">
      <c r="B11680" s="12">
        <f ca="1">IFERROR(__xludf.DUMMYFUNCTION("""COMPUTED_VALUE"""),3713193)</f>
        <v>3713193</v>
      </c>
      <c r="C11680" s="14">
        <f ca="1">IFERROR(__xludf.DUMMYFUNCTION("""COMPUTED_VALUE"""),58)</f>
        <v>58</v>
      </c>
      <c r="D11680" s="12" t="str">
        <f ca="1">IFERROR(__xludf.DUMMYFUNCTION("""COMPUTED_VALUE"""),"柿崎 晃司")</f>
        <v>柿崎 晃司</v>
      </c>
    </row>
    <row r="11681" spans="2:4" ht="13">
      <c r="B11681" s="12">
        <f ca="1">IFERROR(__xludf.DUMMYFUNCTION("""COMPUTED_VALUE"""),3713194)</f>
        <v>3713194</v>
      </c>
      <c r="C11681" s="14">
        <f ca="1">IFERROR(__xludf.DUMMYFUNCTION("""COMPUTED_VALUE"""),42)</f>
        <v>42</v>
      </c>
      <c r="D11681" s="12" t="str">
        <f ca="1">IFERROR(__xludf.DUMMYFUNCTION("""COMPUTED_VALUE"""),"柿崎 晃司")</f>
        <v>柿崎 晃司</v>
      </c>
    </row>
    <row r="11682" spans="2:4" ht="13">
      <c r="B11682" s="12">
        <f ca="1">IFERROR(__xludf.DUMMYFUNCTION("""COMPUTED_VALUE"""),3713195)</f>
        <v>3713195</v>
      </c>
      <c r="C11682" s="14">
        <f ca="1">IFERROR(__xludf.DUMMYFUNCTION("""COMPUTED_VALUE"""),24)</f>
        <v>24</v>
      </c>
      <c r="D11682" s="12" t="str">
        <f ca="1">IFERROR(__xludf.DUMMYFUNCTION("""COMPUTED_VALUE"""),"柿崎 晃司")</f>
        <v>柿崎 晃司</v>
      </c>
    </row>
    <row r="11683" spans="2:4" ht="13">
      <c r="B11683" s="12">
        <f ca="1">IFERROR(__xludf.DUMMYFUNCTION("""COMPUTED_VALUE"""),3713196)</f>
        <v>3713196</v>
      </c>
      <c r="C11683" s="14">
        <f ca="1">IFERROR(__xludf.DUMMYFUNCTION("""COMPUTED_VALUE"""),49)</f>
        <v>49</v>
      </c>
      <c r="D11683" s="12" t="str">
        <f ca="1">IFERROR(__xludf.DUMMYFUNCTION("""COMPUTED_VALUE"""),"柿崎 晃司")</f>
        <v>柿崎 晃司</v>
      </c>
    </row>
    <row r="11684" spans="2:4" ht="13">
      <c r="B11684" s="12">
        <f ca="1">IFERROR(__xludf.DUMMYFUNCTION("""COMPUTED_VALUE"""),3713197)</f>
        <v>3713197</v>
      </c>
      <c r="C11684" s="14">
        <f ca="1">IFERROR(__xludf.DUMMYFUNCTION("""COMPUTED_VALUE"""),28)</f>
        <v>28</v>
      </c>
      <c r="D11684" s="12" t="str">
        <f ca="1">IFERROR(__xludf.DUMMYFUNCTION("""COMPUTED_VALUE"""),"柿崎 晃司")</f>
        <v>柿崎 晃司</v>
      </c>
    </row>
    <row r="11685" spans="2:4" ht="13">
      <c r="B11685" s="12">
        <f ca="1">IFERROR(__xludf.DUMMYFUNCTION("""COMPUTED_VALUE"""),3713198)</f>
        <v>3713198</v>
      </c>
      <c r="C11685" s="14">
        <f ca="1">IFERROR(__xludf.DUMMYFUNCTION("""COMPUTED_VALUE"""),49)</f>
        <v>49</v>
      </c>
      <c r="D11685" s="12" t="str">
        <f ca="1">IFERROR(__xludf.DUMMYFUNCTION("""COMPUTED_VALUE"""),"柿崎 晃司")</f>
        <v>柿崎 晃司</v>
      </c>
    </row>
    <row r="11686" spans="2:4" ht="13">
      <c r="B11686" s="12">
        <f ca="1">IFERROR(__xludf.DUMMYFUNCTION("""COMPUTED_VALUE"""),3713199)</f>
        <v>3713199</v>
      </c>
      <c r="C11686" s="14">
        <f ca="1">IFERROR(__xludf.DUMMYFUNCTION("""COMPUTED_VALUE"""),51)</f>
        <v>51</v>
      </c>
      <c r="D11686" s="12" t="str">
        <f ca="1">IFERROR(__xludf.DUMMYFUNCTION("""COMPUTED_VALUE"""),"柿崎 晃司")</f>
        <v>柿崎 晃司</v>
      </c>
    </row>
    <row r="11687" spans="2:4" ht="13">
      <c r="B11687" s="12">
        <f ca="1">IFERROR(__xludf.DUMMYFUNCTION("""COMPUTED_VALUE"""),3713200)</f>
        <v>3713200</v>
      </c>
      <c r="C11687" s="14">
        <f ca="1">IFERROR(__xludf.DUMMYFUNCTION("""COMPUTED_VALUE"""),60)</f>
        <v>60</v>
      </c>
      <c r="D11687" s="12" t="str">
        <f ca="1">IFERROR(__xludf.DUMMYFUNCTION("""COMPUTED_VALUE"""),"柿崎 晃司")</f>
        <v>柿崎 晃司</v>
      </c>
    </row>
    <row r="11688" spans="2:4" ht="13">
      <c r="B11688" s="12">
        <f ca="1">IFERROR(__xludf.DUMMYFUNCTION("""COMPUTED_VALUE"""),3713201)</f>
        <v>3713201</v>
      </c>
      <c r="C11688" s="14">
        <f ca="1">IFERROR(__xludf.DUMMYFUNCTION("""COMPUTED_VALUE"""),61)</f>
        <v>61</v>
      </c>
      <c r="D11688" s="12" t="str">
        <f ca="1">IFERROR(__xludf.DUMMYFUNCTION("""COMPUTED_VALUE"""),"柿崎 晃司")</f>
        <v>柿崎 晃司</v>
      </c>
    </row>
    <row r="11689" spans="2:4" ht="13">
      <c r="B11689" s="12">
        <f ca="1">IFERROR(__xludf.DUMMYFUNCTION("""COMPUTED_VALUE"""),3713202)</f>
        <v>3713202</v>
      </c>
      <c r="C11689" s="14">
        <f ca="1">IFERROR(__xludf.DUMMYFUNCTION("""COMPUTED_VALUE"""),35)</f>
        <v>35</v>
      </c>
      <c r="D11689" s="12" t="str">
        <f ca="1">IFERROR(__xludf.DUMMYFUNCTION("""COMPUTED_VALUE"""),"柿崎 晃司")</f>
        <v>柿崎 晃司</v>
      </c>
    </row>
    <row r="11690" spans="2:4" ht="13">
      <c r="B11690" s="12">
        <f ca="1">IFERROR(__xludf.DUMMYFUNCTION("""COMPUTED_VALUE"""),3713203)</f>
        <v>3713203</v>
      </c>
      <c r="C11690" s="14">
        <f ca="1">IFERROR(__xludf.DUMMYFUNCTION("""COMPUTED_VALUE"""),64)</f>
        <v>64</v>
      </c>
      <c r="D11690" s="12" t="str">
        <f ca="1">IFERROR(__xludf.DUMMYFUNCTION("""COMPUTED_VALUE"""),"柿崎 晃司")</f>
        <v>柿崎 晃司</v>
      </c>
    </row>
    <row r="11691" spans="2:4" ht="13">
      <c r="B11691" s="12">
        <f ca="1">IFERROR(__xludf.DUMMYFUNCTION("""COMPUTED_VALUE"""),3713204)</f>
        <v>3713204</v>
      </c>
      <c r="C11691" s="14">
        <f ca="1">IFERROR(__xludf.DUMMYFUNCTION("""COMPUTED_VALUE"""),63)</f>
        <v>63</v>
      </c>
      <c r="D11691" s="12" t="str">
        <f ca="1">IFERROR(__xludf.DUMMYFUNCTION("""COMPUTED_VALUE"""),"柿崎 晃司")</f>
        <v>柿崎 晃司</v>
      </c>
    </row>
    <row r="11692" spans="2:4" ht="13">
      <c r="B11692" s="12">
        <f ca="1">IFERROR(__xludf.DUMMYFUNCTION("""COMPUTED_VALUE"""),3713205)</f>
        <v>3713205</v>
      </c>
      <c r="C11692" s="14">
        <f ca="1">IFERROR(__xludf.DUMMYFUNCTION("""COMPUTED_VALUE"""),15)</f>
        <v>15</v>
      </c>
      <c r="D11692" s="12" t="str">
        <f ca="1">IFERROR(__xludf.DUMMYFUNCTION("""COMPUTED_VALUE"""),"柿崎 晃司")</f>
        <v>柿崎 晃司</v>
      </c>
    </row>
    <row r="11693" spans="2:4" ht="13">
      <c r="B11693" s="12">
        <f ca="1">IFERROR(__xludf.DUMMYFUNCTION("""COMPUTED_VALUE"""),3713206)</f>
        <v>3713206</v>
      </c>
      <c r="C11693" s="14">
        <f ca="1">IFERROR(__xludf.DUMMYFUNCTION("""COMPUTED_VALUE"""),56)</f>
        <v>56</v>
      </c>
      <c r="D11693" s="12" t="str">
        <f ca="1">IFERROR(__xludf.DUMMYFUNCTION("""COMPUTED_VALUE"""),"柿崎 晃司")</f>
        <v>柿崎 晃司</v>
      </c>
    </row>
    <row r="11694" spans="2:4" ht="13">
      <c r="B11694" s="12">
        <f ca="1">IFERROR(__xludf.DUMMYFUNCTION("""COMPUTED_VALUE"""),3713207)</f>
        <v>3713207</v>
      </c>
      <c r="C11694" s="14">
        <f ca="1">IFERROR(__xludf.DUMMYFUNCTION("""COMPUTED_VALUE"""),75)</f>
        <v>75</v>
      </c>
      <c r="D11694" s="12" t="str">
        <f ca="1">IFERROR(__xludf.DUMMYFUNCTION("""COMPUTED_VALUE"""),"柿崎 晃司")</f>
        <v>柿崎 晃司</v>
      </c>
    </row>
    <row r="11695" spans="2:4" ht="13">
      <c r="B11695" s="12">
        <f ca="1">IFERROR(__xludf.DUMMYFUNCTION("""COMPUTED_VALUE"""),3713208)</f>
        <v>3713208</v>
      </c>
      <c r="C11695" s="14">
        <f ca="1">IFERROR(__xludf.DUMMYFUNCTION("""COMPUTED_VALUE"""),86)</f>
        <v>86</v>
      </c>
      <c r="D11695" s="12" t="str">
        <f ca="1">IFERROR(__xludf.DUMMYFUNCTION("""COMPUTED_VALUE"""),"柿崎 晃司")</f>
        <v>柿崎 晃司</v>
      </c>
    </row>
    <row r="11696" spans="2:4" ht="13">
      <c r="B11696" s="12">
        <f ca="1">IFERROR(__xludf.DUMMYFUNCTION("""COMPUTED_VALUE"""),3713209)</f>
        <v>3713209</v>
      </c>
      <c r="C11696" s="14">
        <f ca="1">IFERROR(__xludf.DUMMYFUNCTION("""COMPUTED_VALUE"""),149)</f>
        <v>149</v>
      </c>
      <c r="D11696" s="12" t="str">
        <f ca="1">IFERROR(__xludf.DUMMYFUNCTION("""COMPUTED_VALUE"""),"柿崎 晃司")</f>
        <v>柿崎 晃司</v>
      </c>
    </row>
    <row r="11697" spans="2:4" ht="13">
      <c r="B11697" s="12">
        <f ca="1">IFERROR(__xludf.DUMMYFUNCTION("""COMPUTED_VALUE"""),3713210)</f>
        <v>3713210</v>
      </c>
      <c r="C11697" s="14">
        <f ca="1">IFERROR(__xludf.DUMMYFUNCTION("""COMPUTED_VALUE"""),80)</f>
        <v>80</v>
      </c>
      <c r="D11697" s="12" t="str">
        <f ca="1">IFERROR(__xludf.DUMMYFUNCTION("""COMPUTED_VALUE"""),"柿崎 晃司")</f>
        <v>柿崎 晃司</v>
      </c>
    </row>
    <row r="11698" spans="2:4" ht="13">
      <c r="B11698" s="12">
        <f ca="1">IFERROR(__xludf.DUMMYFUNCTION("""COMPUTED_VALUE"""),3713211)</f>
        <v>3713211</v>
      </c>
      <c r="C11698" s="14">
        <f ca="1">IFERROR(__xludf.DUMMYFUNCTION("""COMPUTED_VALUE"""),53)</f>
        <v>53</v>
      </c>
      <c r="D11698" s="12" t="str">
        <f ca="1">IFERROR(__xludf.DUMMYFUNCTION("""COMPUTED_VALUE"""),"柿崎 晃司")</f>
        <v>柿崎 晃司</v>
      </c>
    </row>
    <row r="11699" spans="2:4" ht="13">
      <c r="B11699" s="12">
        <f ca="1">IFERROR(__xludf.DUMMYFUNCTION("""COMPUTED_VALUE"""),3713212)</f>
        <v>3713212</v>
      </c>
      <c r="C11699" s="14">
        <f ca="1">IFERROR(__xludf.DUMMYFUNCTION("""COMPUTED_VALUE"""),45)</f>
        <v>45</v>
      </c>
      <c r="D11699" s="12" t="str">
        <f ca="1">IFERROR(__xludf.DUMMYFUNCTION("""COMPUTED_VALUE"""),"柿崎 晃司")</f>
        <v>柿崎 晃司</v>
      </c>
    </row>
    <row r="11700" spans="2:4" ht="13">
      <c r="B11700" s="12">
        <f ca="1">IFERROR(__xludf.DUMMYFUNCTION("""COMPUTED_VALUE"""),3713213)</f>
        <v>3713213</v>
      </c>
      <c r="C11700" s="14">
        <f ca="1">IFERROR(__xludf.DUMMYFUNCTION("""COMPUTED_VALUE"""),96)</f>
        <v>96</v>
      </c>
      <c r="D11700" s="12" t="str">
        <f ca="1">IFERROR(__xludf.DUMMYFUNCTION("""COMPUTED_VALUE"""),"柿崎 晃司")</f>
        <v>柿崎 晃司</v>
      </c>
    </row>
    <row r="11701" spans="2:4" ht="13">
      <c r="B11701" s="12">
        <f ca="1">IFERROR(__xludf.DUMMYFUNCTION("""COMPUTED_VALUE"""),3713214)</f>
        <v>3713214</v>
      </c>
      <c r="C11701" s="14">
        <f ca="1">IFERROR(__xludf.DUMMYFUNCTION("""COMPUTED_VALUE"""),67)</f>
        <v>67</v>
      </c>
      <c r="D11701" s="12" t="str">
        <f ca="1">IFERROR(__xludf.DUMMYFUNCTION("""COMPUTED_VALUE"""),"柿崎 晃司")</f>
        <v>柿崎 晃司</v>
      </c>
    </row>
    <row r="11702" spans="2:4" ht="13">
      <c r="B11702" s="12">
        <f ca="1">IFERROR(__xludf.DUMMYFUNCTION("""COMPUTED_VALUE"""),3713215)</f>
        <v>3713215</v>
      </c>
      <c r="C11702" s="14">
        <f ca="1">IFERROR(__xludf.DUMMYFUNCTION("""COMPUTED_VALUE"""),46)</f>
        <v>46</v>
      </c>
      <c r="D11702" s="12" t="str">
        <f ca="1">IFERROR(__xludf.DUMMYFUNCTION("""COMPUTED_VALUE"""),"柿崎 晃司")</f>
        <v>柿崎 晃司</v>
      </c>
    </row>
    <row r="11703" spans="2:4" ht="13">
      <c r="B11703" s="12">
        <f ca="1">IFERROR(__xludf.DUMMYFUNCTION("""COMPUTED_VALUE"""),3713216)</f>
        <v>3713216</v>
      </c>
      <c r="C11703" s="14">
        <f ca="1">IFERROR(__xludf.DUMMYFUNCTION("""COMPUTED_VALUE"""),55)</f>
        <v>55</v>
      </c>
      <c r="D11703" s="12" t="str">
        <f ca="1">IFERROR(__xludf.DUMMYFUNCTION("""COMPUTED_VALUE"""),"柿崎 晃司")</f>
        <v>柿崎 晃司</v>
      </c>
    </row>
    <row r="11704" spans="2:4" ht="13">
      <c r="B11704" s="12">
        <f ca="1">IFERROR(__xludf.DUMMYFUNCTION("""COMPUTED_VALUE"""),3713217)</f>
        <v>3713217</v>
      </c>
      <c r="C11704" s="14">
        <f ca="1">IFERROR(__xludf.DUMMYFUNCTION("""COMPUTED_VALUE"""),0)</f>
        <v>0</v>
      </c>
      <c r="D11704" s="12" t="str">
        <f ca="1">IFERROR(__xludf.DUMMYFUNCTION("""COMPUTED_VALUE"""),"柿崎 晃司")</f>
        <v>柿崎 晃司</v>
      </c>
    </row>
    <row r="11705" spans="2:4" ht="13">
      <c r="B11705" s="12">
        <f ca="1">IFERROR(__xludf.DUMMYFUNCTION("""COMPUTED_VALUE"""),3713218)</f>
        <v>3713218</v>
      </c>
      <c r="C11705" s="14">
        <f ca="1">IFERROR(__xludf.DUMMYFUNCTION("""COMPUTED_VALUE"""),56)</f>
        <v>56</v>
      </c>
      <c r="D11705" s="12" t="str">
        <f ca="1">IFERROR(__xludf.DUMMYFUNCTION("""COMPUTED_VALUE"""),"柿崎 晃司")</f>
        <v>柿崎 晃司</v>
      </c>
    </row>
    <row r="11706" spans="2:4" ht="13">
      <c r="B11706" s="12">
        <f ca="1">IFERROR(__xludf.DUMMYFUNCTION("""COMPUTED_VALUE"""),3713219)</f>
        <v>3713219</v>
      </c>
      <c r="C11706" s="14">
        <f ca="1">IFERROR(__xludf.DUMMYFUNCTION("""COMPUTED_VALUE"""),50)</f>
        <v>50</v>
      </c>
      <c r="D11706" s="12" t="str">
        <f ca="1">IFERROR(__xludf.DUMMYFUNCTION("""COMPUTED_VALUE"""),"柿崎 晃司")</f>
        <v>柿崎 晃司</v>
      </c>
    </row>
    <row r="11707" spans="2:4" ht="13">
      <c r="B11707" s="12">
        <f ca="1">IFERROR(__xludf.DUMMYFUNCTION("""COMPUTED_VALUE"""),3713220)</f>
        <v>3713220</v>
      </c>
      <c r="C11707" s="14">
        <f ca="1">IFERROR(__xludf.DUMMYFUNCTION("""COMPUTED_VALUE"""),64)</f>
        <v>64</v>
      </c>
      <c r="D11707" s="12" t="str">
        <f ca="1">IFERROR(__xludf.DUMMYFUNCTION("""COMPUTED_VALUE"""),"柿崎 晃司")</f>
        <v>柿崎 晃司</v>
      </c>
    </row>
    <row r="11708" spans="2:4" ht="13">
      <c r="B11708" s="12">
        <f ca="1">IFERROR(__xludf.DUMMYFUNCTION("""COMPUTED_VALUE"""),3713221)</f>
        <v>3713221</v>
      </c>
      <c r="C11708" s="14">
        <f ca="1">IFERROR(__xludf.DUMMYFUNCTION("""COMPUTED_VALUE"""),38)</f>
        <v>38</v>
      </c>
      <c r="D11708" s="12" t="str">
        <f ca="1">IFERROR(__xludf.DUMMYFUNCTION("""COMPUTED_VALUE"""),"柿崎 晃司")</f>
        <v>柿崎 晃司</v>
      </c>
    </row>
    <row r="11709" spans="2:4" ht="13">
      <c r="B11709" s="12">
        <f ca="1">IFERROR(__xludf.DUMMYFUNCTION("""COMPUTED_VALUE"""),3713222)</f>
        <v>3713222</v>
      </c>
      <c r="C11709" s="14">
        <f ca="1">IFERROR(__xludf.DUMMYFUNCTION("""COMPUTED_VALUE"""),46)</f>
        <v>46</v>
      </c>
      <c r="D11709" s="12" t="str">
        <f ca="1">IFERROR(__xludf.DUMMYFUNCTION("""COMPUTED_VALUE"""),"柿崎 晃司")</f>
        <v>柿崎 晃司</v>
      </c>
    </row>
    <row r="11710" spans="2:4" ht="13">
      <c r="B11710" s="12">
        <f ca="1">IFERROR(__xludf.DUMMYFUNCTION("""COMPUTED_VALUE"""),3713223)</f>
        <v>3713223</v>
      </c>
      <c r="C11710" s="14">
        <f ca="1">IFERROR(__xludf.DUMMYFUNCTION("""COMPUTED_VALUE"""),82)</f>
        <v>82</v>
      </c>
      <c r="D11710" s="12" t="str">
        <f ca="1">IFERROR(__xludf.DUMMYFUNCTION("""COMPUTED_VALUE"""),"柿崎 晃司")</f>
        <v>柿崎 晃司</v>
      </c>
    </row>
    <row r="11711" spans="2:4" ht="13">
      <c r="B11711" s="12">
        <f ca="1">IFERROR(__xludf.DUMMYFUNCTION("""COMPUTED_VALUE"""),3713224)</f>
        <v>3713224</v>
      </c>
      <c r="C11711" s="14">
        <f ca="1">IFERROR(__xludf.DUMMYFUNCTION("""COMPUTED_VALUE"""),69)</f>
        <v>69</v>
      </c>
      <c r="D11711" s="12" t="str">
        <f ca="1">IFERROR(__xludf.DUMMYFUNCTION("""COMPUTED_VALUE"""),"柿崎 晃司")</f>
        <v>柿崎 晃司</v>
      </c>
    </row>
    <row r="11712" spans="2:4" ht="13">
      <c r="B11712" s="12">
        <f ca="1">IFERROR(__xludf.DUMMYFUNCTION("""COMPUTED_VALUE"""),3713225)</f>
        <v>3713225</v>
      </c>
      <c r="C11712" s="14">
        <f ca="1">IFERROR(__xludf.DUMMYFUNCTION("""COMPUTED_VALUE"""),70)</f>
        <v>70</v>
      </c>
      <c r="D11712" s="12" t="str">
        <f ca="1">IFERROR(__xludf.DUMMYFUNCTION("""COMPUTED_VALUE"""),"柿崎 晃司")</f>
        <v>柿崎 晃司</v>
      </c>
    </row>
    <row r="11713" spans="2:4" ht="13">
      <c r="B11713" s="12">
        <f ca="1">IFERROR(__xludf.DUMMYFUNCTION("""COMPUTED_VALUE"""),3713226)</f>
        <v>3713226</v>
      </c>
      <c r="C11713" s="14">
        <f ca="1">IFERROR(__xludf.DUMMYFUNCTION("""COMPUTED_VALUE"""),25)</f>
        <v>25</v>
      </c>
      <c r="D11713" s="12" t="str">
        <f ca="1">IFERROR(__xludf.DUMMYFUNCTION("""COMPUTED_VALUE"""),"柿崎 晃司")</f>
        <v>柿崎 晃司</v>
      </c>
    </row>
    <row r="11714" spans="2:4" ht="13">
      <c r="B11714" s="12">
        <f ca="1">IFERROR(__xludf.DUMMYFUNCTION("""COMPUTED_VALUE"""),3713227)</f>
        <v>3713227</v>
      </c>
      <c r="C11714" s="14">
        <f ca="1">IFERROR(__xludf.DUMMYFUNCTION("""COMPUTED_VALUE"""),53)</f>
        <v>53</v>
      </c>
      <c r="D11714" s="12" t="str">
        <f ca="1">IFERROR(__xludf.DUMMYFUNCTION("""COMPUTED_VALUE"""),"柿崎 晃司")</f>
        <v>柿崎 晃司</v>
      </c>
    </row>
    <row r="11715" spans="2:4" ht="13">
      <c r="B11715" s="12">
        <f ca="1">IFERROR(__xludf.DUMMYFUNCTION("""COMPUTED_VALUE"""),3713228)</f>
        <v>3713228</v>
      </c>
      <c r="C11715" s="14">
        <f ca="1">IFERROR(__xludf.DUMMYFUNCTION("""COMPUTED_VALUE"""),55)</f>
        <v>55</v>
      </c>
      <c r="D11715" s="12" t="str">
        <f ca="1">IFERROR(__xludf.DUMMYFUNCTION("""COMPUTED_VALUE"""),"柿崎 晃司")</f>
        <v>柿崎 晃司</v>
      </c>
    </row>
    <row r="11716" spans="2:4" ht="13">
      <c r="B11716" s="12">
        <f ca="1">IFERROR(__xludf.DUMMYFUNCTION("""COMPUTED_VALUE"""),3713229)</f>
        <v>3713229</v>
      </c>
      <c r="C11716" s="14">
        <f ca="1">IFERROR(__xludf.DUMMYFUNCTION("""COMPUTED_VALUE"""),64)</f>
        <v>64</v>
      </c>
      <c r="D11716" s="12" t="str">
        <f ca="1">IFERROR(__xludf.DUMMYFUNCTION("""COMPUTED_VALUE"""),"柿崎 晃司")</f>
        <v>柿崎 晃司</v>
      </c>
    </row>
    <row r="11717" spans="2:4" ht="13">
      <c r="B11717" s="12">
        <f ca="1">IFERROR(__xludf.DUMMYFUNCTION("""COMPUTED_VALUE"""),3713230)</f>
        <v>3713230</v>
      </c>
      <c r="C11717" s="14">
        <f ca="1">IFERROR(__xludf.DUMMYFUNCTION("""COMPUTED_VALUE"""),67)</f>
        <v>67</v>
      </c>
      <c r="D11717" s="12" t="str">
        <f ca="1">IFERROR(__xludf.DUMMYFUNCTION("""COMPUTED_VALUE"""),"柿崎 晃司")</f>
        <v>柿崎 晃司</v>
      </c>
    </row>
    <row r="11718" spans="2:4" ht="13">
      <c r="B11718" s="12">
        <f ca="1">IFERROR(__xludf.DUMMYFUNCTION("""COMPUTED_VALUE"""),3713231)</f>
        <v>3713231</v>
      </c>
      <c r="C11718" s="14">
        <f ca="1">IFERROR(__xludf.DUMMYFUNCTION("""COMPUTED_VALUE"""),52)</f>
        <v>52</v>
      </c>
      <c r="D11718" s="12" t="str">
        <f ca="1">IFERROR(__xludf.DUMMYFUNCTION("""COMPUTED_VALUE"""),"柿崎 晃司")</f>
        <v>柿崎 晃司</v>
      </c>
    </row>
    <row r="11719" spans="2:4" ht="13">
      <c r="B11719" s="12">
        <f ca="1">IFERROR(__xludf.DUMMYFUNCTION("""COMPUTED_VALUE"""),3713232)</f>
        <v>3713232</v>
      </c>
      <c r="C11719" s="14">
        <f ca="1">IFERROR(__xludf.DUMMYFUNCTION("""COMPUTED_VALUE"""),62)</f>
        <v>62</v>
      </c>
      <c r="D11719" s="12" t="str">
        <f ca="1">IFERROR(__xludf.DUMMYFUNCTION("""COMPUTED_VALUE"""),"柿崎 晃司")</f>
        <v>柿崎 晃司</v>
      </c>
    </row>
    <row r="11720" spans="2:4" ht="13">
      <c r="B11720" s="12">
        <f ca="1">IFERROR(__xludf.DUMMYFUNCTION("""COMPUTED_VALUE"""),3713233)</f>
        <v>3713233</v>
      </c>
      <c r="C11720" s="14">
        <f ca="1">IFERROR(__xludf.DUMMYFUNCTION("""COMPUTED_VALUE"""),77)</f>
        <v>77</v>
      </c>
      <c r="D11720" s="12" t="str">
        <f ca="1">IFERROR(__xludf.DUMMYFUNCTION("""COMPUTED_VALUE"""),"柿崎 晃司")</f>
        <v>柿崎 晃司</v>
      </c>
    </row>
    <row r="11721" spans="2:4" ht="13">
      <c r="B11721" s="12">
        <f ca="1">IFERROR(__xludf.DUMMYFUNCTION("""COMPUTED_VALUE"""),3713234)</f>
        <v>3713234</v>
      </c>
      <c r="C11721" s="14">
        <f ca="1">IFERROR(__xludf.DUMMYFUNCTION("""COMPUTED_VALUE"""),36)</f>
        <v>36</v>
      </c>
      <c r="D11721" s="12" t="str">
        <f ca="1">IFERROR(__xludf.DUMMYFUNCTION("""COMPUTED_VALUE"""),"柿崎 晃司")</f>
        <v>柿崎 晃司</v>
      </c>
    </row>
    <row r="11722" spans="2:4" ht="13">
      <c r="B11722" s="12">
        <f ca="1">IFERROR(__xludf.DUMMYFUNCTION("""COMPUTED_VALUE"""),3713235)</f>
        <v>3713235</v>
      </c>
      <c r="C11722" s="14">
        <f ca="1">IFERROR(__xludf.DUMMYFUNCTION("""COMPUTED_VALUE"""),89)</f>
        <v>89</v>
      </c>
      <c r="D11722" s="12" t="str">
        <f ca="1">IFERROR(__xludf.DUMMYFUNCTION("""COMPUTED_VALUE"""),"柿崎 晃司")</f>
        <v>柿崎 晃司</v>
      </c>
    </row>
    <row r="11723" spans="2:4" ht="13">
      <c r="B11723" s="12">
        <f ca="1">IFERROR(__xludf.DUMMYFUNCTION("""COMPUTED_VALUE"""),3713236)</f>
        <v>3713236</v>
      </c>
      <c r="C11723" s="14">
        <f ca="1">IFERROR(__xludf.DUMMYFUNCTION("""COMPUTED_VALUE"""),45)</f>
        <v>45</v>
      </c>
      <c r="D11723" s="12" t="str">
        <f ca="1">IFERROR(__xludf.DUMMYFUNCTION("""COMPUTED_VALUE"""),"柿崎 晃司")</f>
        <v>柿崎 晃司</v>
      </c>
    </row>
    <row r="11724" spans="2:4" ht="13">
      <c r="B11724" s="12">
        <f ca="1">IFERROR(__xludf.DUMMYFUNCTION("""COMPUTED_VALUE"""),3713237)</f>
        <v>3713237</v>
      </c>
      <c r="C11724" s="14">
        <f ca="1">IFERROR(__xludf.DUMMYFUNCTION("""COMPUTED_VALUE"""),48)</f>
        <v>48</v>
      </c>
      <c r="D11724" s="12" t="str">
        <f ca="1">IFERROR(__xludf.DUMMYFUNCTION("""COMPUTED_VALUE"""),"柿崎 晃司")</f>
        <v>柿崎 晃司</v>
      </c>
    </row>
    <row r="11725" spans="2:4" ht="13">
      <c r="B11725" s="12">
        <f ca="1">IFERROR(__xludf.DUMMYFUNCTION("""COMPUTED_VALUE"""),3713238)</f>
        <v>3713238</v>
      </c>
      <c r="C11725" s="14">
        <f ca="1">IFERROR(__xludf.DUMMYFUNCTION("""COMPUTED_VALUE"""),126)</f>
        <v>126</v>
      </c>
      <c r="D11725" s="12" t="str">
        <f ca="1">IFERROR(__xludf.DUMMYFUNCTION("""COMPUTED_VALUE"""),"柿崎 晃司")</f>
        <v>柿崎 晃司</v>
      </c>
    </row>
    <row r="11726" spans="2:4" ht="13">
      <c r="B11726" s="12">
        <f ca="1">IFERROR(__xludf.DUMMYFUNCTION("""COMPUTED_VALUE"""),3713239)</f>
        <v>3713239</v>
      </c>
      <c r="C11726" s="14">
        <f ca="1">IFERROR(__xludf.DUMMYFUNCTION("""COMPUTED_VALUE"""),32)</f>
        <v>32</v>
      </c>
      <c r="D11726" s="12" t="str">
        <f ca="1">IFERROR(__xludf.DUMMYFUNCTION("""COMPUTED_VALUE"""),"柿崎 晃司")</f>
        <v>柿崎 晃司</v>
      </c>
    </row>
    <row r="11727" spans="2:4" ht="13">
      <c r="B11727" s="12">
        <f ca="1">IFERROR(__xludf.DUMMYFUNCTION("""COMPUTED_VALUE"""),3713240)</f>
        <v>3713240</v>
      </c>
      <c r="C11727" s="14">
        <f ca="1">IFERROR(__xludf.DUMMYFUNCTION("""COMPUTED_VALUE"""),80)</f>
        <v>80</v>
      </c>
      <c r="D11727" s="12" t="str">
        <f ca="1">IFERROR(__xludf.DUMMYFUNCTION("""COMPUTED_VALUE"""),"柿崎 晃司")</f>
        <v>柿崎 晃司</v>
      </c>
    </row>
    <row r="11728" spans="2:4" ht="13">
      <c r="B11728" s="12">
        <f ca="1">IFERROR(__xludf.DUMMYFUNCTION("""COMPUTED_VALUE"""),3713241)</f>
        <v>3713241</v>
      </c>
      <c r="C11728" s="14">
        <f ca="1">IFERROR(__xludf.DUMMYFUNCTION("""COMPUTED_VALUE"""),57)</f>
        <v>57</v>
      </c>
      <c r="D11728" s="12" t="str">
        <f ca="1">IFERROR(__xludf.DUMMYFUNCTION("""COMPUTED_VALUE"""),"柿崎 晃司")</f>
        <v>柿崎 晃司</v>
      </c>
    </row>
    <row r="11729" spans="2:4" ht="13">
      <c r="B11729" s="12">
        <f ca="1">IFERROR(__xludf.DUMMYFUNCTION("""COMPUTED_VALUE"""),3713242)</f>
        <v>3713242</v>
      </c>
      <c r="C11729" s="14">
        <f ca="1">IFERROR(__xludf.DUMMYFUNCTION("""COMPUTED_VALUE"""),74)</f>
        <v>74</v>
      </c>
      <c r="D11729" s="12" t="str">
        <f ca="1">IFERROR(__xludf.DUMMYFUNCTION("""COMPUTED_VALUE"""),"柿崎 晃司")</f>
        <v>柿崎 晃司</v>
      </c>
    </row>
    <row r="11730" spans="2:4" ht="13">
      <c r="B11730" s="12">
        <f ca="1">IFERROR(__xludf.DUMMYFUNCTION("""COMPUTED_VALUE"""),3713243)</f>
        <v>3713243</v>
      </c>
      <c r="C11730" s="14">
        <f ca="1">IFERROR(__xludf.DUMMYFUNCTION("""COMPUTED_VALUE"""),38)</f>
        <v>38</v>
      </c>
      <c r="D11730" s="12" t="str">
        <f ca="1">IFERROR(__xludf.DUMMYFUNCTION("""COMPUTED_VALUE"""),"柿崎 晃司")</f>
        <v>柿崎 晃司</v>
      </c>
    </row>
    <row r="11731" spans="2:4" ht="13">
      <c r="B11731" s="12">
        <f ca="1">IFERROR(__xludf.DUMMYFUNCTION("""COMPUTED_VALUE"""),3713244)</f>
        <v>3713244</v>
      </c>
      <c r="C11731" s="14">
        <f ca="1">IFERROR(__xludf.DUMMYFUNCTION("""COMPUTED_VALUE"""),57)</f>
        <v>57</v>
      </c>
      <c r="D11731" s="12" t="str">
        <f ca="1">IFERROR(__xludf.DUMMYFUNCTION("""COMPUTED_VALUE"""),"柿崎 晃司")</f>
        <v>柿崎 晃司</v>
      </c>
    </row>
    <row r="11732" spans="2:4" ht="13">
      <c r="B11732" s="12">
        <f ca="1">IFERROR(__xludf.DUMMYFUNCTION("""COMPUTED_VALUE"""),3713245)</f>
        <v>3713245</v>
      </c>
      <c r="C11732" s="14">
        <f ca="1">IFERROR(__xludf.DUMMYFUNCTION("""COMPUTED_VALUE"""),73)</f>
        <v>73</v>
      </c>
      <c r="D11732" s="12" t="str">
        <f ca="1">IFERROR(__xludf.DUMMYFUNCTION("""COMPUTED_VALUE"""),"柿崎 晃司")</f>
        <v>柿崎 晃司</v>
      </c>
    </row>
    <row r="11733" spans="2:4" ht="13">
      <c r="B11733" s="12">
        <f ca="1">IFERROR(__xludf.DUMMYFUNCTION("""COMPUTED_VALUE"""),3713246)</f>
        <v>3713246</v>
      </c>
      <c r="C11733" s="14">
        <f ca="1">IFERROR(__xludf.DUMMYFUNCTION("""COMPUTED_VALUE"""),51)</f>
        <v>51</v>
      </c>
      <c r="D11733" s="12" t="str">
        <f ca="1">IFERROR(__xludf.DUMMYFUNCTION("""COMPUTED_VALUE"""),"柿崎 晃司")</f>
        <v>柿崎 晃司</v>
      </c>
    </row>
    <row r="11734" spans="2:4" ht="13">
      <c r="B11734" s="12">
        <f ca="1">IFERROR(__xludf.DUMMYFUNCTION("""COMPUTED_VALUE"""),3713247)</f>
        <v>3713247</v>
      </c>
      <c r="C11734" s="14">
        <f ca="1">IFERROR(__xludf.DUMMYFUNCTION("""COMPUTED_VALUE"""),25)</f>
        <v>25</v>
      </c>
      <c r="D11734" s="12" t="str">
        <f ca="1">IFERROR(__xludf.DUMMYFUNCTION("""COMPUTED_VALUE"""),"柿崎 晃司")</f>
        <v>柿崎 晃司</v>
      </c>
    </row>
    <row r="11735" spans="2:4" ht="13">
      <c r="B11735" s="12">
        <f ca="1">IFERROR(__xludf.DUMMYFUNCTION("""COMPUTED_VALUE"""),3713248)</f>
        <v>3713248</v>
      </c>
      <c r="C11735" s="14">
        <f ca="1">IFERROR(__xludf.DUMMYFUNCTION("""COMPUTED_VALUE"""),35)</f>
        <v>35</v>
      </c>
      <c r="D11735" s="12" t="str">
        <f ca="1">IFERROR(__xludf.DUMMYFUNCTION("""COMPUTED_VALUE"""),"柿崎 晃司")</f>
        <v>柿崎 晃司</v>
      </c>
    </row>
    <row r="11736" spans="2:4" ht="13">
      <c r="B11736" s="12">
        <f ca="1">IFERROR(__xludf.DUMMYFUNCTION("""COMPUTED_VALUE"""),3713249)</f>
        <v>3713249</v>
      </c>
      <c r="C11736" s="14">
        <f ca="1">IFERROR(__xludf.DUMMYFUNCTION("""COMPUTED_VALUE"""),70)</f>
        <v>70</v>
      </c>
      <c r="D11736" s="12" t="str">
        <f ca="1">IFERROR(__xludf.DUMMYFUNCTION("""COMPUTED_VALUE"""),"柿崎 晃司")</f>
        <v>柿崎 晃司</v>
      </c>
    </row>
    <row r="11737" spans="2:4" ht="13">
      <c r="B11737" s="12">
        <f ca="1">IFERROR(__xludf.DUMMYFUNCTION("""COMPUTED_VALUE"""),3713250)</f>
        <v>3713250</v>
      </c>
      <c r="C11737" s="14">
        <f ca="1">IFERROR(__xludf.DUMMYFUNCTION("""COMPUTED_VALUE"""),89)</f>
        <v>89</v>
      </c>
      <c r="D11737" s="12" t="str">
        <f ca="1">IFERROR(__xludf.DUMMYFUNCTION("""COMPUTED_VALUE"""),"柿崎 晃司")</f>
        <v>柿崎 晃司</v>
      </c>
    </row>
    <row r="11738" spans="2:4" ht="13">
      <c r="B11738" s="12">
        <f ca="1">IFERROR(__xludf.DUMMYFUNCTION("""COMPUTED_VALUE"""),3713251)</f>
        <v>3713251</v>
      </c>
      <c r="C11738" s="14">
        <f ca="1">IFERROR(__xludf.DUMMYFUNCTION("""COMPUTED_VALUE"""),73)</f>
        <v>73</v>
      </c>
      <c r="D11738" s="12" t="str">
        <f ca="1">IFERROR(__xludf.DUMMYFUNCTION("""COMPUTED_VALUE"""),"柿崎 晃司")</f>
        <v>柿崎 晃司</v>
      </c>
    </row>
    <row r="11739" spans="2:4" ht="13">
      <c r="B11739" s="12">
        <f ca="1">IFERROR(__xludf.DUMMYFUNCTION("""COMPUTED_VALUE"""),3713252)</f>
        <v>3713252</v>
      </c>
      <c r="C11739" s="14">
        <f ca="1">IFERROR(__xludf.DUMMYFUNCTION("""COMPUTED_VALUE"""),52)</f>
        <v>52</v>
      </c>
      <c r="D11739" s="12" t="str">
        <f ca="1">IFERROR(__xludf.DUMMYFUNCTION("""COMPUTED_VALUE"""),"柿崎 晃司")</f>
        <v>柿崎 晃司</v>
      </c>
    </row>
    <row r="11740" spans="2:4" ht="13">
      <c r="B11740" s="12">
        <f ca="1">IFERROR(__xludf.DUMMYFUNCTION("""COMPUTED_VALUE"""),3713253)</f>
        <v>3713253</v>
      </c>
      <c r="C11740" s="14">
        <f ca="1">IFERROR(__xludf.DUMMYFUNCTION("""COMPUTED_VALUE"""),49)</f>
        <v>49</v>
      </c>
      <c r="D11740" s="12" t="str">
        <f ca="1">IFERROR(__xludf.DUMMYFUNCTION("""COMPUTED_VALUE"""),"柿崎 晃司")</f>
        <v>柿崎 晃司</v>
      </c>
    </row>
    <row r="11741" spans="2:4" ht="13">
      <c r="B11741" s="12">
        <f ca="1">IFERROR(__xludf.DUMMYFUNCTION("""COMPUTED_VALUE"""),3713254)</f>
        <v>3713254</v>
      </c>
      <c r="C11741" s="14">
        <f ca="1">IFERROR(__xludf.DUMMYFUNCTION("""COMPUTED_VALUE"""),34)</f>
        <v>34</v>
      </c>
      <c r="D11741" s="12" t="str">
        <f ca="1">IFERROR(__xludf.DUMMYFUNCTION("""COMPUTED_VALUE"""),"柿崎 晃司")</f>
        <v>柿崎 晃司</v>
      </c>
    </row>
    <row r="11742" spans="2:4" ht="13">
      <c r="B11742" s="12">
        <f ca="1">IFERROR(__xludf.DUMMYFUNCTION("""COMPUTED_VALUE"""),3713255)</f>
        <v>3713255</v>
      </c>
      <c r="C11742" s="14">
        <f ca="1">IFERROR(__xludf.DUMMYFUNCTION("""COMPUTED_VALUE"""),50)</f>
        <v>50</v>
      </c>
      <c r="D11742" s="12" t="str">
        <f ca="1">IFERROR(__xludf.DUMMYFUNCTION("""COMPUTED_VALUE"""),"柿崎 晃司")</f>
        <v>柿崎 晃司</v>
      </c>
    </row>
    <row r="11743" spans="2:4" ht="13">
      <c r="B11743" s="12">
        <f ca="1">IFERROR(__xludf.DUMMYFUNCTION("""COMPUTED_VALUE"""),3713256)</f>
        <v>3713256</v>
      </c>
      <c r="C11743" s="14">
        <f ca="1">IFERROR(__xludf.DUMMYFUNCTION("""COMPUTED_VALUE"""),126)</f>
        <v>126</v>
      </c>
      <c r="D11743" s="12" t="str">
        <f ca="1">IFERROR(__xludf.DUMMYFUNCTION("""COMPUTED_VALUE"""),"柿崎 晃司")</f>
        <v>柿崎 晃司</v>
      </c>
    </row>
    <row r="11744" spans="2:4" ht="13">
      <c r="B11744" s="12">
        <f ca="1">IFERROR(__xludf.DUMMYFUNCTION("""COMPUTED_VALUE"""),3713257)</f>
        <v>3713257</v>
      </c>
      <c r="C11744" s="14">
        <f ca="1">IFERROR(__xludf.DUMMYFUNCTION("""COMPUTED_VALUE"""),41)</f>
        <v>41</v>
      </c>
      <c r="D11744" s="12" t="str">
        <f ca="1">IFERROR(__xludf.DUMMYFUNCTION("""COMPUTED_VALUE"""),"柿崎 晃司")</f>
        <v>柿崎 晃司</v>
      </c>
    </row>
    <row r="11745" spans="2:4" ht="13">
      <c r="B11745" s="12">
        <f ca="1">IFERROR(__xludf.DUMMYFUNCTION("""COMPUTED_VALUE"""),3713258)</f>
        <v>3713258</v>
      </c>
      <c r="C11745" s="14">
        <f ca="1">IFERROR(__xludf.DUMMYFUNCTION("""COMPUTED_VALUE"""),34)</f>
        <v>34</v>
      </c>
      <c r="D11745" s="12" t="str">
        <f ca="1">IFERROR(__xludf.DUMMYFUNCTION("""COMPUTED_VALUE"""),"柿崎 晃司")</f>
        <v>柿崎 晃司</v>
      </c>
    </row>
    <row r="11746" spans="2:4" ht="13">
      <c r="B11746" s="12">
        <f ca="1">IFERROR(__xludf.DUMMYFUNCTION("""COMPUTED_VALUE"""),3713259)</f>
        <v>3713259</v>
      </c>
      <c r="C11746" s="14">
        <f ca="1">IFERROR(__xludf.DUMMYFUNCTION("""COMPUTED_VALUE"""),56)</f>
        <v>56</v>
      </c>
      <c r="D11746" s="12" t="str">
        <f ca="1">IFERROR(__xludf.DUMMYFUNCTION("""COMPUTED_VALUE"""),"柿崎 晃司")</f>
        <v>柿崎 晃司</v>
      </c>
    </row>
    <row r="11747" spans="2:4" ht="13">
      <c r="B11747" s="12">
        <f ca="1">IFERROR(__xludf.DUMMYFUNCTION("""COMPUTED_VALUE"""),3713260)</f>
        <v>3713260</v>
      </c>
      <c r="C11747" s="14">
        <f ca="1">IFERROR(__xludf.DUMMYFUNCTION("""COMPUTED_VALUE"""),23)</f>
        <v>23</v>
      </c>
      <c r="D11747" s="12" t="str">
        <f ca="1">IFERROR(__xludf.DUMMYFUNCTION("""COMPUTED_VALUE"""),"柿崎 晃司")</f>
        <v>柿崎 晃司</v>
      </c>
    </row>
    <row r="11748" spans="2:4" ht="13">
      <c r="B11748" s="12">
        <f ca="1">IFERROR(__xludf.DUMMYFUNCTION("""COMPUTED_VALUE"""),3713261)</f>
        <v>3713261</v>
      </c>
      <c r="C11748" s="14">
        <f ca="1">IFERROR(__xludf.DUMMYFUNCTION("""COMPUTED_VALUE"""),52)</f>
        <v>52</v>
      </c>
      <c r="D11748" s="12" t="str">
        <f ca="1">IFERROR(__xludf.DUMMYFUNCTION("""COMPUTED_VALUE"""),"柿崎 晃司")</f>
        <v>柿崎 晃司</v>
      </c>
    </row>
    <row r="11749" spans="2:4" ht="13">
      <c r="B11749" s="12">
        <f ca="1">IFERROR(__xludf.DUMMYFUNCTION("""COMPUTED_VALUE"""),3713262)</f>
        <v>3713262</v>
      </c>
      <c r="C11749" s="14">
        <f ca="1">IFERROR(__xludf.DUMMYFUNCTION("""COMPUTED_VALUE"""),47)</f>
        <v>47</v>
      </c>
      <c r="D11749" s="12" t="str">
        <f ca="1">IFERROR(__xludf.DUMMYFUNCTION("""COMPUTED_VALUE"""),"柿崎 晃司")</f>
        <v>柿崎 晃司</v>
      </c>
    </row>
    <row r="11750" spans="2:4" ht="13">
      <c r="B11750" s="12">
        <f ca="1">IFERROR(__xludf.DUMMYFUNCTION("""COMPUTED_VALUE"""),3713263)</f>
        <v>3713263</v>
      </c>
      <c r="C11750" s="14">
        <f ca="1">IFERROR(__xludf.DUMMYFUNCTION("""COMPUTED_VALUE"""),37)</f>
        <v>37</v>
      </c>
      <c r="D11750" s="12" t="str">
        <f ca="1">IFERROR(__xludf.DUMMYFUNCTION("""COMPUTED_VALUE"""),"柿崎 晃司")</f>
        <v>柿崎 晃司</v>
      </c>
    </row>
    <row r="11751" spans="2:4" ht="13">
      <c r="B11751" s="12">
        <f ca="1">IFERROR(__xludf.DUMMYFUNCTION("""COMPUTED_VALUE"""),3713264)</f>
        <v>3713264</v>
      </c>
      <c r="C11751" s="14">
        <f ca="1">IFERROR(__xludf.DUMMYFUNCTION("""COMPUTED_VALUE"""),15)</f>
        <v>15</v>
      </c>
      <c r="D11751" s="12" t="str">
        <f ca="1">IFERROR(__xludf.DUMMYFUNCTION("""COMPUTED_VALUE"""),"柿崎 晃司")</f>
        <v>柿崎 晃司</v>
      </c>
    </row>
    <row r="11752" spans="2:4" ht="13">
      <c r="B11752" s="12">
        <f ca="1">IFERROR(__xludf.DUMMYFUNCTION("""COMPUTED_VALUE"""),3713265)</f>
        <v>3713265</v>
      </c>
      <c r="C11752" s="14">
        <f ca="1">IFERROR(__xludf.DUMMYFUNCTION("""COMPUTED_VALUE"""),40)</f>
        <v>40</v>
      </c>
      <c r="D11752" s="12" t="str">
        <f ca="1">IFERROR(__xludf.DUMMYFUNCTION("""COMPUTED_VALUE"""),"柿崎 晃司")</f>
        <v>柿崎 晃司</v>
      </c>
    </row>
    <row r="11753" spans="2:4" ht="13">
      <c r="B11753" s="12">
        <f ca="1">IFERROR(__xludf.DUMMYFUNCTION("""COMPUTED_VALUE"""),3713266)</f>
        <v>3713266</v>
      </c>
      <c r="C11753" s="14">
        <f ca="1">IFERROR(__xludf.DUMMYFUNCTION("""COMPUTED_VALUE"""),55)</f>
        <v>55</v>
      </c>
      <c r="D11753" s="12" t="str">
        <f ca="1">IFERROR(__xludf.DUMMYFUNCTION("""COMPUTED_VALUE"""),"柿崎 晃司")</f>
        <v>柿崎 晃司</v>
      </c>
    </row>
    <row r="11754" spans="2:4" ht="13">
      <c r="B11754" s="12">
        <f ca="1">IFERROR(__xludf.DUMMYFUNCTION("""COMPUTED_VALUE"""),3713267)</f>
        <v>3713267</v>
      </c>
      <c r="C11754" s="14">
        <f ca="1">IFERROR(__xludf.DUMMYFUNCTION("""COMPUTED_VALUE"""),41)</f>
        <v>41</v>
      </c>
      <c r="D11754" s="12" t="str">
        <f ca="1">IFERROR(__xludf.DUMMYFUNCTION("""COMPUTED_VALUE"""),"柿崎 晃司")</f>
        <v>柿崎 晃司</v>
      </c>
    </row>
    <row r="11755" spans="2:4" ht="13">
      <c r="B11755" s="12">
        <f ca="1">IFERROR(__xludf.DUMMYFUNCTION("""COMPUTED_VALUE"""),3713268)</f>
        <v>3713268</v>
      </c>
      <c r="C11755" s="14">
        <f ca="1">IFERROR(__xludf.DUMMYFUNCTION("""COMPUTED_VALUE"""),59)</f>
        <v>59</v>
      </c>
      <c r="D11755" s="12" t="str">
        <f ca="1">IFERROR(__xludf.DUMMYFUNCTION("""COMPUTED_VALUE"""),"柿崎 晃司")</f>
        <v>柿崎 晃司</v>
      </c>
    </row>
    <row r="11756" spans="2:4" ht="13">
      <c r="B11756" s="12">
        <f ca="1">IFERROR(__xludf.DUMMYFUNCTION("""COMPUTED_VALUE"""),3713269)</f>
        <v>3713269</v>
      </c>
      <c r="C11756" s="14">
        <f ca="1">IFERROR(__xludf.DUMMYFUNCTION("""COMPUTED_VALUE"""),37)</f>
        <v>37</v>
      </c>
      <c r="D11756" s="12" t="str">
        <f ca="1">IFERROR(__xludf.DUMMYFUNCTION("""COMPUTED_VALUE"""),"柿崎 晃司")</f>
        <v>柿崎 晃司</v>
      </c>
    </row>
    <row r="11757" spans="2:4" ht="13">
      <c r="B11757" s="12">
        <f ca="1">IFERROR(__xludf.DUMMYFUNCTION("""COMPUTED_VALUE"""),3713270)</f>
        <v>3713270</v>
      </c>
      <c r="C11757" s="14">
        <f ca="1">IFERROR(__xludf.DUMMYFUNCTION("""COMPUTED_VALUE"""),23)</f>
        <v>23</v>
      </c>
      <c r="D11757" s="12" t="str">
        <f ca="1">IFERROR(__xludf.DUMMYFUNCTION("""COMPUTED_VALUE"""),"柿崎 晃司")</f>
        <v>柿崎 晃司</v>
      </c>
    </row>
    <row r="11758" spans="2:4" ht="13">
      <c r="B11758" s="12">
        <f ca="1">IFERROR(__xludf.DUMMYFUNCTION("""COMPUTED_VALUE"""),3713271)</f>
        <v>3713271</v>
      </c>
      <c r="C11758" s="14">
        <f ca="1">IFERROR(__xludf.DUMMYFUNCTION("""COMPUTED_VALUE"""),47)</f>
        <v>47</v>
      </c>
      <c r="D11758" s="12" t="str">
        <f ca="1">IFERROR(__xludf.DUMMYFUNCTION("""COMPUTED_VALUE"""),"柿崎 晃司")</f>
        <v>柿崎 晃司</v>
      </c>
    </row>
    <row r="11759" spans="2:4" ht="13">
      <c r="B11759" s="12">
        <f ca="1">IFERROR(__xludf.DUMMYFUNCTION("""COMPUTED_VALUE"""),3713272)</f>
        <v>3713272</v>
      </c>
      <c r="C11759" s="14">
        <f ca="1">IFERROR(__xludf.DUMMYFUNCTION("""COMPUTED_VALUE"""),32)</f>
        <v>32</v>
      </c>
      <c r="D11759" s="12" t="str">
        <f ca="1">IFERROR(__xludf.DUMMYFUNCTION("""COMPUTED_VALUE"""),"柿崎 晃司")</f>
        <v>柿崎 晃司</v>
      </c>
    </row>
    <row r="11760" spans="2:4" ht="13">
      <c r="B11760" s="12">
        <f ca="1">IFERROR(__xludf.DUMMYFUNCTION("""COMPUTED_VALUE"""),3713273)</f>
        <v>3713273</v>
      </c>
      <c r="C11760" s="14">
        <f ca="1">IFERROR(__xludf.DUMMYFUNCTION("""COMPUTED_VALUE"""),25)</f>
        <v>25</v>
      </c>
      <c r="D11760" s="12" t="str">
        <f ca="1">IFERROR(__xludf.DUMMYFUNCTION("""COMPUTED_VALUE"""),"柿崎 晃司")</f>
        <v>柿崎 晃司</v>
      </c>
    </row>
    <row r="11761" spans="2:4" ht="13">
      <c r="B11761" s="12">
        <f ca="1">IFERROR(__xludf.DUMMYFUNCTION("""COMPUTED_VALUE"""),3713274)</f>
        <v>3713274</v>
      </c>
      <c r="C11761" s="14">
        <f ca="1">IFERROR(__xludf.DUMMYFUNCTION("""COMPUTED_VALUE"""),38)</f>
        <v>38</v>
      </c>
      <c r="D11761" s="12" t="str">
        <f ca="1">IFERROR(__xludf.DUMMYFUNCTION("""COMPUTED_VALUE"""),"柿崎 晃司")</f>
        <v>柿崎 晃司</v>
      </c>
    </row>
    <row r="11762" spans="2:4" ht="13">
      <c r="B11762" s="12">
        <f ca="1">IFERROR(__xludf.DUMMYFUNCTION("""COMPUTED_VALUE"""),3713275)</f>
        <v>3713275</v>
      </c>
      <c r="C11762" s="14">
        <f ca="1">IFERROR(__xludf.DUMMYFUNCTION("""COMPUTED_VALUE"""),43)</f>
        <v>43</v>
      </c>
      <c r="D11762" s="12" t="str">
        <f ca="1">IFERROR(__xludf.DUMMYFUNCTION("""COMPUTED_VALUE"""),"柿崎 晃司")</f>
        <v>柿崎 晃司</v>
      </c>
    </row>
    <row r="11763" spans="2:4" ht="13">
      <c r="B11763" s="12">
        <f ca="1">IFERROR(__xludf.DUMMYFUNCTION("""COMPUTED_VALUE"""),3713276)</f>
        <v>3713276</v>
      </c>
      <c r="C11763" s="14">
        <f ca="1">IFERROR(__xludf.DUMMYFUNCTION("""COMPUTED_VALUE"""),34)</f>
        <v>34</v>
      </c>
      <c r="D11763" s="12" t="str">
        <f ca="1">IFERROR(__xludf.DUMMYFUNCTION("""COMPUTED_VALUE"""),"柿崎 晃司")</f>
        <v>柿崎 晃司</v>
      </c>
    </row>
    <row r="11764" spans="2:4" ht="13">
      <c r="B11764" s="12">
        <f ca="1">IFERROR(__xludf.DUMMYFUNCTION("""COMPUTED_VALUE"""),3713277)</f>
        <v>3713277</v>
      </c>
      <c r="C11764" s="14">
        <f ca="1">IFERROR(__xludf.DUMMYFUNCTION("""COMPUTED_VALUE"""),18)</f>
        <v>18</v>
      </c>
      <c r="D11764" s="12" t="str">
        <f ca="1">IFERROR(__xludf.DUMMYFUNCTION("""COMPUTED_VALUE"""),"柿崎 晃司")</f>
        <v>柿崎 晃司</v>
      </c>
    </row>
    <row r="11765" spans="2:4" ht="13">
      <c r="B11765" s="12">
        <f ca="1">IFERROR(__xludf.DUMMYFUNCTION("""COMPUTED_VALUE"""),3713278)</f>
        <v>3713278</v>
      </c>
      <c r="C11765" s="14">
        <f ca="1">IFERROR(__xludf.DUMMYFUNCTION("""COMPUTED_VALUE"""),42)</f>
        <v>42</v>
      </c>
      <c r="D11765" s="12" t="str">
        <f ca="1">IFERROR(__xludf.DUMMYFUNCTION("""COMPUTED_VALUE"""),"柿崎 晃司")</f>
        <v>柿崎 晃司</v>
      </c>
    </row>
    <row r="11766" spans="2:4" ht="13">
      <c r="B11766" s="12">
        <f ca="1">IFERROR(__xludf.DUMMYFUNCTION("""COMPUTED_VALUE"""),3713279)</f>
        <v>3713279</v>
      </c>
      <c r="C11766" s="14">
        <f ca="1">IFERROR(__xludf.DUMMYFUNCTION("""COMPUTED_VALUE"""),30)</f>
        <v>30</v>
      </c>
      <c r="D11766" s="12" t="str">
        <f ca="1">IFERROR(__xludf.DUMMYFUNCTION("""COMPUTED_VALUE"""),"柿崎 晃司")</f>
        <v>柿崎 晃司</v>
      </c>
    </row>
    <row r="11767" spans="2:4" ht="13">
      <c r="B11767" s="12">
        <f ca="1">IFERROR(__xludf.DUMMYFUNCTION("""COMPUTED_VALUE"""),3713280)</f>
        <v>3713280</v>
      </c>
      <c r="C11767" s="14">
        <f ca="1">IFERROR(__xludf.DUMMYFUNCTION("""COMPUTED_VALUE"""),45)</f>
        <v>45</v>
      </c>
      <c r="D11767" s="12" t="str">
        <f ca="1">IFERROR(__xludf.DUMMYFUNCTION("""COMPUTED_VALUE"""),"柿崎 晃司")</f>
        <v>柿崎 晃司</v>
      </c>
    </row>
    <row r="11768" spans="2:4" ht="13">
      <c r="B11768" s="12">
        <f ca="1">IFERROR(__xludf.DUMMYFUNCTION("""COMPUTED_VALUE"""),3713281)</f>
        <v>3713281</v>
      </c>
      <c r="C11768" s="14">
        <f ca="1">IFERROR(__xludf.DUMMYFUNCTION("""COMPUTED_VALUE"""),45)</f>
        <v>45</v>
      </c>
      <c r="D11768" s="12" t="str">
        <f ca="1">IFERROR(__xludf.DUMMYFUNCTION("""COMPUTED_VALUE"""),"柿崎 晃司")</f>
        <v>柿崎 晃司</v>
      </c>
    </row>
    <row r="11769" spans="2:4" ht="13">
      <c r="B11769" s="12">
        <f ca="1">IFERROR(__xludf.DUMMYFUNCTION("""COMPUTED_VALUE"""),3713282)</f>
        <v>3713282</v>
      </c>
      <c r="C11769" s="14">
        <f ca="1">IFERROR(__xludf.DUMMYFUNCTION("""COMPUTED_VALUE"""),43)</f>
        <v>43</v>
      </c>
      <c r="D11769" s="12" t="str">
        <f ca="1">IFERROR(__xludf.DUMMYFUNCTION("""COMPUTED_VALUE"""),"柿崎 晃司")</f>
        <v>柿崎 晃司</v>
      </c>
    </row>
    <row r="11770" spans="2:4" ht="13">
      <c r="B11770" s="12">
        <f ca="1">IFERROR(__xludf.DUMMYFUNCTION("""COMPUTED_VALUE"""),3713283)</f>
        <v>3713283</v>
      </c>
      <c r="C11770" s="14">
        <f ca="1">IFERROR(__xludf.DUMMYFUNCTION("""COMPUTED_VALUE"""),21)</f>
        <v>21</v>
      </c>
      <c r="D11770" s="12" t="str">
        <f ca="1">IFERROR(__xludf.DUMMYFUNCTION("""COMPUTED_VALUE"""),"柿崎 晃司")</f>
        <v>柿崎 晃司</v>
      </c>
    </row>
    <row r="11771" spans="2:4" ht="13">
      <c r="B11771" s="12">
        <f ca="1">IFERROR(__xludf.DUMMYFUNCTION("""COMPUTED_VALUE"""),3713284)</f>
        <v>3713284</v>
      </c>
      <c r="C11771" s="14">
        <f ca="1">IFERROR(__xludf.DUMMYFUNCTION("""COMPUTED_VALUE"""),23)</f>
        <v>23</v>
      </c>
      <c r="D11771" s="12" t="str">
        <f ca="1">IFERROR(__xludf.DUMMYFUNCTION("""COMPUTED_VALUE"""),"柿崎 晃司")</f>
        <v>柿崎 晃司</v>
      </c>
    </row>
    <row r="11772" spans="2:4" ht="13">
      <c r="B11772" s="12">
        <f ca="1">IFERROR(__xludf.DUMMYFUNCTION("""COMPUTED_VALUE"""),3713285)</f>
        <v>3713285</v>
      </c>
      <c r="C11772" s="14">
        <f ca="1">IFERROR(__xludf.DUMMYFUNCTION("""COMPUTED_VALUE"""),43)</f>
        <v>43</v>
      </c>
      <c r="D11772" s="12" t="str">
        <f ca="1">IFERROR(__xludf.DUMMYFUNCTION("""COMPUTED_VALUE"""),"柿崎 晃司")</f>
        <v>柿崎 晃司</v>
      </c>
    </row>
    <row r="11773" spans="2:4" ht="13">
      <c r="B11773" s="12">
        <f ca="1">IFERROR(__xludf.DUMMYFUNCTION("""COMPUTED_VALUE"""),3713286)</f>
        <v>3713286</v>
      </c>
      <c r="C11773" s="14">
        <f ca="1">IFERROR(__xludf.DUMMYFUNCTION("""COMPUTED_VALUE"""),60)</f>
        <v>60</v>
      </c>
      <c r="D11773" s="12" t="str">
        <f ca="1">IFERROR(__xludf.DUMMYFUNCTION("""COMPUTED_VALUE"""),"柿崎 晃司")</f>
        <v>柿崎 晃司</v>
      </c>
    </row>
    <row r="11774" spans="2:4" ht="13">
      <c r="B11774" s="12">
        <f ca="1">IFERROR(__xludf.DUMMYFUNCTION("""COMPUTED_VALUE"""),3713287)</f>
        <v>3713287</v>
      </c>
      <c r="C11774" s="14">
        <f ca="1">IFERROR(__xludf.DUMMYFUNCTION("""COMPUTED_VALUE"""),85)</f>
        <v>85</v>
      </c>
      <c r="D11774" s="12" t="str">
        <f ca="1">IFERROR(__xludf.DUMMYFUNCTION("""COMPUTED_VALUE"""),"柿崎 晃司")</f>
        <v>柿崎 晃司</v>
      </c>
    </row>
    <row r="11775" spans="2:4" ht="13">
      <c r="B11775" s="12">
        <f ca="1">IFERROR(__xludf.DUMMYFUNCTION("""COMPUTED_VALUE"""),3713288)</f>
        <v>3713288</v>
      </c>
      <c r="C11775" s="14">
        <f ca="1">IFERROR(__xludf.DUMMYFUNCTION("""COMPUTED_VALUE"""),27)</f>
        <v>27</v>
      </c>
      <c r="D11775" s="12" t="str">
        <f ca="1">IFERROR(__xludf.DUMMYFUNCTION("""COMPUTED_VALUE"""),"柿崎 晃司")</f>
        <v>柿崎 晃司</v>
      </c>
    </row>
    <row r="11776" spans="2:4" ht="13">
      <c r="B11776" s="12">
        <f ca="1">IFERROR(__xludf.DUMMYFUNCTION("""COMPUTED_VALUE"""),3713289)</f>
        <v>3713289</v>
      </c>
      <c r="C11776" s="14">
        <f ca="1">IFERROR(__xludf.DUMMYFUNCTION("""COMPUTED_VALUE"""),51)</f>
        <v>51</v>
      </c>
      <c r="D11776" s="12" t="str">
        <f ca="1">IFERROR(__xludf.DUMMYFUNCTION("""COMPUTED_VALUE"""),"柿崎 晃司")</f>
        <v>柿崎 晃司</v>
      </c>
    </row>
    <row r="11777" spans="2:4" ht="13">
      <c r="B11777" s="12">
        <f ca="1">IFERROR(__xludf.DUMMYFUNCTION("""COMPUTED_VALUE"""),3713290)</f>
        <v>3713290</v>
      </c>
      <c r="C11777" s="14">
        <f ca="1">IFERROR(__xludf.DUMMYFUNCTION("""COMPUTED_VALUE"""),24)</f>
        <v>24</v>
      </c>
      <c r="D11777" s="12" t="str">
        <f ca="1">IFERROR(__xludf.DUMMYFUNCTION("""COMPUTED_VALUE"""),"柿崎 晃司")</f>
        <v>柿崎 晃司</v>
      </c>
    </row>
    <row r="11778" spans="2:4" ht="13">
      <c r="B11778" s="12">
        <f ca="1">IFERROR(__xludf.DUMMYFUNCTION("""COMPUTED_VALUE"""),3713291)</f>
        <v>3713291</v>
      </c>
      <c r="C11778" s="14">
        <f ca="1">IFERROR(__xludf.DUMMYFUNCTION("""COMPUTED_VALUE"""),45)</f>
        <v>45</v>
      </c>
      <c r="D11778" s="12" t="str">
        <f ca="1">IFERROR(__xludf.DUMMYFUNCTION("""COMPUTED_VALUE"""),"柿崎 晃司")</f>
        <v>柿崎 晃司</v>
      </c>
    </row>
    <row r="11779" spans="2:4" ht="13">
      <c r="B11779" s="12">
        <f ca="1">IFERROR(__xludf.DUMMYFUNCTION("""COMPUTED_VALUE"""),3713292)</f>
        <v>3713292</v>
      </c>
      <c r="C11779" s="14">
        <f ca="1">IFERROR(__xludf.DUMMYFUNCTION("""COMPUTED_VALUE"""),24)</f>
        <v>24</v>
      </c>
      <c r="D11779" s="12" t="str">
        <f ca="1">IFERROR(__xludf.DUMMYFUNCTION("""COMPUTED_VALUE"""),"柿崎 晃司")</f>
        <v>柿崎 晃司</v>
      </c>
    </row>
    <row r="11780" spans="2:4" ht="13">
      <c r="B11780" s="12">
        <f ca="1">IFERROR(__xludf.DUMMYFUNCTION("""COMPUTED_VALUE"""),3713293)</f>
        <v>3713293</v>
      </c>
      <c r="C11780" s="14">
        <f ca="1">IFERROR(__xludf.DUMMYFUNCTION("""COMPUTED_VALUE"""),149)</f>
        <v>149</v>
      </c>
      <c r="D11780" s="12" t="str">
        <f ca="1">IFERROR(__xludf.DUMMYFUNCTION("""COMPUTED_VALUE"""),"柿崎 晃司")</f>
        <v>柿崎 晃司</v>
      </c>
    </row>
    <row r="11781" spans="2:4" ht="13">
      <c r="B11781" s="12">
        <f ca="1">IFERROR(__xludf.DUMMYFUNCTION("""COMPUTED_VALUE"""),3713294)</f>
        <v>3713294</v>
      </c>
      <c r="C11781" s="14">
        <f ca="1">IFERROR(__xludf.DUMMYFUNCTION("""COMPUTED_VALUE"""),88)</f>
        <v>88</v>
      </c>
      <c r="D11781" s="12" t="str">
        <f ca="1">IFERROR(__xludf.DUMMYFUNCTION("""COMPUTED_VALUE"""),"柿崎 晃司")</f>
        <v>柿崎 晃司</v>
      </c>
    </row>
    <row r="11782" spans="2:4" ht="13">
      <c r="B11782" s="12">
        <f ca="1">IFERROR(__xludf.DUMMYFUNCTION("""COMPUTED_VALUE"""),3713295)</f>
        <v>3713295</v>
      </c>
      <c r="C11782" s="14">
        <f ca="1">IFERROR(__xludf.DUMMYFUNCTION("""COMPUTED_VALUE"""),22)</f>
        <v>22</v>
      </c>
      <c r="D11782" s="12" t="str">
        <f ca="1">IFERROR(__xludf.DUMMYFUNCTION("""COMPUTED_VALUE"""),"柿崎 晃司")</f>
        <v>柿崎 晃司</v>
      </c>
    </row>
    <row r="11783" spans="2:4" ht="13">
      <c r="B11783" s="12">
        <f ca="1">IFERROR(__xludf.DUMMYFUNCTION("""COMPUTED_VALUE"""),3713296)</f>
        <v>3713296</v>
      </c>
      <c r="C11783" s="14">
        <f ca="1">IFERROR(__xludf.DUMMYFUNCTION("""COMPUTED_VALUE"""),30)</f>
        <v>30</v>
      </c>
      <c r="D11783" s="12" t="str">
        <f ca="1">IFERROR(__xludf.DUMMYFUNCTION("""COMPUTED_VALUE"""),"柿崎 晃司")</f>
        <v>柿崎 晃司</v>
      </c>
    </row>
    <row r="11784" spans="2:4" ht="13">
      <c r="B11784" s="12">
        <f ca="1">IFERROR(__xludf.DUMMYFUNCTION("""COMPUTED_VALUE"""),3713297)</f>
        <v>3713297</v>
      </c>
      <c r="C11784" s="14">
        <f ca="1">IFERROR(__xludf.DUMMYFUNCTION("""COMPUTED_VALUE"""),14)</f>
        <v>14</v>
      </c>
      <c r="D11784" s="12" t="str">
        <f ca="1">IFERROR(__xludf.DUMMYFUNCTION("""COMPUTED_VALUE"""),"柿崎 晃司")</f>
        <v>柿崎 晃司</v>
      </c>
    </row>
    <row r="11785" spans="2:4" ht="13">
      <c r="B11785" s="12">
        <f ca="1">IFERROR(__xludf.DUMMYFUNCTION("""COMPUTED_VALUE"""),3713298)</f>
        <v>3713298</v>
      </c>
      <c r="C11785" s="14">
        <f ca="1">IFERROR(__xludf.DUMMYFUNCTION("""COMPUTED_VALUE"""),41)</f>
        <v>41</v>
      </c>
      <c r="D11785" s="12" t="str">
        <f ca="1">IFERROR(__xludf.DUMMYFUNCTION("""COMPUTED_VALUE"""),"柿崎 晃司")</f>
        <v>柿崎 晃司</v>
      </c>
    </row>
    <row r="11786" spans="2:4" ht="13">
      <c r="B11786" s="12">
        <f ca="1">IFERROR(__xludf.DUMMYFUNCTION("""COMPUTED_VALUE"""),3713299)</f>
        <v>3713299</v>
      </c>
      <c r="C11786" s="14">
        <f ca="1">IFERROR(__xludf.DUMMYFUNCTION("""COMPUTED_VALUE"""),0)</f>
        <v>0</v>
      </c>
      <c r="D11786" s="12" t="str">
        <f ca="1">IFERROR(__xludf.DUMMYFUNCTION("""COMPUTED_VALUE"""),"柿崎 晃司")</f>
        <v>柿崎 晃司</v>
      </c>
    </row>
    <row r="11787" spans="2:4" ht="13">
      <c r="B11787" s="12">
        <f ca="1">IFERROR(__xludf.DUMMYFUNCTION("""COMPUTED_VALUE"""),3713300)</f>
        <v>3713300</v>
      </c>
      <c r="C11787" s="14">
        <f ca="1">IFERROR(__xludf.DUMMYFUNCTION("""COMPUTED_VALUE"""),85)</f>
        <v>85</v>
      </c>
      <c r="D11787" s="12" t="str">
        <f ca="1">IFERROR(__xludf.DUMMYFUNCTION("""COMPUTED_VALUE"""),"柿崎 晃司")</f>
        <v>柿崎 晃司</v>
      </c>
    </row>
    <row r="11788" spans="2:4" ht="13">
      <c r="B11788" s="12">
        <f ca="1">IFERROR(__xludf.DUMMYFUNCTION("""COMPUTED_VALUE"""),3713301)</f>
        <v>3713301</v>
      </c>
      <c r="C11788" s="14">
        <f ca="1">IFERROR(__xludf.DUMMYFUNCTION("""COMPUTED_VALUE"""),17)</f>
        <v>17</v>
      </c>
      <c r="D11788" s="12" t="str">
        <f ca="1">IFERROR(__xludf.DUMMYFUNCTION("""COMPUTED_VALUE"""),"柿崎 晃司")</f>
        <v>柿崎 晃司</v>
      </c>
    </row>
    <row r="11789" spans="2:4" ht="13">
      <c r="B11789" s="12">
        <f ca="1">IFERROR(__xludf.DUMMYFUNCTION("""COMPUTED_VALUE"""),3713302)</f>
        <v>3713302</v>
      </c>
      <c r="C11789" s="14">
        <f ca="1">IFERROR(__xludf.DUMMYFUNCTION("""COMPUTED_VALUE"""),28)</f>
        <v>28</v>
      </c>
      <c r="D11789" s="12" t="str">
        <f ca="1">IFERROR(__xludf.DUMMYFUNCTION("""COMPUTED_VALUE"""),"柿崎 晃司")</f>
        <v>柿崎 晃司</v>
      </c>
    </row>
    <row r="11790" spans="2:4" ht="13">
      <c r="B11790" s="12">
        <f ca="1">IFERROR(__xludf.DUMMYFUNCTION("""COMPUTED_VALUE"""),3713303)</f>
        <v>3713303</v>
      </c>
      <c r="C11790" s="14">
        <f ca="1">IFERROR(__xludf.DUMMYFUNCTION("""COMPUTED_VALUE"""),22)</f>
        <v>22</v>
      </c>
      <c r="D11790" s="12" t="str">
        <f ca="1">IFERROR(__xludf.DUMMYFUNCTION("""COMPUTED_VALUE"""),"柿崎 晃司")</f>
        <v>柿崎 晃司</v>
      </c>
    </row>
    <row r="11791" spans="2:4" ht="13">
      <c r="B11791" s="12">
        <f ca="1">IFERROR(__xludf.DUMMYFUNCTION("""COMPUTED_VALUE"""),3713304)</f>
        <v>3713304</v>
      </c>
      <c r="C11791" s="14">
        <f ca="1">IFERROR(__xludf.DUMMYFUNCTION("""COMPUTED_VALUE"""),45)</f>
        <v>45</v>
      </c>
      <c r="D11791" s="12" t="str">
        <f ca="1">IFERROR(__xludf.DUMMYFUNCTION("""COMPUTED_VALUE"""),"柿崎 晃司")</f>
        <v>柿崎 晃司</v>
      </c>
    </row>
    <row r="11792" spans="2:4" ht="13">
      <c r="B11792" s="12">
        <f ca="1">IFERROR(__xludf.DUMMYFUNCTION("""COMPUTED_VALUE"""),3713305)</f>
        <v>3713305</v>
      </c>
      <c r="C11792" s="14">
        <f ca="1">IFERROR(__xludf.DUMMYFUNCTION("""COMPUTED_VALUE"""),30)</f>
        <v>30</v>
      </c>
      <c r="D11792" s="12" t="str">
        <f ca="1">IFERROR(__xludf.DUMMYFUNCTION("""COMPUTED_VALUE"""),"柿崎 晃司")</f>
        <v>柿崎 晃司</v>
      </c>
    </row>
    <row r="11793" spans="2:4" ht="13">
      <c r="B11793" s="12">
        <f ca="1">IFERROR(__xludf.DUMMYFUNCTION("""COMPUTED_VALUE"""),3713307)</f>
        <v>3713307</v>
      </c>
      <c r="C11793" s="14">
        <f ca="1">IFERROR(__xludf.DUMMYFUNCTION("""COMPUTED_VALUE"""),17)</f>
        <v>17</v>
      </c>
      <c r="D11793" s="12" t="str">
        <f ca="1">IFERROR(__xludf.DUMMYFUNCTION("""COMPUTED_VALUE"""),"柿崎 晃司")</f>
        <v>柿崎 晃司</v>
      </c>
    </row>
    <row r="11794" spans="2:4" ht="13">
      <c r="B11794" s="12">
        <f ca="1">IFERROR(__xludf.DUMMYFUNCTION("""COMPUTED_VALUE"""),3713308)</f>
        <v>3713308</v>
      </c>
      <c r="C11794" s="14">
        <f ca="1">IFERROR(__xludf.DUMMYFUNCTION("""COMPUTED_VALUE"""),11)</f>
        <v>11</v>
      </c>
      <c r="D11794" s="12" t="str">
        <f ca="1">IFERROR(__xludf.DUMMYFUNCTION("""COMPUTED_VALUE"""),"柿崎 晃司")</f>
        <v>柿崎 晃司</v>
      </c>
    </row>
    <row r="11795" spans="2:4" ht="13">
      <c r="B11795" s="12">
        <f ca="1">IFERROR(__xludf.DUMMYFUNCTION("""COMPUTED_VALUE"""),3713309)</f>
        <v>3713309</v>
      </c>
      <c r="C11795" s="14">
        <f ca="1">IFERROR(__xludf.DUMMYFUNCTION("""COMPUTED_VALUE"""),21)</f>
        <v>21</v>
      </c>
      <c r="D11795" s="12" t="str">
        <f ca="1">IFERROR(__xludf.DUMMYFUNCTION("""COMPUTED_VALUE"""),"柿崎 晃司")</f>
        <v>柿崎 晃司</v>
      </c>
    </row>
    <row r="11796" spans="2:4" ht="13">
      <c r="B11796" s="12">
        <f ca="1">IFERROR(__xludf.DUMMYFUNCTION("""COMPUTED_VALUE"""),3713310)</f>
        <v>3713310</v>
      </c>
      <c r="C11796" s="14">
        <f ca="1">IFERROR(__xludf.DUMMYFUNCTION("""COMPUTED_VALUE"""),20)</f>
        <v>20</v>
      </c>
      <c r="D11796" s="12" t="str">
        <f ca="1">IFERROR(__xludf.DUMMYFUNCTION("""COMPUTED_VALUE"""),"柿崎 晃司")</f>
        <v>柿崎 晃司</v>
      </c>
    </row>
    <row r="11797" spans="2:4" ht="13">
      <c r="B11797" s="12">
        <f ca="1">IFERROR(__xludf.DUMMYFUNCTION("""COMPUTED_VALUE"""),3713311)</f>
        <v>3713311</v>
      </c>
      <c r="C11797" s="14">
        <f ca="1">IFERROR(__xludf.DUMMYFUNCTION("""COMPUTED_VALUE"""),43)</f>
        <v>43</v>
      </c>
      <c r="D11797" s="12" t="str">
        <f ca="1">IFERROR(__xludf.DUMMYFUNCTION("""COMPUTED_VALUE"""),"柿崎 晃司")</f>
        <v>柿崎 晃司</v>
      </c>
    </row>
    <row r="11798" spans="2:4" ht="13">
      <c r="B11798" s="12">
        <f ca="1">IFERROR(__xludf.DUMMYFUNCTION("""COMPUTED_VALUE"""),3713312)</f>
        <v>3713312</v>
      </c>
      <c r="C11798" s="14">
        <f ca="1">IFERROR(__xludf.DUMMYFUNCTION("""COMPUTED_VALUE"""),40)</f>
        <v>40</v>
      </c>
      <c r="D11798" s="12" t="str">
        <f ca="1">IFERROR(__xludf.DUMMYFUNCTION("""COMPUTED_VALUE"""),"柿崎 晃司")</f>
        <v>柿崎 晃司</v>
      </c>
    </row>
    <row r="11799" spans="2:4" ht="13">
      <c r="B11799" s="12">
        <f ca="1">IFERROR(__xludf.DUMMYFUNCTION("""COMPUTED_VALUE"""),3713313)</f>
        <v>3713313</v>
      </c>
      <c r="C11799" s="14">
        <f ca="1">IFERROR(__xludf.DUMMYFUNCTION("""COMPUTED_VALUE"""),34)</f>
        <v>34</v>
      </c>
      <c r="D11799" s="12" t="str">
        <f ca="1">IFERROR(__xludf.DUMMYFUNCTION("""COMPUTED_VALUE"""),"柿崎 晃司")</f>
        <v>柿崎 晃司</v>
      </c>
    </row>
    <row r="11800" spans="2:4" ht="13">
      <c r="B11800" s="12">
        <f ca="1">IFERROR(__xludf.DUMMYFUNCTION("""COMPUTED_VALUE"""),3713314)</f>
        <v>3713314</v>
      </c>
      <c r="C11800" s="14">
        <f ca="1">IFERROR(__xludf.DUMMYFUNCTION("""COMPUTED_VALUE"""),24)</f>
        <v>24</v>
      </c>
      <c r="D11800" s="12" t="str">
        <f ca="1">IFERROR(__xludf.DUMMYFUNCTION("""COMPUTED_VALUE"""),"柿崎 晃司")</f>
        <v>柿崎 晃司</v>
      </c>
    </row>
    <row r="11801" spans="2:4" ht="13">
      <c r="B11801" s="12">
        <f ca="1">IFERROR(__xludf.DUMMYFUNCTION("""COMPUTED_VALUE"""),3713315)</f>
        <v>3713315</v>
      </c>
      <c r="C11801" s="14">
        <f ca="1">IFERROR(__xludf.DUMMYFUNCTION("""COMPUTED_VALUE"""),45)</f>
        <v>45</v>
      </c>
      <c r="D11801" s="12" t="str">
        <f ca="1">IFERROR(__xludf.DUMMYFUNCTION("""COMPUTED_VALUE"""),"柿崎 晃司")</f>
        <v>柿崎 晃司</v>
      </c>
    </row>
    <row r="11802" spans="2:4" ht="13">
      <c r="B11802" s="12">
        <f ca="1">IFERROR(__xludf.DUMMYFUNCTION("""COMPUTED_VALUE"""),3713316)</f>
        <v>3713316</v>
      </c>
      <c r="C11802" s="14">
        <f ca="1">IFERROR(__xludf.DUMMYFUNCTION("""COMPUTED_VALUE"""),56)</f>
        <v>56</v>
      </c>
      <c r="D11802" s="12" t="str">
        <f ca="1">IFERROR(__xludf.DUMMYFUNCTION("""COMPUTED_VALUE"""),"柿崎 晃司")</f>
        <v>柿崎 晃司</v>
      </c>
    </row>
    <row r="11803" spans="2:4" ht="13">
      <c r="B11803" s="12">
        <f ca="1">IFERROR(__xludf.DUMMYFUNCTION("""COMPUTED_VALUE"""),3713317)</f>
        <v>3713317</v>
      </c>
      <c r="C11803" s="14">
        <f ca="1">IFERROR(__xludf.DUMMYFUNCTION("""COMPUTED_VALUE"""),19)</f>
        <v>19</v>
      </c>
      <c r="D11803" s="12" t="str">
        <f ca="1">IFERROR(__xludf.DUMMYFUNCTION("""COMPUTED_VALUE"""),"柿崎 晃司")</f>
        <v>柿崎 晃司</v>
      </c>
    </row>
    <row r="11804" spans="2:4" ht="13">
      <c r="B11804" s="12">
        <f ca="1">IFERROR(__xludf.DUMMYFUNCTION("""COMPUTED_VALUE"""),3713318)</f>
        <v>3713318</v>
      </c>
      <c r="C11804" s="14">
        <f ca="1">IFERROR(__xludf.DUMMYFUNCTION("""COMPUTED_VALUE"""),34)</f>
        <v>34</v>
      </c>
      <c r="D11804" s="12" t="str">
        <f ca="1">IFERROR(__xludf.DUMMYFUNCTION("""COMPUTED_VALUE"""),"柿崎 晃司")</f>
        <v>柿崎 晃司</v>
      </c>
    </row>
    <row r="11805" spans="2:4" ht="13">
      <c r="B11805" s="12">
        <f ca="1">IFERROR(__xludf.DUMMYFUNCTION("""COMPUTED_VALUE"""),3713319)</f>
        <v>3713319</v>
      </c>
      <c r="C11805" s="14">
        <f ca="1">IFERROR(__xludf.DUMMYFUNCTION("""COMPUTED_VALUE"""),31)</f>
        <v>31</v>
      </c>
      <c r="D11805" s="12" t="str">
        <f ca="1">IFERROR(__xludf.DUMMYFUNCTION("""COMPUTED_VALUE"""),"柿崎 晃司")</f>
        <v>柿崎 晃司</v>
      </c>
    </row>
    <row r="11806" spans="2:4" ht="13">
      <c r="B11806" s="12">
        <f ca="1">IFERROR(__xludf.DUMMYFUNCTION("""COMPUTED_VALUE"""),3713320)</f>
        <v>3713320</v>
      </c>
      <c r="C11806" s="14">
        <f ca="1">IFERROR(__xludf.DUMMYFUNCTION("""COMPUTED_VALUE"""),84)</f>
        <v>84</v>
      </c>
      <c r="D11806" s="12" t="str">
        <f ca="1">IFERROR(__xludf.DUMMYFUNCTION("""COMPUTED_VALUE"""),"柿崎 晃司")</f>
        <v>柿崎 晃司</v>
      </c>
    </row>
    <row r="11807" spans="2:4" ht="13">
      <c r="B11807" s="12">
        <f ca="1">IFERROR(__xludf.DUMMYFUNCTION("""COMPUTED_VALUE"""),3713321)</f>
        <v>3713321</v>
      </c>
      <c r="C11807" s="14">
        <f ca="1">IFERROR(__xludf.DUMMYFUNCTION("""COMPUTED_VALUE"""),15)</f>
        <v>15</v>
      </c>
      <c r="D11807" s="12" t="str">
        <f ca="1">IFERROR(__xludf.DUMMYFUNCTION("""COMPUTED_VALUE"""),"柿崎 晃司")</f>
        <v>柿崎 晃司</v>
      </c>
    </row>
    <row r="11808" spans="2:4" ht="13">
      <c r="B11808" s="12">
        <f ca="1">IFERROR(__xludf.DUMMYFUNCTION("""COMPUTED_VALUE"""),3713322)</f>
        <v>3713322</v>
      </c>
      <c r="C11808" s="14">
        <f ca="1">IFERROR(__xludf.DUMMYFUNCTION("""COMPUTED_VALUE"""),15)</f>
        <v>15</v>
      </c>
      <c r="D11808" s="12" t="str">
        <f ca="1">IFERROR(__xludf.DUMMYFUNCTION("""COMPUTED_VALUE"""),"柿崎 晃司")</f>
        <v>柿崎 晃司</v>
      </c>
    </row>
    <row r="11809" spans="2:4" ht="13">
      <c r="B11809" s="12">
        <f ca="1">IFERROR(__xludf.DUMMYFUNCTION("""COMPUTED_VALUE"""),3713323)</f>
        <v>3713323</v>
      </c>
      <c r="C11809" s="14">
        <f ca="1">IFERROR(__xludf.DUMMYFUNCTION("""COMPUTED_VALUE"""),17)</f>
        <v>17</v>
      </c>
      <c r="D11809" s="12" t="str">
        <f ca="1">IFERROR(__xludf.DUMMYFUNCTION("""COMPUTED_VALUE"""),"柿崎 晃司")</f>
        <v>柿崎 晃司</v>
      </c>
    </row>
    <row r="11810" spans="2:4" ht="13">
      <c r="B11810" s="12">
        <f ca="1">IFERROR(__xludf.DUMMYFUNCTION("""COMPUTED_VALUE"""),3713324)</f>
        <v>3713324</v>
      </c>
      <c r="C11810" s="14">
        <f ca="1">IFERROR(__xludf.DUMMYFUNCTION("""COMPUTED_VALUE"""),34)</f>
        <v>34</v>
      </c>
      <c r="D11810" s="12" t="str">
        <f ca="1">IFERROR(__xludf.DUMMYFUNCTION("""COMPUTED_VALUE"""),"柿崎 晃司")</f>
        <v>柿崎 晃司</v>
      </c>
    </row>
    <row r="11811" spans="2:4" ht="13">
      <c r="B11811" s="12">
        <f ca="1">IFERROR(__xludf.DUMMYFUNCTION("""COMPUTED_VALUE"""),3713325)</f>
        <v>3713325</v>
      </c>
      <c r="C11811" s="14">
        <f ca="1">IFERROR(__xludf.DUMMYFUNCTION("""COMPUTED_VALUE"""),30)</f>
        <v>30</v>
      </c>
      <c r="D11811" s="12" t="str">
        <f ca="1">IFERROR(__xludf.DUMMYFUNCTION("""COMPUTED_VALUE"""),"柿崎 晃司")</f>
        <v>柿崎 晃司</v>
      </c>
    </row>
    <row r="11812" spans="2:4" ht="13">
      <c r="B11812" s="12">
        <f ca="1">IFERROR(__xludf.DUMMYFUNCTION("""COMPUTED_VALUE"""),3713326)</f>
        <v>3713326</v>
      </c>
      <c r="C11812" s="14">
        <f ca="1">IFERROR(__xludf.DUMMYFUNCTION("""COMPUTED_VALUE"""),40)</f>
        <v>40</v>
      </c>
      <c r="D11812" s="12" t="str">
        <f ca="1">IFERROR(__xludf.DUMMYFUNCTION("""COMPUTED_VALUE"""),"柿崎 晃司")</f>
        <v>柿崎 晃司</v>
      </c>
    </row>
    <row r="11813" spans="2:4" ht="13">
      <c r="B11813" s="12">
        <f ca="1">IFERROR(__xludf.DUMMYFUNCTION("""COMPUTED_VALUE"""),3713327)</f>
        <v>3713327</v>
      </c>
      <c r="C11813" s="14">
        <f ca="1">IFERROR(__xludf.DUMMYFUNCTION("""COMPUTED_VALUE"""),45)</f>
        <v>45</v>
      </c>
      <c r="D11813" s="12" t="str">
        <f ca="1">IFERROR(__xludf.DUMMYFUNCTION("""COMPUTED_VALUE"""),"柿崎 晃司")</f>
        <v>柿崎 晃司</v>
      </c>
    </row>
    <row r="11814" spans="2:4" ht="13">
      <c r="B11814" s="12">
        <f ca="1">IFERROR(__xludf.DUMMYFUNCTION("""COMPUTED_VALUE"""),3713328)</f>
        <v>3713328</v>
      </c>
      <c r="C11814" s="14">
        <f ca="1">IFERROR(__xludf.DUMMYFUNCTION("""COMPUTED_VALUE"""),1)</f>
        <v>1</v>
      </c>
      <c r="D11814" s="12" t="str">
        <f ca="1">IFERROR(__xludf.DUMMYFUNCTION("""COMPUTED_VALUE"""),"柿崎 晃司")</f>
        <v>柿崎 晃司</v>
      </c>
    </row>
    <row r="11815" spans="2:4" ht="13">
      <c r="B11815" s="12">
        <f ca="1">IFERROR(__xludf.DUMMYFUNCTION("""COMPUTED_VALUE"""),3713329)</f>
        <v>3713329</v>
      </c>
      <c r="C11815" s="14">
        <f ca="1">IFERROR(__xludf.DUMMYFUNCTION("""COMPUTED_VALUE"""),28)</f>
        <v>28</v>
      </c>
      <c r="D11815" s="12" t="str">
        <f ca="1">IFERROR(__xludf.DUMMYFUNCTION("""COMPUTED_VALUE"""),"柿崎 晃司")</f>
        <v>柿崎 晃司</v>
      </c>
    </row>
    <row r="11816" spans="2:4" ht="13">
      <c r="B11816" s="12">
        <f ca="1">IFERROR(__xludf.DUMMYFUNCTION("""COMPUTED_VALUE"""),3713330)</f>
        <v>3713330</v>
      </c>
      <c r="C11816" s="14">
        <f ca="1">IFERROR(__xludf.DUMMYFUNCTION("""COMPUTED_VALUE"""),25)</f>
        <v>25</v>
      </c>
      <c r="D11816" s="12" t="str">
        <f ca="1">IFERROR(__xludf.DUMMYFUNCTION("""COMPUTED_VALUE"""),"柿崎 晃司")</f>
        <v>柿崎 晃司</v>
      </c>
    </row>
    <row r="11817" spans="2:4" ht="13">
      <c r="B11817" s="12">
        <f ca="1">IFERROR(__xludf.DUMMYFUNCTION("""COMPUTED_VALUE"""),3713331)</f>
        <v>3713331</v>
      </c>
      <c r="C11817" s="14">
        <f ca="1">IFERROR(__xludf.DUMMYFUNCTION("""COMPUTED_VALUE"""),18)</f>
        <v>18</v>
      </c>
      <c r="D11817" s="12" t="str">
        <f ca="1">IFERROR(__xludf.DUMMYFUNCTION("""COMPUTED_VALUE"""),"柿崎 晃司")</f>
        <v>柿崎 晃司</v>
      </c>
    </row>
    <row r="11818" spans="2:4" ht="13">
      <c r="B11818" s="12">
        <f ca="1">IFERROR(__xludf.DUMMYFUNCTION("""COMPUTED_VALUE"""),3713332)</f>
        <v>3713332</v>
      </c>
      <c r="C11818" s="14">
        <f ca="1">IFERROR(__xludf.DUMMYFUNCTION("""COMPUTED_VALUE"""),26)</f>
        <v>26</v>
      </c>
      <c r="D11818" s="12" t="str">
        <f ca="1">IFERROR(__xludf.DUMMYFUNCTION("""COMPUTED_VALUE"""),"柿崎 晃司")</f>
        <v>柿崎 晃司</v>
      </c>
    </row>
    <row r="11819" spans="2:4" ht="13">
      <c r="B11819" s="12">
        <f ca="1">IFERROR(__xludf.DUMMYFUNCTION("""COMPUTED_VALUE"""),3713333)</f>
        <v>3713333</v>
      </c>
      <c r="C11819" s="14">
        <f ca="1">IFERROR(__xludf.DUMMYFUNCTION("""COMPUTED_VALUE"""),31)</f>
        <v>31</v>
      </c>
      <c r="D11819" s="12" t="str">
        <f ca="1">IFERROR(__xludf.DUMMYFUNCTION("""COMPUTED_VALUE"""),"柿崎 晃司")</f>
        <v>柿崎 晃司</v>
      </c>
    </row>
    <row r="11820" spans="2:4" ht="13">
      <c r="B11820" s="12">
        <f ca="1">IFERROR(__xludf.DUMMYFUNCTION("""COMPUTED_VALUE"""),3713335)</f>
        <v>3713335</v>
      </c>
      <c r="C11820" s="14">
        <f ca="1">IFERROR(__xludf.DUMMYFUNCTION("""COMPUTED_VALUE"""),37)</f>
        <v>37</v>
      </c>
      <c r="D11820" s="12" t="str">
        <f ca="1">IFERROR(__xludf.DUMMYFUNCTION("""COMPUTED_VALUE"""),"柿崎 晃司")</f>
        <v>柿崎 晃司</v>
      </c>
    </row>
    <row r="11821" spans="2:4" ht="13">
      <c r="B11821" s="12">
        <f ca="1">IFERROR(__xludf.DUMMYFUNCTION("""COMPUTED_VALUE"""),3713336)</f>
        <v>3713336</v>
      </c>
      <c r="C11821" s="14">
        <f ca="1">IFERROR(__xludf.DUMMYFUNCTION("""COMPUTED_VALUE"""),28)</f>
        <v>28</v>
      </c>
      <c r="D11821" s="12" t="str">
        <f ca="1">IFERROR(__xludf.DUMMYFUNCTION("""COMPUTED_VALUE"""),"柿崎 晃司")</f>
        <v>柿崎 晃司</v>
      </c>
    </row>
    <row r="11822" spans="2:4" ht="13">
      <c r="B11822" s="12">
        <f ca="1">IFERROR(__xludf.DUMMYFUNCTION("""COMPUTED_VALUE"""),3713337)</f>
        <v>3713337</v>
      </c>
      <c r="C11822" s="14">
        <f ca="1">IFERROR(__xludf.DUMMYFUNCTION("""COMPUTED_VALUE"""),34)</f>
        <v>34</v>
      </c>
      <c r="D11822" s="12" t="str">
        <f ca="1">IFERROR(__xludf.DUMMYFUNCTION("""COMPUTED_VALUE"""),"柿崎 晃司")</f>
        <v>柿崎 晃司</v>
      </c>
    </row>
    <row r="11823" spans="2:4" ht="13">
      <c r="B11823" s="12">
        <f ca="1">IFERROR(__xludf.DUMMYFUNCTION("""COMPUTED_VALUE"""),3713338)</f>
        <v>3713338</v>
      </c>
      <c r="C11823" s="14">
        <f ca="1">IFERROR(__xludf.DUMMYFUNCTION("""COMPUTED_VALUE"""),27)</f>
        <v>27</v>
      </c>
      <c r="D11823" s="12" t="str">
        <f ca="1">IFERROR(__xludf.DUMMYFUNCTION("""COMPUTED_VALUE"""),"柿崎 晃司")</f>
        <v>柿崎 晃司</v>
      </c>
    </row>
    <row r="11824" spans="2:4" ht="13">
      <c r="B11824" s="12">
        <f ca="1">IFERROR(__xludf.DUMMYFUNCTION("""COMPUTED_VALUE"""),3713339)</f>
        <v>3713339</v>
      </c>
      <c r="C11824" s="14">
        <f ca="1">IFERROR(__xludf.DUMMYFUNCTION("""COMPUTED_VALUE"""),36)</f>
        <v>36</v>
      </c>
      <c r="D11824" s="12" t="str">
        <f ca="1">IFERROR(__xludf.DUMMYFUNCTION("""COMPUTED_VALUE"""),"柿崎 晃司")</f>
        <v>柿崎 晃司</v>
      </c>
    </row>
    <row r="11825" spans="2:4" ht="13">
      <c r="B11825" s="12">
        <f ca="1">IFERROR(__xludf.DUMMYFUNCTION("""COMPUTED_VALUE"""),3713340)</f>
        <v>3713340</v>
      </c>
      <c r="C11825" s="14">
        <f ca="1">IFERROR(__xludf.DUMMYFUNCTION("""COMPUTED_VALUE"""),35)</f>
        <v>35</v>
      </c>
      <c r="D11825" s="12" t="str">
        <f ca="1">IFERROR(__xludf.DUMMYFUNCTION("""COMPUTED_VALUE"""),"柿崎 晃司")</f>
        <v>柿崎 晃司</v>
      </c>
    </row>
    <row r="11826" spans="2:4" ht="13">
      <c r="B11826" s="12">
        <f ca="1">IFERROR(__xludf.DUMMYFUNCTION("""COMPUTED_VALUE"""),3713341)</f>
        <v>3713341</v>
      </c>
      <c r="C11826" s="14">
        <f ca="1">IFERROR(__xludf.DUMMYFUNCTION("""COMPUTED_VALUE"""),40)</f>
        <v>40</v>
      </c>
      <c r="D11826" s="12" t="str">
        <f ca="1">IFERROR(__xludf.DUMMYFUNCTION("""COMPUTED_VALUE"""),"柿崎 晃司")</f>
        <v>柿崎 晃司</v>
      </c>
    </row>
    <row r="11827" spans="2:4" ht="13">
      <c r="B11827" s="12">
        <f ca="1">IFERROR(__xludf.DUMMYFUNCTION("""COMPUTED_VALUE"""),3713342)</f>
        <v>3713342</v>
      </c>
      <c r="C11827" s="14">
        <f ca="1">IFERROR(__xludf.DUMMYFUNCTION("""COMPUTED_VALUE"""),40)</f>
        <v>40</v>
      </c>
      <c r="D11827" s="12" t="str">
        <f ca="1">IFERROR(__xludf.DUMMYFUNCTION("""COMPUTED_VALUE"""),"柿崎 晃司")</f>
        <v>柿崎 晃司</v>
      </c>
    </row>
    <row r="11828" spans="2:4" ht="13">
      <c r="B11828" s="12">
        <f ca="1">IFERROR(__xludf.DUMMYFUNCTION("""COMPUTED_VALUE"""),3713343)</f>
        <v>3713343</v>
      </c>
      <c r="C11828" s="14">
        <f ca="1">IFERROR(__xludf.DUMMYFUNCTION("""COMPUTED_VALUE"""),48)</f>
        <v>48</v>
      </c>
      <c r="D11828" s="12" t="str">
        <f ca="1">IFERROR(__xludf.DUMMYFUNCTION("""COMPUTED_VALUE"""),"柿崎 晃司")</f>
        <v>柿崎 晃司</v>
      </c>
    </row>
    <row r="11829" spans="2:4" ht="13">
      <c r="B11829" s="12">
        <f ca="1">IFERROR(__xludf.DUMMYFUNCTION("""COMPUTED_VALUE"""),3713344)</f>
        <v>3713344</v>
      </c>
      <c r="C11829" s="14">
        <f ca="1">IFERROR(__xludf.DUMMYFUNCTION("""COMPUTED_VALUE"""),20)</f>
        <v>20</v>
      </c>
      <c r="D11829" s="12" t="str">
        <f ca="1">IFERROR(__xludf.DUMMYFUNCTION("""COMPUTED_VALUE"""),"柿崎 晃司")</f>
        <v>柿崎 晃司</v>
      </c>
    </row>
    <row r="11830" spans="2:4" ht="13">
      <c r="B11830" s="12">
        <f ca="1">IFERROR(__xludf.DUMMYFUNCTION("""COMPUTED_VALUE"""),3713345)</f>
        <v>3713345</v>
      </c>
      <c r="C11830" s="14">
        <f ca="1">IFERROR(__xludf.DUMMYFUNCTION("""COMPUTED_VALUE"""),32)</f>
        <v>32</v>
      </c>
      <c r="D11830" s="12" t="str">
        <f ca="1">IFERROR(__xludf.DUMMYFUNCTION("""COMPUTED_VALUE"""),"柿崎 晃司")</f>
        <v>柿崎 晃司</v>
      </c>
    </row>
    <row r="11831" spans="2:4" ht="13">
      <c r="B11831" s="12">
        <f ca="1">IFERROR(__xludf.DUMMYFUNCTION("""COMPUTED_VALUE"""),3713346)</f>
        <v>3713346</v>
      </c>
      <c r="C11831" s="14">
        <f ca="1">IFERROR(__xludf.DUMMYFUNCTION("""COMPUTED_VALUE"""),26)</f>
        <v>26</v>
      </c>
      <c r="D11831" s="12" t="str">
        <f ca="1">IFERROR(__xludf.DUMMYFUNCTION("""COMPUTED_VALUE"""),"柿崎 晃司")</f>
        <v>柿崎 晃司</v>
      </c>
    </row>
    <row r="11832" spans="2:4" ht="13">
      <c r="B11832" s="12">
        <f ca="1">IFERROR(__xludf.DUMMYFUNCTION("""COMPUTED_VALUE"""),3713348)</f>
        <v>3713348</v>
      </c>
      <c r="C11832" s="14">
        <f ca="1">IFERROR(__xludf.DUMMYFUNCTION("""COMPUTED_VALUE"""),14)</f>
        <v>14</v>
      </c>
      <c r="D11832" s="12" t="str">
        <f ca="1">IFERROR(__xludf.DUMMYFUNCTION("""COMPUTED_VALUE"""),"柿崎 晃司")</f>
        <v>柿崎 晃司</v>
      </c>
    </row>
    <row r="11833" spans="2:4" ht="13">
      <c r="B11833" s="12">
        <f ca="1">IFERROR(__xludf.DUMMYFUNCTION("""COMPUTED_VALUE"""),3713349)</f>
        <v>3713349</v>
      </c>
      <c r="C11833" s="14">
        <f ca="1">IFERROR(__xludf.DUMMYFUNCTION("""COMPUTED_VALUE"""),42)</f>
        <v>42</v>
      </c>
      <c r="D11833" s="12" t="str">
        <f ca="1">IFERROR(__xludf.DUMMYFUNCTION("""COMPUTED_VALUE"""),"柿崎 晃司")</f>
        <v>柿崎 晃司</v>
      </c>
    </row>
    <row r="11834" spans="2:4" ht="13">
      <c r="B11834" s="12">
        <f ca="1">IFERROR(__xludf.DUMMYFUNCTION("""COMPUTED_VALUE"""),3713350)</f>
        <v>3713350</v>
      </c>
      <c r="C11834" s="14">
        <f ca="1">IFERROR(__xludf.DUMMYFUNCTION("""COMPUTED_VALUE"""),47)</f>
        <v>47</v>
      </c>
      <c r="D11834" s="12" t="str">
        <f ca="1">IFERROR(__xludf.DUMMYFUNCTION("""COMPUTED_VALUE"""),"柿崎 晃司")</f>
        <v>柿崎 晃司</v>
      </c>
    </row>
    <row r="11835" spans="2:4" ht="13">
      <c r="B11835" s="12">
        <f ca="1">IFERROR(__xludf.DUMMYFUNCTION("""COMPUTED_VALUE"""),3713351)</f>
        <v>3713351</v>
      </c>
      <c r="C11835" s="14">
        <f ca="1">IFERROR(__xludf.DUMMYFUNCTION("""COMPUTED_VALUE"""),22)</f>
        <v>22</v>
      </c>
      <c r="D11835" s="12" t="str">
        <f ca="1">IFERROR(__xludf.DUMMYFUNCTION("""COMPUTED_VALUE"""),"柿崎 晃司")</f>
        <v>柿崎 晃司</v>
      </c>
    </row>
    <row r="11836" spans="2:4" ht="13">
      <c r="B11836" s="12">
        <f ca="1">IFERROR(__xludf.DUMMYFUNCTION("""COMPUTED_VALUE"""),3713352)</f>
        <v>3713352</v>
      </c>
      <c r="C11836" s="14">
        <f ca="1">IFERROR(__xludf.DUMMYFUNCTION("""COMPUTED_VALUE"""),21)</f>
        <v>21</v>
      </c>
      <c r="D11836" s="12" t="str">
        <f ca="1">IFERROR(__xludf.DUMMYFUNCTION("""COMPUTED_VALUE"""),"柿崎 晃司")</f>
        <v>柿崎 晃司</v>
      </c>
    </row>
    <row r="11837" spans="2:4" ht="13">
      <c r="B11837" s="12">
        <f ca="1">IFERROR(__xludf.DUMMYFUNCTION("""COMPUTED_VALUE"""),3713353)</f>
        <v>3713353</v>
      </c>
      <c r="C11837" s="14">
        <f ca="1">IFERROR(__xludf.DUMMYFUNCTION("""COMPUTED_VALUE"""),35)</f>
        <v>35</v>
      </c>
      <c r="D11837" s="12" t="str">
        <f ca="1">IFERROR(__xludf.DUMMYFUNCTION("""COMPUTED_VALUE"""),"柿崎 晃司")</f>
        <v>柿崎 晃司</v>
      </c>
    </row>
    <row r="11838" spans="2:4" ht="13">
      <c r="B11838" s="12">
        <f ca="1">IFERROR(__xludf.DUMMYFUNCTION("""COMPUTED_VALUE"""),3713354)</f>
        <v>3713354</v>
      </c>
      <c r="C11838" s="14">
        <f ca="1">IFERROR(__xludf.DUMMYFUNCTION("""COMPUTED_VALUE"""),22)</f>
        <v>22</v>
      </c>
      <c r="D11838" s="12" t="str">
        <f ca="1">IFERROR(__xludf.DUMMYFUNCTION("""COMPUTED_VALUE"""),"柿崎 晃司")</f>
        <v>柿崎 晃司</v>
      </c>
    </row>
    <row r="11839" spans="2:4" ht="13">
      <c r="B11839" s="12">
        <f ca="1">IFERROR(__xludf.DUMMYFUNCTION("""COMPUTED_VALUE"""),3713355)</f>
        <v>3713355</v>
      </c>
      <c r="C11839" s="14">
        <f ca="1">IFERROR(__xludf.DUMMYFUNCTION("""COMPUTED_VALUE"""),19)</f>
        <v>19</v>
      </c>
      <c r="D11839" s="12" t="str">
        <f ca="1">IFERROR(__xludf.DUMMYFUNCTION("""COMPUTED_VALUE"""),"柿崎 晃司")</f>
        <v>柿崎 晃司</v>
      </c>
    </row>
    <row r="11840" spans="2:4" ht="13">
      <c r="B11840" s="12">
        <f ca="1">IFERROR(__xludf.DUMMYFUNCTION("""COMPUTED_VALUE"""),3713356)</f>
        <v>3713356</v>
      </c>
      <c r="C11840" s="14">
        <f ca="1">IFERROR(__xludf.DUMMYFUNCTION("""COMPUTED_VALUE"""),32)</f>
        <v>32</v>
      </c>
      <c r="D11840" s="12" t="str">
        <f ca="1">IFERROR(__xludf.DUMMYFUNCTION("""COMPUTED_VALUE"""),"柿崎 晃司")</f>
        <v>柿崎 晃司</v>
      </c>
    </row>
    <row r="11841" spans="2:4" ht="13">
      <c r="B11841" s="12">
        <f ca="1">IFERROR(__xludf.DUMMYFUNCTION("""COMPUTED_VALUE"""),3713357)</f>
        <v>3713357</v>
      </c>
      <c r="C11841" s="14">
        <f ca="1">IFERROR(__xludf.DUMMYFUNCTION("""COMPUTED_VALUE"""),28)</f>
        <v>28</v>
      </c>
      <c r="D11841" s="12" t="str">
        <f ca="1">IFERROR(__xludf.DUMMYFUNCTION("""COMPUTED_VALUE"""),"柿崎 晃司")</f>
        <v>柿崎 晃司</v>
      </c>
    </row>
    <row r="11842" spans="2:4" ht="13">
      <c r="B11842" s="12">
        <f ca="1">IFERROR(__xludf.DUMMYFUNCTION("""COMPUTED_VALUE"""),3713358)</f>
        <v>3713358</v>
      </c>
      <c r="C11842" s="14">
        <f ca="1">IFERROR(__xludf.DUMMYFUNCTION("""COMPUTED_VALUE"""),29)</f>
        <v>29</v>
      </c>
      <c r="D11842" s="12" t="str">
        <f ca="1">IFERROR(__xludf.DUMMYFUNCTION("""COMPUTED_VALUE"""),"柿崎 晃司")</f>
        <v>柿崎 晃司</v>
      </c>
    </row>
    <row r="11843" spans="2:4" ht="13">
      <c r="B11843" s="12">
        <f ca="1">IFERROR(__xludf.DUMMYFUNCTION("""COMPUTED_VALUE"""),3713359)</f>
        <v>3713359</v>
      </c>
      <c r="C11843" s="14">
        <f ca="1">IFERROR(__xludf.DUMMYFUNCTION("""COMPUTED_VALUE"""),40)</f>
        <v>40</v>
      </c>
      <c r="D11843" s="12" t="str">
        <f ca="1">IFERROR(__xludf.DUMMYFUNCTION("""COMPUTED_VALUE"""),"柿崎 晃司")</f>
        <v>柿崎 晃司</v>
      </c>
    </row>
    <row r="11844" spans="2:4" ht="13">
      <c r="B11844" s="12">
        <f ca="1">IFERROR(__xludf.DUMMYFUNCTION("""COMPUTED_VALUE"""),3713360)</f>
        <v>3713360</v>
      </c>
      <c r="C11844" s="14">
        <f ca="1">IFERROR(__xludf.DUMMYFUNCTION("""COMPUTED_VALUE"""),14)</f>
        <v>14</v>
      </c>
      <c r="D11844" s="12" t="str">
        <f ca="1">IFERROR(__xludf.DUMMYFUNCTION("""COMPUTED_VALUE"""),"柿崎 晃司")</f>
        <v>柿崎 晃司</v>
      </c>
    </row>
    <row r="11845" spans="2:4" ht="13">
      <c r="B11845" s="12">
        <f ca="1">IFERROR(__xludf.DUMMYFUNCTION("""COMPUTED_VALUE"""),3713361)</f>
        <v>3713361</v>
      </c>
      <c r="C11845" s="14">
        <f ca="1">IFERROR(__xludf.DUMMYFUNCTION("""COMPUTED_VALUE"""),37)</f>
        <v>37</v>
      </c>
      <c r="D11845" s="12" t="str">
        <f ca="1">IFERROR(__xludf.DUMMYFUNCTION("""COMPUTED_VALUE"""),"柿崎 晃司")</f>
        <v>柿崎 晃司</v>
      </c>
    </row>
    <row r="11846" spans="2:4" ht="13">
      <c r="B11846" s="12">
        <f ca="1">IFERROR(__xludf.DUMMYFUNCTION("""COMPUTED_VALUE"""),3713362)</f>
        <v>3713362</v>
      </c>
      <c r="C11846" s="14">
        <f ca="1">IFERROR(__xludf.DUMMYFUNCTION("""COMPUTED_VALUE"""),23)</f>
        <v>23</v>
      </c>
      <c r="D11846" s="12" t="str">
        <f ca="1">IFERROR(__xludf.DUMMYFUNCTION("""COMPUTED_VALUE"""),"柿崎 晃司")</f>
        <v>柿崎 晃司</v>
      </c>
    </row>
    <row r="11847" spans="2:4" ht="13">
      <c r="B11847" s="12">
        <f ca="1">IFERROR(__xludf.DUMMYFUNCTION("""COMPUTED_VALUE"""),3713363)</f>
        <v>3713363</v>
      </c>
      <c r="C11847" s="14">
        <f ca="1">IFERROR(__xludf.DUMMYFUNCTION("""COMPUTED_VALUE"""),25)</f>
        <v>25</v>
      </c>
      <c r="D11847" s="12" t="str">
        <f ca="1">IFERROR(__xludf.DUMMYFUNCTION("""COMPUTED_VALUE"""),"柿崎 晃司")</f>
        <v>柿崎 晃司</v>
      </c>
    </row>
    <row r="11848" spans="2:4" ht="13">
      <c r="B11848" s="12">
        <f ca="1">IFERROR(__xludf.DUMMYFUNCTION("""COMPUTED_VALUE"""),3713364)</f>
        <v>3713364</v>
      </c>
      <c r="C11848" s="14">
        <f ca="1">IFERROR(__xludf.DUMMYFUNCTION("""COMPUTED_VALUE"""),12)</f>
        <v>12</v>
      </c>
      <c r="D11848" s="12" t="str">
        <f ca="1">IFERROR(__xludf.DUMMYFUNCTION("""COMPUTED_VALUE"""),"柿崎 晃司")</f>
        <v>柿崎 晃司</v>
      </c>
    </row>
    <row r="11849" spans="2:4" ht="13">
      <c r="B11849" s="12">
        <f ca="1">IFERROR(__xludf.DUMMYFUNCTION("""COMPUTED_VALUE"""),3713365)</f>
        <v>3713365</v>
      </c>
      <c r="C11849" s="14">
        <f ca="1">IFERROR(__xludf.DUMMYFUNCTION("""COMPUTED_VALUE"""),39)</f>
        <v>39</v>
      </c>
      <c r="D11849" s="12" t="str">
        <f ca="1">IFERROR(__xludf.DUMMYFUNCTION("""COMPUTED_VALUE"""),"柿崎 晃司")</f>
        <v>柿崎 晃司</v>
      </c>
    </row>
    <row r="11850" spans="2:4" ht="13">
      <c r="B11850" s="12">
        <f ca="1">IFERROR(__xludf.DUMMYFUNCTION("""COMPUTED_VALUE"""),3713366)</f>
        <v>3713366</v>
      </c>
      <c r="C11850" s="14">
        <f ca="1">IFERROR(__xludf.DUMMYFUNCTION("""COMPUTED_VALUE"""),30)</f>
        <v>30</v>
      </c>
      <c r="D11850" s="12" t="str">
        <f ca="1">IFERROR(__xludf.DUMMYFUNCTION("""COMPUTED_VALUE"""),"柿崎 晃司")</f>
        <v>柿崎 晃司</v>
      </c>
    </row>
    <row r="11851" spans="2:4" ht="13">
      <c r="B11851" s="12">
        <f ca="1">IFERROR(__xludf.DUMMYFUNCTION("""COMPUTED_VALUE"""),3713367)</f>
        <v>3713367</v>
      </c>
      <c r="C11851" s="14">
        <f ca="1">IFERROR(__xludf.DUMMYFUNCTION("""COMPUTED_VALUE"""),38)</f>
        <v>38</v>
      </c>
      <c r="D11851" s="12" t="str">
        <f ca="1">IFERROR(__xludf.DUMMYFUNCTION("""COMPUTED_VALUE"""),"柿崎 晃司")</f>
        <v>柿崎 晃司</v>
      </c>
    </row>
    <row r="11852" spans="2:4" ht="13">
      <c r="B11852" s="12">
        <f ca="1">IFERROR(__xludf.DUMMYFUNCTION("""COMPUTED_VALUE"""),3713368)</f>
        <v>3713368</v>
      </c>
      <c r="C11852" s="14">
        <f ca="1">IFERROR(__xludf.DUMMYFUNCTION("""COMPUTED_VALUE"""),47)</f>
        <v>47</v>
      </c>
      <c r="D11852" s="12" t="str">
        <f ca="1">IFERROR(__xludf.DUMMYFUNCTION("""COMPUTED_VALUE"""),"柿崎 晃司")</f>
        <v>柿崎 晃司</v>
      </c>
    </row>
    <row r="11853" spans="2:4" ht="13">
      <c r="B11853" s="12">
        <f ca="1">IFERROR(__xludf.DUMMYFUNCTION("""COMPUTED_VALUE"""),3713369)</f>
        <v>3713369</v>
      </c>
      <c r="C11853" s="14">
        <f ca="1">IFERROR(__xludf.DUMMYFUNCTION("""COMPUTED_VALUE"""),40)</f>
        <v>40</v>
      </c>
      <c r="D11853" s="12" t="str">
        <f ca="1">IFERROR(__xludf.DUMMYFUNCTION("""COMPUTED_VALUE"""),"柿崎 晃司")</f>
        <v>柿崎 晃司</v>
      </c>
    </row>
    <row r="11854" spans="2:4" ht="13">
      <c r="B11854" s="12">
        <f ca="1">IFERROR(__xludf.DUMMYFUNCTION("""COMPUTED_VALUE"""),3713370)</f>
        <v>3713370</v>
      </c>
      <c r="C11854" s="14">
        <f ca="1">IFERROR(__xludf.DUMMYFUNCTION("""COMPUTED_VALUE"""),43)</f>
        <v>43</v>
      </c>
      <c r="D11854" s="12" t="str">
        <f ca="1">IFERROR(__xludf.DUMMYFUNCTION("""COMPUTED_VALUE"""),"柿崎 晃司")</f>
        <v>柿崎 晃司</v>
      </c>
    </row>
    <row r="11855" spans="2:4" ht="13">
      <c r="B11855" s="12">
        <f ca="1">IFERROR(__xludf.DUMMYFUNCTION("""COMPUTED_VALUE"""),3713371)</f>
        <v>3713371</v>
      </c>
      <c r="C11855" s="14">
        <f ca="1">IFERROR(__xludf.DUMMYFUNCTION("""COMPUTED_VALUE"""),65)</f>
        <v>65</v>
      </c>
      <c r="D11855" s="12" t="str">
        <f ca="1">IFERROR(__xludf.DUMMYFUNCTION("""COMPUTED_VALUE"""),"柿崎 晃司")</f>
        <v>柿崎 晃司</v>
      </c>
    </row>
    <row r="11856" spans="2:4" ht="13">
      <c r="B11856" s="12">
        <f ca="1">IFERROR(__xludf.DUMMYFUNCTION("""COMPUTED_VALUE"""),3713372)</f>
        <v>3713372</v>
      </c>
      <c r="C11856" s="14">
        <f ca="1">IFERROR(__xludf.DUMMYFUNCTION("""COMPUTED_VALUE"""),74)</f>
        <v>74</v>
      </c>
      <c r="D11856" s="12" t="str">
        <f ca="1">IFERROR(__xludf.DUMMYFUNCTION("""COMPUTED_VALUE"""),"柿崎 晃司")</f>
        <v>柿崎 晃司</v>
      </c>
    </row>
    <row r="11857" spans="2:4" ht="13">
      <c r="B11857" s="12">
        <f ca="1">IFERROR(__xludf.DUMMYFUNCTION("""COMPUTED_VALUE"""),3713373)</f>
        <v>3713373</v>
      </c>
      <c r="C11857" s="14">
        <f ca="1">IFERROR(__xludf.DUMMYFUNCTION("""COMPUTED_VALUE"""),27)</f>
        <v>27</v>
      </c>
      <c r="D11857" s="12" t="str">
        <f ca="1">IFERROR(__xludf.DUMMYFUNCTION("""COMPUTED_VALUE"""),"柿崎 晃司")</f>
        <v>柿崎 晃司</v>
      </c>
    </row>
    <row r="11858" spans="2:4" ht="13">
      <c r="B11858" s="12">
        <f ca="1">IFERROR(__xludf.DUMMYFUNCTION("""COMPUTED_VALUE"""),3713374)</f>
        <v>3713374</v>
      </c>
      <c r="C11858" s="14">
        <f ca="1">IFERROR(__xludf.DUMMYFUNCTION("""COMPUTED_VALUE"""),21)</f>
        <v>21</v>
      </c>
      <c r="D11858" s="12" t="str">
        <f ca="1">IFERROR(__xludf.DUMMYFUNCTION("""COMPUTED_VALUE"""),"柿崎 晃司")</f>
        <v>柿崎 晃司</v>
      </c>
    </row>
    <row r="11859" spans="2:4" ht="13">
      <c r="B11859" s="12">
        <f ca="1">IFERROR(__xludf.DUMMYFUNCTION("""COMPUTED_VALUE"""),3713375)</f>
        <v>3713375</v>
      </c>
      <c r="C11859" s="14">
        <f ca="1">IFERROR(__xludf.DUMMYFUNCTION("""COMPUTED_VALUE"""),38)</f>
        <v>38</v>
      </c>
      <c r="D11859" s="12" t="str">
        <f ca="1">IFERROR(__xludf.DUMMYFUNCTION("""COMPUTED_VALUE"""),"柿崎 晃司")</f>
        <v>柿崎 晃司</v>
      </c>
    </row>
    <row r="11860" spans="2:4" ht="13">
      <c r="B11860" s="12">
        <f ca="1">IFERROR(__xludf.DUMMYFUNCTION("""COMPUTED_VALUE"""),3713376)</f>
        <v>3713376</v>
      </c>
      <c r="C11860" s="14">
        <f ca="1">IFERROR(__xludf.DUMMYFUNCTION("""COMPUTED_VALUE"""),29)</f>
        <v>29</v>
      </c>
      <c r="D11860" s="12" t="str">
        <f ca="1">IFERROR(__xludf.DUMMYFUNCTION("""COMPUTED_VALUE"""),"柿崎 晃司")</f>
        <v>柿崎 晃司</v>
      </c>
    </row>
    <row r="11861" spans="2:4" ht="13">
      <c r="B11861" s="12">
        <f ca="1">IFERROR(__xludf.DUMMYFUNCTION("""COMPUTED_VALUE"""),3713377)</f>
        <v>3713377</v>
      </c>
      <c r="C11861" s="14">
        <f ca="1">IFERROR(__xludf.DUMMYFUNCTION("""COMPUTED_VALUE"""),46)</f>
        <v>46</v>
      </c>
      <c r="D11861" s="12" t="str">
        <f ca="1">IFERROR(__xludf.DUMMYFUNCTION("""COMPUTED_VALUE"""),"柿崎 晃司")</f>
        <v>柿崎 晃司</v>
      </c>
    </row>
    <row r="11862" spans="2:4" ht="13">
      <c r="B11862" s="12">
        <f ca="1">IFERROR(__xludf.DUMMYFUNCTION("""COMPUTED_VALUE"""),3713378)</f>
        <v>3713378</v>
      </c>
      <c r="C11862" s="14">
        <f ca="1">IFERROR(__xludf.DUMMYFUNCTION("""COMPUTED_VALUE"""),27)</f>
        <v>27</v>
      </c>
      <c r="D11862" s="12" t="str">
        <f ca="1">IFERROR(__xludf.DUMMYFUNCTION("""COMPUTED_VALUE"""),"柿崎 晃司")</f>
        <v>柿崎 晃司</v>
      </c>
    </row>
    <row r="11863" spans="2:4" ht="13">
      <c r="B11863" s="12">
        <f ca="1">IFERROR(__xludf.DUMMYFUNCTION("""COMPUTED_VALUE"""),3713379)</f>
        <v>3713379</v>
      </c>
      <c r="C11863" s="14">
        <f ca="1">IFERROR(__xludf.DUMMYFUNCTION("""COMPUTED_VALUE"""),22)</f>
        <v>22</v>
      </c>
      <c r="D11863" s="12" t="str">
        <f ca="1">IFERROR(__xludf.DUMMYFUNCTION("""COMPUTED_VALUE"""),"柿崎 晃司")</f>
        <v>柿崎 晃司</v>
      </c>
    </row>
    <row r="11864" spans="2:4" ht="13">
      <c r="B11864" s="12">
        <f ca="1">IFERROR(__xludf.DUMMYFUNCTION("""COMPUTED_VALUE"""),3713380)</f>
        <v>3713380</v>
      </c>
      <c r="C11864" s="14">
        <f ca="1">IFERROR(__xludf.DUMMYFUNCTION("""COMPUTED_VALUE"""),21)</f>
        <v>21</v>
      </c>
      <c r="D11864" s="12" t="str">
        <f ca="1">IFERROR(__xludf.DUMMYFUNCTION("""COMPUTED_VALUE"""),"柿崎 晃司")</f>
        <v>柿崎 晃司</v>
      </c>
    </row>
    <row r="11865" spans="2:4" ht="13">
      <c r="B11865" s="12">
        <f ca="1">IFERROR(__xludf.DUMMYFUNCTION("""COMPUTED_VALUE"""),3713381)</f>
        <v>3713381</v>
      </c>
      <c r="C11865" s="14">
        <f ca="1">IFERROR(__xludf.DUMMYFUNCTION("""COMPUTED_VALUE"""),51)</f>
        <v>51</v>
      </c>
      <c r="D11865" s="12" t="str">
        <f ca="1">IFERROR(__xludf.DUMMYFUNCTION("""COMPUTED_VALUE"""),"柿崎 晃司")</f>
        <v>柿崎 晃司</v>
      </c>
    </row>
    <row r="11866" spans="2:4" ht="13">
      <c r="B11866" s="12">
        <f ca="1">IFERROR(__xludf.DUMMYFUNCTION("""COMPUTED_VALUE"""),3713382)</f>
        <v>3713382</v>
      </c>
      <c r="C11866" s="14">
        <f ca="1">IFERROR(__xludf.DUMMYFUNCTION("""COMPUTED_VALUE"""),17)</f>
        <v>17</v>
      </c>
      <c r="D11866" s="12" t="str">
        <f ca="1">IFERROR(__xludf.DUMMYFUNCTION("""COMPUTED_VALUE"""),"柿崎 晃司")</f>
        <v>柿崎 晃司</v>
      </c>
    </row>
    <row r="11867" spans="2:4" ht="13">
      <c r="B11867" s="12">
        <f ca="1">IFERROR(__xludf.DUMMYFUNCTION("""COMPUTED_VALUE"""),3713383)</f>
        <v>3713383</v>
      </c>
      <c r="C11867" s="14">
        <f ca="1">IFERROR(__xludf.DUMMYFUNCTION("""COMPUTED_VALUE"""),35)</f>
        <v>35</v>
      </c>
      <c r="D11867" s="12" t="str">
        <f ca="1">IFERROR(__xludf.DUMMYFUNCTION("""COMPUTED_VALUE"""),"柿崎 晃司")</f>
        <v>柿崎 晃司</v>
      </c>
    </row>
    <row r="11868" spans="2:4" ht="13">
      <c r="B11868" s="12">
        <f ca="1">IFERROR(__xludf.DUMMYFUNCTION("""COMPUTED_VALUE"""),3713384)</f>
        <v>3713384</v>
      </c>
      <c r="C11868" s="14">
        <f ca="1">IFERROR(__xludf.DUMMYFUNCTION("""COMPUTED_VALUE"""),25)</f>
        <v>25</v>
      </c>
      <c r="D11868" s="12" t="str">
        <f ca="1">IFERROR(__xludf.DUMMYFUNCTION("""COMPUTED_VALUE"""),"柿崎 晃司")</f>
        <v>柿崎 晃司</v>
      </c>
    </row>
    <row r="11869" spans="2:4" ht="13">
      <c r="B11869" s="12">
        <f ca="1">IFERROR(__xludf.DUMMYFUNCTION("""COMPUTED_VALUE"""),3713385)</f>
        <v>3713385</v>
      </c>
      <c r="C11869" s="14">
        <f ca="1">IFERROR(__xludf.DUMMYFUNCTION("""COMPUTED_VALUE"""),21)</f>
        <v>21</v>
      </c>
      <c r="D11869" s="12" t="str">
        <f ca="1">IFERROR(__xludf.DUMMYFUNCTION("""COMPUTED_VALUE"""),"柿崎 晃司")</f>
        <v>柿崎 晃司</v>
      </c>
    </row>
    <row r="11870" spans="2:4" ht="13">
      <c r="B11870" s="12">
        <f ca="1">IFERROR(__xludf.DUMMYFUNCTION("""COMPUTED_VALUE"""),3713386)</f>
        <v>3713386</v>
      </c>
      <c r="C11870" s="14">
        <f ca="1">IFERROR(__xludf.DUMMYFUNCTION("""COMPUTED_VALUE"""),50)</f>
        <v>50</v>
      </c>
      <c r="D11870" s="12" t="str">
        <f ca="1">IFERROR(__xludf.DUMMYFUNCTION("""COMPUTED_VALUE"""),"柿崎 晃司")</f>
        <v>柿崎 晃司</v>
      </c>
    </row>
    <row r="11871" spans="2:4" ht="13">
      <c r="B11871" s="12">
        <f ca="1">IFERROR(__xludf.DUMMYFUNCTION("""COMPUTED_VALUE"""),3713387)</f>
        <v>3713387</v>
      </c>
      <c r="C11871" s="14">
        <f ca="1">IFERROR(__xludf.DUMMYFUNCTION("""COMPUTED_VALUE"""),0)</f>
        <v>0</v>
      </c>
      <c r="D11871" s="12" t="str">
        <f ca="1">IFERROR(__xludf.DUMMYFUNCTION("""COMPUTED_VALUE"""),"柿崎 晃司")</f>
        <v>柿崎 晃司</v>
      </c>
    </row>
    <row r="11872" spans="2:4" ht="13">
      <c r="B11872" s="12">
        <f ca="1">IFERROR(__xludf.DUMMYFUNCTION("""COMPUTED_VALUE"""),3713388)</f>
        <v>3713388</v>
      </c>
      <c r="C11872" s="14">
        <f ca="1">IFERROR(__xludf.DUMMYFUNCTION("""COMPUTED_VALUE"""),22)</f>
        <v>22</v>
      </c>
      <c r="D11872" s="12" t="str">
        <f ca="1">IFERROR(__xludf.DUMMYFUNCTION("""COMPUTED_VALUE"""),"柿崎 晃司")</f>
        <v>柿崎 晃司</v>
      </c>
    </row>
    <row r="11873" spans="2:4" ht="13">
      <c r="B11873" s="12">
        <f ca="1">IFERROR(__xludf.DUMMYFUNCTION("""COMPUTED_VALUE"""),3713389)</f>
        <v>3713389</v>
      </c>
      <c r="C11873" s="14">
        <f ca="1">IFERROR(__xludf.DUMMYFUNCTION("""COMPUTED_VALUE"""),11)</f>
        <v>11</v>
      </c>
      <c r="D11873" s="12" t="str">
        <f ca="1">IFERROR(__xludf.DUMMYFUNCTION("""COMPUTED_VALUE"""),"柿崎 晃司")</f>
        <v>柿崎 晃司</v>
      </c>
    </row>
    <row r="11874" spans="2:4" ht="13">
      <c r="B11874" s="12">
        <f ca="1">IFERROR(__xludf.DUMMYFUNCTION("""COMPUTED_VALUE"""),3713390)</f>
        <v>3713390</v>
      </c>
      <c r="C11874" s="14">
        <f ca="1">IFERROR(__xludf.DUMMYFUNCTION("""COMPUTED_VALUE"""),9)</f>
        <v>9</v>
      </c>
      <c r="D11874" s="12" t="str">
        <f ca="1">IFERROR(__xludf.DUMMYFUNCTION("""COMPUTED_VALUE"""),"柿崎 晃司")</f>
        <v>柿崎 晃司</v>
      </c>
    </row>
    <row r="11875" spans="2:4" ht="13">
      <c r="B11875" s="12">
        <f ca="1">IFERROR(__xludf.DUMMYFUNCTION("""COMPUTED_VALUE"""),3713391)</f>
        <v>3713391</v>
      </c>
      <c r="C11875" s="14">
        <f ca="1">IFERROR(__xludf.DUMMYFUNCTION("""COMPUTED_VALUE"""),11)</f>
        <v>11</v>
      </c>
      <c r="D11875" s="12" t="str">
        <f ca="1">IFERROR(__xludf.DUMMYFUNCTION("""COMPUTED_VALUE"""),"柿崎 晃司")</f>
        <v>柿崎 晃司</v>
      </c>
    </row>
    <row r="11876" spans="2:4" ht="13">
      <c r="B11876" s="12">
        <f ca="1">IFERROR(__xludf.DUMMYFUNCTION("""COMPUTED_VALUE"""),3713392)</f>
        <v>3713392</v>
      </c>
      <c r="C11876" s="14">
        <f ca="1">IFERROR(__xludf.DUMMYFUNCTION("""COMPUTED_VALUE"""),17)</f>
        <v>17</v>
      </c>
      <c r="D11876" s="12" t="str">
        <f ca="1">IFERROR(__xludf.DUMMYFUNCTION("""COMPUTED_VALUE"""),"柿崎 晃司")</f>
        <v>柿崎 晃司</v>
      </c>
    </row>
    <row r="11877" spans="2:4" ht="13">
      <c r="B11877" s="12">
        <f ca="1">IFERROR(__xludf.DUMMYFUNCTION("""COMPUTED_VALUE"""),3713393)</f>
        <v>3713393</v>
      </c>
      <c r="C11877" s="14">
        <f ca="1">IFERROR(__xludf.DUMMYFUNCTION("""COMPUTED_VALUE"""),18)</f>
        <v>18</v>
      </c>
      <c r="D11877" s="12" t="str">
        <f ca="1">IFERROR(__xludf.DUMMYFUNCTION("""COMPUTED_VALUE"""),"柿崎 晃司")</f>
        <v>柿崎 晃司</v>
      </c>
    </row>
    <row r="11878" spans="2:4" ht="13">
      <c r="B11878" s="12">
        <f ca="1">IFERROR(__xludf.DUMMYFUNCTION("""COMPUTED_VALUE"""),3713394)</f>
        <v>3713394</v>
      </c>
      <c r="C11878" s="14">
        <f ca="1">IFERROR(__xludf.DUMMYFUNCTION("""COMPUTED_VALUE"""),24)</f>
        <v>24</v>
      </c>
      <c r="D11878" s="12" t="str">
        <f ca="1">IFERROR(__xludf.DUMMYFUNCTION("""COMPUTED_VALUE"""),"柿崎 晃司")</f>
        <v>柿崎 晃司</v>
      </c>
    </row>
    <row r="11879" spans="2:4" ht="13">
      <c r="B11879" s="12">
        <f ca="1">IFERROR(__xludf.DUMMYFUNCTION("""COMPUTED_VALUE"""),3713395)</f>
        <v>3713395</v>
      </c>
      <c r="C11879" s="14">
        <f ca="1">IFERROR(__xludf.DUMMYFUNCTION("""COMPUTED_VALUE"""),58)</f>
        <v>58</v>
      </c>
      <c r="D11879" s="12" t="str">
        <f ca="1">IFERROR(__xludf.DUMMYFUNCTION("""COMPUTED_VALUE"""),"柿崎 晃司")</f>
        <v>柿崎 晃司</v>
      </c>
    </row>
    <row r="11880" spans="2:4" ht="13">
      <c r="B11880" s="12">
        <f ca="1">IFERROR(__xludf.DUMMYFUNCTION("""COMPUTED_VALUE"""),3713396)</f>
        <v>3713396</v>
      </c>
      <c r="C11880" s="14">
        <f ca="1">IFERROR(__xludf.DUMMYFUNCTION("""COMPUTED_VALUE"""),57)</f>
        <v>57</v>
      </c>
      <c r="D11880" s="12" t="str">
        <f ca="1">IFERROR(__xludf.DUMMYFUNCTION("""COMPUTED_VALUE"""),"柿崎 晃司")</f>
        <v>柿崎 晃司</v>
      </c>
    </row>
    <row r="11881" spans="2:4" ht="13">
      <c r="B11881" s="12">
        <f ca="1">IFERROR(__xludf.DUMMYFUNCTION("""COMPUTED_VALUE"""),3713397)</f>
        <v>3713397</v>
      </c>
      <c r="C11881" s="14">
        <f ca="1">IFERROR(__xludf.DUMMYFUNCTION("""COMPUTED_VALUE"""),28)</f>
        <v>28</v>
      </c>
      <c r="D11881" s="12" t="str">
        <f ca="1">IFERROR(__xludf.DUMMYFUNCTION("""COMPUTED_VALUE"""),"柿崎 晃司")</f>
        <v>柿崎 晃司</v>
      </c>
    </row>
    <row r="11882" spans="2:4" ht="13">
      <c r="B11882" s="12">
        <f ca="1">IFERROR(__xludf.DUMMYFUNCTION("""COMPUTED_VALUE"""),3713398)</f>
        <v>3713398</v>
      </c>
      <c r="C11882" s="14">
        <f ca="1">IFERROR(__xludf.DUMMYFUNCTION("""COMPUTED_VALUE"""),24)</f>
        <v>24</v>
      </c>
      <c r="D11882" s="12" t="str">
        <f ca="1">IFERROR(__xludf.DUMMYFUNCTION("""COMPUTED_VALUE"""),"柿崎 晃司")</f>
        <v>柿崎 晃司</v>
      </c>
    </row>
    <row r="11883" spans="2:4" ht="13">
      <c r="B11883" s="12">
        <f ca="1">IFERROR(__xludf.DUMMYFUNCTION("""COMPUTED_VALUE"""),3713399)</f>
        <v>3713399</v>
      </c>
      <c r="C11883" s="14">
        <f ca="1">IFERROR(__xludf.DUMMYFUNCTION("""COMPUTED_VALUE"""),21)</f>
        <v>21</v>
      </c>
      <c r="D11883" s="12" t="str">
        <f ca="1">IFERROR(__xludf.DUMMYFUNCTION("""COMPUTED_VALUE"""),"柿崎 晃司")</f>
        <v>柿崎 晃司</v>
      </c>
    </row>
    <row r="11884" spans="2:4" ht="13">
      <c r="B11884" s="12">
        <f ca="1">IFERROR(__xludf.DUMMYFUNCTION("""COMPUTED_VALUE"""),3713400)</f>
        <v>3713400</v>
      </c>
      <c r="C11884" s="14">
        <f ca="1">IFERROR(__xludf.DUMMYFUNCTION("""COMPUTED_VALUE"""),21)</f>
        <v>21</v>
      </c>
      <c r="D11884" s="12" t="str">
        <f ca="1">IFERROR(__xludf.DUMMYFUNCTION("""COMPUTED_VALUE"""),"柿崎 晃司")</f>
        <v>柿崎 晃司</v>
      </c>
    </row>
    <row r="11885" spans="2:4" ht="13">
      <c r="B11885" s="12">
        <f ca="1">IFERROR(__xludf.DUMMYFUNCTION("""COMPUTED_VALUE"""),3713401)</f>
        <v>3713401</v>
      </c>
      <c r="C11885" s="14">
        <f ca="1">IFERROR(__xludf.DUMMYFUNCTION("""COMPUTED_VALUE"""),27)</f>
        <v>27</v>
      </c>
      <c r="D11885" s="12" t="str">
        <f ca="1">IFERROR(__xludf.DUMMYFUNCTION("""COMPUTED_VALUE"""),"柿崎 晃司")</f>
        <v>柿崎 晃司</v>
      </c>
    </row>
    <row r="11886" spans="2:4" ht="13">
      <c r="B11886" s="12">
        <f ca="1">IFERROR(__xludf.DUMMYFUNCTION("""COMPUTED_VALUE"""),3713402)</f>
        <v>3713402</v>
      </c>
      <c r="C11886" s="14">
        <f ca="1">IFERROR(__xludf.DUMMYFUNCTION("""COMPUTED_VALUE"""),30)</f>
        <v>30</v>
      </c>
      <c r="D11886" s="12" t="str">
        <f ca="1">IFERROR(__xludf.DUMMYFUNCTION("""COMPUTED_VALUE"""),"柿崎 晃司")</f>
        <v>柿崎 晃司</v>
      </c>
    </row>
    <row r="11887" spans="2:4" ht="13">
      <c r="B11887" s="12">
        <f ca="1">IFERROR(__xludf.DUMMYFUNCTION("""COMPUTED_VALUE"""),3713403)</f>
        <v>3713403</v>
      </c>
      <c r="C11887" s="14">
        <f ca="1">IFERROR(__xludf.DUMMYFUNCTION("""COMPUTED_VALUE"""),40)</f>
        <v>40</v>
      </c>
      <c r="D11887" s="12" t="str">
        <f ca="1">IFERROR(__xludf.DUMMYFUNCTION("""COMPUTED_VALUE"""),"柿崎 晃司")</f>
        <v>柿崎 晃司</v>
      </c>
    </row>
    <row r="11888" spans="2:4" ht="13">
      <c r="B11888" s="12">
        <f ca="1">IFERROR(__xludf.DUMMYFUNCTION("""COMPUTED_VALUE"""),3713404)</f>
        <v>3713404</v>
      </c>
      <c r="C11888" s="14">
        <f ca="1">IFERROR(__xludf.DUMMYFUNCTION("""COMPUTED_VALUE"""),16)</f>
        <v>16</v>
      </c>
      <c r="D11888" s="12" t="str">
        <f ca="1">IFERROR(__xludf.DUMMYFUNCTION("""COMPUTED_VALUE"""),"柿崎 晃司")</f>
        <v>柿崎 晃司</v>
      </c>
    </row>
    <row r="11889" spans="2:4" ht="13">
      <c r="B11889" s="12">
        <f ca="1">IFERROR(__xludf.DUMMYFUNCTION("""COMPUTED_VALUE"""),3713405)</f>
        <v>3713405</v>
      </c>
      <c r="C11889" s="14">
        <f ca="1">IFERROR(__xludf.DUMMYFUNCTION("""COMPUTED_VALUE"""),31)</f>
        <v>31</v>
      </c>
      <c r="D11889" s="12" t="str">
        <f ca="1">IFERROR(__xludf.DUMMYFUNCTION("""COMPUTED_VALUE"""),"柿崎 晃司")</f>
        <v>柿崎 晃司</v>
      </c>
    </row>
    <row r="11890" spans="2:4" ht="13">
      <c r="B11890" s="12">
        <f ca="1">IFERROR(__xludf.DUMMYFUNCTION("""COMPUTED_VALUE"""),3713406)</f>
        <v>3713406</v>
      </c>
      <c r="C11890" s="14">
        <f ca="1">IFERROR(__xludf.DUMMYFUNCTION("""COMPUTED_VALUE"""),22)</f>
        <v>22</v>
      </c>
      <c r="D11890" s="12" t="str">
        <f ca="1">IFERROR(__xludf.DUMMYFUNCTION("""COMPUTED_VALUE"""),"柿崎 晃司")</f>
        <v>柿崎 晃司</v>
      </c>
    </row>
    <row r="11891" spans="2:4" ht="13">
      <c r="B11891" s="12">
        <f ca="1">IFERROR(__xludf.DUMMYFUNCTION("""COMPUTED_VALUE"""),3713407)</f>
        <v>3713407</v>
      </c>
      <c r="C11891" s="14">
        <f ca="1">IFERROR(__xludf.DUMMYFUNCTION("""COMPUTED_VALUE"""),42)</f>
        <v>42</v>
      </c>
      <c r="D11891" s="12" t="str">
        <f ca="1">IFERROR(__xludf.DUMMYFUNCTION("""COMPUTED_VALUE"""),"柿崎 晃司")</f>
        <v>柿崎 晃司</v>
      </c>
    </row>
    <row r="11892" spans="2:4" ht="13">
      <c r="B11892" s="12">
        <f ca="1">IFERROR(__xludf.DUMMYFUNCTION("""COMPUTED_VALUE"""),3713408)</f>
        <v>3713408</v>
      </c>
      <c r="C11892" s="14">
        <f ca="1">IFERROR(__xludf.DUMMYFUNCTION("""COMPUTED_VALUE"""),53)</f>
        <v>53</v>
      </c>
      <c r="D11892" s="12" t="str">
        <f ca="1">IFERROR(__xludf.DUMMYFUNCTION("""COMPUTED_VALUE"""),"柿崎 晃司")</f>
        <v>柿崎 晃司</v>
      </c>
    </row>
    <row r="11893" spans="2:4" ht="13">
      <c r="B11893" s="12">
        <f ca="1">IFERROR(__xludf.DUMMYFUNCTION("""COMPUTED_VALUE"""),3713409)</f>
        <v>3713409</v>
      </c>
      <c r="C11893" s="14">
        <f ca="1">IFERROR(__xludf.DUMMYFUNCTION("""COMPUTED_VALUE"""),59)</f>
        <v>59</v>
      </c>
      <c r="D11893" s="12" t="str">
        <f ca="1">IFERROR(__xludf.DUMMYFUNCTION("""COMPUTED_VALUE"""),"柿崎 晃司")</f>
        <v>柿崎 晃司</v>
      </c>
    </row>
    <row r="11894" spans="2:4" ht="13">
      <c r="B11894" s="12">
        <f ca="1">IFERROR(__xludf.DUMMYFUNCTION("""COMPUTED_VALUE"""),3713410)</f>
        <v>3713410</v>
      </c>
      <c r="C11894" s="14">
        <f ca="1">IFERROR(__xludf.DUMMYFUNCTION("""COMPUTED_VALUE"""),46)</f>
        <v>46</v>
      </c>
      <c r="D11894" s="12" t="str">
        <f ca="1">IFERROR(__xludf.DUMMYFUNCTION("""COMPUTED_VALUE"""),"柿崎 晃司")</f>
        <v>柿崎 晃司</v>
      </c>
    </row>
    <row r="11895" spans="2:4" ht="13">
      <c r="B11895" s="12">
        <f ca="1">IFERROR(__xludf.DUMMYFUNCTION("""COMPUTED_VALUE"""),3713411)</f>
        <v>3713411</v>
      </c>
      <c r="C11895" s="14">
        <f ca="1">IFERROR(__xludf.DUMMYFUNCTION("""COMPUTED_VALUE"""),13)</f>
        <v>13</v>
      </c>
      <c r="D11895" s="12" t="str">
        <f ca="1">IFERROR(__xludf.DUMMYFUNCTION("""COMPUTED_VALUE"""),"柿崎 晃司")</f>
        <v>柿崎 晃司</v>
      </c>
    </row>
    <row r="11896" spans="2:4" ht="13">
      <c r="B11896" s="12">
        <f ca="1">IFERROR(__xludf.DUMMYFUNCTION("""COMPUTED_VALUE"""),3713412)</f>
        <v>3713412</v>
      </c>
      <c r="C11896" s="14">
        <f ca="1">IFERROR(__xludf.DUMMYFUNCTION("""COMPUTED_VALUE"""),27)</f>
        <v>27</v>
      </c>
      <c r="D11896" s="12" t="str">
        <f ca="1">IFERROR(__xludf.DUMMYFUNCTION("""COMPUTED_VALUE"""),"柿崎 晃司")</f>
        <v>柿崎 晃司</v>
      </c>
    </row>
    <row r="11897" spans="2:4" ht="13">
      <c r="B11897" s="12">
        <f ca="1">IFERROR(__xludf.DUMMYFUNCTION("""COMPUTED_VALUE"""),3713413)</f>
        <v>3713413</v>
      </c>
      <c r="C11897" s="14">
        <f ca="1">IFERROR(__xludf.DUMMYFUNCTION("""COMPUTED_VALUE"""),61)</f>
        <v>61</v>
      </c>
      <c r="D11897" s="12" t="str">
        <f ca="1">IFERROR(__xludf.DUMMYFUNCTION("""COMPUTED_VALUE"""),"柿崎 晃司")</f>
        <v>柿崎 晃司</v>
      </c>
    </row>
    <row r="11898" spans="2:4" ht="13">
      <c r="B11898" s="12">
        <f ca="1">IFERROR(__xludf.DUMMYFUNCTION("""COMPUTED_VALUE"""),3713414)</f>
        <v>3713414</v>
      </c>
      <c r="C11898" s="14">
        <f ca="1">IFERROR(__xludf.DUMMYFUNCTION("""COMPUTED_VALUE"""),73)</f>
        <v>73</v>
      </c>
      <c r="D11898" s="12" t="str">
        <f ca="1">IFERROR(__xludf.DUMMYFUNCTION("""COMPUTED_VALUE"""),"柿崎 晃司")</f>
        <v>柿崎 晃司</v>
      </c>
    </row>
    <row r="11899" spans="2:4" ht="13">
      <c r="B11899" s="12">
        <f ca="1">IFERROR(__xludf.DUMMYFUNCTION("""COMPUTED_VALUE"""),3713415)</f>
        <v>3713415</v>
      </c>
      <c r="C11899" s="14">
        <f ca="1">IFERROR(__xludf.DUMMYFUNCTION("""COMPUTED_VALUE"""),56)</f>
        <v>56</v>
      </c>
      <c r="D11899" s="12" t="str">
        <f ca="1">IFERROR(__xludf.DUMMYFUNCTION("""COMPUTED_VALUE"""),"柿崎 晃司")</f>
        <v>柿崎 晃司</v>
      </c>
    </row>
    <row r="11900" spans="2:4" ht="13">
      <c r="B11900" s="12">
        <f ca="1">IFERROR(__xludf.DUMMYFUNCTION("""COMPUTED_VALUE"""),3713417)</f>
        <v>3713417</v>
      </c>
      <c r="C11900" s="14">
        <f ca="1">IFERROR(__xludf.DUMMYFUNCTION("""COMPUTED_VALUE"""),43)</f>
        <v>43</v>
      </c>
      <c r="D11900" s="12" t="str">
        <f ca="1">IFERROR(__xludf.DUMMYFUNCTION("""COMPUTED_VALUE"""),"柿崎 晃司")</f>
        <v>柿崎 晃司</v>
      </c>
    </row>
    <row r="11901" spans="2:4" ht="13">
      <c r="B11901" s="12">
        <f ca="1">IFERROR(__xludf.DUMMYFUNCTION("""COMPUTED_VALUE"""),3713418)</f>
        <v>3713418</v>
      </c>
      <c r="C11901" s="14">
        <f ca="1">IFERROR(__xludf.DUMMYFUNCTION("""COMPUTED_VALUE"""),43)</f>
        <v>43</v>
      </c>
      <c r="D11901" s="12" t="str">
        <f ca="1">IFERROR(__xludf.DUMMYFUNCTION("""COMPUTED_VALUE"""),"柿崎 晃司")</f>
        <v>柿崎 晃司</v>
      </c>
    </row>
    <row r="11902" spans="2:4" ht="13">
      <c r="B11902" s="12">
        <f ca="1">IFERROR(__xludf.DUMMYFUNCTION("""COMPUTED_VALUE"""),3713419)</f>
        <v>3713419</v>
      </c>
      <c r="C11902" s="14">
        <f ca="1">IFERROR(__xludf.DUMMYFUNCTION("""COMPUTED_VALUE"""),15)</f>
        <v>15</v>
      </c>
      <c r="D11902" s="12" t="str">
        <f ca="1">IFERROR(__xludf.DUMMYFUNCTION("""COMPUTED_VALUE"""),"柿崎 晃司")</f>
        <v>柿崎 晃司</v>
      </c>
    </row>
    <row r="11903" spans="2:4" ht="13">
      <c r="B11903" s="12">
        <f ca="1">IFERROR(__xludf.DUMMYFUNCTION("""COMPUTED_VALUE"""),3713420)</f>
        <v>3713420</v>
      </c>
      <c r="C11903" s="14">
        <f ca="1">IFERROR(__xludf.DUMMYFUNCTION("""COMPUTED_VALUE"""),15)</f>
        <v>15</v>
      </c>
      <c r="D11903" s="12" t="str">
        <f ca="1">IFERROR(__xludf.DUMMYFUNCTION("""COMPUTED_VALUE"""),"柿崎 晃司")</f>
        <v>柿崎 晃司</v>
      </c>
    </row>
    <row r="11904" spans="2:4" ht="13">
      <c r="B11904" s="12">
        <f ca="1">IFERROR(__xludf.DUMMYFUNCTION("""COMPUTED_VALUE"""),3713421)</f>
        <v>3713421</v>
      </c>
      <c r="C11904" s="14">
        <f ca="1">IFERROR(__xludf.DUMMYFUNCTION("""COMPUTED_VALUE"""),46)</f>
        <v>46</v>
      </c>
      <c r="D11904" s="12" t="str">
        <f ca="1">IFERROR(__xludf.DUMMYFUNCTION("""COMPUTED_VALUE"""),"柿崎 晃司")</f>
        <v>柿崎 晃司</v>
      </c>
    </row>
    <row r="11905" spans="2:4" ht="13">
      <c r="B11905" s="12">
        <f ca="1">IFERROR(__xludf.DUMMYFUNCTION("""COMPUTED_VALUE"""),3713422)</f>
        <v>3713422</v>
      </c>
      <c r="C11905" s="14">
        <f ca="1">IFERROR(__xludf.DUMMYFUNCTION("""COMPUTED_VALUE"""),61)</f>
        <v>61</v>
      </c>
      <c r="D11905" s="12" t="str">
        <f ca="1">IFERROR(__xludf.DUMMYFUNCTION("""COMPUTED_VALUE"""),"柿崎 晃司")</f>
        <v>柿崎 晃司</v>
      </c>
    </row>
    <row r="11906" spans="2:4" ht="13">
      <c r="B11906" s="12">
        <f ca="1">IFERROR(__xludf.DUMMYFUNCTION("""COMPUTED_VALUE"""),3713423)</f>
        <v>3713423</v>
      </c>
      <c r="C11906" s="14">
        <f ca="1">IFERROR(__xludf.DUMMYFUNCTION("""COMPUTED_VALUE"""),11)</f>
        <v>11</v>
      </c>
      <c r="D11906" s="12" t="str">
        <f ca="1">IFERROR(__xludf.DUMMYFUNCTION("""COMPUTED_VALUE"""),"柿崎 晃司")</f>
        <v>柿崎 晃司</v>
      </c>
    </row>
    <row r="11907" spans="2:4" ht="13">
      <c r="B11907" s="12">
        <f ca="1">IFERROR(__xludf.DUMMYFUNCTION("""COMPUTED_VALUE"""),3713424)</f>
        <v>3713424</v>
      </c>
      <c r="C11907" s="14">
        <f ca="1">IFERROR(__xludf.DUMMYFUNCTION("""COMPUTED_VALUE"""),15)</f>
        <v>15</v>
      </c>
      <c r="D11907" s="12" t="str">
        <f ca="1">IFERROR(__xludf.DUMMYFUNCTION("""COMPUTED_VALUE"""),"柿崎 晃司")</f>
        <v>柿崎 晃司</v>
      </c>
    </row>
    <row r="11908" spans="2:4" ht="13">
      <c r="B11908" s="12">
        <f ca="1">IFERROR(__xludf.DUMMYFUNCTION("""COMPUTED_VALUE"""),3713425)</f>
        <v>3713425</v>
      </c>
      <c r="C11908" s="14">
        <f ca="1">IFERROR(__xludf.DUMMYFUNCTION("""COMPUTED_VALUE"""),14)</f>
        <v>14</v>
      </c>
      <c r="D11908" s="12" t="str">
        <f ca="1">IFERROR(__xludf.DUMMYFUNCTION("""COMPUTED_VALUE"""),"柿崎 晃司")</f>
        <v>柿崎 晃司</v>
      </c>
    </row>
    <row r="11909" spans="2:4" ht="13">
      <c r="B11909" s="12">
        <f ca="1">IFERROR(__xludf.DUMMYFUNCTION("""COMPUTED_VALUE"""),3713426)</f>
        <v>3713426</v>
      </c>
      <c r="C11909" s="14">
        <f ca="1">IFERROR(__xludf.DUMMYFUNCTION("""COMPUTED_VALUE"""),16)</f>
        <v>16</v>
      </c>
      <c r="D11909" s="12" t="str">
        <f ca="1">IFERROR(__xludf.DUMMYFUNCTION("""COMPUTED_VALUE"""),"柿崎 晃司")</f>
        <v>柿崎 晃司</v>
      </c>
    </row>
    <row r="11910" spans="2:4" ht="13">
      <c r="B11910" s="12">
        <f ca="1">IFERROR(__xludf.DUMMYFUNCTION("""COMPUTED_VALUE"""),3713427)</f>
        <v>3713427</v>
      </c>
      <c r="C11910" s="14">
        <f ca="1">IFERROR(__xludf.DUMMYFUNCTION("""COMPUTED_VALUE"""),33)</f>
        <v>33</v>
      </c>
      <c r="D11910" s="12" t="str">
        <f ca="1">IFERROR(__xludf.DUMMYFUNCTION("""COMPUTED_VALUE"""),"柿崎 晃司")</f>
        <v>柿崎 晃司</v>
      </c>
    </row>
    <row r="11911" spans="2:4" ht="13">
      <c r="B11911" s="12">
        <f ca="1">IFERROR(__xludf.DUMMYFUNCTION("""COMPUTED_VALUE"""),3713428)</f>
        <v>3713428</v>
      </c>
      <c r="C11911" s="14">
        <f ca="1">IFERROR(__xludf.DUMMYFUNCTION("""COMPUTED_VALUE"""),13)</f>
        <v>13</v>
      </c>
      <c r="D11911" s="12" t="str">
        <f ca="1">IFERROR(__xludf.DUMMYFUNCTION("""COMPUTED_VALUE"""),"柿崎 晃司")</f>
        <v>柿崎 晃司</v>
      </c>
    </row>
    <row r="11912" spans="2:4" ht="13">
      <c r="B11912" s="12">
        <f ca="1">IFERROR(__xludf.DUMMYFUNCTION("""COMPUTED_VALUE"""),3713429)</f>
        <v>3713429</v>
      </c>
      <c r="C11912" s="14">
        <f ca="1">IFERROR(__xludf.DUMMYFUNCTION("""COMPUTED_VALUE"""),24)</f>
        <v>24</v>
      </c>
      <c r="D11912" s="12" t="str">
        <f ca="1">IFERROR(__xludf.DUMMYFUNCTION("""COMPUTED_VALUE"""),"柿崎 晃司")</f>
        <v>柿崎 晃司</v>
      </c>
    </row>
    <row r="11913" spans="2:4" ht="13">
      <c r="B11913" s="12">
        <f ca="1">IFERROR(__xludf.DUMMYFUNCTION("""COMPUTED_VALUE"""),3713430)</f>
        <v>3713430</v>
      </c>
      <c r="C11913" s="14">
        <f ca="1">IFERROR(__xludf.DUMMYFUNCTION("""COMPUTED_VALUE"""),15)</f>
        <v>15</v>
      </c>
      <c r="D11913" s="12" t="str">
        <f ca="1">IFERROR(__xludf.DUMMYFUNCTION("""COMPUTED_VALUE"""),"柿崎 晃司")</f>
        <v>柿崎 晃司</v>
      </c>
    </row>
    <row r="11914" spans="2:4" ht="13">
      <c r="B11914" s="12">
        <f ca="1">IFERROR(__xludf.DUMMYFUNCTION("""COMPUTED_VALUE"""),3713431)</f>
        <v>3713431</v>
      </c>
      <c r="C11914" s="14">
        <f ca="1">IFERROR(__xludf.DUMMYFUNCTION("""COMPUTED_VALUE"""),55)</f>
        <v>55</v>
      </c>
      <c r="D11914" s="12" t="str">
        <f ca="1">IFERROR(__xludf.DUMMYFUNCTION("""COMPUTED_VALUE"""),"柿崎 晃司")</f>
        <v>柿崎 晃司</v>
      </c>
    </row>
    <row r="11915" spans="2:4" ht="13">
      <c r="B11915" s="12">
        <f ca="1">IFERROR(__xludf.DUMMYFUNCTION("""COMPUTED_VALUE"""),3713432)</f>
        <v>3713432</v>
      </c>
      <c r="C11915" s="14">
        <f ca="1">IFERROR(__xludf.DUMMYFUNCTION("""COMPUTED_VALUE"""),15)</f>
        <v>15</v>
      </c>
      <c r="D11915" s="12" t="str">
        <f ca="1">IFERROR(__xludf.DUMMYFUNCTION("""COMPUTED_VALUE"""),"柿崎 晃司")</f>
        <v>柿崎 晃司</v>
      </c>
    </row>
    <row r="11916" spans="2:4" ht="13">
      <c r="B11916" s="12">
        <f ca="1">IFERROR(__xludf.DUMMYFUNCTION("""COMPUTED_VALUE"""),3713433)</f>
        <v>3713433</v>
      </c>
      <c r="C11916" s="14">
        <f ca="1">IFERROR(__xludf.DUMMYFUNCTION("""COMPUTED_VALUE"""),31)</f>
        <v>31</v>
      </c>
      <c r="D11916" s="12" t="str">
        <f ca="1">IFERROR(__xludf.DUMMYFUNCTION("""COMPUTED_VALUE"""),"柿崎 晃司")</f>
        <v>柿崎 晃司</v>
      </c>
    </row>
    <row r="11917" spans="2:4" ht="13">
      <c r="B11917" s="12">
        <f ca="1">IFERROR(__xludf.DUMMYFUNCTION("""COMPUTED_VALUE"""),3718000)</f>
        <v>3718000</v>
      </c>
      <c r="C11917" s="14">
        <f ca="1">IFERROR(__xludf.DUMMYFUNCTION("""COMPUTED_VALUE"""),0)</f>
        <v>0</v>
      </c>
      <c r="D11917" s="12" t="str">
        <f ca="1">IFERROR(__xludf.DUMMYFUNCTION("""COMPUTED_VALUE"""),"渋谷 雄大")</f>
        <v>渋谷 雄大</v>
      </c>
    </row>
    <row r="11918" spans="2:4" ht="13">
      <c r="B11918" s="12">
        <f ca="1">IFERROR(__xludf.DUMMYFUNCTION("""COMPUTED_VALUE"""),3718001)</f>
        <v>3718001</v>
      </c>
      <c r="C11918" s="14">
        <f ca="1">IFERROR(__xludf.DUMMYFUNCTION("""COMPUTED_VALUE"""),0)</f>
        <v>0</v>
      </c>
      <c r="D11918" s="12" t="str">
        <f ca="1">IFERROR(__xludf.DUMMYFUNCTION("""COMPUTED_VALUE"""),"渋谷 雄大")</f>
        <v>渋谷 雄大</v>
      </c>
    </row>
    <row r="11919" spans="2:4" ht="13">
      <c r="B11919" s="12">
        <f ca="1">IFERROR(__xludf.DUMMYFUNCTION("""COMPUTED_VALUE"""),3718002)</f>
        <v>3718002</v>
      </c>
      <c r="C11919" s="14">
        <f ca="1">IFERROR(__xludf.DUMMYFUNCTION("""COMPUTED_VALUE"""),0)</f>
        <v>0</v>
      </c>
      <c r="D11919" s="12" t="str">
        <f ca="1">IFERROR(__xludf.DUMMYFUNCTION("""COMPUTED_VALUE"""),"渋谷 雄大")</f>
        <v>渋谷 雄大</v>
      </c>
    </row>
    <row r="11920" spans="2:4" ht="13">
      <c r="B11920" s="12">
        <f ca="1">IFERROR(__xludf.DUMMYFUNCTION("""COMPUTED_VALUE"""),3718003)</f>
        <v>3718003</v>
      </c>
      <c r="C11920" s="14">
        <f ca="1">IFERROR(__xludf.DUMMYFUNCTION("""COMPUTED_VALUE"""),0)</f>
        <v>0</v>
      </c>
      <c r="D11920" s="12" t="str">
        <f ca="1">IFERROR(__xludf.DUMMYFUNCTION("""COMPUTED_VALUE"""),"渋谷 雄大")</f>
        <v>渋谷 雄大</v>
      </c>
    </row>
    <row r="11921" spans="2:4" ht="13">
      <c r="B11921" s="12">
        <f ca="1">IFERROR(__xludf.DUMMYFUNCTION("""COMPUTED_VALUE"""),3718004)</f>
        <v>3718004</v>
      </c>
      <c r="C11921" s="14">
        <f ca="1">IFERROR(__xludf.DUMMYFUNCTION("""COMPUTED_VALUE"""),0)</f>
        <v>0</v>
      </c>
      <c r="D11921" s="12" t="str">
        <f ca="1">IFERROR(__xludf.DUMMYFUNCTION("""COMPUTED_VALUE"""),"渋谷 雄大")</f>
        <v>渋谷 雄大</v>
      </c>
    </row>
    <row r="11922" spans="2:4" ht="13">
      <c r="B11922" s="12">
        <f ca="1">IFERROR(__xludf.DUMMYFUNCTION("""COMPUTED_VALUE"""),3718005)</f>
        <v>3718005</v>
      </c>
      <c r="C11922" s="14">
        <f ca="1">IFERROR(__xludf.DUMMYFUNCTION("""COMPUTED_VALUE"""),0)</f>
        <v>0</v>
      </c>
      <c r="D11922" s="12" t="str">
        <f ca="1">IFERROR(__xludf.DUMMYFUNCTION("""COMPUTED_VALUE"""),"渋谷 雄大")</f>
        <v>渋谷 雄大</v>
      </c>
    </row>
    <row r="11923" spans="2:4" ht="13">
      <c r="B11923" s="12">
        <f ca="1">IFERROR(__xludf.DUMMYFUNCTION("""COMPUTED_VALUE"""),3718006)</f>
        <v>3718006</v>
      </c>
      <c r="C11923" s="14">
        <f ca="1">IFERROR(__xludf.DUMMYFUNCTION("""COMPUTED_VALUE"""),0)</f>
        <v>0</v>
      </c>
      <c r="D11923" s="12" t="str">
        <f ca="1">IFERROR(__xludf.DUMMYFUNCTION("""COMPUTED_VALUE"""),"渋谷 雄大")</f>
        <v>渋谷 雄大</v>
      </c>
    </row>
    <row r="11924" spans="2:4" ht="13">
      <c r="B11924" s="12">
        <f ca="1">IFERROR(__xludf.DUMMYFUNCTION("""COMPUTED_VALUE"""),3718007)</f>
        <v>3718007</v>
      </c>
      <c r="C11924" s="14">
        <f ca="1">IFERROR(__xludf.DUMMYFUNCTION("""COMPUTED_VALUE"""),0)</f>
        <v>0</v>
      </c>
      <c r="D11924" s="12" t="str">
        <f ca="1">IFERROR(__xludf.DUMMYFUNCTION("""COMPUTED_VALUE"""),"渋谷 雄大")</f>
        <v>渋谷 雄大</v>
      </c>
    </row>
    <row r="11925" spans="2:4" ht="13">
      <c r="B11925" s="12">
        <f ca="1">IFERROR(__xludf.DUMMYFUNCTION("""COMPUTED_VALUE"""),3718008)</f>
        <v>3718008</v>
      </c>
      <c r="C11925" s="14">
        <f ca="1">IFERROR(__xludf.DUMMYFUNCTION("""COMPUTED_VALUE"""),0)</f>
        <v>0</v>
      </c>
      <c r="D11925" s="12" t="str">
        <f ca="1">IFERROR(__xludf.DUMMYFUNCTION("""COMPUTED_VALUE"""),"渋谷 雄大")</f>
        <v>渋谷 雄大</v>
      </c>
    </row>
    <row r="11926" spans="2:4" ht="13">
      <c r="B11926" s="12">
        <f ca="1">IFERROR(__xludf.DUMMYFUNCTION("""COMPUTED_VALUE"""),3718009)</f>
        <v>3718009</v>
      </c>
      <c r="C11926" s="14">
        <f ca="1">IFERROR(__xludf.DUMMYFUNCTION("""COMPUTED_VALUE"""),0)</f>
        <v>0</v>
      </c>
      <c r="D11926" s="12" t="str">
        <f ca="1">IFERROR(__xludf.DUMMYFUNCTION("""COMPUTED_VALUE"""),"渋谷 雄大")</f>
        <v>渋谷 雄大</v>
      </c>
    </row>
    <row r="11927" spans="2:4" ht="13">
      <c r="B11927" s="12">
        <f ca="1">IFERROR(__xludf.DUMMYFUNCTION("""COMPUTED_VALUE"""),3718010)</f>
        <v>3718010</v>
      </c>
      <c r="C11927" s="14">
        <f ca="1">IFERROR(__xludf.DUMMYFUNCTION("""COMPUTED_VALUE"""),0)</f>
        <v>0</v>
      </c>
      <c r="D11927" s="12" t="str">
        <f ca="1">IFERROR(__xludf.DUMMYFUNCTION("""COMPUTED_VALUE"""),"渋谷 雄大")</f>
        <v>渋谷 雄大</v>
      </c>
    </row>
    <row r="11928" spans="2:4" ht="13">
      <c r="B11928" s="12">
        <f ca="1">IFERROR(__xludf.DUMMYFUNCTION("""COMPUTED_VALUE"""),3718011)</f>
        <v>3718011</v>
      </c>
      <c r="C11928" s="14">
        <f ca="1">IFERROR(__xludf.DUMMYFUNCTION("""COMPUTED_VALUE"""),0)</f>
        <v>0</v>
      </c>
      <c r="D11928" s="12" t="str">
        <f ca="1">IFERROR(__xludf.DUMMYFUNCTION("""COMPUTED_VALUE"""),"渋谷 雄大")</f>
        <v>渋谷 雄大</v>
      </c>
    </row>
    <row r="11929" spans="2:4" ht="13">
      <c r="B11929" s="12">
        <f ca="1">IFERROR(__xludf.DUMMYFUNCTION("""COMPUTED_VALUE"""),3718012)</f>
        <v>3718012</v>
      </c>
      <c r="C11929" s="14">
        <f ca="1">IFERROR(__xludf.DUMMYFUNCTION("""COMPUTED_VALUE"""),0)</f>
        <v>0</v>
      </c>
      <c r="D11929" s="12" t="str">
        <f ca="1">IFERROR(__xludf.DUMMYFUNCTION("""COMPUTED_VALUE"""),"渋谷 雄大")</f>
        <v>渋谷 雄大</v>
      </c>
    </row>
    <row r="11930" spans="2:4" ht="13">
      <c r="B11930" s="12">
        <f ca="1">IFERROR(__xludf.DUMMYFUNCTION("""COMPUTED_VALUE"""),3718013)</f>
        <v>3718013</v>
      </c>
      <c r="C11930" s="14">
        <f ca="1">IFERROR(__xludf.DUMMYFUNCTION("""COMPUTED_VALUE"""),0)</f>
        <v>0</v>
      </c>
      <c r="D11930" s="12" t="str">
        <f ca="1">IFERROR(__xludf.DUMMYFUNCTION("""COMPUTED_VALUE"""),"渋谷 雄大")</f>
        <v>渋谷 雄大</v>
      </c>
    </row>
    <row r="11931" spans="2:4" ht="13">
      <c r="B11931" s="12">
        <f ca="1">IFERROR(__xludf.DUMMYFUNCTION("""COMPUTED_VALUE"""),3718014)</f>
        <v>3718014</v>
      </c>
      <c r="C11931" s="14">
        <f ca="1">IFERROR(__xludf.DUMMYFUNCTION("""COMPUTED_VALUE"""),0)</f>
        <v>0</v>
      </c>
      <c r="D11931" s="12" t="str">
        <f ca="1">IFERROR(__xludf.DUMMYFUNCTION("""COMPUTED_VALUE"""),"渋谷 雄大")</f>
        <v>渋谷 雄大</v>
      </c>
    </row>
    <row r="11932" spans="2:4" ht="13">
      <c r="B11932" s="12">
        <f ca="1">IFERROR(__xludf.DUMMYFUNCTION("""COMPUTED_VALUE"""),3718015)</f>
        <v>3718015</v>
      </c>
      <c r="C11932" s="14">
        <f ca="1">IFERROR(__xludf.DUMMYFUNCTION("""COMPUTED_VALUE"""),0)</f>
        <v>0</v>
      </c>
      <c r="D11932" s="12" t="str">
        <f ca="1">IFERROR(__xludf.DUMMYFUNCTION("""COMPUTED_VALUE"""),"渋谷 雄大")</f>
        <v>渋谷 雄大</v>
      </c>
    </row>
    <row r="11933" spans="2:4" ht="13">
      <c r="B11933" s="12">
        <f ca="1">IFERROR(__xludf.DUMMYFUNCTION("""COMPUTED_VALUE"""),3718016)</f>
        <v>3718016</v>
      </c>
      <c r="C11933" s="14">
        <f ca="1">IFERROR(__xludf.DUMMYFUNCTION("""COMPUTED_VALUE"""),0)</f>
        <v>0</v>
      </c>
      <c r="D11933" s="12" t="str">
        <f ca="1">IFERROR(__xludf.DUMMYFUNCTION("""COMPUTED_VALUE"""),"渋谷 雄大")</f>
        <v>渋谷 雄大</v>
      </c>
    </row>
    <row r="11934" spans="2:4" ht="13">
      <c r="B11934" s="12">
        <f ca="1">IFERROR(__xludf.DUMMYFUNCTION("""COMPUTED_VALUE"""),3718017)</f>
        <v>3718017</v>
      </c>
      <c r="C11934" s="14">
        <f ca="1">IFERROR(__xludf.DUMMYFUNCTION("""COMPUTED_VALUE"""),0)</f>
        <v>0</v>
      </c>
      <c r="D11934" s="12" t="str">
        <f ca="1">IFERROR(__xludf.DUMMYFUNCTION("""COMPUTED_VALUE"""),"渋谷 雄大")</f>
        <v>渋谷 雄大</v>
      </c>
    </row>
    <row r="11935" spans="2:4" ht="13">
      <c r="B11935" s="12">
        <f ca="1">IFERROR(__xludf.DUMMYFUNCTION("""COMPUTED_VALUE"""),3718018)</f>
        <v>3718018</v>
      </c>
      <c r="C11935" s="14">
        <f ca="1">IFERROR(__xludf.DUMMYFUNCTION("""COMPUTED_VALUE"""),0)</f>
        <v>0</v>
      </c>
      <c r="D11935" s="12" t="str">
        <f ca="1">IFERROR(__xludf.DUMMYFUNCTION("""COMPUTED_VALUE"""),"渋谷 雄大")</f>
        <v>渋谷 雄大</v>
      </c>
    </row>
    <row r="11936" spans="2:4" ht="13">
      <c r="B11936" s="12">
        <f ca="1">IFERROR(__xludf.DUMMYFUNCTION("""COMPUTED_VALUE"""),3718019)</f>
        <v>3718019</v>
      </c>
      <c r="C11936" s="14">
        <f ca="1">IFERROR(__xludf.DUMMYFUNCTION("""COMPUTED_VALUE"""),0)</f>
        <v>0</v>
      </c>
      <c r="D11936" s="12" t="str">
        <f ca="1">IFERROR(__xludf.DUMMYFUNCTION("""COMPUTED_VALUE"""),"渋谷 雄大")</f>
        <v>渋谷 雄大</v>
      </c>
    </row>
    <row r="11937" spans="2:4" ht="13">
      <c r="B11937" s="12">
        <f ca="1">IFERROR(__xludf.DUMMYFUNCTION("""COMPUTED_VALUE"""),3718020)</f>
        <v>3718020</v>
      </c>
      <c r="C11937" s="14">
        <f ca="1">IFERROR(__xludf.DUMMYFUNCTION("""COMPUTED_VALUE"""),0)</f>
        <v>0</v>
      </c>
      <c r="D11937" s="12" t="str">
        <f ca="1">IFERROR(__xludf.DUMMYFUNCTION("""COMPUTED_VALUE"""),"渋谷 雄大")</f>
        <v>渋谷 雄大</v>
      </c>
    </row>
    <row r="11938" spans="2:4" ht="13">
      <c r="B11938" s="12">
        <f ca="1">IFERROR(__xludf.DUMMYFUNCTION("""COMPUTED_VALUE"""),3718021)</f>
        <v>3718021</v>
      </c>
      <c r="C11938" s="14">
        <f ca="1">IFERROR(__xludf.DUMMYFUNCTION("""COMPUTED_VALUE"""),0)</f>
        <v>0</v>
      </c>
      <c r="D11938" s="12" t="str">
        <f ca="1">IFERROR(__xludf.DUMMYFUNCTION("""COMPUTED_VALUE"""),"渋谷 雄大")</f>
        <v>渋谷 雄大</v>
      </c>
    </row>
    <row r="11939" spans="2:4" ht="13">
      <c r="B11939" s="12">
        <f ca="1">IFERROR(__xludf.DUMMYFUNCTION("""COMPUTED_VALUE"""),3718022)</f>
        <v>3718022</v>
      </c>
      <c r="C11939" s="14">
        <f ca="1">IFERROR(__xludf.DUMMYFUNCTION("""COMPUTED_VALUE"""),0)</f>
        <v>0</v>
      </c>
      <c r="D11939" s="12" t="str">
        <f ca="1">IFERROR(__xludf.DUMMYFUNCTION("""COMPUTED_VALUE"""),"渋谷 雄大")</f>
        <v>渋谷 雄大</v>
      </c>
    </row>
    <row r="11940" spans="2:4" ht="13">
      <c r="B11940" s="12">
        <f ca="1">IFERROR(__xludf.DUMMYFUNCTION("""COMPUTED_VALUE"""),3718023)</f>
        <v>3718023</v>
      </c>
      <c r="C11940" s="14">
        <f ca="1">IFERROR(__xludf.DUMMYFUNCTION("""COMPUTED_VALUE"""),0)</f>
        <v>0</v>
      </c>
      <c r="D11940" s="12" t="str">
        <f ca="1">IFERROR(__xludf.DUMMYFUNCTION("""COMPUTED_VALUE"""),"渋谷 雄大")</f>
        <v>渋谷 雄大</v>
      </c>
    </row>
    <row r="11941" spans="2:4" ht="13">
      <c r="B11941" s="12">
        <f ca="1">IFERROR(__xludf.DUMMYFUNCTION("""COMPUTED_VALUE"""),3718024)</f>
        <v>3718024</v>
      </c>
      <c r="C11941" s="14">
        <f ca="1">IFERROR(__xludf.DUMMYFUNCTION("""COMPUTED_VALUE"""),0)</f>
        <v>0</v>
      </c>
      <c r="D11941" s="12" t="str">
        <f ca="1">IFERROR(__xludf.DUMMYFUNCTION("""COMPUTED_VALUE"""),"渋谷 雄大")</f>
        <v>渋谷 雄大</v>
      </c>
    </row>
    <row r="11942" spans="2:4" ht="13">
      <c r="B11942" s="12">
        <f ca="1">IFERROR(__xludf.DUMMYFUNCTION("""COMPUTED_VALUE"""),3718025)</f>
        <v>3718025</v>
      </c>
      <c r="C11942" s="14">
        <f ca="1">IFERROR(__xludf.DUMMYFUNCTION("""COMPUTED_VALUE"""),0)</f>
        <v>0</v>
      </c>
      <c r="D11942" s="12" t="str">
        <f ca="1">IFERROR(__xludf.DUMMYFUNCTION("""COMPUTED_VALUE"""),"渋谷 雄大")</f>
        <v>渋谷 雄大</v>
      </c>
    </row>
    <row r="11943" spans="2:4" ht="13">
      <c r="B11943" s="12">
        <f ca="1">IFERROR(__xludf.DUMMYFUNCTION("""COMPUTED_VALUE"""),3718026)</f>
        <v>3718026</v>
      </c>
      <c r="C11943" s="14">
        <f ca="1">IFERROR(__xludf.DUMMYFUNCTION("""COMPUTED_VALUE"""),0)</f>
        <v>0</v>
      </c>
      <c r="D11943" s="12" t="str">
        <f ca="1">IFERROR(__xludf.DUMMYFUNCTION("""COMPUTED_VALUE"""),"渋谷 雄大")</f>
        <v>渋谷 雄大</v>
      </c>
    </row>
    <row r="11944" spans="2:4" ht="13">
      <c r="B11944" s="12">
        <f ca="1">IFERROR(__xludf.DUMMYFUNCTION("""COMPUTED_VALUE"""),3718027)</f>
        <v>3718027</v>
      </c>
      <c r="C11944" s="14">
        <f ca="1">IFERROR(__xludf.DUMMYFUNCTION("""COMPUTED_VALUE"""),0)</f>
        <v>0</v>
      </c>
      <c r="D11944" s="12" t="str">
        <f ca="1">IFERROR(__xludf.DUMMYFUNCTION("""COMPUTED_VALUE"""),"渋谷 雄大")</f>
        <v>渋谷 雄大</v>
      </c>
    </row>
    <row r="11945" spans="2:4" ht="13">
      <c r="B11945" s="12">
        <f ca="1">IFERROR(__xludf.DUMMYFUNCTION("""COMPUTED_VALUE"""),3718028)</f>
        <v>3718028</v>
      </c>
      <c r="C11945" s="14">
        <f ca="1">IFERROR(__xludf.DUMMYFUNCTION("""COMPUTED_VALUE"""),0)</f>
        <v>0</v>
      </c>
      <c r="D11945" s="12" t="str">
        <f ca="1">IFERROR(__xludf.DUMMYFUNCTION("""COMPUTED_VALUE"""),"渋谷 雄大")</f>
        <v>渋谷 雄大</v>
      </c>
    </row>
    <row r="11946" spans="2:4" ht="13">
      <c r="B11946" s="12">
        <f ca="1">IFERROR(__xludf.DUMMYFUNCTION("""COMPUTED_VALUE"""),3718029)</f>
        <v>3718029</v>
      </c>
      <c r="C11946" s="14">
        <f ca="1">IFERROR(__xludf.DUMMYFUNCTION("""COMPUTED_VALUE"""),0)</f>
        <v>0</v>
      </c>
      <c r="D11946" s="12" t="str">
        <f ca="1">IFERROR(__xludf.DUMMYFUNCTION("""COMPUTED_VALUE"""),"渋谷 雄大")</f>
        <v>渋谷 雄大</v>
      </c>
    </row>
    <row r="11947" spans="2:4" ht="13">
      <c r="B11947" s="12">
        <f ca="1">IFERROR(__xludf.DUMMYFUNCTION("""COMPUTED_VALUE"""),3718030)</f>
        <v>3718030</v>
      </c>
      <c r="C11947" s="14">
        <f ca="1">IFERROR(__xludf.DUMMYFUNCTION("""COMPUTED_VALUE"""),0)</f>
        <v>0</v>
      </c>
      <c r="D11947" s="12" t="str">
        <f ca="1">IFERROR(__xludf.DUMMYFUNCTION("""COMPUTED_VALUE"""),"渋谷 雄大")</f>
        <v>渋谷 雄大</v>
      </c>
    </row>
    <row r="11948" spans="2:4" ht="13">
      <c r="B11948" s="12">
        <f ca="1">IFERROR(__xludf.DUMMYFUNCTION("""COMPUTED_VALUE"""),3718031)</f>
        <v>3718031</v>
      </c>
      <c r="C11948" s="14">
        <f ca="1">IFERROR(__xludf.DUMMYFUNCTION("""COMPUTED_VALUE"""),0)</f>
        <v>0</v>
      </c>
      <c r="D11948" s="12" t="str">
        <f ca="1">IFERROR(__xludf.DUMMYFUNCTION("""COMPUTED_VALUE"""),"渋谷 雄大")</f>
        <v>渋谷 雄大</v>
      </c>
    </row>
    <row r="11949" spans="2:4" ht="13">
      <c r="B11949" s="12">
        <f ca="1">IFERROR(__xludf.DUMMYFUNCTION("""COMPUTED_VALUE"""),3718032)</f>
        <v>3718032</v>
      </c>
      <c r="C11949" s="14">
        <f ca="1">IFERROR(__xludf.DUMMYFUNCTION("""COMPUTED_VALUE"""),0)</f>
        <v>0</v>
      </c>
      <c r="D11949" s="12" t="str">
        <f ca="1">IFERROR(__xludf.DUMMYFUNCTION("""COMPUTED_VALUE"""),"渋谷 雄大")</f>
        <v>渋谷 雄大</v>
      </c>
    </row>
    <row r="11950" spans="2:4" ht="13">
      <c r="B11950" s="12">
        <f ca="1">IFERROR(__xludf.DUMMYFUNCTION("""COMPUTED_VALUE"""),3718033)</f>
        <v>3718033</v>
      </c>
      <c r="C11950" s="14">
        <f ca="1">IFERROR(__xludf.DUMMYFUNCTION("""COMPUTED_VALUE"""),0)</f>
        <v>0</v>
      </c>
      <c r="D11950" s="12" t="str">
        <f ca="1">IFERROR(__xludf.DUMMYFUNCTION("""COMPUTED_VALUE"""),"渋谷 雄大")</f>
        <v>渋谷 雄大</v>
      </c>
    </row>
    <row r="11951" spans="2:4" ht="13">
      <c r="B11951" s="12">
        <f ca="1">IFERROR(__xludf.DUMMYFUNCTION("""COMPUTED_VALUE"""),3718034)</f>
        <v>3718034</v>
      </c>
      <c r="C11951" s="14">
        <f ca="1">IFERROR(__xludf.DUMMYFUNCTION("""COMPUTED_VALUE"""),0)</f>
        <v>0</v>
      </c>
      <c r="D11951" s="12" t="str">
        <f ca="1">IFERROR(__xludf.DUMMYFUNCTION("""COMPUTED_VALUE"""),"渋谷 雄大")</f>
        <v>渋谷 雄大</v>
      </c>
    </row>
    <row r="11952" spans="2:4" ht="13">
      <c r="B11952" s="12">
        <f ca="1">IFERROR(__xludf.DUMMYFUNCTION("""COMPUTED_VALUE"""),3718035)</f>
        <v>3718035</v>
      </c>
      <c r="C11952" s="14">
        <f ca="1">IFERROR(__xludf.DUMMYFUNCTION("""COMPUTED_VALUE"""),0)</f>
        <v>0</v>
      </c>
      <c r="D11952" s="12" t="str">
        <f ca="1">IFERROR(__xludf.DUMMYFUNCTION("""COMPUTED_VALUE"""),"渋谷 雄大")</f>
        <v>渋谷 雄大</v>
      </c>
    </row>
    <row r="11953" spans="2:4" ht="13">
      <c r="B11953" s="12">
        <f ca="1">IFERROR(__xludf.DUMMYFUNCTION("""COMPUTED_VALUE"""),3718037)</f>
        <v>3718037</v>
      </c>
      <c r="C11953" s="14">
        <f ca="1">IFERROR(__xludf.DUMMYFUNCTION("""COMPUTED_VALUE"""),0)</f>
        <v>0</v>
      </c>
      <c r="D11953" s="12" t="str">
        <f ca="1">IFERROR(__xludf.DUMMYFUNCTION("""COMPUTED_VALUE"""),"渋谷 雄大")</f>
        <v>渋谷 雄大</v>
      </c>
    </row>
    <row r="11954" spans="2:4" ht="13">
      <c r="B11954" s="12">
        <f ca="1">IFERROR(__xludf.DUMMYFUNCTION("""COMPUTED_VALUE"""),3718038)</f>
        <v>3718038</v>
      </c>
      <c r="C11954" s="14">
        <f ca="1">IFERROR(__xludf.DUMMYFUNCTION("""COMPUTED_VALUE"""),0)</f>
        <v>0</v>
      </c>
      <c r="D11954" s="12" t="str">
        <f ca="1">IFERROR(__xludf.DUMMYFUNCTION("""COMPUTED_VALUE"""),"渋谷 雄大")</f>
        <v>渋谷 雄大</v>
      </c>
    </row>
    <row r="11955" spans="2:4" ht="13">
      <c r="B11955" s="12">
        <f ca="1">IFERROR(__xludf.DUMMYFUNCTION("""COMPUTED_VALUE"""),3718040)</f>
        <v>3718040</v>
      </c>
      <c r="C11955" s="14">
        <f ca="1">IFERROR(__xludf.DUMMYFUNCTION("""COMPUTED_VALUE"""),0)</f>
        <v>0</v>
      </c>
      <c r="D11955" s="12" t="str">
        <f ca="1">IFERROR(__xludf.DUMMYFUNCTION("""COMPUTED_VALUE"""),"渋谷 雄大")</f>
        <v>渋谷 雄大</v>
      </c>
    </row>
    <row r="11956" spans="2:4" ht="13">
      <c r="B11956" s="12">
        <f ca="1">IFERROR(__xludf.DUMMYFUNCTION("""COMPUTED_VALUE"""),3718041)</f>
        <v>3718041</v>
      </c>
      <c r="C11956" s="14">
        <f ca="1">IFERROR(__xludf.DUMMYFUNCTION("""COMPUTED_VALUE"""),0)</f>
        <v>0</v>
      </c>
      <c r="D11956" s="12" t="str">
        <f ca="1">IFERROR(__xludf.DUMMYFUNCTION("""COMPUTED_VALUE"""),"渋谷 雄大")</f>
        <v>渋谷 雄大</v>
      </c>
    </row>
    <row r="11957" spans="2:4" ht="13">
      <c r="B11957" s="12">
        <f ca="1">IFERROR(__xludf.DUMMYFUNCTION("""COMPUTED_VALUE"""),3718042)</f>
        <v>3718042</v>
      </c>
      <c r="C11957" s="14">
        <f ca="1">IFERROR(__xludf.DUMMYFUNCTION("""COMPUTED_VALUE"""),0)</f>
        <v>0</v>
      </c>
      <c r="D11957" s="12" t="str">
        <f ca="1">IFERROR(__xludf.DUMMYFUNCTION("""COMPUTED_VALUE"""),"渋谷 雄大")</f>
        <v>渋谷 雄大</v>
      </c>
    </row>
    <row r="11958" spans="2:4" ht="13">
      <c r="B11958" s="12">
        <f ca="1">IFERROR(__xludf.DUMMYFUNCTION("""COMPUTED_VALUE"""),3718043)</f>
        <v>3718043</v>
      </c>
      <c r="C11958" s="14">
        <f ca="1">IFERROR(__xludf.DUMMYFUNCTION("""COMPUTED_VALUE"""),0)</f>
        <v>0</v>
      </c>
      <c r="D11958" s="12" t="str">
        <f ca="1">IFERROR(__xludf.DUMMYFUNCTION("""COMPUTED_VALUE"""),"渋谷 雄大")</f>
        <v>渋谷 雄大</v>
      </c>
    </row>
    <row r="11959" spans="2:4" ht="13">
      <c r="B11959" s="12">
        <f ca="1">IFERROR(__xludf.DUMMYFUNCTION("""COMPUTED_VALUE"""),3718044)</f>
        <v>3718044</v>
      </c>
      <c r="C11959" s="14">
        <f ca="1">IFERROR(__xludf.DUMMYFUNCTION("""COMPUTED_VALUE"""),0)</f>
        <v>0</v>
      </c>
      <c r="D11959" s="12" t="str">
        <f ca="1">IFERROR(__xludf.DUMMYFUNCTION("""COMPUTED_VALUE"""),"渋谷 雄大")</f>
        <v>渋谷 雄大</v>
      </c>
    </row>
    <row r="11960" spans="2:4" ht="13">
      <c r="B11960" s="12">
        <f ca="1">IFERROR(__xludf.DUMMYFUNCTION("""COMPUTED_VALUE"""),3718045)</f>
        <v>3718045</v>
      </c>
      <c r="C11960" s="14">
        <f ca="1">IFERROR(__xludf.DUMMYFUNCTION("""COMPUTED_VALUE"""),0)</f>
        <v>0</v>
      </c>
      <c r="D11960" s="12" t="str">
        <f ca="1">IFERROR(__xludf.DUMMYFUNCTION("""COMPUTED_VALUE"""),"渋谷 雄大")</f>
        <v>渋谷 雄大</v>
      </c>
    </row>
    <row r="11961" spans="2:4" ht="13">
      <c r="B11961" s="12">
        <f ca="1">IFERROR(__xludf.DUMMYFUNCTION("""COMPUTED_VALUE"""),3718046)</f>
        <v>3718046</v>
      </c>
      <c r="C11961" s="14">
        <f ca="1">IFERROR(__xludf.DUMMYFUNCTION("""COMPUTED_VALUE"""),0)</f>
        <v>0</v>
      </c>
      <c r="D11961" s="12" t="str">
        <f ca="1">IFERROR(__xludf.DUMMYFUNCTION("""COMPUTED_VALUE"""),"渋谷 雄大")</f>
        <v>渋谷 雄大</v>
      </c>
    </row>
    <row r="11962" spans="2:4" ht="13">
      <c r="B11962" s="12">
        <f ca="1">IFERROR(__xludf.DUMMYFUNCTION("""COMPUTED_VALUE"""),3718048)</f>
        <v>3718048</v>
      </c>
      <c r="C11962" s="14">
        <f ca="1">IFERROR(__xludf.DUMMYFUNCTION("""COMPUTED_VALUE"""),0)</f>
        <v>0</v>
      </c>
      <c r="D11962" s="12" t="str">
        <f ca="1">IFERROR(__xludf.DUMMYFUNCTION("""COMPUTED_VALUE"""),"渋谷 雄大")</f>
        <v>渋谷 雄大</v>
      </c>
    </row>
    <row r="11963" spans="2:4" ht="13">
      <c r="B11963" s="12">
        <f ca="1">IFERROR(__xludf.DUMMYFUNCTION("""COMPUTED_VALUE"""),3718049)</f>
        <v>3718049</v>
      </c>
      <c r="C11963" s="14">
        <f ca="1">IFERROR(__xludf.DUMMYFUNCTION("""COMPUTED_VALUE"""),0)</f>
        <v>0</v>
      </c>
      <c r="D11963" s="12" t="str">
        <f ca="1">IFERROR(__xludf.DUMMYFUNCTION("""COMPUTED_VALUE"""),"渋谷 雄大")</f>
        <v>渋谷 雄大</v>
      </c>
    </row>
    <row r="11964" spans="2:4" ht="13">
      <c r="B11964" s="12">
        <f ca="1">IFERROR(__xludf.DUMMYFUNCTION("""COMPUTED_VALUE"""),3718050)</f>
        <v>3718050</v>
      </c>
      <c r="C11964" s="14">
        <f ca="1">IFERROR(__xludf.DUMMYFUNCTION("""COMPUTED_VALUE"""),0)</f>
        <v>0</v>
      </c>
      <c r="D11964" s="12" t="str">
        <f ca="1">IFERROR(__xludf.DUMMYFUNCTION("""COMPUTED_VALUE"""),"渋谷 雄大")</f>
        <v>渋谷 雄大</v>
      </c>
    </row>
    <row r="11965" spans="2:4" ht="13">
      <c r="B11965" s="12">
        <f ca="1">IFERROR(__xludf.DUMMYFUNCTION("""COMPUTED_VALUE"""),3718051)</f>
        <v>3718051</v>
      </c>
      <c r="C11965" s="14">
        <f ca="1">IFERROR(__xludf.DUMMYFUNCTION("""COMPUTED_VALUE"""),0)</f>
        <v>0</v>
      </c>
      <c r="D11965" s="12" t="str">
        <f ca="1">IFERROR(__xludf.DUMMYFUNCTION("""COMPUTED_VALUE"""),"渋谷 雄大")</f>
        <v>渋谷 雄大</v>
      </c>
    </row>
    <row r="11966" spans="2:4" ht="13">
      <c r="B11966" s="12">
        <f ca="1">IFERROR(__xludf.DUMMYFUNCTION("""COMPUTED_VALUE"""),3718052)</f>
        <v>3718052</v>
      </c>
      <c r="C11966" s="14">
        <f ca="1">IFERROR(__xludf.DUMMYFUNCTION("""COMPUTED_VALUE"""),0)</f>
        <v>0</v>
      </c>
      <c r="D11966" s="12" t="str">
        <f ca="1">IFERROR(__xludf.DUMMYFUNCTION("""COMPUTED_VALUE"""),"渋谷 雄大")</f>
        <v>渋谷 雄大</v>
      </c>
    </row>
    <row r="11967" spans="2:4" ht="13">
      <c r="B11967" s="12">
        <f ca="1">IFERROR(__xludf.DUMMYFUNCTION("""COMPUTED_VALUE"""),3718053)</f>
        <v>3718053</v>
      </c>
      <c r="C11967" s="14">
        <f ca="1">IFERROR(__xludf.DUMMYFUNCTION("""COMPUTED_VALUE"""),0)</f>
        <v>0</v>
      </c>
      <c r="D11967" s="12" t="str">
        <f ca="1">IFERROR(__xludf.DUMMYFUNCTION("""COMPUTED_VALUE"""),"渋谷 雄大")</f>
        <v>渋谷 雄大</v>
      </c>
    </row>
    <row r="11968" spans="2:4" ht="13">
      <c r="B11968" s="12">
        <f ca="1">IFERROR(__xludf.DUMMYFUNCTION("""COMPUTED_VALUE"""),3718054)</f>
        <v>3718054</v>
      </c>
      <c r="C11968" s="14">
        <f ca="1">IFERROR(__xludf.DUMMYFUNCTION("""COMPUTED_VALUE"""),0)</f>
        <v>0</v>
      </c>
      <c r="D11968" s="12" t="str">
        <f ca="1">IFERROR(__xludf.DUMMYFUNCTION("""COMPUTED_VALUE"""),"渋谷 雄大")</f>
        <v>渋谷 雄大</v>
      </c>
    </row>
    <row r="11969" spans="2:4" ht="13">
      <c r="B11969" s="12">
        <f ca="1">IFERROR(__xludf.DUMMYFUNCTION("""COMPUTED_VALUE"""),3718055)</f>
        <v>3718055</v>
      </c>
      <c r="C11969" s="14">
        <f ca="1">IFERROR(__xludf.DUMMYFUNCTION("""COMPUTED_VALUE"""),0)</f>
        <v>0</v>
      </c>
      <c r="D11969" s="12" t="str">
        <f ca="1">IFERROR(__xludf.DUMMYFUNCTION("""COMPUTED_VALUE"""),"渋谷 雄大")</f>
        <v>渋谷 雄大</v>
      </c>
    </row>
    <row r="11970" spans="2:4" ht="13">
      <c r="B11970" s="12">
        <f ca="1">IFERROR(__xludf.DUMMYFUNCTION("""COMPUTED_VALUE"""),3718056)</f>
        <v>3718056</v>
      </c>
      <c r="C11970" s="14">
        <f ca="1">IFERROR(__xludf.DUMMYFUNCTION("""COMPUTED_VALUE"""),0)</f>
        <v>0</v>
      </c>
      <c r="D11970" s="12" t="str">
        <f ca="1">IFERROR(__xludf.DUMMYFUNCTION("""COMPUTED_VALUE"""),"渋谷 雄大")</f>
        <v>渋谷 雄大</v>
      </c>
    </row>
    <row r="11971" spans="2:4" ht="13">
      <c r="B11971" s="12">
        <f ca="1">IFERROR(__xludf.DUMMYFUNCTION("""COMPUTED_VALUE"""),3718057)</f>
        <v>3718057</v>
      </c>
      <c r="C11971" s="14">
        <f ca="1">IFERROR(__xludf.DUMMYFUNCTION("""COMPUTED_VALUE"""),0)</f>
        <v>0</v>
      </c>
      <c r="D11971" s="12" t="str">
        <f ca="1">IFERROR(__xludf.DUMMYFUNCTION("""COMPUTED_VALUE"""),"渋谷 雄大")</f>
        <v>渋谷 雄大</v>
      </c>
    </row>
    <row r="11972" spans="2:4" ht="13">
      <c r="B11972" s="12">
        <f ca="1">IFERROR(__xludf.DUMMYFUNCTION("""COMPUTED_VALUE"""),3718058)</f>
        <v>3718058</v>
      </c>
      <c r="C11972" s="14">
        <f ca="1">IFERROR(__xludf.DUMMYFUNCTION("""COMPUTED_VALUE"""),0)</f>
        <v>0</v>
      </c>
      <c r="D11972" s="12" t="str">
        <f ca="1">IFERROR(__xludf.DUMMYFUNCTION("""COMPUTED_VALUE"""),"渋谷 雄大")</f>
        <v>渋谷 雄大</v>
      </c>
    </row>
    <row r="11973" spans="2:4" ht="13">
      <c r="B11973" s="12">
        <f ca="1">IFERROR(__xludf.DUMMYFUNCTION("""COMPUTED_VALUE"""),3718059)</f>
        <v>3718059</v>
      </c>
      <c r="C11973" s="14">
        <f ca="1">IFERROR(__xludf.DUMMYFUNCTION("""COMPUTED_VALUE"""),0)</f>
        <v>0</v>
      </c>
      <c r="D11973" s="12" t="str">
        <f ca="1">IFERROR(__xludf.DUMMYFUNCTION("""COMPUTED_VALUE"""),"渋谷 雄大")</f>
        <v>渋谷 雄大</v>
      </c>
    </row>
    <row r="11974" spans="2:4" ht="13">
      <c r="B11974" s="12">
        <f ca="1">IFERROR(__xludf.DUMMYFUNCTION("""COMPUTED_VALUE"""),3718060)</f>
        <v>3718060</v>
      </c>
      <c r="C11974" s="14">
        <f ca="1">IFERROR(__xludf.DUMMYFUNCTION("""COMPUTED_VALUE"""),0)</f>
        <v>0</v>
      </c>
      <c r="D11974" s="12" t="str">
        <f ca="1">IFERROR(__xludf.DUMMYFUNCTION("""COMPUTED_VALUE"""),"渋谷 雄大")</f>
        <v>渋谷 雄大</v>
      </c>
    </row>
    <row r="11975" spans="2:4" ht="13">
      <c r="B11975" s="12">
        <f ca="1">IFERROR(__xludf.DUMMYFUNCTION("""COMPUTED_VALUE"""),3718061)</f>
        <v>3718061</v>
      </c>
      <c r="C11975" s="14">
        <f ca="1">IFERROR(__xludf.DUMMYFUNCTION("""COMPUTED_VALUE"""),0)</f>
        <v>0</v>
      </c>
      <c r="D11975" s="12" t="str">
        <f ca="1">IFERROR(__xludf.DUMMYFUNCTION("""COMPUTED_VALUE"""),"渋谷 雄大")</f>
        <v>渋谷 雄大</v>
      </c>
    </row>
    <row r="11976" spans="2:4" ht="13">
      <c r="B11976" s="12">
        <f ca="1">IFERROR(__xludf.DUMMYFUNCTION("""COMPUTED_VALUE"""),3718063)</f>
        <v>3718063</v>
      </c>
      <c r="C11976" s="14">
        <f ca="1">IFERROR(__xludf.DUMMYFUNCTION("""COMPUTED_VALUE"""),0)</f>
        <v>0</v>
      </c>
      <c r="D11976" s="12" t="str">
        <f ca="1">IFERROR(__xludf.DUMMYFUNCTION("""COMPUTED_VALUE"""),"渋谷 雄大")</f>
        <v>渋谷 雄大</v>
      </c>
    </row>
    <row r="11977" spans="2:4" ht="13">
      <c r="B11977" s="12">
        <f ca="1">IFERROR(__xludf.DUMMYFUNCTION("""COMPUTED_VALUE"""),3718064)</f>
        <v>3718064</v>
      </c>
      <c r="C11977" s="14">
        <f ca="1">IFERROR(__xludf.DUMMYFUNCTION("""COMPUTED_VALUE"""),0)</f>
        <v>0</v>
      </c>
      <c r="D11977" s="12" t="str">
        <f ca="1">IFERROR(__xludf.DUMMYFUNCTION("""COMPUTED_VALUE"""),"渋谷 雄大")</f>
        <v>渋谷 雄大</v>
      </c>
    </row>
    <row r="11978" spans="2:4" ht="13">
      <c r="B11978" s="12">
        <f ca="1">IFERROR(__xludf.DUMMYFUNCTION("""COMPUTED_VALUE"""),3718065)</f>
        <v>3718065</v>
      </c>
      <c r="C11978" s="14">
        <f ca="1">IFERROR(__xludf.DUMMYFUNCTION("""COMPUTED_VALUE"""),0)</f>
        <v>0</v>
      </c>
      <c r="D11978" s="12" t="str">
        <f ca="1">IFERROR(__xludf.DUMMYFUNCTION("""COMPUTED_VALUE"""),"渋谷 雄大")</f>
        <v>渋谷 雄大</v>
      </c>
    </row>
    <row r="11979" spans="2:4" ht="13">
      <c r="B11979" s="12">
        <f ca="1">IFERROR(__xludf.DUMMYFUNCTION("""COMPUTED_VALUE"""),3718066)</f>
        <v>3718066</v>
      </c>
      <c r="C11979" s="14">
        <f ca="1">IFERROR(__xludf.DUMMYFUNCTION("""COMPUTED_VALUE"""),0)</f>
        <v>0</v>
      </c>
      <c r="D11979" s="12" t="str">
        <f ca="1">IFERROR(__xludf.DUMMYFUNCTION("""COMPUTED_VALUE"""),"渋谷 雄大")</f>
        <v>渋谷 雄大</v>
      </c>
    </row>
    <row r="11980" spans="2:4" ht="13">
      <c r="B11980" s="12">
        <f ca="1">IFERROR(__xludf.DUMMYFUNCTION("""COMPUTED_VALUE"""),3718067)</f>
        <v>3718067</v>
      </c>
      <c r="C11980" s="14">
        <f ca="1">IFERROR(__xludf.DUMMYFUNCTION("""COMPUTED_VALUE"""),0)</f>
        <v>0</v>
      </c>
      <c r="D11980" s="12" t="str">
        <f ca="1">IFERROR(__xludf.DUMMYFUNCTION("""COMPUTED_VALUE"""),"渋谷 雄大")</f>
        <v>渋谷 雄大</v>
      </c>
    </row>
    <row r="11981" spans="2:4" ht="13">
      <c r="B11981" s="12">
        <f ca="1">IFERROR(__xludf.DUMMYFUNCTION("""COMPUTED_VALUE"""),3718068)</f>
        <v>3718068</v>
      </c>
      <c r="C11981" s="14">
        <f ca="1">IFERROR(__xludf.DUMMYFUNCTION("""COMPUTED_VALUE"""),0)</f>
        <v>0</v>
      </c>
      <c r="D11981" s="12" t="str">
        <f ca="1">IFERROR(__xludf.DUMMYFUNCTION("""COMPUTED_VALUE"""),"渋谷 雄大")</f>
        <v>渋谷 雄大</v>
      </c>
    </row>
    <row r="11982" spans="2:4" ht="13">
      <c r="B11982" s="12">
        <f ca="1">IFERROR(__xludf.DUMMYFUNCTION("""COMPUTED_VALUE"""),3718069)</f>
        <v>3718069</v>
      </c>
      <c r="C11982" s="14">
        <f ca="1">IFERROR(__xludf.DUMMYFUNCTION("""COMPUTED_VALUE"""),0)</f>
        <v>0</v>
      </c>
      <c r="D11982" s="12" t="str">
        <f ca="1">IFERROR(__xludf.DUMMYFUNCTION("""COMPUTED_VALUE"""),"渋谷 雄大")</f>
        <v>渋谷 雄大</v>
      </c>
    </row>
    <row r="11983" spans="2:4" ht="13">
      <c r="B11983" s="12">
        <f ca="1">IFERROR(__xludf.DUMMYFUNCTION("""COMPUTED_VALUE"""),3718070)</f>
        <v>3718070</v>
      </c>
      <c r="C11983" s="14">
        <f ca="1">IFERROR(__xludf.DUMMYFUNCTION("""COMPUTED_VALUE"""),0)</f>
        <v>0</v>
      </c>
      <c r="D11983" s="12" t="str">
        <f ca="1">IFERROR(__xludf.DUMMYFUNCTION("""COMPUTED_VALUE"""),"渋谷 雄大")</f>
        <v>渋谷 雄大</v>
      </c>
    </row>
    <row r="11984" spans="2:4" ht="13">
      <c r="B11984" s="12">
        <f ca="1">IFERROR(__xludf.DUMMYFUNCTION("""COMPUTED_VALUE"""),3718071)</f>
        <v>3718071</v>
      </c>
      <c r="C11984" s="14">
        <f ca="1">IFERROR(__xludf.DUMMYFUNCTION("""COMPUTED_VALUE"""),0)</f>
        <v>0</v>
      </c>
      <c r="D11984" s="12" t="str">
        <f ca="1">IFERROR(__xludf.DUMMYFUNCTION("""COMPUTED_VALUE"""),"渋谷 雄大")</f>
        <v>渋谷 雄大</v>
      </c>
    </row>
    <row r="11985" spans="2:4" ht="13">
      <c r="B11985" s="12">
        <f ca="1">IFERROR(__xludf.DUMMYFUNCTION("""COMPUTED_VALUE"""),3718072)</f>
        <v>3718072</v>
      </c>
      <c r="C11985" s="14">
        <f ca="1">IFERROR(__xludf.DUMMYFUNCTION("""COMPUTED_VALUE"""),0)</f>
        <v>0</v>
      </c>
      <c r="D11985" s="12" t="str">
        <f ca="1">IFERROR(__xludf.DUMMYFUNCTION("""COMPUTED_VALUE"""),"渋谷 雄大")</f>
        <v>渋谷 雄大</v>
      </c>
    </row>
    <row r="11986" spans="2:4" ht="13">
      <c r="B11986" s="12">
        <f ca="1">IFERROR(__xludf.DUMMYFUNCTION("""COMPUTED_VALUE"""),3718073)</f>
        <v>3718073</v>
      </c>
      <c r="C11986" s="14">
        <f ca="1">IFERROR(__xludf.DUMMYFUNCTION("""COMPUTED_VALUE"""),0)</f>
        <v>0</v>
      </c>
      <c r="D11986" s="12" t="str">
        <f ca="1">IFERROR(__xludf.DUMMYFUNCTION("""COMPUTED_VALUE"""),"渋谷 雄大")</f>
        <v>渋谷 雄大</v>
      </c>
    </row>
    <row r="11987" spans="2:4" ht="13">
      <c r="B11987" s="12">
        <f ca="1">IFERROR(__xludf.DUMMYFUNCTION("""COMPUTED_VALUE"""),3718074)</f>
        <v>3718074</v>
      </c>
      <c r="C11987" s="14">
        <f ca="1">IFERROR(__xludf.DUMMYFUNCTION("""COMPUTED_VALUE"""),0)</f>
        <v>0</v>
      </c>
      <c r="D11987" s="12" t="str">
        <f ca="1">IFERROR(__xludf.DUMMYFUNCTION("""COMPUTED_VALUE"""),"渋谷 雄大")</f>
        <v>渋谷 雄大</v>
      </c>
    </row>
    <row r="11988" spans="2:4" ht="13">
      <c r="B11988" s="12">
        <f ca="1">IFERROR(__xludf.DUMMYFUNCTION("""COMPUTED_VALUE"""),3718075)</f>
        <v>3718075</v>
      </c>
      <c r="C11988" s="14">
        <f ca="1">IFERROR(__xludf.DUMMYFUNCTION("""COMPUTED_VALUE"""),0)</f>
        <v>0</v>
      </c>
      <c r="D11988" s="12" t="str">
        <f ca="1">IFERROR(__xludf.DUMMYFUNCTION("""COMPUTED_VALUE"""),"渋谷 雄大")</f>
        <v>渋谷 雄大</v>
      </c>
    </row>
    <row r="11989" spans="2:4" ht="13">
      <c r="B11989" s="12">
        <f ca="1">IFERROR(__xludf.DUMMYFUNCTION("""COMPUTED_VALUE"""),3718076)</f>
        <v>3718076</v>
      </c>
      <c r="C11989" s="14">
        <f ca="1">IFERROR(__xludf.DUMMYFUNCTION("""COMPUTED_VALUE"""),0)</f>
        <v>0</v>
      </c>
      <c r="D11989" s="12" t="str">
        <f ca="1">IFERROR(__xludf.DUMMYFUNCTION("""COMPUTED_VALUE"""),"渋谷 雄大")</f>
        <v>渋谷 雄大</v>
      </c>
    </row>
    <row r="11990" spans="2:4" ht="13">
      <c r="B11990" s="12">
        <f ca="1">IFERROR(__xludf.DUMMYFUNCTION("""COMPUTED_VALUE"""),3718077)</f>
        <v>3718077</v>
      </c>
      <c r="C11990" s="14">
        <f ca="1">IFERROR(__xludf.DUMMYFUNCTION("""COMPUTED_VALUE"""),0)</f>
        <v>0</v>
      </c>
      <c r="D11990" s="12" t="str">
        <f ca="1">IFERROR(__xludf.DUMMYFUNCTION("""COMPUTED_VALUE"""),"渋谷 雄大")</f>
        <v>渋谷 雄大</v>
      </c>
    </row>
    <row r="11991" spans="2:4" ht="13">
      <c r="B11991" s="12">
        <f ca="1">IFERROR(__xludf.DUMMYFUNCTION("""COMPUTED_VALUE"""),3718078)</f>
        <v>3718078</v>
      </c>
      <c r="C11991" s="14">
        <f ca="1">IFERROR(__xludf.DUMMYFUNCTION("""COMPUTED_VALUE"""),0)</f>
        <v>0</v>
      </c>
      <c r="D11991" s="12" t="str">
        <f ca="1">IFERROR(__xludf.DUMMYFUNCTION("""COMPUTED_VALUE"""),"渋谷 雄大")</f>
        <v>渋谷 雄大</v>
      </c>
    </row>
    <row r="11992" spans="2:4" ht="13">
      <c r="B11992" s="12">
        <f ca="1">IFERROR(__xludf.DUMMYFUNCTION("""COMPUTED_VALUE"""),3718079)</f>
        <v>3718079</v>
      </c>
      <c r="C11992" s="14">
        <f ca="1">IFERROR(__xludf.DUMMYFUNCTION("""COMPUTED_VALUE"""),0)</f>
        <v>0</v>
      </c>
      <c r="D11992" s="12" t="str">
        <f ca="1">IFERROR(__xludf.DUMMYFUNCTION("""COMPUTED_VALUE"""),"渋谷 雄大")</f>
        <v>渋谷 雄大</v>
      </c>
    </row>
    <row r="11993" spans="2:4" ht="13">
      <c r="B11993" s="12">
        <f ca="1">IFERROR(__xludf.DUMMYFUNCTION("""COMPUTED_VALUE"""),3718080)</f>
        <v>3718080</v>
      </c>
      <c r="C11993" s="14">
        <f ca="1">IFERROR(__xludf.DUMMYFUNCTION("""COMPUTED_VALUE"""),0)</f>
        <v>0</v>
      </c>
      <c r="D11993" s="12" t="str">
        <f ca="1">IFERROR(__xludf.DUMMYFUNCTION("""COMPUTED_VALUE"""),"渋谷 雄大")</f>
        <v>渋谷 雄大</v>
      </c>
    </row>
    <row r="11994" spans="2:4" ht="13">
      <c r="B11994" s="12">
        <f ca="1">IFERROR(__xludf.DUMMYFUNCTION("""COMPUTED_VALUE"""),3718081)</f>
        <v>3718081</v>
      </c>
      <c r="C11994" s="14">
        <f ca="1">IFERROR(__xludf.DUMMYFUNCTION("""COMPUTED_VALUE"""),0)</f>
        <v>0</v>
      </c>
      <c r="D11994" s="12" t="str">
        <f ca="1">IFERROR(__xludf.DUMMYFUNCTION("""COMPUTED_VALUE"""),"渋谷 雄大")</f>
        <v>渋谷 雄大</v>
      </c>
    </row>
    <row r="11995" spans="2:4" ht="13">
      <c r="B11995" s="12">
        <f ca="1">IFERROR(__xludf.DUMMYFUNCTION("""COMPUTED_VALUE"""),3718082)</f>
        <v>3718082</v>
      </c>
      <c r="C11995" s="14">
        <f ca="1">IFERROR(__xludf.DUMMYFUNCTION("""COMPUTED_VALUE"""),0)</f>
        <v>0</v>
      </c>
      <c r="D11995" s="12" t="str">
        <f ca="1">IFERROR(__xludf.DUMMYFUNCTION("""COMPUTED_VALUE"""),"渋谷 雄大")</f>
        <v>渋谷 雄大</v>
      </c>
    </row>
    <row r="11996" spans="2:4" ht="13">
      <c r="B11996" s="12">
        <f ca="1">IFERROR(__xludf.DUMMYFUNCTION("""COMPUTED_VALUE"""),3718083)</f>
        <v>3718083</v>
      </c>
      <c r="C11996" s="14">
        <f ca="1">IFERROR(__xludf.DUMMYFUNCTION("""COMPUTED_VALUE"""),0)</f>
        <v>0</v>
      </c>
      <c r="D11996" s="12" t="str">
        <f ca="1">IFERROR(__xludf.DUMMYFUNCTION("""COMPUTED_VALUE"""),"渋谷 雄大")</f>
        <v>渋谷 雄大</v>
      </c>
    </row>
    <row r="11997" spans="2:4" ht="13">
      <c r="B11997" s="12">
        <f ca="1">IFERROR(__xludf.DUMMYFUNCTION("""COMPUTED_VALUE"""),3718084)</f>
        <v>3718084</v>
      </c>
      <c r="C11997" s="14">
        <f ca="1">IFERROR(__xludf.DUMMYFUNCTION("""COMPUTED_VALUE"""),0)</f>
        <v>0</v>
      </c>
      <c r="D11997" s="12" t="str">
        <f ca="1">IFERROR(__xludf.DUMMYFUNCTION("""COMPUTED_VALUE"""),"渋谷 雄大")</f>
        <v>渋谷 雄大</v>
      </c>
    </row>
    <row r="11998" spans="2:4" ht="13">
      <c r="B11998" s="12">
        <f ca="1">IFERROR(__xludf.DUMMYFUNCTION("""COMPUTED_VALUE"""),3718086)</f>
        <v>3718086</v>
      </c>
      <c r="C11998" s="14">
        <f ca="1">IFERROR(__xludf.DUMMYFUNCTION("""COMPUTED_VALUE"""),0)</f>
        <v>0</v>
      </c>
      <c r="D11998" s="12" t="str">
        <f ca="1">IFERROR(__xludf.DUMMYFUNCTION("""COMPUTED_VALUE"""),"渋谷 雄大")</f>
        <v>渋谷 雄大</v>
      </c>
    </row>
    <row r="11999" spans="2:4" ht="13">
      <c r="B11999" s="12">
        <f ca="1">IFERROR(__xludf.DUMMYFUNCTION("""COMPUTED_VALUE"""),3718087)</f>
        <v>3718087</v>
      </c>
      <c r="C11999" s="14">
        <f ca="1">IFERROR(__xludf.DUMMYFUNCTION("""COMPUTED_VALUE"""),0)</f>
        <v>0</v>
      </c>
      <c r="D11999" s="12" t="str">
        <f ca="1">IFERROR(__xludf.DUMMYFUNCTION("""COMPUTED_VALUE"""),"渋谷 雄大")</f>
        <v>渋谷 雄大</v>
      </c>
    </row>
    <row r="12000" spans="2:4" ht="13">
      <c r="B12000" s="12">
        <f ca="1">IFERROR(__xludf.DUMMYFUNCTION("""COMPUTED_VALUE"""),3718088)</f>
        <v>3718088</v>
      </c>
      <c r="C12000" s="14">
        <f ca="1">IFERROR(__xludf.DUMMYFUNCTION("""COMPUTED_VALUE"""),0)</f>
        <v>0</v>
      </c>
      <c r="D12000" s="12" t="str">
        <f ca="1">IFERROR(__xludf.DUMMYFUNCTION("""COMPUTED_VALUE"""),"渋谷 雄大")</f>
        <v>渋谷 雄大</v>
      </c>
    </row>
    <row r="12001" spans="2:4" ht="13">
      <c r="B12001" s="12">
        <f ca="1">IFERROR(__xludf.DUMMYFUNCTION("""COMPUTED_VALUE"""),3718089)</f>
        <v>3718089</v>
      </c>
      <c r="C12001" s="14">
        <f ca="1">IFERROR(__xludf.DUMMYFUNCTION("""COMPUTED_VALUE"""),0)</f>
        <v>0</v>
      </c>
      <c r="D12001" s="12" t="str">
        <f ca="1">IFERROR(__xludf.DUMMYFUNCTION("""COMPUTED_VALUE"""),"渋谷 雄大")</f>
        <v>渋谷 雄大</v>
      </c>
    </row>
    <row r="12002" spans="2:4" ht="13">
      <c r="B12002" s="12">
        <f ca="1">IFERROR(__xludf.DUMMYFUNCTION("""COMPUTED_VALUE"""),3718090)</f>
        <v>3718090</v>
      </c>
      <c r="C12002" s="14">
        <f ca="1">IFERROR(__xludf.DUMMYFUNCTION("""COMPUTED_VALUE"""),0)</f>
        <v>0</v>
      </c>
      <c r="D12002" s="12" t="str">
        <f ca="1">IFERROR(__xludf.DUMMYFUNCTION("""COMPUTED_VALUE"""),"渋谷 雄大")</f>
        <v>渋谷 雄大</v>
      </c>
    </row>
    <row r="12003" spans="2:4" ht="13">
      <c r="B12003" s="12">
        <f ca="1">IFERROR(__xludf.DUMMYFUNCTION("""COMPUTED_VALUE"""),3718091)</f>
        <v>3718091</v>
      </c>
      <c r="C12003" s="14">
        <f ca="1">IFERROR(__xludf.DUMMYFUNCTION("""COMPUTED_VALUE"""),0)</f>
        <v>0</v>
      </c>
      <c r="D12003" s="12" t="str">
        <f ca="1">IFERROR(__xludf.DUMMYFUNCTION("""COMPUTED_VALUE"""),"渋谷 雄大")</f>
        <v>渋谷 雄大</v>
      </c>
    </row>
    <row r="12004" spans="2:4" ht="13">
      <c r="B12004" s="12">
        <f ca="1">IFERROR(__xludf.DUMMYFUNCTION("""COMPUTED_VALUE"""),3718092)</f>
        <v>3718092</v>
      </c>
      <c r="C12004" s="14">
        <f ca="1">IFERROR(__xludf.DUMMYFUNCTION("""COMPUTED_VALUE"""),0)</f>
        <v>0</v>
      </c>
      <c r="D12004" s="12" t="str">
        <f ca="1">IFERROR(__xludf.DUMMYFUNCTION("""COMPUTED_VALUE"""),"渋谷 雄大")</f>
        <v>渋谷 雄大</v>
      </c>
    </row>
    <row r="12005" spans="2:4" ht="13">
      <c r="B12005" s="12">
        <f ca="1">IFERROR(__xludf.DUMMYFUNCTION("""COMPUTED_VALUE"""),3718093)</f>
        <v>3718093</v>
      </c>
      <c r="C12005" s="14">
        <f ca="1">IFERROR(__xludf.DUMMYFUNCTION("""COMPUTED_VALUE"""),0)</f>
        <v>0</v>
      </c>
      <c r="D12005" s="12" t="str">
        <f ca="1">IFERROR(__xludf.DUMMYFUNCTION("""COMPUTED_VALUE"""),"渋谷 雄大")</f>
        <v>渋谷 雄大</v>
      </c>
    </row>
    <row r="12006" spans="2:4" ht="13">
      <c r="B12006" s="12">
        <f ca="1">IFERROR(__xludf.DUMMYFUNCTION("""COMPUTED_VALUE"""),3718094)</f>
        <v>3718094</v>
      </c>
      <c r="C12006" s="14">
        <f ca="1">IFERROR(__xludf.DUMMYFUNCTION("""COMPUTED_VALUE"""),0)</f>
        <v>0</v>
      </c>
      <c r="D12006" s="12" t="str">
        <f ca="1">IFERROR(__xludf.DUMMYFUNCTION("""COMPUTED_VALUE"""),"渋谷 雄大")</f>
        <v>渋谷 雄大</v>
      </c>
    </row>
    <row r="12007" spans="2:4" ht="13">
      <c r="B12007" s="12">
        <f ca="1">IFERROR(__xludf.DUMMYFUNCTION("""COMPUTED_VALUE"""),3718095)</f>
        <v>3718095</v>
      </c>
      <c r="C12007" s="14">
        <f ca="1">IFERROR(__xludf.DUMMYFUNCTION("""COMPUTED_VALUE"""),0)</f>
        <v>0</v>
      </c>
      <c r="D12007" s="12" t="str">
        <f ca="1">IFERROR(__xludf.DUMMYFUNCTION("""COMPUTED_VALUE"""),"渋谷 雄大")</f>
        <v>渋谷 雄大</v>
      </c>
    </row>
    <row r="12008" spans="2:4" ht="13">
      <c r="B12008" s="12">
        <f ca="1">IFERROR(__xludf.DUMMYFUNCTION("""COMPUTED_VALUE"""),3718096)</f>
        <v>3718096</v>
      </c>
      <c r="C12008" s="14">
        <f ca="1">IFERROR(__xludf.DUMMYFUNCTION("""COMPUTED_VALUE"""),0)</f>
        <v>0</v>
      </c>
      <c r="D12008" s="12" t="str">
        <f ca="1">IFERROR(__xludf.DUMMYFUNCTION("""COMPUTED_VALUE"""),"渋谷 雄大")</f>
        <v>渋谷 雄大</v>
      </c>
    </row>
    <row r="12009" spans="2:4" ht="13">
      <c r="B12009" s="12">
        <f ca="1">IFERROR(__xludf.DUMMYFUNCTION("""COMPUTED_VALUE"""),3718097)</f>
        <v>3718097</v>
      </c>
      <c r="C12009" s="14">
        <f ca="1">IFERROR(__xludf.DUMMYFUNCTION("""COMPUTED_VALUE"""),0)</f>
        <v>0</v>
      </c>
      <c r="D12009" s="12" t="str">
        <f ca="1">IFERROR(__xludf.DUMMYFUNCTION("""COMPUTED_VALUE"""),"渋谷 雄大")</f>
        <v>渋谷 雄大</v>
      </c>
    </row>
    <row r="12010" spans="2:4" ht="13">
      <c r="B12010" s="12">
        <f ca="1">IFERROR(__xludf.DUMMYFUNCTION("""COMPUTED_VALUE"""),3718098)</f>
        <v>3718098</v>
      </c>
      <c r="C12010" s="14">
        <f ca="1">IFERROR(__xludf.DUMMYFUNCTION("""COMPUTED_VALUE"""),0)</f>
        <v>0</v>
      </c>
      <c r="D12010" s="12" t="str">
        <f ca="1">IFERROR(__xludf.DUMMYFUNCTION("""COMPUTED_VALUE"""),"渋谷 雄大")</f>
        <v>渋谷 雄大</v>
      </c>
    </row>
    <row r="12011" spans="2:4" ht="13">
      <c r="B12011" s="12">
        <f ca="1">IFERROR(__xludf.DUMMYFUNCTION("""COMPUTED_VALUE"""),3718099)</f>
        <v>3718099</v>
      </c>
      <c r="C12011" s="14">
        <f ca="1">IFERROR(__xludf.DUMMYFUNCTION("""COMPUTED_VALUE"""),0)</f>
        <v>0</v>
      </c>
      <c r="D12011" s="12" t="str">
        <f ca="1">IFERROR(__xludf.DUMMYFUNCTION("""COMPUTED_VALUE"""),"渋谷 雄大")</f>
        <v>渋谷 雄大</v>
      </c>
    </row>
    <row r="12012" spans="2:4" ht="13">
      <c r="B12012" s="12">
        <f ca="1">IFERROR(__xludf.DUMMYFUNCTION("""COMPUTED_VALUE"""),3718100)</f>
        <v>3718100</v>
      </c>
      <c r="C12012" s="14">
        <f ca="1">IFERROR(__xludf.DUMMYFUNCTION("""COMPUTED_VALUE"""),0)</f>
        <v>0</v>
      </c>
      <c r="D12012" s="12" t="str">
        <f ca="1">IFERROR(__xludf.DUMMYFUNCTION("""COMPUTED_VALUE"""),"渋谷 雄大")</f>
        <v>渋谷 雄大</v>
      </c>
    </row>
    <row r="12013" spans="2:4" ht="13">
      <c r="B12013" s="12">
        <f ca="1">IFERROR(__xludf.DUMMYFUNCTION("""COMPUTED_VALUE"""),3718101)</f>
        <v>3718101</v>
      </c>
      <c r="C12013" s="14">
        <f ca="1">IFERROR(__xludf.DUMMYFUNCTION("""COMPUTED_VALUE"""),0)</f>
        <v>0</v>
      </c>
      <c r="D12013" s="12" t="str">
        <f ca="1">IFERROR(__xludf.DUMMYFUNCTION("""COMPUTED_VALUE"""),"渋谷 雄大")</f>
        <v>渋谷 雄大</v>
      </c>
    </row>
    <row r="12014" spans="2:4" ht="13">
      <c r="B12014" s="12">
        <f ca="1">IFERROR(__xludf.DUMMYFUNCTION("""COMPUTED_VALUE"""),3718102)</f>
        <v>3718102</v>
      </c>
      <c r="C12014" s="14">
        <f ca="1">IFERROR(__xludf.DUMMYFUNCTION("""COMPUTED_VALUE"""),0)</f>
        <v>0</v>
      </c>
      <c r="D12014" s="12" t="str">
        <f ca="1">IFERROR(__xludf.DUMMYFUNCTION("""COMPUTED_VALUE"""),"渋谷 雄大")</f>
        <v>渋谷 雄大</v>
      </c>
    </row>
    <row r="12015" spans="2:4" ht="13">
      <c r="B12015" s="12">
        <f ca="1">IFERROR(__xludf.DUMMYFUNCTION("""COMPUTED_VALUE"""),3718104)</f>
        <v>3718104</v>
      </c>
      <c r="C12015" s="14">
        <f ca="1">IFERROR(__xludf.DUMMYFUNCTION("""COMPUTED_VALUE"""),0)</f>
        <v>0</v>
      </c>
      <c r="D12015" s="12" t="str">
        <f ca="1">IFERROR(__xludf.DUMMYFUNCTION("""COMPUTED_VALUE"""),"渋谷 雄大")</f>
        <v>渋谷 雄大</v>
      </c>
    </row>
    <row r="12016" spans="2:4" ht="13">
      <c r="B12016" s="12">
        <f ca="1">IFERROR(__xludf.DUMMYFUNCTION("""COMPUTED_VALUE"""),3718105)</f>
        <v>3718105</v>
      </c>
      <c r="C12016" s="14">
        <f ca="1">IFERROR(__xludf.DUMMYFUNCTION("""COMPUTED_VALUE"""),0)</f>
        <v>0</v>
      </c>
      <c r="D12016" s="12" t="str">
        <f ca="1">IFERROR(__xludf.DUMMYFUNCTION("""COMPUTED_VALUE"""),"渋谷 雄大")</f>
        <v>渋谷 雄大</v>
      </c>
    </row>
    <row r="12017" spans="2:4" ht="13">
      <c r="B12017" s="12">
        <f ca="1">IFERROR(__xludf.DUMMYFUNCTION("""COMPUTED_VALUE"""),3718106)</f>
        <v>3718106</v>
      </c>
      <c r="C12017" s="14">
        <f ca="1">IFERROR(__xludf.DUMMYFUNCTION("""COMPUTED_VALUE"""),0)</f>
        <v>0</v>
      </c>
      <c r="D12017" s="12" t="str">
        <f ca="1">IFERROR(__xludf.DUMMYFUNCTION("""COMPUTED_VALUE"""),"渋谷 雄大")</f>
        <v>渋谷 雄大</v>
      </c>
    </row>
    <row r="12018" spans="2:4" ht="13">
      <c r="B12018" s="12">
        <f ca="1">IFERROR(__xludf.DUMMYFUNCTION("""COMPUTED_VALUE"""),3718107)</f>
        <v>3718107</v>
      </c>
      <c r="C12018" s="14">
        <f ca="1">IFERROR(__xludf.DUMMYFUNCTION("""COMPUTED_VALUE"""),0)</f>
        <v>0</v>
      </c>
      <c r="D12018" s="12" t="str">
        <f ca="1">IFERROR(__xludf.DUMMYFUNCTION("""COMPUTED_VALUE"""),"渋谷 雄大")</f>
        <v>渋谷 雄大</v>
      </c>
    </row>
    <row r="12019" spans="2:4" ht="13">
      <c r="B12019" s="12">
        <f ca="1">IFERROR(__xludf.DUMMYFUNCTION("""COMPUTED_VALUE"""),3718108)</f>
        <v>3718108</v>
      </c>
      <c r="C12019" s="14">
        <f ca="1">IFERROR(__xludf.DUMMYFUNCTION("""COMPUTED_VALUE"""),0)</f>
        <v>0</v>
      </c>
      <c r="D12019" s="12" t="str">
        <f ca="1">IFERROR(__xludf.DUMMYFUNCTION("""COMPUTED_VALUE"""),"渋谷 雄大")</f>
        <v>渋谷 雄大</v>
      </c>
    </row>
    <row r="12020" spans="2:4" ht="13">
      <c r="B12020" s="12">
        <f ca="1">IFERROR(__xludf.DUMMYFUNCTION("""COMPUTED_VALUE"""),3718109)</f>
        <v>3718109</v>
      </c>
      <c r="C12020" s="14">
        <f ca="1">IFERROR(__xludf.DUMMYFUNCTION("""COMPUTED_VALUE"""),0)</f>
        <v>0</v>
      </c>
      <c r="D12020" s="12" t="str">
        <f ca="1">IFERROR(__xludf.DUMMYFUNCTION("""COMPUTED_VALUE"""),"渋谷 雄大")</f>
        <v>渋谷 雄大</v>
      </c>
    </row>
    <row r="12021" spans="2:4" ht="13">
      <c r="B12021" s="12">
        <f ca="1">IFERROR(__xludf.DUMMYFUNCTION("""COMPUTED_VALUE"""),3718110)</f>
        <v>3718110</v>
      </c>
      <c r="C12021" s="14">
        <f ca="1">IFERROR(__xludf.DUMMYFUNCTION("""COMPUTED_VALUE"""),0)</f>
        <v>0</v>
      </c>
      <c r="D12021" s="12" t="str">
        <f ca="1">IFERROR(__xludf.DUMMYFUNCTION("""COMPUTED_VALUE"""),"渋谷 雄大")</f>
        <v>渋谷 雄大</v>
      </c>
    </row>
    <row r="12022" spans="2:4" ht="13">
      <c r="B12022" s="12">
        <f ca="1">IFERROR(__xludf.DUMMYFUNCTION("""COMPUTED_VALUE"""),3718111)</f>
        <v>3718111</v>
      </c>
      <c r="C12022" s="14">
        <f ca="1">IFERROR(__xludf.DUMMYFUNCTION("""COMPUTED_VALUE"""),0)</f>
        <v>0</v>
      </c>
      <c r="D12022" s="12" t="str">
        <f ca="1">IFERROR(__xludf.DUMMYFUNCTION("""COMPUTED_VALUE"""),"渋谷 雄大")</f>
        <v>渋谷 雄大</v>
      </c>
    </row>
    <row r="12023" spans="2:4" ht="13">
      <c r="B12023" s="12">
        <f ca="1">IFERROR(__xludf.DUMMYFUNCTION("""COMPUTED_VALUE"""),3718112)</f>
        <v>3718112</v>
      </c>
      <c r="C12023" s="14">
        <f ca="1">IFERROR(__xludf.DUMMYFUNCTION("""COMPUTED_VALUE"""),0)</f>
        <v>0</v>
      </c>
      <c r="D12023" s="12" t="str">
        <f ca="1">IFERROR(__xludf.DUMMYFUNCTION("""COMPUTED_VALUE"""),"渋谷 雄大")</f>
        <v>渋谷 雄大</v>
      </c>
    </row>
    <row r="12024" spans="2:4" ht="13">
      <c r="B12024" s="12">
        <f ca="1">IFERROR(__xludf.DUMMYFUNCTION("""COMPUTED_VALUE"""),3718113)</f>
        <v>3718113</v>
      </c>
      <c r="C12024" s="14">
        <f ca="1">IFERROR(__xludf.DUMMYFUNCTION("""COMPUTED_VALUE"""),0)</f>
        <v>0</v>
      </c>
      <c r="D12024" s="12" t="str">
        <f ca="1">IFERROR(__xludf.DUMMYFUNCTION("""COMPUTED_VALUE"""),"渋谷 雄大")</f>
        <v>渋谷 雄大</v>
      </c>
    </row>
    <row r="12025" spans="2:4" ht="13">
      <c r="B12025" s="12">
        <f ca="1">IFERROR(__xludf.DUMMYFUNCTION("""COMPUTED_VALUE"""),3718114)</f>
        <v>3718114</v>
      </c>
      <c r="C12025" s="14">
        <f ca="1">IFERROR(__xludf.DUMMYFUNCTION("""COMPUTED_VALUE"""),0)</f>
        <v>0</v>
      </c>
      <c r="D12025" s="12" t="str">
        <f ca="1">IFERROR(__xludf.DUMMYFUNCTION("""COMPUTED_VALUE"""),"渋谷 雄大")</f>
        <v>渋谷 雄大</v>
      </c>
    </row>
    <row r="12026" spans="2:4" ht="13">
      <c r="B12026" s="12">
        <f ca="1">IFERROR(__xludf.DUMMYFUNCTION("""COMPUTED_VALUE"""),3718115)</f>
        <v>3718115</v>
      </c>
      <c r="C12026" s="14">
        <f ca="1">IFERROR(__xludf.DUMMYFUNCTION("""COMPUTED_VALUE"""),0)</f>
        <v>0</v>
      </c>
      <c r="D12026" s="12" t="str">
        <f ca="1">IFERROR(__xludf.DUMMYFUNCTION("""COMPUTED_VALUE"""),"渋谷 雄大")</f>
        <v>渋谷 雄大</v>
      </c>
    </row>
    <row r="12027" spans="2:4" ht="13">
      <c r="B12027" s="12">
        <f ca="1">IFERROR(__xludf.DUMMYFUNCTION("""COMPUTED_VALUE"""),3718116)</f>
        <v>3718116</v>
      </c>
      <c r="C12027" s="14">
        <f ca="1">IFERROR(__xludf.DUMMYFUNCTION("""COMPUTED_VALUE"""),0)</f>
        <v>0</v>
      </c>
      <c r="D12027" s="12" t="str">
        <f ca="1">IFERROR(__xludf.DUMMYFUNCTION("""COMPUTED_VALUE"""),"渋谷 雄大")</f>
        <v>渋谷 雄大</v>
      </c>
    </row>
    <row r="12028" spans="2:4" ht="13">
      <c r="B12028" s="12">
        <f ca="1">IFERROR(__xludf.DUMMYFUNCTION("""COMPUTED_VALUE"""),3718117)</f>
        <v>3718117</v>
      </c>
      <c r="C12028" s="14">
        <f ca="1">IFERROR(__xludf.DUMMYFUNCTION("""COMPUTED_VALUE"""),0)</f>
        <v>0</v>
      </c>
      <c r="D12028" s="12" t="str">
        <f ca="1">IFERROR(__xludf.DUMMYFUNCTION("""COMPUTED_VALUE"""),"渋谷 雄大")</f>
        <v>渋谷 雄大</v>
      </c>
    </row>
    <row r="12029" spans="2:4" ht="13">
      <c r="B12029" s="12">
        <f ca="1">IFERROR(__xludf.DUMMYFUNCTION("""COMPUTED_VALUE"""),3718118)</f>
        <v>3718118</v>
      </c>
      <c r="C12029" s="14">
        <f ca="1">IFERROR(__xludf.DUMMYFUNCTION("""COMPUTED_VALUE"""),0)</f>
        <v>0</v>
      </c>
      <c r="D12029" s="12" t="str">
        <f ca="1">IFERROR(__xludf.DUMMYFUNCTION("""COMPUTED_VALUE"""),"渋谷 雄大")</f>
        <v>渋谷 雄大</v>
      </c>
    </row>
    <row r="12030" spans="2:4" ht="13">
      <c r="B12030" s="12">
        <f ca="1">IFERROR(__xludf.DUMMYFUNCTION("""COMPUTED_VALUE"""),3718119)</f>
        <v>3718119</v>
      </c>
      <c r="C12030" s="14">
        <f ca="1">IFERROR(__xludf.DUMMYFUNCTION("""COMPUTED_VALUE"""),0)</f>
        <v>0</v>
      </c>
      <c r="D12030" s="12" t="str">
        <f ca="1">IFERROR(__xludf.DUMMYFUNCTION("""COMPUTED_VALUE"""),"渋谷 雄大")</f>
        <v>渋谷 雄大</v>
      </c>
    </row>
    <row r="12031" spans="2:4" ht="13">
      <c r="B12031" s="12">
        <f ca="1">IFERROR(__xludf.DUMMYFUNCTION("""COMPUTED_VALUE"""),3718121)</f>
        <v>3718121</v>
      </c>
      <c r="C12031" s="14">
        <f ca="1">IFERROR(__xludf.DUMMYFUNCTION("""COMPUTED_VALUE"""),0)</f>
        <v>0</v>
      </c>
      <c r="D12031" s="12" t="str">
        <f ca="1">IFERROR(__xludf.DUMMYFUNCTION("""COMPUTED_VALUE"""),"渋谷 雄大")</f>
        <v>渋谷 雄大</v>
      </c>
    </row>
    <row r="12032" spans="2:4" ht="13">
      <c r="B12032" s="12">
        <f ca="1">IFERROR(__xludf.DUMMYFUNCTION("""COMPUTED_VALUE"""),3718122)</f>
        <v>3718122</v>
      </c>
      <c r="C12032" s="14">
        <f ca="1">IFERROR(__xludf.DUMMYFUNCTION("""COMPUTED_VALUE"""),0)</f>
        <v>0</v>
      </c>
      <c r="D12032" s="12" t="str">
        <f ca="1">IFERROR(__xludf.DUMMYFUNCTION("""COMPUTED_VALUE"""),"渋谷 雄大")</f>
        <v>渋谷 雄大</v>
      </c>
    </row>
    <row r="12033" spans="2:4" ht="13">
      <c r="B12033" s="12">
        <f ca="1">IFERROR(__xludf.DUMMYFUNCTION("""COMPUTED_VALUE"""),3718124)</f>
        <v>3718124</v>
      </c>
      <c r="C12033" s="14">
        <f ca="1">IFERROR(__xludf.DUMMYFUNCTION("""COMPUTED_VALUE"""),0)</f>
        <v>0</v>
      </c>
      <c r="D12033" s="12" t="str">
        <f ca="1">IFERROR(__xludf.DUMMYFUNCTION("""COMPUTED_VALUE"""),"渋谷 雄大")</f>
        <v>渋谷 雄大</v>
      </c>
    </row>
    <row r="12034" spans="2:4" ht="13">
      <c r="B12034" s="12">
        <f ca="1">IFERROR(__xludf.DUMMYFUNCTION("""COMPUTED_VALUE"""),3718125)</f>
        <v>3718125</v>
      </c>
      <c r="C12034" s="14">
        <f ca="1">IFERROR(__xludf.DUMMYFUNCTION("""COMPUTED_VALUE"""),0)</f>
        <v>0</v>
      </c>
      <c r="D12034" s="12" t="str">
        <f ca="1">IFERROR(__xludf.DUMMYFUNCTION("""COMPUTED_VALUE"""),"渋谷 雄大")</f>
        <v>渋谷 雄大</v>
      </c>
    </row>
    <row r="12035" spans="2:4" ht="13">
      <c r="B12035" s="12">
        <f ca="1">IFERROR(__xludf.DUMMYFUNCTION("""COMPUTED_VALUE"""),3718128)</f>
        <v>3718128</v>
      </c>
      <c r="C12035" s="14">
        <f ca="1">IFERROR(__xludf.DUMMYFUNCTION("""COMPUTED_VALUE"""),0)</f>
        <v>0</v>
      </c>
      <c r="D12035" s="12" t="str">
        <f ca="1">IFERROR(__xludf.DUMMYFUNCTION("""COMPUTED_VALUE"""),"渋谷 雄大")</f>
        <v>渋谷 雄大</v>
      </c>
    </row>
    <row r="12036" spans="2:4" ht="13">
      <c r="B12036" s="12">
        <f ca="1">IFERROR(__xludf.DUMMYFUNCTION("""COMPUTED_VALUE"""),3718130)</f>
        <v>3718130</v>
      </c>
      <c r="C12036" s="14">
        <f ca="1">IFERROR(__xludf.DUMMYFUNCTION("""COMPUTED_VALUE"""),0)</f>
        <v>0</v>
      </c>
      <c r="D12036" s="12" t="str">
        <f ca="1">IFERROR(__xludf.DUMMYFUNCTION("""COMPUTED_VALUE"""),"渋谷 雄大")</f>
        <v>渋谷 雄大</v>
      </c>
    </row>
    <row r="12037" spans="2:4" ht="13">
      <c r="B12037" s="12">
        <f ca="1">IFERROR(__xludf.DUMMYFUNCTION("""COMPUTED_VALUE"""),3718131)</f>
        <v>3718131</v>
      </c>
      <c r="C12037" s="14">
        <f ca="1">IFERROR(__xludf.DUMMYFUNCTION("""COMPUTED_VALUE"""),0)</f>
        <v>0</v>
      </c>
      <c r="D12037" s="12" t="str">
        <f ca="1">IFERROR(__xludf.DUMMYFUNCTION("""COMPUTED_VALUE"""),"渋谷 雄大")</f>
        <v>渋谷 雄大</v>
      </c>
    </row>
    <row r="12038" spans="2:4" ht="13">
      <c r="B12038" s="12">
        <f ca="1">IFERROR(__xludf.DUMMYFUNCTION("""COMPUTED_VALUE"""),3718134)</f>
        <v>3718134</v>
      </c>
      <c r="C12038" s="14">
        <f ca="1">IFERROR(__xludf.DUMMYFUNCTION("""COMPUTED_VALUE"""),0)</f>
        <v>0</v>
      </c>
      <c r="D12038" s="12" t="str">
        <f ca="1">IFERROR(__xludf.DUMMYFUNCTION("""COMPUTED_VALUE"""),"渋谷 雄大")</f>
        <v>渋谷 雄大</v>
      </c>
    </row>
    <row r="12039" spans="2:4" ht="13">
      <c r="B12039" s="12">
        <f ca="1">IFERROR(__xludf.DUMMYFUNCTION("""COMPUTED_VALUE"""),3718136)</f>
        <v>3718136</v>
      </c>
      <c r="C12039" s="14">
        <f ca="1">IFERROR(__xludf.DUMMYFUNCTION("""COMPUTED_VALUE"""),0)</f>
        <v>0</v>
      </c>
      <c r="D12039" s="12" t="str">
        <f ca="1">IFERROR(__xludf.DUMMYFUNCTION("""COMPUTED_VALUE"""),"渋谷 雄大")</f>
        <v>渋谷 雄大</v>
      </c>
    </row>
    <row r="12040" spans="2:4" ht="13">
      <c r="B12040" s="12">
        <f ca="1">IFERROR(__xludf.DUMMYFUNCTION("""COMPUTED_VALUE"""),3718137)</f>
        <v>3718137</v>
      </c>
      <c r="C12040" s="14">
        <f ca="1">IFERROR(__xludf.DUMMYFUNCTION("""COMPUTED_VALUE"""),0)</f>
        <v>0</v>
      </c>
      <c r="D12040" s="12" t="str">
        <f ca="1">IFERROR(__xludf.DUMMYFUNCTION("""COMPUTED_VALUE"""),"渋谷 雄大")</f>
        <v>渋谷 雄大</v>
      </c>
    </row>
    <row r="12041" spans="2:4" ht="13">
      <c r="B12041" s="12">
        <f ca="1">IFERROR(__xludf.DUMMYFUNCTION("""COMPUTED_VALUE"""),3718138)</f>
        <v>3718138</v>
      </c>
      <c r="C12041" s="14">
        <f ca="1">IFERROR(__xludf.DUMMYFUNCTION("""COMPUTED_VALUE"""),0)</f>
        <v>0</v>
      </c>
      <c r="D12041" s="12" t="str">
        <f ca="1">IFERROR(__xludf.DUMMYFUNCTION("""COMPUTED_VALUE"""),"渋谷 雄大")</f>
        <v>渋谷 雄大</v>
      </c>
    </row>
    <row r="12042" spans="2:4" ht="13">
      <c r="B12042" s="12">
        <f ca="1">IFERROR(__xludf.DUMMYFUNCTION("""COMPUTED_VALUE"""),3718139)</f>
        <v>3718139</v>
      </c>
      <c r="C12042" s="14">
        <f ca="1">IFERROR(__xludf.DUMMYFUNCTION("""COMPUTED_VALUE"""),0)</f>
        <v>0</v>
      </c>
      <c r="D12042" s="12" t="str">
        <f ca="1">IFERROR(__xludf.DUMMYFUNCTION("""COMPUTED_VALUE"""),"渋谷 雄大")</f>
        <v>渋谷 雄大</v>
      </c>
    </row>
    <row r="12043" spans="2:4" ht="13">
      <c r="B12043" s="12">
        <f ca="1">IFERROR(__xludf.DUMMYFUNCTION("""COMPUTED_VALUE"""),3718140)</f>
        <v>3718140</v>
      </c>
      <c r="C12043" s="14">
        <f ca="1">IFERROR(__xludf.DUMMYFUNCTION("""COMPUTED_VALUE"""),0)</f>
        <v>0</v>
      </c>
      <c r="D12043" s="12" t="str">
        <f ca="1">IFERROR(__xludf.DUMMYFUNCTION("""COMPUTED_VALUE"""),"渋谷 雄大")</f>
        <v>渋谷 雄大</v>
      </c>
    </row>
    <row r="12044" spans="2:4" ht="13">
      <c r="B12044" s="12">
        <f ca="1">IFERROR(__xludf.DUMMYFUNCTION("""COMPUTED_VALUE"""),3718141)</f>
        <v>3718141</v>
      </c>
      <c r="C12044" s="14">
        <f ca="1">IFERROR(__xludf.DUMMYFUNCTION("""COMPUTED_VALUE"""),0)</f>
        <v>0</v>
      </c>
      <c r="D12044" s="12" t="str">
        <f ca="1">IFERROR(__xludf.DUMMYFUNCTION("""COMPUTED_VALUE"""),"渋谷 雄大")</f>
        <v>渋谷 雄大</v>
      </c>
    </row>
    <row r="12045" spans="2:4" ht="13">
      <c r="B12045" s="12">
        <f ca="1">IFERROR(__xludf.DUMMYFUNCTION("""COMPUTED_VALUE"""),3718142)</f>
        <v>3718142</v>
      </c>
      <c r="C12045" s="14">
        <f ca="1">IFERROR(__xludf.DUMMYFUNCTION("""COMPUTED_VALUE"""),0)</f>
        <v>0</v>
      </c>
      <c r="D12045" s="12" t="str">
        <f ca="1">IFERROR(__xludf.DUMMYFUNCTION("""COMPUTED_VALUE"""),"渋谷 雄大")</f>
        <v>渋谷 雄大</v>
      </c>
    </row>
    <row r="12046" spans="2:4" ht="13">
      <c r="B12046" s="12">
        <f ca="1">IFERROR(__xludf.DUMMYFUNCTION("""COMPUTED_VALUE"""),3718143)</f>
        <v>3718143</v>
      </c>
      <c r="C12046" s="14">
        <f ca="1">IFERROR(__xludf.DUMMYFUNCTION("""COMPUTED_VALUE"""),0)</f>
        <v>0</v>
      </c>
      <c r="D12046" s="12" t="str">
        <f ca="1">IFERROR(__xludf.DUMMYFUNCTION("""COMPUTED_VALUE"""),"渋谷 雄大")</f>
        <v>渋谷 雄大</v>
      </c>
    </row>
    <row r="12047" spans="2:4" ht="13">
      <c r="B12047" s="12">
        <f ca="1">IFERROR(__xludf.DUMMYFUNCTION("""COMPUTED_VALUE"""),3718144)</f>
        <v>3718144</v>
      </c>
      <c r="C12047" s="14">
        <f ca="1">IFERROR(__xludf.DUMMYFUNCTION("""COMPUTED_VALUE"""),0)</f>
        <v>0</v>
      </c>
      <c r="D12047" s="12" t="str">
        <f ca="1">IFERROR(__xludf.DUMMYFUNCTION("""COMPUTED_VALUE"""),"渋谷 雄大")</f>
        <v>渋谷 雄大</v>
      </c>
    </row>
    <row r="12048" spans="2:4" ht="13">
      <c r="B12048" s="12">
        <f ca="1">IFERROR(__xludf.DUMMYFUNCTION("""COMPUTED_VALUE"""),3718145)</f>
        <v>3718145</v>
      </c>
      <c r="C12048" s="14">
        <f ca="1">IFERROR(__xludf.DUMMYFUNCTION("""COMPUTED_VALUE"""),0)</f>
        <v>0</v>
      </c>
      <c r="D12048" s="12" t="str">
        <f ca="1">IFERROR(__xludf.DUMMYFUNCTION("""COMPUTED_VALUE"""),"渋谷 雄大")</f>
        <v>渋谷 雄大</v>
      </c>
    </row>
    <row r="12049" spans="2:4" ht="13">
      <c r="B12049" s="12">
        <f ca="1">IFERROR(__xludf.DUMMYFUNCTION("""COMPUTED_VALUE"""),3718146)</f>
        <v>3718146</v>
      </c>
      <c r="C12049" s="14">
        <f ca="1">IFERROR(__xludf.DUMMYFUNCTION("""COMPUTED_VALUE"""),0)</f>
        <v>0</v>
      </c>
      <c r="D12049" s="12" t="str">
        <f ca="1">IFERROR(__xludf.DUMMYFUNCTION("""COMPUTED_VALUE"""),"渋谷 雄大")</f>
        <v>渋谷 雄大</v>
      </c>
    </row>
    <row r="12050" spans="2:4" ht="13">
      <c r="B12050" s="12">
        <f ca="1">IFERROR(__xludf.DUMMYFUNCTION("""COMPUTED_VALUE"""),3718147)</f>
        <v>3718147</v>
      </c>
      <c r="C12050" s="14">
        <f ca="1">IFERROR(__xludf.DUMMYFUNCTION("""COMPUTED_VALUE"""),0)</f>
        <v>0</v>
      </c>
      <c r="D12050" s="12" t="str">
        <f ca="1">IFERROR(__xludf.DUMMYFUNCTION("""COMPUTED_VALUE"""),"渋谷 雄大")</f>
        <v>渋谷 雄大</v>
      </c>
    </row>
    <row r="12051" spans="2:4" ht="13">
      <c r="B12051" s="12">
        <f ca="1">IFERROR(__xludf.DUMMYFUNCTION("""COMPUTED_VALUE"""),3718148)</f>
        <v>3718148</v>
      </c>
      <c r="C12051" s="14">
        <f ca="1">IFERROR(__xludf.DUMMYFUNCTION("""COMPUTED_VALUE"""),0)</f>
        <v>0</v>
      </c>
      <c r="D12051" s="12" t="str">
        <f ca="1">IFERROR(__xludf.DUMMYFUNCTION("""COMPUTED_VALUE"""),"渋谷 雄大")</f>
        <v>渋谷 雄大</v>
      </c>
    </row>
    <row r="12052" spans="2:4" ht="13">
      <c r="B12052" s="12">
        <f ca="1">IFERROR(__xludf.DUMMYFUNCTION("""COMPUTED_VALUE"""),3718149)</f>
        <v>3718149</v>
      </c>
      <c r="C12052" s="14">
        <f ca="1">IFERROR(__xludf.DUMMYFUNCTION("""COMPUTED_VALUE"""),0)</f>
        <v>0</v>
      </c>
      <c r="D12052" s="12" t="str">
        <f ca="1">IFERROR(__xludf.DUMMYFUNCTION("""COMPUTED_VALUE"""),"渋谷 雄大")</f>
        <v>渋谷 雄大</v>
      </c>
    </row>
    <row r="12053" spans="2:4" ht="13">
      <c r="B12053" s="12">
        <f ca="1">IFERROR(__xludf.DUMMYFUNCTION("""COMPUTED_VALUE"""),3718150)</f>
        <v>3718150</v>
      </c>
      <c r="C12053" s="14">
        <f ca="1">IFERROR(__xludf.DUMMYFUNCTION("""COMPUTED_VALUE"""),0)</f>
        <v>0</v>
      </c>
      <c r="D12053" s="12" t="str">
        <f ca="1">IFERROR(__xludf.DUMMYFUNCTION("""COMPUTED_VALUE"""),"渋谷 雄大")</f>
        <v>渋谷 雄大</v>
      </c>
    </row>
    <row r="12054" spans="2:4" ht="13">
      <c r="B12054" s="12">
        <f ca="1">IFERROR(__xludf.DUMMYFUNCTION("""COMPUTED_VALUE"""),3718151)</f>
        <v>3718151</v>
      </c>
      <c r="C12054" s="14">
        <f ca="1">IFERROR(__xludf.DUMMYFUNCTION("""COMPUTED_VALUE"""),0)</f>
        <v>0</v>
      </c>
      <c r="D12054" s="12" t="str">
        <f ca="1">IFERROR(__xludf.DUMMYFUNCTION("""COMPUTED_VALUE"""),"渋谷 雄大")</f>
        <v>渋谷 雄大</v>
      </c>
    </row>
    <row r="12055" spans="2:4" ht="13">
      <c r="B12055" s="12">
        <f ca="1">IFERROR(__xludf.DUMMYFUNCTION("""COMPUTED_VALUE"""),3718152)</f>
        <v>3718152</v>
      </c>
      <c r="C12055" s="14">
        <f ca="1">IFERROR(__xludf.DUMMYFUNCTION("""COMPUTED_VALUE"""),0)</f>
        <v>0</v>
      </c>
      <c r="D12055" s="12" t="str">
        <f ca="1">IFERROR(__xludf.DUMMYFUNCTION("""COMPUTED_VALUE"""),"渋谷 雄大")</f>
        <v>渋谷 雄大</v>
      </c>
    </row>
    <row r="12056" spans="2:4" ht="13">
      <c r="B12056" s="12">
        <f ca="1">IFERROR(__xludf.DUMMYFUNCTION("""COMPUTED_VALUE"""),3718153)</f>
        <v>3718153</v>
      </c>
      <c r="C12056" s="14">
        <f ca="1">IFERROR(__xludf.DUMMYFUNCTION("""COMPUTED_VALUE"""),0)</f>
        <v>0</v>
      </c>
      <c r="D12056" s="12" t="str">
        <f ca="1">IFERROR(__xludf.DUMMYFUNCTION("""COMPUTED_VALUE"""),"渋谷 雄大")</f>
        <v>渋谷 雄大</v>
      </c>
    </row>
    <row r="12057" spans="2:4" ht="13">
      <c r="B12057" s="12">
        <f ca="1">IFERROR(__xludf.DUMMYFUNCTION("""COMPUTED_VALUE"""),3718154)</f>
        <v>3718154</v>
      </c>
      <c r="C12057" s="14">
        <f ca="1">IFERROR(__xludf.DUMMYFUNCTION("""COMPUTED_VALUE"""),0)</f>
        <v>0</v>
      </c>
      <c r="D12057" s="12" t="str">
        <f ca="1">IFERROR(__xludf.DUMMYFUNCTION("""COMPUTED_VALUE"""),"渋谷 雄大")</f>
        <v>渋谷 雄大</v>
      </c>
    </row>
    <row r="12058" spans="2:4" ht="13">
      <c r="B12058" s="12">
        <f ca="1">IFERROR(__xludf.DUMMYFUNCTION("""COMPUTED_VALUE"""),3718155)</f>
        <v>3718155</v>
      </c>
      <c r="C12058" s="14">
        <f ca="1">IFERROR(__xludf.DUMMYFUNCTION("""COMPUTED_VALUE"""),0)</f>
        <v>0</v>
      </c>
      <c r="D12058" s="12" t="str">
        <f ca="1">IFERROR(__xludf.DUMMYFUNCTION("""COMPUTED_VALUE"""),"渋谷 雄大")</f>
        <v>渋谷 雄大</v>
      </c>
    </row>
    <row r="12059" spans="2:4" ht="13">
      <c r="B12059" s="12">
        <f ca="1">IFERROR(__xludf.DUMMYFUNCTION("""COMPUTED_VALUE"""),3718156)</f>
        <v>3718156</v>
      </c>
      <c r="C12059" s="14">
        <f ca="1">IFERROR(__xludf.DUMMYFUNCTION("""COMPUTED_VALUE"""),0)</f>
        <v>0</v>
      </c>
      <c r="D12059" s="12" t="str">
        <f ca="1">IFERROR(__xludf.DUMMYFUNCTION("""COMPUTED_VALUE"""),"渋谷 雄大")</f>
        <v>渋谷 雄大</v>
      </c>
    </row>
    <row r="12060" spans="2:4" ht="13">
      <c r="B12060" s="12">
        <f ca="1">IFERROR(__xludf.DUMMYFUNCTION("""COMPUTED_VALUE"""),3718157)</f>
        <v>3718157</v>
      </c>
      <c r="C12060" s="14">
        <f ca="1">IFERROR(__xludf.DUMMYFUNCTION("""COMPUTED_VALUE"""),0)</f>
        <v>0</v>
      </c>
      <c r="D12060" s="12" t="str">
        <f ca="1">IFERROR(__xludf.DUMMYFUNCTION("""COMPUTED_VALUE"""),"渋谷 雄大")</f>
        <v>渋谷 雄大</v>
      </c>
    </row>
    <row r="12061" spans="2:4" ht="13">
      <c r="B12061" s="12">
        <f ca="1">IFERROR(__xludf.DUMMYFUNCTION("""COMPUTED_VALUE"""),3718158)</f>
        <v>3718158</v>
      </c>
      <c r="C12061" s="14">
        <f ca="1">IFERROR(__xludf.DUMMYFUNCTION("""COMPUTED_VALUE"""),0)</f>
        <v>0</v>
      </c>
      <c r="D12061" s="12" t="str">
        <f ca="1">IFERROR(__xludf.DUMMYFUNCTION("""COMPUTED_VALUE"""),"渋谷 雄大")</f>
        <v>渋谷 雄大</v>
      </c>
    </row>
    <row r="12062" spans="2:4" ht="13">
      <c r="B12062" s="12">
        <f ca="1">IFERROR(__xludf.DUMMYFUNCTION("""COMPUTED_VALUE"""),3718159)</f>
        <v>3718159</v>
      </c>
      <c r="C12062" s="14">
        <f ca="1">IFERROR(__xludf.DUMMYFUNCTION("""COMPUTED_VALUE"""),0)</f>
        <v>0</v>
      </c>
      <c r="D12062" s="12" t="str">
        <f ca="1">IFERROR(__xludf.DUMMYFUNCTION("""COMPUTED_VALUE"""),"渋谷 雄大")</f>
        <v>渋谷 雄大</v>
      </c>
    </row>
    <row r="12063" spans="2:4" ht="13">
      <c r="B12063" s="12">
        <f ca="1">IFERROR(__xludf.DUMMYFUNCTION("""COMPUTED_VALUE"""),3718160)</f>
        <v>3718160</v>
      </c>
      <c r="C12063" s="14">
        <f ca="1">IFERROR(__xludf.DUMMYFUNCTION("""COMPUTED_VALUE"""),0)</f>
        <v>0</v>
      </c>
      <c r="D12063" s="12" t="str">
        <f ca="1">IFERROR(__xludf.DUMMYFUNCTION("""COMPUTED_VALUE"""),"渋谷 雄大")</f>
        <v>渋谷 雄大</v>
      </c>
    </row>
    <row r="12064" spans="2:4" ht="13">
      <c r="B12064" s="12">
        <f ca="1">IFERROR(__xludf.DUMMYFUNCTION("""COMPUTED_VALUE"""),3720000)</f>
        <v>3720000</v>
      </c>
      <c r="C12064" s="14">
        <f ca="1">IFERROR(__xludf.DUMMYFUNCTION("""COMPUTED_VALUE"""),0)</f>
        <v>0</v>
      </c>
      <c r="D12064" s="12" t="str">
        <f ca="1">IFERROR(__xludf.DUMMYFUNCTION("""COMPUTED_VALUE"""),"渋谷 雄大")</f>
        <v>渋谷 雄大</v>
      </c>
    </row>
    <row r="12065" spans="2:4" ht="13">
      <c r="B12065" s="12">
        <f ca="1">IFERROR(__xludf.DUMMYFUNCTION("""COMPUTED_VALUE"""),3720001)</f>
        <v>3720001</v>
      </c>
      <c r="C12065" s="14">
        <f ca="1">IFERROR(__xludf.DUMMYFUNCTION("""COMPUTED_VALUE"""),0)</f>
        <v>0</v>
      </c>
      <c r="D12065" s="12" t="str">
        <f ca="1">IFERROR(__xludf.DUMMYFUNCTION("""COMPUTED_VALUE"""),"渋谷 雄大")</f>
        <v>渋谷 雄大</v>
      </c>
    </row>
    <row r="12066" spans="2:4" ht="13">
      <c r="B12066" s="12">
        <f ca="1">IFERROR(__xludf.DUMMYFUNCTION("""COMPUTED_VALUE"""),3720002)</f>
        <v>3720002</v>
      </c>
      <c r="C12066" s="14">
        <f ca="1">IFERROR(__xludf.DUMMYFUNCTION("""COMPUTED_VALUE"""),0)</f>
        <v>0</v>
      </c>
      <c r="D12066" s="12" t="str">
        <f ca="1">IFERROR(__xludf.DUMMYFUNCTION("""COMPUTED_VALUE"""),"渋谷 雄大")</f>
        <v>渋谷 雄大</v>
      </c>
    </row>
    <row r="12067" spans="2:4" ht="13">
      <c r="B12067" s="12">
        <f ca="1">IFERROR(__xludf.DUMMYFUNCTION("""COMPUTED_VALUE"""),3720003)</f>
        <v>3720003</v>
      </c>
      <c r="C12067" s="14">
        <f ca="1">IFERROR(__xludf.DUMMYFUNCTION("""COMPUTED_VALUE"""),0)</f>
        <v>0</v>
      </c>
      <c r="D12067" s="12" t="str">
        <f ca="1">IFERROR(__xludf.DUMMYFUNCTION("""COMPUTED_VALUE"""),"渋谷 雄大")</f>
        <v>渋谷 雄大</v>
      </c>
    </row>
    <row r="12068" spans="2:4" ht="13">
      <c r="B12068" s="12">
        <f ca="1">IFERROR(__xludf.DUMMYFUNCTION("""COMPUTED_VALUE"""),3720004)</f>
        <v>3720004</v>
      </c>
      <c r="C12068" s="14">
        <f ca="1">IFERROR(__xludf.DUMMYFUNCTION("""COMPUTED_VALUE"""),0)</f>
        <v>0</v>
      </c>
      <c r="D12068" s="12" t="str">
        <f ca="1">IFERROR(__xludf.DUMMYFUNCTION("""COMPUTED_VALUE"""),"渋谷 雄大")</f>
        <v>渋谷 雄大</v>
      </c>
    </row>
    <row r="12069" spans="2:4" ht="13">
      <c r="B12069" s="12">
        <f ca="1">IFERROR(__xludf.DUMMYFUNCTION("""COMPUTED_VALUE"""),3720005)</f>
        <v>3720005</v>
      </c>
      <c r="C12069" s="14">
        <f ca="1">IFERROR(__xludf.DUMMYFUNCTION("""COMPUTED_VALUE"""),0)</f>
        <v>0</v>
      </c>
      <c r="D12069" s="12" t="str">
        <f ca="1">IFERROR(__xludf.DUMMYFUNCTION("""COMPUTED_VALUE"""),"渋谷 雄大")</f>
        <v>渋谷 雄大</v>
      </c>
    </row>
    <row r="12070" spans="2:4" ht="13">
      <c r="B12070" s="12">
        <f ca="1">IFERROR(__xludf.DUMMYFUNCTION("""COMPUTED_VALUE"""),3720006)</f>
        <v>3720006</v>
      </c>
      <c r="C12070" s="14">
        <f ca="1">IFERROR(__xludf.DUMMYFUNCTION("""COMPUTED_VALUE"""),0)</f>
        <v>0</v>
      </c>
      <c r="D12070" s="12" t="str">
        <f ca="1">IFERROR(__xludf.DUMMYFUNCTION("""COMPUTED_VALUE"""),"渋谷 雄大")</f>
        <v>渋谷 雄大</v>
      </c>
    </row>
    <row r="12071" spans="2:4" ht="13">
      <c r="B12071" s="12">
        <f ca="1">IFERROR(__xludf.DUMMYFUNCTION("""COMPUTED_VALUE"""),3720008)</f>
        <v>3720008</v>
      </c>
      <c r="C12071" s="14">
        <f ca="1">IFERROR(__xludf.DUMMYFUNCTION("""COMPUTED_VALUE"""),0)</f>
        <v>0</v>
      </c>
      <c r="D12071" s="12" t="str">
        <f ca="1">IFERROR(__xludf.DUMMYFUNCTION("""COMPUTED_VALUE"""),"渋谷 雄大")</f>
        <v>渋谷 雄大</v>
      </c>
    </row>
    <row r="12072" spans="2:4" ht="13">
      <c r="B12072" s="12">
        <f ca="1">IFERROR(__xludf.DUMMYFUNCTION("""COMPUTED_VALUE"""),3720009)</f>
        <v>3720009</v>
      </c>
      <c r="C12072" s="14">
        <f ca="1">IFERROR(__xludf.DUMMYFUNCTION("""COMPUTED_VALUE"""),0)</f>
        <v>0</v>
      </c>
      <c r="D12072" s="12" t="str">
        <f ca="1">IFERROR(__xludf.DUMMYFUNCTION("""COMPUTED_VALUE"""),"渋谷 雄大")</f>
        <v>渋谷 雄大</v>
      </c>
    </row>
    <row r="12073" spans="2:4" ht="13">
      <c r="B12073" s="12">
        <f ca="1">IFERROR(__xludf.DUMMYFUNCTION("""COMPUTED_VALUE"""),3720010)</f>
        <v>3720010</v>
      </c>
      <c r="C12073" s="14">
        <f ca="1">IFERROR(__xludf.DUMMYFUNCTION("""COMPUTED_VALUE"""),0)</f>
        <v>0</v>
      </c>
      <c r="D12073" s="12" t="str">
        <f ca="1">IFERROR(__xludf.DUMMYFUNCTION("""COMPUTED_VALUE"""),"渋谷 雄大")</f>
        <v>渋谷 雄大</v>
      </c>
    </row>
    <row r="12074" spans="2:4" ht="13">
      <c r="B12074" s="12">
        <f ca="1">IFERROR(__xludf.DUMMYFUNCTION("""COMPUTED_VALUE"""),3720011)</f>
        <v>3720011</v>
      </c>
      <c r="C12074" s="14">
        <f ca="1">IFERROR(__xludf.DUMMYFUNCTION("""COMPUTED_VALUE"""),0)</f>
        <v>0</v>
      </c>
      <c r="D12074" s="12" t="str">
        <f ca="1">IFERROR(__xludf.DUMMYFUNCTION("""COMPUTED_VALUE"""),"渋谷 雄大")</f>
        <v>渋谷 雄大</v>
      </c>
    </row>
    <row r="12075" spans="2:4" ht="13">
      <c r="B12075" s="12">
        <f ca="1">IFERROR(__xludf.DUMMYFUNCTION("""COMPUTED_VALUE"""),3720012)</f>
        <v>3720012</v>
      </c>
      <c r="C12075" s="14">
        <f ca="1">IFERROR(__xludf.DUMMYFUNCTION("""COMPUTED_VALUE"""),0)</f>
        <v>0</v>
      </c>
      <c r="D12075" s="12" t="str">
        <f ca="1">IFERROR(__xludf.DUMMYFUNCTION("""COMPUTED_VALUE"""),"渋谷 雄大")</f>
        <v>渋谷 雄大</v>
      </c>
    </row>
    <row r="12076" spans="2:4" ht="13">
      <c r="B12076" s="12">
        <f ca="1">IFERROR(__xludf.DUMMYFUNCTION("""COMPUTED_VALUE"""),3720013)</f>
        <v>3720013</v>
      </c>
      <c r="C12076" s="14">
        <f ca="1">IFERROR(__xludf.DUMMYFUNCTION("""COMPUTED_VALUE"""),0)</f>
        <v>0</v>
      </c>
      <c r="D12076" s="12" t="str">
        <f ca="1">IFERROR(__xludf.DUMMYFUNCTION("""COMPUTED_VALUE"""),"渋谷 雄大")</f>
        <v>渋谷 雄大</v>
      </c>
    </row>
    <row r="12077" spans="2:4" ht="13">
      <c r="B12077" s="12">
        <f ca="1">IFERROR(__xludf.DUMMYFUNCTION("""COMPUTED_VALUE"""),3720014)</f>
        <v>3720014</v>
      </c>
      <c r="C12077" s="14">
        <f ca="1">IFERROR(__xludf.DUMMYFUNCTION("""COMPUTED_VALUE"""),0)</f>
        <v>0</v>
      </c>
      <c r="D12077" s="12" t="str">
        <f ca="1">IFERROR(__xludf.DUMMYFUNCTION("""COMPUTED_VALUE"""),"渋谷 雄大")</f>
        <v>渋谷 雄大</v>
      </c>
    </row>
    <row r="12078" spans="2:4" ht="13">
      <c r="B12078" s="12">
        <f ca="1">IFERROR(__xludf.DUMMYFUNCTION("""COMPUTED_VALUE"""),3720015)</f>
        <v>3720015</v>
      </c>
      <c r="C12078" s="14">
        <f ca="1">IFERROR(__xludf.DUMMYFUNCTION("""COMPUTED_VALUE"""),0)</f>
        <v>0</v>
      </c>
      <c r="D12078" s="12" t="str">
        <f ca="1">IFERROR(__xludf.DUMMYFUNCTION("""COMPUTED_VALUE"""),"渋谷 雄大")</f>
        <v>渋谷 雄大</v>
      </c>
    </row>
    <row r="12079" spans="2:4" ht="13">
      <c r="B12079" s="12">
        <f ca="1">IFERROR(__xludf.DUMMYFUNCTION("""COMPUTED_VALUE"""),3720016)</f>
        <v>3720016</v>
      </c>
      <c r="C12079" s="14">
        <f ca="1">IFERROR(__xludf.DUMMYFUNCTION("""COMPUTED_VALUE"""),0)</f>
        <v>0</v>
      </c>
      <c r="D12079" s="12" t="str">
        <f ca="1">IFERROR(__xludf.DUMMYFUNCTION("""COMPUTED_VALUE"""),"渋谷 雄大")</f>
        <v>渋谷 雄大</v>
      </c>
    </row>
    <row r="12080" spans="2:4" ht="13">
      <c r="B12080" s="12">
        <f ca="1">IFERROR(__xludf.DUMMYFUNCTION("""COMPUTED_VALUE"""),3720017)</f>
        <v>3720017</v>
      </c>
      <c r="C12080" s="14">
        <f ca="1">IFERROR(__xludf.DUMMYFUNCTION("""COMPUTED_VALUE"""),0)</f>
        <v>0</v>
      </c>
      <c r="D12080" s="12" t="str">
        <f ca="1">IFERROR(__xludf.DUMMYFUNCTION("""COMPUTED_VALUE"""),"渋谷 雄大")</f>
        <v>渋谷 雄大</v>
      </c>
    </row>
    <row r="12081" spans="2:4" ht="13">
      <c r="B12081" s="12">
        <f ca="1">IFERROR(__xludf.DUMMYFUNCTION("""COMPUTED_VALUE"""),3720018)</f>
        <v>3720018</v>
      </c>
      <c r="C12081" s="14">
        <f ca="1">IFERROR(__xludf.DUMMYFUNCTION("""COMPUTED_VALUE"""),0)</f>
        <v>0</v>
      </c>
      <c r="D12081" s="12" t="str">
        <f ca="1">IFERROR(__xludf.DUMMYFUNCTION("""COMPUTED_VALUE"""),"渋谷 雄大")</f>
        <v>渋谷 雄大</v>
      </c>
    </row>
    <row r="12082" spans="2:4" ht="13">
      <c r="B12082" s="12">
        <f ca="1">IFERROR(__xludf.DUMMYFUNCTION("""COMPUTED_VALUE"""),3720019)</f>
        <v>3720019</v>
      </c>
      <c r="C12082" s="14">
        <f ca="1">IFERROR(__xludf.DUMMYFUNCTION("""COMPUTED_VALUE"""),0)</f>
        <v>0</v>
      </c>
      <c r="D12082" s="12" t="str">
        <f ca="1">IFERROR(__xludf.DUMMYFUNCTION("""COMPUTED_VALUE"""),"渋谷 雄大")</f>
        <v>渋谷 雄大</v>
      </c>
    </row>
    <row r="12083" spans="2:4" ht="13">
      <c r="B12083" s="12">
        <f ca="1">IFERROR(__xludf.DUMMYFUNCTION("""COMPUTED_VALUE"""),3720020)</f>
        <v>3720020</v>
      </c>
      <c r="C12083" s="14">
        <f ca="1">IFERROR(__xludf.DUMMYFUNCTION("""COMPUTED_VALUE"""),0)</f>
        <v>0</v>
      </c>
      <c r="D12083" s="12" t="str">
        <f ca="1">IFERROR(__xludf.DUMMYFUNCTION("""COMPUTED_VALUE"""),"渋谷 雄大")</f>
        <v>渋谷 雄大</v>
      </c>
    </row>
    <row r="12084" spans="2:4" ht="13">
      <c r="B12084" s="12">
        <f ca="1">IFERROR(__xludf.DUMMYFUNCTION("""COMPUTED_VALUE"""),3720021)</f>
        <v>3720021</v>
      </c>
      <c r="C12084" s="14">
        <f ca="1">IFERROR(__xludf.DUMMYFUNCTION("""COMPUTED_VALUE"""),0)</f>
        <v>0</v>
      </c>
      <c r="D12084" s="12" t="str">
        <f ca="1">IFERROR(__xludf.DUMMYFUNCTION("""COMPUTED_VALUE"""),"渋谷 雄大")</f>
        <v>渋谷 雄大</v>
      </c>
    </row>
    <row r="12085" spans="2:4" ht="13">
      <c r="B12085" s="12">
        <f ca="1">IFERROR(__xludf.DUMMYFUNCTION("""COMPUTED_VALUE"""),3720022)</f>
        <v>3720022</v>
      </c>
      <c r="C12085" s="14">
        <f ca="1">IFERROR(__xludf.DUMMYFUNCTION("""COMPUTED_VALUE"""),0)</f>
        <v>0</v>
      </c>
      <c r="D12085" s="12" t="str">
        <f ca="1">IFERROR(__xludf.DUMMYFUNCTION("""COMPUTED_VALUE"""),"渋谷 雄大")</f>
        <v>渋谷 雄大</v>
      </c>
    </row>
    <row r="12086" spans="2:4" ht="13">
      <c r="B12086" s="12">
        <f ca="1">IFERROR(__xludf.DUMMYFUNCTION("""COMPUTED_VALUE"""),3720023)</f>
        <v>3720023</v>
      </c>
      <c r="C12086" s="14">
        <f ca="1">IFERROR(__xludf.DUMMYFUNCTION("""COMPUTED_VALUE"""),0)</f>
        <v>0</v>
      </c>
      <c r="D12086" s="12" t="str">
        <f ca="1">IFERROR(__xludf.DUMMYFUNCTION("""COMPUTED_VALUE"""),"渋谷 雄大")</f>
        <v>渋谷 雄大</v>
      </c>
    </row>
    <row r="12087" spans="2:4" ht="13">
      <c r="B12087" s="12">
        <f ca="1">IFERROR(__xludf.DUMMYFUNCTION("""COMPUTED_VALUE"""),3720024)</f>
        <v>3720024</v>
      </c>
      <c r="C12087" s="14">
        <f ca="1">IFERROR(__xludf.DUMMYFUNCTION("""COMPUTED_VALUE"""),0)</f>
        <v>0</v>
      </c>
      <c r="D12087" s="12" t="str">
        <f ca="1">IFERROR(__xludf.DUMMYFUNCTION("""COMPUTED_VALUE"""),"渋谷 雄大")</f>
        <v>渋谷 雄大</v>
      </c>
    </row>
    <row r="12088" spans="2:4" ht="13">
      <c r="B12088" s="12">
        <f ca="1">IFERROR(__xludf.DUMMYFUNCTION("""COMPUTED_VALUE"""),3720025)</f>
        <v>3720025</v>
      </c>
      <c r="C12088" s="14">
        <f ca="1">IFERROR(__xludf.DUMMYFUNCTION("""COMPUTED_VALUE"""),0)</f>
        <v>0</v>
      </c>
      <c r="D12088" s="12" t="str">
        <f ca="1">IFERROR(__xludf.DUMMYFUNCTION("""COMPUTED_VALUE"""),"渋谷 雄大")</f>
        <v>渋谷 雄大</v>
      </c>
    </row>
    <row r="12089" spans="2:4" ht="13">
      <c r="B12089" s="12">
        <f ca="1">IFERROR(__xludf.DUMMYFUNCTION("""COMPUTED_VALUE"""),3720026)</f>
        <v>3720026</v>
      </c>
      <c r="C12089" s="14">
        <f ca="1">IFERROR(__xludf.DUMMYFUNCTION("""COMPUTED_VALUE"""),0)</f>
        <v>0</v>
      </c>
      <c r="D12089" s="12" t="str">
        <f ca="1">IFERROR(__xludf.DUMMYFUNCTION("""COMPUTED_VALUE"""),"渋谷 雄大")</f>
        <v>渋谷 雄大</v>
      </c>
    </row>
    <row r="12090" spans="2:4" ht="13">
      <c r="B12090" s="12">
        <f ca="1">IFERROR(__xludf.DUMMYFUNCTION("""COMPUTED_VALUE"""),3720027)</f>
        <v>3720027</v>
      </c>
      <c r="C12090" s="14">
        <f ca="1">IFERROR(__xludf.DUMMYFUNCTION("""COMPUTED_VALUE"""),0)</f>
        <v>0</v>
      </c>
      <c r="D12090" s="12" t="str">
        <f ca="1">IFERROR(__xludf.DUMMYFUNCTION("""COMPUTED_VALUE"""),"渋谷 雄大")</f>
        <v>渋谷 雄大</v>
      </c>
    </row>
    <row r="12091" spans="2:4" ht="13">
      <c r="B12091" s="12">
        <f ca="1">IFERROR(__xludf.DUMMYFUNCTION("""COMPUTED_VALUE"""),3720028)</f>
        <v>3720028</v>
      </c>
      <c r="C12091" s="14">
        <f ca="1">IFERROR(__xludf.DUMMYFUNCTION("""COMPUTED_VALUE"""),0)</f>
        <v>0</v>
      </c>
      <c r="D12091" s="12" t="str">
        <f ca="1">IFERROR(__xludf.DUMMYFUNCTION("""COMPUTED_VALUE"""),"渋谷 雄大")</f>
        <v>渋谷 雄大</v>
      </c>
    </row>
    <row r="12092" spans="2:4" ht="13">
      <c r="B12092" s="12">
        <f ca="1">IFERROR(__xludf.DUMMYFUNCTION("""COMPUTED_VALUE"""),3720029)</f>
        <v>3720029</v>
      </c>
      <c r="C12092" s="14">
        <f ca="1">IFERROR(__xludf.DUMMYFUNCTION("""COMPUTED_VALUE"""),0)</f>
        <v>0</v>
      </c>
      <c r="D12092" s="12" t="str">
        <f ca="1">IFERROR(__xludf.DUMMYFUNCTION("""COMPUTED_VALUE"""),"渋谷 雄大")</f>
        <v>渋谷 雄大</v>
      </c>
    </row>
    <row r="12093" spans="2:4" ht="13">
      <c r="B12093" s="12">
        <f ca="1">IFERROR(__xludf.DUMMYFUNCTION("""COMPUTED_VALUE"""),3720030)</f>
        <v>3720030</v>
      </c>
      <c r="C12093" s="14">
        <f ca="1">IFERROR(__xludf.DUMMYFUNCTION("""COMPUTED_VALUE"""),0)</f>
        <v>0</v>
      </c>
      <c r="D12093" s="12" t="str">
        <f ca="1">IFERROR(__xludf.DUMMYFUNCTION("""COMPUTED_VALUE"""),"渋谷 雄大")</f>
        <v>渋谷 雄大</v>
      </c>
    </row>
    <row r="12094" spans="2:4" ht="13">
      <c r="B12094" s="12">
        <f ca="1">IFERROR(__xludf.DUMMYFUNCTION("""COMPUTED_VALUE"""),3720031)</f>
        <v>3720031</v>
      </c>
      <c r="C12094" s="14">
        <f ca="1">IFERROR(__xludf.DUMMYFUNCTION("""COMPUTED_VALUE"""),0)</f>
        <v>0</v>
      </c>
      <c r="D12094" s="12" t="str">
        <f ca="1">IFERROR(__xludf.DUMMYFUNCTION("""COMPUTED_VALUE"""),"渋谷 雄大")</f>
        <v>渋谷 雄大</v>
      </c>
    </row>
    <row r="12095" spans="2:4" ht="13">
      <c r="B12095" s="12">
        <f ca="1">IFERROR(__xludf.DUMMYFUNCTION("""COMPUTED_VALUE"""),3720032)</f>
        <v>3720032</v>
      </c>
      <c r="C12095" s="14">
        <f ca="1">IFERROR(__xludf.DUMMYFUNCTION("""COMPUTED_VALUE"""),0)</f>
        <v>0</v>
      </c>
      <c r="D12095" s="12" t="str">
        <f ca="1">IFERROR(__xludf.DUMMYFUNCTION("""COMPUTED_VALUE"""),"渋谷 雄大")</f>
        <v>渋谷 雄大</v>
      </c>
    </row>
    <row r="12096" spans="2:4" ht="13">
      <c r="B12096" s="12">
        <f ca="1">IFERROR(__xludf.DUMMYFUNCTION("""COMPUTED_VALUE"""),3720033)</f>
        <v>3720033</v>
      </c>
      <c r="C12096" s="14">
        <f ca="1">IFERROR(__xludf.DUMMYFUNCTION("""COMPUTED_VALUE"""),0)</f>
        <v>0</v>
      </c>
      <c r="D12096" s="12" t="str">
        <f ca="1">IFERROR(__xludf.DUMMYFUNCTION("""COMPUTED_VALUE"""),"渋谷 雄大")</f>
        <v>渋谷 雄大</v>
      </c>
    </row>
    <row r="12097" spans="2:4" ht="13">
      <c r="B12097" s="12">
        <f ca="1">IFERROR(__xludf.DUMMYFUNCTION("""COMPUTED_VALUE"""),3720034)</f>
        <v>3720034</v>
      </c>
      <c r="C12097" s="14">
        <f ca="1">IFERROR(__xludf.DUMMYFUNCTION("""COMPUTED_VALUE"""),0)</f>
        <v>0</v>
      </c>
      <c r="D12097" s="12" t="str">
        <f ca="1">IFERROR(__xludf.DUMMYFUNCTION("""COMPUTED_VALUE"""),"渋谷 雄大")</f>
        <v>渋谷 雄大</v>
      </c>
    </row>
    <row r="12098" spans="2:4" ht="13">
      <c r="B12098" s="12">
        <f ca="1">IFERROR(__xludf.DUMMYFUNCTION("""COMPUTED_VALUE"""),3720035)</f>
        <v>3720035</v>
      </c>
      <c r="C12098" s="14">
        <f ca="1">IFERROR(__xludf.DUMMYFUNCTION("""COMPUTED_VALUE"""),0)</f>
        <v>0</v>
      </c>
      <c r="D12098" s="12" t="str">
        <f ca="1">IFERROR(__xludf.DUMMYFUNCTION("""COMPUTED_VALUE"""),"渋谷 雄大")</f>
        <v>渋谷 雄大</v>
      </c>
    </row>
    <row r="12099" spans="2:4" ht="13">
      <c r="B12099" s="12">
        <f ca="1">IFERROR(__xludf.DUMMYFUNCTION("""COMPUTED_VALUE"""),3720036)</f>
        <v>3720036</v>
      </c>
      <c r="C12099" s="14">
        <f ca="1">IFERROR(__xludf.DUMMYFUNCTION("""COMPUTED_VALUE"""),0)</f>
        <v>0</v>
      </c>
      <c r="D12099" s="12" t="str">
        <f ca="1">IFERROR(__xludf.DUMMYFUNCTION("""COMPUTED_VALUE"""),"渋谷 雄大")</f>
        <v>渋谷 雄大</v>
      </c>
    </row>
    <row r="12100" spans="2:4" ht="13">
      <c r="B12100" s="12">
        <f ca="1">IFERROR(__xludf.DUMMYFUNCTION("""COMPUTED_VALUE"""),3720037)</f>
        <v>3720037</v>
      </c>
      <c r="C12100" s="14">
        <f ca="1">IFERROR(__xludf.DUMMYFUNCTION("""COMPUTED_VALUE"""),0)</f>
        <v>0</v>
      </c>
      <c r="D12100" s="12" t="str">
        <f ca="1">IFERROR(__xludf.DUMMYFUNCTION("""COMPUTED_VALUE"""),"渋谷 雄大")</f>
        <v>渋谷 雄大</v>
      </c>
    </row>
    <row r="12101" spans="2:4" ht="13">
      <c r="B12101" s="12">
        <f ca="1">IFERROR(__xludf.DUMMYFUNCTION("""COMPUTED_VALUE"""),3720038)</f>
        <v>3720038</v>
      </c>
      <c r="C12101" s="14">
        <f ca="1">IFERROR(__xludf.DUMMYFUNCTION("""COMPUTED_VALUE"""),0)</f>
        <v>0</v>
      </c>
      <c r="D12101" s="12" t="str">
        <f ca="1">IFERROR(__xludf.DUMMYFUNCTION("""COMPUTED_VALUE"""),"渋谷 雄大")</f>
        <v>渋谷 雄大</v>
      </c>
    </row>
    <row r="12102" spans="2:4" ht="13">
      <c r="B12102" s="12">
        <f ca="1">IFERROR(__xludf.DUMMYFUNCTION("""COMPUTED_VALUE"""),3720039)</f>
        <v>3720039</v>
      </c>
      <c r="C12102" s="14">
        <f ca="1">IFERROR(__xludf.DUMMYFUNCTION("""COMPUTED_VALUE"""),0)</f>
        <v>0</v>
      </c>
      <c r="D12102" s="12" t="str">
        <f ca="1">IFERROR(__xludf.DUMMYFUNCTION("""COMPUTED_VALUE"""),"渋谷 雄大")</f>
        <v>渋谷 雄大</v>
      </c>
    </row>
    <row r="12103" spans="2:4" ht="13">
      <c r="B12103" s="12">
        <f ca="1">IFERROR(__xludf.DUMMYFUNCTION("""COMPUTED_VALUE"""),3720040)</f>
        <v>3720040</v>
      </c>
      <c r="C12103" s="14">
        <f ca="1">IFERROR(__xludf.DUMMYFUNCTION("""COMPUTED_VALUE"""),0)</f>
        <v>0</v>
      </c>
      <c r="D12103" s="12" t="str">
        <f ca="1">IFERROR(__xludf.DUMMYFUNCTION("""COMPUTED_VALUE"""),"渋谷 雄大")</f>
        <v>渋谷 雄大</v>
      </c>
    </row>
    <row r="12104" spans="2:4" ht="13">
      <c r="B12104" s="12">
        <f ca="1">IFERROR(__xludf.DUMMYFUNCTION("""COMPUTED_VALUE"""),3720041)</f>
        <v>3720041</v>
      </c>
      <c r="C12104" s="14">
        <f ca="1">IFERROR(__xludf.DUMMYFUNCTION("""COMPUTED_VALUE"""),0)</f>
        <v>0</v>
      </c>
      <c r="D12104" s="12" t="str">
        <f ca="1">IFERROR(__xludf.DUMMYFUNCTION("""COMPUTED_VALUE"""),"渋谷 雄大")</f>
        <v>渋谷 雄大</v>
      </c>
    </row>
    <row r="12105" spans="2:4" ht="13">
      <c r="B12105" s="12">
        <f ca="1">IFERROR(__xludf.DUMMYFUNCTION("""COMPUTED_VALUE"""),3720042)</f>
        <v>3720042</v>
      </c>
      <c r="C12105" s="14">
        <f ca="1">IFERROR(__xludf.DUMMYFUNCTION("""COMPUTED_VALUE"""),0)</f>
        <v>0</v>
      </c>
      <c r="D12105" s="12" t="str">
        <f ca="1">IFERROR(__xludf.DUMMYFUNCTION("""COMPUTED_VALUE"""),"渋谷 雄大")</f>
        <v>渋谷 雄大</v>
      </c>
    </row>
    <row r="12106" spans="2:4" ht="13">
      <c r="B12106" s="12">
        <f ca="1">IFERROR(__xludf.DUMMYFUNCTION("""COMPUTED_VALUE"""),3720044)</f>
        <v>3720044</v>
      </c>
      <c r="C12106" s="14">
        <f ca="1">IFERROR(__xludf.DUMMYFUNCTION("""COMPUTED_VALUE"""),33)</f>
        <v>33</v>
      </c>
      <c r="D12106" s="12" t="str">
        <f ca="1">IFERROR(__xludf.DUMMYFUNCTION("""COMPUTED_VALUE"""),"渋谷 雄大")</f>
        <v>渋谷 雄大</v>
      </c>
    </row>
    <row r="12107" spans="2:4" ht="13">
      <c r="B12107" s="12">
        <f ca="1">IFERROR(__xludf.DUMMYFUNCTION("""COMPUTED_VALUE"""),3720045)</f>
        <v>3720045</v>
      </c>
      <c r="C12107" s="14">
        <f ca="1">IFERROR(__xludf.DUMMYFUNCTION("""COMPUTED_VALUE"""),0)</f>
        <v>0</v>
      </c>
      <c r="D12107" s="12" t="str">
        <f ca="1">IFERROR(__xludf.DUMMYFUNCTION("""COMPUTED_VALUE"""),"渋谷 雄大")</f>
        <v>渋谷 雄大</v>
      </c>
    </row>
    <row r="12108" spans="2:4" ht="13">
      <c r="B12108" s="12">
        <f ca="1">IFERROR(__xludf.DUMMYFUNCTION("""COMPUTED_VALUE"""),3720046)</f>
        <v>3720046</v>
      </c>
      <c r="C12108" s="14">
        <f ca="1">IFERROR(__xludf.DUMMYFUNCTION("""COMPUTED_VALUE"""),0)</f>
        <v>0</v>
      </c>
      <c r="D12108" s="12" t="str">
        <f ca="1">IFERROR(__xludf.DUMMYFUNCTION("""COMPUTED_VALUE"""),"渋谷 雄大")</f>
        <v>渋谷 雄大</v>
      </c>
    </row>
    <row r="12109" spans="2:4" ht="13">
      <c r="B12109" s="12">
        <f ca="1">IFERROR(__xludf.DUMMYFUNCTION("""COMPUTED_VALUE"""),3720047)</f>
        <v>3720047</v>
      </c>
      <c r="C12109" s="14">
        <f ca="1">IFERROR(__xludf.DUMMYFUNCTION("""COMPUTED_VALUE"""),0)</f>
        <v>0</v>
      </c>
      <c r="D12109" s="12" t="str">
        <f ca="1">IFERROR(__xludf.DUMMYFUNCTION("""COMPUTED_VALUE"""),"渋谷 雄大")</f>
        <v>渋谷 雄大</v>
      </c>
    </row>
    <row r="12110" spans="2:4" ht="13">
      <c r="B12110" s="12">
        <f ca="1">IFERROR(__xludf.DUMMYFUNCTION("""COMPUTED_VALUE"""),3720048)</f>
        <v>3720048</v>
      </c>
      <c r="C12110" s="14">
        <f ca="1">IFERROR(__xludf.DUMMYFUNCTION("""COMPUTED_VALUE"""),0)</f>
        <v>0</v>
      </c>
      <c r="D12110" s="12" t="str">
        <f ca="1">IFERROR(__xludf.DUMMYFUNCTION("""COMPUTED_VALUE"""),"渋谷 雄大")</f>
        <v>渋谷 雄大</v>
      </c>
    </row>
    <row r="12111" spans="2:4" ht="13">
      <c r="B12111" s="12">
        <f ca="1">IFERROR(__xludf.DUMMYFUNCTION("""COMPUTED_VALUE"""),3720049)</f>
        <v>3720049</v>
      </c>
      <c r="C12111" s="14">
        <f ca="1">IFERROR(__xludf.DUMMYFUNCTION("""COMPUTED_VALUE"""),0)</f>
        <v>0</v>
      </c>
      <c r="D12111" s="12" t="str">
        <f ca="1">IFERROR(__xludf.DUMMYFUNCTION("""COMPUTED_VALUE"""),"渋谷 雄大")</f>
        <v>渋谷 雄大</v>
      </c>
    </row>
    <row r="12112" spans="2:4" ht="13">
      <c r="B12112" s="12">
        <f ca="1">IFERROR(__xludf.DUMMYFUNCTION("""COMPUTED_VALUE"""),3720050)</f>
        <v>3720050</v>
      </c>
      <c r="C12112" s="14">
        <f ca="1">IFERROR(__xludf.DUMMYFUNCTION("""COMPUTED_VALUE"""),0)</f>
        <v>0</v>
      </c>
      <c r="D12112" s="12" t="str">
        <f ca="1">IFERROR(__xludf.DUMMYFUNCTION("""COMPUTED_VALUE"""),"渋谷 雄大")</f>
        <v>渋谷 雄大</v>
      </c>
    </row>
    <row r="12113" spans="2:4" ht="13">
      <c r="B12113" s="12">
        <f ca="1">IFERROR(__xludf.DUMMYFUNCTION("""COMPUTED_VALUE"""),3720051)</f>
        <v>3720051</v>
      </c>
      <c r="C12113" s="14">
        <f ca="1">IFERROR(__xludf.DUMMYFUNCTION("""COMPUTED_VALUE"""),0)</f>
        <v>0</v>
      </c>
      <c r="D12113" s="12" t="str">
        <f ca="1">IFERROR(__xludf.DUMMYFUNCTION("""COMPUTED_VALUE"""),"渋谷 雄大")</f>
        <v>渋谷 雄大</v>
      </c>
    </row>
    <row r="12114" spans="2:4" ht="13">
      <c r="B12114" s="12">
        <f ca="1">IFERROR(__xludf.DUMMYFUNCTION("""COMPUTED_VALUE"""),3720052)</f>
        <v>3720052</v>
      </c>
      <c r="C12114" s="14">
        <f ca="1">IFERROR(__xludf.DUMMYFUNCTION("""COMPUTED_VALUE"""),0)</f>
        <v>0</v>
      </c>
      <c r="D12114" s="12" t="str">
        <f ca="1">IFERROR(__xludf.DUMMYFUNCTION("""COMPUTED_VALUE"""),"渋谷 雄大")</f>
        <v>渋谷 雄大</v>
      </c>
    </row>
    <row r="12115" spans="2:4" ht="13">
      <c r="B12115" s="12">
        <f ca="1">IFERROR(__xludf.DUMMYFUNCTION("""COMPUTED_VALUE"""),3720053)</f>
        <v>3720053</v>
      </c>
      <c r="C12115" s="14">
        <f ca="1">IFERROR(__xludf.DUMMYFUNCTION("""COMPUTED_VALUE"""),0)</f>
        <v>0</v>
      </c>
      <c r="D12115" s="12" t="str">
        <f ca="1">IFERROR(__xludf.DUMMYFUNCTION("""COMPUTED_VALUE"""),"渋谷 雄大")</f>
        <v>渋谷 雄大</v>
      </c>
    </row>
    <row r="12116" spans="2:4" ht="13">
      <c r="B12116" s="12">
        <f ca="1">IFERROR(__xludf.DUMMYFUNCTION("""COMPUTED_VALUE"""),3720054)</f>
        <v>3720054</v>
      </c>
      <c r="C12116" s="14">
        <f ca="1">IFERROR(__xludf.DUMMYFUNCTION("""COMPUTED_VALUE"""),0)</f>
        <v>0</v>
      </c>
      <c r="D12116" s="12" t="str">
        <f ca="1">IFERROR(__xludf.DUMMYFUNCTION("""COMPUTED_VALUE"""),"渋谷 雄大")</f>
        <v>渋谷 雄大</v>
      </c>
    </row>
    <row r="12117" spans="2:4" ht="13">
      <c r="B12117" s="12">
        <f ca="1">IFERROR(__xludf.DUMMYFUNCTION("""COMPUTED_VALUE"""),3720056)</f>
        <v>3720056</v>
      </c>
      <c r="C12117" s="14">
        <f ca="1">IFERROR(__xludf.DUMMYFUNCTION("""COMPUTED_VALUE"""),0)</f>
        <v>0</v>
      </c>
      <c r="D12117" s="12" t="str">
        <f ca="1">IFERROR(__xludf.DUMMYFUNCTION("""COMPUTED_VALUE"""),"渋谷 雄大")</f>
        <v>渋谷 雄大</v>
      </c>
    </row>
    <row r="12118" spans="2:4" ht="13">
      <c r="B12118" s="12">
        <f ca="1">IFERROR(__xludf.DUMMYFUNCTION("""COMPUTED_VALUE"""),3720057)</f>
        <v>3720057</v>
      </c>
      <c r="C12118" s="14">
        <f ca="1">IFERROR(__xludf.DUMMYFUNCTION("""COMPUTED_VALUE"""),0)</f>
        <v>0</v>
      </c>
      <c r="D12118" s="12" t="str">
        <f ca="1">IFERROR(__xludf.DUMMYFUNCTION("""COMPUTED_VALUE"""),"渋谷 雄大")</f>
        <v>渋谷 雄大</v>
      </c>
    </row>
    <row r="12119" spans="2:4" ht="13">
      <c r="B12119" s="12">
        <f ca="1">IFERROR(__xludf.DUMMYFUNCTION("""COMPUTED_VALUE"""),3720058)</f>
        <v>3720058</v>
      </c>
      <c r="C12119" s="14">
        <f ca="1">IFERROR(__xludf.DUMMYFUNCTION("""COMPUTED_VALUE"""),0)</f>
        <v>0</v>
      </c>
      <c r="D12119" s="12" t="str">
        <f ca="1">IFERROR(__xludf.DUMMYFUNCTION("""COMPUTED_VALUE"""),"渋谷 雄大")</f>
        <v>渋谷 雄大</v>
      </c>
    </row>
    <row r="12120" spans="2:4" ht="13">
      <c r="B12120" s="12">
        <f ca="1">IFERROR(__xludf.DUMMYFUNCTION("""COMPUTED_VALUE"""),3720059)</f>
        <v>3720059</v>
      </c>
      <c r="C12120" s="14">
        <f ca="1">IFERROR(__xludf.DUMMYFUNCTION("""COMPUTED_VALUE"""),0)</f>
        <v>0</v>
      </c>
      <c r="D12120" s="12" t="str">
        <f ca="1">IFERROR(__xludf.DUMMYFUNCTION("""COMPUTED_VALUE"""),"渋谷 雄大")</f>
        <v>渋谷 雄大</v>
      </c>
    </row>
    <row r="12121" spans="2:4" ht="13">
      <c r="B12121" s="12">
        <f ca="1">IFERROR(__xludf.DUMMYFUNCTION("""COMPUTED_VALUE"""),3720060)</f>
        <v>3720060</v>
      </c>
      <c r="C12121" s="14">
        <f ca="1">IFERROR(__xludf.DUMMYFUNCTION("""COMPUTED_VALUE"""),0)</f>
        <v>0</v>
      </c>
      <c r="D12121" s="12" t="str">
        <f ca="1">IFERROR(__xludf.DUMMYFUNCTION("""COMPUTED_VALUE"""),"渋谷 雄大")</f>
        <v>渋谷 雄大</v>
      </c>
    </row>
    <row r="12122" spans="2:4" ht="13">
      <c r="B12122" s="12">
        <f ca="1">IFERROR(__xludf.DUMMYFUNCTION("""COMPUTED_VALUE"""),3720061)</f>
        <v>3720061</v>
      </c>
      <c r="C12122" s="14">
        <f ca="1">IFERROR(__xludf.DUMMYFUNCTION("""COMPUTED_VALUE"""),9)</f>
        <v>9</v>
      </c>
      <c r="D12122" s="12" t="str">
        <f ca="1">IFERROR(__xludf.DUMMYFUNCTION("""COMPUTED_VALUE"""),"渋谷 雄大")</f>
        <v>渋谷 雄大</v>
      </c>
    </row>
    <row r="12123" spans="2:4" ht="13">
      <c r="B12123" s="12">
        <f ca="1">IFERROR(__xludf.DUMMYFUNCTION("""COMPUTED_VALUE"""),3720062)</f>
        <v>3720062</v>
      </c>
      <c r="C12123" s="14">
        <f ca="1">IFERROR(__xludf.DUMMYFUNCTION("""COMPUTED_VALUE"""),0)</f>
        <v>0</v>
      </c>
      <c r="D12123" s="12" t="str">
        <f ca="1">IFERROR(__xludf.DUMMYFUNCTION("""COMPUTED_VALUE"""),"渋谷 雄大")</f>
        <v>渋谷 雄大</v>
      </c>
    </row>
    <row r="12124" spans="2:4" ht="13">
      <c r="B12124" s="12">
        <f ca="1">IFERROR(__xludf.DUMMYFUNCTION("""COMPUTED_VALUE"""),3720063)</f>
        <v>3720063</v>
      </c>
      <c r="C12124" s="14">
        <f ca="1">IFERROR(__xludf.DUMMYFUNCTION("""COMPUTED_VALUE"""),0)</f>
        <v>0</v>
      </c>
      <c r="D12124" s="12" t="str">
        <f ca="1">IFERROR(__xludf.DUMMYFUNCTION("""COMPUTED_VALUE"""),"渋谷 雄大")</f>
        <v>渋谷 雄大</v>
      </c>
    </row>
    <row r="12125" spans="2:4" ht="13">
      <c r="B12125" s="12">
        <f ca="1">IFERROR(__xludf.DUMMYFUNCTION("""COMPUTED_VALUE"""),3720064)</f>
        <v>3720064</v>
      </c>
      <c r="C12125" s="14">
        <f ca="1">IFERROR(__xludf.DUMMYFUNCTION("""COMPUTED_VALUE"""),0)</f>
        <v>0</v>
      </c>
      <c r="D12125" s="12" t="str">
        <f ca="1">IFERROR(__xludf.DUMMYFUNCTION("""COMPUTED_VALUE"""),"渋谷 雄大")</f>
        <v>渋谷 雄大</v>
      </c>
    </row>
    <row r="12126" spans="2:4" ht="13">
      <c r="B12126" s="12">
        <f ca="1">IFERROR(__xludf.DUMMYFUNCTION("""COMPUTED_VALUE"""),3720065)</f>
        <v>3720065</v>
      </c>
      <c r="C12126" s="14">
        <f ca="1">IFERROR(__xludf.DUMMYFUNCTION("""COMPUTED_VALUE"""),0)</f>
        <v>0</v>
      </c>
      <c r="D12126" s="12" t="str">
        <f ca="1">IFERROR(__xludf.DUMMYFUNCTION("""COMPUTED_VALUE"""),"渋谷 雄大")</f>
        <v>渋谷 雄大</v>
      </c>
    </row>
    <row r="12127" spans="2:4" ht="13">
      <c r="B12127" s="12">
        <f ca="1">IFERROR(__xludf.DUMMYFUNCTION("""COMPUTED_VALUE"""),3720066)</f>
        <v>3720066</v>
      </c>
      <c r="C12127" s="14">
        <f ca="1">IFERROR(__xludf.DUMMYFUNCTION("""COMPUTED_VALUE"""),0)</f>
        <v>0</v>
      </c>
      <c r="D12127" s="12" t="str">
        <f ca="1">IFERROR(__xludf.DUMMYFUNCTION("""COMPUTED_VALUE"""),"渋谷 雄大")</f>
        <v>渋谷 雄大</v>
      </c>
    </row>
    <row r="12128" spans="2:4" ht="13">
      <c r="B12128" s="12">
        <f ca="1">IFERROR(__xludf.DUMMYFUNCTION("""COMPUTED_VALUE"""),3720067)</f>
        <v>3720067</v>
      </c>
      <c r="C12128" s="14">
        <f ca="1">IFERROR(__xludf.DUMMYFUNCTION("""COMPUTED_VALUE"""),0)</f>
        <v>0</v>
      </c>
      <c r="D12128" s="12" t="str">
        <f ca="1">IFERROR(__xludf.DUMMYFUNCTION("""COMPUTED_VALUE"""),"渋谷 雄大")</f>
        <v>渋谷 雄大</v>
      </c>
    </row>
    <row r="12129" spans="2:4" ht="13">
      <c r="B12129" s="12">
        <f ca="1">IFERROR(__xludf.DUMMYFUNCTION("""COMPUTED_VALUE"""),3720068)</f>
        <v>3720068</v>
      </c>
      <c r="C12129" s="14">
        <f ca="1">IFERROR(__xludf.DUMMYFUNCTION("""COMPUTED_VALUE"""),0)</f>
        <v>0</v>
      </c>
      <c r="D12129" s="12" t="str">
        <f ca="1">IFERROR(__xludf.DUMMYFUNCTION("""COMPUTED_VALUE"""),"渋谷 雄大")</f>
        <v>渋谷 雄大</v>
      </c>
    </row>
    <row r="12130" spans="2:4" ht="13">
      <c r="B12130" s="12">
        <f ca="1">IFERROR(__xludf.DUMMYFUNCTION("""COMPUTED_VALUE"""),3720069)</f>
        <v>3720069</v>
      </c>
      <c r="C12130" s="14">
        <f ca="1">IFERROR(__xludf.DUMMYFUNCTION("""COMPUTED_VALUE"""),0)</f>
        <v>0</v>
      </c>
      <c r="D12130" s="12" t="str">
        <f ca="1">IFERROR(__xludf.DUMMYFUNCTION("""COMPUTED_VALUE"""),"渋谷 雄大")</f>
        <v>渋谷 雄大</v>
      </c>
    </row>
    <row r="12131" spans="2:4" ht="13">
      <c r="B12131" s="12">
        <f ca="1">IFERROR(__xludf.DUMMYFUNCTION("""COMPUTED_VALUE"""),3720070)</f>
        <v>3720070</v>
      </c>
      <c r="C12131" s="14">
        <f ca="1">IFERROR(__xludf.DUMMYFUNCTION("""COMPUTED_VALUE"""),0)</f>
        <v>0</v>
      </c>
      <c r="D12131" s="12" t="str">
        <f ca="1">IFERROR(__xludf.DUMMYFUNCTION("""COMPUTED_VALUE"""),"渋谷 雄大")</f>
        <v>渋谷 雄大</v>
      </c>
    </row>
    <row r="12132" spans="2:4" ht="13">
      <c r="B12132" s="12">
        <f ca="1">IFERROR(__xludf.DUMMYFUNCTION("""COMPUTED_VALUE"""),3720071)</f>
        <v>3720071</v>
      </c>
      <c r="C12132" s="14">
        <f ca="1">IFERROR(__xludf.DUMMYFUNCTION("""COMPUTED_VALUE"""),0)</f>
        <v>0</v>
      </c>
      <c r="D12132" s="12" t="str">
        <f ca="1">IFERROR(__xludf.DUMMYFUNCTION("""COMPUTED_VALUE"""),"渋谷 雄大")</f>
        <v>渋谷 雄大</v>
      </c>
    </row>
    <row r="12133" spans="2:4" ht="13">
      <c r="B12133" s="12">
        <f ca="1">IFERROR(__xludf.DUMMYFUNCTION("""COMPUTED_VALUE"""),3720072)</f>
        <v>3720072</v>
      </c>
      <c r="C12133" s="14">
        <f ca="1">IFERROR(__xludf.DUMMYFUNCTION("""COMPUTED_VALUE"""),0)</f>
        <v>0</v>
      </c>
      <c r="D12133" s="12" t="str">
        <f ca="1">IFERROR(__xludf.DUMMYFUNCTION("""COMPUTED_VALUE"""),"渋谷 雄大")</f>
        <v>渋谷 雄大</v>
      </c>
    </row>
    <row r="12134" spans="2:4" ht="13">
      <c r="B12134" s="12">
        <f ca="1">IFERROR(__xludf.DUMMYFUNCTION("""COMPUTED_VALUE"""),3720074)</f>
        <v>3720074</v>
      </c>
      <c r="C12134" s="14">
        <f ca="1">IFERROR(__xludf.DUMMYFUNCTION("""COMPUTED_VALUE"""),0)</f>
        <v>0</v>
      </c>
      <c r="D12134" s="12" t="str">
        <f ca="1">IFERROR(__xludf.DUMMYFUNCTION("""COMPUTED_VALUE"""),"渋谷 雄大")</f>
        <v>渋谷 雄大</v>
      </c>
    </row>
    <row r="12135" spans="2:4" ht="13">
      <c r="B12135" s="12">
        <f ca="1">IFERROR(__xludf.DUMMYFUNCTION("""COMPUTED_VALUE"""),3720075)</f>
        <v>3720075</v>
      </c>
      <c r="C12135" s="14">
        <f ca="1">IFERROR(__xludf.DUMMYFUNCTION("""COMPUTED_VALUE"""),0)</f>
        <v>0</v>
      </c>
      <c r="D12135" s="12" t="str">
        <f ca="1">IFERROR(__xludf.DUMMYFUNCTION("""COMPUTED_VALUE"""),"渋谷 雄大")</f>
        <v>渋谷 雄大</v>
      </c>
    </row>
    <row r="12136" spans="2:4" ht="13">
      <c r="B12136" s="12">
        <f ca="1">IFERROR(__xludf.DUMMYFUNCTION("""COMPUTED_VALUE"""),3720076)</f>
        <v>3720076</v>
      </c>
      <c r="C12136" s="14">
        <f ca="1">IFERROR(__xludf.DUMMYFUNCTION("""COMPUTED_VALUE"""),0)</f>
        <v>0</v>
      </c>
      <c r="D12136" s="12" t="str">
        <f ca="1">IFERROR(__xludf.DUMMYFUNCTION("""COMPUTED_VALUE"""),"渋谷 雄大")</f>
        <v>渋谷 雄大</v>
      </c>
    </row>
    <row r="12137" spans="2:4" ht="13">
      <c r="B12137" s="12">
        <f ca="1">IFERROR(__xludf.DUMMYFUNCTION("""COMPUTED_VALUE"""),3720077)</f>
        <v>3720077</v>
      </c>
      <c r="C12137" s="14">
        <f ca="1">IFERROR(__xludf.DUMMYFUNCTION("""COMPUTED_VALUE"""),0)</f>
        <v>0</v>
      </c>
      <c r="D12137" s="12" t="str">
        <f ca="1">IFERROR(__xludf.DUMMYFUNCTION("""COMPUTED_VALUE"""),"渋谷 雄大")</f>
        <v>渋谷 雄大</v>
      </c>
    </row>
    <row r="12138" spans="2:4" ht="13">
      <c r="B12138" s="12">
        <f ca="1">IFERROR(__xludf.DUMMYFUNCTION("""COMPUTED_VALUE"""),3720078)</f>
        <v>3720078</v>
      </c>
      <c r="C12138" s="14">
        <f ca="1">IFERROR(__xludf.DUMMYFUNCTION("""COMPUTED_VALUE"""),0)</f>
        <v>0</v>
      </c>
      <c r="D12138" s="12" t="str">
        <f ca="1">IFERROR(__xludf.DUMMYFUNCTION("""COMPUTED_VALUE"""),"渋谷 雄大")</f>
        <v>渋谷 雄大</v>
      </c>
    </row>
    <row r="12139" spans="2:4" ht="13">
      <c r="B12139" s="12">
        <f ca="1">IFERROR(__xludf.DUMMYFUNCTION("""COMPUTED_VALUE"""),3720079)</f>
        <v>3720079</v>
      </c>
      <c r="C12139" s="14">
        <f ca="1">IFERROR(__xludf.DUMMYFUNCTION("""COMPUTED_VALUE"""),0)</f>
        <v>0</v>
      </c>
      <c r="D12139" s="12" t="str">
        <f ca="1">IFERROR(__xludf.DUMMYFUNCTION("""COMPUTED_VALUE"""),"渋谷 雄大")</f>
        <v>渋谷 雄大</v>
      </c>
    </row>
    <row r="12140" spans="2:4" ht="13">
      <c r="B12140" s="12">
        <f ca="1">IFERROR(__xludf.DUMMYFUNCTION("""COMPUTED_VALUE"""),3720080)</f>
        <v>3720080</v>
      </c>
      <c r="C12140" s="14">
        <f ca="1">IFERROR(__xludf.DUMMYFUNCTION("""COMPUTED_VALUE"""),0)</f>
        <v>0</v>
      </c>
      <c r="D12140" s="12" t="str">
        <f ca="1">IFERROR(__xludf.DUMMYFUNCTION("""COMPUTED_VALUE"""),"渋谷 雄大")</f>
        <v>渋谷 雄大</v>
      </c>
    </row>
    <row r="12141" spans="2:4" ht="13">
      <c r="B12141" s="12">
        <f ca="1">IFERROR(__xludf.DUMMYFUNCTION("""COMPUTED_VALUE"""),3720081)</f>
        <v>3720081</v>
      </c>
      <c r="C12141" s="14">
        <f ca="1">IFERROR(__xludf.DUMMYFUNCTION("""COMPUTED_VALUE"""),0)</f>
        <v>0</v>
      </c>
      <c r="D12141" s="12" t="str">
        <f ca="1">IFERROR(__xludf.DUMMYFUNCTION("""COMPUTED_VALUE"""),"渋谷 雄大")</f>
        <v>渋谷 雄大</v>
      </c>
    </row>
    <row r="12142" spans="2:4" ht="13">
      <c r="B12142" s="12">
        <f ca="1">IFERROR(__xludf.DUMMYFUNCTION("""COMPUTED_VALUE"""),3720082)</f>
        <v>3720082</v>
      </c>
      <c r="C12142" s="14">
        <f ca="1">IFERROR(__xludf.DUMMYFUNCTION("""COMPUTED_VALUE"""),0)</f>
        <v>0</v>
      </c>
      <c r="D12142" s="12" t="str">
        <f ca="1">IFERROR(__xludf.DUMMYFUNCTION("""COMPUTED_VALUE"""),"渋谷 雄大")</f>
        <v>渋谷 雄大</v>
      </c>
    </row>
    <row r="12143" spans="2:4" ht="13">
      <c r="B12143" s="12">
        <f ca="1">IFERROR(__xludf.DUMMYFUNCTION("""COMPUTED_VALUE"""),3720083)</f>
        <v>3720083</v>
      </c>
      <c r="C12143" s="14">
        <f ca="1">IFERROR(__xludf.DUMMYFUNCTION("""COMPUTED_VALUE"""),0)</f>
        <v>0</v>
      </c>
      <c r="D12143" s="12" t="str">
        <f ca="1">IFERROR(__xludf.DUMMYFUNCTION("""COMPUTED_VALUE"""),"渋谷 雄大")</f>
        <v>渋谷 雄大</v>
      </c>
    </row>
    <row r="12144" spans="2:4" ht="13">
      <c r="B12144" s="12">
        <f ca="1">IFERROR(__xludf.DUMMYFUNCTION("""COMPUTED_VALUE"""),3720084)</f>
        <v>3720084</v>
      </c>
      <c r="C12144" s="14">
        <f ca="1">IFERROR(__xludf.DUMMYFUNCTION("""COMPUTED_VALUE"""),0)</f>
        <v>0</v>
      </c>
      <c r="D12144" s="12" t="str">
        <f ca="1">IFERROR(__xludf.DUMMYFUNCTION("""COMPUTED_VALUE"""),"渋谷 雄大")</f>
        <v>渋谷 雄大</v>
      </c>
    </row>
    <row r="12145" spans="2:4" ht="13">
      <c r="B12145" s="12">
        <f ca="1">IFERROR(__xludf.DUMMYFUNCTION("""COMPUTED_VALUE"""),3720085)</f>
        <v>3720085</v>
      </c>
      <c r="C12145" s="14">
        <f ca="1">IFERROR(__xludf.DUMMYFUNCTION("""COMPUTED_VALUE"""),0)</f>
        <v>0</v>
      </c>
      <c r="D12145" s="12" t="str">
        <f ca="1">IFERROR(__xludf.DUMMYFUNCTION("""COMPUTED_VALUE"""),"渋谷 雄大")</f>
        <v>渋谷 雄大</v>
      </c>
    </row>
    <row r="12146" spans="2:4" ht="13">
      <c r="B12146" s="12">
        <f ca="1">IFERROR(__xludf.DUMMYFUNCTION("""COMPUTED_VALUE"""),3720086)</f>
        <v>3720086</v>
      </c>
      <c r="C12146" s="14">
        <f ca="1">IFERROR(__xludf.DUMMYFUNCTION("""COMPUTED_VALUE"""),0)</f>
        <v>0</v>
      </c>
      <c r="D12146" s="12" t="str">
        <f ca="1">IFERROR(__xludf.DUMMYFUNCTION("""COMPUTED_VALUE"""),"渋谷 雄大")</f>
        <v>渋谷 雄大</v>
      </c>
    </row>
    <row r="12147" spans="2:4" ht="13">
      <c r="B12147" s="12">
        <f ca="1">IFERROR(__xludf.DUMMYFUNCTION("""COMPUTED_VALUE"""),3720087)</f>
        <v>3720087</v>
      </c>
      <c r="C12147" s="14">
        <f ca="1">IFERROR(__xludf.DUMMYFUNCTION("""COMPUTED_VALUE"""),0)</f>
        <v>0</v>
      </c>
      <c r="D12147" s="12" t="str">
        <f ca="1">IFERROR(__xludf.DUMMYFUNCTION("""COMPUTED_VALUE"""),"渋谷 雄大")</f>
        <v>渋谷 雄大</v>
      </c>
    </row>
    <row r="12148" spans="2:4" ht="13">
      <c r="B12148" s="12">
        <f ca="1">IFERROR(__xludf.DUMMYFUNCTION("""COMPUTED_VALUE"""),3720088)</f>
        <v>3720088</v>
      </c>
      <c r="C12148" s="14">
        <f ca="1">IFERROR(__xludf.DUMMYFUNCTION("""COMPUTED_VALUE"""),0)</f>
        <v>0</v>
      </c>
      <c r="D12148" s="12" t="str">
        <f ca="1">IFERROR(__xludf.DUMMYFUNCTION("""COMPUTED_VALUE"""),"渋谷 雄大")</f>
        <v>渋谷 雄大</v>
      </c>
    </row>
    <row r="12149" spans="2:4" ht="13">
      <c r="B12149" s="12">
        <f ca="1">IFERROR(__xludf.DUMMYFUNCTION("""COMPUTED_VALUE"""),3720089)</f>
        <v>3720089</v>
      </c>
      <c r="C12149" s="14">
        <f ca="1">IFERROR(__xludf.DUMMYFUNCTION("""COMPUTED_VALUE"""),0)</f>
        <v>0</v>
      </c>
      <c r="D12149" s="12" t="str">
        <f ca="1">IFERROR(__xludf.DUMMYFUNCTION("""COMPUTED_VALUE"""),"渋谷 雄大")</f>
        <v>渋谷 雄大</v>
      </c>
    </row>
    <row r="12150" spans="2:4" ht="13">
      <c r="B12150" s="12">
        <f ca="1">IFERROR(__xludf.DUMMYFUNCTION("""COMPUTED_VALUE"""),3720090)</f>
        <v>3720090</v>
      </c>
      <c r="C12150" s="14">
        <f ca="1">IFERROR(__xludf.DUMMYFUNCTION("""COMPUTED_VALUE"""),0)</f>
        <v>0</v>
      </c>
      <c r="D12150" s="12" t="str">
        <f ca="1">IFERROR(__xludf.DUMMYFUNCTION("""COMPUTED_VALUE"""),"渋谷 雄大")</f>
        <v>渋谷 雄大</v>
      </c>
    </row>
    <row r="12151" spans="2:4" ht="13">
      <c r="B12151" s="12">
        <f ca="1">IFERROR(__xludf.DUMMYFUNCTION("""COMPUTED_VALUE"""),3720091)</f>
        <v>3720091</v>
      </c>
      <c r="C12151" s="14">
        <f ca="1">IFERROR(__xludf.DUMMYFUNCTION("""COMPUTED_VALUE"""),0)</f>
        <v>0</v>
      </c>
      <c r="D12151" s="12" t="str">
        <f ca="1">IFERROR(__xludf.DUMMYFUNCTION("""COMPUTED_VALUE"""),"渋谷 雄大")</f>
        <v>渋谷 雄大</v>
      </c>
    </row>
    <row r="12152" spans="2:4" ht="13">
      <c r="B12152" s="12">
        <f ca="1">IFERROR(__xludf.DUMMYFUNCTION("""COMPUTED_VALUE"""),3720092)</f>
        <v>3720092</v>
      </c>
      <c r="C12152" s="14">
        <f ca="1">IFERROR(__xludf.DUMMYFUNCTION("""COMPUTED_VALUE"""),0)</f>
        <v>0</v>
      </c>
      <c r="D12152" s="12" t="str">
        <f ca="1">IFERROR(__xludf.DUMMYFUNCTION("""COMPUTED_VALUE"""),"渋谷 雄大")</f>
        <v>渋谷 雄大</v>
      </c>
    </row>
    <row r="12153" spans="2:4" ht="13">
      <c r="B12153" s="12">
        <f ca="1">IFERROR(__xludf.DUMMYFUNCTION("""COMPUTED_VALUE"""),3720093)</f>
        <v>3720093</v>
      </c>
      <c r="C12153" s="14">
        <f ca="1">IFERROR(__xludf.DUMMYFUNCTION("""COMPUTED_VALUE"""),0)</f>
        <v>0</v>
      </c>
      <c r="D12153" s="12" t="str">
        <f ca="1">IFERROR(__xludf.DUMMYFUNCTION("""COMPUTED_VALUE"""),"渋谷 雄大")</f>
        <v>渋谷 雄大</v>
      </c>
    </row>
    <row r="12154" spans="2:4" ht="13">
      <c r="B12154" s="12">
        <f ca="1">IFERROR(__xludf.DUMMYFUNCTION("""COMPUTED_VALUE"""),3720094)</f>
        <v>3720094</v>
      </c>
      <c r="C12154" s="14">
        <f ca="1">IFERROR(__xludf.DUMMYFUNCTION("""COMPUTED_VALUE"""),0)</f>
        <v>0</v>
      </c>
      <c r="D12154" s="12" t="str">
        <f ca="1">IFERROR(__xludf.DUMMYFUNCTION("""COMPUTED_VALUE"""),"渋谷 雄大")</f>
        <v>渋谷 雄大</v>
      </c>
    </row>
    <row r="12155" spans="2:4" ht="13">
      <c r="B12155" s="12">
        <f ca="1">IFERROR(__xludf.DUMMYFUNCTION("""COMPUTED_VALUE"""),3720095)</f>
        <v>3720095</v>
      </c>
      <c r="C12155" s="14">
        <f ca="1">IFERROR(__xludf.DUMMYFUNCTION("""COMPUTED_VALUE"""),0)</f>
        <v>0</v>
      </c>
      <c r="D12155" s="12" t="str">
        <f ca="1">IFERROR(__xludf.DUMMYFUNCTION("""COMPUTED_VALUE"""),"渋谷 雄大")</f>
        <v>渋谷 雄大</v>
      </c>
    </row>
    <row r="12156" spans="2:4" ht="13">
      <c r="B12156" s="12">
        <f ca="1">IFERROR(__xludf.DUMMYFUNCTION("""COMPUTED_VALUE"""),3720096)</f>
        <v>3720096</v>
      </c>
      <c r="C12156" s="14">
        <f ca="1">IFERROR(__xludf.DUMMYFUNCTION("""COMPUTED_VALUE"""),0)</f>
        <v>0</v>
      </c>
      <c r="D12156" s="12" t="str">
        <f ca="1">IFERROR(__xludf.DUMMYFUNCTION("""COMPUTED_VALUE"""),"渋谷 雄大")</f>
        <v>渋谷 雄大</v>
      </c>
    </row>
    <row r="12157" spans="2:4" ht="13">
      <c r="B12157" s="12">
        <f ca="1">IFERROR(__xludf.DUMMYFUNCTION("""COMPUTED_VALUE"""),3720097)</f>
        <v>3720097</v>
      </c>
      <c r="C12157" s="14">
        <f ca="1">IFERROR(__xludf.DUMMYFUNCTION("""COMPUTED_VALUE"""),0)</f>
        <v>0</v>
      </c>
      <c r="D12157" s="12" t="str">
        <f ca="1">IFERROR(__xludf.DUMMYFUNCTION("""COMPUTED_VALUE"""),"渋谷 雄大")</f>
        <v>渋谷 雄大</v>
      </c>
    </row>
    <row r="12158" spans="2:4" ht="13">
      <c r="B12158" s="12">
        <f ca="1">IFERROR(__xludf.DUMMYFUNCTION("""COMPUTED_VALUE"""),3720098)</f>
        <v>3720098</v>
      </c>
      <c r="C12158" s="14">
        <f ca="1">IFERROR(__xludf.DUMMYFUNCTION("""COMPUTED_VALUE"""),0)</f>
        <v>0</v>
      </c>
      <c r="D12158" s="12" t="str">
        <f ca="1">IFERROR(__xludf.DUMMYFUNCTION("""COMPUTED_VALUE"""),"渋谷 雄大")</f>
        <v>渋谷 雄大</v>
      </c>
    </row>
    <row r="12159" spans="2:4" ht="13">
      <c r="B12159" s="12">
        <f ca="1">IFERROR(__xludf.DUMMYFUNCTION("""COMPUTED_VALUE"""),3720099)</f>
        <v>3720099</v>
      </c>
      <c r="C12159" s="14">
        <f ca="1">IFERROR(__xludf.DUMMYFUNCTION("""COMPUTED_VALUE"""),0)</f>
        <v>0</v>
      </c>
      <c r="D12159" s="12" t="str">
        <f ca="1">IFERROR(__xludf.DUMMYFUNCTION("""COMPUTED_VALUE"""),"渋谷 雄大")</f>
        <v>渋谷 雄大</v>
      </c>
    </row>
    <row r="12160" spans="2:4" ht="13">
      <c r="B12160" s="12">
        <f ca="1">IFERROR(__xludf.DUMMYFUNCTION("""COMPUTED_VALUE"""),3720100)</f>
        <v>3720100</v>
      </c>
      <c r="C12160" s="14">
        <f ca="1">IFERROR(__xludf.DUMMYFUNCTION("""COMPUTED_VALUE"""),0)</f>
        <v>0</v>
      </c>
      <c r="D12160" s="12" t="str">
        <f ca="1">IFERROR(__xludf.DUMMYFUNCTION("""COMPUTED_VALUE"""),"渋谷 雄大")</f>
        <v>渋谷 雄大</v>
      </c>
    </row>
    <row r="12161" spans="2:4" ht="13">
      <c r="B12161" s="12">
        <f ca="1">IFERROR(__xludf.DUMMYFUNCTION("""COMPUTED_VALUE"""),3720101)</f>
        <v>3720101</v>
      </c>
      <c r="C12161" s="14">
        <f ca="1">IFERROR(__xludf.DUMMYFUNCTION("""COMPUTED_VALUE"""),0)</f>
        <v>0</v>
      </c>
      <c r="D12161" s="12" t="str">
        <f ca="1">IFERROR(__xludf.DUMMYFUNCTION("""COMPUTED_VALUE"""),"渋谷 雄大")</f>
        <v>渋谷 雄大</v>
      </c>
    </row>
    <row r="12162" spans="2:4" ht="13">
      <c r="B12162" s="12">
        <f ca="1">IFERROR(__xludf.DUMMYFUNCTION("""COMPUTED_VALUE"""),3720102)</f>
        <v>3720102</v>
      </c>
      <c r="C12162" s="14">
        <f ca="1">IFERROR(__xludf.DUMMYFUNCTION("""COMPUTED_VALUE"""),0)</f>
        <v>0</v>
      </c>
      <c r="D12162" s="12" t="str">
        <f ca="1">IFERROR(__xludf.DUMMYFUNCTION("""COMPUTED_VALUE"""),"渋谷 雄大")</f>
        <v>渋谷 雄大</v>
      </c>
    </row>
    <row r="12163" spans="2:4" ht="13">
      <c r="B12163" s="12">
        <f ca="1">IFERROR(__xludf.DUMMYFUNCTION("""COMPUTED_VALUE"""),3720103)</f>
        <v>3720103</v>
      </c>
      <c r="C12163" s="14">
        <f ca="1">IFERROR(__xludf.DUMMYFUNCTION("""COMPUTED_VALUE"""),0)</f>
        <v>0</v>
      </c>
      <c r="D12163" s="12" t="str">
        <f ca="1">IFERROR(__xludf.DUMMYFUNCTION("""COMPUTED_VALUE"""),"渋谷 雄大")</f>
        <v>渋谷 雄大</v>
      </c>
    </row>
    <row r="12164" spans="2:4" ht="13">
      <c r="B12164" s="12">
        <f ca="1">IFERROR(__xludf.DUMMYFUNCTION("""COMPUTED_VALUE"""),3720104)</f>
        <v>3720104</v>
      </c>
      <c r="C12164" s="14">
        <f ca="1">IFERROR(__xludf.DUMMYFUNCTION("""COMPUTED_VALUE"""),0)</f>
        <v>0</v>
      </c>
      <c r="D12164" s="12" t="str">
        <f ca="1">IFERROR(__xludf.DUMMYFUNCTION("""COMPUTED_VALUE"""),"渋谷 雄大")</f>
        <v>渋谷 雄大</v>
      </c>
    </row>
    <row r="12165" spans="2:4" ht="13">
      <c r="B12165" s="12">
        <f ca="1">IFERROR(__xludf.DUMMYFUNCTION("""COMPUTED_VALUE"""),3720105)</f>
        <v>3720105</v>
      </c>
      <c r="C12165" s="14">
        <f ca="1">IFERROR(__xludf.DUMMYFUNCTION("""COMPUTED_VALUE"""),0)</f>
        <v>0</v>
      </c>
      <c r="D12165" s="12" t="str">
        <f ca="1">IFERROR(__xludf.DUMMYFUNCTION("""COMPUTED_VALUE"""),"渋谷 雄大")</f>
        <v>渋谷 雄大</v>
      </c>
    </row>
    <row r="12166" spans="2:4" ht="13">
      <c r="B12166" s="12">
        <f ca="1">IFERROR(__xludf.DUMMYFUNCTION("""COMPUTED_VALUE"""),3720106)</f>
        <v>3720106</v>
      </c>
      <c r="C12166" s="14">
        <f ca="1">IFERROR(__xludf.DUMMYFUNCTION("""COMPUTED_VALUE"""),0)</f>
        <v>0</v>
      </c>
      <c r="D12166" s="12" t="str">
        <f ca="1">IFERROR(__xludf.DUMMYFUNCTION("""COMPUTED_VALUE"""),"渋谷 雄大")</f>
        <v>渋谷 雄大</v>
      </c>
    </row>
    <row r="12167" spans="2:4" ht="13">
      <c r="B12167" s="12">
        <f ca="1">IFERROR(__xludf.DUMMYFUNCTION("""COMPUTED_VALUE"""),3720107)</f>
        <v>3720107</v>
      </c>
      <c r="C12167" s="14">
        <f ca="1">IFERROR(__xludf.DUMMYFUNCTION("""COMPUTED_VALUE"""),0)</f>
        <v>0</v>
      </c>
      <c r="D12167" s="12" t="str">
        <f ca="1">IFERROR(__xludf.DUMMYFUNCTION("""COMPUTED_VALUE"""),"渋谷 雄大")</f>
        <v>渋谷 雄大</v>
      </c>
    </row>
    <row r="12168" spans="2:4" ht="13">
      <c r="B12168" s="12">
        <f ca="1">IFERROR(__xludf.DUMMYFUNCTION("""COMPUTED_VALUE"""),3720108)</f>
        <v>3720108</v>
      </c>
      <c r="C12168" s="14">
        <f ca="1">IFERROR(__xludf.DUMMYFUNCTION("""COMPUTED_VALUE"""),0)</f>
        <v>0</v>
      </c>
      <c r="D12168" s="12" t="str">
        <f ca="1">IFERROR(__xludf.DUMMYFUNCTION("""COMPUTED_VALUE"""),"渋谷 雄大")</f>
        <v>渋谷 雄大</v>
      </c>
    </row>
    <row r="12169" spans="2:4" ht="13">
      <c r="B12169" s="12">
        <f ca="1">IFERROR(__xludf.DUMMYFUNCTION("""COMPUTED_VALUE"""),3720109)</f>
        <v>3720109</v>
      </c>
      <c r="C12169" s="14">
        <f ca="1">IFERROR(__xludf.DUMMYFUNCTION("""COMPUTED_VALUE"""),0)</f>
        <v>0</v>
      </c>
      <c r="D12169" s="12" t="str">
        <f ca="1">IFERROR(__xludf.DUMMYFUNCTION("""COMPUTED_VALUE"""),"渋谷 雄大")</f>
        <v>渋谷 雄大</v>
      </c>
    </row>
    <row r="12170" spans="2:4" ht="13">
      <c r="B12170" s="12">
        <f ca="1">IFERROR(__xludf.DUMMYFUNCTION("""COMPUTED_VALUE"""),3720110)</f>
        <v>3720110</v>
      </c>
      <c r="C12170" s="14">
        <f ca="1">IFERROR(__xludf.DUMMYFUNCTION("""COMPUTED_VALUE"""),0)</f>
        <v>0</v>
      </c>
      <c r="D12170" s="12" t="str">
        <f ca="1">IFERROR(__xludf.DUMMYFUNCTION("""COMPUTED_VALUE"""),"渋谷 雄大")</f>
        <v>渋谷 雄大</v>
      </c>
    </row>
    <row r="12171" spans="2:4" ht="13">
      <c r="B12171" s="12">
        <f ca="1">IFERROR(__xludf.DUMMYFUNCTION("""COMPUTED_VALUE"""),3720111)</f>
        <v>3720111</v>
      </c>
      <c r="C12171" s="14">
        <f ca="1">IFERROR(__xludf.DUMMYFUNCTION("""COMPUTED_VALUE"""),0)</f>
        <v>0</v>
      </c>
      <c r="D12171" s="12" t="str">
        <f ca="1">IFERROR(__xludf.DUMMYFUNCTION("""COMPUTED_VALUE"""),"渋谷 雄大")</f>
        <v>渋谷 雄大</v>
      </c>
    </row>
    <row r="12172" spans="2:4" ht="13">
      <c r="B12172" s="12">
        <f ca="1">IFERROR(__xludf.DUMMYFUNCTION("""COMPUTED_VALUE"""),3720112)</f>
        <v>3720112</v>
      </c>
      <c r="C12172" s="14">
        <f ca="1">IFERROR(__xludf.DUMMYFUNCTION("""COMPUTED_VALUE"""),0)</f>
        <v>0</v>
      </c>
      <c r="D12172" s="12" t="str">
        <f ca="1">IFERROR(__xludf.DUMMYFUNCTION("""COMPUTED_VALUE"""),"渋谷 雄大")</f>
        <v>渋谷 雄大</v>
      </c>
    </row>
    <row r="12173" spans="2:4" ht="13">
      <c r="B12173" s="12">
        <f ca="1">IFERROR(__xludf.DUMMYFUNCTION("""COMPUTED_VALUE"""),3720113)</f>
        <v>3720113</v>
      </c>
      <c r="C12173" s="14">
        <f ca="1">IFERROR(__xludf.DUMMYFUNCTION("""COMPUTED_VALUE"""),0)</f>
        <v>0</v>
      </c>
      <c r="D12173" s="12" t="str">
        <f ca="1">IFERROR(__xludf.DUMMYFUNCTION("""COMPUTED_VALUE"""),"渋谷 雄大")</f>
        <v>渋谷 雄大</v>
      </c>
    </row>
    <row r="12174" spans="2:4" ht="13">
      <c r="B12174" s="12">
        <f ca="1">IFERROR(__xludf.DUMMYFUNCTION("""COMPUTED_VALUE"""),3720114)</f>
        <v>3720114</v>
      </c>
      <c r="C12174" s="14">
        <f ca="1">IFERROR(__xludf.DUMMYFUNCTION("""COMPUTED_VALUE"""),0)</f>
        <v>0</v>
      </c>
      <c r="D12174" s="12" t="str">
        <f ca="1">IFERROR(__xludf.DUMMYFUNCTION("""COMPUTED_VALUE"""),"渋谷 雄大")</f>
        <v>渋谷 雄大</v>
      </c>
    </row>
    <row r="12175" spans="2:4" ht="13">
      <c r="B12175" s="12">
        <f ca="1">IFERROR(__xludf.DUMMYFUNCTION("""COMPUTED_VALUE"""),3720115)</f>
        <v>3720115</v>
      </c>
      <c r="C12175" s="14">
        <f ca="1">IFERROR(__xludf.DUMMYFUNCTION("""COMPUTED_VALUE"""),0)</f>
        <v>0</v>
      </c>
      <c r="D12175" s="12" t="str">
        <f ca="1">IFERROR(__xludf.DUMMYFUNCTION("""COMPUTED_VALUE"""),"渋谷 雄大")</f>
        <v>渋谷 雄大</v>
      </c>
    </row>
    <row r="12176" spans="2:4" ht="13">
      <c r="B12176" s="12">
        <f ca="1">IFERROR(__xludf.DUMMYFUNCTION("""COMPUTED_VALUE"""),3720116)</f>
        <v>3720116</v>
      </c>
      <c r="C12176" s="14">
        <f ca="1">IFERROR(__xludf.DUMMYFUNCTION("""COMPUTED_VALUE"""),0)</f>
        <v>0</v>
      </c>
      <c r="D12176" s="12" t="str">
        <f ca="1">IFERROR(__xludf.DUMMYFUNCTION("""COMPUTED_VALUE"""),"渋谷 雄大")</f>
        <v>渋谷 雄大</v>
      </c>
    </row>
    <row r="12177" spans="2:4" ht="13">
      <c r="B12177" s="12">
        <f ca="1">IFERROR(__xludf.DUMMYFUNCTION("""COMPUTED_VALUE"""),3720117)</f>
        <v>3720117</v>
      </c>
      <c r="C12177" s="14">
        <f ca="1">IFERROR(__xludf.DUMMYFUNCTION("""COMPUTED_VALUE"""),0)</f>
        <v>0</v>
      </c>
      <c r="D12177" s="12" t="str">
        <f ca="1">IFERROR(__xludf.DUMMYFUNCTION("""COMPUTED_VALUE"""),"渋谷 雄大")</f>
        <v>渋谷 雄大</v>
      </c>
    </row>
    <row r="12178" spans="2:4" ht="13">
      <c r="B12178" s="12">
        <f ca="1">IFERROR(__xludf.DUMMYFUNCTION("""COMPUTED_VALUE"""),3720118)</f>
        <v>3720118</v>
      </c>
      <c r="C12178" s="14">
        <f ca="1">IFERROR(__xludf.DUMMYFUNCTION("""COMPUTED_VALUE"""),0)</f>
        <v>0</v>
      </c>
      <c r="D12178" s="12" t="str">
        <f ca="1">IFERROR(__xludf.DUMMYFUNCTION("""COMPUTED_VALUE"""),"渋谷 雄大")</f>
        <v>渋谷 雄大</v>
      </c>
    </row>
    <row r="12179" spans="2:4" ht="13">
      <c r="B12179" s="12">
        <f ca="1">IFERROR(__xludf.DUMMYFUNCTION("""COMPUTED_VALUE"""),3720119)</f>
        <v>3720119</v>
      </c>
      <c r="C12179" s="14">
        <f ca="1">IFERROR(__xludf.DUMMYFUNCTION("""COMPUTED_VALUE"""),0)</f>
        <v>0</v>
      </c>
      <c r="D12179" s="12" t="str">
        <f ca="1">IFERROR(__xludf.DUMMYFUNCTION("""COMPUTED_VALUE"""),"渋谷 雄大")</f>
        <v>渋谷 雄大</v>
      </c>
    </row>
    <row r="12180" spans="2:4" ht="13">
      <c r="B12180" s="12">
        <f ca="1">IFERROR(__xludf.DUMMYFUNCTION("""COMPUTED_VALUE"""),3720120)</f>
        <v>3720120</v>
      </c>
      <c r="C12180" s="14">
        <f ca="1">IFERROR(__xludf.DUMMYFUNCTION("""COMPUTED_VALUE"""),0)</f>
        <v>0</v>
      </c>
      <c r="D12180" s="12" t="str">
        <f ca="1">IFERROR(__xludf.DUMMYFUNCTION("""COMPUTED_VALUE"""),"渋谷 雄大")</f>
        <v>渋谷 雄大</v>
      </c>
    </row>
    <row r="12181" spans="2:4" ht="13">
      <c r="B12181" s="12">
        <f ca="1">IFERROR(__xludf.DUMMYFUNCTION("""COMPUTED_VALUE"""),3720121)</f>
        <v>3720121</v>
      </c>
      <c r="C12181" s="14">
        <f ca="1">IFERROR(__xludf.DUMMYFUNCTION("""COMPUTED_VALUE"""),0)</f>
        <v>0</v>
      </c>
      <c r="D12181" s="12" t="str">
        <f ca="1">IFERROR(__xludf.DUMMYFUNCTION("""COMPUTED_VALUE"""),"渋谷 雄大")</f>
        <v>渋谷 雄大</v>
      </c>
    </row>
    <row r="12182" spans="2:4" ht="13">
      <c r="B12182" s="12">
        <f ca="1">IFERROR(__xludf.DUMMYFUNCTION("""COMPUTED_VALUE"""),3720122)</f>
        <v>3720122</v>
      </c>
      <c r="C12182" s="14">
        <f ca="1">IFERROR(__xludf.DUMMYFUNCTION("""COMPUTED_VALUE"""),0)</f>
        <v>0</v>
      </c>
      <c r="D12182" s="12" t="str">
        <f ca="1">IFERROR(__xludf.DUMMYFUNCTION("""COMPUTED_VALUE"""),"渋谷 雄大")</f>
        <v>渋谷 雄大</v>
      </c>
    </row>
    <row r="12183" spans="2:4" ht="13">
      <c r="B12183" s="12">
        <f ca="1">IFERROR(__xludf.DUMMYFUNCTION("""COMPUTED_VALUE"""),3720123)</f>
        <v>3720123</v>
      </c>
      <c r="C12183" s="14">
        <f ca="1">IFERROR(__xludf.DUMMYFUNCTION("""COMPUTED_VALUE"""),0)</f>
        <v>0</v>
      </c>
      <c r="D12183" s="12" t="str">
        <f ca="1">IFERROR(__xludf.DUMMYFUNCTION("""COMPUTED_VALUE"""),"渋谷 雄大")</f>
        <v>渋谷 雄大</v>
      </c>
    </row>
    <row r="12184" spans="2:4" ht="13">
      <c r="B12184" s="12">
        <f ca="1">IFERROR(__xludf.DUMMYFUNCTION("""COMPUTED_VALUE"""),3720124)</f>
        <v>3720124</v>
      </c>
      <c r="C12184" s="14">
        <f ca="1">IFERROR(__xludf.DUMMYFUNCTION("""COMPUTED_VALUE"""),0)</f>
        <v>0</v>
      </c>
      <c r="D12184" s="12" t="str">
        <f ca="1">IFERROR(__xludf.DUMMYFUNCTION("""COMPUTED_VALUE"""),"渋谷 雄大")</f>
        <v>渋谷 雄大</v>
      </c>
    </row>
    <row r="12185" spans="2:4" ht="13">
      <c r="B12185" s="12">
        <f ca="1">IFERROR(__xludf.DUMMYFUNCTION("""COMPUTED_VALUE"""),3720125)</f>
        <v>3720125</v>
      </c>
      <c r="C12185" s="14">
        <f ca="1">IFERROR(__xludf.DUMMYFUNCTION("""COMPUTED_VALUE"""),0)</f>
        <v>0</v>
      </c>
      <c r="D12185" s="12" t="str">
        <f ca="1">IFERROR(__xludf.DUMMYFUNCTION("""COMPUTED_VALUE"""),"渋谷 雄大")</f>
        <v>渋谷 雄大</v>
      </c>
    </row>
    <row r="12186" spans="2:4" ht="13">
      <c r="B12186" s="12">
        <f ca="1">IFERROR(__xludf.DUMMYFUNCTION("""COMPUTED_VALUE"""),3720126)</f>
        <v>3720126</v>
      </c>
      <c r="C12186" s="14">
        <f ca="1">IFERROR(__xludf.DUMMYFUNCTION("""COMPUTED_VALUE"""),0)</f>
        <v>0</v>
      </c>
      <c r="D12186" s="12" t="str">
        <f ca="1">IFERROR(__xludf.DUMMYFUNCTION("""COMPUTED_VALUE"""),"渋谷 雄大")</f>
        <v>渋谷 雄大</v>
      </c>
    </row>
    <row r="12187" spans="2:4" ht="13">
      <c r="B12187" s="12">
        <f ca="1">IFERROR(__xludf.DUMMYFUNCTION("""COMPUTED_VALUE"""),3720127)</f>
        <v>3720127</v>
      </c>
      <c r="C12187" s="14">
        <f ca="1">IFERROR(__xludf.DUMMYFUNCTION("""COMPUTED_VALUE"""),0)</f>
        <v>0</v>
      </c>
      <c r="D12187" s="12" t="str">
        <f ca="1">IFERROR(__xludf.DUMMYFUNCTION("""COMPUTED_VALUE"""),"渋谷 雄大")</f>
        <v>渋谷 雄大</v>
      </c>
    </row>
    <row r="12188" spans="2:4" ht="13">
      <c r="B12188" s="12">
        <f ca="1">IFERROR(__xludf.DUMMYFUNCTION("""COMPUTED_VALUE"""),3720128)</f>
        <v>3720128</v>
      </c>
      <c r="C12188" s="14">
        <f ca="1">IFERROR(__xludf.DUMMYFUNCTION("""COMPUTED_VALUE"""),0)</f>
        <v>0</v>
      </c>
      <c r="D12188" s="12" t="str">
        <f ca="1">IFERROR(__xludf.DUMMYFUNCTION("""COMPUTED_VALUE"""),"渋谷 雄大")</f>
        <v>渋谷 雄大</v>
      </c>
    </row>
    <row r="12189" spans="2:4" ht="13">
      <c r="B12189" s="12">
        <f ca="1">IFERROR(__xludf.DUMMYFUNCTION("""COMPUTED_VALUE"""),3720129)</f>
        <v>3720129</v>
      </c>
      <c r="C12189" s="14">
        <f ca="1">IFERROR(__xludf.DUMMYFUNCTION("""COMPUTED_VALUE"""),0)</f>
        <v>0</v>
      </c>
      <c r="D12189" s="12" t="str">
        <f ca="1">IFERROR(__xludf.DUMMYFUNCTION("""COMPUTED_VALUE"""),"渋谷 雄大")</f>
        <v>渋谷 雄大</v>
      </c>
    </row>
    <row r="12190" spans="2:4" ht="13">
      <c r="B12190" s="12">
        <f ca="1">IFERROR(__xludf.DUMMYFUNCTION("""COMPUTED_VALUE"""),3720130)</f>
        <v>3720130</v>
      </c>
      <c r="C12190" s="14">
        <f ca="1">IFERROR(__xludf.DUMMYFUNCTION("""COMPUTED_VALUE"""),0)</f>
        <v>0</v>
      </c>
      <c r="D12190" s="12" t="str">
        <f ca="1">IFERROR(__xludf.DUMMYFUNCTION("""COMPUTED_VALUE"""),"渋谷 雄大")</f>
        <v>渋谷 雄大</v>
      </c>
    </row>
    <row r="12191" spans="2:4" ht="13">
      <c r="B12191" s="12">
        <f ca="1">IFERROR(__xludf.DUMMYFUNCTION("""COMPUTED_VALUE"""),3720131)</f>
        <v>3720131</v>
      </c>
      <c r="C12191" s="14">
        <f ca="1">IFERROR(__xludf.DUMMYFUNCTION("""COMPUTED_VALUE"""),0)</f>
        <v>0</v>
      </c>
      <c r="D12191" s="12" t="str">
        <f ca="1">IFERROR(__xludf.DUMMYFUNCTION("""COMPUTED_VALUE"""),"渋谷 雄大")</f>
        <v>渋谷 雄大</v>
      </c>
    </row>
    <row r="12192" spans="2:4" ht="13">
      <c r="B12192" s="12">
        <f ca="1">IFERROR(__xludf.DUMMYFUNCTION("""COMPUTED_VALUE"""),3720132)</f>
        <v>3720132</v>
      </c>
      <c r="C12192" s="14">
        <f ca="1">IFERROR(__xludf.DUMMYFUNCTION("""COMPUTED_VALUE"""),0)</f>
        <v>0</v>
      </c>
      <c r="D12192" s="12" t="str">
        <f ca="1">IFERROR(__xludf.DUMMYFUNCTION("""COMPUTED_VALUE"""),"渋谷 雄大")</f>
        <v>渋谷 雄大</v>
      </c>
    </row>
    <row r="12193" spans="2:4" ht="13">
      <c r="B12193" s="12">
        <f ca="1">IFERROR(__xludf.DUMMYFUNCTION("""COMPUTED_VALUE"""),3720133)</f>
        <v>3720133</v>
      </c>
      <c r="C12193" s="14">
        <f ca="1">IFERROR(__xludf.DUMMYFUNCTION("""COMPUTED_VALUE"""),0)</f>
        <v>0</v>
      </c>
      <c r="D12193" s="12" t="str">
        <f ca="1">IFERROR(__xludf.DUMMYFUNCTION("""COMPUTED_VALUE"""),"渋谷 雄大")</f>
        <v>渋谷 雄大</v>
      </c>
    </row>
    <row r="12194" spans="2:4" ht="13">
      <c r="B12194" s="12">
        <f ca="1">IFERROR(__xludf.DUMMYFUNCTION("""COMPUTED_VALUE"""),3720134)</f>
        <v>3720134</v>
      </c>
      <c r="C12194" s="14">
        <f ca="1">IFERROR(__xludf.DUMMYFUNCTION("""COMPUTED_VALUE"""),0)</f>
        <v>0</v>
      </c>
      <c r="D12194" s="12" t="str">
        <f ca="1">IFERROR(__xludf.DUMMYFUNCTION("""COMPUTED_VALUE"""),"渋谷 雄大")</f>
        <v>渋谷 雄大</v>
      </c>
    </row>
    <row r="12195" spans="2:4" ht="13">
      <c r="B12195" s="12">
        <f ca="1">IFERROR(__xludf.DUMMYFUNCTION("""COMPUTED_VALUE"""),3720135)</f>
        <v>3720135</v>
      </c>
      <c r="C12195" s="14">
        <f ca="1">IFERROR(__xludf.DUMMYFUNCTION("""COMPUTED_VALUE"""),0)</f>
        <v>0</v>
      </c>
      <c r="D12195" s="12" t="str">
        <f ca="1">IFERROR(__xludf.DUMMYFUNCTION("""COMPUTED_VALUE"""),"渋谷 雄大")</f>
        <v>渋谷 雄大</v>
      </c>
    </row>
    <row r="12196" spans="2:4" ht="13">
      <c r="B12196" s="12">
        <f ca="1">IFERROR(__xludf.DUMMYFUNCTION("""COMPUTED_VALUE"""),3720136)</f>
        <v>3720136</v>
      </c>
      <c r="C12196" s="14">
        <f ca="1">IFERROR(__xludf.DUMMYFUNCTION("""COMPUTED_VALUE"""),0)</f>
        <v>0</v>
      </c>
      <c r="D12196" s="12" t="str">
        <f ca="1">IFERROR(__xludf.DUMMYFUNCTION("""COMPUTED_VALUE"""),"渋谷 雄大")</f>
        <v>渋谷 雄大</v>
      </c>
    </row>
    <row r="12197" spans="2:4" ht="13">
      <c r="B12197" s="12">
        <f ca="1">IFERROR(__xludf.DUMMYFUNCTION("""COMPUTED_VALUE"""),3720137)</f>
        <v>3720137</v>
      </c>
      <c r="C12197" s="14">
        <f ca="1">IFERROR(__xludf.DUMMYFUNCTION("""COMPUTED_VALUE"""),0)</f>
        <v>0</v>
      </c>
      <c r="D12197" s="12" t="str">
        <f ca="1">IFERROR(__xludf.DUMMYFUNCTION("""COMPUTED_VALUE"""),"渋谷 雄大")</f>
        <v>渋谷 雄大</v>
      </c>
    </row>
    <row r="12198" spans="2:4" ht="13">
      <c r="B12198" s="12">
        <f ca="1">IFERROR(__xludf.DUMMYFUNCTION("""COMPUTED_VALUE"""),3720138)</f>
        <v>3720138</v>
      </c>
      <c r="C12198" s="14">
        <f ca="1">IFERROR(__xludf.DUMMYFUNCTION("""COMPUTED_VALUE"""),0)</f>
        <v>0</v>
      </c>
      <c r="D12198" s="12" t="str">
        <f ca="1">IFERROR(__xludf.DUMMYFUNCTION("""COMPUTED_VALUE"""),"渋谷 雄大")</f>
        <v>渋谷 雄大</v>
      </c>
    </row>
    <row r="12199" spans="2:4" ht="13">
      <c r="B12199" s="12">
        <f ca="1">IFERROR(__xludf.DUMMYFUNCTION("""COMPUTED_VALUE"""),3720139)</f>
        <v>3720139</v>
      </c>
      <c r="C12199" s="14">
        <f ca="1">IFERROR(__xludf.DUMMYFUNCTION("""COMPUTED_VALUE"""),0)</f>
        <v>0</v>
      </c>
      <c r="D12199" s="12" t="str">
        <f ca="1">IFERROR(__xludf.DUMMYFUNCTION("""COMPUTED_VALUE"""),"渋谷 雄大")</f>
        <v>渋谷 雄大</v>
      </c>
    </row>
    <row r="12200" spans="2:4" ht="13">
      <c r="B12200" s="12">
        <f ca="1">IFERROR(__xludf.DUMMYFUNCTION("""COMPUTED_VALUE"""),3720140)</f>
        <v>3720140</v>
      </c>
      <c r="C12200" s="14">
        <f ca="1">IFERROR(__xludf.DUMMYFUNCTION("""COMPUTED_VALUE"""),0)</f>
        <v>0</v>
      </c>
      <c r="D12200" s="12" t="str">
        <f ca="1">IFERROR(__xludf.DUMMYFUNCTION("""COMPUTED_VALUE"""),"渋谷 雄大")</f>
        <v>渋谷 雄大</v>
      </c>
    </row>
    <row r="12201" spans="2:4" ht="13">
      <c r="B12201" s="12">
        <f ca="1">IFERROR(__xludf.DUMMYFUNCTION("""COMPUTED_VALUE"""),3720141)</f>
        <v>3720141</v>
      </c>
      <c r="C12201" s="14">
        <f ca="1">IFERROR(__xludf.DUMMYFUNCTION("""COMPUTED_VALUE"""),0)</f>
        <v>0</v>
      </c>
      <c r="D12201" s="12" t="str">
        <f ca="1">IFERROR(__xludf.DUMMYFUNCTION("""COMPUTED_VALUE"""),"渋谷 雄大")</f>
        <v>渋谷 雄大</v>
      </c>
    </row>
    <row r="12202" spans="2:4" ht="13">
      <c r="B12202" s="12">
        <f ca="1">IFERROR(__xludf.DUMMYFUNCTION("""COMPUTED_VALUE"""),3720142)</f>
        <v>3720142</v>
      </c>
      <c r="C12202" s="14">
        <f ca="1">IFERROR(__xludf.DUMMYFUNCTION("""COMPUTED_VALUE"""),0)</f>
        <v>0</v>
      </c>
      <c r="D12202" s="12" t="str">
        <f ca="1">IFERROR(__xludf.DUMMYFUNCTION("""COMPUTED_VALUE"""),"渋谷 雄大")</f>
        <v>渋谷 雄大</v>
      </c>
    </row>
    <row r="12203" spans="2:4" ht="13">
      <c r="B12203" s="12">
        <f ca="1">IFERROR(__xludf.DUMMYFUNCTION("""COMPUTED_VALUE"""),3720143)</f>
        <v>3720143</v>
      </c>
      <c r="C12203" s="14">
        <f ca="1">IFERROR(__xludf.DUMMYFUNCTION("""COMPUTED_VALUE"""),0)</f>
        <v>0</v>
      </c>
      <c r="D12203" s="12" t="str">
        <f ca="1">IFERROR(__xludf.DUMMYFUNCTION("""COMPUTED_VALUE"""),"渋谷 雄大")</f>
        <v>渋谷 雄大</v>
      </c>
    </row>
    <row r="12204" spans="2:4" ht="13">
      <c r="B12204" s="12">
        <f ca="1">IFERROR(__xludf.DUMMYFUNCTION("""COMPUTED_VALUE"""),3720144)</f>
        <v>3720144</v>
      </c>
      <c r="C12204" s="14">
        <f ca="1">IFERROR(__xludf.DUMMYFUNCTION("""COMPUTED_VALUE"""),0)</f>
        <v>0</v>
      </c>
      <c r="D12204" s="12" t="str">
        <f ca="1">IFERROR(__xludf.DUMMYFUNCTION("""COMPUTED_VALUE"""),"渋谷 雄大")</f>
        <v>渋谷 雄大</v>
      </c>
    </row>
    <row r="12205" spans="2:4" ht="13">
      <c r="B12205" s="12">
        <f ca="1">IFERROR(__xludf.DUMMYFUNCTION("""COMPUTED_VALUE"""),3720145)</f>
        <v>3720145</v>
      </c>
      <c r="C12205" s="14">
        <f ca="1">IFERROR(__xludf.DUMMYFUNCTION("""COMPUTED_VALUE"""),0)</f>
        <v>0</v>
      </c>
      <c r="D12205" s="12" t="str">
        <f ca="1">IFERROR(__xludf.DUMMYFUNCTION("""COMPUTED_VALUE"""),"渋谷 雄大")</f>
        <v>渋谷 雄大</v>
      </c>
    </row>
    <row r="12206" spans="2:4" ht="13">
      <c r="B12206" s="12">
        <f ca="1">IFERROR(__xludf.DUMMYFUNCTION("""COMPUTED_VALUE"""),3720146)</f>
        <v>3720146</v>
      </c>
      <c r="C12206" s="14">
        <f ca="1">IFERROR(__xludf.DUMMYFUNCTION("""COMPUTED_VALUE"""),0)</f>
        <v>0</v>
      </c>
      <c r="D12206" s="12" t="str">
        <f ca="1">IFERROR(__xludf.DUMMYFUNCTION("""COMPUTED_VALUE"""),"渋谷 雄大")</f>
        <v>渋谷 雄大</v>
      </c>
    </row>
    <row r="12207" spans="2:4" ht="13">
      <c r="B12207" s="12">
        <f ca="1">IFERROR(__xludf.DUMMYFUNCTION("""COMPUTED_VALUE"""),3720147)</f>
        <v>3720147</v>
      </c>
      <c r="C12207" s="14">
        <f ca="1">IFERROR(__xludf.DUMMYFUNCTION("""COMPUTED_VALUE"""),0)</f>
        <v>0</v>
      </c>
      <c r="D12207" s="12" t="str">
        <f ca="1">IFERROR(__xludf.DUMMYFUNCTION("""COMPUTED_VALUE"""),"渋谷 雄大")</f>
        <v>渋谷 雄大</v>
      </c>
    </row>
    <row r="12208" spans="2:4" ht="13">
      <c r="B12208" s="12">
        <f ca="1">IFERROR(__xludf.DUMMYFUNCTION("""COMPUTED_VALUE"""),3720148)</f>
        <v>3720148</v>
      </c>
      <c r="C12208" s="14">
        <f ca="1">IFERROR(__xludf.DUMMYFUNCTION("""COMPUTED_VALUE"""),0)</f>
        <v>0</v>
      </c>
      <c r="D12208" s="12" t="str">
        <f ca="1">IFERROR(__xludf.DUMMYFUNCTION("""COMPUTED_VALUE"""),"渋谷 雄大")</f>
        <v>渋谷 雄大</v>
      </c>
    </row>
    <row r="12209" spans="2:4" ht="13">
      <c r="B12209" s="12">
        <f ca="1">IFERROR(__xludf.DUMMYFUNCTION("""COMPUTED_VALUE"""),3720149)</f>
        <v>3720149</v>
      </c>
      <c r="C12209" s="14">
        <f ca="1">IFERROR(__xludf.DUMMYFUNCTION("""COMPUTED_VALUE"""),0)</f>
        <v>0</v>
      </c>
      <c r="D12209" s="12" t="str">
        <f ca="1">IFERROR(__xludf.DUMMYFUNCTION("""COMPUTED_VALUE"""),"渋谷 雄大")</f>
        <v>渋谷 雄大</v>
      </c>
    </row>
    <row r="12210" spans="2:4" ht="13">
      <c r="B12210" s="12">
        <f ca="1">IFERROR(__xludf.DUMMYFUNCTION("""COMPUTED_VALUE"""),3720150)</f>
        <v>3720150</v>
      </c>
      <c r="C12210" s="14">
        <f ca="1">IFERROR(__xludf.DUMMYFUNCTION("""COMPUTED_VALUE"""),0)</f>
        <v>0</v>
      </c>
      <c r="D12210" s="12" t="str">
        <f ca="1">IFERROR(__xludf.DUMMYFUNCTION("""COMPUTED_VALUE"""),"渋谷 雄大")</f>
        <v>渋谷 雄大</v>
      </c>
    </row>
    <row r="12211" spans="2:4" ht="13">
      <c r="B12211" s="12">
        <f ca="1">IFERROR(__xludf.DUMMYFUNCTION("""COMPUTED_VALUE"""),3720151)</f>
        <v>3720151</v>
      </c>
      <c r="C12211" s="14">
        <f ca="1">IFERROR(__xludf.DUMMYFUNCTION("""COMPUTED_VALUE"""),0)</f>
        <v>0</v>
      </c>
      <c r="D12211" s="12" t="str">
        <f ca="1">IFERROR(__xludf.DUMMYFUNCTION("""COMPUTED_VALUE"""),"渋谷 雄大")</f>
        <v>渋谷 雄大</v>
      </c>
    </row>
    <row r="12212" spans="2:4" ht="13">
      <c r="B12212" s="12">
        <f ca="1">IFERROR(__xludf.DUMMYFUNCTION("""COMPUTED_VALUE"""),3720152)</f>
        <v>3720152</v>
      </c>
      <c r="C12212" s="14">
        <f ca="1">IFERROR(__xludf.DUMMYFUNCTION("""COMPUTED_VALUE"""),0)</f>
        <v>0</v>
      </c>
      <c r="D12212" s="12" t="str">
        <f ca="1">IFERROR(__xludf.DUMMYFUNCTION("""COMPUTED_VALUE"""),"渋谷 雄大")</f>
        <v>渋谷 雄大</v>
      </c>
    </row>
    <row r="12213" spans="2:4" ht="13">
      <c r="B12213" s="12">
        <f ca="1">IFERROR(__xludf.DUMMYFUNCTION("""COMPUTED_VALUE"""),3720153)</f>
        <v>3720153</v>
      </c>
      <c r="C12213" s="14">
        <f ca="1">IFERROR(__xludf.DUMMYFUNCTION("""COMPUTED_VALUE"""),0)</f>
        <v>0</v>
      </c>
      <c r="D12213" s="12" t="str">
        <f ca="1">IFERROR(__xludf.DUMMYFUNCTION("""COMPUTED_VALUE"""),"渋谷 雄大")</f>
        <v>渋谷 雄大</v>
      </c>
    </row>
    <row r="12214" spans="2:4" ht="13">
      <c r="B12214" s="12">
        <f ca="1">IFERROR(__xludf.DUMMYFUNCTION("""COMPUTED_VALUE"""),3720154)</f>
        <v>3720154</v>
      </c>
      <c r="C12214" s="14">
        <f ca="1">IFERROR(__xludf.DUMMYFUNCTION("""COMPUTED_VALUE"""),0)</f>
        <v>0</v>
      </c>
      <c r="D12214" s="12" t="str">
        <f ca="1">IFERROR(__xludf.DUMMYFUNCTION("""COMPUTED_VALUE"""),"渋谷 雄大")</f>
        <v>渋谷 雄大</v>
      </c>
    </row>
    <row r="12215" spans="2:4" ht="13">
      <c r="B12215" s="12">
        <f ca="1">IFERROR(__xludf.DUMMYFUNCTION("""COMPUTED_VALUE"""),3720155)</f>
        <v>3720155</v>
      </c>
      <c r="C12215" s="14">
        <f ca="1">IFERROR(__xludf.DUMMYFUNCTION("""COMPUTED_VALUE"""),0)</f>
        <v>0</v>
      </c>
      <c r="D12215" s="12" t="str">
        <f ca="1">IFERROR(__xludf.DUMMYFUNCTION("""COMPUTED_VALUE"""),"渋谷 雄大")</f>
        <v>渋谷 雄大</v>
      </c>
    </row>
    <row r="12216" spans="2:4" ht="13">
      <c r="B12216" s="12">
        <f ca="1">IFERROR(__xludf.DUMMYFUNCTION("""COMPUTED_VALUE"""),3720156)</f>
        <v>3720156</v>
      </c>
      <c r="C12216" s="14">
        <f ca="1">IFERROR(__xludf.DUMMYFUNCTION("""COMPUTED_VALUE"""),0)</f>
        <v>0</v>
      </c>
      <c r="D12216" s="12" t="str">
        <f ca="1">IFERROR(__xludf.DUMMYFUNCTION("""COMPUTED_VALUE"""),"渋谷 雄大")</f>
        <v>渋谷 雄大</v>
      </c>
    </row>
    <row r="12217" spans="2:4" ht="13">
      <c r="B12217" s="12">
        <f ca="1">IFERROR(__xludf.DUMMYFUNCTION("""COMPUTED_VALUE"""),3720157)</f>
        <v>3720157</v>
      </c>
      <c r="C12217" s="14">
        <f ca="1">IFERROR(__xludf.DUMMYFUNCTION("""COMPUTED_VALUE"""),0)</f>
        <v>0</v>
      </c>
      <c r="D12217" s="12" t="str">
        <f ca="1">IFERROR(__xludf.DUMMYFUNCTION("""COMPUTED_VALUE"""),"渋谷 雄大")</f>
        <v>渋谷 雄大</v>
      </c>
    </row>
    <row r="12218" spans="2:4" ht="13">
      <c r="B12218" s="12">
        <f ca="1">IFERROR(__xludf.DUMMYFUNCTION("""COMPUTED_VALUE"""),3720158)</f>
        <v>3720158</v>
      </c>
      <c r="C12218" s="14">
        <f ca="1">IFERROR(__xludf.DUMMYFUNCTION("""COMPUTED_VALUE"""),0)</f>
        <v>0</v>
      </c>
      <c r="D12218" s="12" t="str">
        <f ca="1">IFERROR(__xludf.DUMMYFUNCTION("""COMPUTED_VALUE"""),"渋谷 雄大")</f>
        <v>渋谷 雄大</v>
      </c>
    </row>
    <row r="12219" spans="2:4" ht="13">
      <c r="B12219" s="12">
        <f ca="1">IFERROR(__xludf.DUMMYFUNCTION("""COMPUTED_VALUE"""),3720159)</f>
        <v>3720159</v>
      </c>
      <c r="C12219" s="14">
        <f ca="1">IFERROR(__xludf.DUMMYFUNCTION("""COMPUTED_VALUE"""),0)</f>
        <v>0</v>
      </c>
      <c r="D12219" s="12" t="str">
        <f ca="1">IFERROR(__xludf.DUMMYFUNCTION("""COMPUTED_VALUE"""),"渋谷 雄大")</f>
        <v>渋谷 雄大</v>
      </c>
    </row>
    <row r="12220" spans="2:4" ht="13">
      <c r="B12220" s="12">
        <f ca="1">IFERROR(__xludf.DUMMYFUNCTION("""COMPUTED_VALUE"""),3720161)</f>
        <v>3720161</v>
      </c>
      <c r="C12220" s="14">
        <f ca="1">IFERROR(__xludf.DUMMYFUNCTION("""COMPUTED_VALUE"""),0)</f>
        <v>0</v>
      </c>
      <c r="D12220" s="12" t="str">
        <f ca="1">IFERROR(__xludf.DUMMYFUNCTION("""COMPUTED_VALUE"""),"渋谷 雄大")</f>
        <v>渋谷 雄大</v>
      </c>
    </row>
    <row r="12221" spans="2:4" ht="13">
      <c r="B12221" s="12">
        <f ca="1">IFERROR(__xludf.DUMMYFUNCTION("""COMPUTED_VALUE"""),3720162)</f>
        <v>3720162</v>
      </c>
      <c r="C12221" s="14">
        <f ca="1">IFERROR(__xludf.DUMMYFUNCTION("""COMPUTED_VALUE"""),0)</f>
        <v>0</v>
      </c>
      <c r="D12221" s="12" t="str">
        <f ca="1">IFERROR(__xludf.DUMMYFUNCTION("""COMPUTED_VALUE"""),"渋谷 雄大")</f>
        <v>渋谷 雄大</v>
      </c>
    </row>
    <row r="12222" spans="2:4" ht="13">
      <c r="B12222" s="12">
        <f ca="1">IFERROR(__xludf.DUMMYFUNCTION("""COMPUTED_VALUE"""),3720163)</f>
        <v>3720163</v>
      </c>
      <c r="C12222" s="14">
        <f ca="1">IFERROR(__xludf.DUMMYFUNCTION("""COMPUTED_VALUE"""),0)</f>
        <v>0</v>
      </c>
      <c r="D12222" s="12" t="str">
        <f ca="1">IFERROR(__xludf.DUMMYFUNCTION("""COMPUTED_VALUE"""),"渋谷 雄大")</f>
        <v>渋谷 雄大</v>
      </c>
    </row>
    <row r="12223" spans="2:4" ht="13">
      <c r="B12223" s="12">
        <f ca="1">IFERROR(__xludf.DUMMYFUNCTION("""COMPUTED_VALUE"""),3720164)</f>
        <v>3720164</v>
      </c>
      <c r="C12223" s="14">
        <f ca="1">IFERROR(__xludf.DUMMYFUNCTION("""COMPUTED_VALUE"""),0)</f>
        <v>0</v>
      </c>
      <c r="D12223" s="12" t="str">
        <f ca="1">IFERROR(__xludf.DUMMYFUNCTION("""COMPUTED_VALUE"""),"渋谷 雄大")</f>
        <v>渋谷 雄大</v>
      </c>
    </row>
    <row r="12224" spans="2:4" ht="13">
      <c r="B12224" s="12">
        <f ca="1">IFERROR(__xludf.DUMMYFUNCTION("""COMPUTED_VALUE"""),3720165)</f>
        <v>3720165</v>
      </c>
      <c r="C12224" s="14">
        <f ca="1">IFERROR(__xludf.DUMMYFUNCTION("""COMPUTED_VALUE"""),0)</f>
        <v>0</v>
      </c>
      <c r="D12224" s="12" t="str">
        <f ca="1">IFERROR(__xludf.DUMMYFUNCTION("""COMPUTED_VALUE"""),"渋谷 雄大")</f>
        <v>渋谷 雄大</v>
      </c>
    </row>
    <row r="12225" spans="2:4" ht="13">
      <c r="B12225" s="12">
        <f ca="1">IFERROR(__xludf.DUMMYFUNCTION("""COMPUTED_VALUE"""),3720166)</f>
        <v>3720166</v>
      </c>
      <c r="C12225" s="14">
        <f ca="1">IFERROR(__xludf.DUMMYFUNCTION("""COMPUTED_VALUE"""),0)</f>
        <v>0</v>
      </c>
      <c r="D12225" s="12" t="str">
        <f ca="1">IFERROR(__xludf.DUMMYFUNCTION("""COMPUTED_VALUE"""),"渋谷 雄大")</f>
        <v>渋谷 雄大</v>
      </c>
    </row>
    <row r="12226" spans="2:4" ht="13">
      <c r="B12226" s="12">
        <f ca="1">IFERROR(__xludf.DUMMYFUNCTION("""COMPUTED_VALUE"""),3720167)</f>
        <v>3720167</v>
      </c>
      <c r="C12226" s="14">
        <f ca="1">IFERROR(__xludf.DUMMYFUNCTION("""COMPUTED_VALUE"""),0)</f>
        <v>0</v>
      </c>
      <c r="D12226" s="12" t="str">
        <f ca="1">IFERROR(__xludf.DUMMYFUNCTION("""COMPUTED_VALUE"""),"渋谷 雄大")</f>
        <v>渋谷 雄大</v>
      </c>
    </row>
    <row r="12227" spans="2:4" ht="13">
      <c r="B12227" s="12">
        <f ca="1">IFERROR(__xludf.DUMMYFUNCTION("""COMPUTED_VALUE"""),3720168)</f>
        <v>3720168</v>
      </c>
      <c r="C12227" s="14">
        <f ca="1">IFERROR(__xludf.DUMMYFUNCTION("""COMPUTED_VALUE"""),0)</f>
        <v>0</v>
      </c>
      <c r="D12227" s="12" t="str">
        <f ca="1">IFERROR(__xludf.DUMMYFUNCTION("""COMPUTED_VALUE"""),"渋谷 雄大")</f>
        <v>渋谷 雄大</v>
      </c>
    </row>
    <row r="12228" spans="2:4" ht="13">
      <c r="B12228" s="12">
        <f ca="1">IFERROR(__xludf.DUMMYFUNCTION("""COMPUTED_VALUE"""),3720169)</f>
        <v>3720169</v>
      </c>
      <c r="C12228" s="14">
        <f ca="1">IFERROR(__xludf.DUMMYFUNCTION("""COMPUTED_VALUE"""),0)</f>
        <v>0</v>
      </c>
      <c r="D12228" s="12" t="str">
        <f ca="1">IFERROR(__xludf.DUMMYFUNCTION("""COMPUTED_VALUE"""),"渋谷 雄大")</f>
        <v>渋谷 雄大</v>
      </c>
    </row>
    <row r="12229" spans="2:4" ht="13">
      <c r="B12229" s="12">
        <f ca="1">IFERROR(__xludf.DUMMYFUNCTION("""COMPUTED_VALUE"""),3720170)</f>
        <v>3720170</v>
      </c>
      <c r="C12229" s="14">
        <f ca="1">IFERROR(__xludf.DUMMYFUNCTION("""COMPUTED_VALUE"""),0)</f>
        <v>0</v>
      </c>
      <c r="D12229" s="12" t="str">
        <f ca="1">IFERROR(__xludf.DUMMYFUNCTION("""COMPUTED_VALUE"""),"渋谷 雄大")</f>
        <v>渋谷 雄大</v>
      </c>
    </row>
    <row r="12230" spans="2:4" ht="13">
      <c r="B12230" s="12">
        <f ca="1">IFERROR(__xludf.DUMMYFUNCTION("""COMPUTED_VALUE"""),3720171)</f>
        <v>3720171</v>
      </c>
      <c r="C12230" s="14">
        <f ca="1">IFERROR(__xludf.DUMMYFUNCTION("""COMPUTED_VALUE"""),21)</f>
        <v>21</v>
      </c>
      <c r="D12230" s="12" t="str">
        <f ca="1">IFERROR(__xludf.DUMMYFUNCTION("""COMPUTED_VALUE"""),"渋谷 雄大")</f>
        <v>渋谷 雄大</v>
      </c>
    </row>
    <row r="12231" spans="2:4" ht="13">
      <c r="B12231" s="12">
        <f ca="1">IFERROR(__xludf.DUMMYFUNCTION("""COMPUTED_VALUE"""),3720172)</f>
        <v>3720172</v>
      </c>
      <c r="C12231" s="14">
        <f ca="1">IFERROR(__xludf.DUMMYFUNCTION("""COMPUTED_VALUE"""),0)</f>
        <v>0</v>
      </c>
      <c r="D12231" s="12" t="str">
        <f ca="1">IFERROR(__xludf.DUMMYFUNCTION("""COMPUTED_VALUE"""),"渋谷 雄大")</f>
        <v>渋谷 雄大</v>
      </c>
    </row>
    <row r="12232" spans="2:4" ht="13">
      <c r="B12232" s="12">
        <f ca="1">IFERROR(__xludf.DUMMYFUNCTION("""COMPUTED_VALUE"""),3720173)</f>
        <v>3720173</v>
      </c>
      <c r="C12232" s="14">
        <f ca="1">IFERROR(__xludf.DUMMYFUNCTION("""COMPUTED_VALUE"""),0)</f>
        <v>0</v>
      </c>
      <c r="D12232" s="12" t="str">
        <f ca="1">IFERROR(__xludf.DUMMYFUNCTION("""COMPUTED_VALUE"""),"渋谷 雄大")</f>
        <v>渋谷 雄大</v>
      </c>
    </row>
    <row r="12233" spans="2:4" ht="13">
      <c r="B12233" s="12">
        <f ca="1">IFERROR(__xludf.DUMMYFUNCTION("""COMPUTED_VALUE"""),3720174)</f>
        <v>3720174</v>
      </c>
      <c r="C12233" s="14">
        <f ca="1">IFERROR(__xludf.DUMMYFUNCTION("""COMPUTED_VALUE"""),0)</f>
        <v>0</v>
      </c>
      <c r="D12233" s="12" t="str">
        <f ca="1">IFERROR(__xludf.DUMMYFUNCTION("""COMPUTED_VALUE"""),"渋谷 雄大")</f>
        <v>渋谷 雄大</v>
      </c>
    </row>
    <row r="12234" spans="2:4" ht="13">
      <c r="B12234" s="12">
        <f ca="1">IFERROR(__xludf.DUMMYFUNCTION("""COMPUTED_VALUE"""),3720175)</f>
        <v>3720175</v>
      </c>
      <c r="C12234" s="14">
        <f ca="1">IFERROR(__xludf.DUMMYFUNCTION("""COMPUTED_VALUE"""),0)</f>
        <v>0</v>
      </c>
      <c r="D12234" s="12" t="str">
        <f ca="1">IFERROR(__xludf.DUMMYFUNCTION("""COMPUTED_VALUE"""),"渋谷 雄大")</f>
        <v>渋谷 雄大</v>
      </c>
    </row>
    <row r="12235" spans="2:4" ht="13">
      <c r="B12235" s="12">
        <f ca="1">IFERROR(__xludf.DUMMYFUNCTION("""COMPUTED_VALUE"""),3720176)</f>
        <v>3720176</v>
      </c>
      <c r="C12235" s="14">
        <f ca="1">IFERROR(__xludf.DUMMYFUNCTION("""COMPUTED_VALUE"""),81)</f>
        <v>81</v>
      </c>
      <c r="D12235" s="12" t="str">
        <f ca="1">IFERROR(__xludf.DUMMYFUNCTION("""COMPUTED_VALUE"""),"渋谷 雄大")</f>
        <v>渋谷 雄大</v>
      </c>
    </row>
    <row r="12236" spans="2:4" ht="13">
      <c r="B12236" s="12">
        <f ca="1">IFERROR(__xludf.DUMMYFUNCTION("""COMPUTED_VALUE"""),3720177)</f>
        <v>3720177</v>
      </c>
      <c r="C12236" s="14">
        <f ca="1">IFERROR(__xludf.DUMMYFUNCTION("""COMPUTED_VALUE"""),0)</f>
        <v>0</v>
      </c>
      <c r="D12236" s="12" t="str">
        <f ca="1">IFERROR(__xludf.DUMMYFUNCTION("""COMPUTED_VALUE"""),"渋谷 雄大")</f>
        <v>渋谷 雄大</v>
      </c>
    </row>
    <row r="12237" spans="2:4" ht="13">
      <c r="B12237" s="12">
        <f ca="1">IFERROR(__xludf.DUMMYFUNCTION("""COMPUTED_VALUE"""),3720178)</f>
        <v>3720178</v>
      </c>
      <c r="C12237" s="14">
        <f ca="1">IFERROR(__xludf.DUMMYFUNCTION("""COMPUTED_VALUE"""),0)</f>
        <v>0</v>
      </c>
      <c r="D12237" s="12" t="str">
        <f ca="1">IFERROR(__xludf.DUMMYFUNCTION("""COMPUTED_VALUE"""),"渋谷 雄大")</f>
        <v>渋谷 雄大</v>
      </c>
    </row>
    <row r="12238" spans="2:4" ht="13">
      <c r="B12238" s="12">
        <f ca="1">IFERROR(__xludf.DUMMYFUNCTION("""COMPUTED_VALUE"""),3720179)</f>
        <v>3720179</v>
      </c>
      <c r="C12238" s="14">
        <f ca="1">IFERROR(__xludf.DUMMYFUNCTION("""COMPUTED_VALUE"""),0)</f>
        <v>0</v>
      </c>
      <c r="D12238" s="12" t="str">
        <f ca="1">IFERROR(__xludf.DUMMYFUNCTION("""COMPUTED_VALUE"""),"渋谷 雄大")</f>
        <v>渋谷 雄大</v>
      </c>
    </row>
    <row r="12239" spans="2:4" ht="13">
      <c r="B12239" s="12">
        <f ca="1">IFERROR(__xludf.DUMMYFUNCTION("""COMPUTED_VALUE"""),3720180)</f>
        <v>3720180</v>
      </c>
      <c r="C12239" s="14">
        <f ca="1">IFERROR(__xludf.DUMMYFUNCTION("""COMPUTED_VALUE"""),0)</f>
        <v>0</v>
      </c>
      <c r="D12239" s="12" t="str">
        <f ca="1">IFERROR(__xludf.DUMMYFUNCTION("""COMPUTED_VALUE"""),"渋谷 雄大")</f>
        <v>渋谷 雄大</v>
      </c>
    </row>
    <row r="12240" spans="2:4" ht="13">
      <c r="B12240" s="12">
        <f ca="1">IFERROR(__xludf.DUMMYFUNCTION("""COMPUTED_VALUE"""),3720181)</f>
        <v>3720181</v>
      </c>
      <c r="C12240" s="14">
        <f ca="1">IFERROR(__xludf.DUMMYFUNCTION("""COMPUTED_VALUE"""),0)</f>
        <v>0</v>
      </c>
      <c r="D12240" s="12" t="str">
        <f ca="1">IFERROR(__xludf.DUMMYFUNCTION("""COMPUTED_VALUE"""),"渋谷 雄大")</f>
        <v>渋谷 雄大</v>
      </c>
    </row>
    <row r="12241" spans="2:4" ht="13">
      <c r="B12241" s="12">
        <f ca="1">IFERROR(__xludf.DUMMYFUNCTION("""COMPUTED_VALUE"""),3720182)</f>
        <v>3720182</v>
      </c>
      <c r="C12241" s="14">
        <f ca="1">IFERROR(__xludf.DUMMYFUNCTION("""COMPUTED_VALUE"""),0)</f>
        <v>0</v>
      </c>
      <c r="D12241" s="12" t="str">
        <f ca="1">IFERROR(__xludf.DUMMYFUNCTION("""COMPUTED_VALUE"""),"渋谷 雄大")</f>
        <v>渋谷 雄大</v>
      </c>
    </row>
    <row r="12242" spans="2:4" ht="13">
      <c r="B12242" s="12">
        <f ca="1">IFERROR(__xludf.DUMMYFUNCTION("""COMPUTED_VALUE"""),3720183)</f>
        <v>3720183</v>
      </c>
      <c r="C12242" s="14">
        <f ca="1">IFERROR(__xludf.DUMMYFUNCTION("""COMPUTED_VALUE"""),0)</f>
        <v>0</v>
      </c>
      <c r="D12242" s="12" t="str">
        <f ca="1">IFERROR(__xludf.DUMMYFUNCTION("""COMPUTED_VALUE"""),"渋谷 雄大")</f>
        <v>渋谷 雄大</v>
      </c>
    </row>
    <row r="12243" spans="2:4" ht="13">
      <c r="B12243" s="12">
        <f ca="1">IFERROR(__xludf.DUMMYFUNCTION("""COMPUTED_VALUE"""),3720184)</f>
        <v>3720184</v>
      </c>
      <c r="C12243" s="14">
        <f ca="1">IFERROR(__xludf.DUMMYFUNCTION("""COMPUTED_VALUE"""),0)</f>
        <v>0</v>
      </c>
      <c r="D12243" s="12" t="str">
        <f ca="1">IFERROR(__xludf.DUMMYFUNCTION("""COMPUTED_VALUE"""),"渋谷 雄大")</f>
        <v>渋谷 雄大</v>
      </c>
    </row>
    <row r="12244" spans="2:4" ht="13">
      <c r="B12244" s="12">
        <f ca="1">IFERROR(__xludf.DUMMYFUNCTION("""COMPUTED_VALUE"""),3720185)</f>
        <v>3720185</v>
      </c>
      <c r="C12244" s="14">
        <f ca="1">IFERROR(__xludf.DUMMYFUNCTION("""COMPUTED_VALUE"""),0)</f>
        <v>0</v>
      </c>
      <c r="D12244" s="12" t="str">
        <f ca="1">IFERROR(__xludf.DUMMYFUNCTION("""COMPUTED_VALUE"""),"渋谷 雄大")</f>
        <v>渋谷 雄大</v>
      </c>
    </row>
    <row r="12245" spans="2:4" ht="13">
      <c r="B12245" s="12">
        <f ca="1">IFERROR(__xludf.DUMMYFUNCTION("""COMPUTED_VALUE"""),3720186)</f>
        <v>3720186</v>
      </c>
      <c r="C12245" s="14">
        <f ca="1">IFERROR(__xludf.DUMMYFUNCTION("""COMPUTED_VALUE"""),0)</f>
        <v>0</v>
      </c>
      <c r="D12245" s="12" t="str">
        <f ca="1">IFERROR(__xludf.DUMMYFUNCTION("""COMPUTED_VALUE"""),"渋谷 雄大")</f>
        <v>渋谷 雄大</v>
      </c>
    </row>
    <row r="12246" spans="2:4" ht="13">
      <c r="B12246" s="12">
        <f ca="1">IFERROR(__xludf.DUMMYFUNCTION("""COMPUTED_VALUE"""),3720187)</f>
        <v>3720187</v>
      </c>
      <c r="C12246" s="14">
        <f ca="1">IFERROR(__xludf.DUMMYFUNCTION("""COMPUTED_VALUE"""),0)</f>
        <v>0</v>
      </c>
      <c r="D12246" s="12" t="str">
        <f ca="1">IFERROR(__xludf.DUMMYFUNCTION("""COMPUTED_VALUE"""),"渋谷 雄大")</f>
        <v>渋谷 雄大</v>
      </c>
    </row>
    <row r="12247" spans="2:4" ht="13">
      <c r="B12247" s="12">
        <f ca="1">IFERROR(__xludf.DUMMYFUNCTION("""COMPUTED_VALUE"""),3720188)</f>
        <v>3720188</v>
      </c>
      <c r="C12247" s="14">
        <f ca="1">IFERROR(__xludf.DUMMYFUNCTION("""COMPUTED_VALUE"""),0)</f>
        <v>0</v>
      </c>
      <c r="D12247" s="12" t="str">
        <f ca="1">IFERROR(__xludf.DUMMYFUNCTION("""COMPUTED_VALUE"""),"渋谷 雄大")</f>
        <v>渋谷 雄大</v>
      </c>
    </row>
    <row r="12248" spans="2:4" ht="13">
      <c r="B12248" s="12">
        <f ca="1">IFERROR(__xludf.DUMMYFUNCTION("""COMPUTED_VALUE"""),3720189)</f>
        <v>3720189</v>
      </c>
      <c r="C12248" s="14">
        <f ca="1">IFERROR(__xludf.DUMMYFUNCTION("""COMPUTED_VALUE"""),0)</f>
        <v>0</v>
      </c>
      <c r="D12248" s="12" t="str">
        <f ca="1">IFERROR(__xludf.DUMMYFUNCTION("""COMPUTED_VALUE"""),"渋谷 雄大")</f>
        <v>渋谷 雄大</v>
      </c>
    </row>
    <row r="12249" spans="2:4" ht="13">
      <c r="B12249" s="12">
        <f ca="1">IFERROR(__xludf.DUMMYFUNCTION("""COMPUTED_VALUE"""),3720190)</f>
        <v>3720190</v>
      </c>
      <c r="C12249" s="14">
        <f ca="1">IFERROR(__xludf.DUMMYFUNCTION("""COMPUTED_VALUE"""),0)</f>
        <v>0</v>
      </c>
      <c r="D12249" s="12" t="str">
        <f ca="1">IFERROR(__xludf.DUMMYFUNCTION("""COMPUTED_VALUE"""),"渋谷 雄大")</f>
        <v>渋谷 雄大</v>
      </c>
    </row>
    <row r="12250" spans="2:4" ht="13">
      <c r="B12250" s="12">
        <f ca="1">IFERROR(__xludf.DUMMYFUNCTION("""COMPUTED_VALUE"""),3720191)</f>
        <v>3720191</v>
      </c>
      <c r="C12250" s="14">
        <f ca="1">IFERROR(__xludf.DUMMYFUNCTION("""COMPUTED_VALUE"""),0)</f>
        <v>0</v>
      </c>
      <c r="D12250" s="12" t="str">
        <f ca="1">IFERROR(__xludf.DUMMYFUNCTION("""COMPUTED_VALUE"""),"渋谷 雄大")</f>
        <v>渋谷 雄大</v>
      </c>
    </row>
    <row r="12251" spans="2:4" ht="13">
      <c r="B12251" s="12">
        <f ca="1">IFERROR(__xludf.DUMMYFUNCTION("""COMPUTED_VALUE"""),3720192)</f>
        <v>3720192</v>
      </c>
      <c r="C12251" s="14">
        <f ca="1">IFERROR(__xludf.DUMMYFUNCTION("""COMPUTED_VALUE"""),0)</f>
        <v>0</v>
      </c>
      <c r="D12251" s="12" t="str">
        <f ca="1">IFERROR(__xludf.DUMMYFUNCTION("""COMPUTED_VALUE"""),"渋谷 雄大")</f>
        <v>渋谷 雄大</v>
      </c>
    </row>
    <row r="12252" spans="2:4" ht="13">
      <c r="B12252" s="12">
        <f ca="1">IFERROR(__xludf.DUMMYFUNCTION("""COMPUTED_VALUE"""),3720193)</f>
        <v>3720193</v>
      </c>
      <c r="C12252" s="14">
        <f ca="1">IFERROR(__xludf.DUMMYFUNCTION("""COMPUTED_VALUE"""),0)</f>
        <v>0</v>
      </c>
      <c r="D12252" s="12" t="str">
        <f ca="1">IFERROR(__xludf.DUMMYFUNCTION("""COMPUTED_VALUE"""),"渋谷 雄大")</f>
        <v>渋谷 雄大</v>
      </c>
    </row>
    <row r="12253" spans="2:4" ht="13">
      <c r="B12253" s="12">
        <f ca="1">IFERROR(__xludf.DUMMYFUNCTION("""COMPUTED_VALUE"""),3720194)</f>
        <v>3720194</v>
      </c>
      <c r="C12253" s="14">
        <f ca="1">IFERROR(__xludf.DUMMYFUNCTION("""COMPUTED_VALUE"""),0)</f>
        <v>0</v>
      </c>
      <c r="D12253" s="12" t="str">
        <f ca="1">IFERROR(__xludf.DUMMYFUNCTION("""COMPUTED_VALUE"""),"渋谷 雄大")</f>
        <v>渋谷 雄大</v>
      </c>
    </row>
    <row r="12254" spans="2:4" ht="13">
      <c r="B12254" s="12">
        <f ca="1">IFERROR(__xludf.DUMMYFUNCTION("""COMPUTED_VALUE"""),3720195)</f>
        <v>3720195</v>
      </c>
      <c r="C12254" s="14">
        <f ca="1">IFERROR(__xludf.DUMMYFUNCTION("""COMPUTED_VALUE"""),0)</f>
        <v>0</v>
      </c>
      <c r="D12254" s="12" t="str">
        <f ca="1">IFERROR(__xludf.DUMMYFUNCTION("""COMPUTED_VALUE"""),"渋谷 雄大")</f>
        <v>渋谷 雄大</v>
      </c>
    </row>
    <row r="12255" spans="2:4" ht="13">
      <c r="B12255" s="12">
        <f ca="1">IFERROR(__xludf.DUMMYFUNCTION("""COMPUTED_VALUE"""),3720196)</f>
        <v>3720196</v>
      </c>
      <c r="C12255" s="14">
        <f ca="1">IFERROR(__xludf.DUMMYFUNCTION("""COMPUTED_VALUE"""),0)</f>
        <v>0</v>
      </c>
      <c r="D12255" s="12" t="str">
        <f ca="1">IFERROR(__xludf.DUMMYFUNCTION("""COMPUTED_VALUE"""),"渋谷 雄大")</f>
        <v>渋谷 雄大</v>
      </c>
    </row>
    <row r="12256" spans="2:4" ht="13">
      <c r="B12256" s="12">
        <f ca="1">IFERROR(__xludf.DUMMYFUNCTION("""COMPUTED_VALUE"""),3720197)</f>
        <v>3720197</v>
      </c>
      <c r="C12256" s="14">
        <f ca="1">IFERROR(__xludf.DUMMYFUNCTION("""COMPUTED_VALUE"""),0)</f>
        <v>0</v>
      </c>
      <c r="D12256" s="12" t="str">
        <f ca="1">IFERROR(__xludf.DUMMYFUNCTION("""COMPUTED_VALUE"""),"渋谷 雄大")</f>
        <v>渋谷 雄大</v>
      </c>
    </row>
    <row r="12257" spans="2:4" ht="13">
      <c r="B12257" s="12">
        <f ca="1">IFERROR(__xludf.DUMMYFUNCTION("""COMPUTED_VALUE"""),3720198)</f>
        <v>3720198</v>
      </c>
      <c r="C12257" s="14">
        <f ca="1">IFERROR(__xludf.DUMMYFUNCTION("""COMPUTED_VALUE"""),0)</f>
        <v>0</v>
      </c>
      <c r="D12257" s="12" t="str">
        <f ca="1">IFERROR(__xludf.DUMMYFUNCTION("""COMPUTED_VALUE"""),"渋谷 雄大")</f>
        <v>渋谷 雄大</v>
      </c>
    </row>
    <row r="12258" spans="2:4" ht="13">
      <c r="B12258" s="12">
        <f ca="1">IFERROR(__xludf.DUMMYFUNCTION("""COMPUTED_VALUE"""),3720199)</f>
        <v>3720199</v>
      </c>
      <c r="C12258" s="14">
        <f ca="1">IFERROR(__xludf.DUMMYFUNCTION("""COMPUTED_VALUE"""),0)</f>
        <v>0</v>
      </c>
      <c r="D12258" s="12" t="str">
        <f ca="1">IFERROR(__xludf.DUMMYFUNCTION("""COMPUTED_VALUE"""),"渋谷 雄大")</f>
        <v>渋谷 雄大</v>
      </c>
    </row>
    <row r="12259" spans="2:4" ht="13">
      <c r="B12259" s="12">
        <f ca="1">IFERROR(__xludf.DUMMYFUNCTION("""COMPUTED_VALUE"""),3720200)</f>
        <v>3720200</v>
      </c>
      <c r="C12259" s="14">
        <f ca="1">IFERROR(__xludf.DUMMYFUNCTION("""COMPUTED_VALUE"""),0)</f>
        <v>0</v>
      </c>
      <c r="D12259" s="12" t="str">
        <f ca="1">IFERROR(__xludf.DUMMYFUNCTION("""COMPUTED_VALUE"""),"渋谷 雄大")</f>
        <v>渋谷 雄大</v>
      </c>
    </row>
    <row r="12260" spans="2:4" ht="13">
      <c r="B12260" s="12">
        <f ca="1">IFERROR(__xludf.DUMMYFUNCTION("""COMPUTED_VALUE"""),3720201)</f>
        <v>3720201</v>
      </c>
      <c r="C12260" s="14">
        <f ca="1">IFERROR(__xludf.DUMMYFUNCTION("""COMPUTED_VALUE"""),0)</f>
        <v>0</v>
      </c>
      <c r="D12260" s="12" t="str">
        <f ca="1">IFERROR(__xludf.DUMMYFUNCTION("""COMPUTED_VALUE"""),"渋谷 雄大")</f>
        <v>渋谷 雄大</v>
      </c>
    </row>
    <row r="12261" spans="2:4" ht="13">
      <c r="B12261" s="12">
        <f ca="1">IFERROR(__xludf.DUMMYFUNCTION("""COMPUTED_VALUE"""),3720202)</f>
        <v>3720202</v>
      </c>
      <c r="C12261" s="14">
        <f ca="1">IFERROR(__xludf.DUMMYFUNCTION("""COMPUTED_VALUE"""),0)</f>
        <v>0</v>
      </c>
      <c r="D12261" s="12" t="str">
        <f ca="1">IFERROR(__xludf.DUMMYFUNCTION("""COMPUTED_VALUE"""),"渋谷 雄大")</f>
        <v>渋谷 雄大</v>
      </c>
    </row>
    <row r="12262" spans="2:4" ht="13">
      <c r="B12262" s="12">
        <f ca="1">IFERROR(__xludf.DUMMYFUNCTION("""COMPUTED_VALUE"""),3720203)</f>
        <v>3720203</v>
      </c>
      <c r="C12262" s="14">
        <f ca="1">IFERROR(__xludf.DUMMYFUNCTION("""COMPUTED_VALUE"""),0)</f>
        <v>0</v>
      </c>
      <c r="D12262" s="12" t="str">
        <f ca="1">IFERROR(__xludf.DUMMYFUNCTION("""COMPUTED_VALUE"""),"渋谷 雄大")</f>
        <v>渋谷 雄大</v>
      </c>
    </row>
    <row r="12263" spans="2:4" ht="13">
      <c r="B12263" s="12">
        <f ca="1">IFERROR(__xludf.DUMMYFUNCTION("""COMPUTED_VALUE"""),3720204)</f>
        <v>3720204</v>
      </c>
      <c r="C12263" s="14">
        <f ca="1">IFERROR(__xludf.DUMMYFUNCTION("""COMPUTED_VALUE"""),0)</f>
        <v>0</v>
      </c>
      <c r="D12263" s="12" t="str">
        <f ca="1">IFERROR(__xludf.DUMMYFUNCTION("""COMPUTED_VALUE"""),"渋谷 雄大")</f>
        <v>渋谷 雄大</v>
      </c>
    </row>
    <row r="12264" spans="2:4" ht="13">
      <c r="B12264" s="12">
        <f ca="1">IFERROR(__xludf.DUMMYFUNCTION("""COMPUTED_VALUE"""),3720205)</f>
        <v>3720205</v>
      </c>
      <c r="C12264" s="14">
        <f ca="1">IFERROR(__xludf.DUMMYFUNCTION("""COMPUTED_VALUE"""),0)</f>
        <v>0</v>
      </c>
      <c r="D12264" s="12" t="str">
        <f ca="1">IFERROR(__xludf.DUMMYFUNCTION("""COMPUTED_VALUE"""),"渋谷 雄大")</f>
        <v>渋谷 雄大</v>
      </c>
    </row>
    <row r="12265" spans="2:4" ht="13">
      <c r="B12265" s="12">
        <f ca="1">IFERROR(__xludf.DUMMYFUNCTION("""COMPUTED_VALUE"""),3720206)</f>
        <v>3720206</v>
      </c>
      <c r="C12265" s="14">
        <f ca="1">IFERROR(__xludf.DUMMYFUNCTION("""COMPUTED_VALUE"""),0)</f>
        <v>0</v>
      </c>
      <c r="D12265" s="12" t="str">
        <f ca="1">IFERROR(__xludf.DUMMYFUNCTION("""COMPUTED_VALUE"""),"渋谷 雄大")</f>
        <v>渋谷 雄大</v>
      </c>
    </row>
    <row r="12266" spans="2:4" ht="13">
      <c r="B12266" s="12">
        <f ca="1">IFERROR(__xludf.DUMMYFUNCTION("""COMPUTED_VALUE"""),3720207)</f>
        <v>3720207</v>
      </c>
      <c r="C12266" s="14">
        <f ca="1">IFERROR(__xludf.DUMMYFUNCTION("""COMPUTED_VALUE"""),0)</f>
        <v>0</v>
      </c>
      <c r="D12266" s="12" t="str">
        <f ca="1">IFERROR(__xludf.DUMMYFUNCTION("""COMPUTED_VALUE"""),"渋谷 雄大")</f>
        <v>渋谷 雄大</v>
      </c>
    </row>
    <row r="12267" spans="2:4" ht="13">
      <c r="B12267" s="12">
        <f ca="1">IFERROR(__xludf.DUMMYFUNCTION("""COMPUTED_VALUE"""),3720208)</f>
        <v>3720208</v>
      </c>
      <c r="C12267" s="14">
        <f ca="1">IFERROR(__xludf.DUMMYFUNCTION("""COMPUTED_VALUE"""),0)</f>
        <v>0</v>
      </c>
      <c r="D12267" s="12" t="str">
        <f ca="1">IFERROR(__xludf.DUMMYFUNCTION("""COMPUTED_VALUE"""),"渋谷 雄大")</f>
        <v>渋谷 雄大</v>
      </c>
    </row>
    <row r="12268" spans="2:4" ht="13">
      <c r="B12268" s="12">
        <f ca="1">IFERROR(__xludf.DUMMYFUNCTION("""COMPUTED_VALUE"""),3720209)</f>
        <v>3720209</v>
      </c>
      <c r="C12268" s="14">
        <f ca="1">IFERROR(__xludf.DUMMYFUNCTION("""COMPUTED_VALUE"""),0)</f>
        <v>0</v>
      </c>
      <c r="D12268" s="12" t="str">
        <f ca="1">IFERROR(__xludf.DUMMYFUNCTION("""COMPUTED_VALUE"""),"渋谷 雄大")</f>
        <v>渋谷 雄大</v>
      </c>
    </row>
    <row r="12269" spans="2:4" ht="13">
      <c r="B12269" s="12">
        <f ca="1">IFERROR(__xludf.DUMMYFUNCTION("""COMPUTED_VALUE"""),3720210)</f>
        <v>3720210</v>
      </c>
      <c r="C12269" s="14">
        <f ca="1">IFERROR(__xludf.DUMMYFUNCTION("""COMPUTED_VALUE"""),0)</f>
        <v>0</v>
      </c>
      <c r="D12269" s="12" t="str">
        <f ca="1">IFERROR(__xludf.DUMMYFUNCTION("""COMPUTED_VALUE"""),"渋谷 雄大")</f>
        <v>渋谷 雄大</v>
      </c>
    </row>
    <row r="12270" spans="2:4" ht="13">
      <c r="B12270" s="12">
        <f ca="1">IFERROR(__xludf.DUMMYFUNCTION("""COMPUTED_VALUE"""),3720211)</f>
        <v>3720211</v>
      </c>
      <c r="C12270" s="14">
        <f ca="1">IFERROR(__xludf.DUMMYFUNCTION("""COMPUTED_VALUE"""),0)</f>
        <v>0</v>
      </c>
      <c r="D12270" s="12" t="str">
        <f ca="1">IFERROR(__xludf.DUMMYFUNCTION("""COMPUTED_VALUE"""),"渋谷 雄大")</f>
        <v>渋谷 雄大</v>
      </c>
    </row>
    <row r="12271" spans="2:4" ht="13">
      <c r="B12271" s="12">
        <f ca="1">IFERROR(__xludf.DUMMYFUNCTION("""COMPUTED_VALUE"""),3720212)</f>
        <v>3720212</v>
      </c>
      <c r="C12271" s="14">
        <f ca="1">IFERROR(__xludf.DUMMYFUNCTION("""COMPUTED_VALUE"""),0)</f>
        <v>0</v>
      </c>
      <c r="D12271" s="12" t="str">
        <f ca="1">IFERROR(__xludf.DUMMYFUNCTION("""COMPUTED_VALUE"""),"渋谷 雄大")</f>
        <v>渋谷 雄大</v>
      </c>
    </row>
    <row r="12272" spans="2:4" ht="13">
      <c r="B12272" s="12">
        <f ca="1">IFERROR(__xludf.DUMMYFUNCTION("""COMPUTED_VALUE"""),3720213)</f>
        <v>3720213</v>
      </c>
      <c r="C12272" s="14">
        <f ca="1">IFERROR(__xludf.DUMMYFUNCTION("""COMPUTED_VALUE"""),0)</f>
        <v>0</v>
      </c>
      <c r="D12272" s="12" t="str">
        <f ca="1">IFERROR(__xludf.DUMMYFUNCTION("""COMPUTED_VALUE"""),"渋谷 雄大")</f>
        <v>渋谷 雄大</v>
      </c>
    </row>
    <row r="12273" spans="2:4" ht="13">
      <c r="B12273" s="12">
        <f ca="1">IFERROR(__xludf.DUMMYFUNCTION("""COMPUTED_VALUE"""),3720214)</f>
        <v>3720214</v>
      </c>
      <c r="C12273" s="14">
        <f ca="1">IFERROR(__xludf.DUMMYFUNCTION("""COMPUTED_VALUE"""),0)</f>
        <v>0</v>
      </c>
      <c r="D12273" s="12" t="str">
        <f ca="1">IFERROR(__xludf.DUMMYFUNCTION("""COMPUTED_VALUE"""),"渋谷 雄大")</f>
        <v>渋谷 雄大</v>
      </c>
    </row>
    <row r="12274" spans="2:4" ht="13">
      <c r="B12274" s="12">
        <f ca="1">IFERROR(__xludf.DUMMYFUNCTION("""COMPUTED_VALUE"""),3720215)</f>
        <v>3720215</v>
      </c>
      <c r="C12274" s="14">
        <f ca="1">IFERROR(__xludf.DUMMYFUNCTION("""COMPUTED_VALUE"""),0)</f>
        <v>0</v>
      </c>
      <c r="D12274" s="12" t="str">
        <f ca="1">IFERROR(__xludf.DUMMYFUNCTION("""COMPUTED_VALUE"""),"渋谷 雄大")</f>
        <v>渋谷 雄大</v>
      </c>
    </row>
    <row r="12275" spans="2:4" ht="13">
      <c r="B12275" s="12">
        <f ca="1">IFERROR(__xludf.DUMMYFUNCTION("""COMPUTED_VALUE"""),3720216)</f>
        <v>3720216</v>
      </c>
      <c r="C12275" s="14">
        <f ca="1">IFERROR(__xludf.DUMMYFUNCTION("""COMPUTED_VALUE"""),0)</f>
        <v>0</v>
      </c>
      <c r="D12275" s="12" t="str">
        <f ca="1">IFERROR(__xludf.DUMMYFUNCTION("""COMPUTED_VALUE"""),"渋谷 雄大")</f>
        <v>渋谷 雄大</v>
      </c>
    </row>
    <row r="12276" spans="2:4" ht="13">
      <c r="B12276" s="12">
        <f ca="1">IFERROR(__xludf.DUMMYFUNCTION("""COMPUTED_VALUE"""),3720217)</f>
        <v>3720217</v>
      </c>
      <c r="C12276" s="14">
        <f ca="1">IFERROR(__xludf.DUMMYFUNCTION("""COMPUTED_VALUE"""),0)</f>
        <v>0</v>
      </c>
      <c r="D12276" s="12" t="str">
        <f ca="1">IFERROR(__xludf.DUMMYFUNCTION("""COMPUTED_VALUE"""),"渋谷 雄大")</f>
        <v>渋谷 雄大</v>
      </c>
    </row>
    <row r="12277" spans="2:4" ht="13">
      <c r="B12277" s="12">
        <f ca="1">IFERROR(__xludf.DUMMYFUNCTION("""COMPUTED_VALUE"""),3720218)</f>
        <v>3720218</v>
      </c>
      <c r="C12277" s="14">
        <f ca="1">IFERROR(__xludf.DUMMYFUNCTION("""COMPUTED_VALUE"""),0)</f>
        <v>0</v>
      </c>
      <c r="D12277" s="12" t="str">
        <f ca="1">IFERROR(__xludf.DUMMYFUNCTION("""COMPUTED_VALUE"""),"渋谷 雄大")</f>
        <v>渋谷 雄大</v>
      </c>
    </row>
    <row r="12278" spans="2:4" ht="13">
      <c r="B12278" s="12">
        <f ca="1">IFERROR(__xludf.DUMMYFUNCTION("""COMPUTED_VALUE"""),3720219)</f>
        <v>3720219</v>
      </c>
      <c r="C12278" s="14">
        <f ca="1">IFERROR(__xludf.DUMMYFUNCTION("""COMPUTED_VALUE"""),0)</f>
        <v>0</v>
      </c>
      <c r="D12278" s="12" t="str">
        <f ca="1">IFERROR(__xludf.DUMMYFUNCTION("""COMPUTED_VALUE"""),"渋谷 雄大")</f>
        <v>渋谷 雄大</v>
      </c>
    </row>
    <row r="12279" spans="2:4" ht="13">
      <c r="B12279" s="12">
        <f ca="1">IFERROR(__xludf.DUMMYFUNCTION("""COMPUTED_VALUE"""),3720220)</f>
        <v>3720220</v>
      </c>
      <c r="C12279" s="14">
        <f ca="1">IFERROR(__xludf.DUMMYFUNCTION("""COMPUTED_VALUE"""),0)</f>
        <v>0</v>
      </c>
      <c r="D12279" s="12" t="str">
        <f ca="1">IFERROR(__xludf.DUMMYFUNCTION("""COMPUTED_VALUE"""),"渋谷 雄大")</f>
        <v>渋谷 雄大</v>
      </c>
    </row>
    <row r="12280" spans="2:4" ht="13">
      <c r="B12280" s="12">
        <f ca="1">IFERROR(__xludf.DUMMYFUNCTION("""COMPUTED_VALUE"""),3720221)</f>
        <v>3720221</v>
      </c>
      <c r="C12280" s="14">
        <f ca="1">IFERROR(__xludf.DUMMYFUNCTION("""COMPUTED_VALUE"""),0)</f>
        <v>0</v>
      </c>
      <c r="D12280" s="12" t="str">
        <f ca="1">IFERROR(__xludf.DUMMYFUNCTION("""COMPUTED_VALUE"""),"渋谷 雄大")</f>
        <v>渋谷 雄大</v>
      </c>
    </row>
    <row r="12281" spans="2:4" ht="13">
      <c r="B12281" s="12">
        <f ca="1">IFERROR(__xludf.DUMMYFUNCTION("""COMPUTED_VALUE"""),3720222)</f>
        <v>3720222</v>
      </c>
      <c r="C12281" s="14">
        <f ca="1">IFERROR(__xludf.DUMMYFUNCTION("""COMPUTED_VALUE"""),0)</f>
        <v>0</v>
      </c>
      <c r="D12281" s="12" t="str">
        <f ca="1">IFERROR(__xludf.DUMMYFUNCTION("""COMPUTED_VALUE"""),"渋谷 雄大")</f>
        <v>渋谷 雄大</v>
      </c>
    </row>
    <row r="12282" spans="2:4" ht="13">
      <c r="B12282" s="12">
        <f ca="1">IFERROR(__xludf.DUMMYFUNCTION("""COMPUTED_VALUE"""),3720223)</f>
        <v>3720223</v>
      </c>
      <c r="C12282" s="14">
        <f ca="1">IFERROR(__xludf.DUMMYFUNCTION("""COMPUTED_VALUE"""),0)</f>
        <v>0</v>
      </c>
      <c r="D12282" s="12" t="str">
        <f ca="1">IFERROR(__xludf.DUMMYFUNCTION("""COMPUTED_VALUE"""),"渋谷 雄大")</f>
        <v>渋谷 雄大</v>
      </c>
    </row>
    <row r="12283" spans="2:4" ht="13">
      <c r="B12283" s="12">
        <f ca="1">IFERROR(__xludf.DUMMYFUNCTION("""COMPUTED_VALUE"""),3720224)</f>
        <v>3720224</v>
      </c>
      <c r="C12283" s="14">
        <f ca="1">IFERROR(__xludf.DUMMYFUNCTION("""COMPUTED_VALUE"""),0)</f>
        <v>0</v>
      </c>
      <c r="D12283" s="12" t="str">
        <f ca="1">IFERROR(__xludf.DUMMYFUNCTION("""COMPUTED_VALUE"""),"渋谷 雄大")</f>
        <v>渋谷 雄大</v>
      </c>
    </row>
    <row r="12284" spans="2:4" ht="13">
      <c r="B12284" s="12">
        <f ca="1">IFERROR(__xludf.DUMMYFUNCTION("""COMPUTED_VALUE"""),3720225)</f>
        <v>3720225</v>
      </c>
      <c r="C12284" s="14">
        <f ca="1">IFERROR(__xludf.DUMMYFUNCTION("""COMPUTED_VALUE"""),0)</f>
        <v>0</v>
      </c>
      <c r="D12284" s="12" t="str">
        <f ca="1">IFERROR(__xludf.DUMMYFUNCTION("""COMPUTED_VALUE"""),"渋谷 雄大")</f>
        <v>渋谷 雄大</v>
      </c>
    </row>
    <row r="12285" spans="2:4" ht="13">
      <c r="B12285" s="12">
        <f ca="1">IFERROR(__xludf.DUMMYFUNCTION("""COMPUTED_VALUE"""),3720226)</f>
        <v>3720226</v>
      </c>
      <c r="C12285" s="14">
        <f ca="1">IFERROR(__xludf.DUMMYFUNCTION("""COMPUTED_VALUE"""),0)</f>
        <v>0</v>
      </c>
      <c r="D12285" s="12" t="str">
        <f ca="1">IFERROR(__xludf.DUMMYFUNCTION("""COMPUTED_VALUE"""),"渋谷 雄大")</f>
        <v>渋谷 雄大</v>
      </c>
    </row>
    <row r="12286" spans="2:4" ht="13">
      <c r="B12286" s="12">
        <f ca="1">IFERROR(__xludf.DUMMYFUNCTION("""COMPUTED_VALUE"""),3720227)</f>
        <v>3720227</v>
      </c>
      <c r="C12286" s="14">
        <f ca="1">IFERROR(__xludf.DUMMYFUNCTION("""COMPUTED_VALUE"""),0)</f>
        <v>0</v>
      </c>
      <c r="D12286" s="12" t="str">
        <f ca="1">IFERROR(__xludf.DUMMYFUNCTION("""COMPUTED_VALUE"""),"渋谷 雄大")</f>
        <v>渋谷 雄大</v>
      </c>
    </row>
    <row r="12287" spans="2:4" ht="13">
      <c r="B12287" s="12">
        <f ca="1">IFERROR(__xludf.DUMMYFUNCTION("""COMPUTED_VALUE"""),3720228)</f>
        <v>3720228</v>
      </c>
      <c r="C12287" s="14">
        <f ca="1">IFERROR(__xludf.DUMMYFUNCTION("""COMPUTED_VALUE"""),0)</f>
        <v>0</v>
      </c>
      <c r="D12287" s="12" t="str">
        <f ca="1">IFERROR(__xludf.DUMMYFUNCTION("""COMPUTED_VALUE"""),"渋谷 雄大")</f>
        <v>渋谷 雄大</v>
      </c>
    </row>
    <row r="12288" spans="2:4" ht="13">
      <c r="B12288" s="12">
        <f ca="1">IFERROR(__xludf.DUMMYFUNCTION("""COMPUTED_VALUE"""),3720229)</f>
        <v>3720229</v>
      </c>
      <c r="C12288" s="14">
        <f ca="1">IFERROR(__xludf.DUMMYFUNCTION("""COMPUTED_VALUE"""),0)</f>
        <v>0</v>
      </c>
      <c r="D12288" s="12" t="str">
        <f ca="1">IFERROR(__xludf.DUMMYFUNCTION("""COMPUTED_VALUE"""),"渋谷 雄大")</f>
        <v>渋谷 雄大</v>
      </c>
    </row>
    <row r="12289" spans="2:4" ht="13">
      <c r="B12289" s="12">
        <f ca="1">IFERROR(__xludf.DUMMYFUNCTION("""COMPUTED_VALUE"""),3720230)</f>
        <v>3720230</v>
      </c>
      <c r="C12289" s="14">
        <f ca="1">IFERROR(__xludf.DUMMYFUNCTION("""COMPUTED_VALUE"""),0)</f>
        <v>0</v>
      </c>
      <c r="D12289" s="12" t="str">
        <f ca="1">IFERROR(__xludf.DUMMYFUNCTION("""COMPUTED_VALUE"""),"渋谷 雄大")</f>
        <v>渋谷 雄大</v>
      </c>
    </row>
    <row r="12290" spans="2:4" ht="13">
      <c r="B12290" s="12">
        <f ca="1">IFERROR(__xludf.DUMMYFUNCTION("""COMPUTED_VALUE"""),3720231)</f>
        <v>3720231</v>
      </c>
      <c r="C12290" s="14">
        <f ca="1">IFERROR(__xludf.DUMMYFUNCTION("""COMPUTED_VALUE"""),0)</f>
        <v>0</v>
      </c>
      <c r="D12290" s="12" t="str">
        <f ca="1">IFERROR(__xludf.DUMMYFUNCTION("""COMPUTED_VALUE"""),"渋谷 雄大")</f>
        <v>渋谷 雄大</v>
      </c>
    </row>
    <row r="12291" spans="2:4" ht="13">
      <c r="B12291" s="12">
        <f ca="1">IFERROR(__xludf.DUMMYFUNCTION("""COMPUTED_VALUE"""),3720232)</f>
        <v>3720232</v>
      </c>
      <c r="C12291" s="14">
        <f ca="1">IFERROR(__xludf.DUMMYFUNCTION("""COMPUTED_VALUE"""),0)</f>
        <v>0</v>
      </c>
      <c r="D12291" s="12" t="str">
        <f ca="1">IFERROR(__xludf.DUMMYFUNCTION("""COMPUTED_VALUE"""),"渋谷 雄大")</f>
        <v>渋谷 雄大</v>
      </c>
    </row>
    <row r="12292" spans="2:4" ht="13">
      <c r="B12292" s="12">
        <f ca="1">IFERROR(__xludf.DUMMYFUNCTION("""COMPUTED_VALUE"""),3720233)</f>
        <v>3720233</v>
      </c>
      <c r="C12292" s="14">
        <f ca="1">IFERROR(__xludf.DUMMYFUNCTION("""COMPUTED_VALUE"""),0)</f>
        <v>0</v>
      </c>
      <c r="D12292" s="12" t="str">
        <f ca="1">IFERROR(__xludf.DUMMYFUNCTION("""COMPUTED_VALUE"""),"渋谷 雄大")</f>
        <v>渋谷 雄大</v>
      </c>
    </row>
    <row r="12293" spans="2:4" ht="13">
      <c r="B12293" s="12">
        <f ca="1">IFERROR(__xludf.DUMMYFUNCTION("""COMPUTED_VALUE"""),3901018)</f>
        <v>3901018</v>
      </c>
      <c r="C12293" s="14">
        <f ca="1">IFERROR(__xludf.DUMMYFUNCTION("""COMPUTED_VALUE"""),0)</f>
        <v>0</v>
      </c>
      <c r="D12293" s="12" t="str">
        <f ca="1">IFERROR(__xludf.DUMMYFUNCTION("""COMPUTED_VALUE"""),"田嶋 将太")</f>
        <v>田嶋 将太</v>
      </c>
    </row>
    <row r="12294" spans="2:4" ht="13">
      <c r="B12294" s="12">
        <f ca="1">IFERROR(__xludf.DUMMYFUNCTION("""COMPUTED_VALUE"""),3901024)</f>
        <v>3901024</v>
      </c>
      <c r="C12294" s="14">
        <f ca="1">IFERROR(__xludf.DUMMYFUNCTION("""COMPUTED_VALUE"""),0)</f>
        <v>0</v>
      </c>
      <c r="D12294" s="12" t="str">
        <f ca="1">IFERROR(__xludf.DUMMYFUNCTION("""COMPUTED_VALUE"""),"森 光智")</f>
        <v>森 光智</v>
      </c>
    </row>
    <row r="12295" spans="2:4" ht="13">
      <c r="B12295" s="12">
        <f ca="1">IFERROR(__xludf.DUMMYFUNCTION("""COMPUTED_VALUE"""),3901030)</f>
        <v>3901030</v>
      </c>
      <c r="C12295" s="14">
        <f ca="1">IFERROR(__xludf.DUMMYFUNCTION("""COMPUTED_VALUE"""),1)</f>
        <v>1</v>
      </c>
      <c r="D12295" s="12" t="str">
        <f ca="1">IFERROR(__xludf.DUMMYFUNCTION("""COMPUTED_VALUE"""),"田嶋 将太")</f>
        <v>田嶋 将太</v>
      </c>
    </row>
    <row r="12296" spans="2:4" ht="13">
      <c r="B12296" s="12">
        <f ca="1">IFERROR(__xludf.DUMMYFUNCTION("""COMPUTED_VALUE"""),3901085)</f>
        <v>3901085</v>
      </c>
      <c r="C12296" s="14">
        <f ca="1">IFERROR(__xludf.DUMMYFUNCTION("""COMPUTED_VALUE"""),2)</f>
        <v>2</v>
      </c>
      <c r="D12296" s="12" t="str">
        <f ca="1">IFERROR(__xludf.DUMMYFUNCTION("""COMPUTED_VALUE"""),"堀越 駿")</f>
        <v>堀越 駿</v>
      </c>
    </row>
    <row r="12297" spans="2:4" ht="13">
      <c r="B12297" s="12">
        <f ca="1">IFERROR(__xludf.DUMMYFUNCTION("""COMPUTED_VALUE"""),3901093)</f>
        <v>3901093</v>
      </c>
      <c r="C12297" s="14">
        <f ca="1">IFERROR(__xludf.DUMMYFUNCTION("""COMPUTED_VALUE"""),3)</f>
        <v>3</v>
      </c>
      <c r="D12297" s="12" t="str">
        <f ca="1">IFERROR(__xludf.DUMMYFUNCTION("""COMPUTED_VALUE"""),"老田 純輝")</f>
        <v>老田 純輝</v>
      </c>
    </row>
    <row r="12298" spans="2:4" ht="13">
      <c r="B12298" s="12">
        <f ca="1">IFERROR(__xludf.DUMMYFUNCTION("""COMPUTED_VALUE"""),3901176)</f>
        <v>3901176</v>
      </c>
      <c r="C12298" s="14">
        <f ca="1">IFERROR(__xludf.DUMMYFUNCTION("""COMPUTED_VALUE"""),5)</f>
        <v>5</v>
      </c>
      <c r="D12298" s="12" t="str">
        <f ca="1">IFERROR(__xludf.DUMMYFUNCTION("""COMPUTED_VALUE"""),"桑原 明子")</f>
        <v>桑原 明子</v>
      </c>
    </row>
    <row r="12299" spans="2:4" ht="13">
      <c r="B12299" s="12">
        <f ca="1">IFERROR(__xludf.DUMMYFUNCTION("""COMPUTED_VALUE"""),3901218)</f>
        <v>3901218</v>
      </c>
      <c r="C12299" s="14">
        <f ca="1">IFERROR(__xludf.DUMMYFUNCTION("""COMPUTED_VALUE"""),35)</f>
        <v>35</v>
      </c>
      <c r="D12299" s="12" t="str">
        <f ca="1">IFERROR(__xludf.DUMMYFUNCTION("""COMPUTED_VALUE"""),"老田 純輝")</f>
        <v>老田 純輝</v>
      </c>
    </row>
    <row r="12300" spans="2:4" ht="13">
      <c r="B12300" s="12">
        <f ca="1">IFERROR(__xludf.DUMMYFUNCTION("""COMPUTED_VALUE"""),3901238)</f>
        <v>3901238</v>
      </c>
      <c r="C12300" s="14">
        <f ca="1">IFERROR(__xludf.DUMMYFUNCTION("""COMPUTED_VALUE"""),1)</f>
        <v>1</v>
      </c>
      <c r="D12300" s="12" t="str">
        <f ca="1">IFERROR(__xludf.DUMMYFUNCTION("""COMPUTED_VALUE"""),"菅野 ぎんが")</f>
        <v>菅野 ぎんが</v>
      </c>
    </row>
    <row r="12301" spans="2:4" ht="13">
      <c r="B12301" s="12">
        <f ca="1">IFERROR(__xludf.DUMMYFUNCTION("""COMPUTED_VALUE"""),3901279)</f>
        <v>3901279</v>
      </c>
      <c r="C12301" s="14">
        <f ca="1">IFERROR(__xludf.DUMMYFUNCTION("""COMPUTED_VALUE"""),2)</f>
        <v>2</v>
      </c>
      <c r="D12301" s="12" t="str">
        <f ca="1">IFERROR(__xludf.DUMMYFUNCTION("""COMPUTED_VALUE"""),"老田 純輝")</f>
        <v>老田 純輝</v>
      </c>
    </row>
    <row r="12302" spans="2:4" ht="13">
      <c r="B12302" s="12">
        <f ca="1">IFERROR(__xludf.DUMMYFUNCTION("""COMPUTED_VALUE"""),3901287)</f>
        <v>3901287</v>
      </c>
      <c r="C12302" s="14">
        <f ca="1">IFERROR(__xludf.DUMMYFUNCTION("""COMPUTED_VALUE"""),0)</f>
        <v>0</v>
      </c>
      <c r="D12302" s="12" t="str">
        <f ca="1">IFERROR(__xludf.DUMMYFUNCTION("""COMPUTED_VALUE"""),"小関 麻起")</f>
        <v>小関 麻起</v>
      </c>
    </row>
    <row r="12303" spans="2:4" ht="13">
      <c r="B12303" s="12">
        <f ca="1">IFERROR(__xludf.DUMMYFUNCTION("""COMPUTED_VALUE"""),3901294)</f>
        <v>3901294</v>
      </c>
      <c r="C12303" s="14">
        <f ca="1">IFERROR(__xludf.DUMMYFUNCTION("""COMPUTED_VALUE"""),2)</f>
        <v>2</v>
      </c>
      <c r="D12303" s="12" t="str">
        <f ca="1">IFERROR(__xludf.DUMMYFUNCTION("""COMPUTED_VALUE"""),"老田 純輝")</f>
        <v>老田 純輝</v>
      </c>
    </row>
    <row r="12304" spans="2:4" ht="13">
      <c r="B12304" s="12">
        <f ca="1">IFERROR(__xludf.DUMMYFUNCTION("""COMPUTED_VALUE"""),3901386)</f>
        <v>3901386</v>
      </c>
      <c r="C12304" s="14">
        <f ca="1">IFERROR(__xludf.DUMMYFUNCTION("""COMPUTED_VALUE"""),3)</f>
        <v>3</v>
      </c>
      <c r="D12304" s="12" t="str">
        <f ca="1">IFERROR(__xludf.DUMMYFUNCTION("""COMPUTED_VALUE"""),"川島 幹也")</f>
        <v>川島 幹也</v>
      </c>
    </row>
    <row r="12305" spans="2:4" ht="13">
      <c r="B12305" s="12">
        <f ca="1">IFERROR(__xludf.DUMMYFUNCTION("""COMPUTED_VALUE"""),3901402)</f>
        <v>3901402</v>
      </c>
      <c r="C12305" s="14">
        <f ca="1">IFERROR(__xludf.DUMMYFUNCTION("""COMPUTED_VALUE"""),0)</f>
        <v>0</v>
      </c>
      <c r="D12305" s="12" t="str">
        <f ca="1">IFERROR(__xludf.DUMMYFUNCTION("""COMPUTED_VALUE"""),"内丸 裕子")</f>
        <v>内丸 裕子</v>
      </c>
    </row>
    <row r="12306" spans="2:4" ht="13">
      <c r="B12306" s="12">
        <f ca="1">IFERROR(__xludf.DUMMYFUNCTION("""COMPUTED_VALUE"""),3901429)</f>
        <v>3901429</v>
      </c>
      <c r="C12306" s="14">
        <f ca="1">IFERROR(__xludf.DUMMYFUNCTION("""COMPUTED_VALUE"""),0)</f>
        <v>0</v>
      </c>
      <c r="D12306" s="12" t="str">
        <f ca="1">IFERROR(__xludf.DUMMYFUNCTION("""COMPUTED_VALUE"""),"小関 麻起")</f>
        <v>小関 麻起</v>
      </c>
    </row>
    <row r="12307" spans="2:4" ht="13">
      <c r="B12307" s="12">
        <f ca="1">IFERROR(__xludf.DUMMYFUNCTION("""COMPUTED_VALUE"""),3901448)</f>
        <v>3901448</v>
      </c>
      <c r="C12307" s="14">
        <f ca="1">IFERROR(__xludf.DUMMYFUNCTION("""COMPUTED_VALUE"""),0)</f>
        <v>0</v>
      </c>
      <c r="D12307" s="12" t="str">
        <f ca="1">IFERROR(__xludf.DUMMYFUNCTION("""COMPUTED_VALUE"""),"桑原 明子")</f>
        <v>桑原 明子</v>
      </c>
    </row>
    <row r="12308" spans="2:4" ht="13">
      <c r="B12308" s="12">
        <f ca="1">IFERROR(__xludf.DUMMYFUNCTION("""COMPUTED_VALUE"""),3901484)</f>
        <v>3901484</v>
      </c>
      <c r="C12308" s="14">
        <f ca="1">IFERROR(__xludf.DUMMYFUNCTION("""COMPUTED_VALUE"""),0)</f>
        <v>0</v>
      </c>
      <c r="D12308" s="12" t="str">
        <f ca="1">IFERROR(__xludf.DUMMYFUNCTION("""COMPUTED_VALUE"""),"堀越 駿")</f>
        <v>堀越 駿</v>
      </c>
    </row>
    <row r="12309" spans="2:4" ht="13">
      <c r="B12309" s="12">
        <f ca="1">IFERROR(__xludf.DUMMYFUNCTION("""COMPUTED_VALUE"""),3901511)</f>
        <v>3901511</v>
      </c>
      <c r="C12309" s="14">
        <f ca="1">IFERROR(__xludf.DUMMYFUNCTION("""COMPUTED_VALUE"""),3)</f>
        <v>3</v>
      </c>
      <c r="D12309" s="12" t="str">
        <f ca="1">IFERROR(__xludf.DUMMYFUNCTION("""COMPUTED_VALUE"""),"桑原 明子")</f>
        <v>桑原 明子</v>
      </c>
    </row>
    <row r="12310" spans="2:4" ht="13">
      <c r="B12310" s="12">
        <f ca="1">IFERROR(__xludf.DUMMYFUNCTION("""COMPUTED_VALUE"""),3901589)</f>
        <v>3901589</v>
      </c>
      <c r="C12310" s="14">
        <f ca="1">IFERROR(__xludf.DUMMYFUNCTION("""COMPUTED_VALUE"""),1)</f>
        <v>1</v>
      </c>
      <c r="D12310" s="12" t="str">
        <f ca="1">IFERROR(__xludf.DUMMYFUNCTION("""COMPUTED_VALUE"""),"老田 純輝")</f>
        <v>老田 純輝</v>
      </c>
    </row>
    <row r="12311" spans="2:4" ht="13">
      <c r="B12311" s="12">
        <f ca="1">IFERROR(__xludf.DUMMYFUNCTION("""COMPUTED_VALUE"""),3901590)</f>
        <v>3901590</v>
      </c>
      <c r="C12311" s="14">
        <f ca="1">IFERROR(__xludf.DUMMYFUNCTION("""COMPUTED_VALUE"""),2)</f>
        <v>2</v>
      </c>
      <c r="D12311" s="12" t="str">
        <f ca="1">IFERROR(__xludf.DUMMYFUNCTION("""COMPUTED_VALUE"""),"老田 純輝")</f>
        <v>老田 純輝</v>
      </c>
    </row>
    <row r="12312" spans="2:4" ht="13">
      <c r="B12312" s="12">
        <f ca="1">IFERROR(__xludf.DUMMYFUNCTION("""COMPUTED_VALUE"""),3901802)</f>
        <v>3901802</v>
      </c>
      <c r="C12312" s="14">
        <f ca="1">IFERROR(__xludf.DUMMYFUNCTION("""COMPUTED_VALUE"""),2)</f>
        <v>2</v>
      </c>
      <c r="D12312" s="12" t="str">
        <f ca="1">IFERROR(__xludf.DUMMYFUNCTION("""COMPUTED_VALUE"""),"老田 純輝")</f>
        <v>老田 純輝</v>
      </c>
    </row>
    <row r="12313" spans="2:4" ht="13">
      <c r="B12313" s="12">
        <f ca="1">IFERROR(__xludf.DUMMYFUNCTION("""COMPUTED_VALUE"""),3901813)</f>
        <v>3901813</v>
      </c>
      <c r="C12313" s="14">
        <f ca="1">IFERROR(__xludf.DUMMYFUNCTION("""COMPUTED_VALUE"""),0)</f>
        <v>0</v>
      </c>
      <c r="D12313" s="12" t="str">
        <f ca="1">IFERROR(__xludf.DUMMYFUNCTION("""COMPUTED_VALUE"""),"森 光智")</f>
        <v>森 光智</v>
      </c>
    </row>
    <row r="12314" spans="2:4" ht="13">
      <c r="B12314" s="12">
        <f ca="1">IFERROR(__xludf.DUMMYFUNCTION("""COMPUTED_VALUE"""),3901872)</f>
        <v>3901872</v>
      </c>
      <c r="C12314" s="14">
        <f ca="1">IFERROR(__xludf.DUMMYFUNCTION("""COMPUTED_VALUE"""),1)</f>
        <v>1</v>
      </c>
      <c r="D12314" s="12" t="str">
        <f ca="1">IFERROR(__xludf.DUMMYFUNCTION("""COMPUTED_VALUE"""),"堀越 駿")</f>
        <v>堀越 駿</v>
      </c>
    </row>
    <row r="12315" spans="2:4" ht="13">
      <c r="B12315" s="12">
        <f ca="1">IFERROR(__xludf.DUMMYFUNCTION("""COMPUTED_VALUE"""),3901875)</f>
        <v>3901875</v>
      </c>
      <c r="C12315" s="14">
        <f ca="1">IFERROR(__xludf.DUMMYFUNCTION("""COMPUTED_VALUE"""),0)</f>
        <v>0</v>
      </c>
      <c r="D12315" s="12" t="str">
        <f ca="1">IFERROR(__xludf.DUMMYFUNCTION("""COMPUTED_VALUE"""),"田嶋 将太")</f>
        <v>田嶋 将太</v>
      </c>
    </row>
    <row r="12316" spans="2:4" ht="13">
      <c r="B12316" s="12">
        <f ca="1">IFERROR(__xludf.DUMMYFUNCTION("""COMPUTED_VALUE"""),3901876)</f>
        <v>3901876</v>
      </c>
      <c r="C12316" s="14">
        <f ca="1">IFERROR(__xludf.DUMMYFUNCTION("""COMPUTED_VALUE"""),0)</f>
        <v>0</v>
      </c>
      <c r="D12316" s="12" t="str">
        <f ca="1">IFERROR(__xludf.DUMMYFUNCTION("""COMPUTED_VALUE"""),"堀越 駿")</f>
        <v>堀越 駿</v>
      </c>
    </row>
    <row r="12317" spans="2:4" ht="13">
      <c r="B12317" s="12">
        <f ca="1">IFERROR(__xludf.DUMMYFUNCTION("""COMPUTED_VALUE"""),3901878)</f>
        <v>3901878</v>
      </c>
      <c r="C12317" s="14">
        <f ca="1">IFERROR(__xludf.DUMMYFUNCTION("""COMPUTED_VALUE"""),2)</f>
        <v>2</v>
      </c>
      <c r="D12317" s="12" t="str">
        <f ca="1">IFERROR(__xludf.DUMMYFUNCTION("""COMPUTED_VALUE"""),"堀越 駿")</f>
        <v>堀越 駿</v>
      </c>
    </row>
    <row r="12318" spans="2:4" ht="13">
      <c r="B12318" s="12">
        <f ca="1">IFERROR(__xludf.DUMMYFUNCTION("""COMPUTED_VALUE"""),3902022)</f>
        <v>3902022</v>
      </c>
      <c r="C12318" s="14">
        <f ca="1">IFERROR(__xludf.DUMMYFUNCTION("""COMPUTED_VALUE"""),0)</f>
        <v>0</v>
      </c>
      <c r="D12318" s="12" t="str">
        <f ca="1">IFERROR(__xludf.DUMMYFUNCTION("""COMPUTED_VALUE"""),"長谷川 陸朗")</f>
        <v>長谷川 陸朗</v>
      </c>
    </row>
    <row r="12319" spans="2:4" ht="13">
      <c r="B12319" s="12">
        <f ca="1">IFERROR(__xludf.DUMMYFUNCTION("""COMPUTED_VALUE"""),3902144)</f>
        <v>3902144</v>
      </c>
      <c r="C12319" s="14">
        <f ca="1">IFERROR(__xludf.DUMMYFUNCTION("""COMPUTED_VALUE"""),0)</f>
        <v>0</v>
      </c>
      <c r="D12319" s="12" t="str">
        <f ca="1">IFERROR(__xludf.DUMMYFUNCTION("""COMPUTED_VALUE"""),"桑原 明子")</f>
        <v>桑原 明子</v>
      </c>
    </row>
    <row r="12320" spans="2:4" ht="13">
      <c r="B12320" s="12">
        <f ca="1">IFERROR(__xludf.DUMMYFUNCTION("""COMPUTED_VALUE"""),3902145)</f>
        <v>3902145</v>
      </c>
      <c r="C12320" s="14">
        <f ca="1">IFERROR(__xludf.DUMMYFUNCTION("""COMPUTED_VALUE"""),0)</f>
        <v>0</v>
      </c>
      <c r="D12320" s="12" t="str">
        <f ca="1">IFERROR(__xludf.DUMMYFUNCTION("""COMPUTED_VALUE"""),"村上 浩一朗")</f>
        <v>村上 浩一朗</v>
      </c>
    </row>
    <row r="12321" spans="2:4" ht="13">
      <c r="B12321" s="12">
        <f ca="1">IFERROR(__xludf.DUMMYFUNCTION("""COMPUTED_VALUE"""),3902200)</f>
        <v>3902200</v>
      </c>
      <c r="C12321" s="14">
        <f ca="1">IFERROR(__xludf.DUMMYFUNCTION("""COMPUTED_VALUE"""),0)</f>
        <v>0</v>
      </c>
      <c r="D12321" s="12" t="str">
        <f ca="1">IFERROR(__xludf.DUMMYFUNCTION("""COMPUTED_VALUE"""),"森 光智")</f>
        <v>森 光智</v>
      </c>
    </row>
    <row r="12322" spans="2:4" ht="13">
      <c r="B12322" s="12">
        <f ca="1">IFERROR(__xludf.DUMMYFUNCTION("""COMPUTED_VALUE"""),3902332)</f>
        <v>3902332</v>
      </c>
      <c r="C12322" s="14">
        <f ca="1">IFERROR(__xludf.DUMMYFUNCTION("""COMPUTED_VALUE"""),0)</f>
        <v>0</v>
      </c>
      <c r="D12322" s="12" t="str">
        <f ca="1">IFERROR(__xludf.DUMMYFUNCTION("""COMPUTED_VALUE"""),"長谷川 陸朗")</f>
        <v>長谷川 陸朗</v>
      </c>
    </row>
    <row r="12323" spans="2:4" ht="13">
      <c r="B12323" s="12">
        <f ca="1">IFERROR(__xludf.DUMMYFUNCTION("""COMPUTED_VALUE"""),3902677)</f>
        <v>3902677</v>
      </c>
      <c r="C12323" s="14">
        <f ca="1">IFERROR(__xludf.DUMMYFUNCTION("""COMPUTED_VALUE"""),0)</f>
        <v>0</v>
      </c>
      <c r="D12323" s="12" t="str">
        <f ca="1">IFERROR(__xludf.DUMMYFUNCTION("""COMPUTED_VALUE"""),"奥野 貴大")</f>
        <v>奥野 貴大</v>
      </c>
    </row>
    <row r="12324" spans="2:4" ht="13">
      <c r="B12324" s="12">
        <f ca="1">IFERROR(__xludf.DUMMYFUNCTION("""COMPUTED_VALUE"""),3902755)</f>
        <v>3902755</v>
      </c>
      <c r="C12324" s="14">
        <f ca="1">IFERROR(__xludf.DUMMYFUNCTION("""COMPUTED_VALUE"""),0)</f>
        <v>0</v>
      </c>
      <c r="D12324" s="12" t="str">
        <f ca="1">IFERROR(__xludf.DUMMYFUNCTION("""COMPUTED_VALUE"""),"小関 麻起")</f>
        <v>小関 麻起</v>
      </c>
    </row>
    <row r="12325" spans="2:4" ht="13">
      <c r="B12325" s="12">
        <f ca="1">IFERROR(__xludf.DUMMYFUNCTION("""COMPUTED_VALUE"""),3902840)</f>
        <v>3902840</v>
      </c>
      <c r="C12325" s="14">
        <f ca="1">IFERROR(__xludf.DUMMYFUNCTION("""COMPUTED_VALUE"""),0)</f>
        <v>0</v>
      </c>
      <c r="D12325" s="12" t="str">
        <f ca="1">IFERROR(__xludf.DUMMYFUNCTION("""COMPUTED_VALUE"""),"内丸 裕子")</f>
        <v>内丸 裕子</v>
      </c>
    </row>
    <row r="12326" spans="2:4" ht="13">
      <c r="B12326" s="12">
        <f ca="1">IFERROR(__xludf.DUMMYFUNCTION("""COMPUTED_VALUE"""),3902849)</f>
        <v>3902849</v>
      </c>
      <c r="C12326" s="14">
        <f ca="1">IFERROR(__xludf.DUMMYFUNCTION("""COMPUTED_VALUE"""),0)</f>
        <v>0</v>
      </c>
      <c r="D12326" s="12" t="str">
        <f ca="1">IFERROR(__xludf.DUMMYFUNCTION("""COMPUTED_VALUE"""),"老田 純輝")</f>
        <v>老田 純輝</v>
      </c>
    </row>
    <row r="12327" spans="2:4" ht="13">
      <c r="B12327" s="12">
        <f ca="1">IFERROR(__xludf.DUMMYFUNCTION("""COMPUTED_VALUE"""),3902864)</f>
        <v>3902864</v>
      </c>
      <c r="C12327" s="14">
        <f ca="1">IFERROR(__xludf.DUMMYFUNCTION("""COMPUTED_VALUE"""),1)</f>
        <v>1</v>
      </c>
      <c r="D12327" s="12" t="str">
        <f ca="1">IFERROR(__xludf.DUMMYFUNCTION("""COMPUTED_VALUE"""),"芳賀 亮輔")</f>
        <v>芳賀 亮輔</v>
      </c>
    </row>
    <row r="12328" spans="2:4" ht="13">
      <c r="B12328" s="12">
        <f ca="1">IFERROR(__xludf.DUMMYFUNCTION("""COMPUTED_VALUE"""),3902878)</f>
        <v>3902878</v>
      </c>
      <c r="C12328" s="14">
        <f ca="1">IFERROR(__xludf.DUMMYFUNCTION("""COMPUTED_VALUE"""),0)</f>
        <v>0</v>
      </c>
      <c r="D12328" s="12" t="str">
        <f ca="1">IFERROR(__xludf.DUMMYFUNCTION("""COMPUTED_VALUE"""),"田嶋 将太")</f>
        <v>田嶋 将太</v>
      </c>
    </row>
    <row r="12329" spans="2:4" ht="13">
      <c r="B12329" s="12">
        <f ca="1">IFERROR(__xludf.DUMMYFUNCTION("""COMPUTED_VALUE"""),3902975)</f>
        <v>3902975</v>
      </c>
      <c r="C12329" s="14">
        <f ca="1">IFERROR(__xludf.DUMMYFUNCTION("""COMPUTED_VALUE"""),0)</f>
        <v>0</v>
      </c>
      <c r="D12329" s="12" t="str">
        <f ca="1">IFERROR(__xludf.DUMMYFUNCTION("""COMPUTED_VALUE"""),"堀越 駿")</f>
        <v>堀越 駿</v>
      </c>
    </row>
    <row r="12330" spans="2:4" ht="13">
      <c r="B12330" s="12">
        <f ca="1">IFERROR(__xludf.DUMMYFUNCTION("""COMPUTED_VALUE"""),3902979)</f>
        <v>3902979</v>
      </c>
      <c r="C12330" s="14">
        <f ca="1">IFERROR(__xludf.DUMMYFUNCTION("""COMPUTED_VALUE"""),0)</f>
        <v>0</v>
      </c>
      <c r="D12330" s="12" t="str">
        <f ca="1">IFERROR(__xludf.DUMMYFUNCTION("""COMPUTED_VALUE"""),"川島 幹也")</f>
        <v>川島 幹也</v>
      </c>
    </row>
    <row r="12331" spans="2:4" ht="13">
      <c r="B12331" s="12">
        <f ca="1">IFERROR(__xludf.DUMMYFUNCTION("""COMPUTED_VALUE"""),3902993)</f>
        <v>3902993</v>
      </c>
      <c r="C12331" s="14">
        <f ca="1">IFERROR(__xludf.DUMMYFUNCTION("""COMPUTED_VALUE"""),0)</f>
        <v>0</v>
      </c>
      <c r="D12331" s="12" t="str">
        <f ca="1">IFERROR(__xludf.DUMMYFUNCTION("""COMPUTED_VALUE"""),"老田 純輝")</f>
        <v>老田 純輝</v>
      </c>
    </row>
    <row r="12332" spans="2:4" ht="13">
      <c r="B12332" s="12">
        <f ca="1">IFERROR(__xludf.DUMMYFUNCTION("""COMPUTED_VALUE"""),3902995)</f>
        <v>3902995</v>
      </c>
      <c r="C12332" s="14">
        <f ca="1">IFERROR(__xludf.DUMMYFUNCTION("""COMPUTED_VALUE"""),0)</f>
        <v>0</v>
      </c>
      <c r="D12332" s="12" t="str">
        <f ca="1">IFERROR(__xludf.DUMMYFUNCTION("""COMPUTED_VALUE"""),"桑原 明子")</f>
        <v>桑原 明子</v>
      </c>
    </row>
    <row r="12333" spans="2:4" ht="13">
      <c r="B12333" s="12">
        <f ca="1">IFERROR(__xludf.DUMMYFUNCTION("""COMPUTED_VALUE"""),3903018)</f>
        <v>3903018</v>
      </c>
      <c r="C12333" s="14">
        <f ca="1">IFERROR(__xludf.DUMMYFUNCTION("""COMPUTED_VALUE"""),0)</f>
        <v>0</v>
      </c>
      <c r="D12333" s="12" t="str">
        <f ca="1">IFERROR(__xludf.DUMMYFUNCTION("""COMPUTED_VALUE"""),"堀越 駿")</f>
        <v>堀越 駿</v>
      </c>
    </row>
    <row r="12334" spans="2:4" ht="13">
      <c r="B12334" s="12">
        <f ca="1">IFERROR(__xludf.DUMMYFUNCTION("""COMPUTED_VALUE"""),3903043)</f>
        <v>3903043</v>
      </c>
      <c r="C12334" s="14">
        <f ca="1">IFERROR(__xludf.DUMMYFUNCTION("""COMPUTED_VALUE"""),0)</f>
        <v>0</v>
      </c>
      <c r="D12334" s="12" t="str">
        <f ca="1">IFERROR(__xludf.DUMMYFUNCTION("""COMPUTED_VALUE"""),"田嶋 将太")</f>
        <v>田嶋 将太</v>
      </c>
    </row>
    <row r="12335" spans="2:4" ht="13">
      <c r="B12335" s="12">
        <f ca="1">IFERROR(__xludf.DUMMYFUNCTION("""COMPUTED_VALUE"""),3903053)</f>
        <v>3903053</v>
      </c>
      <c r="C12335" s="14">
        <f ca="1">IFERROR(__xludf.DUMMYFUNCTION("""COMPUTED_VALUE"""),0)</f>
        <v>0</v>
      </c>
      <c r="D12335" s="12" t="str">
        <f ca="1">IFERROR(__xludf.DUMMYFUNCTION("""COMPUTED_VALUE"""),"川島 幹也")</f>
        <v>川島 幹也</v>
      </c>
    </row>
    <row r="12336" spans="2:4" ht="13">
      <c r="B12336" s="12">
        <f ca="1">IFERROR(__xludf.DUMMYFUNCTION("""COMPUTED_VALUE"""),3903054)</f>
        <v>3903054</v>
      </c>
      <c r="C12336" s="14">
        <f ca="1">IFERROR(__xludf.DUMMYFUNCTION("""COMPUTED_VALUE"""),0)</f>
        <v>0</v>
      </c>
      <c r="D12336" s="12" t="str">
        <f ca="1">IFERROR(__xludf.DUMMYFUNCTION("""COMPUTED_VALUE"""),"田嶋 将太")</f>
        <v>田嶋 将太</v>
      </c>
    </row>
    <row r="12337" spans="2:4" ht="13">
      <c r="B12337" s="12">
        <f ca="1">IFERROR(__xludf.DUMMYFUNCTION("""COMPUTED_VALUE"""),3903060)</f>
        <v>3903060</v>
      </c>
      <c r="C12337" s="14">
        <f ca="1">IFERROR(__xludf.DUMMYFUNCTION("""COMPUTED_VALUE"""),0)</f>
        <v>0</v>
      </c>
      <c r="D12337" s="12" t="str">
        <f ca="1">IFERROR(__xludf.DUMMYFUNCTION("""COMPUTED_VALUE"""),"荻曽 克輝")</f>
        <v>荻曽 克輝</v>
      </c>
    </row>
    <row r="12338" spans="2:4" ht="13">
      <c r="B12338" s="12">
        <f ca="1">IFERROR(__xludf.DUMMYFUNCTION("""COMPUTED_VALUE"""),3903061)</f>
        <v>3903061</v>
      </c>
      <c r="C12338" s="14">
        <f ca="1">IFERROR(__xludf.DUMMYFUNCTION("""COMPUTED_VALUE"""),0)</f>
        <v>0</v>
      </c>
      <c r="D12338" s="12" t="str">
        <f ca="1">IFERROR(__xludf.DUMMYFUNCTION("""COMPUTED_VALUE"""),"小川 純")</f>
        <v>小川 純</v>
      </c>
    </row>
    <row r="12339" spans="2:4" ht="13">
      <c r="B12339" s="12">
        <f ca="1">IFERROR(__xludf.DUMMYFUNCTION("""COMPUTED_VALUE"""),3903068)</f>
        <v>3903068</v>
      </c>
      <c r="C12339" s="14">
        <f ca="1">IFERROR(__xludf.DUMMYFUNCTION("""COMPUTED_VALUE"""),0)</f>
        <v>0</v>
      </c>
      <c r="D12339" s="12" t="str">
        <f ca="1">IFERROR(__xludf.DUMMYFUNCTION("""COMPUTED_VALUE"""),"森 光智")</f>
        <v>森 光智</v>
      </c>
    </row>
    <row r="12340" spans="2:4" ht="13">
      <c r="B12340" s="12">
        <f ca="1">IFERROR(__xludf.DUMMYFUNCTION("""COMPUTED_VALUE"""),3903072)</f>
        <v>3903072</v>
      </c>
      <c r="C12340" s="14">
        <f ca="1">IFERROR(__xludf.DUMMYFUNCTION("""COMPUTED_VALUE"""),0)</f>
        <v>0</v>
      </c>
      <c r="D12340" s="12" t="str">
        <f ca="1">IFERROR(__xludf.DUMMYFUNCTION("""COMPUTED_VALUE"""),"荻曽 克輝")</f>
        <v>荻曽 克輝</v>
      </c>
    </row>
    <row r="12341" spans="2:4" ht="13">
      <c r="B12341" s="12">
        <f ca="1">IFERROR(__xludf.DUMMYFUNCTION("""COMPUTED_VALUE"""),3903082)</f>
        <v>3903082</v>
      </c>
      <c r="C12341" s="14">
        <f ca="1">IFERROR(__xludf.DUMMYFUNCTION("""COMPUTED_VALUE"""),0)</f>
        <v>0</v>
      </c>
      <c r="D12341" s="12" t="str">
        <f ca="1">IFERROR(__xludf.DUMMYFUNCTION("""COMPUTED_VALUE"""),"荻曽 克輝")</f>
        <v>荻曽 克輝</v>
      </c>
    </row>
    <row r="12342" spans="2:4" ht="13">
      <c r="B12342" s="12">
        <f ca="1">IFERROR(__xludf.DUMMYFUNCTION("""COMPUTED_VALUE"""),3903084)</f>
        <v>3903084</v>
      </c>
      <c r="C12342" s="14">
        <f ca="1">IFERROR(__xludf.DUMMYFUNCTION("""COMPUTED_VALUE"""),0)</f>
        <v>0</v>
      </c>
      <c r="D12342" s="12" t="str">
        <f ca="1">IFERROR(__xludf.DUMMYFUNCTION("""COMPUTED_VALUE"""),"稲場 勇介")</f>
        <v>稲場 勇介</v>
      </c>
    </row>
    <row r="12343" spans="2:4" ht="13">
      <c r="B12343" s="12">
        <f ca="1">IFERROR(__xludf.DUMMYFUNCTION("""COMPUTED_VALUE"""),3903093)</f>
        <v>3903093</v>
      </c>
      <c r="C12343" s="14">
        <f ca="1">IFERROR(__xludf.DUMMYFUNCTION("""COMPUTED_VALUE"""),2)</f>
        <v>2</v>
      </c>
      <c r="D12343" s="12" t="str">
        <f ca="1">IFERROR(__xludf.DUMMYFUNCTION("""COMPUTED_VALUE"""),"堀越 駿")</f>
        <v>堀越 駿</v>
      </c>
    </row>
    <row r="12344" spans="2:4" ht="13">
      <c r="B12344" s="12">
        <f ca="1">IFERROR(__xludf.DUMMYFUNCTION("""COMPUTED_VALUE"""),3903096)</f>
        <v>3903096</v>
      </c>
      <c r="C12344" s="14">
        <f ca="1">IFERROR(__xludf.DUMMYFUNCTION("""COMPUTED_VALUE"""),0)</f>
        <v>0</v>
      </c>
      <c r="D12344" s="12" t="str">
        <f ca="1">IFERROR(__xludf.DUMMYFUNCTION("""COMPUTED_VALUE"""),"菅野 ぎんが")</f>
        <v>菅野 ぎんが</v>
      </c>
    </row>
    <row r="12345" spans="2:4" ht="13">
      <c r="B12345" s="12">
        <f ca="1">IFERROR(__xludf.DUMMYFUNCTION("""COMPUTED_VALUE"""),3903097)</f>
        <v>3903097</v>
      </c>
      <c r="C12345" s="14">
        <f ca="1">IFERROR(__xludf.DUMMYFUNCTION("""COMPUTED_VALUE"""),0)</f>
        <v>0</v>
      </c>
      <c r="D12345" s="12" t="str">
        <f ca="1">IFERROR(__xludf.DUMMYFUNCTION("""COMPUTED_VALUE"""),"辻村 将大")</f>
        <v>辻村 将大</v>
      </c>
    </row>
    <row r="12346" spans="2:4" ht="13">
      <c r="B12346" s="12">
        <f ca="1">IFERROR(__xludf.DUMMYFUNCTION("""COMPUTED_VALUE"""),3903109)</f>
        <v>3903109</v>
      </c>
      <c r="C12346" s="14">
        <f ca="1">IFERROR(__xludf.DUMMYFUNCTION("""COMPUTED_VALUE"""),0)</f>
        <v>0</v>
      </c>
      <c r="D12346" s="12" t="str">
        <f ca="1">IFERROR(__xludf.DUMMYFUNCTION("""COMPUTED_VALUE"""),"松尾 尚樹")</f>
        <v>松尾 尚樹</v>
      </c>
    </row>
    <row r="12347" spans="2:4" ht="13">
      <c r="B12347" s="12">
        <f ca="1">IFERROR(__xludf.DUMMYFUNCTION("""COMPUTED_VALUE"""),3903110)</f>
        <v>3903110</v>
      </c>
      <c r="C12347" s="14">
        <f ca="1">IFERROR(__xludf.DUMMYFUNCTION("""COMPUTED_VALUE"""),0)</f>
        <v>0</v>
      </c>
      <c r="D12347" s="12" t="str">
        <f ca="1">IFERROR(__xludf.DUMMYFUNCTION("""COMPUTED_VALUE"""),"小川 純")</f>
        <v>小川 純</v>
      </c>
    </row>
    <row r="12348" spans="2:4" ht="13">
      <c r="B12348" s="12">
        <f ca="1">IFERROR(__xludf.DUMMYFUNCTION("""COMPUTED_VALUE"""),3903121)</f>
        <v>3903121</v>
      </c>
      <c r="C12348" s="14">
        <f ca="1">IFERROR(__xludf.DUMMYFUNCTION("""COMPUTED_VALUE"""),0)</f>
        <v>0</v>
      </c>
      <c r="D12348" s="12" t="str">
        <f ca="1">IFERROR(__xludf.DUMMYFUNCTION("""COMPUTED_VALUE"""),"栗原 大武")</f>
        <v>栗原 大武</v>
      </c>
    </row>
    <row r="12349" spans="2:4" ht="13">
      <c r="B12349" s="12">
        <f ca="1">IFERROR(__xludf.DUMMYFUNCTION("""COMPUTED_VALUE"""),3903129)</f>
        <v>3903129</v>
      </c>
      <c r="C12349" s="14">
        <f ca="1">IFERROR(__xludf.DUMMYFUNCTION("""COMPUTED_VALUE"""),0)</f>
        <v>0</v>
      </c>
      <c r="D12349" s="12" t="str">
        <f ca="1">IFERROR(__xludf.DUMMYFUNCTION("""COMPUTED_VALUE"""),"小関 麻起")</f>
        <v>小関 麻起</v>
      </c>
    </row>
    <row r="12350" spans="2:4" ht="13">
      <c r="B12350" s="12">
        <f ca="1">IFERROR(__xludf.DUMMYFUNCTION("""COMPUTED_VALUE"""),3903130)</f>
        <v>3903130</v>
      </c>
      <c r="C12350" s="14">
        <f ca="1">IFERROR(__xludf.DUMMYFUNCTION("""COMPUTED_VALUE"""),0)</f>
        <v>0</v>
      </c>
      <c r="D12350" s="12" t="str">
        <f ca="1">IFERROR(__xludf.DUMMYFUNCTION("""COMPUTED_VALUE"""),"堀越 駿")</f>
        <v>堀越 駿</v>
      </c>
    </row>
    <row r="12351" spans="2:4" ht="13">
      <c r="B12351" s="12">
        <f ca="1">IFERROR(__xludf.DUMMYFUNCTION("""COMPUTED_VALUE"""),3903132)</f>
        <v>3903132</v>
      </c>
      <c r="C12351" s="14">
        <f ca="1">IFERROR(__xludf.DUMMYFUNCTION("""COMPUTED_VALUE"""),0)</f>
        <v>0</v>
      </c>
      <c r="D12351" s="12" t="str">
        <f ca="1">IFERROR(__xludf.DUMMYFUNCTION("""COMPUTED_VALUE"""),"荻曽 克輝")</f>
        <v>荻曽 克輝</v>
      </c>
    </row>
    <row r="12352" spans="2:4" ht="13">
      <c r="B12352" s="12">
        <f ca="1">IFERROR(__xludf.DUMMYFUNCTION("""COMPUTED_VALUE"""),3903136)</f>
        <v>3903136</v>
      </c>
      <c r="C12352" s="14">
        <f ca="1">IFERROR(__xludf.DUMMYFUNCTION("""COMPUTED_VALUE"""),0)</f>
        <v>0</v>
      </c>
      <c r="D12352" s="12" t="str">
        <f ca="1">IFERROR(__xludf.DUMMYFUNCTION("""COMPUTED_VALUE"""),"成嶋 夏未")</f>
        <v>成嶋 夏未</v>
      </c>
    </row>
    <row r="12353" spans="2:4" ht="13">
      <c r="B12353" s="12">
        <f ca="1">IFERROR(__xludf.DUMMYFUNCTION("""COMPUTED_VALUE"""),3903137)</f>
        <v>3903137</v>
      </c>
      <c r="C12353" s="14">
        <f ca="1">IFERROR(__xludf.DUMMYFUNCTION("""COMPUTED_VALUE"""),0)</f>
        <v>0</v>
      </c>
      <c r="D12353" s="12" t="str">
        <f ca="1">IFERROR(__xludf.DUMMYFUNCTION("""COMPUTED_VALUE"""),"小関 麻起")</f>
        <v>小関 麻起</v>
      </c>
    </row>
    <row r="12354" spans="2:4" ht="13">
      <c r="B12354" s="12">
        <f ca="1">IFERROR(__xludf.DUMMYFUNCTION("""COMPUTED_VALUE"""),3903148)</f>
        <v>3903148</v>
      </c>
      <c r="C12354" s="14">
        <f ca="1">IFERROR(__xludf.DUMMYFUNCTION("""COMPUTED_VALUE"""),0)</f>
        <v>0</v>
      </c>
      <c r="D12354" s="12" t="str">
        <f ca="1">IFERROR(__xludf.DUMMYFUNCTION("""COMPUTED_VALUE"""),"成嶋 夏未")</f>
        <v>成嶋 夏未</v>
      </c>
    </row>
    <row r="12355" spans="2:4" ht="13">
      <c r="B12355" s="12">
        <f ca="1">IFERROR(__xludf.DUMMYFUNCTION("""COMPUTED_VALUE"""),3903161)</f>
        <v>3903161</v>
      </c>
      <c r="C12355" s="14">
        <f ca="1">IFERROR(__xludf.DUMMYFUNCTION("""COMPUTED_VALUE"""),2)</f>
        <v>2</v>
      </c>
      <c r="D12355" s="12" t="str">
        <f ca="1">IFERROR(__xludf.DUMMYFUNCTION("""COMPUTED_VALUE"""),"老田 純輝")</f>
        <v>老田 純輝</v>
      </c>
    </row>
    <row r="12356" spans="2:4" ht="13">
      <c r="B12356" s="12">
        <f ca="1">IFERROR(__xludf.DUMMYFUNCTION("""COMPUTED_VALUE"""),3903172)</f>
        <v>3903172</v>
      </c>
      <c r="C12356" s="14">
        <f ca="1">IFERROR(__xludf.DUMMYFUNCTION("""COMPUTED_VALUE"""),0)</f>
        <v>0</v>
      </c>
      <c r="D12356" s="12" t="str">
        <f ca="1">IFERROR(__xludf.DUMMYFUNCTION("""COMPUTED_VALUE"""),"松尾 尚樹")</f>
        <v>松尾 尚樹</v>
      </c>
    </row>
    <row r="12357" spans="2:4" ht="13">
      <c r="B12357" s="12">
        <f ca="1">IFERROR(__xludf.DUMMYFUNCTION("""COMPUTED_VALUE"""),3903173)</f>
        <v>3903173</v>
      </c>
      <c r="C12357" s="14">
        <f ca="1">IFERROR(__xludf.DUMMYFUNCTION("""COMPUTED_VALUE"""),0)</f>
        <v>0</v>
      </c>
      <c r="D12357" s="12" t="str">
        <f ca="1">IFERROR(__xludf.DUMMYFUNCTION("""COMPUTED_VALUE"""),"長谷川 陸朗")</f>
        <v>長谷川 陸朗</v>
      </c>
    </row>
    <row r="12358" spans="2:4" ht="13">
      <c r="B12358" s="12">
        <f ca="1">IFERROR(__xludf.DUMMYFUNCTION("""COMPUTED_VALUE"""),3903187)</f>
        <v>3903187</v>
      </c>
      <c r="C12358" s="14">
        <f ca="1">IFERROR(__xludf.DUMMYFUNCTION("""COMPUTED_VALUE"""),0)</f>
        <v>0</v>
      </c>
      <c r="D12358" s="12" t="str">
        <f ca="1">IFERROR(__xludf.DUMMYFUNCTION("""COMPUTED_VALUE"""),"老田 純輝")</f>
        <v>老田 純輝</v>
      </c>
    </row>
    <row r="12359" spans="2:4" ht="13">
      <c r="B12359" s="12">
        <f ca="1">IFERROR(__xludf.DUMMYFUNCTION("""COMPUTED_VALUE"""),3903193)</f>
        <v>3903193</v>
      </c>
      <c r="C12359" s="14">
        <f ca="1">IFERROR(__xludf.DUMMYFUNCTION("""COMPUTED_VALUE"""),0)</f>
        <v>0</v>
      </c>
      <c r="D12359" s="12" t="str">
        <f ca="1">IFERROR(__xludf.DUMMYFUNCTION("""COMPUTED_VALUE"""),"松尾 尚樹")</f>
        <v>松尾 尚樹</v>
      </c>
    </row>
    <row r="12360" spans="2:4" ht="13">
      <c r="B12360" s="12">
        <f ca="1">IFERROR(__xludf.DUMMYFUNCTION("""COMPUTED_VALUE"""),3903194)</f>
        <v>3903194</v>
      </c>
      <c r="C12360" s="14">
        <f ca="1">IFERROR(__xludf.DUMMYFUNCTION("""COMPUTED_VALUE"""),0)</f>
        <v>0</v>
      </c>
      <c r="D12360" s="12" t="str">
        <f ca="1">IFERROR(__xludf.DUMMYFUNCTION("""COMPUTED_VALUE"""),"稲場 勇介")</f>
        <v>稲場 勇介</v>
      </c>
    </row>
    <row r="12361" spans="2:4" ht="13">
      <c r="B12361" s="12">
        <f ca="1">IFERROR(__xludf.DUMMYFUNCTION("""COMPUTED_VALUE"""),3903200)</f>
        <v>3903200</v>
      </c>
      <c r="C12361" s="14">
        <f ca="1">IFERROR(__xludf.DUMMYFUNCTION("""COMPUTED_VALUE"""),0)</f>
        <v>0</v>
      </c>
      <c r="D12361" s="12" t="str">
        <f ca="1">IFERROR(__xludf.DUMMYFUNCTION("""COMPUTED_VALUE"""),"稲場 勇介")</f>
        <v>稲場 勇介</v>
      </c>
    </row>
    <row r="12362" spans="2:4" ht="13">
      <c r="B12362" s="12">
        <f ca="1">IFERROR(__xludf.DUMMYFUNCTION("""COMPUTED_VALUE"""),3903201)</f>
        <v>3903201</v>
      </c>
      <c r="C12362" s="14">
        <f ca="1">IFERROR(__xludf.DUMMYFUNCTION("""COMPUTED_VALUE"""),0)</f>
        <v>0</v>
      </c>
      <c r="D12362" s="12" t="str">
        <f ca="1">IFERROR(__xludf.DUMMYFUNCTION("""COMPUTED_VALUE"""),"老田 純輝")</f>
        <v>老田 純輝</v>
      </c>
    </row>
    <row r="12363" spans="2:4" ht="13">
      <c r="B12363" s="12">
        <f ca="1">IFERROR(__xludf.DUMMYFUNCTION("""COMPUTED_VALUE"""),3903205)</f>
        <v>3903205</v>
      </c>
      <c r="C12363" s="14">
        <f ca="1">IFERROR(__xludf.DUMMYFUNCTION("""COMPUTED_VALUE"""),2)</f>
        <v>2</v>
      </c>
      <c r="D12363" s="12" t="str">
        <f ca="1">IFERROR(__xludf.DUMMYFUNCTION("""COMPUTED_VALUE"""),"菅野 ぎんが")</f>
        <v>菅野 ぎんが</v>
      </c>
    </row>
    <row r="12364" spans="2:4" ht="13">
      <c r="B12364" s="12">
        <f ca="1">IFERROR(__xludf.DUMMYFUNCTION("""COMPUTED_VALUE"""),3903210)</f>
        <v>3903210</v>
      </c>
      <c r="C12364" s="14">
        <f ca="1">IFERROR(__xludf.DUMMYFUNCTION("""COMPUTED_VALUE"""),1)</f>
        <v>1</v>
      </c>
      <c r="D12364" s="12" t="str">
        <f ca="1">IFERROR(__xludf.DUMMYFUNCTION("""COMPUTED_VALUE"""),"成嶋 夏未")</f>
        <v>成嶋 夏未</v>
      </c>
    </row>
    <row r="12365" spans="2:4" ht="13">
      <c r="B12365" s="12">
        <f ca="1">IFERROR(__xludf.DUMMYFUNCTION("""COMPUTED_VALUE"""),3903215)</f>
        <v>3903215</v>
      </c>
      <c r="C12365" s="14">
        <f ca="1">IFERROR(__xludf.DUMMYFUNCTION("""COMPUTED_VALUE"""),0)</f>
        <v>0</v>
      </c>
      <c r="D12365" s="12" t="str">
        <f ca="1">IFERROR(__xludf.DUMMYFUNCTION("""COMPUTED_VALUE"""),"稲場 勇介")</f>
        <v>稲場 勇介</v>
      </c>
    </row>
    <row r="12366" spans="2:4" ht="13">
      <c r="B12366" s="12">
        <f ca="1">IFERROR(__xludf.DUMMYFUNCTION("""COMPUTED_VALUE"""),3903216)</f>
        <v>3903216</v>
      </c>
      <c r="C12366" s="14">
        <f ca="1">IFERROR(__xludf.DUMMYFUNCTION("""COMPUTED_VALUE"""),0)</f>
        <v>0</v>
      </c>
      <c r="D12366" s="12" t="str">
        <f ca="1">IFERROR(__xludf.DUMMYFUNCTION("""COMPUTED_VALUE"""),"成嶋 夏未")</f>
        <v>成嶋 夏未</v>
      </c>
    </row>
    <row r="12367" spans="2:4" ht="13">
      <c r="B12367" s="12">
        <f ca="1">IFERROR(__xludf.DUMMYFUNCTION("""COMPUTED_VALUE"""),3903224)</f>
        <v>3903224</v>
      </c>
      <c r="C12367" s="14">
        <f ca="1">IFERROR(__xludf.DUMMYFUNCTION("""COMPUTED_VALUE"""),0)</f>
        <v>0</v>
      </c>
      <c r="D12367" s="12" t="str">
        <f ca="1">IFERROR(__xludf.DUMMYFUNCTION("""COMPUTED_VALUE"""),"松尾 尚樹")</f>
        <v>松尾 尚樹</v>
      </c>
    </row>
    <row r="12368" spans="2:4" ht="13">
      <c r="B12368" s="12">
        <f ca="1">IFERROR(__xludf.DUMMYFUNCTION("""COMPUTED_VALUE"""),3903234)</f>
        <v>3903234</v>
      </c>
      <c r="C12368" s="14">
        <f ca="1">IFERROR(__xludf.DUMMYFUNCTION("""COMPUTED_VALUE"""),0)</f>
        <v>0</v>
      </c>
      <c r="D12368" s="12" t="str">
        <f ca="1">IFERROR(__xludf.DUMMYFUNCTION("""COMPUTED_VALUE"""),"長谷川 陸朗")</f>
        <v>長谷川 陸朗</v>
      </c>
    </row>
    <row r="12369" spans="2:4" ht="13">
      <c r="B12369" s="12">
        <f ca="1">IFERROR(__xludf.DUMMYFUNCTION("""COMPUTED_VALUE"""),3903259)</f>
        <v>3903259</v>
      </c>
      <c r="C12369" s="14">
        <f ca="1">IFERROR(__xludf.DUMMYFUNCTION("""COMPUTED_VALUE"""),0)</f>
        <v>0</v>
      </c>
      <c r="D12369" s="12" t="str">
        <f ca="1">IFERROR(__xludf.DUMMYFUNCTION("""COMPUTED_VALUE"""),"荻曽 克輝")</f>
        <v>荻曽 克輝</v>
      </c>
    </row>
    <row r="12370" spans="2:4" ht="13">
      <c r="B12370" s="12">
        <f ca="1">IFERROR(__xludf.DUMMYFUNCTION("""COMPUTED_VALUE"""),3903267)</f>
        <v>3903267</v>
      </c>
      <c r="C12370" s="14">
        <f ca="1">IFERROR(__xludf.DUMMYFUNCTION("""COMPUTED_VALUE"""),0)</f>
        <v>0</v>
      </c>
      <c r="D12370" s="12" t="str">
        <f ca="1">IFERROR(__xludf.DUMMYFUNCTION("""COMPUTED_VALUE"""),"小関 麻起")</f>
        <v>小関 麻起</v>
      </c>
    </row>
    <row r="12371" spans="2:4" ht="13">
      <c r="B12371" s="12">
        <f ca="1">IFERROR(__xludf.DUMMYFUNCTION("""COMPUTED_VALUE"""),3903274)</f>
        <v>3903274</v>
      </c>
      <c r="C12371" s="14">
        <f ca="1">IFERROR(__xludf.DUMMYFUNCTION("""COMPUTED_VALUE"""),0)</f>
        <v>0</v>
      </c>
      <c r="D12371" s="12" t="str">
        <f ca="1">IFERROR(__xludf.DUMMYFUNCTION("""COMPUTED_VALUE"""),"川島 幹也")</f>
        <v>川島 幹也</v>
      </c>
    </row>
    <row r="12372" spans="2:4" ht="13">
      <c r="B12372" s="12">
        <f ca="1">IFERROR(__xludf.DUMMYFUNCTION("""COMPUTED_VALUE"""),3903302)</f>
        <v>3903302</v>
      </c>
      <c r="C12372" s="14">
        <f ca="1">IFERROR(__xludf.DUMMYFUNCTION("""COMPUTED_VALUE"""),0)</f>
        <v>0</v>
      </c>
      <c r="D12372" s="12" t="str">
        <f ca="1">IFERROR(__xludf.DUMMYFUNCTION("""COMPUTED_VALUE"""),"老田 純輝")</f>
        <v>老田 純輝</v>
      </c>
    </row>
    <row r="12373" spans="2:4" ht="13">
      <c r="B12373" s="12">
        <f ca="1">IFERROR(__xludf.DUMMYFUNCTION("""COMPUTED_VALUE"""),3903311)</f>
        <v>3903311</v>
      </c>
      <c r="C12373" s="14">
        <f ca="1">IFERROR(__xludf.DUMMYFUNCTION("""COMPUTED_VALUE"""),0)</f>
        <v>0</v>
      </c>
      <c r="D12373" s="12" t="str">
        <f ca="1">IFERROR(__xludf.DUMMYFUNCTION("""COMPUTED_VALUE"""),"小関 麻起")</f>
        <v>小関 麻起</v>
      </c>
    </row>
    <row r="12374" spans="2:4" ht="13">
      <c r="B12374" s="12">
        <f ca="1">IFERROR(__xludf.DUMMYFUNCTION("""COMPUTED_VALUE"""),3903326)</f>
        <v>3903326</v>
      </c>
      <c r="C12374" s="14">
        <f ca="1">IFERROR(__xludf.DUMMYFUNCTION("""COMPUTED_VALUE"""),0)</f>
        <v>0</v>
      </c>
      <c r="D12374" s="12" t="str">
        <f ca="1">IFERROR(__xludf.DUMMYFUNCTION("""COMPUTED_VALUE"""),"芳賀 亮輔")</f>
        <v>芳賀 亮輔</v>
      </c>
    </row>
    <row r="12375" spans="2:4" ht="13">
      <c r="B12375" s="12">
        <f ca="1">IFERROR(__xludf.DUMMYFUNCTION("""COMPUTED_VALUE"""),3903329)</f>
        <v>3903329</v>
      </c>
      <c r="C12375" s="14">
        <f ca="1">IFERROR(__xludf.DUMMYFUNCTION("""COMPUTED_VALUE"""),0)</f>
        <v>0</v>
      </c>
      <c r="D12375" s="12" t="str">
        <f ca="1">IFERROR(__xludf.DUMMYFUNCTION("""COMPUTED_VALUE"""),"菅野 ぎんが")</f>
        <v>菅野 ぎんが</v>
      </c>
    </row>
    <row r="12376" spans="2:4" ht="13">
      <c r="B12376" s="12">
        <f ca="1">IFERROR(__xludf.DUMMYFUNCTION("""COMPUTED_VALUE"""),3903336)</f>
        <v>3903336</v>
      </c>
      <c r="C12376" s="14">
        <f ca="1">IFERROR(__xludf.DUMMYFUNCTION("""COMPUTED_VALUE"""),0)</f>
        <v>0</v>
      </c>
      <c r="D12376" s="12" t="str">
        <f ca="1">IFERROR(__xludf.DUMMYFUNCTION("""COMPUTED_VALUE"""),"桐山 勝気")</f>
        <v>桐山 勝気</v>
      </c>
    </row>
    <row r="12377" spans="2:4" ht="13">
      <c r="B12377" s="12">
        <f ca="1">IFERROR(__xludf.DUMMYFUNCTION("""COMPUTED_VALUE"""),3903337)</f>
        <v>3903337</v>
      </c>
      <c r="C12377" s="14">
        <f ca="1">IFERROR(__xludf.DUMMYFUNCTION("""COMPUTED_VALUE"""),0)</f>
        <v>0</v>
      </c>
      <c r="D12377" s="12" t="str">
        <f ca="1">IFERROR(__xludf.DUMMYFUNCTION("""COMPUTED_VALUE"""),"桐山 勝気")</f>
        <v>桐山 勝気</v>
      </c>
    </row>
    <row r="12378" spans="2:4" ht="13">
      <c r="B12378" s="12">
        <f ca="1">IFERROR(__xludf.DUMMYFUNCTION("""COMPUTED_VALUE"""),3903338)</f>
        <v>3903338</v>
      </c>
      <c r="C12378" s="14">
        <f ca="1">IFERROR(__xludf.DUMMYFUNCTION("""COMPUTED_VALUE"""),0)</f>
        <v>0</v>
      </c>
      <c r="D12378" s="12" t="str">
        <f ca="1">IFERROR(__xludf.DUMMYFUNCTION("""COMPUTED_VALUE"""),"荻曽 克輝")</f>
        <v>荻曽 克輝</v>
      </c>
    </row>
    <row r="12379" spans="2:4" ht="13">
      <c r="B12379" s="12">
        <f ca="1">IFERROR(__xludf.DUMMYFUNCTION("""COMPUTED_VALUE"""),3903341)</f>
        <v>3903341</v>
      </c>
      <c r="C12379" s="14">
        <f ca="1">IFERROR(__xludf.DUMMYFUNCTION("""COMPUTED_VALUE"""),0)</f>
        <v>0</v>
      </c>
      <c r="D12379" s="12" t="str">
        <f ca="1">IFERROR(__xludf.DUMMYFUNCTION("""COMPUTED_VALUE"""),"長谷川 陸朗")</f>
        <v>長谷川 陸朗</v>
      </c>
    </row>
    <row r="12380" spans="2:4" ht="13">
      <c r="B12380" s="12">
        <f ca="1">IFERROR(__xludf.DUMMYFUNCTION("""COMPUTED_VALUE"""),3903342)</f>
        <v>3903342</v>
      </c>
      <c r="C12380" s="14">
        <f ca="1">IFERROR(__xludf.DUMMYFUNCTION("""COMPUTED_VALUE"""),0)</f>
        <v>0</v>
      </c>
      <c r="D12380" s="12" t="str">
        <f ca="1">IFERROR(__xludf.DUMMYFUNCTION("""COMPUTED_VALUE"""),"堀越 駿")</f>
        <v>堀越 駿</v>
      </c>
    </row>
    <row r="12381" spans="2:4" ht="13">
      <c r="B12381" s="12">
        <f ca="1">IFERROR(__xludf.DUMMYFUNCTION("""COMPUTED_VALUE"""),3903351)</f>
        <v>3903351</v>
      </c>
      <c r="C12381" s="14">
        <f ca="1">IFERROR(__xludf.DUMMYFUNCTION("""COMPUTED_VALUE"""),0)</f>
        <v>0</v>
      </c>
      <c r="D12381" s="12" t="str">
        <f ca="1">IFERROR(__xludf.DUMMYFUNCTION("""COMPUTED_VALUE"""),"長谷川 陸朗")</f>
        <v>長谷川 陸朗</v>
      </c>
    </row>
    <row r="12382" spans="2:4" ht="13">
      <c r="B12382" s="12">
        <f ca="1">IFERROR(__xludf.DUMMYFUNCTION("""COMPUTED_VALUE"""),3903355)</f>
        <v>3903355</v>
      </c>
      <c r="C12382" s="14">
        <f ca="1">IFERROR(__xludf.DUMMYFUNCTION("""COMPUTED_VALUE"""),1)</f>
        <v>1</v>
      </c>
      <c r="D12382" s="12" t="str">
        <f ca="1">IFERROR(__xludf.DUMMYFUNCTION("""COMPUTED_VALUE"""),"松尾 尚樹")</f>
        <v>松尾 尚樹</v>
      </c>
    </row>
    <row r="12383" spans="2:4" ht="13">
      <c r="B12383" s="12">
        <f ca="1">IFERROR(__xludf.DUMMYFUNCTION("""COMPUTED_VALUE"""),3903364)</f>
        <v>3903364</v>
      </c>
      <c r="C12383" s="14">
        <f ca="1">IFERROR(__xludf.DUMMYFUNCTION("""COMPUTED_VALUE"""),0)</f>
        <v>0</v>
      </c>
      <c r="D12383" s="12" t="str">
        <f ca="1">IFERROR(__xludf.DUMMYFUNCTION("""COMPUTED_VALUE"""),"荻曽 克輝")</f>
        <v>荻曽 克輝</v>
      </c>
    </row>
    <row r="12384" spans="2:4" ht="13">
      <c r="B12384" s="12">
        <f ca="1">IFERROR(__xludf.DUMMYFUNCTION("""COMPUTED_VALUE"""),3903367)</f>
        <v>3903367</v>
      </c>
      <c r="C12384" s="14">
        <f ca="1">IFERROR(__xludf.DUMMYFUNCTION("""COMPUTED_VALUE"""),0)</f>
        <v>0</v>
      </c>
      <c r="D12384" s="12" t="str">
        <f ca="1">IFERROR(__xludf.DUMMYFUNCTION("""COMPUTED_VALUE"""),"菅野 ぎんが")</f>
        <v>菅野 ぎんが</v>
      </c>
    </row>
    <row r="12385" spans="2:4" ht="13">
      <c r="B12385" s="12">
        <f ca="1">IFERROR(__xludf.DUMMYFUNCTION("""COMPUTED_VALUE"""),3903373)</f>
        <v>3903373</v>
      </c>
      <c r="C12385" s="14">
        <f ca="1">IFERROR(__xludf.DUMMYFUNCTION("""COMPUTED_VALUE"""),0)</f>
        <v>0</v>
      </c>
      <c r="D12385" s="12" t="str">
        <f ca="1">IFERROR(__xludf.DUMMYFUNCTION("""COMPUTED_VALUE"""),"小川 純")</f>
        <v>小川 純</v>
      </c>
    </row>
    <row r="12386" spans="2:4" ht="13">
      <c r="B12386" s="12">
        <f ca="1">IFERROR(__xludf.DUMMYFUNCTION("""COMPUTED_VALUE"""),3903376)</f>
        <v>3903376</v>
      </c>
      <c r="C12386" s="14">
        <f ca="1">IFERROR(__xludf.DUMMYFUNCTION("""COMPUTED_VALUE"""),0)</f>
        <v>0</v>
      </c>
      <c r="D12386" s="12" t="str">
        <f ca="1">IFERROR(__xludf.DUMMYFUNCTION("""COMPUTED_VALUE"""),"松尾 尚樹")</f>
        <v>松尾 尚樹</v>
      </c>
    </row>
    <row r="12387" spans="2:4" ht="13">
      <c r="B12387" s="12">
        <f ca="1">IFERROR(__xludf.DUMMYFUNCTION("""COMPUTED_VALUE"""),3903377)</f>
        <v>3903377</v>
      </c>
      <c r="C12387" s="14">
        <f ca="1">IFERROR(__xludf.DUMMYFUNCTION("""COMPUTED_VALUE"""),1)</f>
        <v>1</v>
      </c>
      <c r="D12387" s="12" t="str">
        <f ca="1">IFERROR(__xludf.DUMMYFUNCTION("""COMPUTED_VALUE"""),"芳賀 亮輔")</f>
        <v>芳賀 亮輔</v>
      </c>
    </row>
    <row r="12388" spans="2:4" ht="13">
      <c r="B12388" s="12">
        <f ca="1">IFERROR(__xludf.DUMMYFUNCTION("""COMPUTED_VALUE"""),3903384)</f>
        <v>3903384</v>
      </c>
      <c r="C12388" s="14">
        <f ca="1">IFERROR(__xludf.DUMMYFUNCTION("""COMPUTED_VALUE"""),0)</f>
        <v>0</v>
      </c>
      <c r="D12388" s="12" t="str">
        <f ca="1">IFERROR(__xludf.DUMMYFUNCTION("""COMPUTED_VALUE"""),"小関 麻起")</f>
        <v>小関 麻起</v>
      </c>
    </row>
    <row r="12389" spans="2:4" ht="13">
      <c r="B12389" s="12">
        <f ca="1">IFERROR(__xludf.DUMMYFUNCTION("""COMPUTED_VALUE"""),3903386)</f>
        <v>3903386</v>
      </c>
      <c r="C12389" s="14">
        <f ca="1">IFERROR(__xludf.DUMMYFUNCTION("""COMPUTED_VALUE"""),0)</f>
        <v>0</v>
      </c>
      <c r="D12389" s="12" t="str">
        <f ca="1">IFERROR(__xludf.DUMMYFUNCTION("""COMPUTED_VALUE"""),"成嶋 夏未")</f>
        <v>成嶋 夏未</v>
      </c>
    </row>
    <row r="12390" spans="2:4" ht="13">
      <c r="B12390" s="12">
        <f ca="1">IFERROR(__xludf.DUMMYFUNCTION("""COMPUTED_VALUE"""),3903395)</f>
        <v>3903395</v>
      </c>
      <c r="C12390" s="14">
        <f ca="1">IFERROR(__xludf.DUMMYFUNCTION("""COMPUTED_VALUE"""),5)</f>
        <v>5</v>
      </c>
      <c r="D12390" s="12" t="str">
        <f ca="1">IFERROR(__xludf.DUMMYFUNCTION("""COMPUTED_VALUE"""),"川島 幹也")</f>
        <v>川島 幹也</v>
      </c>
    </row>
    <row r="12391" spans="2:4" ht="13">
      <c r="B12391" s="12">
        <f ca="1">IFERROR(__xludf.DUMMYFUNCTION("""COMPUTED_VALUE"""),3903397)</f>
        <v>3903397</v>
      </c>
      <c r="C12391" s="14">
        <f ca="1">IFERROR(__xludf.DUMMYFUNCTION("""COMPUTED_VALUE"""),1)</f>
        <v>1</v>
      </c>
      <c r="D12391" s="12" t="str">
        <f ca="1">IFERROR(__xludf.DUMMYFUNCTION("""COMPUTED_VALUE"""),"堀越 駿")</f>
        <v>堀越 駿</v>
      </c>
    </row>
    <row r="12392" spans="2:4" ht="13">
      <c r="B12392" s="12">
        <f ca="1">IFERROR(__xludf.DUMMYFUNCTION("""COMPUTED_VALUE"""),3903412)</f>
        <v>3903412</v>
      </c>
      <c r="C12392" s="14">
        <f ca="1">IFERROR(__xludf.DUMMYFUNCTION("""COMPUTED_VALUE"""),0)</f>
        <v>0</v>
      </c>
      <c r="D12392" s="12" t="str">
        <f ca="1">IFERROR(__xludf.DUMMYFUNCTION("""COMPUTED_VALUE"""),"長谷川 陸朗")</f>
        <v>長谷川 陸朗</v>
      </c>
    </row>
    <row r="12393" spans="2:4" ht="13">
      <c r="B12393" s="12">
        <f ca="1">IFERROR(__xludf.DUMMYFUNCTION("""COMPUTED_VALUE"""),3903417)</f>
        <v>3903417</v>
      </c>
      <c r="C12393" s="14">
        <f ca="1">IFERROR(__xludf.DUMMYFUNCTION("""COMPUTED_VALUE"""),0)</f>
        <v>0</v>
      </c>
      <c r="D12393" s="12" t="str">
        <f ca="1">IFERROR(__xludf.DUMMYFUNCTION("""COMPUTED_VALUE"""),"稲場 勇介")</f>
        <v>稲場 勇介</v>
      </c>
    </row>
    <row r="12394" spans="2:4" ht="13">
      <c r="B12394" s="12">
        <f ca="1">IFERROR(__xludf.DUMMYFUNCTION("""COMPUTED_VALUE"""),3903431)</f>
        <v>3903431</v>
      </c>
      <c r="C12394" s="14">
        <f ca="1">IFERROR(__xludf.DUMMYFUNCTION("""COMPUTED_VALUE"""),1)</f>
        <v>1</v>
      </c>
      <c r="D12394" s="12" t="str">
        <f ca="1">IFERROR(__xludf.DUMMYFUNCTION("""COMPUTED_VALUE"""),"成嶋 夏未")</f>
        <v>成嶋 夏未</v>
      </c>
    </row>
    <row r="12395" spans="2:4" ht="13">
      <c r="B12395" s="12">
        <f ca="1">IFERROR(__xludf.DUMMYFUNCTION("""COMPUTED_VALUE"""),3903432)</f>
        <v>3903432</v>
      </c>
      <c r="C12395" s="14">
        <f ca="1">IFERROR(__xludf.DUMMYFUNCTION("""COMPUTED_VALUE"""),0)</f>
        <v>0</v>
      </c>
      <c r="D12395" s="12" t="str">
        <f ca="1">IFERROR(__xludf.DUMMYFUNCTION("""COMPUTED_VALUE"""),"稲場 勇介")</f>
        <v>稲場 勇介</v>
      </c>
    </row>
    <row r="12396" spans="2:4" ht="13">
      <c r="B12396" s="12">
        <f ca="1">IFERROR(__xludf.DUMMYFUNCTION("""COMPUTED_VALUE"""),3903433)</f>
        <v>3903433</v>
      </c>
      <c r="C12396" s="14">
        <f ca="1">IFERROR(__xludf.DUMMYFUNCTION("""COMPUTED_VALUE"""),0)</f>
        <v>0</v>
      </c>
      <c r="D12396" s="12" t="str">
        <f ca="1">IFERROR(__xludf.DUMMYFUNCTION("""COMPUTED_VALUE"""),"長谷川 陸朗")</f>
        <v>長谷川 陸朗</v>
      </c>
    </row>
    <row r="12397" spans="2:4" ht="13">
      <c r="B12397" s="12">
        <f ca="1">IFERROR(__xludf.DUMMYFUNCTION("""COMPUTED_VALUE"""),3903443)</f>
        <v>3903443</v>
      </c>
      <c r="C12397" s="14">
        <f ca="1">IFERROR(__xludf.DUMMYFUNCTION("""COMPUTED_VALUE"""),0)</f>
        <v>0</v>
      </c>
      <c r="D12397" s="12" t="str">
        <f ca="1">IFERROR(__xludf.DUMMYFUNCTION("""COMPUTED_VALUE"""),"荻曽 克輝")</f>
        <v>荻曽 克輝</v>
      </c>
    </row>
    <row r="12398" spans="2:4" ht="13">
      <c r="B12398" s="12">
        <f ca="1">IFERROR(__xludf.DUMMYFUNCTION("""COMPUTED_VALUE"""),3903450)</f>
        <v>3903450</v>
      </c>
      <c r="C12398" s="14">
        <f ca="1">IFERROR(__xludf.DUMMYFUNCTION("""COMPUTED_VALUE"""),0)</f>
        <v>0</v>
      </c>
      <c r="D12398" s="12" t="str">
        <f ca="1">IFERROR(__xludf.DUMMYFUNCTION("""COMPUTED_VALUE"""),"菅野 ぎんが")</f>
        <v>菅野 ぎんが</v>
      </c>
    </row>
    <row r="12399" spans="2:4" ht="13">
      <c r="B12399" s="12">
        <f ca="1">IFERROR(__xludf.DUMMYFUNCTION("""COMPUTED_VALUE"""),3903455)</f>
        <v>3903455</v>
      </c>
      <c r="C12399" s="14">
        <f ca="1">IFERROR(__xludf.DUMMYFUNCTION("""COMPUTED_VALUE"""),0)</f>
        <v>0</v>
      </c>
      <c r="D12399" s="12" t="str">
        <f ca="1">IFERROR(__xludf.DUMMYFUNCTION("""COMPUTED_VALUE"""),"松尾 尚樹")</f>
        <v>松尾 尚樹</v>
      </c>
    </row>
    <row r="12400" spans="2:4" ht="13">
      <c r="B12400" s="12">
        <f ca="1">IFERROR(__xludf.DUMMYFUNCTION("""COMPUTED_VALUE"""),3903457)</f>
        <v>3903457</v>
      </c>
      <c r="C12400" s="14">
        <f ca="1">IFERROR(__xludf.DUMMYFUNCTION("""COMPUTED_VALUE"""),1)</f>
        <v>1</v>
      </c>
      <c r="D12400" s="12" t="str">
        <f ca="1">IFERROR(__xludf.DUMMYFUNCTION("""COMPUTED_VALUE"""),"菅野 ぎんが")</f>
        <v>菅野 ぎんが</v>
      </c>
    </row>
    <row r="12401" spans="2:4" ht="13">
      <c r="B12401" s="12">
        <f ca="1">IFERROR(__xludf.DUMMYFUNCTION("""COMPUTED_VALUE"""),3903461)</f>
        <v>3903461</v>
      </c>
      <c r="C12401" s="14">
        <f ca="1">IFERROR(__xludf.DUMMYFUNCTION("""COMPUTED_VALUE"""),0)</f>
        <v>0</v>
      </c>
      <c r="D12401" s="12" t="str">
        <f ca="1">IFERROR(__xludf.DUMMYFUNCTION("""COMPUTED_VALUE"""),"松尾 尚樹")</f>
        <v>松尾 尚樹</v>
      </c>
    </row>
    <row r="12402" spans="2:4" ht="13">
      <c r="B12402" s="12">
        <f ca="1">IFERROR(__xludf.DUMMYFUNCTION("""COMPUTED_VALUE"""),3903462)</f>
        <v>3903462</v>
      </c>
      <c r="C12402" s="14">
        <f ca="1">IFERROR(__xludf.DUMMYFUNCTION("""COMPUTED_VALUE"""),0)</f>
        <v>0</v>
      </c>
      <c r="D12402" s="12" t="str">
        <f ca="1">IFERROR(__xludf.DUMMYFUNCTION("""COMPUTED_VALUE"""),"桑原 明子")</f>
        <v>桑原 明子</v>
      </c>
    </row>
    <row r="12403" spans="2:4" ht="13">
      <c r="B12403" s="12">
        <f ca="1">IFERROR(__xludf.DUMMYFUNCTION("""COMPUTED_VALUE"""),3903469)</f>
        <v>3903469</v>
      </c>
      <c r="C12403" s="14">
        <f ca="1">IFERROR(__xludf.DUMMYFUNCTION("""COMPUTED_VALUE"""),0)</f>
        <v>0</v>
      </c>
      <c r="D12403" s="12" t="str">
        <f ca="1">IFERROR(__xludf.DUMMYFUNCTION("""COMPUTED_VALUE"""),"老田 純輝")</f>
        <v>老田 純輝</v>
      </c>
    </row>
    <row r="12404" spans="2:4" ht="13">
      <c r="B12404" s="12">
        <f ca="1">IFERROR(__xludf.DUMMYFUNCTION("""COMPUTED_VALUE"""),3903472)</f>
        <v>3903472</v>
      </c>
      <c r="C12404" s="14">
        <f ca="1">IFERROR(__xludf.DUMMYFUNCTION("""COMPUTED_VALUE"""),0)</f>
        <v>0</v>
      </c>
      <c r="D12404" s="12" t="str">
        <f ca="1">IFERROR(__xludf.DUMMYFUNCTION("""COMPUTED_VALUE"""),"菅野 ぎんが")</f>
        <v>菅野 ぎんが</v>
      </c>
    </row>
    <row r="12405" spans="2:4" ht="13">
      <c r="B12405" s="12">
        <f ca="1">IFERROR(__xludf.DUMMYFUNCTION("""COMPUTED_VALUE"""),3903484)</f>
        <v>3903484</v>
      </c>
      <c r="C12405" s="14">
        <f ca="1">IFERROR(__xludf.DUMMYFUNCTION("""COMPUTED_VALUE"""),5)</f>
        <v>5</v>
      </c>
      <c r="D12405" s="12" t="str">
        <f ca="1">IFERROR(__xludf.DUMMYFUNCTION("""COMPUTED_VALUE"""),"老田 純輝")</f>
        <v>老田 純輝</v>
      </c>
    </row>
    <row r="12406" spans="2:4" ht="13">
      <c r="B12406" s="12">
        <f ca="1">IFERROR(__xludf.DUMMYFUNCTION("""COMPUTED_VALUE"""),3903485)</f>
        <v>3903485</v>
      </c>
      <c r="C12406" s="14">
        <f ca="1">IFERROR(__xludf.DUMMYFUNCTION("""COMPUTED_VALUE"""),0)</f>
        <v>0</v>
      </c>
      <c r="D12406" s="12" t="str">
        <f ca="1">IFERROR(__xludf.DUMMYFUNCTION("""COMPUTED_VALUE"""),"森 光智")</f>
        <v>森 光智</v>
      </c>
    </row>
    <row r="12407" spans="2:4" ht="13">
      <c r="B12407" s="12">
        <f ca="1">IFERROR(__xludf.DUMMYFUNCTION("""COMPUTED_VALUE"""),3903489)</f>
        <v>3903489</v>
      </c>
      <c r="C12407" s="14">
        <f ca="1">IFERROR(__xludf.DUMMYFUNCTION("""COMPUTED_VALUE"""),0)</f>
        <v>0</v>
      </c>
      <c r="D12407" s="12" t="str">
        <f ca="1">IFERROR(__xludf.DUMMYFUNCTION("""COMPUTED_VALUE"""),"村上 浩一朗")</f>
        <v>村上 浩一朗</v>
      </c>
    </row>
    <row r="12408" spans="2:4" ht="13">
      <c r="B12408" s="12">
        <f ca="1">IFERROR(__xludf.DUMMYFUNCTION("""COMPUTED_VALUE"""),3903500)</f>
        <v>3903500</v>
      </c>
      <c r="C12408" s="14">
        <f ca="1">IFERROR(__xludf.DUMMYFUNCTION("""COMPUTED_VALUE"""),1)</f>
        <v>1</v>
      </c>
      <c r="D12408" s="12" t="str">
        <f ca="1">IFERROR(__xludf.DUMMYFUNCTION("""COMPUTED_VALUE"""),"小関 麻起")</f>
        <v>小関 麻起</v>
      </c>
    </row>
    <row r="12409" spans="2:4" ht="13">
      <c r="B12409" s="12">
        <f ca="1">IFERROR(__xludf.DUMMYFUNCTION("""COMPUTED_VALUE"""),3903502)</f>
        <v>3903502</v>
      </c>
      <c r="C12409" s="14">
        <f ca="1">IFERROR(__xludf.DUMMYFUNCTION("""COMPUTED_VALUE"""),0)</f>
        <v>0</v>
      </c>
      <c r="D12409" s="12" t="str">
        <f ca="1">IFERROR(__xludf.DUMMYFUNCTION("""COMPUTED_VALUE"""),"菅野 ぎんが")</f>
        <v>菅野 ぎんが</v>
      </c>
    </row>
    <row r="12410" spans="2:4" ht="13">
      <c r="B12410" s="12">
        <f ca="1">IFERROR(__xludf.DUMMYFUNCTION("""COMPUTED_VALUE"""),3903508)</f>
        <v>3903508</v>
      </c>
      <c r="C12410" s="14">
        <f ca="1">IFERROR(__xludf.DUMMYFUNCTION("""COMPUTED_VALUE"""),0)</f>
        <v>0</v>
      </c>
      <c r="D12410" s="12" t="str">
        <f ca="1">IFERROR(__xludf.DUMMYFUNCTION("""COMPUTED_VALUE"""),"川島 幹也")</f>
        <v>川島 幹也</v>
      </c>
    </row>
    <row r="12411" spans="2:4" ht="13">
      <c r="B12411" s="12">
        <f ca="1">IFERROR(__xludf.DUMMYFUNCTION("""COMPUTED_VALUE"""),3903523)</f>
        <v>3903523</v>
      </c>
      <c r="C12411" s="14">
        <f ca="1">IFERROR(__xludf.DUMMYFUNCTION("""COMPUTED_VALUE"""),0)</f>
        <v>0</v>
      </c>
      <c r="D12411" s="12" t="str">
        <f ca="1">IFERROR(__xludf.DUMMYFUNCTION("""COMPUTED_VALUE"""),"桑原 明子")</f>
        <v>桑原 明子</v>
      </c>
    </row>
    <row r="12412" spans="2:4" ht="13">
      <c r="B12412" s="12">
        <f ca="1">IFERROR(__xludf.DUMMYFUNCTION("""COMPUTED_VALUE"""),3903524)</f>
        <v>3903524</v>
      </c>
      <c r="C12412" s="14">
        <f ca="1">IFERROR(__xludf.DUMMYFUNCTION("""COMPUTED_VALUE"""),0)</f>
        <v>0</v>
      </c>
      <c r="D12412" s="12" t="str">
        <f ca="1">IFERROR(__xludf.DUMMYFUNCTION("""COMPUTED_VALUE"""),"芳賀 亮輔")</f>
        <v>芳賀 亮輔</v>
      </c>
    </row>
    <row r="12413" spans="2:4" ht="13">
      <c r="B12413" s="12">
        <f ca="1">IFERROR(__xludf.DUMMYFUNCTION("""COMPUTED_VALUE"""),3903527)</f>
        <v>3903527</v>
      </c>
      <c r="C12413" s="14">
        <f ca="1">IFERROR(__xludf.DUMMYFUNCTION("""COMPUTED_VALUE"""),0)</f>
        <v>0</v>
      </c>
      <c r="D12413" s="12" t="str">
        <f ca="1">IFERROR(__xludf.DUMMYFUNCTION("""COMPUTED_VALUE"""),"辻村 将大")</f>
        <v>辻村 将大</v>
      </c>
    </row>
    <row r="12414" spans="2:4" ht="13">
      <c r="B12414" s="12">
        <f ca="1">IFERROR(__xludf.DUMMYFUNCTION("""COMPUTED_VALUE"""),3903534)</f>
        <v>3903534</v>
      </c>
      <c r="C12414" s="14">
        <f ca="1">IFERROR(__xludf.DUMMYFUNCTION("""COMPUTED_VALUE"""),1)</f>
        <v>1</v>
      </c>
      <c r="D12414" s="12" t="str">
        <f ca="1">IFERROR(__xludf.DUMMYFUNCTION("""COMPUTED_VALUE"""),"芳賀 亮輔")</f>
        <v>芳賀 亮輔</v>
      </c>
    </row>
    <row r="12415" spans="2:4" ht="13">
      <c r="B12415" s="12">
        <f ca="1">IFERROR(__xludf.DUMMYFUNCTION("""COMPUTED_VALUE"""),3903536)</f>
        <v>3903536</v>
      </c>
      <c r="C12415" s="14">
        <f ca="1">IFERROR(__xludf.DUMMYFUNCTION("""COMPUTED_VALUE"""),0)</f>
        <v>0</v>
      </c>
      <c r="D12415" s="12" t="str">
        <f ca="1">IFERROR(__xludf.DUMMYFUNCTION("""COMPUTED_VALUE"""),"小関 麻起")</f>
        <v>小関 麻起</v>
      </c>
    </row>
    <row r="12416" spans="2:4" ht="13">
      <c r="B12416" s="12">
        <f ca="1">IFERROR(__xludf.DUMMYFUNCTION("""COMPUTED_VALUE"""),3903547)</f>
        <v>3903547</v>
      </c>
      <c r="C12416" s="14">
        <f ca="1">IFERROR(__xludf.DUMMYFUNCTION("""COMPUTED_VALUE"""),0)</f>
        <v>0</v>
      </c>
      <c r="D12416" s="12" t="str">
        <f ca="1">IFERROR(__xludf.DUMMYFUNCTION("""COMPUTED_VALUE"""),"小関 麻起")</f>
        <v>小関 麻起</v>
      </c>
    </row>
    <row r="12417" spans="2:4" ht="13">
      <c r="B12417" s="12">
        <f ca="1">IFERROR(__xludf.DUMMYFUNCTION("""COMPUTED_VALUE"""),3903552)</f>
        <v>3903552</v>
      </c>
      <c r="C12417" s="14">
        <f ca="1">IFERROR(__xludf.DUMMYFUNCTION("""COMPUTED_VALUE"""),19)</f>
        <v>19</v>
      </c>
      <c r="D12417" s="12" t="str">
        <f ca="1">IFERROR(__xludf.DUMMYFUNCTION("""COMPUTED_VALUE"""),"松尾 尚樹")</f>
        <v>松尾 尚樹</v>
      </c>
    </row>
    <row r="12418" spans="2:4" ht="13">
      <c r="B12418" s="12">
        <f ca="1">IFERROR(__xludf.DUMMYFUNCTION("""COMPUTED_VALUE"""),3903562)</f>
        <v>3903562</v>
      </c>
      <c r="C12418" s="14">
        <f ca="1">IFERROR(__xludf.DUMMYFUNCTION("""COMPUTED_VALUE"""),0)</f>
        <v>0</v>
      </c>
      <c r="D12418" s="12" t="str">
        <f ca="1">IFERROR(__xludf.DUMMYFUNCTION("""COMPUTED_VALUE"""),"長谷川 陸朗")</f>
        <v>長谷川 陸朗</v>
      </c>
    </row>
    <row r="12419" spans="2:4" ht="13">
      <c r="B12419" s="12">
        <f ca="1">IFERROR(__xludf.DUMMYFUNCTION("""COMPUTED_VALUE"""),3903567)</f>
        <v>3903567</v>
      </c>
      <c r="C12419" s="14">
        <f ca="1">IFERROR(__xludf.DUMMYFUNCTION("""COMPUTED_VALUE"""),0)</f>
        <v>0</v>
      </c>
      <c r="D12419" s="12" t="str">
        <f ca="1">IFERROR(__xludf.DUMMYFUNCTION("""COMPUTED_VALUE"""),"辻村 将大")</f>
        <v>辻村 将大</v>
      </c>
    </row>
    <row r="12420" spans="2:4" ht="13">
      <c r="B12420" s="12">
        <f ca="1">IFERROR(__xludf.DUMMYFUNCTION("""COMPUTED_VALUE"""),3903571)</f>
        <v>3903571</v>
      </c>
      <c r="C12420" s="14">
        <f ca="1">IFERROR(__xludf.DUMMYFUNCTION("""COMPUTED_VALUE"""),6)</f>
        <v>6</v>
      </c>
      <c r="D12420" s="12" t="str">
        <f ca="1">IFERROR(__xludf.DUMMYFUNCTION("""COMPUTED_VALUE"""),"田嶋 将太")</f>
        <v>田嶋 将太</v>
      </c>
    </row>
    <row r="12421" spans="2:4" ht="13">
      <c r="B12421" s="12">
        <f ca="1">IFERROR(__xludf.DUMMYFUNCTION("""COMPUTED_VALUE"""),3903575)</f>
        <v>3903575</v>
      </c>
      <c r="C12421" s="14">
        <f ca="1">IFERROR(__xludf.DUMMYFUNCTION("""COMPUTED_VALUE"""),0)</f>
        <v>0</v>
      </c>
      <c r="D12421" s="12" t="str">
        <f ca="1">IFERROR(__xludf.DUMMYFUNCTION("""COMPUTED_VALUE"""),"堀越 駿")</f>
        <v>堀越 駿</v>
      </c>
    </row>
    <row r="12422" spans="2:4" ht="13">
      <c r="B12422" s="12">
        <f ca="1">IFERROR(__xludf.DUMMYFUNCTION("""COMPUTED_VALUE"""),3903577)</f>
        <v>3903577</v>
      </c>
      <c r="C12422" s="14">
        <f ca="1">IFERROR(__xludf.DUMMYFUNCTION("""COMPUTED_VALUE"""),4)</f>
        <v>4</v>
      </c>
      <c r="D12422" s="12" t="str">
        <f ca="1">IFERROR(__xludf.DUMMYFUNCTION("""COMPUTED_VALUE"""),"堀越 駿")</f>
        <v>堀越 駿</v>
      </c>
    </row>
    <row r="12423" spans="2:4" ht="13">
      <c r="B12423" s="12">
        <f ca="1">IFERROR(__xludf.DUMMYFUNCTION("""COMPUTED_VALUE"""),3903580)</f>
        <v>3903580</v>
      </c>
      <c r="C12423" s="14">
        <f ca="1">IFERROR(__xludf.DUMMYFUNCTION("""COMPUTED_VALUE"""),0)</f>
        <v>0</v>
      </c>
      <c r="D12423" s="12" t="str">
        <f ca="1">IFERROR(__xludf.DUMMYFUNCTION("""COMPUTED_VALUE"""),"荻曽 克輝")</f>
        <v>荻曽 克輝</v>
      </c>
    </row>
    <row r="12424" spans="2:4" ht="13">
      <c r="B12424" s="12">
        <f ca="1">IFERROR(__xludf.DUMMYFUNCTION("""COMPUTED_VALUE"""),3903584)</f>
        <v>3903584</v>
      </c>
      <c r="C12424" s="14">
        <f ca="1">IFERROR(__xludf.DUMMYFUNCTION("""COMPUTED_VALUE"""),0)</f>
        <v>0</v>
      </c>
      <c r="D12424" s="12" t="str">
        <f ca="1">IFERROR(__xludf.DUMMYFUNCTION("""COMPUTED_VALUE"""),"小関 麻起")</f>
        <v>小関 麻起</v>
      </c>
    </row>
    <row r="12425" spans="2:4" ht="13">
      <c r="B12425" s="12">
        <f ca="1">IFERROR(__xludf.DUMMYFUNCTION("""COMPUTED_VALUE"""),3903595)</f>
        <v>3903595</v>
      </c>
      <c r="C12425" s="14">
        <f ca="1">IFERROR(__xludf.DUMMYFUNCTION("""COMPUTED_VALUE"""),0)</f>
        <v>0</v>
      </c>
      <c r="D12425" s="12" t="str">
        <f ca="1">IFERROR(__xludf.DUMMYFUNCTION("""COMPUTED_VALUE"""),"森 光智")</f>
        <v>森 光智</v>
      </c>
    </row>
    <row r="12426" spans="2:4" ht="13">
      <c r="B12426" s="12">
        <f ca="1">IFERROR(__xludf.DUMMYFUNCTION("""COMPUTED_VALUE"""),3903597)</f>
        <v>3903597</v>
      </c>
      <c r="C12426" s="14">
        <f ca="1">IFERROR(__xludf.DUMMYFUNCTION("""COMPUTED_VALUE"""),0)</f>
        <v>0</v>
      </c>
      <c r="D12426" s="12" t="str">
        <f ca="1">IFERROR(__xludf.DUMMYFUNCTION("""COMPUTED_VALUE"""),"小関 麻起")</f>
        <v>小関 麻起</v>
      </c>
    </row>
    <row r="12427" spans="2:4" ht="13">
      <c r="B12427" s="12">
        <f ca="1">IFERROR(__xludf.DUMMYFUNCTION("""COMPUTED_VALUE"""),3903600)</f>
        <v>3903600</v>
      </c>
      <c r="C12427" s="14">
        <f ca="1">IFERROR(__xludf.DUMMYFUNCTION("""COMPUTED_VALUE"""),0)</f>
        <v>0</v>
      </c>
      <c r="D12427" s="12" t="str">
        <f ca="1">IFERROR(__xludf.DUMMYFUNCTION("""COMPUTED_VALUE"""),"菅野 ぎんが")</f>
        <v>菅野 ぎんが</v>
      </c>
    </row>
    <row r="12428" spans="2:4" ht="13">
      <c r="B12428" s="12">
        <f ca="1">IFERROR(__xludf.DUMMYFUNCTION("""COMPUTED_VALUE"""),3903612)</f>
        <v>3903612</v>
      </c>
      <c r="C12428" s="14">
        <f ca="1">IFERROR(__xludf.DUMMYFUNCTION("""COMPUTED_VALUE"""),0)</f>
        <v>0</v>
      </c>
      <c r="D12428" s="12" t="str">
        <f ca="1">IFERROR(__xludf.DUMMYFUNCTION("""COMPUTED_VALUE"""),"荻曽 克輝")</f>
        <v>荻曽 克輝</v>
      </c>
    </row>
    <row r="12429" spans="2:4" ht="13">
      <c r="B12429" s="12">
        <f ca="1">IFERROR(__xludf.DUMMYFUNCTION("""COMPUTED_VALUE"""),3903616)</f>
        <v>3903616</v>
      </c>
      <c r="C12429" s="14">
        <f ca="1">IFERROR(__xludf.DUMMYFUNCTION("""COMPUTED_VALUE"""),0)</f>
        <v>0</v>
      </c>
      <c r="D12429" s="12" t="str">
        <f ca="1">IFERROR(__xludf.DUMMYFUNCTION("""COMPUTED_VALUE"""),"奥野 貴大")</f>
        <v>奥野 貴大</v>
      </c>
    </row>
    <row r="12430" spans="2:4" ht="13">
      <c r="B12430" s="12">
        <f ca="1">IFERROR(__xludf.DUMMYFUNCTION("""COMPUTED_VALUE"""),3903623)</f>
        <v>3903623</v>
      </c>
      <c r="C12430" s="14">
        <f ca="1">IFERROR(__xludf.DUMMYFUNCTION("""COMPUTED_VALUE"""),0)</f>
        <v>0</v>
      </c>
      <c r="D12430" s="12" t="str">
        <f ca="1">IFERROR(__xludf.DUMMYFUNCTION("""COMPUTED_VALUE"""),"田嶋 将太")</f>
        <v>田嶋 将太</v>
      </c>
    </row>
    <row r="12431" spans="2:4" ht="13">
      <c r="B12431" s="12">
        <f ca="1">IFERROR(__xludf.DUMMYFUNCTION("""COMPUTED_VALUE"""),3903630)</f>
        <v>3903630</v>
      </c>
      <c r="C12431" s="14">
        <f ca="1">IFERROR(__xludf.DUMMYFUNCTION("""COMPUTED_VALUE"""),0)</f>
        <v>0</v>
      </c>
      <c r="D12431" s="12" t="str">
        <f ca="1">IFERROR(__xludf.DUMMYFUNCTION("""COMPUTED_VALUE"""),"田嶋 将太")</f>
        <v>田嶋 将太</v>
      </c>
    </row>
    <row r="12432" spans="2:4" ht="13">
      <c r="B12432" s="12">
        <f ca="1">IFERROR(__xludf.DUMMYFUNCTION("""COMPUTED_VALUE"""),3903633)</f>
        <v>3903633</v>
      </c>
      <c r="C12432" s="14">
        <f ca="1">IFERROR(__xludf.DUMMYFUNCTION("""COMPUTED_VALUE"""),1)</f>
        <v>1</v>
      </c>
      <c r="D12432" s="12" t="str">
        <f ca="1">IFERROR(__xludf.DUMMYFUNCTION("""COMPUTED_VALUE"""),"菅野 ぎんが")</f>
        <v>菅野 ぎんが</v>
      </c>
    </row>
    <row r="12433" spans="2:4" ht="13">
      <c r="B12433" s="12">
        <f ca="1">IFERROR(__xludf.DUMMYFUNCTION("""COMPUTED_VALUE"""),3903646)</f>
        <v>3903646</v>
      </c>
      <c r="C12433" s="14">
        <f ca="1">IFERROR(__xludf.DUMMYFUNCTION("""COMPUTED_VALUE"""),0)</f>
        <v>0</v>
      </c>
      <c r="D12433" s="12" t="str">
        <f ca="1">IFERROR(__xludf.DUMMYFUNCTION("""COMPUTED_VALUE"""),"老田 純輝")</f>
        <v>老田 純輝</v>
      </c>
    </row>
    <row r="12434" spans="2:4" ht="13">
      <c r="B12434" s="12">
        <f ca="1">IFERROR(__xludf.DUMMYFUNCTION("""COMPUTED_VALUE"""),3903658)</f>
        <v>3903658</v>
      </c>
      <c r="C12434" s="14">
        <f ca="1">IFERROR(__xludf.DUMMYFUNCTION("""COMPUTED_VALUE"""),0)</f>
        <v>0</v>
      </c>
      <c r="D12434" s="12" t="str">
        <f ca="1">IFERROR(__xludf.DUMMYFUNCTION("""COMPUTED_VALUE"""),"稲場 勇介")</f>
        <v>稲場 勇介</v>
      </c>
    </row>
    <row r="12435" spans="2:4" ht="13">
      <c r="B12435" s="12">
        <f ca="1">IFERROR(__xludf.DUMMYFUNCTION("""COMPUTED_VALUE"""),3903660)</f>
        <v>3903660</v>
      </c>
      <c r="C12435" s="14">
        <f ca="1">IFERROR(__xludf.DUMMYFUNCTION("""COMPUTED_VALUE"""),0)</f>
        <v>0</v>
      </c>
      <c r="D12435" s="12" t="str">
        <f ca="1">IFERROR(__xludf.DUMMYFUNCTION("""COMPUTED_VALUE"""),"栗原 大武")</f>
        <v>栗原 大武</v>
      </c>
    </row>
    <row r="12436" spans="2:4" ht="13">
      <c r="B12436" s="12">
        <f ca="1">IFERROR(__xludf.DUMMYFUNCTION("""COMPUTED_VALUE"""),3903662)</f>
        <v>3903662</v>
      </c>
      <c r="C12436" s="14">
        <f ca="1">IFERROR(__xludf.DUMMYFUNCTION("""COMPUTED_VALUE"""),0)</f>
        <v>0</v>
      </c>
      <c r="D12436" s="12" t="str">
        <f ca="1">IFERROR(__xludf.DUMMYFUNCTION("""COMPUTED_VALUE"""),"堀越 駿")</f>
        <v>堀越 駿</v>
      </c>
    </row>
    <row r="12437" spans="2:4" ht="13">
      <c r="B12437" s="12">
        <f ca="1">IFERROR(__xludf.DUMMYFUNCTION("""COMPUTED_VALUE"""),3903663)</f>
        <v>3903663</v>
      </c>
      <c r="C12437" s="14">
        <f ca="1">IFERROR(__xludf.DUMMYFUNCTION("""COMPUTED_VALUE"""),1)</f>
        <v>1</v>
      </c>
      <c r="D12437" s="12" t="str">
        <f ca="1">IFERROR(__xludf.DUMMYFUNCTION("""COMPUTED_VALUE"""),"菅野 ぎんが")</f>
        <v>菅野 ぎんが</v>
      </c>
    </row>
    <row r="12438" spans="2:4" ht="13">
      <c r="B12438" s="12">
        <f ca="1">IFERROR(__xludf.DUMMYFUNCTION("""COMPUTED_VALUE"""),3903671)</f>
        <v>3903671</v>
      </c>
      <c r="C12438" s="14">
        <f ca="1">IFERROR(__xludf.DUMMYFUNCTION("""COMPUTED_VALUE"""),1)</f>
        <v>1</v>
      </c>
      <c r="D12438" s="12" t="str">
        <f ca="1">IFERROR(__xludf.DUMMYFUNCTION("""COMPUTED_VALUE"""),"稲場 勇介")</f>
        <v>稲場 勇介</v>
      </c>
    </row>
    <row r="12439" spans="2:4" ht="13">
      <c r="B12439" s="12">
        <f ca="1">IFERROR(__xludf.DUMMYFUNCTION("""COMPUTED_VALUE"""),3903672)</f>
        <v>3903672</v>
      </c>
      <c r="C12439" s="14">
        <f ca="1">IFERROR(__xludf.DUMMYFUNCTION("""COMPUTED_VALUE"""),0)</f>
        <v>0</v>
      </c>
      <c r="D12439" s="12" t="str">
        <f ca="1">IFERROR(__xludf.DUMMYFUNCTION("""COMPUTED_VALUE"""),"稲場 勇介")</f>
        <v>稲場 勇介</v>
      </c>
    </row>
    <row r="12440" spans="2:4" ht="13">
      <c r="B12440" s="12">
        <f ca="1">IFERROR(__xludf.DUMMYFUNCTION("""COMPUTED_VALUE"""),3903678)</f>
        <v>3903678</v>
      </c>
      <c r="C12440" s="14">
        <f ca="1">IFERROR(__xludf.DUMMYFUNCTION("""COMPUTED_VALUE"""),0)</f>
        <v>0</v>
      </c>
      <c r="D12440" s="12" t="str">
        <f ca="1">IFERROR(__xludf.DUMMYFUNCTION("""COMPUTED_VALUE"""),"稲場 勇介")</f>
        <v>稲場 勇介</v>
      </c>
    </row>
    <row r="12441" spans="2:4" ht="13">
      <c r="B12441" s="12">
        <f ca="1">IFERROR(__xludf.DUMMYFUNCTION("""COMPUTED_VALUE"""),3903680)</f>
        <v>3903680</v>
      </c>
      <c r="C12441" s="14">
        <f ca="1">IFERROR(__xludf.DUMMYFUNCTION("""COMPUTED_VALUE"""),0)</f>
        <v>0</v>
      </c>
      <c r="D12441" s="12" t="str">
        <f ca="1">IFERROR(__xludf.DUMMYFUNCTION("""COMPUTED_VALUE"""),"老田 純輝")</f>
        <v>老田 純輝</v>
      </c>
    </row>
    <row r="12442" spans="2:4" ht="13">
      <c r="B12442" s="12">
        <f ca="1">IFERROR(__xludf.DUMMYFUNCTION("""COMPUTED_VALUE"""),3903686)</f>
        <v>3903686</v>
      </c>
      <c r="C12442" s="14">
        <f ca="1">IFERROR(__xludf.DUMMYFUNCTION("""COMPUTED_VALUE"""),0)</f>
        <v>0</v>
      </c>
      <c r="D12442" s="12" t="str">
        <f ca="1">IFERROR(__xludf.DUMMYFUNCTION("""COMPUTED_VALUE"""),"田嶋 将太")</f>
        <v>田嶋 将太</v>
      </c>
    </row>
    <row r="12443" spans="2:4" ht="13">
      <c r="B12443" s="12">
        <f ca="1">IFERROR(__xludf.DUMMYFUNCTION("""COMPUTED_VALUE"""),3903688)</f>
        <v>3903688</v>
      </c>
      <c r="C12443" s="14">
        <f ca="1">IFERROR(__xludf.DUMMYFUNCTION("""COMPUTED_VALUE"""),0)</f>
        <v>0</v>
      </c>
      <c r="D12443" s="12" t="str">
        <f ca="1">IFERROR(__xludf.DUMMYFUNCTION("""COMPUTED_VALUE"""),"老田 純輝")</f>
        <v>老田 純輝</v>
      </c>
    </row>
    <row r="12444" spans="2:4" ht="13">
      <c r="B12444" s="12">
        <f ca="1">IFERROR(__xludf.DUMMYFUNCTION("""COMPUTED_VALUE"""),3903695)</f>
        <v>3903695</v>
      </c>
      <c r="C12444" s="14">
        <f ca="1">IFERROR(__xludf.DUMMYFUNCTION("""COMPUTED_VALUE"""),1)</f>
        <v>1</v>
      </c>
      <c r="D12444" s="12" t="str">
        <f ca="1">IFERROR(__xludf.DUMMYFUNCTION("""COMPUTED_VALUE"""),"松尾 尚樹")</f>
        <v>松尾 尚樹</v>
      </c>
    </row>
    <row r="12445" spans="2:4" ht="13">
      <c r="B12445" s="12">
        <f ca="1">IFERROR(__xludf.DUMMYFUNCTION("""COMPUTED_VALUE"""),3903697)</f>
        <v>3903697</v>
      </c>
      <c r="C12445" s="14">
        <f ca="1">IFERROR(__xludf.DUMMYFUNCTION("""COMPUTED_VALUE"""),0)</f>
        <v>0</v>
      </c>
      <c r="D12445" s="12" t="str">
        <f ca="1">IFERROR(__xludf.DUMMYFUNCTION("""COMPUTED_VALUE"""),"芳賀 亮輔")</f>
        <v>芳賀 亮輔</v>
      </c>
    </row>
    <row r="12446" spans="2:4" ht="13">
      <c r="B12446" s="12">
        <f ca="1">IFERROR(__xludf.DUMMYFUNCTION("""COMPUTED_VALUE"""),3903702)</f>
        <v>3903702</v>
      </c>
      <c r="C12446" s="14">
        <f ca="1">IFERROR(__xludf.DUMMYFUNCTION("""COMPUTED_VALUE"""),1)</f>
        <v>1</v>
      </c>
      <c r="D12446" s="12" t="str">
        <f ca="1">IFERROR(__xludf.DUMMYFUNCTION("""COMPUTED_VALUE"""),"稲場 勇介")</f>
        <v>稲場 勇介</v>
      </c>
    </row>
    <row r="12447" spans="2:4" ht="13">
      <c r="B12447" s="12">
        <f ca="1">IFERROR(__xludf.DUMMYFUNCTION("""COMPUTED_VALUE"""),3903717)</f>
        <v>3903717</v>
      </c>
      <c r="C12447" s="14">
        <f ca="1">IFERROR(__xludf.DUMMYFUNCTION("""COMPUTED_VALUE"""),1)</f>
        <v>1</v>
      </c>
      <c r="D12447" s="12" t="str">
        <f ca="1">IFERROR(__xludf.DUMMYFUNCTION("""COMPUTED_VALUE"""),"老田 純輝")</f>
        <v>老田 純輝</v>
      </c>
    </row>
    <row r="12448" spans="2:4" ht="13">
      <c r="B12448" s="12">
        <f ca="1">IFERROR(__xludf.DUMMYFUNCTION("""COMPUTED_VALUE"""),3903719)</f>
        <v>3903719</v>
      </c>
      <c r="C12448" s="14">
        <f ca="1">IFERROR(__xludf.DUMMYFUNCTION("""COMPUTED_VALUE"""),0)</f>
        <v>0</v>
      </c>
      <c r="D12448" s="12" t="str">
        <f ca="1">IFERROR(__xludf.DUMMYFUNCTION("""COMPUTED_VALUE"""),"稲場 勇介")</f>
        <v>稲場 勇介</v>
      </c>
    </row>
    <row r="12449" spans="2:4" ht="13">
      <c r="B12449" s="12">
        <f ca="1">IFERROR(__xludf.DUMMYFUNCTION("""COMPUTED_VALUE"""),3903725)</f>
        <v>3903725</v>
      </c>
      <c r="C12449" s="14">
        <f ca="1">IFERROR(__xludf.DUMMYFUNCTION("""COMPUTED_VALUE"""),0)</f>
        <v>0</v>
      </c>
      <c r="D12449" s="12" t="str">
        <f ca="1">IFERROR(__xludf.DUMMYFUNCTION("""COMPUTED_VALUE"""),"松尾 尚樹")</f>
        <v>松尾 尚樹</v>
      </c>
    </row>
    <row r="12450" spans="2:4" ht="13">
      <c r="B12450" s="12">
        <f ca="1">IFERROR(__xludf.DUMMYFUNCTION("""COMPUTED_VALUE"""),3903727)</f>
        <v>3903727</v>
      </c>
      <c r="C12450" s="14">
        <f ca="1">IFERROR(__xludf.DUMMYFUNCTION("""COMPUTED_VALUE"""),0)</f>
        <v>0</v>
      </c>
      <c r="D12450" s="12" t="str">
        <f ca="1">IFERROR(__xludf.DUMMYFUNCTION("""COMPUTED_VALUE"""),"菅野 ぎんが")</f>
        <v>菅野 ぎんが</v>
      </c>
    </row>
    <row r="12451" spans="2:4" ht="13">
      <c r="B12451" s="12">
        <f ca="1">IFERROR(__xludf.DUMMYFUNCTION("""COMPUTED_VALUE"""),3903728)</f>
        <v>3903728</v>
      </c>
      <c r="C12451" s="14">
        <f ca="1">IFERROR(__xludf.DUMMYFUNCTION("""COMPUTED_VALUE"""),0)</f>
        <v>0</v>
      </c>
      <c r="D12451" s="12" t="str">
        <f ca="1">IFERROR(__xludf.DUMMYFUNCTION("""COMPUTED_VALUE"""),"桑原 明子")</f>
        <v>桑原 明子</v>
      </c>
    </row>
    <row r="12452" spans="2:4" ht="13">
      <c r="B12452" s="12">
        <f ca="1">IFERROR(__xludf.DUMMYFUNCTION("""COMPUTED_VALUE"""),3903733)</f>
        <v>3903733</v>
      </c>
      <c r="C12452" s="14">
        <f ca="1">IFERROR(__xludf.DUMMYFUNCTION("""COMPUTED_VALUE"""),6)</f>
        <v>6</v>
      </c>
      <c r="D12452" s="12" t="str">
        <f ca="1">IFERROR(__xludf.DUMMYFUNCTION("""COMPUTED_VALUE"""),"成嶋 夏未")</f>
        <v>成嶋 夏未</v>
      </c>
    </row>
    <row r="12453" spans="2:4" ht="13">
      <c r="B12453" s="12">
        <f ca="1">IFERROR(__xludf.DUMMYFUNCTION("""COMPUTED_VALUE"""),3903755)</f>
        <v>3903755</v>
      </c>
      <c r="C12453" s="14">
        <f ca="1">IFERROR(__xludf.DUMMYFUNCTION("""COMPUTED_VALUE"""),0)</f>
        <v>0</v>
      </c>
      <c r="D12453" s="12" t="str">
        <f ca="1">IFERROR(__xludf.DUMMYFUNCTION("""COMPUTED_VALUE"""),"菅野 ぎんが")</f>
        <v>菅野 ぎんが</v>
      </c>
    </row>
    <row r="12454" spans="2:4" ht="13">
      <c r="B12454" s="12">
        <f ca="1">IFERROR(__xludf.DUMMYFUNCTION("""COMPUTED_VALUE"""),3903760)</f>
        <v>3903760</v>
      </c>
      <c r="C12454" s="14">
        <f ca="1">IFERROR(__xludf.DUMMYFUNCTION("""COMPUTED_VALUE"""),3)</f>
        <v>3</v>
      </c>
      <c r="D12454" s="12" t="str">
        <f ca="1">IFERROR(__xludf.DUMMYFUNCTION("""COMPUTED_VALUE"""),"長谷川 陸朗")</f>
        <v>長谷川 陸朗</v>
      </c>
    </row>
    <row r="12455" spans="2:4" ht="13">
      <c r="B12455" s="12">
        <f ca="1">IFERROR(__xludf.DUMMYFUNCTION("""COMPUTED_VALUE"""),3903764)</f>
        <v>3903764</v>
      </c>
      <c r="C12455" s="14">
        <f ca="1">IFERROR(__xludf.DUMMYFUNCTION("""COMPUTED_VALUE"""),0)</f>
        <v>0</v>
      </c>
      <c r="D12455" s="12" t="str">
        <f ca="1">IFERROR(__xludf.DUMMYFUNCTION("""COMPUTED_VALUE"""),"菅野 ぎんが")</f>
        <v>菅野 ぎんが</v>
      </c>
    </row>
    <row r="12456" spans="2:4" ht="13">
      <c r="B12456" s="12">
        <f ca="1">IFERROR(__xludf.DUMMYFUNCTION("""COMPUTED_VALUE"""),3903783)</f>
        <v>3903783</v>
      </c>
      <c r="C12456" s="14">
        <f ca="1">IFERROR(__xludf.DUMMYFUNCTION("""COMPUTED_VALUE"""),0)</f>
        <v>0</v>
      </c>
      <c r="D12456" s="12" t="str">
        <f ca="1">IFERROR(__xludf.DUMMYFUNCTION("""COMPUTED_VALUE"""),"菅野 ぎんが")</f>
        <v>菅野 ぎんが</v>
      </c>
    </row>
    <row r="12457" spans="2:4" ht="13">
      <c r="B12457" s="12">
        <f ca="1">IFERROR(__xludf.DUMMYFUNCTION("""COMPUTED_VALUE"""),3903801)</f>
        <v>3903801</v>
      </c>
      <c r="C12457" s="14">
        <f ca="1">IFERROR(__xludf.DUMMYFUNCTION("""COMPUTED_VALUE"""),3)</f>
        <v>3</v>
      </c>
      <c r="D12457" s="12" t="str">
        <f ca="1">IFERROR(__xludf.DUMMYFUNCTION("""COMPUTED_VALUE"""),"堀越 駿")</f>
        <v>堀越 駿</v>
      </c>
    </row>
    <row r="12458" spans="2:4" ht="13">
      <c r="B12458" s="12">
        <f ca="1">IFERROR(__xludf.DUMMYFUNCTION("""COMPUTED_VALUE"""),3903808)</f>
        <v>3903808</v>
      </c>
      <c r="C12458" s="14">
        <f ca="1">IFERROR(__xludf.DUMMYFUNCTION("""COMPUTED_VALUE"""),0)</f>
        <v>0</v>
      </c>
      <c r="D12458" s="12" t="str">
        <f ca="1">IFERROR(__xludf.DUMMYFUNCTION("""COMPUTED_VALUE"""),"堀越 駿")</f>
        <v>堀越 駿</v>
      </c>
    </row>
    <row r="12459" spans="2:4" ht="13">
      <c r="B12459" s="12">
        <f ca="1">IFERROR(__xludf.DUMMYFUNCTION("""COMPUTED_VALUE"""),3903820)</f>
        <v>3903820</v>
      </c>
      <c r="C12459" s="14">
        <f ca="1">IFERROR(__xludf.DUMMYFUNCTION("""COMPUTED_VALUE"""),0)</f>
        <v>0</v>
      </c>
      <c r="D12459" s="12" t="str">
        <f ca="1">IFERROR(__xludf.DUMMYFUNCTION("""COMPUTED_VALUE"""),"菅野 ぎんが")</f>
        <v>菅野 ぎんが</v>
      </c>
    </row>
    <row r="12460" spans="2:4" ht="13">
      <c r="B12460" s="12">
        <f ca="1">IFERROR(__xludf.DUMMYFUNCTION("""COMPUTED_VALUE"""),3903822)</f>
        <v>3903822</v>
      </c>
      <c r="C12460" s="14">
        <f ca="1">IFERROR(__xludf.DUMMYFUNCTION("""COMPUTED_VALUE"""),0)</f>
        <v>0</v>
      </c>
      <c r="D12460" s="12" t="str">
        <f ca="1">IFERROR(__xludf.DUMMYFUNCTION("""COMPUTED_VALUE"""),"荻曽 克輝")</f>
        <v>荻曽 克輝</v>
      </c>
    </row>
    <row r="12461" spans="2:4" ht="13">
      <c r="B12461" s="12">
        <f ca="1">IFERROR(__xludf.DUMMYFUNCTION("""COMPUTED_VALUE"""),3903823)</f>
        <v>3903823</v>
      </c>
      <c r="C12461" s="14">
        <f ca="1">IFERROR(__xludf.DUMMYFUNCTION("""COMPUTED_VALUE"""),0)</f>
        <v>0</v>
      </c>
      <c r="D12461" s="12" t="str">
        <f ca="1">IFERROR(__xludf.DUMMYFUNCTION("""COMPUTED_VALUE"""),"老田 純輝")</f>
        <v>老田 純輝</v>
      </c>
    </row>
    <row r="12462" spans="2:4" ht="13">
      <c r="B12462" s="12">
        <f ca="1">IFERROR(__xludf.DUMMYFUNCTION("""COMPUTED_VALUE"""),3903824)</f>
        <v>3903824</v>
      </c>
      <c r="C12462" s="14">
        <f ca="1">IFERROR(__xludf.DUMMYFUNCTION("""COMPUTED_VALUE"""),0)</f>
        <v>0</v>
      </c>
      <c r="D12462" s="12" t="str">
        <f ca="1">IFERROR(__xludf.DUMMYFUNCTION("""COMPUTED_VALUE"""),"川島 幹也")</f>
        <v>川島 幹也</v>
      </c>
    </row>
    <row r="12463" spans="2:4" ht="13">
      <c r="B12463" s="12">
        <f ca="1">IFERROR(__xludf.DUMMYFUNCTION("""COMPUTED_VALUE"""),3903826)</f>
        <v>3903826</v>
      </c>
      <c r="C12463" s="14">
        <f ca="1">IFERROR(__xludf.DUMMYFUNCTION("""COMPUTED_VALUE"""),0)</f>
        <v>0</v>
      </c>
      <c r="D12463" s="12" t="str">
        <f ca="1">IFERROR(__xludf.DUMMYFUNCTION("""COMPUTED_VALUE"""),"松尾 尚樹")</f>
        <v>松尾 尚樹</v>
      </c>
    </row>
    <row r="12464" spans="2:4" ht="13">
      <c r="B12464" s="12">
        <f ca="1">IFERROR(__xludf.DUMMYFUNCTION("""COMPUTED_VALUE"""),3903830)</f>
        <v>3903830</v>
      </c>
      <c r="C12464" s="14">
        <f ca="1">IFERROR(__xludf.DUMMYFUNCTION("""COMPUTED_VALUE"""),0)</f>
        <v>0</v>
      </c>
      <c r="D12464" s="12" t="str">
        <f ca="1">IFERROR(__xludf.DUMMYFUNCTION("""COMPUTED_VALUE"""),"内丸 裕子")</f>
        <v>内丸 裕子</v>
      </c>
    </row>
    <row r="12465" spans="2:4" ht="13">
      <c r="B12465" s="12">
        <f ca="1">IFERROR(__xludf.DUMMYFUNCTION("""COMPUTED_VALUE"""),3903837)</f>
        <v>3903837</v>
      </c>
      <c r="C12465" s="14">
        <f ca="1">IFERROR(__xludf.DUMMYFUNCTION("""COMPUTED_VALUE"""),2)</f>
        <v>2</v>
      </c>
      <c r="D12465" s="12" t="str">
        <f ca="1">IFERROR(__xludf.DUMMYFUNCTION("""COMPUTED_VALUE"""),"小関 麻起")</f>
        <v>小関 麻起</v>
      </c>
    </row>
    <row r="12466" spans="2:4" ht="13">
      <c r="B12466" s="12">
        <f ca="1">IFERROR(__xludf.DUMMYFUNCTION("""COMPUTED_VALUE"""),3903838)</f>
        <v>3903838</v>
      </c>
      <c r="C12466" s="14">
        <f ca="1">IFERROR(__xludf.DUMMYFUNCTION("""COMPUTED_VALUE"""),1)</f>
        <v>1</v>
      </c>
      <c r="D12466" s="12" t="str">
        <f ca="1">IFERROR(__xludf.DUMMYFUNCTION("""COMPUTED_VALUE"""),"老田 純輝")</f>
        <v>老田 純輝</v>
      </c>
    </row>
    <row r="12467" spans="2:4" ht="13">
      <c r="B12467" s="12">
        <f ca="1">IFERROR(__xludf.DUMMYFUNCTION("""COMPUTED_VALUE"""),3903842)</f>
        <v>3903842</v>
      </c>
      <c r="C12467" s="14">
        <f ca="1">IFERROR(__xludf.DUMMYFUNCTION("""COMPUTED_VALUE"""),26)</f>
        <v>26</v>
      </c>
      <c r="D12467" s="12" t="str">
        <f ca="1">IFERROR(__xludf.DUMMYFUNCTION("""COMPUTED_VALUE"""),"堀越 駿")</f>
        <v>堀越 駿</v>
      </c>
    </row>
    <row r="12468" spans="2:4" ht="13">
      <c r="B12468" s="12">
        <f ca="1">IFERROR(__xludf.DUMMYFUNCTION("""COMPUTED_VALUE"""),3903846)</f>
        <v>3903846</v>
      </c>
      <c r="C12468" s="14">
        <f ca="1">IFERROR(__xludf.DUMMYFUNCTION("""COMPUTED_VALUE"""),0)</f>
        <v>0</v>
      </c>
      <c r="D12468" s="12" t="str">
        <f ca="1">IFERROR(__xludf.DUMMYFUNCTION("""COMPUTED_VALUE"""),"長谷川 陸朗")</f>
        <v>長谷川 陸朗</v>
      </c>
    </row>
    <row r="12469" spans="2:4" ht="13">
      <c r="B12469" s="12">
        <f ca="1">IFERROR(__xludf.DUMMYFUNCTION("""COMPUTED_VALUE"""),3903849)</f>
        <v>3903849</v>
      </c>
      <c r="C12469" s="14">
        <f ca="1">IFERROR(__xludf.DUMMYFUNCTION("""COMPUTED_VALUE"""),0)</f>
        <v>0</v>
      </c>
      <c r="D12469" s="12" t="str">
        <f ca="1">IFERROR(__xludf.DUMMYFUNCTION("""COMPUTED_VALUE"""),"小関 麻起")</f>
        <v>小関 麻起</v>
      </c>
    </row>
    <row r="12470" spans="2:4" ht="13">
      <c r="B12470" s="12">
        <f ca="1">IFERROR(__xludf.DUMMYFUNCTION("""COMPUTED_VALUE"""),3903850)</f>
        <v>3903850</v>
      </c>
      <c r="C12470" s="14">
        <f ca="1">IFERROR(__xludf.DUMMYFUNCTION("""COMPUTED_VALUE"""),0)</f>
        <v>0</v>
      </c>
      <c r="D12470" s="12" t="str">
        <f ca="1">IFERROR(__xludf.DUMMYFUNCTION("""COMPUTED_VALUE"""),"荻曽 克輝")</f>
        <v>荻曽 克輝</v>
      </c>
    </row>
    <row r="12471" spans="2:4" ht="13">
      <c r="B12471" s="12">
        <f ca="1">IFERROR(__xludf.DUMMYFUNCTION("""COMPUTED_VALUE"""),3903859)</f>
        <v>3903859</v>
      </c>
      <c r="C12471" s="14">
        <f ca="1">IFERROR(__xludf.DUMMYFUNCTION("""COMPUTED_VALUE"""),0)</f>
        <v>0</v>
      </c>
      <c r="D12471" s="12" t="str">
        <f ca="1">IFERROR(__xludf.DUMMYFUNCTION("""COMPUTED_VALUE"""),"松尾 尚樹")</f>
        <v>松尾 尚樹</v>
      </c>
    </row>
    <row r="12472" spans="2:4" ht="13">
      <c r="B12472" s="12">
        <f ca="1">IFERROR(__xludf.DUMMYFUNCTION("""COMPUTED_VALUE"""),3903860)</f>
        <v>3903860</v>
      </c>
      <c r="C12472" s="14">
        <f ca="1">IFERROR(__xludf.DUMMYFUNCTION("""COMPUTED_VALUE"""),0)</f>
        <v>0</v>
      </c>
      <c r="D12472" s="12" t="str">
        <f ca="1">IFERROR(__xludf.DUMMYFUNCTION("""COMPUTED_VALUE"""),"辻村 将大")</f>
        <v>辻村 将大</v>
      </c>
    </row>
    <row r="12473" spans="2:4" ht="13">
      <c r="B12473" s="12">
        <f ca="1">IFERROR(__xludf.DUMMYFUNCTION("""COMPUTED_VALUE"""),3903862)</f>
        <v>3903862</v>
      </c>
      <c r="C12473" s="14">
        <f ca="1">IFERROR(__xludf.DUMMYFUNCTION("""COMPUTED_VALUE"""),0)</f>
        <v>0</v>
      </c>
      <c r="D12473" s="12" t="str">
        <f ca="1">IFERROR(__xludf.DUMMYFUNCTION("""COMPUTED_VALUE"""),"成嶋 夏未")</f>
        <v>成嶋 夏未</v>
      </c>
    </row>
    <row r="12474" spans="2:4" ht="13">
      <c r="B12474" s="12">
        <f ca="1">IFERROR(__xludf.DUMMYFUNCTION("""COMPUTED_VALUE"""),3903863)</f>
        <v>3903863</v>
      </c>
      <c r="C12474" s="14">
        <f ca="1">IFERROR(__xludf.DUMMYFUNCTION("""COMPUTED_VALUE"""),0)</f>
        <v>0</v>
      </c>
      <c r="D12474" s="12" t="str">
        <f ca="1">IFERROR(__xludf.DUMMYFUNCTION("""COMPUTED_VALUE"""),"稲場 勇介")</f>
        <v>稲場 勇介</v>
      </c>
    </row>
    <row r="12475" spans="2:4" ht="13">
      <c r="B12475" s="12">
        <f ca="1">IFERROR(__xludf.DUMMYFUNCTION("""COMPUTED_VALUE"""),3903871)</f>
        <v>3903871</v>
      </c>
      <c r="C12475" s="14">
        <f ca="1">IFERROR(__xludf.DUMMYFUNCTION("""COMPUTED_VALUE"""),0)</f>
        <v>0</v>
      </c>
      <c r="D12475" s="12" t="str">
        <f ca="1">IFERROR(__xludf.DUMMYFUNCTION("""COMPUTED_VALUE"""),"老田 純輝")</f>
        <v>老田 純輝</v>
      </c>
    </row>
    <row r="12476" spans="2:4" ht="13">
      <c r="B12476" s="12">
        <f ca="1">IFERROR(__xludf.DUMMYFUNCTION("""COMPUTED_VALUE"""),3903873)</f>
        <v>3903873</v>
      </c>
      <c r="C12476" s="14">
        <f ca="1">IFERROR(__xludf.DUMMYFUNCTION("""COMPUTED_VALUE"""),0)</f>
        <v>0</v>
      </c>
      <c r="D12476" s="12" t="str">
        <f ca="1">IFERROR(__xludf.DUMMYFUNCTION("""COMPUTED_VALUE"""),"桑原 明子")</f>
        <v>桑原 明子</v>
      </c>
    </row>
    <row r="12477" spans="2:4" ht="13">
      <c r="B12477" s="12">
        <f ca="1">IFERROR(__xludf.DUMMYFUNCTION("""COMPUTED_VALUE"""),3903874)</f>
        <v>3903874</v>
      </c>
      <c r="C12477" s="14">
        <f ca="1">IFERROR(__xludf.DUMMYFUNCTION("""COMPUTED_VALUE"""),0)</f>
        <v>0</v>
      </c>
      <c r="D12477" s="12" t="str">
        <f ca="1">IFERROR(__xludf.DUMMYFUNCTION("""COMPUTED_VALUE"""),"川島 幹也")</f>
        <v>川島 幹也</v>
      </c>
    </row>
    <row r="12478" spans="2:4" ht="13">
      <c r="B12478" s="12">
        <f ca="1">IFERROR(__xludf.DUMMYFUNCTION("""COMPUTED_VALUE"""),3903879)</f>
        <v>3903879</v>
      </c>
      <c r="C12478" s="14">
        <f ca="1">IFERROR(__xludf.DUMMYFUNCTION("""COMPUTED_VALUE"""),0)</f>
        <v>0</v>
      </c>
      <c r="D12478" s="12" t="str">
        <f ca="1">IFERROR(__xludf.DUMMYFUNCTION("""COMPUTED_VALUE"""),"森 光智")</f>
        <v>森 光智</v>
      </c>
    </row>
    <row r="12479" spans="2:4" ht="13">
      <c r="B12479" s="12">
        <f ca="1">IFERROR(__xludf.DUMMYFUNCTION("""COMPUTED_VALUE"""),3903887)</f>
        <v>3903887</v>
      </c>
      <c r="C12479" s="14">
        <f ca="1">IFERROR(__xludf.DUMMYFUNCTION("""COMPUTED_VALUE"""),0)</f>
        <v>0</v>
      </c>
      <c r="D12479" s="12" t="str">
        <f ca="1">IFERROR(__xludf.DUMMYFUNCTION("""COMPUTED_VALUE"""),"稲場 勇介")</f>
        <v>稲場 勇介</v>
      </c>
    </row>
    <row r="12480" spans="2:4" ht="13">
      <c r="B12480" s="12">
        <f ca="1">IFERROR(__xludf.DUMMYFUNCTION("""COMPUTED_VALUE"""),3903890)</f>
        <v>3903890</v>
      </c>
      <c r="C12480" s="14">
        <f ca="1">IFERROR(__xludf.DUMMYFUNCTION("""COMPUTED_VALUE"""),0)</f>
        <v>0</v>
      </c>
      <c r="D12480" s="12" t="str">
        <f ca="1">IFERROR(__xludf.DUMMYFUNCTION("""COMPUTED_VALUE"""),"成嶋 夏未")</f>
        <v>成嶋 夏未</v>
      </c>
    </row>
    <row r="12481" spans="2:4" ht="13">
      <c r="B12481" s="12">
        <f ca="1">IFERROR(__xludf.DUMMYFUNCTION("""COMPUTED_VALUE"""),3903893)</f>
        <v>3903893</v>
      </c>
      <c r="C12481" s="14">
        <f ca="1">IFERROR(__xludf.DUMMYFUNCTION("""COMPUTED_VALUE"""),1)</f>
        <v>1</v>
      </c>
      <c r="D12481" s="12" t="str">
        <f ca="1">IFERROR(__xludf.DUMMYFUNCTION("""COMPUTED_VALUE"""),"老田 純輝")</f>
        <v>老田 純輝</v>
      </c>
    </row>
    <row r="12482" spans="2:4" ht="13">
      <c r="B12482" s="12">
        <f ca="1">IFERROR(__xludf.DUMMYFUNCTION("""COMPUTED_VALUE"""),3903906)</f>
        <v>3903906</v>
      </c>
      <c r="C12482" s="14">
        <f ca="1">IFERROR(__xludf.DUMMYFUNCTION("""COMPUTED_VALUE"""),0)</f>
        <v>0</v>
      </c>
      <c r="D12482" s="12" t="str">
        <f ca="1">IFERROR(__xludf.DUMMYFUNCTION("""COMPUTED_VALUE"""),"長谷川 陸朗")</f>
        <v>長谷川 陸朗</v>
      </c>
    </row>
    <row r="12483" spans="2:4" ht="13">
      <c r="B12483" s="12">
        <f ca="1">IFERROR(__xludf.DUMMYFUNCTION("""COMPUTED_VALUE"""),3903909)</f>
        <v>3903909</v>
      </c>
      <c r="C12483" s="14">
        <f ca="1">IFERROR(__xludf.DUMMYFUNCTION("""COMPUTED_VALUE"""),0)</f>
        <v>0</v>
      </c>
      <c r="D12483" s="12" t="str">
        <f ca="1">IFERROR(__xludf.DUMMYFUNCTION("""COMPUTED_VALUE"""),"老田 純輝")</f>
        <v>老田 純輝</v>
      </c>
    </row>
    <row r="12484" spans="2:4" ht="13">
      <c r="B12484" s="12">
        <f ca="1">IFERROR(__xludf.DUMMYFUNCTION("""COMPUTED_VALUE"""),3903910)</f>
        <v>3903910</v>
      </c>
      <c r="C12484" s="14">
        <f ca="1">IFERROR(__xludf.DUMMYFUNCTION("""COMPUTED_VALUE"""),0)</f>
        <v>0</v>
      </c>
      <c r="D12484" s="12" t="str">
        <f ca="1">IFERROR(__xludf.DUMMYFUNCTION("""COMPUTED_VALUE"""),"長谷川 陸朗")</f>
        <v>長谷川 陸朗</v>
      </c>
    </row>
    <row r="12485" spans="2:4" ht="13">
      <c r="B12485" s="12">
        <f ca="1">IFERROR(__xludf.DUMMYFUNCTION("""COMPUTED_VALUE"""),3903913)</f>
        <v>3903913</v>
      </c>
      <c r="C12485" s="14">
        <f ca="1">IFERROR(__xludf.DUMMYFUNCTION("""COMPUTED_VALUE"""),0)</f>
        <v>0</v>
      </c>
      <c r="D12485" s="12" t="str">
        <f ca="1">IFERROR(__xludf.DUMMYFUNCTION("""COMPUTED_VALUE"""),"小関 麻起")</f>
        <v>小関 麻起</v>
      </c>
    </row>
    <row r="12486" spans="2:4" ht="13">
      <c r="B12486" s="12">
        <f ca="1">IFERROR(__xludf.DUMMYFUNCTION("""COMPUTED_VALUE"""),3903914)</f>
        <v>3903914</v>
      </c>
      <c r="C12486" s="14">
        <f ca="1">IFERROR(__xludf.DUMMYFUNCTION("""COMPUTED_VALUE"""),0)</f>
        <v>0</v>
      </c>
      <c r="D12486" s="12" t="str">
        <f ca="1">IFERROR(__xludf.DUMMYFUNCTION("""COMPUTED_VALUE"""),"小川 純")</f>
        <v>小川 純</v>
      </c>
    </row>
    <row r="12487" spans="2:4" ht="13">
      <c r="B12487" s="12">
        <f ca="1">IFERROR(__xludf.DUMMYFUNCTION("""COMPUTED_VALUE"""),3903923)</f>
        <v>3903923</v>
      </c>
      <c r="C12487" s="14">
        <f ca="1">IFERROR(__xludf.DUMMYFUNCTION("""COMPUTED_VALUE"""),0)</f>
        <v>0</v>
      </c>
      <c r="D12487" s="12" t="str">
        <f ca="1">IFERROR(__xludf.DUMMYFUNCTION("""COMPUTED_VALUE"""),"田嶋 将太")</f>
        <v>田嶋 将太</v>
      </c>
    </row>
    <row r="12488" spans="2:4" ht="13">
      <c r="B12488" s="12">
        <f ca="1">IFERROR(__xludf.DUMMYFUNCTION("""COMPUTED_VALUE"""),3903932)</f>
        <v>3903932</v>
      </c>
      <c r="C12488" s="14">
        <f ca="1">IFERROR(__xludf.DUMMYFUNCTION("""COMPUTED_VALUE"""),3)</f>
        <v>3</v>
      </c>
      <c r="D12488" s="12" t="str">
        <f ca="1">IFERROR(__xludf.DUMMYFUNCTION("""COMPUTED_VALUE"""),"堀越 駿")</f>
        <v>堀越 駿</v>
      </c>
    </row>
    <row r="12489" spans="2:4" ht="13">
      <c r="B12489" s="12">
        <f ca="1">IFERROR(__xludf.DUMMYFUNCTION("""COMPUTED_VALUE"""),3903936)</f>
        <v>3903936</v>
      </c>
      <c r="C12489" s="14">
        <f ca="1">IFERROR(__xludf.DUMMYFUNCTION("""COMPUTED_VALUE"""),0)</f>
        <v>0</v>
      </c>
      <c r="D12489" s="12" t="str">
        <f ca="1">IFERROR(__xludf.DUMMYFUNCTION("""COMPUTED_VALUE"""),"菅野 ぎんが")</f>
        <v>菅野 ぎんが</v>
      </c>
    </row>
    <row r="12490" spans="2:4" ht="13">
      <c r="B12490" s="12">
        <f ca="1">IFERROR(__xludf.DUMMYFUNCTION("""COMPUTED_VALUE"""),3903939)</f>
        <v>3903939</v>
      </c>
      <c r="C12490" s="14">
        <f ca="1">IFERROR(__xludf.DUMMYFUNCTION("""COMPUTED_VALUE"""),0)</f>
        <v>0</v>
      </c>
      <c r="D12490" s="12" t="str">
        <f ca="1">IFERROR(__xludf.DUMMYFUNCTION("""COMPUTED_VALUE"""),"芳賀 亮輔")</f>
        <v>芳賀 亮輔</v>
      </c>
    </row>
    <row r="12491" spans="2:4" ht="13">
      <c r="B12491" s="12">
        <f ca="1">IFERROR(__xludf.DUMMYFUNCTION("""COMPUTED_VALUE"""),3903941)</f>
        <v>3903941</v>
      </c>
      <c r="C12491" s="14">
        <f ca="1">IFERROR(__xludf.DUMMYFUNCTION("""COMPUTED_VALUE"""),0)</f>
        <v>0</v>
      </c>
      <c r="D12491" s="12" t="str">
        <f ca="1">IFERROR(__xludf.DUMMYFUNCTION("""COMPUTED_VALUE"""),"桑原 明子")</f>
        <v>桑原 明子</v>
      </c>
    </row>
    <row r="12492" spans="2:4" ht="13">
      <c r="B12492" s="12">
        <f ca="1">IFERROR(__xludf.DUMMYFUNCTION("""COMPUTED_VALUE"""),3903943)</f>
        <v>3903943</v>
      </c>
      <c r="C12492" s="14">
        <f ca="1">IFERROR(__xludf.DUMMYFUNCTION("""COMPUTED_VALUE"""),1)</f>
        <v>1</v>
      </c>
      <c r="D12492" s="12" t="str">
        <f ca="1">IFERROR(__xludf.DUMMYFUNCTION("""COMPUTED_VALUE"""),"老田 純輝")</f>
        <v>老田 純輝</v>
      </c>
    </row>
    <row r="12493" spans="2:4" ht="13">
      <c r="B12493" s="12">
        <f ca="1">IFERROR(__xludf.DUMMYFUNCTION("""COMPUTED_VALUE"""),3903945)</f>
        <v>3903945</v>
      </c>
      <c r="C12493" s="14">
        <f ca="1">IFERROR(__xludf.DUMMYFUNCTION("""COMPUTED_VALUE"""),0)</f>
        <v>0</v>
      </c>
      <c r="D12493" s="12" t="str">
        <f ca="1">IFERROR(__xludf.DUMMYFUNCTION("""COMPUTED_VALUE"""),"老田 純輝")</f>
        <v>老田 純輝</v>
      </c>
    </row>
    <row r="12494" spans="2:4" ht="13">
      <c r="B12494" s="12">
        <f ca="1">IFERROR(__xludf.DUMMYFUNCTION("""COMPUTED_VALUE"""),3903952)</f>
        <v>3903952</v>
      </c>
      <c r="C12494" s="14">
        <f ca="1">IFERROR(__xludf.DUMMYFUNCTION("""COMPUTED_VALUE"""),0)</f>
        <v>0</v>
      </c>
      <c r="D12494" s="12" t="str">
        <f ca="1">IFERROR(__xludf.DUMMYFUNCTION("""COMPUTED_VALUE"""),"長谷川 陸朗")</f>
        <v>長谷川 陸朗</v>
      </c>
    </row>
    <row r="12495" spans="2:4" ht="13">
      <c r="B12495" s="12">
        <f ca="1">IFERROR(__xludf.DUMMYFUNCTION("""COMPUTED_VALUE"""),3903956)</f>
        <v>3903956</v>
      </c>
      <c r="C12495" s="14">
        <f ca="1">IFERROR(__xludf.DUMMYFUNCTION("""COMPUTED_VALUE"""),24)</f>
        <v>24</v>
      </c>
      <c r="D12495" s="12" t="str">
        <f ca="1">IFERROR(__xludf.DUMMYFUNCTION("""COMPUTED_VALUE"""),"老田 純輝")</f>
        <v>老田 純輝</v>
      </c>
    </row>
    <row r="12496" spans="2:4" ht="13">
      <c r="B12496" s="12">
        <f ca="1">IFERROR(__xludf.DUMMYFUNCTION("""COMPUTED_VALUE"""),3903959)</f>
        <v>3903959</v>
      </c>
      <c r="C12496" s="14">
        <f ca="1">IFERROR(__xludf.DUMMYFUNCTION("""COMPUTED_VALUE"""),0)</f>
        <v>0</v>
      </c>
      <c r="D12496" s="12" t="str">
        <f ca="1">IFERROR(__xludf.DUMMYFUNCTION("""COMPUTED_VALUE"""),"小関 麻起")</f>
        <v>小関 麻起</v>
      </c>
    </row>
    <row r="12497" spans="2:4" ht="13">
      <c r="B12497" s="12">
        <f ca="1">IFERROR(__xludf.DUMMYFUNCTION("""COMPUTED_VALUE"""),3903961)</f>
        <v>3903961</v>
      </c>
      <c r="C12497" s="14">
        <f ca="1">IFERROR(__xludf.DUMMYFUNCTION("""COMPUTED_VALUE"""),0)</f>
        <v>0</v>
      </c>
      <c r="D12497" s="12" t="str">
        <f ca="1">IFERROR(__xludf.DUMMYFUNCTION("""COMPUTED_VALUE"""),"荻曽 克輝")</f>
        <v>荻曽 克輝</v>
      </c>
    </row>
    <row r="12498" spans="2:4" ht="13">
      <c r="B12498" s="12">
        <f ca="1">IFERROR(__xludf.DUMMYFUNCTION("""COMPUTED_VALUE"""),3903962)</f>
        <v>3903962</v>
      </c>
      <c r="C12498" s="14">
        <f ca="1">IFERROR(__xludf.DUMMYFUNCTION("""COMPUTED_VALUE"""),0)</f>
        <v>0</v>
      </c>
      <c r="D12498" s="12" t="str">
        <f ca="1">IFERROR(__xludf.DUMMYFUNCTION("""COMPUTED_VALUE"""),"内丸 裕子")</f>
        <v>内丸 裕子</v>
      </c>
    </row>
    <row r="12499" spans="2:4" ht="13">
      <c r="B12499" s="12">
        <f ca="1">IFERROR(__xludf.DUMMYFUNCTION("""COMPUTED_VALUE"""),3903966)</f>
        <v>3903966</v>
      </c>
      <c r="C12499" s="14">
        <f ca="1">IFERROR(__xludf.DUMMYFUNCTION("""COMPUTED_VALUE"""),0)</f>
        <v>0</v>
      </c>
      <c r="D12499" s="12" t="str">
        <f ca="1">IFERROR(__xludf.DUMMYFUNCTION("""COMPUTED_VALUE"""),"桐山 勝気")</f>
        <v>桐山 勝気</v>
      </c>
    </row>
    <row r="12500" spans="2:4" ht="13">
      <c r="B12500" s="12">
        <f ca="1">IFERROR(__xludf.DUMMYFUNCTION("""COMPUTED_VALUE"""),3903968)</f>
        <v>3903968</v>
      </c>
      <c r="C12500" s="14">
        <f ca="1">IFERROR(__xludf.DUMMYFUNCTION("""COMPUTED_VALUE"""),1)</f>
        <v>1</v>
      </c>
      <c r="D12500" s="12" t="str">
        <f ca="1">IFERROR(__xludf.DUMMYFUNCTION("""COMPUTED_VALUE"""),"松尾 尚樹")</f>
        <v>松尾 尚樹</v>
      </c>
    </row>
    <row r="12501" spans="2:4" ht="13">
      <c r="B12501" s="12">
        <f ca="1">IFERROR(__xludf.DUMMYFUNCTION("""COMPUTED_VALUE"""),3903979)</f>
        <v>3903979</v>
      </c>
      <c r="C12501" s="14">
        <f ca="1">IFERROR(__xludf.DUMMYFUNCTION("""COMPUTED_VALUE"""),0)</f>
        <v>0</v>
      </c>
      <c r="D12501" s="12" t="str">
        <f ca="1">IFERROR(__xludf.DUMMYFUNCTION("""COMPUTED_VALUE"""),"成嶋 夏未")</f>
        <v>成嶋 夏未</v>
      </c>
    </row>
    <row r="12502" spans="2:4" ht="13">
      <c r="B12502" s="12">
        <f ca="1">IFERROR(__xludf.DUMMYFUNCTION("""COMPUTED_VALUE"""),3903980)</f>
        <v>3903980</v>
      </c>
      <c r="C12502" s="14">
        <f ca="1">IFERROR(__xludf.DUMMYFUNCTION("""COMPUTED_VALUE"""),0)</f>
        <v>0</v>
      </c>
      <c r="D12502" s="12" t="str">
        <f ca="1">IFERROR(__xludf.DUMMYFUNCTION("""COMPUTED_VALUE"""),"長谷川 陸朗")</f>
        <v>長谷川 陸朗</v>
      </c>
    </row>
    <row r="12503" spans="2:4" ht="13">
      <c r="B12503" s="12">
        <f ca="1">IFERROR(__xludf.DUMMYFUNCTION("""COMPUTED_VALUE"""),3903982)</f>
        <v>3903982</v>
      </c>
      <c r="C12503" s="14">
        <f ca="1">IFERROR(__xludf.DUMMYFUNCTION("""COMPUTED_VALUE"""),0)</f>
        <v>0</v>
      </c>
      <c r="D12503" s="12" t="str">
        <f ca="1">IFERROR(__xludf.DUMMYFUNCTION("""COMPUTED_VALUE"""),"老田 純輝")</f>
        <v>老田 純輝</v>
      </c>
    </row>
    <row r="12504" spans="2:4" ht="13">
      <c r="B12504" s="12">
        <f ca="1">IFERROR(__xludf.DUMMYFUNCTION("""COMPUTED_VALUE"""),3903985)</f>
        <v>3903985</v>
      </c>
      <c r="C12504" s="14">
        <f ca="1">IFERROR(__xludf.DUMMYFUNCTION("""COMPUTED_VALUE"""),0)</f>
        <v>0</v>
      </c>
      <c r="D12504" s="12" t="str">
        <f ca="1">IFERROR(__xludf.DUMMYFUNCTION("""COMPUTED_VALUE"""),"成嶋 夏未")</f>
        <v>成嶋 夏未</v>
      </c>
    </row>
    <row r="12505" spans="2:4" ht="13">
      <c r="B12505" s="12">
        <f ca="1">IFERROR(__xludf.DUMMYFUNCTION("""COMPUTED_VALUE"""),3903986)</f>
        <v>3903986</v>
      </c>
      <c r="C12505" s="14">
        <f ca="1">IFERROR(__xludf.DUMMYFUNCTION("""COMPUTED_VALUE"""),0)</f>
        <v>0</v>
      </c>
      <c r="D12505" s="12" t="str">
        <f ca="1">IFERROR(__xludf.DUMMYFUNCTION("""COMPUTED_VALUE"""),"長谷川 陸朗")</f>
        <v>長谷川 陸朗</v>
      </c>
    </row>
    <row r="12506" spans="2:4" ht="13">
      <c r="B12506" s="12">
        <f ca="1">IFERROR(__xludf.DUMMYFUNCTION("""COMPUTED_VALUE"""),3904001)</f>
        <v>3904001</v>
      </c>
      <c r="C12506" s="14">
        <f ca="1">IFERROR(__xludf.DUMMYFUNCTION("""COMPUTED_VALUE"""),0)</f>
        <v>0</v>
      </c>
      <c r="D12506" s="12" t="str">
        <f ca="1">IFERROR(__xludf.DUMMYFUNCTION("""COMPUTED_VALUE"""),"菅野 ぎんが")</f>
        <v>菅野 ぎんが</v>
      </c>
    </row>
    <row r="12507" spans="2:4" ht="13">
      <c r="B12507" s="12">
        <f ca="1">IFERROR(__xludf.DUMMYFUNCTION("""COMPUTED_VALUE"""),3904003)</f>
        <v>3904003</v>
      </c>
      <c r="C12507" s="14">
        <f ca="1">IFERROR(__xludf.DUMMYFUNCTION("""COMPUTED_VALUE"""),1)</f>
        <v>1</v>
      </c>
      <c r="D12507" s="12" t="str">
        <f ca="1">IFERROR(__xludf.DUMMYFUNCTION("""COMPUTED_VALUE"""),"松尾 尚樹")</f>
        <v>松尾 尚樹</v>
      </c>
    </row>
    <row r="12508" spans="2:4" ht="13">
      <c r="B12508" s="12">
        <f ca="1">IFERROR(__xludf.DUMMYFUNCTION("""COMPUTED_VALUE"""),3904007)</f>
        <v>3904007</v>
      </c>
      <c r="C12508" s="14">
        <f ca="1">IFERROR(__xludf.DUMMYFUNCTION("""COMPUTED_VALUE"""),0)</f>
        <v>0</v>
      </c>
      <c r="D12508" s="12" t="str">
        <f ca="1">IFERROR(__xludf.DUMMYFUNCTION("""COMPUTED_VALUE"""),"松尾 尚樹")</f>
        <v>松尾 尚樹</v>
      </c>
    </row>
    <row r="12509" spans="2:4" ht="13">
      <c r="B12509" s="12">
        <f ca="1">IFERROR(__xludf.DUMMYFUNCTION("""COMPUTED_VALUE"""),3904009)</f>
        <v>3904009</v>
      </c>
      <c r="C12509" s="14">
        <f ca="1">IFERROR(__xludf.DUMMYFUNCTION("""COMPUTED_VALUE"""),0)</f>
        <v>0</v>
      </c>
      <c r="D12509" s="12" t="str">
        <f ca="1">IFERROR(__xludf.DUMMYFUNCTION("""COMPUTED_VALUE"""),"松尾 尚樹")</f>
        <v>松尾 尚樹</v>
      </c>
    </row>
    <row r="12510" spans="2:4" ht="13">
      <c r="B12510" s="12">
        <f ca="1">IFERROR(__xludf.DUMMYFUNCTION("""COMPUTED_VALUE"""),3904011)</f>
        <v>3904011</v>
      </c>
      <c r="C12510" s="14">
        <f ca="1">IFERROR(__xludf.DUMMYFUNCTION("""COMPUTED_VALUE"""),0)</f>
        <v>0</v>
      </c>
      <c r="D12510" s="12" t="str">
        <f ca="1">IFERROR(__xludf.DUMMYFUNCTION("""COMPUTED_VALUE"""),"小関 麻起")</f>
        <v>小関 麻起</v>
      </c>
    </row>
    <row r="12511" spans="2:4" ht="13">
      <c r="B12511" s="12">
        <f ca="1">IFERROR(__xludf.DUMMYFUNCTION("""COMPUTED_VALUE"""),3904014)</f>
        <v>3904014</v>
      </c>
      <c r="C12511" s="14">
        <f ca="1">IFERROR(__xludf.DUMMYFUNCTION("""COMPUTED_VALUE"""),0)</f>
        <v>0</v>
      </c>
      <c r="D12511" s="12" t="str">
        <f ca="1">IFERROR(__xludf.DUMMYFUNCTION("""COMPUTED_VALUE"""),"小関 麻起")</f>
        <v>小関 麻起</v>
      </c>
    </row>
    <row r="12512" spans="2:4" ht="13">
      <c r="B12512" s="12">
        <f ca="1">IFERROR(__xludf.DUMMYFUNCTION("""COMPUTED_VALUE"""),3904015)</f>
        <v>3904015</v>
      </c>
      <c r="C12512" s="14">
        <f ca="1">IFERROR(__xludf.DUMMYFUNCTION("""COMPUTED_VALUE"""),0)</f>
        <v>0</v>
      </c>
      <c r="D12512" s="12" t="str">
        <f ca="1">IFERROR(__xludf.DUMMYFUNCTION("""COMPUTED_VALUE"""),"小関 麻起")</f>
        <v>小関 麻起</v>
      </c>
    </row>
    <row r="12513" spans="2:4" ht="13">
      <c r="B12513" s="12">
        <f ca="1">IFERROR(__xludf.DUMMYFUNCTION("""COMPUTED_VALUE"""),3904018)</f>
        <v>3904018</v>
      </c>
      <c r="C12513" s="14">
        <f ca="1">IFERROR(__xludf.DUMMYFUNCTION("""COMPUTED_VALUE"""),0)</f>
        <v>0</v>
      </c>
      <c r="D12513" s="12" t="str">
        <f ca="1">IFERROR(__xludf.DUMMYFUNCTION("""COMPUTED_VALUE"""),"菅野 ぎんが")</f>
        <v>菅野 ぎんが</v>
      </c>
    </row>
    <row r="12514" spans="2:4" ht="13">
      <c r="B12514" s="12">
        <f ca="1">IFERROR(__xludf.DUMMYFUNCTION("""COMPUTED_VALUE"""),3904024)</f>
        <v>3904024</v>
      </c>
      <c r="C12514" s="14">
        <f ca="1">IFERROR(__xludf.DUMMYFUNCTION("""COMPUTED_VALUE"""),0)</f>
        <v>0</v>
      </c>
      <c r="D12514" s="12" t="str">
        <f ca="1">IFERROR(__xludf.DUMMYFUNCTION("""COMPUTED_VALUE"""),"小関 麻起")</f>
        <v>小関 麻起</v>
      </c>
    </row>
    <row r="12515" spans="2:4" ht="13">
      <c r="B12515" s="12">
        <f ca="1">IFERROR(__xludf.DUMMYFUNCTION("""COMPUTED_VALUE"""),3904028)</f>
        <v>3904028</v>
      </c>
      <c r="C12515" s="14">
        <f ca="1">IFERROR(__xludf.DUMMYFUNCTION("""COMPUTED_VALUE"""),0)</f>
        <v>0</v>
      </c>
      <c r="D12515" s="12" t="str">
        <f ca="1">IFERROR(__xludf.DUMMYFUNCTION("""COMPUTED_VALUE"""),"菅野 ぎんが")</f>
        <v>菅野 ぎんが</v>
      </c>
    </row>
    <row r="12516" spans="2:4" ht="13">
      <c r="B12516" s="12">
        <f ca="1">IFERROR(__xludf.DUMMYFUNCTION("""COMPUTED_VALUE"""),3904029)</f>
        <v>3904029</v>
      </c>
      <c r="C12516" s="14">
        <f ca="1">IFERROR(__xludf.DUMMYFUNCTION("""COMPUTED_VALUE"""),0)</f>
        <v>0</v>
      </c>
      <c r="D12516" s="12" t="str">
        <f ca="1">IFERROR(__xludf.DUMMYFUNCTION("""COMPUTED_VALUE"""),"菅野 ぎんが")</f>
        <v>菅野 ぎんが</v>
      </c>
    </row>
    <row r="12517" spans="2:4" ht="13">
      <c r="B12517" s="12">
        <f ca="1">IFERROR(__xludf.DUMMYFUNCTION("""COMPUTED_VALUE"""),3904030)</f>
        <v>3904030</v>
      </c>
      <c r="C12517" s="14">
        <f ca="1">IFERROR(__xludf.DUMMYFUNCTION("""COMPUTED_VALUE"""),1)</f>
        <v>1</v>
      </c>
      <c r="D12517" s="12" t="str">
        <f ca="1">IFERROR(__xludf.DUMMYFUNCTION("""COMPUTED_VALUE"""),"長谷川 陸朗")</f>
        <v>長谷川 陸朗</v>
      </c>
    </row>
    <row r="12518" spans="2:4" ht="13">
      <c r="B12518" s="12">
        <f ca="1">IFERROR(__xludf.DUMMYFUNCTION("""COMPUTED_VALUE"""),3904032)</f>
        <v>3904032</v>
      </c>
      <c r="C12518" s="14">
        <f ca="1">IFERROR(__xludf.DUMMYFUNCTION("""COMPUTED_VALUE"""),0)</f>
        <v>0</v>
      </c>
      <c r="D12518" s="12" t="str">
        <f ca="1">IFERROR(__xludf.DUMMYFUNCTION("""COMPUTED_VALUE"""),"松尾 尚樹")</f>
        <v>松尾 尚樹</v>
      </c>
    </row>
    <row r="12519" spans="2:4" ht="13">
      <c r="B12519" s="12">
        <f ca="1">IFERROR(__xludf.DUMMYFUNCTION("""COMPUTED_VALUE"""),3904036)</f>
        <v>3904036</v>
      </c>
      <c r="C12519" s="14">
        <f ca="1">IFERROR(__xludf.DUMMYFUNCTION("""COMPUTED_VALUE"""),0)</f>
        <v>0</v>
      </c>
      <c r="D12519" s="12" t="str">
        <f ca="1">IFERROR(__xludf.DUMMYFUNCTION("""COMPUTED_VALUE"""),"松尾 尚樹")</f>
        <v>松尾 尚樹</v>
      </c>
    </row>
    <row r="12520" spans="2:4" ht="13">
      <c r="B12520" s="12">
        <f ca="1">IFERROR(__xludf.DUMMYFUNCTION("""COMPUTED_VALUE"""),3904037)</f>
        <v>3904037</v>
      </c>
      <c r="C12520" s="14">
        <f ca="1">IFERROR(__xludf.DUMMYFUNCTION("""COMPUTED_VALUE"""),0)</f>
        <v>0</v>
      </c>
      <c r="D12520" s="12" t="str">
        <f ca="1">IFERROR(__xludf.DUMMYFUNCTION("""COMPUTED_VALUE"""),"菅野 ぎんが")</f>
        <v>菅野 ぎんが</v>
      </c>
    </row>
    <row r="12521" spans="2:4" ht="13">
      <c r="B12521" s="12">
        <f ca="1">IFERROR(__xludf.DUMMYFUNCTION("""COMPUTED_VALUE"""),3904038)</f>
        <v>3904038</v>
      </c>
      <c r="C12521" s="14">
        <f ca="1">IFERROR(__xludf.DUMMYFUNCTION("""COMPUTED_VALUE"""),0)</f>
        <v>0</v>
      </c>
      <c r="D12521" s="12" t="str">
        <f ca="1">IFERROR(__xludf.DUMMYFUNCTION("""COMPUTED_VALUE"""),"松尾 尚樹")</f>
        <v>松尾 尚樹</v>
      </c>
    </row>
    <row r="12522" spans="2:4" ht="13">
      <c r="B12522" s="12">
        <f ca="1">IFERROR(__xludf.DUMMYFUNCTION("""COMPUTED_VALUE"""),3904039)</f>
        <v>3904039</v>
      </c>
      <c r="C12522" s="14">
        <f ca="1">IFERROR(__xludf.DUMMYFUNCTION("""COMPUTED_VALUE"""),0)</f>
        <v>0</v>
      </c>
      <c r="D12522" s="12" t="str">
        <f ca="1">IFERROR(__xludf.DUMMYFUNCTION("""COMPUTED_VALUE"""),"菅野 ぎんが")</f>
        <v>菅野 ぎんが</v>
      </c>
    </row>
    <row r="12523" spans="2:4" ht="13">
      <c r="B12523" s="12">
        <f ca="1">IFERROR(__xludf.DUMMYFUNCTION("""COMPUTED_VALUE"""),3904041)</f>
        <v>3904041</v>
      </c>
      <c r="C12523" s="14">
        <f ca="1">IFERROR(__xludf.DUMMYFUNCTION("""COMPUTED_VALUE"""),0)</f>
        <v>0</v>
      </c>
      <c r="D12523" s="12" t="str">
        <f ca="1">IFERROR(__xludf.DUMMYFUNCTION("""COMPUTED_VALUE"""),"長谷川 陸朗")</f>
        <v>長谷川 陸朗</v>
      </c>
    </row>
    <row r="12524" spans="2:4" ht="13">
      <c r="B12524" s="12">
        <f ca="1">IFERROR(__xludf.DUMMYFUNCTION("""COMPUTED_VALUE"""),3904045)</f>
        <v>3904045</v>
      </c>
      <c r="C12524" s="14">
        <f ca="1">IFERROR(__xludf.DUMMYFUNCTION("""COMPUTED_VALUE"""),0)</f>
        <v>0</v>
      </c>
      <c r="D12524" s="12" t="str">
        <f ca="1">IFERROR(__xludf.DUMMYFUNCTION("""COMPUTED_VALUE"""),"小関 麻起")</f>
        <v>小関 麻起</v>
      </c>
    </row>
    <row r="12525" spans="2:4" ht="13">
      <c r="B12525" s="12">
        <f ca="1">IFERROR(__xludf.DUMMYFUNCTION("""COMPUTED_VALUE"""),3904046)</f>
        <v>3904046</v>
      </c>
      <c r="C12525" s="14">
        <f ca="1">IFERROR(__xludf.DUMMYFUNCTION("""COMPUTED_VALUE"""),0)</f>
        <v>0</v>
      </c>
      <c r="D12525" s="12" t="str">
        <f ca="1">IFERROR(__xludf.DUMMYFUNCTION("""COMPUTED_VALUE"""),"小関 麻起")</f>
        <v>小関 麻起</v>
      </c>
    </row>
    <row r="12526" spans="2:4" ht="13">
      <c r="B12526" s="12">
        <f ca="1">IFERROR(__xludf.DUMMYFUNCTION("""COMPUTED_VALUE"""),3904047)</f>
        <v>3904047</v>
      </c>
      <c r="C12526" s="14">
        <f ca="1">IFERROR(__xludf.DUMMYFUNCTION("""COMPUTED_VALUE"""),0)</f>
        <v>0</v>
      </c>
      <c r="D12526" s="12" t="str">
        <f ca="1">IFERROR(__xludf.DUMMYFUNCTION("""COMPUTED_VALUE"""),"松尾 尚樹")</f>
        <v>松尾 尚樹</v>
      </c>
    </row>
    <row r="12527" spans="2:4" ht="13">
      <c r="B12527" s="12">
        <f ca="1">IFERROR(__xludf.DUMMYFUNCTION("""COMPUTED_VALUE"""),3904050)</f>
        <v>3904050</v>
      </c>
      <c r="C12527" s="14">
        <f ca="1">IFERROR(__xludf.DUMMYFUNCTION("""COMPUTED_VALUE"""),0)</f>
        <v>0</v>
      </c>
      <c r="D12527" s="12" t="str">
        <f ca="1">IFERROR(__xludf.DUMMYFUNCTION("""COMPUTED_VALUE"""),"稲場 勇介")</f>
        <v>稲場 勇介</v>
      </c>
    </row>
    <row r="12528" spans="2:4" ht="13">
      <c r="B12528" s="12">
        <f ca="1">IFERROR(__xludf.DUMMYFUNCTION("""COMPUTED_VALUE"""),3904053)</f>
        <v>3904053</v>
      </c>
      <c r="C12528" s="14">
        <f ca="1">IFERROR(__xludf.DUMMYFUNCTION("""COMPUTED_VALUE"""),3)</f>
        <v>3</v>
      </c>
      <c r="D12528" s="12" t="str">
        <f ca="1">IFERROR(__xludf.DUMMYFUNCTION("""COMPUTED_VALUE"""),"小関 麻起")</f>
        <v>小関 麻起</v>
      </c>
    </row>
    <row r="12529" spans="2:4" ht="13">
      <c r="B12529" s="12">
        <f ca="1">IFERROR(__xludf.DUMMYFUNCTION("""COMPUTED_VALUE"""),3904054)</f>
        <v>3904054</v>
      </c>
      <c r="C12529" s="14">
        <f ca="1">IFERROR(__xludf.DUMMYFUNCTION("""COMPUTED_VALUE"""),1)</f>
        <v>1</v>
      </c>
      <c r="D12529" s="12" t="str">
        <f ca="1">IFERROR(__xludf.DUMMYFUNCTION("""COMPUTED_VALUE"""),"菅野 ぎんが")</f>
        <v>菅野 ぎんが</v>
      </c>
    </row>
    <row r="12530" spans="2:4" ht="13">
      <c r="B12530" s="12">
        <f ca="1">IFERROR(__xludf.DUMMYFUNCTION("""COMPUTED_VALUE"""),3904059)</f>
        <v>3904059</v>
      </c>
      <c r="C12530" s="14">
        <f ca="1">IFERROR(__xludf.DUMMYFUNCTION("""COMPUTED_VALUE"""),0)</f>
        <v>0</v>
      </c>
      <c r="D12530" s="12" t="str">
        <f ca="1">IFERROR(__xludf.DUMMYFUNCTION("""COMPUTED_VALUE"""),"松尾 尚樹")</f>
        <v>松尾 尚樹</v>
      </c>
    </row>
    <row r="12531" spans="2:4" ht="13">
      <c r="B12531" s="12">
        <f ca="1">IFERROR(__xludf.DUMMYFUNCTION("""COMPUTED_VALUE"""),3904062)</f>
        <v>3904062</v>
      </c>
      <c r="C12531" s="14">
        <f ca="1">IFERROR(__xludf.DUMMYFUNCTION("""COMPUTED_VALUE"""),0)</f>
        <v>0</v>
      </c>
      <c r="D12531" s="12" t="str">
        <f ca="1">IFERROR(__xludf.DUMMYFUNCTION("""COMPUTED_VALUE"""),"菅野 ぎんが")</f>
        <v>菅野 ぎんが</v>
      </c>
    </row>
    <row r="12532" spans="2:4" ht="13">
      <c r="B12532" s="12">
        <f ca="1">IFERROR(__xludf.DUMMYFUNCTION("""COMPUTED_VALUE"""),3904073)</f>
        <v>3904073</v>
      </c>
      <c r="C12532" s="14">
        <f ca="1">IFERROR(__xludf.DUMMYFUNCTION("""COMPUTED_VALUE"""),0)</f>
        <v>0</v>
      </c>
      <c r="D12532" s="12" t="str">
        <f ca="1">IFERROR(__xludf.DUMMYFUNCTION("""COMPUTED_VALUE"""),"小関 麻起")</f>
        <v>小関 麻起</v>
      </c>
    </row>
    <row r="12533" spans="2:4" ht="13">
      <c r="B12533" s="12">
        <f ca="1">IFERROR(__xludf.DUMMYFUNCTION("""COMPUTED_VALUE"""),3904075)</f>
        <v>3904075</v>
      </c>
      <c r="C12533" s="14">
        <f ca="1">IFERROR(__xludf.DUMMYFUNCTION("""COMPUTED_VALUE"""),0)</f>
        <v>0</v>
      </c>
      <c r="D12533" s="12" t="str">
        <f ca="1">IFERROR(__xludf.DUMMYFUNCTION("""COMPUTED_VALUE"""),"長谷川 陸朗")</f>
        <v>長谷川 陸朗</v>
      </c>
    </row>
    <row r="12534" spans="2:4" ht="13">
      <c r="B12534" s="12">
        <f ca="1">IFERROR(__xludf.DUMMYFUNCTION("""COMPUTED_VALUE"""),3904082)</f>
        <v>3904082</v>
      </c>
      <c r="C12534" s="14">
        <f ca="1">IFERROR(__xludf.DUMMYFUNCTION("""COMPUTED_VALUE"""),0)</f>
        <v>0</v>
      </c>
      <c r="D12534" s="12" t="str">
        <f ca="1">IFERROR(__xludf.DUMMYFUNCTION("""COMPUTED_VALUE"""),"菅野 ぎんが")</f>
        <v>菅野 ぎんが</v>
      </c>
    </row>
    <row r="12535" spans="2:4" ht="13">
      <c r="B12535" s="12">
        <f ca="1">IFERROR(__xludf.DUMMYFUNCTION("""COMPUTED_VALUE"""),3904083)</f>
        <v>3904083</v>
      </c>
      <c r="C12535" s="14">
        <f ca="1">IFERROR(__xludf.DUMMYFUNCTION("""COMPUTED_VALUE"""),0)</f>
        <v>0</v>
      </c>
      <c r="D12535" s="12" t="str">
        <f ca="1">IFERROR(__xludf.DUMMYFUNCTION("""COMPUTED_VALUE"""),"松尾 尚樹")</f>
        <v>松尾 尚樹</v>
      </c>
    </row>
    <row r="12536" spans="2:4" ht="13">
      <c r="B12536" s="12">
        <f ca="1">IFERROR(__xludf.DUMMYFUNCTION("""COMPUTED_VALUE"""),3904084)</f>
        <v>3904084</v>
      </c>
      <c r="C12536" s="14">
        <f ca="1">IFERROR(__xludf.DUMMYFUNCTION("""COMPUTED_VALUE"""),1)</f>
        <v>1</v>
      </c>
      <c r="D12536" s="12" t="str">
        <f ca="1">IFERROR(__xludf.DUMMYFUNCTION("""COMPUTED_VALUE"""),"小関 麻起")</f>
        <v>小関 麻起</v>
      </c>
    </row>
    <row r="12537" spans="2:4" ht="13">
      <c r="B12537" s="12">
        <f ca="1">IFERROR(__xludf.DUMMYFUNCTION("""COMPUTED_VALUE"""),3904086)</f>
        <v>3904086</v>
      </c>
      <c r="C12537" s="14">
        <f ca="1">IFERROR(__xludf.DUMMYFUNCTION("""COMPUTED_VALUE"""),0)</f>
        <v>0</v>
      </c>
      <c r="D12537" s="12" t="str">
        <f ca="1">IFERROR(__xludf.DUMMYFUNCTION("""COMPUTED_VALUE"""),"成嶋 夏未")</f>
        <v>成嶋 夏未</v>
      </c>
    </row>
    <row r="12538" spans="2:4" ht="13">
      <c r="B12538" s="12">
        <f ca="1">IFERROR(__xludf.DUMMYFUNCTION("""COMPUTED_VALUE"""),3904087)</f>
        <v>3904087</v>
      </c>
      <c r="C12538" s="14">
        <f ca="1">IFERROR(__xludf.DUMMYFUNCTION("""COMPUTED_VALUE"""),0)</f>
        <v>0</v>
      </c>
      <c r="D12538" s="12" t="str">
        <f ca="1">IFERROR(__xludf.DUMMYFUNCTION("""COMPUTED_VALUE"""),"長谷川 陸朗")</f>
        <v>長谷川 陸朗</v>
      </c>
    </row>
    <row r="12539" spans="2:4" ht="13">
      <c r="B12539" s="12">
        <f ca="1">IFERROR(__xludf.DUMMYFUNCTION("""COMPUTED_VALUE"""),3904096)</f>
        <v>3904096</v>
      </c>
      <c r="C12539" s="14">
        <f ca="1">IFERROR(__xludf.DUMMYFUNCTION("""COMPUTED_VALUE"""),0)</f>
        <v>0</v>
      </c>
      <c r="D12539" s="12" t="str">
        <f ca="1">IFERROR(__xludf.DUMMYFUNCTION("""COMPUTED_VALUE"""),"菅野 ぎんが")</f>
        <v>菅野 ぎんが</v>
      </c>
    </row>
    <row r="12540" spans="2:4" ht="13">
      <c r="B12540" s="12">
        <f ca="1">IFERROR(__xludf.DUMMYFUNCTION("""COMPUTED_VALUE"""),3904099)</f>
        <v>3904099</v>
      </c>
      <c r="C12540" s="14">
        <f ca="1">IFERROR(__xludf.DUMMYFUNCTION("""COMPUTED_VALUE"""),0)</f>
        <v>0</v>
      </c>
      <c r="D12540" s="12" t="str">
        <f ca="1">IFERROR(__xludf.DUMMYFUNCTION("""COMPUTED_VALUE"""),"長谷川 陸朗")</f>
        <v>長谷川 陸朗</v>
      </c>
    </row>
    <row r="12541" spans="2:4" ht="13">
      <c r="B12541" s="12">
        <f ca="1">IFERROR(__xludf.DUMMYFUNCTION("""COMPUTED_VALUE"""),3904100)</f>
        <v>3904100</v>
      </c>
      <c r="C12541" s="14">
        <f ca="1">IFERROR(__xludf.DUMMYFUNCTION("""COMPUTED_VALUE"""),0)</f>
        <v>0</v>
      </c>
      <c r="D12541" s="12" t="str">
        <f ca="1">IFERROR(__xludf.DUMMYFUNCTION("""COMPUTED_VALUE"""),"菅野 ぎんが")</f>
        <v>菅野 ぎんが</v>
      </c>
    </row>
    <row r="12542" spans="2:4" ht="13">
      <c r="B12542" s="12">
        <f ca="1">IFERROR(__xludf.DUMMYFUNCTION("""COMPUTED_VALUE"""),3904101)</f>
        <v>3904101</v>
      </c>
      <c r="C12542" s="14">
        <f ca="1">IFERROR(__xludf.DUMMYFUNCTION("""COMPUTED_VALUE"""),0)</f>
        <v>0</v>
      </c>
      <c r="D12542" s="12" t="str">
        <f ca="1">IFERROR(__xludf.DUMMYFUNCTION("""COMPUTED_VALUE"""),"小関 麻起")</f>
        <v>小関 麻起</v>
      </c>
    </row>
    <row r="12543" spans="2:4" ht="13">
      <c r="B12543" s="12">
        <f ca="1">IFERROR(__xludf.DUMMYFUNCTION("""COMPUTED_VALUE"""),3904102)</f>
        <v>3904102</v>
      </c>
      <c r="C12543" s="14">
        <f ca="1">IFERROR(__xludf.DUMMYFUNCTION("""COMPUTED_VALUE"""),0)</f>
        <v>0</v>
      </c>
      <c r="D12543" s="12" t="str">
        <f ca="1">IFERROR(__xludf.DUMMYFUNCTION("""COMPUTED_VALUE"""),"菅野 ぎんが")</f>
        <v>菅野 ぎんが</v>
      </c>
    </row>
    <row r="12544" spans="2:4" ht="13">
      <c r="B12544" s="12">
        <f ca="1">IFERROR(__xludf.DUMMYFUNCTION("""COMPUTED_VALUE"""),3904110)</f>
        <v>3904110</v>
      </c>
      <c r="C12544" s="14">
        <f ca="1">IFERROR(__xludf.DUMMYFUNCTION("""COMPUTED_VALUE"""),0)</f>
        <v>0</v>
      </c>
      <c r="D12544" s="12" t="str">
        <f ca="1">IFERROR(__xludf.DUMMYFUNCTION("""COMPUTED_VALUE"""),"松尾 尚樹")</f>
        <v>松尾 尚樹</v>
      </c>
    </row>
    <row r="12545" spans="2:4" ht="13">
      <c r="B12545" s="12">
        <f ca="1">IFERROR(__xludf.DUMMYFUNCTION("""COMPUTED_VALUE"""),3904114)</f>
        <v>3904114</v>
      </c>
      <c r="C12545" s="14">
        <f ca="1">IFERROR(__xludf.DUMMYFUNCTION("""COMPUTED_VALUE"""),0)</f>
        <v>0</v>
      </c>
      <c r="D12545" s="12" t="str">
        <f ca="1">IFERROR(__xludf.DUMMYFUNCTION("""COMPUTED_VALUE"""),"成嶋 夏未")</f>
        <v>成嶋 夏未</v>
      </c>
    </row>
    <row r="12546" spans="2:4" ht="13">
      <c r="B12546" s="12">
        <f ca="1">IFERROR(__xludf.DUMMYFUNCTION("""COMPUTED_VALUE"""),3904127)</f>
        <v>3904127</v>
      </c>
      <c r="C12546" s="14">
        <f ca="1">IFERROR(__xludf.DUMMYFUNCTION("""COMPUTED_VALUE"""),0)</f>
        <v>0</v>
      </c>
      <c r="D12546" s="12" t="str">
        <f ca="1">IFERROR(__xludf.DUMMYFUNCTION("""COMPUTED_VALUE"""),"内丸 裕子")</f>
        <v>内丸 裕子</v>
      </c>
    </row>
    <row r="12547" spans="2:4" ht="13">
      <c r="B12547" s="12">
        <f ca="1">IFERROR(__xludf.DUMMYFUNCTION("""COMPUTED_VALUE"""),3904130)</f>
        <v>3904130</v>
      </c>
      <c r="C12547" s="14">
        <f ca="1">IFERROR(__xludf.DUMMYFUNCTION("""COMPUTED_VALUE"""),0)</f>
        <v>0</v>
      </c>
      <c r="D12547" s="12" t="str">
        <f ca="1">IFERROR(__xludf.DUMMYFUNCTION("""COMPUTED_VALUE"""),"菅野 ぎんが")</f>
        <v>菅野 ぎんが</v>
      </c>
    </row>
    <row r="12548" spans="2:4" ht="13">
      <c r="B12548" s="12">
        <f ca="1">IFERROR(__xludf.DUMMYFUNCTION("""COMPUTED_VALUE"""),3904135)</f>
        <v>3904135</v>
      </c>
      <c r="C12548" s="14">
        <f ca="1">IFERROR(__xludf.DUMMYFUNCTION("""COMPUTED_VALUE"""),0)</f>
        <v>0</v>
      </c>
      <c r="D12548" s="12" t="str">
        <f ca="1">IFERROR(__xludf.DUMMYFUNCTION("""COMPUTED_VALUE"""),"菅野 ぎんが")</f>
        <v>菅野 ぎんが</v>
      </c>
    </row>
    <row r="12549" spans="2:4" ht="13">
      <c r="B12549" s="12">
        <f ca="1">IFERROR(__xludf.DUMMYFUNCTION("""COMPUTED_VALUE"""),3904146)</f>
        <v>3904146</v>
      </c>
      <c r="C12549" s="14">
        <f ca="1">IFERROR(__xludf.DUMMYFUNCTION("""COMPUTED_VALUE"""),0)</f>
        <v>0</v>
      </c>
      <c r="D12549" s="12" t="str">
        <f ca="1">IFERROR(__xludf.DUMMYFUNCTION("""COMPUTED_VALUE"""),"内丸 裕子")</f>
        <v>内丸 裕子</v>
      </c>
    </row>
    <row r="12550" spans="2:4" ht="13">
      <c r="B12550" s="12">
        <f ca="1">IFERROR(__xludf.DUMMYFUNCTION("""COMPUTED_VALUE"""),3904155)</f>
        <v>3904155</v>
      </c>
      <c r="C12550" s="14">
        <f ca="1">IFERROR(__xludf.DUMMYFUNCTION("""COMPUTED_VALUE"""),0)</f>
        <v>0</v>
      </c>
      <c r="D12550" s="12" t="str">
        <f ca="1">IFERROR(__xludf.DUMMYFUNCTION("""COMPUTED_VALUE"""),"菅野 ぎんが")</f>
        <v>菅野 ぎんが</v>
      </c>
    </row>
    <row r="12551" spans="2:4" ht="13">
      <c r="B12551" s="12">
        <f ca="1">IFERROR(__xludf.DUMMYFUNCTION("""COMPUTED_VALUE"""),3904164)</f>
        <v>3904164</v>
      </c>
      <c r="C12551" s="14">
        <f ca="1">IFERROR(__xludf.DUMMYFUNCTION("""COMPUTED_VALUE"""),0)</f>
        <v>0</v>
      </c>
      <c r="D12551" s="12" t="str">
        <f ca="1">IFERROR(__xludf.DUMMYFUNCTION("""COMPUTED_VALUE"""),"内丸 裕子")</f>
        <v>内丸 裕子</v>
      </c>
    </row>
    <row r="12552" spans="2:4" ht="13">
      <c r="B12552" s="12">
        <f ca="1">IFERROR(__xludf.DUMMYFUNCTION("""COMPUTED_VALUE"""),3904166)</f>
        <v>3904166</v>
      </c>
      <c r="C12552" s="14">
        <f ca="1">IFERROR(__xludf.DUMMYFUNCTION("""COMPUTED_VALUE"""),0)</f>
        <v>0</v>
      </c>
      <c r="D12552" s="12" t="str">
        <f ca="1">IFERROR(__xludf.DUMMYFUNCTION("""COMPUTED_VALUE"""),"成嶋 夏未")</f>
        <v>成嶋 夏未</v>
      </c>
    </row>
    <row r="12553" spans="2:4" ht="13">
      <c r="B12553" s="12">
        <f ca="1">IFERROR(__xludf.DUMMYFUNCTION("""COMPUTED_VALUE"""),3904175)</f>
        <v>3904175</v>
      </c>
      <c r="C12553" s="14">
        <f ca="1">IFERROR(__xludf.DUMMYFUNCTION("""COMPUTED_VALUE"""),0)</f>
        <v>0</v>
      </c>
      <c r="D12553" s="12" t="str">
        <f ca="1">IFERROR(__xludf.DUMMYFUNCTION("""COMPUTED_VALUE"""),"菅野 ぎんが")</f>
        <v>菅野 ぎんが</v>
      </c>
    </row>
    <row r="12554" spans="2:4" ht="13">
      <c r="B12554" s="12">
        <f ca="1">IFERROR(__xludf.DUMMYFUNCTION("""COMPUTED_VALUE"""),3904176)</f>
        <v>3904176</v>
      </c>
      <c r="C12554" s="14">
        <f ca="1">IFERROR(__xludf.DUMMYFUNCTION("""COMPUTED_VALUE"""),0)</f>
        <v>0</v>
      </c>
      <c r="D12554" s="12" t="str">
        <f ca="1">IFERROR(__xludf.DUMMYFUNCTION("""COMPUTED_VALUE"""),"菅野 ぎんが")</f>
        <v>菅野 ぎんが</v>
      </c>
    </row>
    <row r="12555" spans="2:4" ht="13">
      <c r="B12555" s="12">
        <f ca="1">IFERROR(__xludf.DUMMYFUNCTION("""COMPUTED_VALUE"""),3904181)</f>
        <v>3904181</v>
      </c>
      <c r="C12555" s="14">
        <f ca="1">IFERROR(__xludf.DUMMYFUNCTION("""COMPUTED_VALUE"""),0)</f>
        <v>0</v>
      </c>
      <c r="D12555" s="12" t="str">
        <f ca="1">IFERROR(__xludf.DUMMYFUNCTION("""COMPUTED_VALUE"""),"成嶋 夏未")</f>
        <v>成嶋 夏未</v>
      </c>
    </row>
    <row r="12556" spans="2:4" ht="13">
      <c r="B12556" s="12">
        <f ca="1">IFERROR(__xludf.DUMMYFUNCTION("""COMPUTED_VALUE"""),3904188)</f>
        <v>3904188</v>
      </c>
      <c r="C12556" s="14">
        <f ca="1">IFERROR(__xludf.DUMMYFUNCTION("""COMPUTED_VALUE"""),0)</f>
        <v>0</v>
      </c>
      <c r="D12556" s="12" t="str">
        <f ca="1">IFERROR(__xludf.DUMMYFUNCTION("""COMPUTED_VALUE"""),"長谷川 陸朗")</f>
        <v>長谷川 陸朗</v>
      </c>
    </row>
    <row r="12557" spans="2:4" ht="13">
      <c r="B12557" s="12">
        <f ca="1">IFERROR(__xludf.DUMMYFUNCTION("""COMPUTED_VALUE"""),3904189)</f>
        <v>3904189</v>
      </c>
      <c r="C12557" s="14">
        <f ca="1">IFERROR(__xludf.DUMMYFUNCTION("""COMPUTED_VALUE"""),0)</f>
        <v>0</v>
      </c>
      <c r="D12557" s="12" t="str">
        <f ca="1">IFERROR(__xludf.DUMMYFUNCTION("""COMPUTED_VALUE"""),"松尾 尚樹")</f>
        <v>松尾 尚樹</v>
      </c>
    </row>
    <row r="12558" spans="2:4" ht="13">
      <c r="B12558" s="12">
        <f ca="1">IFERROR(__xludf.DUMMYFUNCTION("""COMPUTED_VALUE"""),3904193)</f>
        <v>3904193</v>
      </c>
      <c r="C12558" s="14">
        <f ca="1">IFERROR(__xludf.DUMMYFUNCTION("""COMPUTED_VALUE"""),0)</f>
        <v>0</v>
      </c>
      <c r="D12558" s="12" t="str">
        <f ca="1">IFERROR(__xludf.DUMMYFUNCTION("""COMPUTED_VALUE"""),"松尾 尚樹")</f>
        <v>松尾 尚樹</v>
      </c>
    </row>
    <row r="12559" spans="2:4" ht="13">
      <c r="B12559" s="12">
        <f ca="1">IFERROR(__xludf.DUMMYFUNCTION("""COMPUTED_VALUE"""),3904206)</f>
        <v>3904206</v>
      </c>
      <c r="C12559" s="14">
        <f ca="1">IFERROR(__xludf.DUMMYFUNCTION("""COMPUTED_VALUE"""),0)</f>
        <v>0</v>
      </c>
      <c r="D12559" s="12" t="str">
        <f ca="1">IFERROR(__xludf.DUMMYFUNCTION("""COMPUTED_VALUE"""),"長谷川 陸朗")</f>
        <v>長谷川 陸朗</v>
      </c>
    </row>
    <row r="12560" spans="2:4" ht="13">
      <c r="B12560" s="12">
        <f ca="1">IFERROR(__xludf.DUMMYFUNCTION("""COMPUTED_VALUE"""),3904210)</f>
        <v>3904210</v>
      </c>
      <c r="C12560" s="14">
        <f ca="1">IFERROR(__xludf.DUMMYFUNCTION("""COMPUTED_VALUE"""),0)</f>
        <v>0</v>
      </c>
      <c r="D12560" s="12" t="str">
        <f ca="1">IFERROR(__xludf.DUMMYFUNCTION("""COMPUTED_VALUE"""),"菅野 ぎんが")</f>
        <v>菅野 ぎんが</v>
      </c>
    </row>
    <row r="12561" spans="2:4" ht="13">
      <c r="B12561" s="12">
        <f ca="1">IFERROR(__xludf.DUMMYFUNCTION("""COMPUTED_VALUE"""),3904215)</f>
        <v>3904215</v>
      </c>
      <c r="C12561" s="14">
        <f ca="1">IFERROR(__xludf.DUMMYFUNCTION("""COMPUTED_VALUE"""),0)</f>
        <v>0</v>
      </c>
      <c r="D12561" s="12" t="str">
        <f ca="1">IFERROR(__xludf.DUMMYFUNCTION("""COMPUTED_VALUE"""),"長谷川 陸朗")</f>
        <v>長谷川 陸朗</v>
      </c>
    </row>
    <row r="12562" spans="2:4" ht="13">
      <c r="B12562" s="12">
        <f ca="1">IFERROR(__xludf.DUMMYFUNCTION("""COMPUTED_VALUE"""),3904223)</f>
        <v>3904223</v>
      </c>
      <c r="C12562" s="14">
        <f ca="1">IFERROR(__xludf.DUMMYFUNCTION("""COMPUTED_VALUE"""),0)</f>
        <v>0</v>
      </c>
      <c r="D12562" s="12" t="str">
        <f ca="1">IFERROR(__xludf.DUMMYFUNCTION("""COMPUTED_VALUE"""),"成嶋 夏未")</f>
        <v>成嶋 夏未</v>
      </c>
    </row>
    <row r="12563" spans="2:4" ht="13">
      <c r="B12563" s="12">
        <f ca="1">IFERROR(__xludf.DUMMYFUNCTION("""COMPUTED_VALUE"""),3904226)</f>
        <v>3904226</v>
      </c>
      <c r="C12563" s="14">
        <f ca="1">IFERROR(__xludf.DUMMYFUNCTION("""COMPUTED_VALUE"""),0)</f>
        <v>0</v>
      </c>
      <c r="D12563" s="12" t="str">
        <f ca="1">IFERROR(__xludf.DUMMYFUNCTION("""COMPUTED_VALUE"""),"成嶋 夏未")</f>
        <v>成嶋 夏未</v>
      </c>
    </row>
    <row r="12564" spans="2:4" ht="13">
      <c r="B12564" s="12">
        <f ca="1">IFERROR(__xludf.DUMMYFUNCTION("""COMPUTED_VALUE"""),3904228)</f>
        <v>3904228</v>
      </c>
      <c r="C12564" s="14">
        <f ca="1">IFERROR(__xludf.DUMMYFUNCTION("""COMPUTED_VALUE"""),0)</f>
        <v>0</v>
      </c>
      <c r="D12564" s="12" t="str">
        <f ca="1">IFERROR(__xludf.DUMMYFUNCTION("""COMPUTED_VALUE"""),"菅野 ぎんが")</f>
        <v>菅野 ぎんが</v>
      </c>
    </row>
    <row r="12565" spans="2:4" ht="13">
      <c r="B12565" s="12">
        <f ca="1">IFERROR(__xludf.DUMMYFUNCTION("""COMPUTED_VALUE"""),3904230)</f>
        <v>3904230</v>
      </c>
      <c r="C12565" s="14">
        <f ca="1">IFERROR(__xludf.DUMMYFUNCTION("""COMPUTED_VALUE"""),0)</f>
        <v>0</v>
      </c>
      <c r="D12565" s="12" t="str">
        <f ca="1">IFERROR(__xludf.DUMMYFUNCTION("""COMPUTED_VALUE"""),"松尾 尚樹")</f>
        <v>松尾 尚樹</v>
      </c>
    </row>
    <row r="12566" spans="2:4" ht="13">
      <c r="B12566" s="12">
        <f ca="1">IFERROR(__xludf.DUMMYFUNCTION("""COMPUTED_VALUE"""),3904232)</f>
        <v>3904232</v>
      </c>
      <c r="C12566" s="14">
        <f ca="1">IFERROR(__xludf.DUMMYFUNCTION("""COMPUTED_VALUE"""),0)</f>
        <v>0</v>
      </c>
      <c r="D12566" s="12" t="str">
        <f ca="1">IFERROR(__xludf.DUMMYFUNCTION("""COMPUTED_VALUE"""),"菅野 ぎんが")</f>
        <v>菅野 ぎんが</v>
      </c>
    </row>
    <row r="12567" spans="2:4" ht="13">
      <c r="B12567" s="12">
        <f ca="1">IFERROR(__xludf.DUMMYFUNCTION("""COMPUTED_VALUE"""),3904233)</f>
        <v>3904233</v>
      </c>
      <c r="C12567" s="14">
        <f ca="1">IFERROR(__xludf.DUMMYFUNCTION("""COMPUTED_VALUE"""),0)</f>
        <v>0</v>
      </c>
      <c r="D12567" s="12" t="str">
        <f ca="1">IFERROR(__xludf.DUMMYFUNCTION("""COMPUTED_VALUE"""),"小関 麻起")</f>
        <v>小関 麻起</v>
      </c>
    </row>
    <row r="12568" spans="2:4" ht="13">
      <c r="B12568" s="12">
        <f ca="1">IFERROR(__xludf.DUMMYFUNCTION("""COMPUTED_VALUE"""),3904245)</f>
        <v>3904245</v>
      </c>
      <c r="C12568" s="14">
        <f ca="1">IFERROR(__xludf.DUMMYFUNCTION("""COMPUTED_VALUE"""),5)</f>
        <v>5</v>
      </c>
      <c r="D12568" s="12" t="str">
        <f ca="1">IFERROR(__xludf.DUMMYFUNCTION("""COMPUTED_VALUE"""),"松尾 尚樹")</f>
        <v>松尾 尚樹</v>
      </c>
    </row>
    <row r="12569" spans="2:4" ht="13">
      <c r="B12569" s="12">
        <f ca="1">IFERROR(__xludf.DUMMYFUNCTION("""COMPUTED_VALUE"""),3904248)</f>
        <v>3904248</v>
      </c>
      <c r="C12569" s="14">
        <f ca="1">IFERROR(__xludf.DUMMYFUNCTION("""COMPUTED_VALUE"""),0)</f>
        <v>0</v>
      </c>
      <c r="D12569" s="12" t="str">
        <f ca="1">IFERROR(__xludf.DUMMYFUNCTION("""COMPUTED_VALUE"""),"小関 麻起")</f>
        <v>小関 麻起</v>
      </c>
    </row>
    <row r="12570" spans="2:4" ht="13">
      <c r="B12570" s="12">
        <f ca="1">IFERROR(__xludf.DUMMYFUNCTION("""COMPUTED_VALUE"""),3904249)</f>
        <v>3904249</v>
      </c>
      <c r="C12570" s="14">
        <f ca="1">IFERROR(__xludf.DUMMYFUNCTION("""COMPUTED_VALUE"""),0)</f>
        <v>0</v>
      </c>
      <c r="D12570" s="12" t="str">
        <f ca="1">IFERROR(__xludf.DUMMYFUNCTION("""COMPUTED_VALUE"""),"松尾 尚樹")</f>
        <v>松尾 尚樹</v>
      </c>
    </row>
    <row r="12571" spans="2:4" ht="13">
      <c r="B12571" s="12">
        <f ca="1">IFERROR(__xludf.DUMMYFUNCTION("""COMPUTED_VALUE"""),3904253)</f>
        <v>3904253</v>
      </c>
      <c r="C12571" s="14">
        <f ca="1">IFERROR(__xludf.DUMMYFUNCTION("""COMPUTED_VALUE"""),0)</f>
        <v>0</v>
      </c>
      <c r="D12571" s="12" t="str">
        <f ca="1">IFERROR(__xludf.DUMMYFUNCTION("""COMPUTED_VALUE"""),"松尾 尚樹")</f>
        <v>松尾 尚樹</v>
      </c>
    </row>
    <row r="12572" spans="2:4" ht="13">
      <c r="B12572" s="12">
        <f ca="1">IFERROR(__xludf.DUMMYFUNCTION("""COMPUTED_VALUE"""),3904254)</f>
        <v>3904254</v>
      </c>
      <c r="C12572" s="14">
        <f ca="1">IFERROR(__xludf.DUMMYFUNCTION("""COMPUTED_VALUE"""),15)</f>
        <v>15</v>
      </c>
      <c r="D12572" s="12" t="str">
        <f ca="1">IFERROR(__xludf.DUMMYFUNCTION("""COMPUTED_VALUE"""),"松尾 尚樹")</f>
        <v>松尾 尚樹</v>
      </c>
    </row>
    <row r="12573" spans="2:4" ht="13">
      <c r="B12573" s="12">
        <f ca="1">IFERROR(__xludf.DUMMYFUNCTION("""COMPUTED_VALUE"""),3904258)</f>
        <v>3904258</v>
      </c>
      <c r="C12573" s="14">
        <f ca="1">IFERROR(__xludf.DUMMYFUNCTION("""COMPUTED_VALUE"""),0)</f>
        <v>0</v>
      </c>
      <c r="D12573" s="12" t="str">
        <f ca="1">IFERROR(__xludf.DUMMYFUNCTION("""COMPUTED_VALUE"""),"松尾 尚樹")</f>
        <v>松尾 尚樹</v>
      </c>
    </row>
    <row r="12574" spans="2:4" ht="13">
      <c r="B12574" s="12">
        <f ca="1">IFERROR(__xludf.DUMMYFUNCTION("""COMPUTED_VALUE"""),3904262)</f>
        <v>3904262</v>
      </c>
      <c r="C12574" s="14">
        <f ca="1">IFERROR(__xludf.DUMMYFUNCTION("""COMPUTED_VALUE"""),0)</f>
        <v>0</v>
      </c>
      <c r="D12574" s="12" t="str">
        <f ca="1">IFERROR(__xludf.DUMMYFUNCTION("""COMPUTED_VALUE"""),"松尾 尚樹")</f>
        <v>松尾 尚樹</v>
      </c>
    </row>
    <row r="12575" spans="2:4" ht="13">
      <c r="B12575" s="12">
        <f ca="1">IFERROR(__xludf.DUMMYFUNCTION("""COMPUTED_VALUE"""),3904263)</f>
        <v>3904263</v>
      </c>
      <c r="C12575" s="14">
        <f ca="1">IFERROR(__xludf.DUMMYFUNCTION("""COMPUTED_VALUE"""),0)</f>
        <v>0</v>
      </c>
      <c r="D12575" s="12" t="str">
        <f ca="1">IFERROR(__xludf.DUMMYFUNCTION("""COMPUTED_VALUE"""),"松尾 尚樹")</f>
        <v>松尾 尚樹</v>
      </c>
    </row>
    <row r="12576" spans="2:4" ht="13">
      <c r="B12576" s="12">
        <f ca="1">IFERROR(__xludf.DUMMYFUNCTION("""COMPUTED_VALUE"""),3904267)</f>
        <v>3904267</v>
      </c>
      <c r="C12576" s="14">
        <f ca="1">IFERROR(__xludf.DUMMYFUNCTION("""COMPUTED_VALUE"""),0)</f>
        <v>0</v>
      </c>
      <c r="D12576" s="12" t="str">
        <f ca="1">IFERROR(__xludf.DUMMYFUNCTION("""COMPUTED_VALUE"""),"稲場 勇介")</f>
        <v>稲場 勇介</v>
      </c>
    </row>
    <row r="12577" spans="2:4" ht="13">
      <c r="B12577" s="12">
        <f ca="1">IFERROR(__xludf.DUMMYFUNCTION("""COMPUTED_VALUE"""),3904277)</f>
        <v>3904277</v>
      </c>
      <c r="C12577" s="14">
        <f ca="1">IFERROR(__xludf.DUMMYFUNCTION("""COMPUTED_VALUE"""),0)</f>
        <v>0</v>
      </c>
      <c r="D12577" s="12" t="str">
        <f ca="1">IFERROR(__xludf.DUMMYFUNCTION("""COMPUTED_VALUE"""),"稲場 勇介")</f>
        <v>稲場 勇介</v>
      </c>
    </row>
    <row r="12578" spans="2:4" ht="13">
      <c r="B12578" s="12">
        <f ca="1">IFERROR(__xludf.DUMMYFUNCTION("""COMPUTED_VALUE"""),3904281)</f>
        <v>3904281</v>
      </c>
      <c r="C12578" s="14">
        <f ca="1">IFERROR(__xludf.DUMMYFUNCTION("""COMPUTED_VALUE"""),0)</f>
        <v>0</v>
      </c>
      <c r="D12578" s="12" t="str">
        <f ca="1">IFERROR(__xludf.DUMMYFUNCTION("""COMPUTED_VALUE"""),"松尾 尚樹")</f>
        <v>松尾 尚樹</v>
      </c>
    </row>
    <row r="12579" spans="2:4" ht="13">
      <c r="B12579" s="12">
        <f ca="1">IFERROR(__xludf.DUMMYFUNCTION("""COMPUTED_VALUE"""),3904282)</f>
        <v>3904282</v>
      </c>
      <c r="C12579" s="14">
        <f ca="1">IFERROR(__xludf.DUMMYFUNCTION("""COMPUTED_VALUE"""),0)</f>
        <v>0</v>
      </c>
      <c r="D12579" s="12" t="str">
        <f ca="1">IFERROR(__xludf.DUMMYFUNCTION("""COMPUTED_VALUE"""),"内丸 裕子")</f>
        <v>内丸 裕子</v>
      </c>
    </row>
    <row r="12580" spans="2:4" ht="13">
      <c r="B12580" s="12">
        <f ca="1">IFERROR(__xludf.DUMMYFUNCTION("""COMPUTED_VALUE"""),3904289)</f>
        <v>3904289</v>
      </c>
      <c r="C12580" s="14">
        <f ca="1">IFERROR(__xludf.DUMMYFUNCTION("""COMPUTED_VALUE"""),0)</f>
        <v>0</v>
      </c>
      <c r="D12580" s="12" t="str">
        <f ca="1">IFERROR(__xludf.DUMMYFUNCTION("""COMPUTED_VALUE"""),"老田 純輝")</f>
        <v>老田 純輝</v>
      </c>
    </row>
    <row r="12581" spans="2:4" ht="13">
      <c r="B12581" s="12">
        <f ca="1">IFERROR(__xludf.DUMMYFUNCTION("""COMPUTED_VALUE"""),3904294)</f>
        <v>3904294</v>
      </c>
      <c r="C12581" s="14">
        <f ca="1">IFERROR(__xludf.DUMMYFUNCTION("""COMPUTED_VALUE"""),0)</f>
        <v>0</v>
      </c>
      <c r="D12581" s="12" t="str">
        <f ca="1">IFERROR(__xludf.DUMMYFUNCTION("""COMPUTED_VALUE"""),"成嶋 夏未")</f>
        <v>成嶋 夏未</v>
      </c>
    </row>
    <row r="12582" spans="2:4" ht="13">
      <c r="B12582" s="12">
        <f ca="1">IFERROR(__xludf.DUMMYFUNCTION("""COMPUTED_VALUE"""),3904297)</f>
        <v>3904297</v>
      </c>
      <c r="C12582" s="14">
        <f ca="1">IFERROR(__xludf.DUMMYFUNCTION("""COMPUTED_VALUE"""),0)</f>
        <v>0</v>
      </c>
      <c r="D12582" s="12" t="str">
        <f ca="1">IFERROR(__xludf.DUMMYFUNCTION("""COMPUTED_VALUE"""),"菅野 ぎんが")</f>
        <v>菅野 ぎんが</v>
      </c>
    </row>
    <row r="12583" spans="2:4" ht="13">
      <c r="B12583" s="12">
        <f ca="1">IFERROR(__xludf.DUMMYFUNCTION("""COMPUTED_VALUE"""),3904301)</f>
        <v>3904301</v>
      </c>
      <c r="C12583" s="14">
        <f ca="1">IFERROR(__xludf.DUMMYFUNCTION("""COMPUTED_VALUE"""),0)</f>
        <v>0</v>
      </c>
      <c r="D12583" s="12" t="str">
        <f ca="1">IFERROR(__xludf.DUMMYFUNCTION("""COMPUTED_VALUE"""),"小関 麻起")</f>
        <v>小関 麻起</v>
      </c>
    </row>
    <row r="12584" spans="2:4" ht="13">
      <c r="B12584" s="12">
        <f ca="1">IFERROR(__xludf.DUMMYFUNCTION("""COMPUTED_VALUE"""),3904307)</f>
        <v>3904307</v>
      </c>
      <c r="C12584" s="14">
        <f ca="1">IFERROR(__xludf.DUMMYFUNCTION("""COMPUTED_VALUE"""),0)</f>
        <v>0</v>
      </c>
      <c r="D12584" s="12" t="str">
        <f ca="1">IFERROR(__xludf.DUMMYFUNCTION("""COMPUTED_VALUE"""),"小関 麻起")</f>
        <v>小関 麻起</v>
      </c>
    </row>
    <row r="12585" spans="2:4" ht="13">
      <c r="B12585" s="12">
        <f ca="1">IFERROR(__xludf.DUMMYFUNCTION("""COMPUTED_VALUE"""),3904311)</f>
        <v>3904311</v>
      </c>
      <c r="C12585" s="14">
        <f ca="1">IFERROR(__xludf.DUMMYFUNCTION("""COMPUTED_VALUE"""),0)</f>
        <v>0</v>
      </c>
      <c r="D12585" s="12" t="str">
        <f ca="1">IFERROR(__xludf.DUMMYFUNCTION("""COMPUTED_VALUE"""),"内丸 裕子")</f>
        <v>内丸 裕子</v>
      </c>
    </row>
    <row r="12586" spans="2:4" ht="13">
      <c r="B12586" s="12">
        <f ca="1">IFERROR(__xludf.DUMMYFUNCTION("""COMPUTED_VALUE"""),3904313)</f>
        <v>3904313</v>
      </c>
      <c r="C12586" s="14">
        <f ca="1">IFERROR(__xludf.DUMMYFUNCTION("""COMPUTED_VALUE"""),1)</f>
        <v>1</v>
      </c>
      <c r="D12586" s="12" t="str">
        <f ca="1">IFERROR(__xludf.DUMMYFUNCTION("""COMPUTED_VALUE"""),"稲場 勇介")</f>
        <v>稲場 勇介</v>
      </c>
    </row>
    <row r="12587" spans="2:4" ht="13">
      <c r="B12587" s="12">
        <f ca="1">IFERROR(__xludf.DUMMYFUNCTION("""COMPUTED_VALUE"""),3904320)</f>
        <v>3904320</v>
      </c>
      <c r="C12587" s="14">
        <f ca="1">IFERROR(__xludf.DUMMYFUNCTION("""COMPUTED_VALUE"""),0)</f>
        <v>0</v>
      </c>
      <c r="D12587" s="12" t="str">
        <f ca="1">IFERROR(__xludf.DUMMYFUNCTION("""COMPUTED_VALUE"""),"小関 麻起")</f>
        <v>小関 麻起</v>
      </c>
    </row>
    <row r="12588" spans="2:4" ht="13">
      <c r="B12588" s="12">
        <f ca="1">IFERROR(__xludf.DUMMYFUNCTION("""COMPUTED_VALUE"""),3904323)</f>
        <v>3904323</v>
      </c>
      <c r="C12588" s="14">
        <f ca="1">IFERROR(__xludf.DUMMYFUNCTION("""COMPUTED_VALUE"""),0)</f>
        <v>0</v>
      </c>
      <c r="D12588" s="12" t="str">
        <f ca="1">IFERROR(__xludf.DUMMYFUNCTION("""COMPUTED_VALUE"""),"松尾 尚樹")</f>
        <v>松尾 尚樹</v>
      </c>
    </row>
    <row r="12589" spans="2:4" ht="13">
      <c r="B12589" s="12">
        <f ca="1">IFERROR(__xludf.DUMMYFUNCTION("""COMPUTED_VALUE"""),3904326)</f>
        <v>3904326</v>
      </c>
      <c r="C12589" s="14">
        <f ca="1">IFERROR(__xludf.DUMMYFUNCTION("""COMPUTED_VALUE"""),0)</f>
        <v>0</v>
      </c>
      <c r="D12589" s="12" t="str">
        <f ca="1">IFERROR(__xludf.DUMMYFUNCTION("""COMPUTED_VALUE"""),"稲場 勇介")</f>
        <v>稲場 勇介</v>
      </c>
    </row>
    <row r="12590" spans="2:4" ht="13">
      <c r="B12590" s="12">
        <f ca="1">IFERROR(__xludf.DUMMYFUNCTION("""COMPUTED_VALUE"""),3904328)</f>
        <v>3904328</v>
      </c>
      <c r="C12590" s="14">
        <f ca="1">IFERROR(__xludf.DUMMYFUNCTION("""COMPUTED_VALUE"""),0)</f>
        <v>0</v>
      </c>
      <c r="D12590" s="12" t="str">
        <f ca="1">IFERROR(__xludf.DUMMYFUNCTION("""COMPUTED_VALUE"""),"松尾 尚樹")</f>
        <v>松尾 尚樹</v>
      </c>
    </row>
    <row r="12591" spans="2:4" ht="13">
      <c r="B12591" s="12">
        <f ca="1">IFERROR(__xludf.DUMMYFUNCTION("""COMPUTED_VALUE"""),3904331)</f>
        <v>3904331</v>
      </c>
      <c r="C12591" s="14">
        <f ca="1">IFERROR(__xludf.DUMMYFUNCTION("""COMPUTED_VALUE"""),0)</f>
        <v>0</v>
      </c>
      <c r="D12591" s="12" t="str">
        <f ca="1">IFERROR(__xludf.DUMMYFUNCTION("""COMPUTED_VALUE"""),"菅野 ぎんが")</f>
        <v>菅野 ぎんが</v>
      </c>
    </row>
    <row r="12592" spans="2:4" ht="13">
      <c r="B12592" s="12">
        <f ca="1">IFERROR(__xludf.DUMMYFUNCTION("""COMPUTED_VALUE"""),3904332)</f>
        <v>3904332</v>
      </c>
      <c r="C12592" s="14">
        <f ca="1">IFERROR(__xludf.DUMMYFUNCTION("""COMPUTED_VALUE"""),0)</f>
        <v>0</v>
      </c>
      <c r="D12592" s="12" t="str">
        <f ca="1">IFERROR(__xludf.DUMMYFUNCTION("""COMPUTED_VALUE"""),"堀越 駿")</f>
        <v>堀越 駿</v>
      </c>
    </row>
    <row r="12593" spans="2:4" ht="13">
      <c r="B12593" s="12">
        <f ca="1">IFERROR(__xludf.DUMMYFUNCTION("""COMPUTED_VALUE"""),3904333)</f>
        <v>3904333</v>
      </c>
      <c r="C12593" s="14">
        <f ca="1">IFERROR(__xludf.DUMMYFUNCTION("""COMPUTED_VALUE"""),0)</f>
        <v>0</v>
      </c>
      <c r="D12593" s="12" t="str">
        <f ca="1">IFERROR(__xludf.DUMMYFUNCTION("""COMPUTED_VALUE"""),"老田 純輝")</f>
        <v>老田 純輝</v>
      </c>
    </row>
    <row r="12594" spans="2:4" ht="13">
      <c r="B12594" s="12">
        <f ca="1">IFERROR(__xludf.DUMMYFUNCTION("""COMPUTED_VALUE"""),3904339)</f>
        <v>3904339</v>
      </c>
      <c r="C12594" s="14">
        <f ca="1">IFERROR(__xludf.DUMMYFUNCTION("""COMPUTED_VALUE"""),0)</f>
        <v>0</v>
      </c>
      <c r="D12594" s="12" t="str">
        <f ca="1">IFERROR(__xludf.DUMMYFUNCTION("""COMPUTED_VALUE"""),"川島 幹也")</f>
        <v>川島 幹也</v>
      </c>
    </row>
    <row r="12595" spans="2:4" ht="13">
      <c r="B12595" s="12">
        <f ca="1">IFERROR(__xludf.DUMMYFUNCTION("""COMPUTED_VALUE"""),3904346)</f>
        <v>3904346</v>
      </c>
      <c r="C12595" s="14">
        <f ca="1">IFERROR(__xludf.DUMMYFUNCTION("""COMPUTED_VALUE"""),15)</f>
        <v>15</v>
      </c>
      <c r="D12595" s="12" t="str">
        <f ca="1">IFERROR(__xludf.DUMMYFUNCTION("""COMPUTED_VALUE"""),"稲場 勇介")</f>
        <v>稲場 勇介</v>
      </c>
    </row>
    <row r="12596" spans="2:4" ht="13">
      <c r="B12596" s="12">
        <f ca="1">IFERROR(__xludf.DUMMYFUNCTION("""COMPUTED_VALUE"""),3904349)</f>
        <v>3904349</v>
      </c>
      <c r="C12596" s="14">
        <f ca="1">IFERROR(__xludf.DUMMYFUNCTION("""COMPUTED_VALUE"""),0)</f>
        <v>0</v>
      </c>
      <c r="D12596" s="12" t="str">
        <f ca="1">IFERROR(__xludf.DUMMYFUNCTION("""COMPUTED_VALUE"""),"菅野 ぎんが")</f>
        <v>菅野 ぎんが</v>
      </c>
    </row>
    <row r="12597" spans="2:4" ht="13">
      <c r="B12597" s="12">
        <f ca="1">IFERROR(__xludf.DUMMYFUNCTION("""COMPUTED_VALUE"""),3904350)</f>
        <v>3904350</v>
      </c>
      <c r="C12597" s="14">
        <f ca="1">IFERROR(__xludf.DUMMYFUNCTION("""COMPUTED_VALUE"""),1)</f>
        <v>1</v>
      </c>
      <c r="D12597" s="12" t="str">
        <f ca="1">IFERROR(__xludf.DUMMYFUNCTION("""COMPUTED_VALUE"""),"老田 純輝")</f>
        <v>老田 純輝</v>
      </c>
    </row>
    <row r="12598" spans="2:4" ht="13">
      <c r="B12598" s="12">
        <f ca="1">IFERROR(__xludf.DUMMYFUNCTION("""COMPUTED_VALUE"""),3904357)</f>
        <v>3904357</v>
      </c>
      <c r="C12598" s="14">
        <f ca="1">IFERROR(__xludf.DUMMYFUNCTION("""COMPUTED_VALUE"""),0)</f>
        <v>0</v>
      </c>
      <c r="D12598" s="12" t="str">
        <f ca="1">IFERROR(__xludf.DUMMYFUNCTION("""COMPUTED_VALUE"""),"松尾 尚樹")</f>
        <v>松尾 尚樹</v>
      </c>
    </row>
    <row r="12599" spans="2:4" ht="13">
      <c r="B12599" s="12">
        <f ca="1">IFERROR(__xludf.DUMMYFUNCTION("""COMPUTED_VALUE"""),3904358)</f>
        <v>3904358</v>
      </c>
      <c r="C12599" s="14">
        <f ca="1">IFERROR(__xludf.DUMMYFUNCTION("""COMPUTED_VALUE"""),0)</f>
        <v>0</v>
      </c>
      <c r="D12599" s="12" t="str">
        <f ca="1">IFERROR(__xludf.DUMMYFUNCTION("""COMPUTED_VALUE"""),"長谷川 陸朗")</f>
        <v>長谷川 陸朗</v>
      </c>
    </row>
    <row r="12600" spans="2:4" ht="13">
      <c r="B12600" s="12">
        <f ca="1">IFERROR(__xludf.DUMMYFUNCTION("""COMPUTED_VALUE"""),3904360)</f>
        <v>3904360</v>
      </c>
      <c r="C12600" s="14">
        <f ca="1">IFERROR(__xludf.DUMMYFUNCTION("""COMPUTED_VALUE"""),0)</f>
        <v>0</v>
      </c>
      <c r="D12600" s="12" t="str">
        <f ca="1">IFERROR(__xludf.DUMMYFUNCTION("""COMPUTED_VALUE"""),"小関 麻起")</f>
        <v>小関 麻起</v>
      </c>
    </row>
    <row r="12601" spans="2:4" ht="13">
      <c r="B12601" s="12">
        <f ca="1">IFERROR(__xludf.DUMMYFUNCTION("""COMPUTED_VALUE"""),3904374)</f>
        <v>3904374</v>
      </c>
      <c r="C12601" s="14">
        <f ca="1">IFERROR(__xludf.DUMMYFUNCTION("""COMPUTED_VALUE"""),0)</f>
        <v>0</v>
      </c>
      <c r="D12601" s="12" t="str">
        <f ca="1">IFERROR(__xludf.DUMMYFUNCTION("""COMPUTED_VALUE"""),"芳賀 亮輔")</f>
        <v>芳賀 亮輔</v>
      </c>
    </row>
    <row r="12602" spans="2:4" ht="13">
      <c r="B12602" s="12">
        <f ca="1">IFERROR(__xludf.DUMMYFUNCTION("""COMPUTED_VALUE"""),3904382)</f>
        <v>3904382</v>
      </c>
      <c r="C12602" s="14">
        <f ca="1">IFERROR(__xludf.DUMMYFUNCTION("""COMPUTED_VALUE"""),0)</f>
        <v>0</v>
      </c>
      <c r="D12602" s="12" t="str">
        <f ca="1">IFERROR(__xludf.DUMMYFUNCTION("""COMPUTED_VALUE"""),"成嶋 夏未")</f>
        <v>成嶋 夏未</v>
      </c>
    </row>
    <row r="12603" spans="2:4" ht="13">
      <c r="B12603" s="12">
        <f ca="1">IFERROR(__xludf.DUMMYFUNCTION("""COMPUTED_VALUE"""),3904387)</f>
        <v>3904387</v>
      </c>
      <c r="C12603" s="14">
        <f ca="1">IFERROR(__xludf.DUMMYFUNCTION("""COMPUTED_VALUE"""),0)</f>
        <v>0</v>
      </c>
      <c r="D12603" s="12" t="str">
        <f ca="1">IFERROR(__xludf.DUMMYFUNCTION("""COMPUTED_VALUE"""),"小関 麻起")</f>
        <v>小関 麻起</v>
      </c>
    </row>
    <row r="12604" spans="2:4" ht="13">
      <c r="B12604" s="12">
        <f ca="1">IFERROR(__xludf.DUMMYFUNCTION("""COMPUTED_VALUE"""),3904388)</f>
        <v>3904388</v>
      </c>
      <c r="C12604" s="14">
        <f ca="1">IFERROR(__xludf.DUMMYFUNCTION("""COMPUTED_VALUE"""),0)</f>
        <v>0</v>
      </c>
      <c r="D12604" s="12" t="str">
        <f ca="1">IFERROR(__xludf.DUMMYFUNCTION("""COMPUTED_VALUE"""),"稲場 勇介")</f>
        <v>稲場 勇介</v>
      </c>
    </row>
    <row r="12605" spans="2:4" ht="13">
      <c r="B12605" s="12">
        <f ca="1">IFERROR(__xludf.DUMMYFUNCTION("""COMPUTED_VALUE"""),3904390)</f>
        <v>3904390</v>
      </c>
      <c r="C12605" s="14">
        <f ca="1">IFERROR(__xludf.DUMMYFUNCTION("""COMPUTED_VALUE"""),0)</f>
        <v>0</v>
      </c>
      <c r="D12605" s="12" t="str">
        <f ca="1">IFERROR(__xludf.DUMMYFUNCTION("""COMPUTED_VALUE"""),"森 光智")</f>
        <v>森 光智</v>
      </c>
    </row>
    <row r="12606" spans="2:4" ht="13">
      <c r="B12606" s="12">
        <f ca="1">IFERROR(__xludf.DUMMYFUNCTION("""COMPUTED_VALUE"""),3904391)</f>
        <v>3904391</v>
      </c>
      <c r="C12606" s="14">
        <f ca="1">IFERROR(__xludf.DUMMYFUNCTION("""COMPUTED_VALUE"""),0)</f>
        <v>0</v>
      </c>
      <c r="D12606" s="12" t="str">
        <f ca="1">IFERROR(__xludf.DUMMYFUNCTION("""COMPUTED_VALUE"""),"老田 純輝")</f>
        <v>老田 純輝</v>
      </c>
    </row>
    <row r="12607" spans="2:4" ht="13">
      <c r="B12607" s="12">
        <f ca="1">IFERROR(__xludf.DUMMYFUNCTION("""COMPUTED_VALUE"""),3904392)</f>
        <v>3904392</v>
      </c>
      <c r="C12607" s="14">
        <f ca="1">IFERROR(__xludf.DUMMYFUNCTION("""COMPUTED_VALUE"""),0)</f>
        <v>0</v>
      </c>
      <c r="D12607" s="12" t="str">
        <f ca="1">IFERROR(__xludf.DUMMYFUNCTION("""COMPUTED_VALUE"""),"松尾 尚樹")</f>
        <v>松尾 尚樹</v>
      </c>
    </row>
    <row r="12608" spans="2:4" ht="13">
      <c r="B12608" s="12">
        <f ca="1">IFERROR(__xludf.DUMMYFUNCTION("""COMPUTED_VALUE"""),3904393)</f>
        <v>3904393</v>
      </c>
      <c r="C12608" s="14">
        <f ca="1">IFERROR(__xludf.DUMMYFUNCTION("""COMPUTED_VALUE"""),0)</f>
        <v>0</v>
      </c>
      <c r="D12608" s="12" t="str">
        <f ca="1">IFERROR(__xludf.DUMMYFUNCTION("""COMPUTED_VALUE"""),"菅野 ぎんが")</f>
        <v>菅野 ぎんが</v>
      </c>
    </row>
    <row r="12609" spans="2:4" ht="13">
      <c r="B12609" s="12">
        <f ca="1">IFERROR(__xludf.DUMMYFUNCTION("""COMPUTED_VALUE"""),3904402)</f>
        <v>3904402</v>
      </c>
      <c r="C12609" s="14">
        <f ca="1">IFERROR(__xludf.DUMMYFUNCTION("""COMPUTED_VALUE"""),0)</f>
        <v>0</v>
      </c>
      <c r="D12609" s="12" t="str">
        <f ca="1">IFERROR(__xludf.DUMMYFUNCTION("""COMPUTED_VALUE"""),"長谷川 陸朗")</f>
        <v>長谷川 陸朗</v>
      </c>
    </row>
    <row r="12610" spans="2:4" ht="13">
      <c r="B12610" s="12">
        <f ca="1">IFERROR(__xludf.DUMMYFUNCTION("""COMPUTED_VALUE"""),3904403)</f>
        <v>3904403</v>
      </c>
      <c r="C12610" s="14">
        <f ca="1">IFERROR(__xludf.DUMMYFUNCTION("""COMPUTED_VALUE"""),0)</f>
        <v>0</v>
      </c>
      <c r="D12610" s="12" t="str">
        <f ca="1">IFERROR(__xludf.DUMMYFUNCTION("""COMPUTED_VALUE"""),"芳賀 亮輔")</f>
        <v>芳賀 亮輔</v>
      </c>
    </row>
    <row r="12611" spans="2:4" ht="13">
      <c r="B12611" s="12">
        <f ca="1">IFERROR(__xludf.DUMMYFUNCTION("""COMPUTED_VALUE"""),3904405)</f>
        <v>3904405</v>
      </c>
      <c r="C12611" s="14">
        <f ca="1">IFERROR(__xludf.DUMMYFUNCTION("""COMPUTED_VALUE"""),0)</f>
        <v>0</v>
      </c>
      <c r="D12611" s="12" t="str">
        <f ca="1">IFERROR(__xludf.DUMMYFUNCTION("""COMPUTED_VALUE"""),"松尾 尚樹")</f>
        <v>松尾 尚樹</v>
      </c>
    </row>
    <row r="12612" spans="2:4" ht="13">
      <c r="B12612" s="12">
        <f ca="1">IFERROR(__xludf.DUMMYFUNCTION("""COMPUTED_VALUE"""),3904412)</f>
        <v>3904412</v>
      </c>
      <c r="C12612" s="14">
        <f ca="1">IFERROR(__xludf.DUMMYFUNCTION("""COMPUTED_VALUE"""),2)</f>
        <v>2</v>
      </c>
      <c r="D12612" s="12" t="str">
        <f ca="1">IFERROR(__xludf.DUMMYFUNCTION("""COMPUTED_VALUE"""),"小関 麻起")</f>
        <v>小関 麻起</v>
      </c>
    </row>
    <row r="12613" spans="2:4" ht="13">
      <c r="B12613" s="12">
        <f ca="1">IFERROR(__xludf.DUMMYFUNCTION("""COMPUTED_VALUE"""),3904414)</f>
        <v>3904414</v>
      </c>
      <c r="C12613" s="14">
        <f ca="1">IFERROR(__xludf.DUMMYFUNCTION("""COMPUTED_VALUE"""),0)</f>
        <v>0</v>
      </c>
      <c r="D12613" s="12" t="str">
        <f ca="1">IFERROR(__xludf.DUMMYFUNCTION("""COMPUTED_VALUE"""),"長谷川 陸朗")</f>
        <v>長谷川 陸朗</v>
      </c>
    </row>
    <row r="12614" spans="2:4" ht="13">
      <c r="B12614" s="12">
        <f ca="1">IFERROR(__xludf.DUMMYFUNCTION("""COMPUTED_VALUE"""),3904415)</f>
        <v>3904415</v>
      </c>
      <c r="C12614" s="14">
        <f ca="1">IFERROR(__xludf.DUMMYFUNCTION("""COMPUTED_VALUE"""),0)</f>
        <v>0</v>
      </c>
      <c r="D12614" s="12" t="str">
        <f ca="1">IFERROR(__xludf.DUMMYFUNCTION("""COMPUTED_VALUE"""),"小関 麻起")</f>
        <v>小関 麻起</v>
      </c>
    </row>
    <row r="12615" spans="2:4" ht="13">
      <c r="B12615" s="12">
        <f ca="1">IFERROR(__xludf.DUMMYFUNCTION("""COMPUTED_VALUE"""),3904420)</f>
        <v>3904420</v>
      </c>
      <c r="C12615" s="14">
        <f ca="1">IFERROR(__xludf.DUMMYFUNCTION("""COMPUTED_VALUE"""),0)</f>
        <v>0</v>
      </c>
      <c r="D12615" s="12" t="str">
        <f ca="1">IFERROR(__xludf.DUMMYFUNCTION("""COMPUTED_VALUE"""),"芳賀 亮輔")</f>
        <v>芳賀 亮輔</v>
      </c>
    </row>
    <row r="12616" spans="2:4" ht="13">
      <c r="B12616" s="12">
        <f ca="1">IFERROR(__xludf.DUMMYFUNCTION("""COMPUTED_VALUE"""),3904425)</f>
        <v>3904425</v>
      </c>
      <c r="C12616" s="14">
        <f ca="1">IFERROR(__xludf.DUMMYFUNCTION("""COMPUTED_VALUE"""),0)</f>
        <v>0</v>
      </c>
      <c r="D12616" s="12" t="str">
        <f ca="1">IFERROR(__xludf.DUMMYFUNCTION("""COMPUTED_VALUE"""),"菅野 ぎんが")</f>
        <v>菅野 ぎんが</v>
      </c>
    </row>
    <row r="12617" spans="2:4" ht="13">
      <c r="B12617" s="12">
        <f ca="1">IFERROR(__xludf.DUMMYFUNCTION("""COMPUTED_VALUE"""),3904429)</f>
        <v>3904429</v>
      </c>
      <c r="C12617" s="14">
        <f ca="1">IFERROR(__xludf.DUMMYFUNCTION("""COMPUTED_VALUE"""),0)</f>
        <v>0</v>
      </c>
      <c r="D12617" s="12" t="str">
        <f ca="1">IFERROR(__xludf.DUMMYFUNCTION("""COMPUTED_VALUE"""),"内丸 裕子")</f>
        <v>内丸 裕子</v>
      </c>
    </row>
    <row r="12618" spans="2:4" ht="13">
      <c r="B12618" s="12">
        <f ca="1">IFERROR(__xludf.DUMMYFUNCTION("""COMPUTED_VALUE"""),3904432)</f>
        <v>3904432</v>
      </c>
      <c r="C12618" s="14">
        <f ca="1">IFERROR(__xludf.DUMMYFUNCTION("""COMPUTED_VALUE"""),0)</f>
        <v>0</v>
      </c>
      <c r="D12618" s="12" t="str">
        <f ca="1">IFERROR(__xludf.DUMMYFUNCTION("""COMPUTED_VALUE"""),"老田 純輝")</f>
        <v>老田 純輝</v>
      </c>
    </row>
    <row r="12619" spans="2:4" ht="13">
      <c r="B12619" s="12">
        <f ca="1">IFERROR(__xludf.DUMMYFUNCTION("""COMPUTED_VALUE"""),3904436)</f>
        <v>3904436</v>
      </c>
      <c r="C12619" s="14">
        <f ca="1">IFERROR(__xludf.DUMMYFUNCTION("""COMPUTED_VALUE"""),0)</f>
        <v>0</v>
      </c>
      <c r="D12619" s="12" t="str">
        <f ca="1">IFERROR(__xludf.DUMMYFUNCTION("""COMPUTED_VALUE"""),"稲場 勇介")</f>
        <v>稲場 勇介</v>
      </c>
    </row>
    <row r="12620" spans="2:4" ht="13">
      <c r="B12620" s="12">
        <f ca="1">IFERROR(__xludf.DUMMYFUNCTION("""COMPUTED_VALUE"""),3904437)</f>
        <v>3904437</v>
      </c>
      <c r="C12620" s="14">
        <f ca="1">IFERROR(__xludf.DUMMYFUNCTION("""COMPUTED_VALUE"""),0)</f>
        <v>0</v>
      </c>
      <c r="D12620" s="12" t="str">
        <f ca="1">IFERROR(__xludf.DUMMYFUNCTION("""COMPUTED_VALUE"""),"小関 麻起")</f>
        <v>小関 麻起</v>
      </c>
    </row>
    <row r="12621" spans="2:4" ht="13">
      <c r="B12621" s="12">
        <f ca="1">IFERROR(__xludf.DUMMYFUNCTION("""COMPUTED_VALUE"""),3904443)</f>
        <v>3904443</v>
      </c>
      <c r="C12621" s="14">
        <f ca="1">IFERROR(__xludf.DUMMYFUNCTION("""COMPUTED_VALUE"""),0)</f>
        <v>0</v>
      </c>
      <c r="D12621" s="12" t="str">
        <f ca="1">IFERROR(__xludf.DUMMYFUNCTION("""COMPUTED_VALUE"""),"稲場 勇介")</f>
        <v>稲場 勇介</v>
      </c>
    </row>
    <row r="12622" spans="2:4" ht="13">
      <c r="B12622" s="12">
        <f ca="1">IFERROR(__xludf.DUMMYFUNCTION("""COMPUTED_VALUE"""),3904444)</f>
        <v>3904444</v>
      </c>
      <c r="C12622" s="14">
        <f ca="1">IFERROR(__xludf.DUMMYFUNCTION("""COMPUTED_VALUE"""),0)</f>
        <v>0</v>
      </c>
      <c r="D12622" s="12" t="str">
        <f ca="1">IFERROR(__xludf.DUMMYFUNCTION("""COMPUTED_VALUE"""),"長谷川 陸朗")</f>
        <v>長谷川 陸朗</v>
      </c>
    </row>
    <row r="12623" spans="2:4" ht="13">
      <c r="B12623" s="12">
        <f ca="1">IFERROR(__xludf.DUMMYFUNCTION("""COMPUTED_VALUE"""),3904464)</f>
        <v>3904464</v>
      </c>
      <c r="C12623" s="14">
        <f ca="1">IFERROR(__xludf.DUMMYFUNCTION("""COMPUTED_VALUE"""),0)</f>
        <v>0</v>
      </c>
      <c r="D12623" s="12" t="str">
        <f ca="1">IFERROR(__xludf.DUMMYFUNCTION("""COMPUTED_VALUE"""),"川島 幹也")</f>
        <v>川島 幹也</v>
      </c>
    </row>
    <row r="12624" spans="2:4" ht="13">
      <c r="B12624" s="12">
        <f ca="1">IFERROR(__xludf.DUMMYFUNCTION("""COMPUTED_VALUE"""),3904486)</f>
        <v>3904486</v>
      </c>
      <c r="C12624" s="14">
        <f ca="1">IFERROR(__xludf.DUMMYFUNCTION("""COMPUTED_VALUE"""),0)</f>
        <v>0</v>
      </c>
      <c r="D12624" s="12" t="str">
        <f ca="1">IFERROR(__xludf.DUMMYFUNCTION("""COMPUTED_VALUE"""),"成嶋 夏未")</f>
        <v>成嶋 夏未</v>
      </c>
    </row>
    <row r="12625" spans="2:4" ht="13">
      <c r="B12625" s="12">
        <f ca="1">IFERROR(__xludf.DUMMYFUNCTION("""COMPUTED_VALUE"""),3904488)</f>
        <v>3904488</v>
      </c>
      <c r="C12625" s="14">
        <f ca="1">IFERROR(__xludf.DUMMYFUNCTION("""COMPUTED_VALUE"""),0)</f>
        <v>0</v>
      </c>
      <c r="D12625" s="12" t="str">
        <f ca="1">IFERROR(__xludf.DUMMYFUNCTION("""COMPUTED_VALUE"""),"菅野 ぎんが")</f>
        <v>菅野 ぎんが</v>
      </c>
    </row>
    <row r="12626" spans="2:4" ht="13">
      <c r="B12626" s="12">
        <f ca="1">IFERROR(__xludf.DUMMYFUNCTION("""COMPUTED_VALUE"""),3904492)</f>
        <v>3904492</v>
      </c>
      <c r="C12626" s="14">
        <f ca="1">IFERROR(__xludf.DUMMYFUNCTION("""COMPUTED_VALUE"""),0)</f>
        <v>0</v>
      </c>
      <c r="D12626" s="12" t="str">
        <f ca="1">IFERROR(__xludf.DUMMYFUNCTION("""COMPUTED_VALUE"""),"松尾 尚樹")</f>
        <v>松尾 尚樹</v>
      </c>
    </row>
    <row r="12627" spans="2:4" ht="13">
      <c r="B12627" s="12">
        <f ca="1">IFERROR(__xludf.DUMMYFUNCTION("""COMPUTED_VALUE"""),3904493)</f>
        <v>3904493</v>
      </c>
      <c r="C12627" s="14">
        <f ca="1">IFERROR(__xludf.DUMMYFUNCTION("""COMPUTED_VALUE"""),0)</f>
        <v>0</v>
      </c>
      <c r="D12627" s="12" t="str">
        <f ca="1">IFERROR(__xludf.DUMMYFUNCTION("""COMPUTED_VALUE"""),"荻曽 克輝")</f>
        <v>荻曽 克輝</v>
      </c>
    </row>
    <row r="12628" spans="2:4" ht="13">
      <c r="B12628" s="12">
        <f ca="1">IFERROR(__xludf.DUMMYFUNCTION("""COMPUTED_VALUE"""),3904495)</f>
        <v>3904495</v>
      </c>
      <c r="C12628" s="14">
        <f ca="1">IFERROR(__xludf.DUMMYFUNCTION("""COMPUTED_VALUE"""),0)</f>
        <v>0</v>
      </c>
      <c r="D12628" s="12" t="str">
        <f ca="1">IFERROR(__xludf.DUMMYFUNCTION("""COMPUTED_VALUE"""),"松尾 尚樹")</f>
        <v>松尾 尚樹</v>
      </c>
    </row>
    <row r="12629" spans="2:4" ht="13">
      <c r="B12629" s="12">
        <f ca="1">IFERROR(__xludf.DUMMYFUNCTION("""COMPUTED_VALUE"""),3904497)</f>
        <v>3904497</v>
      </c>
      <c r="C12629" s="14">
        <f ca="1">IFERROR(__xludf.DUMMYFUNCTION("""COMPUTED_VALUE"""),0)</f>
        <v>0</v>
      </c>
      <c r="D12629" s="12" t="str">
        <f ca="1">IFERROR(__xludf.DUMMYFUNCTION("""COMPUTED_VALUE"""),"老田 純輝")</f>
        <v>老田 純輝</v>
      </c>
    </row>
    <row r="12630" spans="2:4" ht="13">
      <c r="B12630" s="12">
        <f ca="1">IFERROR(__xludf.DUMMYFUNCTION("""COMPUTED_VALUE"""),3904504)</f>
        <v>3904504</v>
      </c>
      <c r="C12630" s="14">
        <f ca="1">IFERROR(__xludf.DUMMYFUNCTION("""COMPUTED_VALUE"""),0)</f>
        <v>0</v>
      </c>
      <c r="D12630" s="12" t="str">
        <f ca="1">IFERROR(__xludf.DUMMYFUNCTION("""COMPUTED_VALUE"""),"稲場 勇介")</f>
        <v>稲場 勇介</v>
      </c>
    </row>
    <row r="12631" spans="2:4" ht="13">
      <c r="B12631" s="12">
        <f ca="1">IFERROR(__xludf.DUMMYFUNCTION("""COMPUTED_VALUE"""),3904508)</f>
        <v>3904508</v>
      </c>
      <c r="C12631" s="14">
        <f ca="1">IFERROR(__xludf.DUMMYFUNCTION("""COMPUTED_VALUE"""),0)</f>
        <v>0</v>
      </c>
      <c r="D12631" s="12" t="str">
        <f ca="1">IFERROR(__xludf.DUMMYFUNCTION("""COMPUTED_VALUE"""),"川島 幹也")</f>
        <v>川島 幹也</v>
      </c>
    </row>
    <row r="12632" spans="2:4" ht="13">
      <c r="B12632" s="12">
        <f ca="1">IFERROR(__xludf.DUMMYFUNCTION("""COMPUTED_VALUE"""),3904512)</f>
        <v>3904512</v>
      </c>
      <c r="C12632" s="14">
        <f ca="1">IFERROR(__xludf.DUMMYFUNCTION("""COMPUTED_VALUE"""),0)</f>
        <v>0</v>
      </c>
      <c r="D12632" s="12" t="str">
        <f ca="1">IFERROR(__xludf.DUMMYFUNCTION("""COMPUTED_VALUE"""),"稲場 勇介")</f>
        <v>稲場 勇介</v>
      </c>
    </row>
    <row r="12633" spans="2:4" ht="13">
      <c r="B12633" s="12">
        <f ca="1">IFERROR(__xludf.DUMMYFUNCTION("""COMPUTED_VALUE"""),3904518)</f>
        <v>3904518</v>
      </c>
      <c r="C12633" s="14">
        <f ca="1">IFERROR(__xludf.DUMMYFUNCTION("""COMPUTED_VALUE"""),0)</f>
        <v>0</v>
      </c>
      <c r="D12633" s="12" t="str">
        <f ca="1">IFERROR(__xludf.DUMMYFUNCTION("""COMPUTED_VALUE"""),"村上 浩一朗")</f>
        <v>村上 浩一朗</v>
      </c>
    </row>
    <row r="12634" spans="2:4" ht="13">
      <c r="B12634" s="12">
        <f ca="1">IFERROR(__xludf.DUMMYFUNCTION("""COMPUTED_VALUE"""),3904535)</f>
        <v>3904535</v>
      </c>
      <c r="C12634" s="14">
        <f ca="1">IFERROR(__xludf.DUMMYFUNCTION("""COMPUTED_VALUE"""),0)</f>
        <v>0</v>
      </c>
      <c r="D12634" s="12" t="str">
        <f ca="1">IFERROR(__xludf.DUMMYFUNCTION("""COMPUTED_VALUE"""),"松尾 尚樹")</f>
        <v>松尾 尚樹</v>
      </c>
    </row>
    <row r="12635" spans="2:4" ht="13">
      <c r="B12635" s="12">
        <f ca="1">IFERROR(__xludf.DUMMYFUNCTION("""COMPUTED_VALUE"""),3904536)</f>
        <v>3904536</v>
      </c>
      <c r="C12635" s="14">
        <f ca="1">IFERROR(__xludf.DUMMYFUNCTION("""COMPUTED_VALUE"""),6)</f>
        <v>6</v>
      </c>
      <c r="D12635" s="12" t="str">
        <f ca="1">IFERROR(__xludf.DUMMYFUNCTION("""COMPUTED_VALUE"""),"長谷川 陸朗")</f>
        <v>長谷川 陸朗</v>
      </c>
    </row>
    <row r="12636" spans="2:4" ht="13">
      <c r="B12636" s="12">
        <f ca="1">IFERROR(__xludf.DUMMYFUNCTION("""COMPUTED_VALUE"""),3904537)</f>
        <v>3904537</v>
      </c>
      <c r="C12636" s="14">
        <f ca="1">IFERROR(__xludf.DUMMYFUNCTION("""COMPUTED_VALUE"""),0)</f>
        <v>0</v>
      </c>
      <c r="D12636" s="12" t="str">
        <f ca="1">IFERROR(__xludf.DUMMYFUNCTION("""COMPUTED_VALUE"""),"栗原 大武")</f>
        <v>栗原 大武</v>
      </c>
    </row>
    <row r="12637" spans="2:4" ht="13">
      <c r="B12637" s="12">
        <f ca="1">IFERROR(__xludf.DUMMYFUNCTION("""COMPUTED_VALUE"""),3904539)</f>
        <v>3904539</v>
      </c>
      <c r="C12637" s="14">
        <f ca="1">IFERROR(__xludf.DUMMYFUNCTION("""COMPUTED_VALUE"""),1)</f>
        <v>1</v>
      </c>
      <c r="D12637" s="12" t="str">
        <f ca="1">IFERROR(__xludf.DUMMYFUNCTION("""COMPUTED_VALUE"""),"辻村 将大")</f>
        <v>辻村 将大</v>
      </c>
    </row>
    <row r="12638" spans="2:4" ht="13">
      <c r="B12638" s="12">
        <f ca="1">IFERROR(__xludf.DUMMYFUNCTION("""COMPUTED_VALUE"""),3904541)</f>
        <v>3904541</v>
      </c>
      <c r="C12638" s="14">
        <f ca="1">IFERROR(__xludf.DUMMYFUNCTION("""COMPUTED_VALUE"""),3)</f>
        <v>3</v>
      </c>
      <c r="D12638" s="12" t="str">
        <f ca="1">IFERROR(__xludf.DUMMYFUNCTION("""COMPUTED_VALUE"""),"桑原 明子")</f>
        <v>桑原 明子</v>
      </c>
    </row>
    <row r="12639" spans="2:4" ht="13">
      <c r="B12639" s="12">
        <f ca="1">IFERROR(__xludf.DUMMYFUNCTION("""COMPUTED_VALUE"""),3904543)</f>
        <v>3904543</v>
      </c>
      <c r="C12639" s="14">
        <f ca="1">IFERROR(__xludf.DUMMYFUNCTION("""COMPUTED_VALUE"""),0)</f>
        <v>0</v>
      </c>
      <c r="D12639" s="12" t="str">
        <f ca="1">IFERROR(__xludf.DUMMYFUNCTION("""COMPUTED_VALUE"""),"小関 麻起")</f>
        <v>小関 麻起</v>
      </c>
    </row>
    <row r="12640" spans="2:4" ht="13">
      <c r="B12640" s="12">
        <f ca="1">IFERROR(__xludf.DUMMYFUNCTION("""COMPUTED_VALUE"""),3904555)</f>
        <v>3904555</v>
      </c>
      <c r="C12640" s="14">
        <f ca="1">IFERROR(__xludf.DUMMYFUNCTION("""COMPUTED_VALUE"""),0)</f>
        <v>0</v>
      </c>
      <c r="D12640" s="12" t="str">
        <f ca="1">IFERROR(__xludf.DUMMYFUNCTION("""COMPUTED_VALUE"""),"稲場 勇介")</f>
        <v>稲場 勇介</v>
      </c>
    </row>
    <row r="12641" spans="2:4" ht="13">
      <c r="B12641" s="12">
        <f ca="1">IFERROR(__xludf.DUMMYFUNCTION("""COMPUTED_VALUE"""),3904561)</f>
        <v>3904561</v>
      </c>
      <c r="C12641" s="14">
        <f ca="1">IFERROR(__xludf.DUMMYFUNCTION("""COMPUTED_VALUE"""),0)</f>
        <v>0</v>
      </c>
      <c r="D12641" s="12" t="str">
        <f ca="1">IFERROR(__xludf.DUMMYFUNCTION("""COMPUTED_VALUE"""),"村上 浩一朗")</f>
        <v>村上 浩一朗</v>
      </c>
    </row>
    <row r="12642" spans="2:4" ht="13">
      <c r="B12642" s="12">
        <f ca="1">IFERROR(__xludf.DUMMYFUNCTION("""COMPUTED_VALUE"""),3904563)</f>
        <v>3904563</v>
      </c>
      <c r="C12642" s="14">
        <f ca="1">IFERROR(__xludf.DUMMYFUNCTION("""COMPUTED_VALUE"""),0)</f>
        <v>0</v>
      </c>
      <c r="D12642" s="12" t="str">
        <f ca="1">IFERROR(__xludf.DUMMYFUNCTION("""COMPUTED_VALUE"""),"菅野 ぎんが")</f>
        <v>菅野 ぎんが</v>
      </c>
    </row>
    <row r="12643" spans="2:4" ht="13">
      <c r="B12643" s="12">
        <f ca="1">IFERROR(__xludf.DUMMYFUNCTION("""COMPUTED_VALUE"""),3904566)</f>
        <v>3904566</v>
      </c>
      <c r="C12643" s="14">
        <f ca="1">IFERROR(__xludf.DUMMYFUNCTION("""COMPUTED_VALUE"""),0)</f>
        <v>0</v>
      </c>
      <c r="D12643" s="12" t="str">
        <f ca="1">IFERROR(__xludf.DUMMYFUNCTION("""COMPUTED_VALUE"""),"小関 麻起")</f>
        <v>小関 麻起</v>
      </c>
    </row>
    <row r="12644" spans="2:4" ht="13">
      <c r="B12644" s="12">
        <f ca="1">IFERROR(__xludf.DUMMYFUNCTION("""COMPUTED_VALUE"""),3904567)</f>
        <v>3904567</v>
      </c>
      <c r="C12644" s="14">
        <f ca="1">IFERROR(__xludf.DUMMYFUNCTION("""COMPUTED_VALUE"""),0)</f>
        <v>0</v>
      </c>
      <c r="D12644" s="12" t="str">
        <f ca="1">IFERROR(__xludf.DUMMYFUNCTION("""COMPUTED_VALUE"""),"荻曽 克輝")</f>
        <v>荻曽 克輝</v>
      </c>
    </row>
    <row r="12645" spans="2:4" ht="13">
      <c r="B12645" s="12">
        <f ca="1">IFERROR(__xludf.DUMMYFUNCTION("""COMPUTED_VALUE"""),3904576)</f>
        <v>3904576</v>
      </c>
      <c r="C12645" s="14">
        <f ca="1">IFERROR(__xludf.DUMMYFUNCTION("""COMPUTED_VALUE"""),0)</f>
        <v>0</v>
      </c>
      <c r="D12645" s="12" t="str">
        <f ca="1">IFERROR(__xludf.DUMMYFUNCTION("""COMPUTED_VALUE"""),"辻村 将大")</f>
        <v>辻村 将大</v>
      </c>
    </row>
    <row r="12646" spans="2:4" ht="13">
      <c r="B12646" s="12">
        <f ca="1">IFERROR(__xludf.DUMMYFUNCTION("""COMPUTED_VALUE"""),3904580)</f>
        <v>3904580</v>
      </c>
      <c r="C12646" s="14">
        <f ca="1">IFERROR(__xludf.DUMMYFUNCTION("""COMPUTED_VALUE"""),0)</f>
        <v>0</v>
      </c>
      <c r="D12646" s="12" t="str">
        <f ca="1">IFERROR(__xludf.DUMMYFUNCTION("""COMPUTED_VALUE"""),"桐山 勝気")</f>
        <v>桐山 勝気</v>
      </c>
    </row>
    <row r="12647" spans="2:4" ht="13">
      <c r="B12647" s="12">
        <f ca="1">IFERROR(__xludf.DUMMYFUNCTION("""COMPUTED_VALUE"""),3904581)</f>
        <v>3904581</v>
      </c>
      <c r="C12647" s="14">
        <f ca="1">IFERROR(__xludf.DUMMYFUNCTION("""COMPUTED_VALUE"""),0)</f>
        <v>0</v>
      </c>
      <c r="D12647" s="12" t="str">
        <f ca="1">IFERROR(__xludf.DUMMYFUNCTION("""COMPUTED_VALUE"""),"荻曽 克輝")</f>
        <v>荻曽 克輝</v>
      </c>
    </row>
    <row r="12648" spans="2:4" ht="13">
      <c r="B12648" s="12">
        <f ca="1">IFERROR(__xludf.DUMMYFUNCTION("""COMPUTED_VALUE"""),3904584)</f>
        <v>3904584</v>
      </c>
      <c r="C12648" s="14">
        <f ca="1">IFERROR(__xludf.DUMMYFUNCTION("""COMPUTED_VALUE"""),0)</f>
        <v>0</v>
      </c>
      <c r="D12648" s="12" t="str">
        <f ca="1">IFERROR(__xludf.DUMMYFUNCTION("""COMPUTED_VALUE"""),"菅野 ぎんが")</f>
        <v>菅野 ぎんが</v>
      </c>
    </row>
    <row r="12649" spans="2:4" ht="13">
      <c r="B12649" s="12">
        <f ca="1">IFERROR(__xludf.DUMMYFUNCTION("""COMPUTED_VALUE"""),3904586)</f>
        <v>3904586</v>
      </c>
      <c r="C12649" s="14">
        <f ca="1">IFERROR(__xludf.DUMMYFUNCTION("""COMPUTED_VALUE"""),0)</f>
        <v>0</v>
      </c>
      <c r="D12649" s="12" t="str">
        <f ca="1">IFERROR(__xludf.DUMMYFUNCTION("""COMPUTED_VALUE"""),"桐山 勝気")</f>
        <v>桐山 勝気</v>
      </c>
    </row>
    <row r="12650" spans="2:4" ht="13">
      <c r="B12650" s="12">
        <f ca="1">IFERROR(__xludf.DUMMYFUNCTION("""COMPUTED_VALUE"""),3904588)</f>
        <v>3904588</v>
      </c>
      <c r="C12650" s="14">
        <f ca="1">IFERROR(__xludf.DUMMYFUNCTION("""COMPUTED_VALUE"""),0)</f>
        <v>0</v>
      </c>
      <c r="D12650" s="12" t="str">
        <f ca="1">IFERROR(__xludf.DUMMYFUNCTION("""COMPUTED_VALUE"""),"栗原 大武")</f>
        <v>栗原 大武</v>
      </c>
    </row>
    <row r="12651" spans="2:4" ht="13">
      <c r="B12651" s="12">
        <f ca="1">IFERROR(__xludf.DUMMYFUNCTION("""COMPUTED_VALUE"""),3904593)</f>
        <v>3904593</v>
      </c>
      <c r="C12651" s="14">
        <f ca="1">IFERROR(__xludf.DUMMYFUNCTION("""COMPUTED_VALUE"""),0)</f>
        <v>0</v>
      </c>
      <c r="D12651" s="12" t="str">
        <f ca="1">IFERROR(__xludf.DUMMYFUNCTION("""COMPUTED_VALUE"""),"稲場 勇介")</f>
        <v>稲場 勇介</v>
      </c>
    </row>
    <row r="12652" spans="2:4" ht="13">
      <c r="B12652" s="12">
        <f ca="1">IFERROR(__xludf.DUMMYFUNCTION("""COMPUTED_VALUE"""),3904597)</f>
        <v>3904597</v>
      </c>
      <c r="C12652" s="14">
        <f ca="1">IFERROR(__xludf.DUMMYFUNCTION("""COMPUTED_VALUE"""),0)</f>
        <v>0</v>
      </c>
      <c r="D12652" s="12" t="str">
        <f ca="1">IFERROR(__xludf.DUMMYFUNCTION("""COMPUTED_VALUE"""),"稲場 勇介")</f>
        <v>稲場 勇介</v>
      </c>
    </row>
    <row r="12653" spans="2:4" ht="13">
      <c r="B12653" s="12">
        <f ca="1">IFERROR(__xludf.DUMMYFUNCTION("""COMPUTED_VALUE"""),3904601)</f>
        <v>3904601</v>
      </c>
      <c r="C12653" s="14">
        <f ca="1">IFERROR(__xludf.DUMMYFUNCTION("""COMPUTED_VALUE"""),0)</f>
        <v>0</v>
      </c>
      <c r="D12653" s="12" t="str">
        <f ca="1">IFERROR(__xludf.DUMMYFUNCTION("""COMPUTED_VALUE"""),"小関 麻起")</f>
        <v>小関 麻起</v>
      </c>
    </row>
    <row r="12654" spans="2:4" ht="13">
      <c r="B12654" s="12">
        <f ca="1">IFERROR(__xludf.DUMMYFUNCTION("""COMPUTED_VALUE"""),3904603)</f>
        <v>3904603</v>
      </c>
      <c r="C12654" s="14">
        <f ca="1">IFERROR(__xludf.DUMMYFUNCTION("""COMPUTED_VALUE"""),2)</f>
        <v>2</v>
      </c>
      <c r="D12654" s="12" t="str">
        <f ca="1">IFERROR(__xludf.DUMMYFUNCTION("""COMPUTED_VALUE"""),"老田 純輝")</f>
        <v>老田 純輝</v>
      </c>
    </row>
    <row r="12655" spans="2:4" ht="13">
      <c r="B12655" s="12">
        <f ca="1">IFERROR(__xludf.DUMMYFUNCTION("""COMPUTED_VALUE"""),3904606)</f>
        <v>3904606</v>
      </c>
      <c r="C12655" s="14">
        <f ca="1">IFERROR(__xludf.DUMMYFUNCTION("""COMPUTED_VALUE"""),2)</f>
        <v>2</v>
      </c>
      <c r="D12655" s="12" t="str">
        <f ca="1">IFERROR(__xludf.DUMMYFUNCTION("""COMPUTED_VALUE"""),"荻曽 克輝")</f>
        <v>荻曽 克輝</v>
      </c>
    </row>
    <row r="12656" spans="2:4" ht="13">
      <c r="B12656" s="12">
        <f ca="1">IFERROR(__xludf.DUMMYFUNCTION("""COMPUTED_VALUE"""),3904609)</f>
        <v>3904609</v>
      </c>
      <c r="C12656" s="14">
        <f ca="1">IFERROR(__xludf.DUMMYFUNCTION("""COMPUTED_VALUE"""),1)</f>
        <v>1</v>
      </c>
      <c r="D12656" s="12" t="str">
        <f ca="1">IFERROR(__xludf.DUMMYFUNCTION("""COMPUTED_VALUE"""),"栗原 大武")</f>
        <v>栗原 大武</v>
      </c>
    </row>
    <row r="12657" spans="2:4" ht="13">
      <c r="B12657" s="12">
        <f ca="1">IFERROR(__xludf.DUMMYFUNCTION("""COMPUTED_VALUE"""),3904621)</f>
        <v>3904621</v>
      </c>
      <c r="C12657" s="14">
        <f ca="1">IFERROR(__xludf.DUMMYFUNCTION("""COMPUTED_VALUE"""),0)</f>
        <v>0</v>
      </c>
      <c r="D12657" s="12" t="str">
        <f ca="1">IFERROR(__xludf.DUMMYFUNCTION("""COMPUTED_VALUE"""),"松尾 尚樹")</f>
        <v>松尾 尚樹</v>
      </c>
    </row>
    <row r="12658" spans="2:4" ht="13">
      <c r="B12658" s="12">
        <f ca="1">IFERROR(__xludf.DUMMYFUNCTION("""COMPUTED_VALUE"""),3904625)</f>
        <v>3904625</v>
      </c>
      <c r="C12658" s="14">
        <f ca="1">IFERROR(__xludf.DUMMYFUNCTION("""COMPUTED_VALUE"""),1)</f>
        <v>1</v>
      </c>
      <c r="D12658" s="12" t="str">
        <f ca="1">IFERROR(__xludf.DUMMYFUNCTION("""COMPUTED_VALUE"""),"松尾 尚樹")</f>
        <v>松尾 尚樹</v>
      </c>
    </row>
    <row r="12659" spans="2:4" ht="13">
      <c r="B12659" s="12">
        <f ca="1">IFERROR(__xludf.DUMMYFUNCTION("""COMPUTED_VALUE"""),3904627)</f>
        <v>3904627</v>
      </c>
      <c r="C12659" s="14">
        <f ca="1">IFERROR(__xludf.DUMMYFUNCTION("""COMPUTED_VALUE"""),9)</f>
        <v>9</v>
      </c>
      <c r="D12659" s="12" t="str">
        <f ca="1">IFERROR(__xludf.DUMMYFUNCTION("""COMPUTED_VALUE"""),"稲場 勇介")</f>
        <v>稲場 勇介</v>
      </c>
    </row>
    <row r="12660" spans="2:4" ht="13">
      <c r="B12660" s="12">
        <f ca="1">IFERROR(__xludf.DUMMYFUNCTION("""COMPUTED_VALUE"""),3904633)</f>
        <v>3904633</v>
      </c>
      <c r="C12660" s="14">
        <f ca="1">IFERROR(__xludf.DUMMYFUNCTION("""COMPUTED_VALUE"""),0)</f>
        <v>0</v>
      </c>
      <c r="D12660" s="12" t="str">
        <f ca="1">IFERROR(__xludf.DUMMYFUNCTION("""COMPUTED_VALUE"""),"桑原 明子")</f>
        <v>桑原 明子</v>
      </c>
    </row>
    <row r="12661" spans="2:4" ht="13">
      <c r="B12661" s="12">
        <f ca="1">IFERROR(__xludf.DUMMYFUNCTION("""COMPUTED_VALUE"""),3904635)</f>
        <v>3904635</v>
      </c>
      <c r="C12661" s="14">
        <f ca="1">IFERROR(__xludf.DUMMYFUNCTION("""COMPUTED_VALUE"""),11)</f>
        <v>11</v>
      </c>
      <c r="D12661" s="12" t="str">
        <f ca="1">IFERROR(__xludf.DUMMYFUNCTION("""COMPUTED_VALUE"""),"老田 純輝")</f>
        <v>老田 純輝</v>
      </c>
    </row>
    <row r="12662" spans="2:4" ht="13">
      <c r="B12662" s="12">
        <f ca="1">IFERROR(__xludf.DUMMYFUNCTION("""COMPUTED_VALUE"""),3904639)</f>
        <v>3904639</v>
      </c>
      <c r="C12662" s="14">
        <f ca="1">IFERROR(__xludf.DUMMYFUNCTION("""COMPUTED_VALUE"""),0)</f>
        <v>0</v>
      </c>
      <c r="D12662" s="12" t="str">
        <f ca="1">IFERROR(__xludf.DUMMYFUNCTION("""COMPUTED_VALUE"""),"松尾 尚樹")</f>
        <v>松尾 尚樹</v>
      </c>
    </row>
    <row r="12663" spans="2:4" ht="13">
      <c r="B12663" s="12">
        <f ca="1">IFERROR(__xludf.DUMMYFUNCTION("""COMPUTED_VALUE"""),3904646)</f>
        <v>3904646</v>
      </c>
      <c r="C12663" s="14">
        <f ca="1">IFERROR(__xludf.DUMMYFUNCTION("""COMPUTED_VALUE"""),0)</f>
        <v>0</v>
      </c>
      <c r="D12663" s="12" t="str">
        <f ca="1">IFERROR(__xludf.DUMMYFUNCTION("""COMPUTED_VALUE"""),"菅野 ぎんが")</f>
        <v>菅野 ぎんが</v>
      </c>
    </row>
    <row r="12664" spans="2:4" ht="13">
      <c r="B12664" s="12">
        <f ca="1">IFERROR(__xludf.DUMMYFUNCTION("""COMPUTED_VALUE"""),3904647)</f>
        <v>3904647</v>
      </c>
      <c r="C12664" s="14">
        <f ca="1">IFERROR(__xludf.DUMMYFUNCTION("""COMPUTED_VALUE"""),28)</f>
        <v>28</v>
      </c>
      <c r="D12664" s="12" t="str">
        <f ca="1">IFERROR(__xludf.DUMMYFUNCTION("""COMPUTED_VALUE"""),"老田 純輝")</f>
        <v>老田 純輝</v>
      </c>
    </row>
    <row r="12665" spans="2:4" ht="13">
      <c r="B12665" s="12">
        <f ca="1">IFERROR(__xludf.DUMMYFUNCTION("""COMPUTED_VALUE"""),3904651)</f>
        <v>3904651</v>
      </c>
      <c r="C12665" s="14">
        <f ca="1">IFERROR(__xludf.DUMMYFUNCTION("""COMPUTED_VALUE"""),2)</f>
        <v>2</v>
      </c>
      <c r="D12665" s="12" t="str">
        <f ca="1">IFERROR(__xludf.DUMMYFUNCTION("""COMPUTED_VALUE"""),"松尾 尚樹")</f>
        <v>松尾 尚樹</v>
      </c>
    </row>
    <row r="12666" spans="2:4" ht="13">
      <c r="B12666" s="12">
        <f ca="1">IFERROR(__xludf.DUMMYFUNCTION("""COMPUTED_VALUE"""),3904653)</f>
        <v>3904653</v>
      </c>
      <c r="C12666" s="14">
        <f ca="1">IFERROR(__xludf.DUMMYFUNCTION("""COMPUTED_VALUE"""),0)</f>
        <v>0</v>
      </c>
      <c r="D12666" s="12" t="str">
        <f ca="1">IFERROR(__xludf.DUMMYFUNCTION("""COMPUTED_VALUE"""),"小関 麻起")</f>
        <v>小関 麻起</v>
      </c>
    </row>
    <row r="12667" spans="2:4" ht="13">
      <c r="B12667" s="12">
        <f ca="1">IFERROR(__xludf.DUMMYFUNCTION("""COMPUTED_VALUE"""),3904656)</f>
        <v>3904656</v>
      </c>
      <c r="C12667" s="14">
        <f ca="1">IFERROR(__xludf.DUMMYFUNCTION("""COMPUTED_VALUE"""),1)</f>
        <v>1</v>
      </c>
      <c r="D12667" s="12" t="str">
        <f ca="1">IFERROR(__xludf.DUMMYFUNCTION("""COMPUTED_VALUE"""),"老田 純輝")</f>
        <v>老田 純輝</v>
      </c>
    </row>
    <row r="12668" spans="2:4" ht="13">
      <c r="B12668" s="12">
        <f ca="1">IFERROR(__xludf.DUMMYFUNCTION("""COMPUTED_VALUE"""),3904659)</f>
        <v>3904659</v>
      </c>
      <c r="C12668" s="14">
        <f ca="1">IFERROR(__xludf.DUMMYFUNCTION("""COMPUTED_VALUE"""),0)</f>
        <v>0</v>
      </c>
      <c r="D12668" s="12" t="str">
        <f ca="1">IFERROR(__xludf.DUMMYFUNCTION("""COMPUTED_VALUE"""),"小関 麻起")</f>
        <v>小関 麻起</v>
      </c>
    </row>
    <row r="12669" spans="2:4" ht="13">
      <c r="B12669" s="12">
        <f ca="1">IFERROR(__xludf.DUMMYFUNCTION("""COMPUTED_VALUE"""),3904661)</f>
        <v>3904661</v>
      </c>
      <c r="C12669" s="14">
        <f ca="1">IFERROR(__xludf.DUMMYFUNCTION("""COMPUTED_VALUE"""),0)</f>
        <v>0</v>
      </c>
      <c r="D12669" s="12" t="str">
        <f ca="1">IFERROR(__xludf.DUMMYFUNCTION("""COMPUTED_VALUE"""),"川島 幹也")</f>
        <v>川島 幹也</v>
      </c>
    </row>
    <row r="12670" spans="2:4" ht="13">
      <c r="B12670" s="12">
        <f ca="1">IFERROR(__xludf.DUMMYFUNCTION("""COMPUTED_VALUE"""),3904662)</f>
        <v>3904662</v>
      </c>
      <c r="C12670" s="14">
        <f ca="1">IFERROR(__xludf.DUMMYFUNCTION("""COMPUTED_VALUE"""),0)</f>
        <v>0</v>
      </c>
      <c r="D12670" s="12" t="str">
        <f ca="1">IFERROR(__xludf.DUMMYFUNCTION("""COMPUTED_VALUE"""),"芳賀 亮輔")</f>
        <v>芳賀 亮輔</v>
      </c>
    </row>
    <row r="12671" spans="2:4" ht="13">
      <c r="B12671" s="12">
        <f ca="1">IFERROR(__xludf.DUMMYFUNCTION("""COMPUTED_VALUE"""),3904668)</f>
        <v>3904668</v>
      </c>
      <c r="C12671" s="14">
        <f ca="1">IFERROR(__xludf.DUMMYFUNCTION("""COMPUTED_VALUE"""),1)</f>
        <v>1</v>
      </c>
      <c r="D12671" s="12" t="str">
        <f ca="1">IFERROR(__xludf.DUMMYFUNCTION("""COMPUTED_VALUE"""),"稲場 勇介")</f>
        <v>稲場 勇介</v>
      </c>
    </row>
    <row r="12672" spans="2:4" ht="13">
      <c r="B12672" s="12">
        <f ca="1">IFERROR(__xludf.DUMMYFUNCTION("""COMPUTED_VALUE"""),3904669)</f>
        <v>3904669</v>
      </c>
      <c r="C12672" s="14">
        <f ca="1">IFERROR(__xludf.DUMMYFUNCTION("""COMPUTED_VALUE"""),0)</f>
        <v>0</v>
      </c>
      <c r="D12672" s="12" t="str">
        <f ca="1">IFERROR(__xludf.DUMMYFUNCTION("""COMPUTED_VALUE"""),"菅野 ぎんが")</f>
        <v>菅野 ぎんが</v>
      </c>
    </row>
    <row r="12673" spans="2:4" ht="13">
      <c r="B12673" s="12">
        <f ca="1">IFERROR(__xludf.DUMMYFUNCTION("""COMPUTED_VALUE"""),3904677)</f>
        <v>3904677</v>
      </c>
      <c r="C12673" s="14">
        <f ca="1">IFERROR(__xludf.DUMMYFUNCTION("""COMPUTED_VALUE"""),0)</f>
        <v>0</v>
      </c>
      <c r="D12673" s="12" t="str">
        <f ca="1">IFERROR(__xludf.DUMMYFUNCTION("""COMPUTED_VALUE"""),"松尾 尚樹")</f>
        <v>松尾 尚樹</v>
      </c>
    </row>
    <row r="12674" spans="2:4" ht="13">
      <c r="B12674" s="12">
        <f ca="1">IFERROR(__xludf.DUMMYFUNCTION("""COMPUTED_VALUE"""),3904679)</f>
        <v>3904679</v>
      </c>
      <c r="C12674" s="14">
        <f ca="1">IFERROR(__xludf.DUMMYFUNCTION("""COMPUTED_VALUE"""),0)</f>
        <v>0</v>
      </c>
      <c r="D12674" s="12" t="str">
        <f ca="1">IFERROR(__xludf.DUMMYFUNCTION("""COMPUTED_VALUE"""),"菅野 ぎんが")</f>
        <v>菅野 ぎんが</v>
      </c>
    </row>
    <row r="12675" spans="2:4" ht="13">
      <c r="B12675" s="12">
        <f ca="1">IFERROR(__xludf.DUMMYFUNCTION("""COMPUTED_VALUE"""),3904696)</f>
        <v>3904696</v>
      </c>
      <c r="C12675" s="14">
        <f ca="1">IFERROR(__xludf.DUMMYFUNCTION("""COMPUTED_VALUE"""),22)</f>
        <v>22</v>
      </c>
      <c r="D12675" s="12" t="str">
        <f ca="1">IFERROR(__xludf.DUMMYFUNCTION("""COMPUTED_VALUE"""),"稲場 勇介")</f>
        <v>稲場 勇介</v>
      </c>
    </row>
    <row r="12676" spans="2:4" ht="13">
      <c r="B12676" s="12">
        <f ca="1">IFERROR(__xludf.DUMMYFUNCTION("""COMPUTED_VALUE"""),3904706)</f>
        <v>3904706</v>
      </c>
      <c r="C12676" s="14">
        <f ca="1">IFERROR(__xludf.DUMMYFUNCTION("""COMPUTED_VALUE"""),0)</f>
        <v>0</v>
      </c>
      <c r="D12676" s="12" t="str">
        <f ca="1">IFERROR(__xludf.DUMMYFUNCTION("""COMPUTED_VALUE"""),"小関 麻起")</f>
        <v>小関 麻起</v>
      </c>
    </row>
    <row r="12677" spans="2:4" ht="13">
      <c r="B12677" s="12">
        <f ca="1">IFERROR(__xludf.DUMMYFUNCTION("""COMPUTED_VALUE"""),3904708)</f>
        <v>3904708</v>
      </c>
      <c r="C12677" s="14">
        <f ca="1">IFERROR(__xludf.DUMMYFUNCTION("""COMPUTED_VALUE"""),0)</f>
        <v>0</v>
      </c>
      <c r="D12677" s="12" t="str">
        <f ca="1">IFERROR(__xludf.DUMMYFUNCTION("""COMPUTED_VALUE"""),"菅野 ぎんが")</f>
        <v>菅野 ぎんが</v>
      </c>
    </row>
    <row r="12678" spans="2:4" ht="13">
      <c r="B12678" s="12">
        <f ca="1">IFERROR(__xludf.DUMMYFUNCTION("""COMPUTED_VALUE"""),3904716)</f>
        <v>3904716</v>
      </c>
      <c r="C12678" s="14">
        <f ca="1">IFERROR(__xludf.DUMMYFUNCTION("""COMPUTED_VALUE"""),0)</f>
        <v>0</v>
      </c>
      <c r="D12678" s="12" t="str">
        <f ca="1">IFERROR(__xludf.DUMMYFUNCTION("""COMPUTED_VALUE"""),"稲場 勇介")</f>
        <v>稲場 勇介</v>
      </c>
    </row>
    <row r="12679" spans="2:4" ht="13">
      <c r="B12679" s="12">
        <f ca="1">IFERROR(__xludf.DUMMYFUNCTION("""COMPUTED_VALUE"""),3904717)</f>
        <v>3904717</v>
      </c>
      <c r="C12679" s="14">
        <f ca="1">IFERROR(__xludf.DUMMYFUNCTION("""COMPUTED_VALUE"""),0)</f>
        <v>0</v>
      </c>
      <c r="D12679" s="12" t="str">
        <f ca="1">IFERROR(__xludf.DUMMYFUNCTION("""COMPUTED_VALUE"""),"菅野 ぎんが")</f>
        <v>菅野 ぎんが</v>
      </c>
    </row>
    <row r="12680" spans="2:4" ht="13">
      <c r="B12680" s="12">
        <f ca="1">IFERROR(__xludf.DUMMYFUNCTION("""COMPUTED_VALUE"""),3904729)</f>
        <v>3904729</v>
      </c>
      <c r="C12680" s="14">
        <f ca="1">IFERROR(__xludf.DUMMYFUNCTION("""COMPUTED_VALUE"""),0)</f>
        <v>0</v>
      </c>
      <c r="D12680" s="12" t="str">
        <f ca="1">IFERROR(__xludf.DUMMYFUNCTION("""COMPUTED_VALUE"""),"小関 麻起")</f>
        <v>小関 麻起</v>
      </c>
    </row>
    <row r="12681" spans="2:4" ht="13">
      <c r="B12681" s="12">
        <f ca="1">IFERROR(__xludf.DUMMYFUNCTION("""COMPUTED_VALUE"""),3904730)</f>
        <v>3904730</v>
      </c>
      <c r="C12681" s="14">
        <f ca="1">IFERROR(__xludf.DUMMYFUNCTION("""COMPUTED_VALUE"""),0)</f>
        <v>0</v>
      </c>
      <c r="D12681" s="12" t="str">
        <f ca="1">IFERROR(__xludf.DUMMYFUNCTION("""COMPUTED_VALUE"""),"荻曽 克輝")</f>
        <v>荻曽 克輝</v>
      </c>
    </row>
    <row r="12682" spans="2:4" ht="13">
      <c r="B12682" s="12">
        <f ca="1">IFERROR(__xludf.DUMMYFUNCTION("""COMPUTED_VALUE"""),3904732)</f>
        <v>3904732</v>
      </c>
      <c r="C12682" s="14">
        <f ca="1">IFERROR(__xludf.DUMMYFUNCTION("""COMPUTED_VALUE"""),0)</f>
        <v>0</v>
      </c>
      <c r="D12682" s="12" t="str">
        <f ca="1">IFERROR(__xludf.DUMMYFUNCTION("""COMPUTED_VALUE"""),"荻曽 克輝")</f>
        <v>荻曽 克輝</v>
      </c>
    </row>
    <row r="12683" spans="2:4" ht="13">
      <c r="B12683" s="12">
        <f ca="1">IFERROR(__xludf.DUMMYFUNCTION("""COMPUTED_VALUE"""),3904744)</f>
        <v>3904744</v>
      </c>
      <c r="C12683" s="14">
        <f ca="1">IFERROR(__xludf.DUMMYFUNCTION("""COMPUTED_VALUE"""),0)</f>
        <v>0</v>
      </c>
      <c r="D12683" s="12" t="str">
        <f ca="1">IFERROR(__xludf.DUMMYFUNCTION("""COMPUTED_VALUE"""),"小関 麻起")</f>
        <v>小関 麻起</v>
      </c>
    </row>
    <row r="12684" spans="2:4" ht="13">
      <c r="B12684" s="12">
        <f ca="1">IFERROR(__xludf.DUMMYFUNCTION("""COMPUTED_VALUE"""),3904748)</f>
        <v>3904748</v>
      </c>
      <c r="C12684" s="14">
        <f ca="1">IFERROR(__xludf.DUMMYFUNCTION("""COMPUTED_VALUE"""),0)</f>
        <v>0</v>
      </c>
      <c r="D12684" s="12" t="str">
        <f ca="1">IFERROR(__xludf.DUMMYFUNCTION("""COMPUTED_VALUE"""),"老田 純輝")</f>
        <v>老田 純輝</v>
      </c>
    </row>
    <row r="12685" spans="2:4" ht="13">
      <c r="B12685" s="12">
        <f ca="1">IFERROR(__xludf.DUMMYFUNCTION("""COMPUTED_VALUE"""),3904750)</f>
        <v>3904750</v>
      </c>
      <c r="C12685" s="14">
        <f ca="1">IFERROR(__xludf.DUMMYFUNCTION("""COMPUTED_VALUE"""),0)</f>
        <v>0</v>
      </c>
      <c r="D12685" s="12" t="str">
        <f ca="1">IFERROR(__xludf.DUMMYFUNCTION("""COMPUTED_VALUE"""),"小関 麻起")</f>
        <v>小関 麻起</v>
      </c>
    </row>
    <row r="12686" spans="2:4" ht="13">
      <c r="B12686" s="12">
        <f ca="1">IFERROR(__xludf.DUMMYFUNCTION("""COMPUTED_VALUE"""),3904759)</f>
        <v>3904759</v>
      </c>
      <c r="C12686" s="14">
        <f ca="1">IFERROR(__xludf.DUMMYFUNCTION("""COMPUTED_VALUE"""),0)</f>
        <v>0</v>
      </c>
      <c r="D12686" s="12" t="str">
        <f ca="1">IFERROR(__xludf.DUMMYFUNCTION("""COMPUTED_VALUE"""),"小関 麻起")</f>
        <v>小関 麻起</v>
      </c>
    </row>
    <row r="12687" spans="2:4" ht="13">
      <c r="B12687" s="12">
        <f ca="1">IFERROR(__xludf.DUMMYFUNCTION("""COMPUTED_VALUE"""),3904762)</f>
        <v>3904762</v>
      </c>
      <c r="C12687" s="14">
        <f ca="1">IFERROR(__xludf.DUMMYFUNCTION("""COMPUTED_VALUE"""),0)</f>
        <v>0</v>
      </c>
      <c r="D12687" s="12" t="str">
        <f ca="1">IFERROR(__xludf.DUMMYFUNCTION("""COMPUTED_VALUE"""),"松尾 尚樹")</f>
        <v>松尾 尚樹</v>
      </c>
    </row>
    <row r="12688" spans="2:4" ht="13">
      <c r="B12688" s="12">
        <f ca="1">IFERROR(__xludf.DUMMYFUNCTION("""COMPUTED_VALUE"""),3904768)</f>
        <v>3904768</v>
      </c>
      <c r="C12688" s="14">
        <f ca="1">IFERROR(__xludf.DUMMYFUNCTION("""COMPUTED_VALUE"""),0)</f>
        <v>0</v>
      </c>
      <c r="D12688" s="12" t="str">
        <f ca="1">IFERROR(__xludf.DUMMYFUNCTION("""COMPUTED_VALUE"""),"内丸 裕子")</f>
        <v>内丸 裕子</v>
      </c>
    </row>
    <row r="12689" spans="2:4" ht="13">
      <c r="B12689" s="12">
        <f ca="1">IFERROR(__xludf.DUMMYFUNCTION("""COMPUTED_VALUE"""),3904771)</f>
        <v>3904771</v>
      </c>
      <c r="C12689" s="14">
        <f ca="1">IFERROR(__xludf.DUMMYFUNCTION("""COMPUTED_VALUE"""),0)</f>
        <v>0</v>
      </c>
      <c r="D12689" s="12" t="str">
        <f ca="1">IFERROR(__xludf.DUMMYFUNCTION("""COMPUTED_VALUE"""),"稲場 勇介")</f>
        <v>稲場 勇介</v>
      </c>
    </row>
    <row r="12690" spans="2:4" ht="13">
      <c r="B12690" s="12">
        <f ca="1">IFERROR(__xludf.DUMMYFUNCTION("""COMPUTED_VALUE"""),3904774)</f>
        <v>3904774</v>
      </c>
      <c r="C12690" s="14">
        <f ca="1">IFERROR(__xludf.DUMMYFUNCTION("""COMPUTED_VALUE"""),3)</f>
        <v>3</v>
      </c>
      <c r="D12690" s="12" t="str">
        <f ca="1">IFERROR(__xludf.DUMMYFUNCTION("""COMPUTED_VALUE"""),"小関 麻起")</f>
        <v>小関 麻起</v>
      </c>
    </row>
    <row r="12691" spans="2:4" ht="13">
      <c r="B12691" s="12">
        <f ca="1">IFERROR(__xludf.DUMMYFUNCTION("""COMPUTED_VALUE"""),3904783)</f>
        <v>3904783</v>
      </c>
      <c r="C12691" s="14">
        <f ca="1">IFERROR(__xludf.DUMMYFUNCTION("""COMPUTED_VALUE"""),0)</f>
        <v>0</v>
      </c>
      <c r="D12691" s="12" t="str">
        <f ca="1">IFERROR(__xludf.DUMMYFUNCTION("""COMPUTED_VALUE"""),"老田 純輝")</f>
        <v>老田 純輝</v>
      </c>
    </row>
    <row r="12692" spans="2:4" ht="13">
      <c r="B12692" s="12">
        <f ca="1">IFERROR(__xludf.DUMMYFUNCTION("""COMPUTED_VALUE"""),3904789)</f>
        <v>3904789</v>
      </c>
      <c r="C12692" s="14">
        <f ca="1">IFERROR(__xludf.DUMMYFUNCTION("""COMPUTED_VALUE"""),3)</f>
        <v>3</v>
      </c>
      <c r="D12692" s="12" t="str">
        <f ca="1">IFERROR(__xludf.DUMMYFUNCTION("""COMPUTED_VALUE"""),"長谷川 陸朗")</f>
        <v>長谷川 陸朗</v>
      </c>
    </row>
    <row r="12693" spans="2:4" ht="13">
      <c r="B12693" s="12">
        <f ca="1">IFERROR(__xludf.DUMMYFUNCTION("""COMPUTED_VALUE"""),3904800)</f>
        <v>3904800</v>
      </c>
      <c r="C12693" s="14">
        <f ca="1">IFERROR(__xludf.DUMMYFUNCTION("""COMPUTED_VALUE"""),0)</f>
        <v>0</v>
      </c>
      <c r="D12693" s="12" t="str">
        <f ca="1">IFERROR(__xludf.DUMMYFUNCTION("""COMPUTED_VALUE"""),"川島 幹也")</f>
        <v>川島 幹也</v>
      </c>
    </row>
    <row r="12694" spans="2:4" ht="13">
      <c r="B12694" s="12">
        <f ca="1">IFERROR(__xludf.DUMMYFUNCTION("""COMPUTED_VALUE"""),3904802)</f>
        <v>3904802</v>
      </c>
      <c r="C12694" s="14">
        <f ca="1">IFERROR(__xludf.DUMMYFUNCTION("""COMPUTED_VALUE"""),0)</f>
        <v>0</v>
      </c>
      <c r="D12694" s="12" t="str">
        <f ca="1">IFERROR(__xludf.DUMMYFUNCTION("""COMPUTED_VALUE"""),"成嶋 夏未")</f>
        <v>成嶋 夏未</v>
      </c>
    </row>
    <row r="12695" spans="2:4" ht="13">
      <c r="B12695" s="12">
        <f ca="1">IFERROR(__xludf.DUMMYFUNCTION("""COMPUTED_VALUE"""),3904804)</f>
        <v>3904804</v>
      </c>
      <c r="C12695" s="14">
        <f ca="1">IFERROR(__xludf.DUMMYFUNCTION("""COMPUTED_VALUE"""),0)</f>
        <v>0</v>
      </c>
      <c r="D12695" s="12" t="str">
        <f ca="1">IFERROR(__xludf.DUMMYFUNCTION("""COMPUTED_VALUE"""),"芳賀 亮輔")</f>
        <v>芳賀 亮輔</v>
      </c>
    </row>
    <row r="12696" spans="2:4" ht="13">
      <c r="B12696" s="12">
        <f ca="1">IFERROR(__xludf.DUMMYFUNCTION("""COMPUTED_VALUE"""),3904830)</f>
        <v>3904830</v>
      </c>
      <c r="C12696" s="14">
        <f ca="1">IFERROR(__xludf.DUMMYFUNCTION("""COMPUTED_VALUE"""),0)</f>
        <v>0</v>
      </c>
      <c r="D12696" s="12" t="str">
        <f ca="1">IFERROR(__xludf.DUMMYFUNCTION("""COMPUTED_VALUE"""),"小関 麻起")</f>
        <v>小関 麻起</v>
      </c>
    </row>
    <row r="12697" spans="2:4" ht="13">
      <c r="B12697" s="12">
        <f ca="1">IFERROR(__xludf.DUMMYFUNCTION("""COMPUTED_VALUE"""),3904832)</f>
        <v>3904832</v>
      </c>
      <c r="C12697" s="14">
        <f ca="1">IFERROR(__xludf.DUMMYFUNCTION("""COMPUTED_VALUE"""),0)</f>
        <v>0</v>
      </c>
      <c r="D12697" s="12" t="str">
        <f ca="1">IFERROR(__xludf.DUMMYFUNCTION("""COMPUTED_VALUE"""),"菅野 ぎんが")</f>
        <v>菅野 ぎんが</v>
      </c>
    </row>
    <row r="12698" spans="2:4" ht="13">
      <c r="B12698" s="12">
        <f ca="1">IFERROR(__xludf.DUMMYFUNCTION("""COMPUTED_VALUE"""),3904836)</f>
        <v>3904836</v>
      </c>
      <c r="C12698" s="14">
        <f ca="1">IFERROR(__xludf.DUMMYFUNCTION("""COMPUTED_VALUE"""),0)</f>
        <v>0</v>
      </c>
      <c r="D12698" s="12" t="str">
        <f ca="1">IFERROR(__xludf.DUMMYFUNCTION("""COMPUTED_VALUE"""),"菅野 ぎんが")</f>
        <v>菅野 ぎんが</v>
      </c>
    </row>
    <row r="12699" spans="2:4" ht="13">
      <c r="B12699" s="12">
        <f ca="1">IFERROR(__xludf.DUMMYFUNCTION("""COMPUTED_VALUE"""),3904843)</f>
        <v>3904843</v>
      </c>
      <c r="C12699" s="14">
        <f ca="1">IFERROR(__xludf.DUMMYFUNCTION("""COMPUTED_VALUE"""),0)</f>
        <v>0</v>
      </c>
      <c r="D12699" s="12" t="str">
        <f ca="1">IFERROR(__xludf.DUMMYFUNCTION("""COMPUTED_VALUE"""),"内丸 裕子")</f>
        <v>内丸 裕子</v>
      </c>
    </row>
    <row r="12700" spans="2:4" ht="13">
      <c r="B12700" s="12">
        <f ca="1">IFERROR(__xludf.DUMMYFUNCTION("""COMPUTED_VALUE"""),3904845)</f>
        <v>3904845</v>
      </c>
      <c r="C12700" s="14">
        <f ca="1">IFERROR(__xludf.DUMMYFUNCTION("""COMPUTED_VALUE"""),1)</f>
        <v>1</v>
      </c>
      <c r="D12700" s="12" t="str">
        <f ca="1">IFERROR(__xludf.DUMMYFUNCTION("""COMPUTED_VALUE"""),"成嶋 夏未")</f>
        <v>成嶋 夏未</v>
      </c>
    </row>
    <row r="12701" spans="2:4" ht="13">
      <c r="B12701" s="12">
        <f ca="1">IFERROR(__xludf.DUMMYFUNCTION("""COMPUTED_VALUE"""),3904856)</f>
        <v>3904856</v>
      </c>
      <c r="C12701" s="14">
        <f ca="1">IFERROR(__xludf.DUMMYFUNCTION("""COMPUTED_VALUE"""),0)</f>
        <v>0</v>
      </c>
      <c r="D12701" s="12" t="str">
        <f ca="1">IFERROR(__xludf.DUMMYFUNCTION("""COMPUTED_VALUE"""),"堀越 駿")</f>
        <v>堀越 駿</v>
      </c>
    </row>
    <row r="12702" spans="2:4" ht="13">
      <c r="B12702" s="12">
        <f ca="1">IFERROR(__xludf.DUMMYFUNCTION("""COMPUTED_VALUE"""),3904857)</f>
        <v>3904857</v>
      </c>
      <c r="C12702" s="14">
        <f ca="1">IFERROR(__xludf.DUMMYFUNCTION("""COMPUTED_VALUE"""),1)</f>
        <v>1</v>
      </c>
      <c r="D12702" s="12" t="str">
        <f ca="1">IFERROR(__xludf.DUMMYFUNCTION("""COMPUTED_VALUE"""),"菅野 ぎんが")</f>
        <v>菅野 ぎんが</v>
      </c>
    </row>
    <row r="12703" spans="2:4" ht="13">
      <c r="B12703" s="12">
        <f ca="1">IFERROR(__xludf.DUMMYFUNCTION("""COMPUTED_VALUE"""),3904866)</f>
        <v>3904866</v>
      </c>
      <c r="C12703" s="14">
        <f ca="1">IFERROR(__xludf.DUMMYFUNCTION("""COMPUTED_VALUE"""),0)</f>
        <v>0</v>
      </c>
      <c r="D12703" s="12" t="str">
        <f ca="1">IFERROR(__xludf.DUMMYFUNCTION("""COMPUTED_VALUE"""),"長谷川 陸朗")</f>
        <v>長谷川 陸朗</v>
      </c>
    </row>
    <row r="12704" spans="2:4" ht="13">
      <c r="B12704" s="12">
        <f ca="1">IFERROR(__xludf.DUMMYFUNCTION("""COMPUTED_VALUE"""),3904867)</f>
        <v>3904867</v>
      </c>
      <c r="C12704" s="14">
        <f ca="1">IFERROR(__xludf.DUMMYFUNCTION("""COMPUTED_VALUE"""),0)</f>
        <v>0</v>
      </c>
      <c r="D12704" s="12" t="str">
        <f ca="1">IFERROR(__xludf.DUMMYFUNCTION("""COMPUTED_VALUE"""),"松尾 尚樹")</f>
        <v>松尾 尚樹</v>
      </c>
    </row>
    <row r="12705" spans="2:4" ht="13">
      <c r="B12705" s="12">
        <f ca="1">IFERROR(__xludf.DUMMYFUNCTION("""COMPUTED_VALUE"""),3904881)</f>
        <v>3904881</v>
      </c>
      <c r="C12705" s="14">
        <f ca="1">IFERROR(__xludf.DUMMYFUNCTION("""COMPUTED_VALUE"""),0)</f>
        <v>0</v>
      </c>
      <c r="D12705" s="12" t="str">
        <f ca="1">IFERROR(__xludf.DUMMYFUNCTION("""COMPUTED_VALUE"""),"松尾 尚樹")</f>
        <v>松尾 尚樹</v>
      </c>
    </row>
    <row r="12706" spans="2:4" ht="13">
      <c r="B12706" s="12">
        <f ca="1">IFERROR(__xludf.DUMMYFUNCTION("""COMPUTED_VALUE"""),3904882)</f>
        <v>3904882</v>
      </c>
      <c r="C12706" s="14">
        <f ca="1">IFERROR(__xludf.DUMMYFUNCTION("""COMPUTED_VALUE"""),0)</f>
        <v>0</v>
      </c>
      <c r="D12706" s="12" t="str">
        <f ca="1">IFERROR(__xludf.DUMMYFUNCTION("""COMPUTED_VALUE"""),"内丸 裕子")</f>
        <v>内丸 裕子</v>
      </c>
    </row>
    <row r="12707" spans="2:4" ht="13">
      <c r="B12707" s="12">
        <f ca="1">IFERROR(__xludf.DUMMYFUNCTION("""COMPUTED_VALUE"""),3904885)</f>
        <v>3904885</v>
      </c>
      <c r="C12707" s="14">
        <f ca="1">IFERROR(__xludf.DUMMYFUNCTION("""COMPUTED_VALUE"""),0)</f>
        <v>0</v>
      </c>
      <c r="D12707" s="12" t="str">
        <f ca="1">IFERROR(__xludf.DUMMYFUNCTION("""COMPUTED_VALUE"""),"松尾 尚樹")</f>
        <v>松尾 尚樹</v>
      </c>
    </row>
    <row r="12708" spans="2:4" ht="13">
      <c r="B12708" s="12">
        <f ca="1">IFERROR(__xludf.DUMMYFUNCTION("""COMPUTED_VALUE"""),3904887)</f>
        <v>3904887</v>
      </c>
      <c r="C12708" s="14">
        <f ca="1">IFERROR(__xludf.DUMMYFUNCTION("""COMPUTED_VALUE"""),0)</f>
        <v>0</v>
      </c>
      <c r="D12708" s="12" t="str">
        <f ca="1">IFERROR(__xludf.DUMMYFUNCTION("""COMPUTED_VALUE"""),"菅野 ぎんが")</f>
        <v>菅野 ぎんが</v>
      </c>
    </row>
    <row r="12709" spans="2:4" ht="13">
      <c r="B12709" s="12">
        <f ca="1">IFERROR(__xludf.DUMMYFUNCTION("""COMPUTED_VALUE"""),3904894)</f>
        <v>3904894</v>
      </c>
      <c r="C12709" s="14">
        <f ca="1">IFERROR(__xludf.DUMMYFUNCTION("""COMPUTED_VALUE"""),14)</f>
        <v>14</v>
      </c>
      <c r="D12709" s="12" t="str">
        <f ca="1">IFERROR(__xludf.DUMMYFUNCTION("""COMPUTED_VALUE"""),"栗原 大武")</f>
        <v>栗原 大武</v>
      </c>
    </row>
    <row r="12710" spans="2:4" ht="13">
      <c r="B12710" s="12">
        <f ca="1">IFERROR(__xludf.DUMMYFUNCTION("""COMPUTED_VALUE"""),3904895)</f>
        <v>3904895</v>
      </c>
      <c r="C12710" s="14">
        <f ca="1">IFERROR(__xludf.DUMMYFUNCTION("""COMPUTED_VALUE"""),0)</f>
        <v>0</v>
      </c>
      <c r="D12710" s="12" t="str">
        <f ca="1">IFERROR(__xludf.DUMMYFUNCTION("""COMPUTED_VALUE"""),"桑原 明子")</f>
        <v>桑原 明子</v>
      </c>
    </row>
    <row r="12711" spans="2:4" ht="13">
      <c r="B12711" s="12">
        <f ca="1">IFERROR(__xludf.DUMMYFUNCTION("""COMPUTED_VALUE"""),3904896)</f>
        <v>3904896</v>
      </c>
      <c r="C12711" s="14">
        <f ca="1">IFERROR(__xludf.DUMMYFUNCTION("""COMPUTED_VALUE"""),0)</f>
        <v>0</v>
      </c>
      <c r="D12711" s="12" t="str">
        <f ca="1">IFERROR(__xludf.DUMMYFUNCTION("""COMPUTED_VALUE"""),"村上 浩一朗")</f>
        <v>村上 浩一朗</v>
      </c>
    </row>
    <row r="12712" spans="2:4" ht="13">
      <c r="B12712" s="12">
        <f ca="1">IFERROR(__xludf.DUMMYFUNCTION("""COMPUTED_VALUE"""),3904898)</f>
        <v>3904898</v>
      </c>
      <c r="C12712" s="14">
        <f ca="1">IFERROR(__xludf.DUMMYFUNCTION("""COMPUTED_VALUE"""),0)</f>
        <v>0</v>
      </c>
      <c r="D12712" s="12" t="str">
        <f ca="1">IFERROR(__xludf.DUMMYFUNCTION("""COMPUTED_VALUE"""),"松尾 尚樹")</f>
        <v>松尾 尚樹</v>
      </c>
    </row>
    <row r="12713" spans="2:4" ht="13">
      <c r="B12713" s="12">
        <f ca="1">IFERROR(__xludf.DUMMYFUNCTION("""COMPUTED_VALUE"""),3904899)</f>
        <v>3904899</v>
      </c>
      <c r="C12713" s="14">
        <f ca="1">IFERROR(__xludf.DUMMYFUNCTION("""COMPUTED_VALUE"""),0)</f>
        <v>0</v>
      </c>
      <c r="D12713" s="12" t="str">
        <f ca="1">IFERROR(__xludf.DUMMYFUNCTION("""COMPUTED_VALUE"""),"長谷川 陸朗")</f>
        <v>長谷川 陸朗</v>
      </c>
    </row>
    <row r="12714" spans="2:4" ht="13">
      <c r="B12714" s="12">
        <f ca="1">IFERROR(__xludf.DUMMYFUNCTION("""COMPUTED_VALUE"""),3904900)</f>
        <v>3904900</v>
      </c>
      <c r="C12714" s="14">
        <f ca="1">IFERROR(__xludf.DUMMYFUNCTION("""COMPUTED_VALUE"""),0)</f>
        <v>0</v>
      </c>
      <c r="D12714" s="12" t="str">
        <f ca="1">IFERROR(__xludf.DUMMYFUNCTION("""COMPUTED_VALUE"""),"成嶋 夏未")</f>
        <v>成嶋 夏未</v>
      </c>
    </row>
    <row r="12715" spans="2:4" ht="13">
      <c r="B12715" s="12">
        <f ca="1">IFERROR(__xludf.DUMMYFUNCTION("""COMPUTED_VALUE"""),3904903)</f>
        <v>3904903</v>
      </c>
      <c r="C12715" s="14">
        <f ca="1">IFERROR(__xludf.DUMMYFUNCTION("""COMPUTED_VALUE"""),0)</f>
        <v>0</v>
      </c>
      <c r="D12715" s="12" t="str">
        <f ca="1">IFERROR(__xludf.DUMMYFUNCTION("""COMPUTED_VALUE"""),"桑原 明子")</f>
        <v>桑原 明子</v>
      </c>
    </row>
    <row r="12716" spans="2:4" ht="13">
      <c r="B12716" s="12">
        <f ca="1">IFERROR(__xludf.DUMMYFUNCTION("""COMPUTED_VALUE"""),3904904)</f>
        <v>3904904</v>
      </c>
      <c r="C12716" s="14">
        <f ca="1">IFERROR(__xludf.DUMMYFUNCTION("""COMPUTED_VALUE"""),0)</f>
        <v>0</v>
      </c>
      <c r="D12716" s="12" t="str">
        <f ca="1">IFERROR(__xludf.DUMMYFUNCTION("""COMPUTED_VALUE"""),"松尾 尚樹")</f>
        <v>松尾 尚樹</v>
      </c>
    </row>
    <row r="12717" spans="2:4" ht="13">
      <c r="B12717" s="12">
        <f ca="1">IFERROR(__xludf.DUMMYFUNCTION("""COMPUTED_VALUE"""),3904914)</f>
        <v>3904914</v>
      </c>
      <c r="C12717" s="14">
        <f ca="1">IFERROR(__xludf.DUMMYFUNCTION("""COMPUTED_VALUE"""),0)</f>
        <v>0</v>
      </c>
      <c r="D12717" s="12" t="str">
        <f ca="1">IFERROR(__xludf.DUMMYFUNCTION("""COMPUTED_VALUE"""),"川島 幹也")</f>
        <v>川島 幹也</v>
      </c>
    </row>
    <row r="12718" spans="2:4" ht="13">
      <c r="B12718" s="12">
        <f ca="1">IFERROR(__xludf.DUMMYFUNCTION("""COMPUTED_VALUE"""),3904918)</f>
        <v>3904918</v>
      </c>
      <c r="C12718" s="14">
        <f ca="1">IFERROR(__xludf.DUMMYFUNCTION("""COMPUTED_VALUE"""),1)</f>
        <v>1</v>
      </c>
      <c r="D12718" s="12" t="str">
        <f ca="1">IFERROR(__xludf.DUMMYFUNCTION("""COMPUTED_VALUE"""),"村上 浩一朗")</f>
        <v>村上 浩一朗</v>
      </c>
    </row>
    <row r="12719" spans="2:4" ht="13">
      <c r="B12719" s="12">
        <f ca="1">IFERROR(__xludf.DUMMYFUNCTION("""COMPUTED_VALUE"""),3904934)</f>
        <v>3904934</v>
      </c>
      <c r="C12719" s="14">
        <f ca="1">IFERROR(__xludf.DUMMYFUNCTION("""COMPUTED_VALUE"""),0)</f>
        <v>0</v>
      </c>
      <c r="D12719" s="12" t="str">
        <f ca="1">IFERROR(__xludf.DUMMYFUNCTION("""COMPUTED_VALUE"""),"菅野 ぎんが")</f>
        <v>菅野 ぎんが</v>
      </c>
    </row>
    <row r="12720" spans="2:4" ht="13">
      <c r="B12720" s="12">
        <f ca="1">IFERROR(__xludf.DUMMYFUNCTION("""COMPUTED_VALUE"""),3904942)</f>
        <v>3904942</v>
      </c>
      <c r="C12720" s="14">
        <f ca="1">IFERROR(__xludf.DUMMYFUNCTION("""COMPUTED_VALUE"""),0)</f>
        <v>0</v>
      </c>
      <c r="D12720" s="12" t="str">
        <f ca="1">IFERROR(__xludf.DUMMYFUNCTION("""COMPUTED_VALUE"""),"稲場 勇介")</f>
        <v>稲場 勇介</v>
      </c>
    </row>
    <row r="12721" spans="2:4" ht="13">
      <c r="B12721" s="12">
        <f ca="1">IFERROR(__xludf.DUMMYFUNCTION("""COMPUTED_VALUE"""),3904945)</f>
        <v>3904945</v>
      </c>
      <c r="C12721" s="14">
        <f ca="1">IFERROR(__xludf.DUMMYFUNCTION("""COMPUTED_VALUE"""),0)</f>
        <v>0</v>
      </c>
      <c r="D12721" s="12" t="str">
        <f ca="1">IFERROR(__xludf.DUMMYFUNCTION("""COMPUTED_VALUE"""),"松尾 尚樹")</f>
        <v>松尾 尚樹</v>
      </c>
    </row>
    <row r="12722" spans="2:4" ht="13">
      <c r="B12722" s="12">
        <f ca="1">IFERROR(__xludf.DUMMYFUNCTION("""COMPUTED_VALUE"""),3904947)</f>
        <v>3904947</v>
      </c>
      <c r="C12722" s="14">
        <f ca="1">IFERROR(__xludf.DUMMYFUNCTION("""COMPUTED_VALUE"""),17)</f>
        <v>17</v>
      </c>
      <c r="D12722" s="12" t="str">
        <f ca="1">IFERROR(__xludf.DUMMYFUNCTION("""COMPUTED_VALUE"""),"桐山 勝気")</f>
        <v>桐山 勝気</v>
      </c>
    </row>
    <row r="12723" spans="2:4" ht="13">
      <c r="B12723" s="12">
        <f ca="1">IFERROR(__xludf.DUMMYFUNCTION("""COMPUTED_VALUE"""),3904951)</f>
        <v>3904951</v>
      </c>
      <c r="C12723" s="14">
        <f ca="1">IFERROR(__xludf.DUMMYFUNCTION("""COMPUTED_VALUE"""),0)</f>
        <v>0</v>
      </c>
      <c r="D12723" s="12" t="str">
        <f ca="1">IFERROR(__xludf.DUMMYFUNCTION("""COMPUTED_VALUE"""),"松尾 尚樹")</f>
        <v>松尾 尚樹</v>
      </c>
    </row>
    <row r="12724" spans="2:4" ht="13">
      <c r="B12724" s="12">
        <f ca="1">IFERROR(__xludf.DUMMYFUNCTION("""COMPUTED_VALUE"""),3904970)</f>
        <v>3904970</v>
      </c>
      <c r="C12724" s="14">
        <f ca="1">IFERROR(__xludf.DUMMYFUNCTION("""COMPUTED_VALUE"""),0)</f>
        <v>0</v>
      </c>
      <c r="D12724" s="12" t="str">
        <f ca="1">IFERROR(__xludf.DUMMYFUNCTION("""COMPUTED_VALUE"""),"小関 麻起")</f>
        <v>小関 麻起</v>
      </c>
    </row>
    <row r="12725" spans="2:4" ht="13">
      <c r="B12725" s="12">
        <f ca="1">IFERROR(__xludf.DUMMYFUNCTION("""COMPUTED_VALUE"""),3904977)</f>
        <v>3904977</v>
      </c>
      <c r="C12725" s="14">
        <f ca="1">IFERROR(__xludf.DUMMYFUNCTION("""COMPUTED_VALUE"""),0)</f>
        <v>0</v>
      </c>
      <c r="D12725" s="12" t="str">
        <f ca="1">IFERROR(__xludf.DUMMYFUNCTION("""COMPUTED_VALUE"""),"稲場 勇介")</f>
        <v>稲場 勇介</v>
      </c>
    </row>
    <row r="12726" spans="2:4" ht="13">
      <c r="B12726" s="12">
        <f ca="1">IFERROR(__xludf.DUMMYFUNCTION("""COMPUTED_VALUE"""),3904980)</f>
        <v>3904980</v>
      </c>
      <c r="C12726" s="14">
        <f ca="1">IFERROR(__xludf.DUMMYFUNCTION("""COMPUTED_VALUE"""),0)</f>
        <v>0</v>
      </c>
      <c r="D12726" s="12" t="str">
        <f ca="1">IFERROR(__xludf.DUMMYFUNCTION("""COMPUTED_VALUE"""),"長谷川 陸朗")</f>
        <v>長谷川 陸朗</v>
      </c>
    </row>
    <row r="12727" spans="2:4" ht="13">
      <c r="B12727" s="12">
        <f ca="1">IFERROR(__xludf.DUMMYFUNCTION("""COMPUTED_VALUE"""),3904982)</f>
        <v>3904982</v>
      </c>
      <c r="C12727" s="14">
        <f ca="1">IFERROR(__xludf.DUMMYFUNCTION("""COMPUTED_VALUE"""),0)</f>
        <v>0</v>
      </c>
      <c r="D12727" s="12" t="str">
        <f ca="1">IFERROR(__xludf.DUMMYFUNCTION("""COMPUTED_VALUE"""),"松尾 尚樹")</f>
        <v>松尾 尚樹</v>
      </c>
    </row>
    <row r="12728" spans="2:4" ht="13">
      <c r="B12728" s="12">
        <f ca="1">IFERROR(__xludf.DUMMYFUNCTION("""COMPUTED_VALUE"""),3904990)</f>
        <v>3904990</v>
      </c>
      <c r="C12728" s="14">
        <f ca="1">IFERROR(__xludf.DUMMYFUNCTION("""COMPUTED_VALUE"""),0)</f>
        <v>0</v>
      </c>
      <c r="D12728" s="12" t="str">
        <f ca="1">IFERROR(__xludf.DUMMYFUNCTION("""COMPUTED_VALUE"""),"村上 浩一朗")</f>
        <v>村上 浩一朗</v>
      </c>
    </row>
    <row r="12729" spans="2:4" ht="13">
      <c r="B12729" s="12">
        <f ca="1">IFERROR(__xludf.DUMMYFUNCTION("""COMPUTED_VALUE"""),3904995)</f>
        <v>3904995</v>
      </c>
      <c r="C12729" s="14">
        <f ca="1">IFERROR(__xludf.DUMMYFUNCTION("""COMPUTED_VALUE"""),0)</f>
        <v>0</v>
      </c>
      <c r="D12729" s="12" t="str">
        <f ca="1">IFERROR(__xludf.DUMMYFUNCTION("""COMPUTED_VALUE"""),"稲場 勇介")</f>
        <v>稲場 勇介</v>
      </c>
    </row>
    <row r="12730" spans="2:4" ht="13">
      <c r="B12730" s="12">
        <f ca="1">IFERROR(__xludf.DUMMYFUNCTION("""COMPUTED_VALUE"""),3904996)</f>
        <v>3904996</v>
      </c>
      <c r="C12730" s="14">
        <f ca="1">IFERROR(__xludf.DUMMYFUNCTION("""COMPUTED_VALUE"""),0)</f>
        <v>0</v>
      </c>
      <c r="D12730" s="12" t="str">
        <f ca="1">IFERROR(__xludf.DUMMYFUNCTION("""COMPUTED_VALUE"""),"桐山 勝気")</f>
        <v>桐山 勝気</v>
      </c>
    </row>
    <row r="12731" spans="2:4" ht="13">
      <c r="B12731" s="12">
        <f ca="1">IFERROR(__xludf.DUMMYFUNCTION("""COMPUTED_VALUE"""),3904997)</f>
        <v>3904997</v>
      </c>
      <c r="C12731" s="14">
        <f ca="1">IFERROR(__xludf.DUMMYFUNCTION("""COMPUTED_VALUE"""),0)</f>
        <v>0</v>
      </c>
      <c r="D12731" s="12" t="str">
        <f ca="1">IFERROR(__xludf.DUMMYFUNCTION("""COMPUTED_VALUE"""),"荻曽 克輝")</f>
        <v>荻曽 克輝</v>
      </c>
    </row>
    <row r="12732" spans="2:4" ht="13">
      <c r="B12732" s="12">
        <f ca="1">IFERROR(__xludf.DUMMYFUNCTION("""COMPUTED_VALUE"""),3905003)</f>
        <v>3905003</v>
      </c>
      <c r="C12732" s="14">
        <f ca="1">IFERROR(__xludf.DUMMYFUNCTION("""COMPUTED_VALUE"""),0)</f>
        <v>0</v>
      </c>
      <c r="D12732" s="12" t="str">
        <f ca="1">IFERROR(__xludf.DUMMYFUNCTION("""COMPUTED_VALUE"""),"成嶋 夏未")</f>
        <v>成嶋 夏未</v>
      </c>
    </row>
    <row r="12733" spans="2:4" ht="13">
      <c r="B12733" s="12">
        <f ca="1">IFERROR(__xludf.DUMMYFUNCTION("""COMPUTED_VALUE"""),3905009)</f>
        <v>3905009</v>
      </c>
      <c r="C12733" s="14">
        <f ca="1">IFERROR(__xludf.DUMMYFUNCTION("""COMPUTED_VALUE"""),0)</f>
        <v>0</v>
      </c>
      <c r="D12733" s="12" t="str">
        <f ca="1">IFERROR(__xludf.DUMMYFUNCTION("""COMPUTED_VALUE"""),"桐山 勝気")</f>
        <v>桐山 勝気</v>
      </c>
    </row>
    <row r="12734" spans="2:4" ht="13">
      <c r="B12734" s="12">
        <f ca="1">IFERROR(__xludf.DUMMYFUNCTION("""COMPUTED_VALUE"""),3905026)</f>
        <v>3905026</v>
      </c>
      <c r="C12734" s="14">
        <f ca="1">IFERROR(__xludf.DUMMYFUNCTION("""COMPUTED_VALUE"""),0)</f>
        <v>0</v>
      </c>
      <c r="D12734" s="12" t="str">
        <f ca="1">IFERROR(__xludf.DUMMYFUNCTION("""COMPUTED_VALUE"""),"老田 純輝")</f>
        <v>老田 純輝</v>
      </c>
    </row>
    <row r="12735" spans="2:4" ht="13">
      <c r="B12735" s="12">
        <f ca="1">IFERROR(__xludf.DUMMYFUNCTION("""COMPUTED_VALUE"""),3905039)</f>
        <v>3905039</v>
      </c>
      <c r="C12735" s="14">
        <f ca="1">IFERROR(__xludf.DUMMYFUNCTION("""COMPUTED_VALUE"""),0)</f>
        <v>0</v>
      </c>
      <c r="D12735" s="12" t="str">
        <f ca="1">IFERROR(__xludf.DUMMYFUNCTION("""COMPUTED_VALUE"""),"松尾 尚樹")</f>
        <v>松尾 尚樹</v>
      </c>
    </row>
    <row r="12736" spans="2:4" ht="13">
      <c r="B12736" s="12">
        <f ca="1">IFERROR(__xludf.DUMMYFUNCTION("""COMPUTED_VALUE"""),3905055)</f>
        <v>3905055</v>
      </c>
      <c r="C12736" s="14">
        <f ca="1">IFERROR(__xludf.DUMMYFUNCTION("""COMPUTED_VALUE"""),0)</f>
        <v>0</v>
      </c>
      <c r="D12736" s="12" t="str">
        <f ca="1">IFERROR(__xludf.DUMMYFUNCTION("""COMPUTED_VALUE"""),"老田 純輝")</f>
        <v>老田 純輝</v>
      </c>
    </row>
    <row r="12737" spans="2:4" ht="13">
      <c r="B12737" s="12">
        <f ca="1">IFERROR(__xludf.DUMMYFUNCTION("""COMPUTED_VALUE"""),3905059)</f>
        <v>3905059</v>
      </c>
      <c r="C12737" s="14">
        <f ca="1">IFERROR(__xludf.DUMMYFUNCTION("""COMPUTED_VALUE"""),0)</f>
        <v>0</v>
      </c>
      <c r="D12737" s="12" t="str">
        <f ca="1">IFERROR(__xludf.DUMMYFUNCTION("""COMPUTED_VALUE"""),"荻曽 克輝")</f>
        <v>荻曽 克輝</v>
      </c>
    </row>
    <row r="12738" spans="2:4" ht="13">
      <c r="B12738" s="12">
        <f ca="1">IFERROR(__xludf.DUMMYFUNCTION("""COMPUTED_VALUE"""),3905066)</f>
        <v>3905066</v>
      </c>
      <c r="C12738" s="14">
        <f ca="1">IFERROR(__xludf.DUMMYFUNCTION("""COMPUTED_VALUE"""),0)</f>
        <v>0</v>
      </c>
      <c r="D12738" s="12" t="str">
        <f ca="1">IFERROR(__xludf.DUMMYFUNCTION("""COMPUTED_VALUE"""),"成嶋 夏未")</f>
        <v>成嶋 夏未</v>
      </c>
    </row>
    <row r="12739" spans="2:4" ht="13">
      <c r="B12739" s="12">
        <f ca="1">IFERROR(__xludf.DUMMYFUNCTION("""COMPUTED_VALUE"""),3905071)</f>
        <v>3905071</v>
      </c>
      <c r="C12739" s="14">
        <f ca="1">IFERROR(__xludf.DUMMYFUNCTION("""COMPUTED_VALUE"""),0)</f>
        <v>0</v>
      </c>
      <c r="D12739" s="12" t="str">
        <f ca="1">IFERROR(__xludf.DUMMYFUNCTION("""COMPUTED_VALUE"""),"成嶋 夏未")</f>
        <v>成嶋 夏未</v>
      </c>
    </row>
    <row r="12740" spans="2:4" ht="13">
      <c r="B12740" s="12">
        <f ca="1">IFERROR(__xludf.DUMMYFUNCTION("""COMPUTED_VALUE"""),3905072)</f>
        <v>3905072</v>
      </c>
      <c r="C12740" s="14">
        <f ca="1">IFERROR(__xludf.DUMMYFUNCTION("""COMPUTED_VALUE"""),0)</f>
        <v>0</v>
      </c>
      <c r="D12740" s="12" t="str">
        <f ca="1">IFERROR(__xludf.DUMMYFUNCTION("""COMPUTED_VALUE"""),"桐山 勝気")</f>
        <v>桐山 勝気</v>
      </c>
    </row>
    <row r="12741" spans="2:4" ht="13">
      <c r="B12741" s="12">
        <f ca="1">IFERROR(__xludf.DUMMYFUNCTION("""COMPUTED_VALUE"""),3905073)</f>
        <v>3905073</v>
      </c>
      <c r="C12741" s="14">
        <f ca="1">IFERROR(__xludf.DUMMYFUNCTION("""COMPUTED_VALUE"""),0)</f>
        <v>0</v>
      </c>
      <c r="D12741" s="12" t="str">
        <f ca="1">IFERROR(__xludf.DUMMYFUNCTION("""COMPUTED_VALUE"""),"内丸 裕子")</f>
        <v>内丸 裕子</v>
      </c>
    </row>
    <row r="12742" spans="2:4" ht="13">
      <c r="B12742" s="12">
        <f ca="1">IFERROR(__xludf.DUMMYFUNCTION("""COMPUTED_VALUE"""),3905074)</f>
        <v>3905074</v>
      </c>
      <c r="C12742" s="14">
        <f ca="1">IFERROR(__xludf.DUMMYFUNCTION("""COMPUTED_VALUE"""),0)</f>
        <v>0</v>
      </c>
      <c r="D12742" s="12" t="str">
        <f ca="1">IFERROR(__xludf.DUMMYFUNCTION("""COMPUTED_VALUE"""),"長谷川 陸朗")</f>
        <v>長谷川 陸朗</v>
      </c>
    </row>
    <row r="12743" spans="2:4" ht="13">
      <c r="B12743" s="12">
        <f ca="1">IFERROR(__xludf.DUMMYFUNCTION("""COMPUTED_VALUE"""),3905075)</f>
        <v>3905075</v>
      </c>
      <c r="C12743" s="14">
        <f ca="1">IFERROR(__xludf.DUMMYFUNCTION("""COMPUTED_VALUE"""),0)</f>
        <v>0</v>
      </c>
      <c r="D12743" s="12" t="str">
        <f ca="1">IFERROR(__xludf.DUMMYFUNCTION("""COMPUTED_VALUE"""),"内丸 裕子")</f>
        <v>内丸 裕子</v>
      </c>
    </row>
    <row r="12744" spans="2:4" ht="13">
      <c r="B12744" s="12">
        <f ca="1">IFERROR(__xludf.DUMMYFUNCTION("""COMPUTED_VALUE"""),3905084)</f>
        <v>3905084</v>
      </c>
      <c r="C12744" s="14">
        <f ca="1">IFERROR(__xludf.DUMMYFUNCTION("""COMPUTED_VALUE"""),2)</f>
        <v>2</v>
      </c>
      <c r="D12744" s="12" t="str">
        <f ca="1">IFERROR(__xludf.DUMMYFUNCTION("""COMPUTED_VALUE"""),"老田 純輝")</f>
        <v>老田 純輝</v>
      </c>
    </row>
    <row r="12745" spans="2:4" ht="13">
      <c r="B12745" s="12">
        <f ca="1">IFERROR(__xludf.DUMMYFUNCTION("""COMPUTED_VALUE"""),3905104)</f>
        <v>3905104</v>
      </c>
      <c r="C12745" s="14">
        <f ca="1">IFERROR(__xludf.DUMMYFUNCTION("""COMPUTED_VALUE"""),18)</f>
        <v>18</v>
      </c>
      <c r="D12745" s="12" t="str">
        <f ca="1">IFERROR(__xludf.DUMMYFUNCTION("""COMPUTED_VALUE"""),"内丸 裕子")</f>
        <v>内丸 裕子</v>
      </c>
    </row>
    <row r="12746" spans="2:4" ht="13">
      <c r="B12746" s="12">
        <f ca="1">IFERROR(__xludf.DUMMYFUNCTION("""COMPUTED_VALUE"""),3905116)</f>
        <v>3905116</v>
      </c>
      <c r="C12746" s="14">
        <f ca="1">IFERROR(__xludf.DUMMYFUNCTION("""COMPUTED_VALUE"""),0)</f>
        <v>0</v>
      </c>
      <c r="D12746" s="12" t="str">
        <f ca="1">IFERROR(__xludf.DUMMYFUNCTION("""COMPUTED_VALUE"""),"菅野 ぎんが")</f>
        <v>菅野 ぎんが</v>
      </c>
    </row>
    <row r="12747" spans="2:4" ht="13">
      <c r="B12747" s="12">
        <f ca="1">IFERROR(__xludf.DUMMYFUNCTION("""COMPUTED_VALUE"""),3905118)</f>
        <v>3905118</v>
      </c>
      <c r="C12747" s="14">
        <f ca="1">IFERROR(__xludf.DUMMYFUNCTION("""COMPUTED_VALUE"""),0)</f>
        <v>0</v>
      </c>
      <c r="D12747" s="12" t="str">
        <f ca="1">IFERROR(__xludf.DUMMYFUNCTION("""COMPUTED_VALUE"""),"内丸 裕子")</f>
        <v>内丸 裕子</v>
      </c>
    </row>
    <row r="12748" spans="2:4" ht="13">
      <c r="B12748" s="12">
        <f ca="1">IFERROR(__xludf.DUMMYFUNCTION("""COMPUTED_VALUE"""),3905121)</f>
        <v>3905121</v>
      </c>
      <c r="C12748" s="14">
        <f ca="1">IFERROR(__xludf.DUMMYFUNCTION("""COMPUTED_VALUE"""),8)</f>
        <v>8</v>
      </c>
      <c r="D12748" s="12" t="str">
        <f ca="1">IFERROR(__xludf.DUMMYFUNCTION("""COMPUTED_VALUE"""),"菅野 ぎんが")</f>
        <v>菅野 ぎんが</v>
      </c>
    </row>
    <row r="12749" spans="2:4" ht="13">
      <c r="B12749" s="12">
        <f ca="1">IFERROR(__xludf.DUMMYFUNCTION("""COMPUTED_VALUE"""),3905123)</f>
        <v>3905123</v>
      </c>
      <c r="C12749" s="14">
        <f ca="1">IFERROR(__xludf.DUMMYFUNCTION("""COMPUTED_VALUE"""),2)</f>
        <v>2</v>
      </c>
      <c r="D12749" s="12" t="str">
        <f ca="1">IFERROR(__xludf.DUMMYFUNCTION("""COMPUTED_VALUE"""),"村上 浩一朗")</f>
        <v>村上 浩一朗</v>
      </c>
    </row>
    <row r="12750" spans="2:4" ht="13">
      <c r="B12750" s="12">
        <f ca="1">IFERROR(__xludf.DUMMYFUNCTION("""COMPUTED_VALUE"""),3905127)</f>
        <v>3905127</v>
      </c>
      <c r="C12750" s="14">
        <f ca="1">IFERROR(__xludf.DUMMYFUNCTION("""COMPUTED_VALUE"""),0)</f>
        <v>0</v>
      </c>
      <c r="D12750" s="12" t="str">
        <f ca="1">IFERROR(__xludf.DUMMYFUNCTION("""COMPUTED_VALUE"""),"長谷川 陸朗")</f>
        <v>長谷川 陸朗</v>
      </c>
    </row>
    <row r="12751" spans="2:4" ht="13">
      <c r="B12751" s="12">
        <f ca="1">IFERROR(__xludf.DUMMYFUNCTION("""COMPUTED_VALUE"""),3905130)</f>
        <v>3905130</v>
      </c>
      <c r="C12751" s="14">
        <f ca="1">IFERROR(__xludf.DUMMYFUNCTION("""COMPUTED_VALUE"""),0)</f>
        <v>0</v>
      </c>
      <c r="D12751" s="12" t="str">
        <f ca="1">IFERROR(__xludf.DUMMYFUNCTION("""COMPUTED_VALUE"""),"成嶋 夏未")</f>
        <v>成嶋 夏未</v>
      </c>
    </row>
    <row r="12752" spans="2:4" ht="13">
      <c r="B12752" s="12">
        <f ca="1">IFERROR(__xludf.DUMMYFUNCTION("""COMPUTED_VALUE"""),3905133)</f>
        <v>3905133</v>
      </c>
      <c r="C12752" s="14">
        <f ca="1">IFERROR(__xludf.DUMMYFUNCTION("""COMPUTED_VALUE"""),2)</f>
        <v>2</v>
      </c>
      <c r="D12752" s="12" t="str">
        <f ca="1">IFERROR(__xludf.DUMMYFUNCTION("""COMPUTED_VALUE"""),"田嶋 将太")</f>
        <v>田嶋 将太</v>
      </c>
    </row>
    <row r="12753" spans="2:4" ht="13">
      <c r="B12753" s="12">
        <f ca="1">IFERROR(__xludf.DUMMYFUNCTION("""COMPUTED_VALUE"""),3905146)</f>
        <v>3905146</v>
      </c>
      <c r="C12753" s="14">
        <f ca="1">IFERROR(__xludf.DUMMYFUNCTION("""COMPUTED_VALUE"""),3)</f>
        <v>3</v>
      </c>
      <c r="D12753" s="12" t="str">
        <f ca="1">IFERROR(__xludf.DUMMYFUNCTION("""COMPUTED_VALUE"""),"川島 幹也")</f>
        <v>川島 幹也</v>
      </c>
    </row>
    <row r="12754" spans="2:4" ht="13">
      <c r="B12754" s="12">
        <f ca="1">IFERROR(__xludf.DUMMYFUNCTION("""COMPUTED_VALUE"""),3905150)</f>
        <v>3905150</v>
      </c>
      <c r="C12754" s="14">
        <f ca="1">IFERROR(__xludf.DUMMYFUNCTION("""COMPUTED_VALUE"""),0)</f>
        <v>0</v>
      </c>
      <c r="D12754" s="12" t="str">
        <f ca="1">IFERROR(__xludf.DUMMYFUNCTION("""COMPUTED_VALUE"""),"荻曽 克輝")</f>
        <v>荻曽 克輝</v>
      </c>
    </row>
    <row r="12755" spans="2:4" ht="13">
      <c r="B12755" s="12">
        <f ca="1">IFERROR(__xludf.DUMMYFUNCTION("""COMPUTED_VALUE"""),3905151)</f>
        <v>3905151</v>
      </c>
      <c r="C12755" s="14">
        <f ca="1">IFERROR(__xludf.DUMMYFUNCTION("""COMPUTED_VALUE"""),0)</f>
        <v>0</v>
      </c>
      <c r="D12755" s="12" t="str">
        <f ca="1">IFERROR(__xludf.DUMMYFUNCTION("""COMPUTED_VALUE"""),"川島 幹也")</f>
        <v>川島 幹也</v>
      </c>
    </row>
    <row r="12756" spans="2:4" ht="13">
      <c r="B12756" s="12">
        <f ca="1">IFERROR(__xludf.DUMMYFUNCTION("""COMPUTED_VALUE"""),3905166)</f>
        <v>3905166</v>
      </c>
      <c r="C12756" s="14">
        <f ca="1">IFERROR(__xludf.DUMMYFUNCTION("""COMPUTED_VALUE"""),1)</f>
        <v>1</v>
      </c>
      <c r="D12756" s="12" t="str">
        <f ca="1">IFERROR(__xludf.DUMMYFUNCTION("""COMPUTED_VALUE"""),"菅野 ぎんが")</f>
        <v>菅野 ぎんが</v>
      </c>
    </row>
    <row r="12757" spans="2:4" ht="13">
      <c r="B12757" s="12">
        <f ca="1">IFERROR(__xludf.DUMMYFUNCTION("""COMPUTED_VALUE"""),3905174)</f>
        <v>3905174</v>
      </c>
      <c r="C12757" s="14">
        <f ca="1">IFERROR(__xludf.DUMMYFUNCTION("""COMPUTED_VALUE"""),4)</f>
        <v>4</v>
      </c>
      <c r="D12757" s="12" t="str">
        <f ca="1">IFERROR(__xludf.DUMMYFUNCTION("""COMPUTED_VALUE"""),"菅野 ぎんが")</f>
        <v>菅野 ぎんが</v>
      </c>
    </row>
    <row r="12758" spans="2:4" ht="13">
      <c r="B12758" s="12">
        <f ca="1">IFERROR(__xludf.DUMMYFUNCTION("""COMPUTED_VALUE"""),3905176)</f>
        <v>3905176</v>
      </c>
      <c r="C12758" s="14">
        <f ca="1">IFERROR(__xludf.DUMMYFUNCTION("""COMPUTED_VALUE"""),1)</f>
        <v>1</v>
      </c>
      <c r="D12758" s="12" t="str">
        <f ca="1">IFERROR(__xludf.DUMMYFUNCTION("""COMPUTED_VALUE"""),"川島 幹也")</f>
        <v>川島 幹也</v>
      </c>
    </row>
    <row r="12759" spans="2:4" ht="13">
      <c r="B12759" s="12">
        <f ca="1">IFERROR(__xludf.DUMMYFUNCTION("""COMPUTED_VALUE"""),3905181)</f>
        <v>3905181</v>
      </c>
      <c r="C12759" s="14">
        <f ca="1">IFERROR(__xludf.DUMMYFUNCTION("""COMPUTED_VALUE"""),0)</f>
        <v>0</v>
      </c>
      <c r="D12759" s="12" t="str">
        <f ca="1">IFERROR(__xludf.DUMMYFUNCTION("""COMPUTED_VALUE"""),"小関 麻起")</f>
        <v>小関 麻起</v>
      </c>
    </row>
    <row r="12760" spans="2:4" ht="13">
      <c r="B12760" s="12">
        <f ca="1">IFERROR(__xludf.DUMMYFUNCTION("""COMPUTED_VALUE"""),3905183)</f>
        <v>3905183</v>
      </c>
      <c r="C12760" s="14">
        <f ca="1">IFERROR(__xludf.DUMMYFUNCTION("""COMPUTED_VALUE"""),0)</f>
        <v>0</v>
      </c>
      <c r="D12760" s="12" t="str">
        <f ca="1">IFERROR(__xludf.DUMMYFUNCTION("""COMPUTED_VALUE"""),"稲場 勇介")</f>
        <v>稲場 勇介</v>
      </c>
    </row>
    <row r="12761" spans="2:4" ht="13">
      <c r="B12761" s="12">
        <f ca="1">IFERROR(__xludf.DUMMYFUNCTION("""COMPUTED_VALUE"""),3905185)</f>
        <v>3905185</v>
      </c>
      <c r="C12761" s="14">
        <f ca="1">IFERROR(__xludf.DUMMYFUNCTION("""COMPUTED_VALUE"""),0)</f>
        <v>0</v>
      </c>
      <c r="D12761" s="12" t="str">
        <f ca="1">IFERROR(__xludf.DUMMYFUNCTION("""COMPUTED_VALUE"""),"栗原 大武")</f>
        <v>栗原 大武</v>
      </c>
    </row>
    <row r="12762" spans="2:4" ht="13">
      <c r="B12762" s="12">
        <f ca="1">IFERROR(__xludf.DUMMYFUNCTION("""COMPUTED_VALUE"""),3905186)</f>
        <v>3905186</v>
      </c>
      <c r="C12762" s="14">
        <f ca="1">IFERROR(__xludf.DUMMYFUNCTION("""COMPUTED_VALUE"""),0)</f>
        <v>0</v>
      </c>
      <c r="D12762" s="12" t="str">
        <f ca="1">IFERROR(__xludf.DUMMYFUNCTION("""COMPUTED_VALUE"""),"田嶋 将太")</f>
        <v>田嶋 将太</v>
      </c>
    </row>
    <row r="12763" spans="2:4" ht="13">
      <c r="B12763" s="12">
        <f ca="1">IFERROR(__xludf.DUMMYFUNCTION("""COMPUTED_VALUE"""),3905187)</f>
        <v>3905187</v>
      </c>
      <c r="C12763" s="14">
        <f ca="1">IFERROR(__xludf.DUMMYFUNCTION("""COMPUTED_VALUE"""),0)</f>
        <v>0</v>
      </c>
      <c r="D12763" s="12" t="str">
        <f ca="1">IFERROR(__xludf.DUMMYFUNCTION("""COMPUTED_VALUE"""),"稲場 勇介")</f>
        <v>稲場 勇介</v>
      </c>
    </row>
    <row r="12764" spans="2:4" ht="13">
      <c r="B12764" s="12">
        <f ca="1">IFERROR(__xludf.DUMMYFUNCTION("""COMPUTED_VALUE"""),3905190)</f>
        <v>3905190</v>
      </c>
      <c r="C12764" s="14">
        <f ca="1">IFERROR(__xludf.DUMMYFUNCTION("""COMPUTED_VALUE"""),1)</f>
        <v>1</v>
      </c>
      <c r="D12764" s="12" t="str">
        <f ca="1">IFERROR(__xludf.DUMMYFUNCTION("""COMPUTED_VALUE"""),"長谷川 陸朗")</f>
        <v>長谷川 陸朗</v>
      </c>
    </row>
    <row r="12765" spans="2:4" ht="13">
      <c r="B12765" s="12">
        <f ca="1">IFERROR(__xludf.DUMMYFUNCTION("""COMPUTED_VALUE"""),3905193)</f>
        <v>3905193</v>
      </c>
      <c r="C12765" s="14">
        <f ca="1">IFERROR(__xludf.DUMMYFUNCTION("""COMPUTED_VALUE"""),0)</f>
        <v>0</v>
      </c>
      <c r="D12765" s="12" t="str">
        <f ca="1">IFERROR(__xludf.DUMMYFUNCTION("""COMPUTED_VALUE"""),"松尾 尚樹")</f>
        <v>松尾 尚樹</v>
      </c>
    </row>
    <row r="12766" spans="2:4" ht="13">
      <c r="B12766" s="12">
        <f ca="1">IFERROR(__xludf.DUMMYFUNCTION("""COMPUTED_VALUE"""),3905196)</f>
        <v>3905196</v>
      </c>
      <c r="C12766" s="14">
        <f ca="1">IFERROR(__xludf.DUMMYFUNCTION("""COMPUTED_VALUE"""),0)</f>
        <v>0</v>
      </c>
      <c r="D12766" s="12" t="str">
        <f ca="1">IFERROR(__xludf.DUMMYFUNCTION("""COMPUTED_VALUE"""),"稲場 勇介")</f>
        <v>稲場 勇介</v>
      </c>
    </row>
    <row r="12767" spans="2:4" ht="13">
      <c r="B12767" s="12">
        <f ca="1">IFERROR(__xludf.DUMMYFUNCTION("""COMPUTED_VALUE"""),3905197)</f>
        <v>3905197</v>
      </c>
      <c r="C12767" s="14">
        <f ca="1">IFERROR(__xludf.DUMMYFUNCTION("""COMPUTED_VALUE"""),0)</f>
        <v>0</v>
      </c>
      <c r="D12767" s="12" t="str">
        <f ca="1">IFERROR(__xludf.DUMMYFUNCTION("""COMPUTED_VALUE"""),"菅野 ぎんが")</f>
        <v>菅野 ぎんが</v>
      </c>
    </row>
    <row r="12768" spans="2:4" ht="13">
      <c r="B12768" s="12">
        <f ca="1">IFERROR(__xludf.DUMMYFUNCTION("""COMPUTED_VALUE"""),3905199)</f>
        <v>3905199</v>
      </c>
      <c r="C12768" s="14">
        <f ca="1">IFERROR(__xludf.DUMMYFUNCTION("""COMPUTED_VALUE"""),0)</f>
        <v>0</v>
      </c>
      <c r="D12768" s="12" t="str">
        <f ca="1">IFERROR(__xludf.DUMMYFUNCTION("""COMPUTED_VALUE"""),"菅野 ぎんが")</f>
        <v>菅野 ぎんが</v>
      </c>
    </row>
    <row r="12769" spans="2:4" ht="13">
      <c r="B12769" s="12">
        <f ca="1">IFERROR(__xludf.DUMMYFUNCTION("""COMPUTED_VALUE"""),3905201)</f>
        <v>3905201</v>
      </c>
      <c r="C12769" s="14">
        <f ca="1">IFERROR(__xludf.DUMMYFUNCTION("""COMPUTED_VALUE"""),0)</f>
        <v>0</v>
      </c>
      <c r="D12769" s="12" t="str">
        <f ca="1">IFERROR(__xludf.DUMMYFUNCTION("""COMPUTED_VALUE"""),"桑原 明子")</f>
        <v>桑原 明子</v>
      </c>
    </row>
    <row r="12770" spans="2:4" ht="13">
      <c r="B12770" s="12">
        <f ca="1">IFERROR(__xludf.DUMMYFUNCTION("""COMPUTED_VALUE"""),3905203)</f>
        <v>3905203</v>
      </c>
      <c r="C12770" s="14">
        <f ca="1">IFERROR(__xludf.DUMMYFUNCTION("""COMPUTED_VALUE"""),0)</f>
        <v>0</v>
      </c>
      <c r="D12770" s="12" t="str">
        <f ca="1">IFERROR(__xludf.DUMMYFUNCTION("""COMPUTED_VALUE"""),"小関 麻起")</f>
        <v>小関 麻起</v>
      </c>
    </row>
    <row r="12771" spans="2:4" ht="13">
      <c r="B12771" s="12">
        <f ca="1">IFERROR(__xludf.DUMMYFUNCTION("""COMPUTED_VALUE"""),3905208)</f>
        <v>3905208</v>
      </c>
      <c r="C12771" s="14">
        <f ca="1">IFERROR(__xludf.DUMMYFUNCTION("""COMPUTED_VALUE"""),5)</f>
        <v>5</v>
      </c>
      <c r="D12771" s="12" t="str">
        <f ca="1">IFERROR(__xludf.DUMMYFUNCTION("""COMPUTED_VALUE"""),"稲場 勇介")</f>
        <v>稲場 勇介</v>
      </c>
    </row>
    <row r="12772" spans="2:4" ht="13">
      <c r="B12772" s="12">
        <f ca="1">IFERROR(__xludf.DUMMYFUNCTION("""COMPUTED_VALUE"""),6000035)</f>
        <v>6000035</v>
      </c>
      <c r="C12772" s="14">
        <f ca="1">IFERROR(__xludf.DUMMYFUNCTION("""COMPUTED_VALUE"""),0)</f>
        <v>0</v>
      </c>
      <c r="D12772" s="12" t="str">
        <f ca="1">IFERROR(__xludf.DUMMYFUNCTION("""COMPUTED_VALUE"""),"小関 麻起")</f>
        <v>小関 麻起</v>
      </c>
    </row>
    <row r="12773" spans="2:4" ht="13">
      <c r="B12773" s="12">
        <f ca="1">IFERROR(__xludf.DUMMYFUNCTION("""COMPUTED_VALUE"""),6000072)</f>
        <v>6000072</v>
      </c>
      <c r="C12773" s="14">
        <f ca="1">IFERROR(__xludf.DUMMYFUNCTION("""COMPUTED_VALUE"""),3)</f>
        <v>3</v>
      </c>
      <c r="D12773" s="12" t="str">
        <f ca="1">IFERROR(__xludf.DUMMYFUNCTION("""COMPUTED_VALUE"""),"小川 純")</f>
        <v>小川 純</v>
      </c>
    </row>
    <row r="12774" spans="2:4" ht="13">
      <c r="B12774" s="12">
        <f ca="1">IFERROR(__xludf.DUMMYFUNCTION("""COMPUTED_VALUE"""),6000182)</f>
        <v>6000182</v>
      </c>
      <c r="C12774" s="14">
        <f ca="1">IFERROR(__xludf.DUMMYFUNCTION("""COMPUTED_VALUE"""),1)</f>
        <v>1</v>
      </c>
      <c r="D12774" s="12" t="str">
        <f ca="1">IFERROR(__xludf.DUMMYFUNCTION("""COMPUTED_VALUE"""),"村上 浩一朗")</f>
        <v>村上 浩一朗</v>
      </c>
    </row>
    <row r="12775" spans="2:4" ht="13">
      <c r="B12775" s="12">
        <f ca="1">IFERROR(__xludf.DUMMYFUNCTION("""COMPUTED_VALUE"""),6000209)</f>
        <v>6000209</v>
      </c>
      <c r="C12775" s="14">
        <f ca="1">IFERROR(__xludf.DUMMYFUNCTION("""COMPUTED_VALUE"""),0)</f>
        <v>0</v>
      </c>
      <c r="D12775" s="12" t="str">
        <f ca="1">IFERROR(__xludf.DUMMYFUNCTION("""COMPUTED_VALUE"""),"松尾 尚樹")</f>
        <v>松尾 尚樹</v>
      </c>
    </row>
    <row r="12776" spans="2:4" ht="13">
      <c r="B12776" s="12">
        <f ca="1">IFERROR(__xludf.DUMMYFUNCTION("""COMPUTED_VALUE"""),6000303)</f>
        <v>6000303</v>
      </c>
      <c r="C12776" s="14">
        <f ca="1">IFERROR(__xludf.DUMMYFUNCTION("""COMPUTED_VALUE"""),0)</f>
        <v>0</v>
      </c>
      <c r="D12776" s="12" t="str">
        <f ca="1">IFERROR(__xludf.DUMMYFUNCTION("""COMPUTED_VALUE"""),"成嶋 夏未")</f>
        <v>成嶋 夏未</v>
      </c>
    </row>
    <row r="12777" spans="2:4" ht="13">
      <c r="B12777" s="12">
        <f ca="1">IFERROR(__xludf.DUMMYFUNCTION("""COMPUTED_VALUE"""),6000313)</f>
        <v>6000313</v>
      </c>
      <c r="C12777" s="14">
        <f ca="1">IFERROR(__xludf.DUMMYFUNCTION("""COMPUTED_VALUE"""),0)</f>
        <v>0</v>
      </c>
      <c r="D12777" s="12" t="str">
        <f ca="1">IFERROR(__xludf.DUMMYFUNCTION("""COMPUTED_VALUE"""),"老田 純輝")</f>
        <v>老田 純輝</v>
      </c>
    </row>
    <row r="12778" spans="2:4" ht="13">
      <c r="B12778" s="12">
        <f ca="1">IFERROR(__xludf.DUMMYFUNCTION("""COMPUTED_VALUE"""),6000361)</f>
        <v>6000361</v>
      </c>
      <c r="C12778" s="14">
        <f ca="1">IFERROR(__xludf.DUMMYFUNCTION("""COMPUTED_VALUE"""),3)</f>
        <v>3</v>
      </c>
      <c r="D12778" s="12" t="str">
        <f ca="1">IFERROR(__xludf.DUMMYFUNCTION("""COMPUTED_VALUE"""),"大木 優香")</f>
        <v>大木 優香</v>
      </c>
    </row>
    <row r="12779" spans="2:4" ht="13">
      <c r="B12779" s="12">
        <f ca="1">IFERROR(__xludf.DUMMYFUNCTION("""COMPUTED_VALUE"""),6000382)</f>
        <v>6000382</v>
      </c>
      <c r="C12779" s="14">
        <f ca="1">IFERROR(__xludf.DUMMYFUNCTION("""COMPUTED_VALUE"""),0)</f>
        <v>0</v>
      </c>
      <c r="D12779" s="12" t="str">
        <f ca="1">IFERROR(__xludf.DUMMYFUNCTION("""COMPUTED_VALUE"""),"小川 純")</f>
        <v>小川 純</v>
      </c>
    </row>
    <row r="12780" spans="2:4" ht="13">
      <c r="B12780" s="12">
        <f ca="1">IFERROR(__xludf.DUMMYFUNCTION("""COMPUTED_VALUE"""),6000384)</f>
        <v>6000384</v>
      </c>
      <c r="C12780" s="14">
        <f ca="1">IFERROR(__xludf.DUMMYFUNCTION("""COMPUTED_VALUE"""),32)</f>
        <v>32</v>
      </c>
      <c r="D12780" s="12" t="str">
        <f ca="1">IFERROR(__xludf.DUMMYFUNCTION("""COMPUTED_VALUE"""),"荻曽 克輝")</f>
        <v>荻曽 克輝</v>
      </c>
    </row>
    <row r="12781" spans="2:4" ht="13">
      <c r="B12781" s="12">
        <f ca="1">IFERROR(__xludf.DUMMYFUNCTION("""COMPUTED_VALUE"""),6000528)</f>
        <v>6000528</v>
      </c>
      <c r="C12781" s="14">
        <f ca="1">IFERROR(__xludf.DUMMYFUNCTION("""COMPUTED_VALUE"""),4)</f>
        <v>4</v>
      </c>
      <c r="D12781" s="12" t="str">
        <f ca="1">IFERROR(__xludf.DUMMYFUNCTION("""COMPUTED_VALUE"""),"稲場 勇介")</f>
        <v>稲場 勇介</v>
      </c>
    </row>
    <row r="12782" spans="2:4" ht="13">
      <c r="B12782" s="12">
        <f ca="1">IFERROR(__xludf.DUMMYFUNCTION("""COMPUTED_VALUE"""),6000529)</f>
        <v>6000529</v>
      </c>
      <c r="C12782" s="14">
        <f ca="1">IFERROR(__xludf.DUMMYFUNCTION("""COMPUTED_VALUE"""),8)</f>
        <v>8</v>
      </c>
      <c r="D12782" s="12" t="str">
        <f ca="1">IFERROR(__xludf.DUMMYFUNCTION("""COMPUTED_VALUE"""),"稲場 勇介")</f>
        <v>稲場 勇介</v>
      </c>
    </row>
    <row r="12783" spans="2:4" ht="13">
      <c r="B12783" s="12">
        <f ca="1">IFERROR(__xludf.DUMMYFUNCTION("""COMPUTED_VALUE"""),6000530)</f>
        <v>6000530</v>
      </c>
      <c r="C12783" s="14">
        <f ca="1">IFERROR(__xludf.DUMMYFUNCTION("""COMPUTED_VALUE"""),6)</f>
        <v>6</v>
      </c>
      <c r="D12783" s="12" t="str">
        <f ca="1">IFERROR(__xludf.DUMMYFUNCTION("""COMPUTED_VALUE"""),"稲場 勇介")</f>
        <v>稲場 勇介</v>
      </c>
    </row>
    <row r="12784" spans="2:4" ht="13">
      <c r="B12784" s="12">
        <f ca="1">IFERROR(__xludf.DUMMYFUNCTION("""COMPUTED_VALUE"""),6000565)</f>
        <v>6000565</v>
      </c>
      <c r="C12784" s="14">
        <f ca="1">IFERROR(__xludf.DUMMYFUNCTION("""COMPUTED_VALUE"""),4)</f>
        <v>4</v>
      </c>
      <c r="D12784" s="12" t="str">
        <f ca="1">IFERROR(__xludf.DUMMYFUNCTION("""COMPUTED_VALUE"""),"稲場 勇介")</f>
        <v>稲場 勇介</v>
      </c>
    </row>
    <row r="12785" spans="2:4" ht="13">
      <c r="B12785" s="12">
        <f ca="1">IFERROR(__xludf.DUMMYFUNCTION("""COMPUTED_VALUE"""),6000569)</f>
        <v>6000569</v>
      </c>
      <c r="C12785" s="14">
        <f ca="1">IFERROR(__xludf.DUMMYFUNCTION("""COMPUTED_VALUE"""),0)</f>
        <v>0</v>
      </c>
      <c r="D12785" s="12" t="str">
        <f ca="1">IFERROR(__xludf.DUMMYFUNCTION("""COMPUTED_VALUE"""),"成嶋 夏未")</f>
        <v>成嶋 夏未</v>
      </c>
    </row>
    <row r="12786" spans="2:4" ht="13">
      <c r="B12786" s="12">
        <f ca="1">IFERROR(__xludf.DUMMYFUNCTION("""COMPUTED_VALUE"""),6000619)</f>
        <v>6000619</v>
      </c>
      <c r="C12786" s="14">
        <f ca="1">IFERROR(__xludf.DUMMYFUNCTION("""COMPUTED_VALUE"""),63)</f>
        <v>63</v>
      </c>
      <c r="D12786" s="12" t="str">
        <f ca="1">IFERROR(__xludf.DUMMYFUNCTION("""COMPUTED_VALUE"""),"長谷川 陸朗")</f>
        <v>長谷川 陸朗</v>
      </c>
    </row>
    <row r="12787" spans="2:4" ht="13">
      <c r="B12787" s="12">
        <f ca="1">IFERROR(__xludf.DUMMYFUNCTION("""COMPUTED_VALUE"""),6000794)</f>
        <v>6000794</v>
      </c>
      <c r="C12787" s="14">
        <f ca="1">IFERROR(__xludf.DUMMYFUNCTION("""COMPUTED_VALUE"""),0)</f>
        <v>0</v>
      </c>
      <c r="D12787" s="12" t="str">
        <f ca="1">IFERROR(__xludf.DUMMYFUNCTION("""COMPUTED_VALUE"""),"松尾 尚樹")</f>
        <v>松尾 尚樹</v>
      </c>
    </row>
    <row r="12788" spans="2:4" ht="13">
      <c r="B12788" s="12">
        <f ca="1">IFERROR(__xludf.DUMMYFUNCTION("""COMPUTED_VALUE"""),6000810)</f>
        <v>6000810</v>
      </c>
      <c r="C12788" s="14">
        <f ca="1">IFERROR(__xludf.DUMMYFUNCTION("""COMPUTED_VALUE"""),1)</f>
        <v>1</v>
      </c>
      <c r="D12788" s="12" t="str">
        <f ca="1">IFERROR(__xludf.DUMMYFUNCTION("""COMPUTED_VALUE"""),"稲場 勇介")</f>
        <v>稲場 勇介</v>
      </c>
    </row>
    <row r="12789" spans="2:4" ht="13">
      <c r="B12789" s="12">
        <f ca="1">IFERROR(__xludf.DUMMYFUNCTION("""COMPUTED_VALUE"""),6000859)</f>
        <v>6000859</v>
      </c>
      <c r="C12789" s="14">
        <f ca="1">IFERROR(__xludf.DUMMYFUNCTION("""COMPUTED_VALUE"""),0)</f>
        <v>0</v>
      </c>
      <c r="D12789" s="12" t="str">
        <f ca="1">IFERROR(__xludf.DUMMYFUNCTION("""COMPUTED_VALUE"""),"成嶋 夏未")</f>
        <v>成嶋 夏未</v>
      </c>
    </row>
    <row r="12790" spans="2:4" ht="13">
      <c r="B12790" s="12">
        <f ca="1">IFERROR(__xludf.DUMMYFUNCTION("""COMPUTED_VALUE"""),6000875)</f>
        <v>6000875</v>
      </c>
      <c r="C12790" s="14">
        <f ca="1">IFERROR(__xludf.DUMMYFUNCTION("""COMPUTED_VALUE"""),0)</f>
        <v>0</v>
      </c>
      <c r="D12790" s="12" t="str">
        <f ca="1">IFERROR(__xludf.DUMMYFUNCTION("""COMPUTED_VALUE"""),"松尾 尚樹")</f>
        <v>松尾 尚樹</v>
      </c>
    </row>
    <row r="12791" spans="2:4" ht="13">
      <c r="B12791" s="12">
        <f ca="1">IFERROR(__xludf.DUMMYFUNCTION("""COMPUTED_VALUE"""),6000879)</f>
        <v>6000879</v>
      </c>
      <c r="C12791" s="14">
        <f ca="1">IFERROR(__xludf.DUMMYFUNCTION("""COMPUTED_VALUE"""),0)</f>
        <v>0</v>
      </c>
      <c r="D12791" s="12" t="str">
        <f ca="1">IFERROR(__xludf.DUMMYFUNCTION("""COMPUTED_VALUE"""),"桑原 明子")</f>
        <v>桑原 明子</v>
      </c>
    </row>
    <row r="12792" spans="2:4" ht="13">
      <c r="B12792" s="12">
        <f ca="1">IFERROR(__xludf.DUMMYFUNCTION("""COMPUTED_VALUE"""),6000897)</f>
        <v>6000897</v>
      </c>
      <c r="C12792" s="14">
        <f ca="1">IFERROR(__xludf.DUMMYFUNCTION("""COMPUTED_VALUE"""),4)</f>
        <v>4</v>
      </c>
      <c r="D12792" s="12" t="str">
        <f ca="1">IFERROR(__xludf.DUMMYFUNCTION("""COMPUTED_VALUE"""),"栗原 大武")</f>
        <v>栗原 大武</v>
      </c>
    </row>
    <row r="12793" spans="2:4" ht="13">
      <c r="B12793" s="12">
        <f ca="1">IFERROR(__xludf.DUMMYFUNCTION("""COMPUTED_VALUE"""),6001058)</f>
        <v>6001058</v>
      </c>
      <c r="C12793" s="14">
        <f ca="1">IFERROR(__xludf.DUMMYFUNCTION("""COMPUTED_VALUE"""),2)</f>
        <v>2</v>
      </c>
      <c r="D12793" s="12" t="str">
        <f ca="1">IFERROR(__xludf.DUMMYFUNCTION("""COMPUTED_VALUE"""),"松尾 尚樹")</f>
        <v>松尾 尚樹</v>
      </c>
    </row>
    <row r="12794" spans="2:4" ht="13">
      <c r="B12794" s="12">
        <f ca="1">IFERROR(__xludf.DUMMYFUNCTION("""COMPUTED_VALUE"""),6500011)</f>
        <v>6500011</v>
      </c>
      <c r="C12794" s="14">
        <f ca="1">IFERROR(__xludf.DUMMYFUNCTION("""COMPUTED_VALUE"""),0)</f>
        <v>0</v>
      </c>
      <c r="D12794" s="12" t="str">
        <f ca="1">IFERROR(__xludf.DUMMYFUNCTION("""COMPUTED_VALUE"""),"成嶋 夏未")</f>
        <v>成嶋 夏未</v>
      </c>
    </row>
    <row r="12795" spans="2:4" ht="13">
      <c r="B12795" s="12" t="str">
        <f ca="1">IFERROR(__xludf.DUMMYFUNCTION("""COMPUTED_VALUE"""),"")</f>
        <v/>
      </c>
      <c r="C12795" s="12" t="str">
        <f ca="1">IFERROR(__xludf.DUMMYFUNCTION("""COMPUTED_VALUE"""),"")</f>
        <v/>
      </c>
      <c r="D12795" s="12" t="str">
        <f ca="1">IFERROR(__xludf.DUMMYFUNCTION("""COMPUTED_VALUE"""),"")</f>
        <v/>
      </c>
    </row>
    <row r="12796" spans="2:4" ht="13">
      <c r="B12796" s="12" t="str">
        <f ca="1">IFERROR(__xludf.DUMMYFUNCTION("""COMPUTED_VALUE"""),"")</f>
        <v/>
      </c>
      <c r="C12796" s="12" t="str">
        <f ca="1">IFERROR(__xludf.DUMMYFUNCTION("""COMPUTED_VALUE"""),"")</f>
        <v/>
      </c>
      <c r="D12796" s="12" t="str">
        <f ca="1">IFERROR(__xludf.DUMMYFUNCTION("""COMPUTED_VALUE"""),"")</f>
        <v/>
      </c>
    </row>
    <row r="12797" spans="2:4" ht="13">
      <c r="B12797" s="12" t="str">
        <f ca="1">IFERROR(__xludf.DUMMYFUNCTION("""COMPUTED_VALUE"""),"")</f>
        <v/>
      </c>
      <c r="C12797" s="12" t="str">
        <f ca="1">IFERROR(__xludf.DUMMYFUNCTION("""COMPUTED_VALUE"""),"")</f>
        <v/>
      </c>
      <c r="D12797" s="12" t="str">
        <f ca="1">IFERROR(__xludf.DUMMYFUNCTION("""COMPUTED_VALUE"""),"")</f>
        <v/>
      </c>
    </row>
    <row r="12798" spans="2:4" ht="13">
      <c r="B12798" s="12" t="str">
        <f ca="1">IFERROR(__xludf.DUMMYFUNCTION("""COMPUTED_VALUE"""),"")</f>
        <v/>
      </c>
      <c r="C12798" s="12" t="str">
        <f ca="1">IFERROR(__xludf.DUMMYFUNCTION("""COMPUTED_VALUE"""),"")</f>
        <v/>
      </c>
      <c r="D12798" s="12" t="str">
        <f ca="1">IFERROR(__xludf.DUMMYFUNCTION("""COMPUTED_VALUE"""),"")</f>
        <v/>
      </c>
    </row>
    <row r="12799" spans="2:4" ht="13">
      <c r="B12799" s="12" t="str">
        <f ca="1">IFERROR(__xludf.DUMMYFUNCTION("""COMPUTED_VALUE"""),"")</f>
        <v/>
      </c>
      <c r="C12799" s="12" t="str">
        <f ca="1">IFERROR(__xludf.DUMMYFUNCTION("""COMPUTED_VALUE"""),"")</f>
        <v/>
      </c>
      <c r="D12799" s="12" t="str">
        <f ca="1">IFERROR(__xludf.DUMMYFUNCTION("""COMPUTED_VALUE"""),"")</f>
        <v/>
      </c>
    </row>
    <row r="12800" spans="2:4" ht="13">
      <c r="B12800" s="12" t="str">
        <f ca="1">IFERROR(__xludf.DUMMYFUNCTION("""COMPUTED_VALUE"""),"")</f>
        <v/>
      </c>
      <c r="C12800" s="12" t="str">
        <f ca="1">IFERROR(__xludf.DUMMYFUNCTION("""COMPUTED_VALUE"""),"")</f>
        <v/>
      </c>
      <c r="D12800" s="12" t="str">
        <f ca="1">IFERROR(__xludf.DUMMYFUNCTION("""COMPUTED_VALUE"""),"")</f>
        <v/>
      </c>
    </row>
    <row r="12801" spans="2:4" ht="13">
      <c r="B12801" s="12" t="str">
        <f ca="1">IFERROR(__xludf.DUMMYFUNCTION("""COMPUTED_VALUE"""),"")</f>
        <v/>
      </c>
      <c r="C12801" s="12" t="str">
        <f ca="1">IFERROR(__xludf.DUMMYFUNCTION("""COMPUTED_VALUE"""),"")</f>
        <v/>
      </c>
      <c r="D12801" s="12" t="str">
        <f ca="1">IFERROR(__xludf.DUMMYFUNCTION("""COMPUTED_VALUE"""),"")</f>
        <v/>
      </c>
    </row>
    <row r="12802" spans="2:4" ht="13">
      <c r="B12802" s="12" t="str">
        <f ca="1">IFERROR(__xludf.DUMMYFUNCTION("""COMPUTED_VALUE"""),"")</f>
        <v/>
      </c>
      <c r="C12802" s="12" t="str">
        <f ca="1">IFERROR(__xludf.DUMMYFUNCTION("""COMPUTED_VALUE"""),"")</f>
        <v/>
      </c>
      <c r="D12802" s="12" t="str">
        <f ca="1">IFERROR(__xludf.DUMMYFUNCTION("""COMPUTED_VALUE"""),"")</f>
        <v/>
      </c>
    </row>
    <row r="12803" spans="2:4" ht="13">
      <c r="B12803" s="12" t="str">
        <f ca="1">IFERROR(__xludf.DUMMYFUNCTION("""COMPUTED_VALUE"""),"")</f>
        <v/>
      </c>
      <c r="C12803" s="12" t="str">
        <f ca="1">IFERROR(__xludf.DUMMYFUNCTION("""COMPUTED_VALUE"""),"")</f>
        <v/>
      </c>
      <c r="D12803" s="12" t="str">
        <f ca="1">IFERROR(__xludf.DUMMYFUNCTION("""COMPUTED_VALUE"""),"")</f>
        <v/>
      </c>
    </row>
    <row r="12804" spans="2:4" ht="13">
      <c r="B12804" s="12" t="str">
        <f ca="1">IFERROR(__xludf.DUMMYFUNCTION("""COMPUTED_VALUE"""),"")</f>
        <v/>
      </c>
      <c r="C12804" s="12" t="str">
        <f ca="1">IFERROR(__xludf.DUMMYFUNCTION("""COMPUTED_VALUE"""),"")</f>
        <v/>
      </c>
      <c r="D12804" s="12" t="str">
        <f ca="1">IFERROR(__xludf.DUMMYFUNCTION("""COMPUTED_VALUE"""),"")</f>
        <v/>
      </c>
    </row>
    <row r="12805" spans="2:4" ht="13">
      <c r="B12805" s="12" t="str">
        <f ca="1">IFERROR(__xludf.DUMMYFUNCTION("""COMPUTED_VALUE"""),"")</f>
        <v/>
      </c>
      <c r="C12805" s="12" t="str">
        <f ca="1">IFERROR(__xludf.DUMMYFUNCTION("""COMPUTED_VALUE"""),"")</f>
        <v/>
      </c>
      <c r="D12805" s="12" t="str">
        <f ca="1">IFERROR(__xludf.DUMMYFUNCTION("""COMPUTED_VALUE"""),"")</f>
        <v/>
      </c>
    </row>
    <row r="12806" spans="2:4" ht="13">
      <c r="B12806" s="12" t="str">
        <f ca="1">IFERROR(__xludf.DUMMYFUNCTION("""COMPUTED_VALUE"""),"")</f>
        <v/>
      </c>
      <c r="C12806" s="12" t="str">
        <f ca="1">IFERROR(__xludf.DUMMYFUNCTION("""COMPUTED_VALUE"""),"")</f>
        <v/>
      </c>
      <c r="D12806" s="12" t="str">
        <f ca="1">IFERROR(__xludf.DUMMYFUNCTION("""COMPUTED_VALUE"""),"")</f>
        <v/>
      </c>
    </row>
    <row r="12807" spans="2:4" ht="13">
      <c r="B12807" s="12" t="str">
        <f ca="1">IFERROR(__xludf.DUMMYFUNCTION("""COMPUTED_VALUE"""),"")</f>
        <v/>
      </c>
      <c r="C12807" s="12" t="str">
        <f ca="1">IFERROR(__xludf.DUMMYFUNCTION("""COMPUTED_VALUE"""),"")</f>
        <v/>
      </c>
      <c r="D12807" s="12" t="str">
        <f ca="1">IFERROR(__xludf.DUMMYFUNCTION("""COMPUTED_VALUE"""),"")</f>
        <v/>
      </c>
    </row>
    <row r="12808" spans="2:4" ht="13">
      <c r="B12808" s="12" t="str">
        <f ca="1">IFERROR(__xludf.DUMMYFUNCTION("""COMPUTED_VALUE"""),"")</f>
        <v/>
      </c>
      <c r="C12808" s="12" t="str">
        <f ca="1">IFERROR(__xludf.DUMMYFUNCTION("""COMPUTED_VALUE"""),"")</f>
        <v/>
      </c>
      <c r="D12808" s="12" t="str">
        <f ca="1">IFERROR(__xludf.DUMMYFUNCTION("""COMPUTED_VALUE"""),"")</f>
        <v/>
      </c>
    </row>
    <row r="12809" spans="2:4" ht="13">
      <c r="B12809" s="12" t="str">
        <f ca="1">IFERROR(__xludf.DUMMYFUNCTION("""COMPUTED_VALUE"""),"")</f>
        <v/>
      </c>
      <c r="C12809" s="12" t="str">
        <f ca="1">IFERROR(__xludf.DUMMYFUNCTION("""COMPUTED_VALUE"""),"")</f>
        <v/>
      </c>
      <c r="D12809" s="12" t="str">
        <f ca="1">IFERROR(__xludf.DUMMYFUNCTION("""COMPUTED_VALUE"""),"")</f>
        <v/>
      </c>
    </row>
    <row r="12810" spans="2:4" ht="13">
      <c r="B12810" s="12" t="str">
        <f ca="1">IFERROR(__xludf.DUMMYFUNCTION("""COMPUTED_VALUE"""),"")</f>
        <v/>
      </c>
      <c r="C12810" s="12" t="str">
        <f ca="1">IFERROR(__xludf.DUMMYFUNCTION("""COMPUTED_VALUE"""),"")</f>
        <v/>
      </c>
      <c r="D12810" s="12" t="str">
        <f ca="1">IFERROR(__xludf.DUMMYFUNCTION("""COMPUTED_VALUE"""),"")</f>
        <v/>
      </c>
    </row>
    <row r="12811" spans="2:4" ht="13">
      <c r="B12811" s="12" t="str">
        <f ca="1">IFERROR(__xludf.DUMMYFUNCTION("""COMPUTED_VALUE"""),"")</f>
        <v/>
      </c>
      <c r="C12811" s="12" t="str">
        <f ca="1">IFERROR(__xludf.DUMMYFUNCTION("""COMPUTED_VALUE"""),"")</f>
        <v/>
      </c>
      <c r="D12811" s="12" t="str">
        <f ca="1">IFERROR(__xludf.DUMMYFUNCTION("""COMPUTED_VALUE"""),"")</f>
        <v/>
      </c>
    </row>
    <row r="12812" spans="2:4" ht="13">
      <c r="B12812" s="12" t="str">
        <f ca="1">IFERROR(__xludf.DUMMYFUNCTION("""COMPUTED_VALUE"""),"")</f>
        <v/>
      </c>
      <c r="C12812" s="12" t="str">
        <f ca="1">IFERROR(__xludf.DUMMYFUNCTION("""COMPUTED_VALUE"""),"")</f>
        <v/>
      </c>
      <c r="D12812" s="12" t="str">
        <f ca="1">IFERROR(__xludf.DUMMYFUNCTION("""COMPUTED_VALUE"""),"")</f>
        <v/>
      </c>
    </row>
    <row r="12813" spans="2:4" ht="13">
      <c r="B12813" s="12" t="str">
        <f ca="1">IFERROR(__xludf.DUMMYFUNCTION("""COMPUTED_VALUE"""),"")</f>
        <v/>
      </c>
      <c r="C12813" s="12" t="str">
        <f ca="1">IFERROR(__xludf.DUMMYFUNCTION("""COMPUTED_VALUE"""),"")</f>
        <v/>
      </c>
      <c r="D12813" s="12" t="str">
        <f ca="1">IFERROR(__xludf.DUMMYFUNCTION("""COMPUTED_VALUE"""),"")</f>
        <v/>
      </c>
    </row>
    <row r="12814" spans="2:4" ht="13">
      <c r="B12814" s="12" t="str">
        <f ca="1">IFERROR(__xludf.DUMMYFUNCTION("""COMPUTED_VALUE"""),"")</f>
        <v/>
      </c>
      <c r="C12814" s="12" t="str">
        <f ca="1">IFERROR(__xludf.DUMMYFUNCTION("""COMPUTED_VALUE"""),"")</f>
        <v/>
      </c>
      <c r="D12814" s="12" t="str">
        <f ca="1">IFERROR(__xludf.DUMMYFUNCTION("""COMPUTED_VALUE"""),"")</f>
        <v/>
      </c>
    </row>
    <row r="12815" spans="2:4" ht="13">
      <c r="B12815" s="12" t="str">
        <f ca="1">IFERROR(__xludf.DUMMYFUNCTION("""COMPUTED_VALUE"""),"")</f>
        <v/>
      </c>
      <c r="C12815" s="12" t="str">
        <f ca="1">IFERROR(__xludf.DUMMYFUNCTION("""COMPUTED_VALUE"""),"")</f>
        <v/>
      </c>
      <c r="D12815" s="12" t="str">
        <f ca="1">IFERROR(__xludf.DUMMYFUNCTION("""COMPUTED_VALUE"""),"")</f>
        <v/>
      </c>
    </row>
    <row r="12816" spans="2:4" ht="13">
      <c r="B12816" s="12" t="str">
        <f ca="1">IFERROR(__xludf.DUMMYFUNCTION("""COMPUTED_VALUE"""),"")</f>
        <v/>
      </c>
      <c r="C12816" s="12" t="str">
        <f ca="1">IFERROR(__xludf.DUMMYFUNCTION("""COMPUTED_VALUE"""),"")</f>
        <v/>
      </c>
      <c r="D12816" s="12" t="str">
        <f ca="1">IFERROR(__xludf.DUMMYFUNCTION("""COMPUTED_VALUE"""),"")</f>
        <v/>
      </c>
    </row>
    <row r="12817" spans="2:4" ht="13">
      <c r="B12817" s="12" t="str">
        <f ca="1">IFERROR(__xludf.DUMMYFUNCTION("""COMPUTED_VALUE"""),"")</f>
        <v/>
      </c>
      <c r="C12817" s="12" t="str">
        <f ca="1">IFERROR(__xludf.DUMMYFUNCTION("""COMPUTED_VALUE"""),"")</f>
        <v/>
      </c>
      <c r="D12817" s="12" t="str">
        <f ca="1">IFERROR(__xludf.DUMMYFUNCTION("""COMPUTED_VALUE"""),"")</f>
        <v/>
      </c>
    </row>
    <row r="12818" spans="2:4" ht="13">
      <c r="B12818" s="12" t="str">
        <f ca="1">IFERROR(__xludf.DUMMYFUNCTION("""COMPUTED_VALUE"""),"")</f>
        <v/>
      </c>
      <c r="C12818" s="12" t="str">
        <f ca="1">IFERROR(__xludf.DUMMYFUNCTION("""COMPUTED_VALUE"""),"")</f>
        <v/>
      </c>
      <c r="D12818" s="12" t="str">
        <f ca="1">IFERROR(__xludf.DUMMYFUNCTION("""COMPUTED_VALUE"""),"")</f>
        <v/>
      </c>
    </row>
    <row r="12819" spans="2:4" ht="13">
      <c r="B12819" s="12" t="str">
        <f ca="1">IFERROR(__xludf.DUMMYFUNCTION("""COMPUTED_VALUE"""),"")</f>
        <v/>
      </c>
      <c r="C12819" s="12" t="str">
        <f ca="1">IFERROR(__xludf.DUMMYFUNCTION("""COMPUTED_VALUE"""),"")</f>
        <v/>
      </c>
      <c r="D12819" s="12" t="str">
        <f ca="1">IFERROR(__xludf.DUMMYFUNCTION("""COMPUTED_VALUE"""),"")</f>
        <v/>
      </c>
    </row>
    <row r="12820" spans="2:4" ht="13">
      <c r="B12820" s="12" t="str">
        <f ca="1">IFERROR(__xludf.DUMMYFUNCTION("""COMPUTED_VALUE"""),"")</f>
        <v/>
      </c>
      <c r="C12820" s="12" t="str">
        <f ca="1">IFERROR(__xludf.DUMMYFUNCTION("""COMPUTED_VALUE"""),"")</f>
        <v/>
      </c>
      <c r="D12820" s="12" t="str">
        <f ca="1">IFERROR(__xludf.DUMMYFUNCTION("""COMPUTED_VALUE"""),"")</f>
        <v/>
      </c>
    </row>
    <row r="12821" spans="2:4" ht="13">
      <c r="B12821" s="12" t="str">
        <f ca="1">IFERROR(__xludf.DUMMYFUNCTION("""COMPUTED_VALUE"""),"")</f>
        <v/>
      </c>
      <c r="C12821" s="12" t="str">
        <f ca="1">IFERROR(__xludf.DUMMYFUNCTION("""COMPUTED_VALUE"""),"")</f>
        <v/>
      </c>
      <c r="D12821" s="12" t="str">
        <f ca="1">IFERROR(__xludf.DUMMYFUNCTION("""COMPUTED_VALUE"""),"")</f>
        <v/>
      </c>
    </row>
    <row r="12822" spans="2:4" ht="13">
      <c r="B12822" s="12" t="str">
        <f ca="1">IFERROR(__xludf.DUMMYFUNCTION("""COMPUTED_VALUE"""),"")</f>
        <v/>
      </c>
      <c r="C12822" s="12" t="str">
        <f ca="1">IFERROR(__xludf.DUMMYFUNCTION("""COMPUTED_VALUE"""),"")</f>
        <v/>
      </c>
      <c r="D12822" s="12" t="str">
        <f ca="1">IFERROR(__xludf.DUMMYFUNCTION("""COMPUTED_VALUE"""),"")</f>
        <v/>
      </c>
    </row>
    <row r="12823" spans="2:4" ht="13">
      <c r="B12823" s="12" t="str">
        <f ca="1">IFERROR(__xludf.DUMMYFUNCTION("""COMPUTED_VALUE"""),"")</f>
        <v/>
      </c>
      <c r="C12823" s="12" t="str">
        <f ca="1">IFERROR(__xludf.DUMMYFUNCTION("""COMPUTED_VALUE"""),"")</f>
        <v/>
      </c>
      <c r="D12823" s="12" t="str">
        <f ca="1">IFERROR(__xludf.DUMMYFUNCTION("""COMPUTED_VALUE"""),"")</f>
        <v/>
      </c>
    </row>
    <row r="12824" spans="2:4" ht="13">
      <c r="B12824" s="12" t="str">
        <f ca="1">IFERROR(__xludf.DUMMYFUNCTION("""COMPUTED_VALUE"""),"")</f>
        <v/>
      </c>
      <c r="C12824" s="12" t="str">
        <f ca="1">IFERROR(__xludf.DUMMYFUNCTION("""COMPUTED_VALUE"""),"")</f>
        <v/>
      </c>
      <c r="D12824" s="12" t="str">
        <f ca="1">IFERROR(__xludf.DUMMYFUNCTION("""COMPUTED_VALUE"""),"")</f>
        <v/>
      </c>
    </row>
    <row r="12825" spans="2:4" ht="13">
      <c r="B12825" s="12" t="str">
        <f ca="1">IFERROR(__xludf.DUMMYFUNCTION("""COMPUTED_VALUE"""),"")</f>
        <v/>
      </c>
      <c r="C12825" s="12" t="str">
        <f ca="1">IFERROR(__xludf.DUMMYFUNCTION("""COMPUTED_VALUE"""),"")</f>
        <v/>
      </c>
      <c r="D12825" s="12" t="str">
        <f ca="1">IFERROR(__xludf.DUMMYFUNCTION("""COMPUTED_VALUE"""),"")</f>
        <v/>
      </c>
    </row>
    <row r="12826" spans="2:4" ht="13">
      <c r="B12826" s="12" t="str">
        <f ca="1">IFERROR(__xludf.DUMMYFUNCTION("""COMPUTED_VALUE"""),"")</f>
        <v/>
      </c>
      <c r="C12826" s="12" t="str">
        <f ca="1">IFERROR(__xludf.DUMMYFUNCTION("""COMPUTED_VALUE"""),"")</f>
        <v/>
      </c>
      <c r="D12826" s="12" t="str">
        <f ca="1">IFERROR(__xludf.DUMMYFUNCTION("""COMPUTED_VALUE"""),"")</f>
        <v/>
      </c>
    </row>
    <row r="12827" spans="2:4" ht="13">
      <c r="B12827" s="12" t="str">
        <f ca="1">IFERROR(__xludf.DUMMYFUNCTION("""COMPUTED_VALUE"""),"")</f>
        <v/>
      </c>
      <c r="C12827" s="12" t="str">
        <f ca="1">IFERROR(__xludf.DUMMYFUNCTION("""COMPUTED_VALUE"""),"")</f>
        <v/>
      </c>
      <c r="D12827" s="12" t="str">
        <f ca="1">IFERROR(__xludf.DUMMYFUNCTION("""COMPUTED_VALUE"""),"")</f>
        <v/>
      </c>
    </row>
    <row r="12828" spans="2:4" ht="13">
      <c r="B12828" s="12" t="str">
        <f ca="1">IFERROR(__xludf.DUMMYFUNCTION("""COMPUTED_VALUE"""),"")</f>
        <v/>
      </c>
      <c r="C12828" s="12" t="str">
        <f ca="1">IFERROR(__xludf.DUMMYFUNCTION("""COMPUTED_VALUE"""),"")</f>
        <v/>
      </c>
      <c r="D12828" s="12" t="str">
        <f ca="1">IFERROR(__xludf.DUMMYFUNCTION("""COMPUTED_VALUE"""),"")</f>
        <v/>
      </c>
    </row>
    <row r="12829" spans="2:4" ht="13">
      <c r="B12829" s="12" t="str">
        <f ca="1">IFERROR(__xludf.DUMMYFUNCTION("""COMPUTED_VALUE"""),"")</f>
        <v/>
      </c>
      <c r="C12829" s="12" t="str">
        <f ca="1">IFERROR(__xludf.DUMMYFUNCTION("""COMPUTED_VALUE"""),"")</f>
        <v/>
      </c>
      <c r="D12829" s="12" t="str">
        <f ca="1">IFERROR(__xludf.DUMMYFUNCTION("""COMPUTED_VALUE"""),"")</f>
        <v/>
      </c>
    </row>
    <row r="12830" spans="2:4" ht="13">
      <c r="B12830" s="12" t="str">
        <f ca="1">IFERROR(__xludf.DUMMYFUNCTION("""COMPUTED_VALUE"""),"")</f>
        <v/>
      </c>
      <c r="C12830" s="12" t="str">
        <f ca="1">IFERROR(__xludf.DUMMYFUNCTION("""COMPUTED_VALUE"""),"")</f>
        <v/>
      </c>
      <c r="D12830" s="12" t="str">
        <f ca="1">IFERROR(__xludf.DUMMYFUNCTION("""COMPUTED_VALUE"""),"")</f>
        <v/>
      </c>
    </row>
    <row r="12831" spans="2:4" ht="13">
      <c r="B12831" s="12" t="str">
        <f ca="1">IFERROR(__xludf.DUMMYFUNCTION("""COMPUTED_VALUE"""),"")</f>
        <v/>
      </c>
      <c r="C12831" s="12" t="str">
        <f ca="1">IFERROR(__xludf.DUMMYFUNCTION("""COMPUTED_VALUE"""),"")</f>
        <v/>
      </c>
      <c r="D12831" s="12" t="str">
        <f ca="1">IFERROR(__xludf.DUMMYFUNCTION("""COMPUTED_VALUE"""),"")</f>
        <v/>
      </c>
    </row>
    <row r="12832" spans="2:4" ht="13">
      <c r="B12832" s="12" t="str">
        <f ca="1">IFERROR(__xludf.DUMMYFUNCTION("""COMPUTED_VALUE"""),"")</f>
        <v/>
      </c>
      <c r="C12832" s="12" t="str">
        <f ca="1">IFERROR(__xludf.DUMMYFUNCTION("""COMPUTED_VALUE"""),"")</f>
        <v/>
      </c>
      <c r="D12832" s="12" t="str">
        <f ca="1">IFERROR(__xludf.DUMMYFUNCTION("""COMPUTED_VALUE"""),"")</f>
        <v/>
      </c>
    </row>
    <row r="12833" spans="2:4" ht="13">
      <c r="B12833" s="12" t="str">
        <f ca="1">IFERROR(__xludf.DUMMYFUNCTION("""COMPUTED_VALUE"""),"")</f>
        <v/>
      </c>
      <c r="C12833" s="12" t="str">
        <f ca="1">IFERROR(__xludf.DUMMYFUNCTION("""COMPUTED_VALUE"""),"")</f>
        <v/>
      </c>
      <c r="D12833" s="12" t="str">
        <f ca="1">IFERROR(__xludf.DUMMYFUNCTION("""COMPUTED_VALUE"""),"")</f>
        <v/>
      </c>
    </row>
    <row r="12834" spans="2:4" ht="13">
      <c r="B12834" s="12" t="str">
        <f ca="1">IFERROR(__xludf.DUMMYFUNCTION("""COMPUTED_VALUE"""),"")</f>
        <v/>
      </c>
      <c r="C12834" s="12" t="str">
        <f ca="1">IFERROR(__xludf.DUMMYFUNCTION("""COMPUTED_VALUE"""),"")</f>
        <v/>
      </c>
      <c r="D12834" s="12" t="str">
        <f ca="1">IFERROR(__xludf.DUMMYFUNCTION("""COMPUTED_VALUE"""),"")</f>
        <v/>
      </c>
    </row>
    <row r="12835" spans="2:4" ht="13">
      <c r="B12835" s="12" t="str">
        <f ca="1">IFERROR(__xludf.DUMMYFUNCTION("""COMPUTED_VALUE"""),"")</f>
        <v/>
      </c>
      <c r="C12835" s="12" t="str">
        <f ca="1">IFERROR(__xludf.DUMMYFUNCTION("""COMPUTED_VALUE"""),"")</f>
        <v/>
      </c>
      <c r="D12835" s="12" t="str">
        <f ca="1">IFERROR(__xludf.DUMMYFUNCTION("""COMPUTED_VALUE"""),"")</f>
        <v/>
      </c>
    </row>
    <row r="12836" spans="2:4" ht="13">
      <c r="B12836" s="12" t="str">
        <f ca="1">IFERROR(__xludf.DUMMYFUNCTION("""COMPUTED_VALUE"""),"")</f>
        <v/>
      </c>
      <c r="C12836" s="12" t="str">
        <f ca="1">IFERROR(__xludf.DUMMYFUNCTION("""COMPUTED_VALUE"""),"")</f>
        <v/>
      </c>
      <c r="D12836" s="12" t="str">
        <f ca="1">IFERROR(__xludf.DUMMYFUNCTION("""COMPUTED_VALUE"""),"")</f>
        <v/>
      </c>
    </row>
    <row r="12837" spans="2:4" ht="13">
      <c r="B12837" s="12" t="str">
        <f ca="1">IFERROR(__xludf.DUMMYFUNCTION("""COMPUTED_VALUE"""),"")</f>
        <v/>
      </c>
      <c r="C12837" s="12" t="str">
        <f ca="1">IFERROR(__xludf.DUMMYFUNCTION("""COMPUTED_VALUE"""),"")</f>
        <v/>
      </c>
      <c r="D12837" s="12" t="str">
        <f ca="1">IFERROR(__xludf.DUMMYFUNCTION("""COMPUTED_VALUE"""),"")</f>
        <v/>
      </c>
    </row>
    <row r="12838" spans="2:4" ht="13">
      <c r="B12838" s="12" t="str">
        <f ca="1">IFERROR(__xludf.DUMMYFUNCTION("""COMPUTED_VALUE"""),"")</f>
        <v/>
      </c>
      <c r="C12838" s="12" t="str">
        <f ca="1">IFERROR(__xludf.DUMMYFUNCTION("""COMPUTED_VALUE"""),"")</f>
        <v/>
      </c>
      <c r="D12838" s="12" t="str">
        <f ca="1">IFERROR(__xludf.DUMMYFUNCTION("""COMPUTED_VALUE"""),"")</f>
        <v/>
      </c>
    </row>
    <row r="12839" spans="2:4" ht="13">
      <c r="B12839" s="12" t="str">
        <f ca="1">IFERROR(__xludf.DUMMYFUNCTION("""COMPUTED_VALUE"""),"")</f>
        <v/>
      </c>
      <c r="C12839" s="12" t="str">
        <f ca="1">IFERROR(__xludf.DUMMYFUNCTION("""COMPUTED_VALUE"""),"")</f>
        <v/>
      </c>
      <c r="D12839" s="12" t="str">
        <f ca="1">IFERROR(__xludf.DUMMYFUNCTION("""COMPUTED_VALUE"""),"")</f>
        <v/>
      </c>
    </row>
    <row r="12840" spans="2:4" ht="13">
      <c r="B12840" s="12" t="str">
        <f ca="1">IFERROR(__xludf.DUMMYFUNCTION("""COMPUTED_VALUE"""),"")</f>
        <v/>
      </c>
      <c r="C12840" s="12" t="str">
        <f ca="1">IFERROR(__xludf.DUMMYFUNCTION("""COMPUTED_VALUE"""),"")</f>
        <v/>
      </c>
      <c r="D12840" s="12" t="str">
        <f ca="1">IFERROR(__xludf.DUMMYFUNCTION("""COMPUTED_VALUE"""),"")</f>
        <v/>
      </c>
    </row>
    <row r="12841" spans="2:4" ht="13">
      <c r="B12841" s="12" t="str">
        <f ca="1">IFERROR(__xludf.DUMMYFUNCTION("""COMPUTED_VALUE"""),"")</f>
        <v/>
      </c>
      <c r="C12841" s="12" t="str">
        <f ca="1">IFERROR(__xludf.DUMMYFUNCTION("""COMPUTED_VALUE"""),"")</f>
        <v/>
      </c>
      <c r="D12841" s="12" t="str">
        <f ca="1">IFERROR(__xludf.DUMMYFUNCTION("""COMPUTED_VALUE"""),"")</f>
        <v/>
      </c>
    </row>
    <row r="12842" spans="2:4" ht="13">
      <c r="B12842" s="12" t="str">
        <f ca="1">IFERROR(__xludf.DUMMYFUNCTION("""COMPUTED_VALUE"""),"")</f>
        <v/>
      </c>
      <c r="C12842" s="12" t="str">
        <f ca="1">IFERROR(__xludf.DUMMYFUNCTION("""COMPUTED_VALUE"""),"")</f>
        <v/>
      </c>
      <c r="D12842" s="12" t="str">
        <f ca="1">IFERROR(__xludf.DUMMYFUNCTION("""COMPUTED_VALUE"""),"")</f>
        <v/>
      </c>
    </row>
    <row r="12843" spans="2:4" ht="13">
      <c r="B12843" s="12" t="str">
        <f ca="1">IFERROR(__xludf.DUMMYFUNCTION("""COMPUTED_VALUE"""),"")</f>
        <v/>
      </c>
      <c r="C12843" s="12" t="str">
        <f ca="1">IFERROR(__xludf.DUMMYFUNCTION("""COMPUTED_VALUE"""),"")</f>
        <v/>
      </c>
      <c r="D12843" s="12" t="str">
        <f ca="1">IFERROR(__xludf.DUMMYFUNCTION("""COMPUTED_VALUE"""),"")</f>
        <v/>
      </c>
    </row>
    <row r="12844" spans="2:4" ht="13">
      <c r="B12844" s="12" t="str">
        <f ca="1">IFERROR(__xludf.DUMMYFUNCTION("""COMPUTED_VALUE"""),"")</f>
        <v/>
      </c>
      <c r="C12844" s="12" t="str">
        <f ca="1">IFERROR(__xludf.DUMMYFUNCTION("""COMPUTED_VALUE"""),"")</f>
        <v/>
      </c>
      <c r="D12844" s="12" t="str">
        <f ca="1">IFERROR(__xludf.DUMMYFUNCTION("""COMPUTED_VALUE"""),"")</f>
        <v/>
      </c>
    </row>
    <row r="12845" spans="2:4" ht="13">
      <c r="B12845" s="12" t="str">
        <f ca="1">IFERROR(__xludf.DUMMYFUNCTION("""COMPUTED_VALUE"""),"")</f>
        <v/>
      </c>
      <c r="C12845" s="12" t="str">
        <f ca="1">IFERROR(__xludf.DUMMYFUNCTION("""COMPUTED_VALUE"""),"")</f>
        <v/>
      </c>
      <c r="D12845" s="12" t="str">
        <f ca="1">IFERROR(__xludf.DUMMYFUNCTION("""COMPUTED_VALUE"""),"")</f>
        <v/>
      </c>
    </row>
    <row r="12846" spans="2:4" ht="13">
      <c r="B12846" s="12" t="str">
        <f ca="1">IFERROR(__xludf.DUMMYFUNCTION("""COMPUTED_VALUE"""),"")</f>
        <v/>
      </c>
      <c r="C12846" s="12" t="str">
        <f ca="1">IFERROR(__xludf.DUMMYFUNCTION("""COMPUTED_VALUE"""),"")</f>
        <v/>
      </c>
      <c r="D12846" s="12" t="str">
        <f ca="1">IFERROR(__xludf.DUMMYFUNCTION("""COMPUTED_VALUE"""),"")</f>
        <v/>
      </c>
    </row>
    <row r="12847" spans="2:4" ht="13">
      <c r="B12847" s="12" t="str">
        <f ca="1">IFERROR(__xludf.DUMMYFUNCTION("""COMPUTED_VALUE"""),"")</f>
        <v/>
      </c>
      <c r="C12847" s="12" t="str">
        <f ca="1">IFERROR(__xludf.DUMMYFUNCTION("""COMPUTED_VALUE"""),"")</f>
        <v/>
      </c>
      <c r="D12847" s="12" t="str">
        <f ca="1">IFERROR(__xludf.DUMMYFUNCTION("""COMPUTED_VALUE"""),"")</f>
        <v/>
      </c>
    </row>
    <row r="12848" spans="2:4" ht="13">
      <c r="B12848" s="12" t="str">
        <f ca="1">IFERROR(__xludf.DUMMYFUNCTION("""COMPUTED_VALUE"""),"")</f>
        <v/>
      </c>
      <c r="C12848" s="12" t="str">
        <f ca="1">IFERROR(__xludf.DUMMYFUNCTION("""COMPUTED_VALUE"""),"")</f>
        <v/>
      </c>
      <c r="D12848" s="12" t="str">
        <f ca="1">IFERROR(__xludf.DUMMYFUNCTION("""COMPUTED_VALUE"""),"")</f>
        <v/>
      </c>
    </row>
    <row r="12849" spans="2:4" ht="13">
      <c r="B12849" s="12" t="str">
        <f ca="1">IFERROR(__xludf.DUMMYFUNCTION("""COMPUTED_VALUE"""),"")</f>
        <v/>
      </c>
      <c r="C12849" s="12" t="str">
        <f ca="1">IFERROR(__xludf.DUMMYFUNCTION("""COMPUTED_VALUE"""),"")</f>
        <v/>
      </c>
      <c r="D12849" s="12" t="str">
        <f ca="1">IFERROR(__xludf.DUMMYFUNCTION("""COMPUTED_VALUE"""),"")</f>
        <v/>
      </c>
    </row>
    <row r="12850" spans="2:4" ht="13">
      <c r="B12850" s="12" t="str">
        <f ca="1">IFERROR(__xludf.DUMMYFUNCTION("""COMPUTED_VALUE"""),"")</f>
        <v/>
      </c>
      <c r="C12850" s="12" t="str">
        <f ca="1">IFERROR(__xludf.DUMMYFUNCTION("""COMPUTED_VALUE"""),"")</f>
        <v/>
      </c>
      <c r="D12850" s="12" t="str">
        <f ca="1">IFERROR(__xludf.DUMMYFUNCTION("""COMPUTED_VALUE"""),"")</f>
        <v/>
      </c>
    </row>
    <row r="12851" spans="2:4" ht="13">
      <c r="B12851" s="12" t="str">
        <f ca="1">IFERROR(__xludf.DUMMYFUNCTION("""COMPUTED_VALUE"""),"")</f>
        <v/>
      </c>
      <c r="C12851" s="12" t="str">
        <f ca="1">IFERROR(__xludf.DUMMYFUNCTION("""COMPUTED_VALUE"""),"")</f>
        <v/>
      </c>
      <c r="D12851" s="12" t="str">
        <f ca="1">IFERROR(__xludf.DUMMYFUNCTION("""COMPUTED_VALUE"""),"")</f>
        <v/>
      </c>
    </row>
    <row r="12852" spans="2:4" ht="13">
      <c r="B12852" s="12" t="str">
        <f ca="1">IFERROR(__xludf.DUMMYFUNCTION("""COMPUTED_VALUE"""),"")</f>
        <v/>
      </c>
      <c r="C12852" s="12" t="str">
        <f ca="1">IFERROR(__xludf.DUMMYFUNCTION("""COMPUTED_VALUE"""),"")</f>
        <v/>
      </c>
      <c r="D12852" s="12" t="str">
        <f ca="1">IFERROR(__xludf.DUMMYFUNCTION("""COMPUTED_VALUE"""),"")</f>
        <v/>
      </c>
    </row>
    <row r="12853" spans="2:4" ht="13">
      <c r="B12853" s="12" t="str">
        <f ca="1">IFERROR(__xludf.DUMMYFUNCTION("""COMPUTED_VALUE"""),"")</f>
        <v/>
      </c>
      <c r="C12853" s="12" t="str">
        <f ca="1">IFERROR(__xludf.DUMMYFUNCTION("""COMPUTED_VALUE"""),"")</f>
        <v/>
      </c>
      <c r="D12853" s="12" t="str">
        <f ca="1">IFERROR(__xludf.DUMMYFUNCTION("""COMPUTED_VALUE"""),"")</f>
        <v/>
      </c>
    </row>
    <row r="12854" spans="2:4" ht="13">
      <c r="B12854" s="12" t="str">
        <f ca="1">IFERROR(__xludf.DUMMYFUNCTION("""COMPUTED_VALUE"""),"")</f>
        <v/>
      </c>
      <c r="C12854" s="12" t="str">
        <f ca="1">IFERROR(__xludf.DUMMYFUNCTION("""COMPUTED_VALUE"""),"")</f>
        <v/>
      </c>
      <c r="D12854" s="12" t="str">
        <f ca="1">IFERROR(__xludf.DUMMYFUNCTION("""COMPUTED_VALUE"""),"")</f>
        <v/>
      </c>
    </row>
    <row r="12855" spans="2:4" ht="13">
      <c r="B12855" s="12" t="str">
        <f ca="1">IFERROR(__xludf.DUMMYFUNCTION("""COMPUTED_VALUE"""),"")</f>
        <v/>
      </c>
      <c r="C12855" s="12" t="str">
        <f ca="1">IFERROR(__xludf.DUMMYFUNCTION("""COMPUTED_VALUE"""),"")</f>
        <v/>
      </c>
      <c r="D12855" s="12" t="str">
        <f ca="1">IFERROR(__xludf.DUMMYFUNCTION("""COMPUTED_VALUE"""),"")</f>
        <v/>
      </c>
    </row>
    <row r="12856" spans="2:4" ht="13">
      <c r="B12856" s="12" t="str">
        <f ca="1">IFERROR(__xludf.DUMMYFUNCTION("""COMPUTED_VALUE"""),"")</f>
        <v/>
      </c>
      <c r="C12856" s="12" t="str">
        <f ca="1">IFERROR(__xludf.DUMMYFUNCTION("""COMPUTED_VALUE"""),"")</f>
        <v/>
      </c>
      <c r="D12856" s="12" t="str">
        <f ca="1">IFERROR(__xludf.DUMMYFUNCTION("""COMPUTED_VALUE"""),"")</f>
        <v/>
      </c>
    </row>
    <row r="12857" spans="2:4" ht="13">
      <c r="B12857" s="12" t="str">
        <f ca="1">IFERROR(__xludf.DUMMYFUNCTION("""COMPUTED_VALUE"""),"")</f>
        <v/>
      </c>
      <c r="C12857" s="12" t="str">
        <f ca="1">IFERROR(__xludf.DUMMYFUNCTION("""COMPUTED_VALUE"""),"")</f>
        <v/>
      </c>
      <c r="D12857" s="12" t="str">
        <f ca="1">IFERROR(__xludf.DUMMYFUNCTION("""COMPUTED_VALUE"""),"")</f>
        <v/>
      </c>
    </row>
    <row r="12858" spans="2:4" ht="13">
      <c r="B12858" s="12" t="str">
        <f ca="1">IFERROR(__xludf.DUMMYFUNCTION("""COMPUTED_VALUE"""),"")</f>
        <v/>
      </c>
      <c r="C12858" s="12" t="str">
        <f ca="1">IFERROR(__xludf.DUMMYFUNCTION("""COMPUTED_VALUE"""),"")</f>
        <v/>
      </c>
      <c r="D12858" s="12" t="str">
        <f ca="1">IFERROR(__xludf.DUMMYFUNCTION("""COMPUTED_VALUE"""),"")</f>
        <v/>
      </c>
    </row>
    <row r="12859" spans="2:4" ht="13">
      <c r="B12859" s="12" t="str">
        <f ca="1">IFERROR(__xludf.DUMMYFUNCTION("""COMPUTED_VALUE"""),"")</f>
        <v/>
      </c>
      <c r="C12859" s="12" t="str">
        <f ca="1">IFERROR(__xludf.DUMMYFUNCTION("""COMPUTED_VALUE"""),"")</f>
        <v/>
      </c>
      <c r="D12859" s="12" t="str">
        <f ca="1">IFERROR(__xludf.DUMMYFUNCTION("""COMPUTED_VALUE"""),"")</f>
        <v/>
      </c>
    </row>
    <row r="12860" spans="2:4" ht="13">
      <c r="B12860" s="12" t="str">
        <f ca="1">IFERROR(__xludf.DUMMYFUNCTION("""COMPUTED_VALUE"""),"")</f>
        <v/>
      </c>
      <c r="C12860" s="12" t="str">
        <f ca="1">IFERROR(__xludf.DUMMYFUNCTION("""COMPUTED_VALUE"""),"")</f>
        <v/>
      </c>
      <c r="D12860" s="12" t="str">
        <f ca="1">IFERROR(__xludf.DUMMYFUNCTION("""COMPUTED_VALUE"""),"")</f>
        <v/>
      </c>
    </row>
    <row r="12861" spans="2:4" ht="13">
      <c r="B12861" s="12" t="str">
        <f ca="1">IFERROR(__xludf.DUMMYFUNCTION("""COMPUTED_VALUE"""),"")</f>
        <v/>
      </c>
      <c r="C12861" s="12" t="str">
        <f ca="1">IFERROR(__xludf.DUMMYFUNCTION("""COMPUTED_VALUE"""),"")</f>
        <v/>
      </c>
      <c r="D12861" s="12" t="str">
        <f ca="1">IFERROR(__xludf.DUMMYFUNCTION("""COMPUTED_VALUE"""),"")</f>
        <v/>
      </c>
    </row>
    <row r="12862" spans="2:4" ht="13">
      <c r="B12862" s="12" t="str">
        <f ca="1">IFERROR(__xludf.DUMMYFUNCTION("""COMPUTED_VALUE"""),"")</f>
        <v/>
      </c>
      <c r="C12862" s="12" t="str">
        <f ca="1">IFERROR(__xludf.DUMMYFUNCTION("""COMPUTED_VALUE"""),"")</f>
        <v/>
      </c>
      <c r="D12862" s="12" t="str">
        <f ca="1">IFERROR(__xludf.DUMMYFUNCTION("""COMPUTED_VALUE"""),"")</f>
        <v/>
      </c>
    </row>
    <row r="12863" spans="2:4" ht="13">
      <c r="B12863" s="12" t="str">
        <f ca="1">IFERROR(__xludf.DUMMYFUNCTION("""COMPUTED_VALUE"""),"")</f>
        <v/>
      </c>
      <c r="C12863" s="12" t="str">
        <f ca="1">IFERROR(__xludf.DUMMYFUNCTION("""COMPUTED_VALUE"""),"")</f>
        <v/>
      </c>
      <c r="D12863" s="12" t="str">
        <f ca="1">IFERROR(__xludf.DUMMYFUNCTION("""COMPUTED_VALUE"""),"")</f>
        <v/>
      </c>
    </row>
    <row r="12864" spans="2:4" ht="13">
      <c r="B12864" s="12" t="str">
        <f ca="1">IFERROR(__xludf.DUMMYFUNCTION("""COMPUTED_VALUE"""),"")</f>
        <v/>
      </c>
      <c r="C12864" s="12" t="str">
        <f ca="1">IFERROR(__xludf.DUMMYFUNCTION("""COMPUTED_VALUE"""),"")</f>
        <v/>
      </c>
      <c r="D12864" s="12" t="str">
        <f ca="1">IFERROR(__xludf.DUMMYFUNCTION("""COMPUTED_VALUE"""),"")</f>
        <v/>
      </c>
    </row>
    <row r="12865" spans="2:4" ht="13">
      <c r="B12865" s="12" t="str">
        <f ca="1">IFERROR(__xludf.DUMMYFUNCTION("""COMPUTED_VALUE"""),"")</f>
        <v/>
      </c>
      <c r="C12865" s="12" t="str">
        <f ca="1">IFERROR(__xludf.DUMMYFUNCTION("""COMPUTED_VALUE"""),"")</f>
        <v/>
      </c>
      <c r="D12865" s="12" t="str">
        <f ca="1">IFERROR(__xludf.DUMMYFUNCTION("""COMPUTED_VALUE"""),"")</f>
        <v/>
      </c>
    </row>
    <row r="12866" spans="2:4" ht="13">
      <c r="B12866" s="12" t="str">
        <f ca="1">IFERROR(__xludf.DUMMYFUNCTION("""COMPUTED_VALUE"""),"")</f>
        <v/>
      </c>
      <c r="C12866" s="12" t="str">
        <f ca="1">IFERROR(__xludf.DUMMYFUNCTION("""COMPUTED_VALUE"""),"")</f>
        <v/>
      </c>
      <c r="D12866" s="12" t="str">
        <f ca="1">IFERROR(__xludf.DUMMYFUNCTION("""COMPUTED_VALUE"""),"")</f>
        <v/>
      </c>
    </row>
    <row r="12867" spans="2:4" ht="13">
      <c r="B12867" s="12" t="str">
        <f ca="1">IFERROR(__xludf.DUMMYFUNCTION("""COMPUTED_VALUE"""),"")</f>
        <v/>
      </c>
      <c r="C12867" s="12" t="str">
        <f ca="1">IFERROR(__xludf.DUMMYFUNCTION("""COMPUTED_VALUE"""),"")</f>
        <v/>
      </c>
      <c r="D12867" s="12" t="str">
        <f ca="1">IFERROR(__xludf.DUMMYFUNCTION("""COMPUTED_VALUE"""),"")</f>
        <v/>
      </c>
    </row>
    <row r="12868" spans="2:4" ht="13">
      <c r="B12868" s="12" t="str">
        <f ca="1">IFERROR(__xludf.DUMMYFUNCTION("""COMPUTED_VALUE"""),"")</f>
        <v/>
      </c>
      <c r="C12868" s="12" t="str">
        <f ca="1">IFERROR(__xludf.DUMMYFUNCTION("""COMPUTED_VALUE"""),"")</f>
        <v/>
      </c>
      <c r="D12868" s="12" t="str">
        <f ca="1">IFERROR(__xludf.DUMMYFUNCTION("""COMPUTED_VALUE"""),"")</f>
        <v/>
      </c>
    </row>
    <row r="12869" spans="2:4" ht="13">
      <c r="B12869" s="12" t="str">
        <f ca="1">IFERROR(__xludf.DUMMYFUNCTION("""COMPUTED_VALUE"""),"")</f>
        <v/>
      </c>
      <c r="C12869" s="12" t="str">
        <f ca="1">IFERROR(__xludf.DUMMYFUNCTION("""COMPUTED_VALUE"""),"")</f>
        <v/>
      </c>
      <c r="D12869" s="12" t="str">
        <f ca="1">IFERROR(__xludf.DUMMYFUNCTION("""COMPUTED_VALUE"""),"")</f>
        <v/>
      </c>
    </row>
    <row r="12870" spans="2:4" ht="13">
      <c r="B12870" s="12" t="str">
        <f ca="1">IFERROR(__xludf.DUMMYFUNCTION("""COMPUTED_VALUE"""),"")</f>
        <v/>
      </c>
      <c r="C12870" s="12" t="str">
        <f ca="1">IFERROR(__xludf.DUMMYFUNCTION("""COMPUTED_VALUE"""),"")</f>
        <v/>
      </c>
      <c r="D12870" s="12" t="str">
        <f ca="1">IFERROR(__xludf.DUMMYFUNCTION("""COMPUTED_VALUE"""),"")</f>
        <v/>
      </c>
    </row>
    <row r="12871" spans="2:4" ht="13">
      <c r="B12871" s="12" t="str">
        <f ca="1">IFERROR(__xludf.DUMMYFUNCTION("""COMPUTED_VALUE"""),"")</f>
        <v/>
      </c>
      <c r="C12871" s="12" t="str">
        <f ca="1">IFERROR(__xludf.DUMMYFUNCTION("""COMPUTED_VALUE"""),"")</f>
        <v/>
      </c>
      <c r="D12871" s="12" t="str">
        <f ca="1">IFERROR(__xludf.DUMMYFUNCTION("""COMPUTED_VALUE"""),"")</f>
        <v/>
      </c>
    </row>
    <row r="12872" spans="2:4" ht="13">
      <c r="B12872" s="12" t="str">
        <f ca="1">IFERROR(__xludf.DUMMYFUNCTION("""COMPUTED_VALUE"""),"")</f>
        <v/>
      </c>
      <c r="C12872" s="12" t="str">
        <f ca="1">IFERROR(__xludf.DUMMYFUNCTION("""COMPUTED_VALUE"""),"")</f>
        <v/>
      </c>
      <c r="D12872" s="12" t="str">
        <f ca="1">IFERROR(__xludf.DUMMYFUNCTION("""COMPUTED_VALUE"""),"")</f>
        <v/>
      </c>
    </row>
    <row r="12873" spans="2:4" ht="13">
      <c r="B12873" s="12" t="str">
        <f ca="1">IFERROR(__xludf.DUMMYFUNCTION("""COMPUTED_VALUE"""),"")</f>
        <v/>
      </c>
      <c r="C12873" s="12" t="str">
        <f ca="1">IFERROR(__xludf.DUMMYFUNCTION("""COMPUTED_VALUE"""),"")</f>
        <v/>
      </c>
      <c r="D12873" s="12" t="str">
        <f ca="1">IFERROR(__xludf.DUMMYFUNCTION("""COMPUTED_VALUE"""),"")</f>
        <v/>
      </c>
    </row>
    <row r="12874" spans="2:4" ht="13">
      <c r="B12874" s="12" t="str">
        <f ca="1">IFERROR(__xludf.DUMMYFUNCTION("""COMPUTED_VALUE"""),"")</f>
        <v/>
      </c>
      <c r="C12874" s="12" t="str">
        <f ca="1">IFERROR(__xludf.DUMMYFUNCTION("""COMPUTED_VALUE"""),"")</f>
        <v/>
      </c>
      <c r="D12874" s="12" t="str">
        <f ca="1">IFERROR(__xludf.DUMMYFUNCTION("""COMPUTED_VALUE"""),"")</f>
        <v/>
      </c>
    </row>
    <row r="12875" spans="2:4" ht="13">
      <c r="B12875" s="12" t="str">
        <f ca="1">IFERROR(__xludf.DUMMYFUNCTION("""COMPUTED_VALUE"""),"")</f>
        <v/>
      </c>
      <c r="C12875" s="12" t="str">
        <f ca="1">IFERROR(__xludf.DUMMYFUNCTION("""COMPUTED_VALUE"""),"")</f>
        <v/>
      </c>
      <c r="D12875" s="12" t="str">
        <f ca="1">IFERROR(__xludf.DUMMYFUNCTION("""COMPUTED_VALUE"""),"")</f>
        <v/>
      </c>
    </row>
    <row r="12876" spans="2:4" ht="13">
      <c r="B12876" s="12" t="str">
        <f ca="1">IFERROR(__xludf.DUMMYFUNCTION("""COMPUTED_VALUE"""),"")</f>
        <v/>
      </c>
      <c r="C12876" s="12" t="str">
        <f ca="1">IFERROR(__xludf.DUMMYFUNCTION("""COMPUTED_VALUE"""),"")</f>
        <v/>
      </c>
      <c r="D12876" s="12" t="str">
        <f ca="1">IFERROR(__xludf.DUMMYFUNCTION("""COMPUTED_VALUE"""),"")</f>
        <v/>
      </c>
    </row>
    <row r="12877" spans="2:4" ht="13">
      <c r="B12877" s="12" t="str">
        <f ca="1">IFERROR(__xludf.DUMMYFUNCTION("""COMPUTED_VALUE"""),"")</f>
        <v/>
      </c>
      <c r="C12877" s="12" t="str">
        <f ca="1">IFERROR(__xludf.DUMMYFUNCTION("""COMPUTED_VALUE"""),"")</f>
        <v/>
      </c>
      <c r="D12877" s="12" t="str">
        <f ca="1">IFERROR(__xludf.DUMMYFUNCTION("""COMPUTED_VALUE"""),"")</f>
        <v/>
      </c>
    </row>
    <row r="12878" spans="2:4" ht="13">
      <c r="B12878" s="12" t="str">
        <f ca="1">IFERROR(__xludf.DUMMYFUNCTION("""COMPUTED_VALUE"""),"")</f>
        <v/>
      </c>
      <c r="C12878" s="12" t="str">
        <f ca="1">IFERROR(__xludf.DUMMYFUNCTION("""COMPUTED_VALUE"""),"")</f>
        <v/>
      </c>
      <c r="D12878" s="12" t="str">
        <f ca="1">IFERROR(__xludf.DUMMYFUNCTION("""COMPUTED_VALUE"""),"")</f>
        <v/>
      </c>
    </row>
    <row r="12879" spans="2:4" ht="13">
      <c r="B12879" s="12" t="str">
        <f ca="1">IFERROR(__xludf.DUMMYFUNCTION("""COMPUTED_VALUE"""),"")</f>
        <v/>
      </c>
      <c r="C12879" s="12" t="str">
        <f ca="1">IFERROR(__xludf.DUMMYFUNCTION("""COMPUTED_VALUE"""),"")</f>
        <v/>
      </c>
      <c r="D12879" s="12" t="str">
        <f ca="1">IFERROR(__xludf.DUMMYFUNCTION("""COMPUTED_VALUE"""),"")</f>
        <v/>
      </c>
    </row>
    <row r="12880" spans="2:4" ht="13">
      <c r="B12880" s="12" t="str">
        <f ca="1">IFERROR(__xludf.DUMMYFUNCTION("""COMPUTED_VALUE"""),"")</f>
        <v/>
      </c>
      <c r="C12880" s="12" t="str">
        <f ca="1">IFERROR(__xludf.DUMMYFUNCTION("""COMPUTED_VALUE"""),"")</f>
        <v/>
      </c>
      <c r="D12880" s="12" t="str">
        <f ca="1">IFERROR(__xludf.DUMMYFUNCTION("""COMPUTED_VALUE"""),"")</f>
        <v/>
      </c>
    </row>
    <row r="12881" spans="2:4" ht="13">
      <c r="B12881" s="12" t="str">
        <f ca="1">IFERROR(__xludf.DUMMYFUNCTION("""COMPUTED_VALUE"""),"")</f>
        <v/>
      </c>
      <c r="C12881" s="12" t="str">
        <f ca="1">IFERROR(__xludf.DUMMYFUNCTION("""COMPUTED_VALUE"""),"")</f>
        <v/>
      </c>
      <c r="D12881" s="12" t="str">
        <f ca="1">IFERROR(__xludf.DUMMYFUNCTION("""COMPUTED_VALUE"""),"")</f>
        <v/>
      </c>
    </row>
    <row r="12882" spans="2:4" ht="13">
      <c r="B12882" s="12" t="str">
        <f ca="1">IFERROR(__xludf.DUMMYFUNCTION("""COMPUTED_VALUE"""),"")</f>
        <v/>
      </c>
      <c r="C12882" s="12" t="str">
        <f ca="1">IFERROR(__xludf.DUMMYFUNCTION("""COMPUTED_VALUE"""),"")</f>
        <v/>
      </c>
      <c r="D12882" s="12" t="str">
        <f ca="1">IFERROR(__xludf.DUMMYFUNCTION("""COMPUTED_VALUE"""),"")</f>
        <v/>
      </c>
    </row>
    <row r="12883" spans="2:4" ht="13">
      <c r="B12883" s="12" t="str">
        <f ca="1">IFERROR(__xludf.DUMMYFUNCTION("""COMPUTED_VALUE"""),"")</f>
        <v/>
      </c>
      <c r="C12883" s="12" t="str">
        <f ca="1">IFERROR(__xludf.DUMMYFUNCTION("""COMPUTED_VALUE"""),"")</f>
        <v/>
      </c>
      <c r="D12883" s="12" t="str">
        <f ca="1">IFERROR(__xludf.DUMMYFUNCTION("""COMPUTED_VALUE"""),"")</f>
        <v/>
      </c>
    </row>
    <row r="12884" spans="2:4" ht="13">
      <c r="B12884" s="12" t="str">
        <f ca="1">IFERROR(__xludf.DUMMYFUNCTION("""COMPUTED_VALUE"""),"")</f>
        <v/>
      </c>
      <c r="C12884" s="12" t="str">
        <f ca="1">IFERROR(__xludf.DUMMYFUNCTION("""COMPUTED_VALUE"""),"")</f>
        <v/>
      </c>
      <c r="D12884" s="12" t="str">
        <f ca="1">IFERROR(__xludf.DUMMYFUNCTION("""COMPUTED_VALUE"""),"")</f>
        <v/>
      </c>
    </row>
    <row r="12885" spans="2:4" ht="13">
      <c r="B12885" s="12" t="str">
        <f ca="1">IFERROR(__xludf.DUMMYFUNCTION("""COMPUTED_VALUE"""),"")</f>
        <v/>
      </c>
      <c r="C12885" s="12" t="str">
        <f ca="1">IFERROR(__xludf.DUMMYFUNCTION("""COMPUTED_VALUE"""),"")</f>
        <v/>
      </c>
      <c r="D12885" s="12" t="str">
        <f ca="1">IFERROR(__xludf.DUMMYFUNCTION("""COMPUTED_VALUE"""),"")</f>
        <v/>
      </c>
    </row>
    <row r="12886" spans="2:4" ht="13">
      <c r="B12886" s="12" t="str">
        <f ca="1">IFERROR(__xludf.DUMMYFUNCTION("""COMPUTED_VALUE"""),"")</f>
        <v/>
      </c>
      <c r="C12886" s="12" t="str">
        <f ca="1">IFERROR(__xludf.DUMMYFUNCTION("""COMPUTED_VALUE"""),"")</f>
        <v/>
      </c>
      <c r="D12886" s="12" t="str">
        <f ca="1">IFERROR(__xludf.DUMMYFUNCTION("""COMPUTED_VALUE"""),"")</f>
        <v/>
      </c>
    </row>
    <row r="12887" spans="2:4" ht="13">
      <c r="B12887" s="12" t="str">
        <f ca="1">IFERROR(__xludf.DUMMYFUNCTION("""COMPUTED_VALUE"""),"")</f>
        <v/>
      </c>
      <c r="C12887" s="12" t="str">
        <f ca="1">IFERROR(__xludf.DUMMYFUNCTION("""COMPUTED_VALUE"""),"")</f>
        <v/>
      </c>
      <c r="D12887" s="12" t="str">
        <f ca="1">IFERROR(__xludf.DUMMYFUNCTION("""COMPUTED_VALUE"""),"")</f>
        <v/>
      </c>
    </row>
    <row r="12888" spans="2:4" ht="13">
      <c r="B12888" s="12" t="str">
        <f ca="1">IFERROR(__xludf.DUMMYFUNCTION("""COMPUTED_VALUE"""),"")</f>
        <v/>
      </c>
      <c r="C12888" s="12" t="str">
        <f ca="1">IFERROR(__xludf.DUMMYFUNCTION("""COMPUTED_VALUE"""),"")</f>
        <v/>
      </c>
      <c r="D12888" s="12" t="str">
        <f ca="1">IFERROR(__xludf.DUMMYFUNCTION("""COMPUTED_VALUE"""),"")</f>
        <v/>
      </c>
    </row>
    <row r="12889" spans="2:4" ht="13">
      <c r="B12889" s="12" t="str">
        <f ca="1">IFERROR(__xludf.DUMMYFUNCTION("""COMPUTED_VALUE"""),"")</f>
        <v/>
      </c>
      <c r="C12889" s="12" t="str">
        <f ca="1">IFERROR(__xludf.DUMMYFUNCTION("""COMPUTED_VALUE"""),"")</f>
        <v/>
      </c>
      <c r="D12889" s="12" t="str">
        <f ca="1">IFERROR(__xludf.DUMMYFUNCTION("""COMPUTED_VALUE"""),"")</f>
        <v/>
      </c>
    </row>
    <row r="12890" spans="2:4" ht="13">
      <c r="B12890" s="12" t="str">
        <f ca="1">IFERROR(__xludf.DUMMYFUNCTION("""COMPUTED_VALUE"""),"")</f>
        <v/>
      </c>
      <c r="C12890" s="12" t="str">
        <f ca="1">IFERROR(__xludf.DUMMYFUNCTION("""COMPUTED_VALUE"""),"")</f>
        <v/>
      </c>
      <c r="D12890" s="12" t="str">
        <f ca="1">IFERROR(__xludf.DUMMYFUNCTION("""COMPUTED_VALUE"""),"")</f>
        <v/>
      </c>
    </row>
    <row r="12891" spans="2:4" ht="13">
      <c r="B12891" s="12" t="str">
        <f ca="1">IFERROR(__xludf.DUMMYFUNCTION("""COMPUTED_VALUE"""),"")</f>
        <v/>
      </c>
      <c r="C12891" s="12" t="str">
        <f ca="1">IFERROR(__xludf.DUMMYFUNCTION("""COMPUTED_VALUE"""),"")</f>
        <v/>
      </c>
      <c r="D12891" s="12" t="str">
        <f ca="1">IFERROR(__xludf.DUMMYFUNCTION("""COMPUTED_VALUE"""),"")</f>
        <v/>
      </c>
    </row>
    <row r="12892" spans="2:4" ht="13">
      <c r="B12892" s="12" t="str">
        <f ca="1">IFERROR(__xludf.DUMMYFUNCTION("""COMPUTED_VALUE"""),"")</f>
        <v/>
      </c>
      <c r="C12892" s="12" t="str">
        <f ca="1">IFERROR(__xludf.DUMMYFUNCTION("""COMPUTED_VALUE"""),"")</f>
        <v/>
      </c>
      <c r="D12892" s="12" t="str">
        <f ca="1">IFERROR(__xludf.DUMMYFUNCTION("""COMPUTED_VALUE"""),"")</f>
        <v/>
      </c>
    </row>
    <row r="12893" spans="2:4" ht="13">
      <c r="B12893" s="12" t="str">
        <f ca="1">IFERROR(__xludf.DUMMYFUNCTION("""COMPUTED_VALUE"""),"")</f>
        <v/>
      </c>
      <c r="C12893" s="12" t="str">
        <f ca="1">IFERROR(__xludf.DUMMYFUNCTION("""COMPUTED_VALUE"""),"")</f>
        <v/>
      </c>
      <c r="D12893" s="12" t="str">
        <f ca="1">IFERROR(__xludf.DUMMYFUNCTION("""COMPUTED_VALUE"""),"")</f>
        <v/>
      </c>
    </row>
    <row r="12894" spans="2:4" ht="13">
      <c r="B12894" s="12" t="str">
        <f ca="1">IFERROR(__xludf.DUMMYFUNCTION("""COMPUTED_VALUE"""),"")</f>
        <v/>
      </c>
      <c r="C12894" s="12" t="str">
        <f ca="1">IFERROR(__xludf.DUMMYFUNCTION("""COMPUTED_VALUE"""),"")</f>
        <v/>
      </c>
      <c r="D12894" s="12" t="str">
        <f ca="1">IFERROR(__xludf.DUMMYFUNCTION("""COMPUTED_VALUE"""),"")</f>
        <v/>
      </c>
    </row>
    <row r="12895" spans="2:4" ht="13">
      <c r="B12895" s="12" t="str">
        <f ca="1">IFERROR(__xludf.DUMMYFUNCTION("""COMPUTED_VALUE"""),"")</f>
        <v/>
      </c>
      <c r="C12895" s="12" t="str">
        <f ca="1">IFERROR(__xludf.DUMMYFUNCTION("""COMPUTED_VALUE"""),"")</f>
        <v/>
      </c>
      <c r="D12895" s="12" t="str">
        <f ca="1">IFERROR(__xludf.DUMMYFUNCTION("""COMPUTED_VALUE"""),"")</f>
        <v/>
      </c>
    </row>
    <row r="12896" spans="2:4" ht="13">
      <c r="B12896" s="12" t="str">
        <f ca="1">IFERROR(__xludf.DUMMYFUNCTION("""COMPUTED_VALUE"""),"")</f>
        <v/>
      </c>
      <c r="C12896" s="12" t="str">
        <f ca="1">IFERROR(__xludf.DUMMYFUNCTION("""COMPUTED_VALUE"""),"")</f>
        <v/>
      </c>
      <c r="D12896" s="12" t="str">
        <f ca="1">IFERROR(__xludf.DUMMYFUNCTION("""COMPUTED_VALUE"""),"")</f>
        <v/>
      </c>
    </row>
    <row r="12897" spans="2:4" ht="13">
      <c r="B12897" s="12" t="str">
        <f ca="1">IFERROR(__xludf.DUMMYFUNCTION("""COMPUTED_VALUE"""),"")</f>
        <v/>
      </c>
      <c r="C12897" s="12" t="str">
        <f ca="1">IFERROR(__xludf.DUMMYFUNCTION("""COMPUTED_VALUE"""),"")</f>
        <v/>
      </c>
      <c r="D12897" s="12" t="str">
        <f ca="1">IFERROR(__xludf.DUMMYFUNCTION("""COMPUTED_VALUE"""),"")</f>
        <v/>
      </c>
    </row>
    <row r="12898" spans="2:4" ht="13">
      <c r="B12898" s="12" t="str">
        <f ca="1">IFERROR(__xludf.DUMMYFUNCTION("""COMPUTED_VALUE"""),"")</f>
        <v/>
      </c>
      <c r="C12898" s="12" t="str">
        <f ca="1">IFERROR(__xludf.DUMMYFUNCTION("""COMPUTED_VALUE"""),"")</f>
        <v/>
      </c>
      <c r="D12898" s="12" t="str">
        <f ca="1">IFERROR(__xludf.DUMMYFUNCTION("""COMPUTED_VALUE"""),"")</f>
        <v/>
      </c>
    </row>
    <row r="12899" spans="2:4" ht="13">
      <c r="B12899" s="12" t="str">
        <f ca="1">IFERROR(__xludf.DUMMYFUNCTION("""COMPUTED_VALUE"""),"")</f>
        <v/>
      </c>
      <c r="C12899" s="12" t="str">
        <f ca="1">IFERROR(__xludf.DUMMYFUNCTION("""COMPUTED_VALUE"""),"")</f>
        <v/>
      </c>
      <c r="D12899" s="12" t="str">
        <f ca="1">IFERROR(__xludf.DUMMYFUNCTION("""COMPUTED_VALUE"""),"")</f>
        <v/>
      </c>
    </row>
    <row r="12900" spans="2:4" ht="13">
      <c r="B12900" s="12" t="str">
        <f ca="1">IFERROR(__xludf.DUMMYFUNCTION("""COMPUTED_VALUE"""),"")</f>
        <v/>
      </c>
      <c r="C12900" s="12" t="str">
        <f ca="1">IFERROR(__xludf.DUMMYFUNCTION("""COMPUTED_VALUE"""),"")</f>
        <v/>
      </c>
      <c r="D12900" s="12" t="str">
        <f ca="1">IFERROR(__xludf.DUMMYFUNCTION("""COMPUTED_VALUE"""),"")</f>
        <v/>
      </c>
    </row>
    <row r="12901" spans="2:4" ht="13">
      <c r="B12901" s="12" t="str">
        <f ca="1">IFERROR(__xludf.DUMMYFUNCTION("""COMPUTED_VALUE"""),"")</f>
        <v/>
      </c>
      <c r="C12901" s="12" t="str">
        <f ca="1">IFERROR(__xludf.DUMMYFUNCTION("""COMPUTED_VALUE"""),"")</f>
        <v/>
      </c>
      <c r="D12901" s="12" t="str">
        <f ca="1">IFERROR(__xludf.DUMMYFUNCTION("""COMPUTED_VALUE"""),"")</f>
        <v/>
      </c>
    </row>
    <row r="12902" spans="2:4" ht="13">
      <c r="B12902" s="12" t="str">
        <f ca="1">IFERROR(__xludf.DUMMYFUNCTION("""COMPUTED_VALUE"""),"")</f>
        <v/>
      </c>
      <c r="C12902" s="12" t="str">
        <f ca="1">IFERROR(__xludf.DUMMYFUNCTION("""COMPUTED_VALUE"""),"")</f>
        <v/>
      </c>
      <c r="D12902" s="12" t="str">
        <f ca="1">IFERROR(__xludf.DUMMYFUNCTION("""COMPUTED_VALUE"""),"")</f>
        <v/>
      </c>
    </row>
    <row r="12903" spans="2:4" ht="13">
      <c r="B12903" s="12" t="str">
        <f ca="1">IFERROR(__xludf.DUMMYFUNCTION("""COMPUTED_VALUE"""),"")</f>
        <v/>
      </c>
      <c r="C12903" s="12" t="str">
        <f ca="1">IFERROR(__xludf.DUMMYFUNCTION("""COMPUTED_VALUE"""),"")</f>
        <v/>
      </c>
      <c r="D12903" s="12" t="str">
        <f ca="1">IFERROR(__xludf.DUMMYFUNCTION("""COMPUTED_VALUE"""),"")</f>
        <v/>
      </c>
    </row>
    <row r="12904" spans="2:4" ht="13">
      <c r="B12904" s="12" t="str">
        <f ca="1">IFERROR(__xludf.DUMMYFUNCTION("""COMPUTED_VALUE"""),"")</f>
        <v/>
      </c>
      <c r="C12904" s="12" t="str">
        <f ca="1">IFERROR(__xludf.DUMMYFUNCTION("""COMPUTED_VALUE"""),"")</f>
        <v/>
      </c>
      <c r="D12904" s="12" t="str">
        <f ca="1">IFERROR(__xludf.DUMMYFUNCTION("""COMPUTED_VALUE"""),"")</f>
        <v/>
      </c>
    </row>
    <row r="12905" spans="2:4" ht="13">
      <c r="B12905" s="12" t="str">
        <f ca="1">IFERROR(__xludf.DUMMYFUNCTION("""COMPUTED_VALUE"""),"")</f>
        <v/>
      </c>
      <c r="C12905" s="12" t="str">
        <f ca="1">IFERROR(__xludf.DUMMYFUNCTION("""COMPUTED_VALUE"""),"")</f>
        <v/>
      </c>
      <c r="D12905" s="12" t="str">
        <f ca="1">IFERROR(__xludf.DUMMYFUNCTION("""COMPUTED_VALUE"""),"")</f>
        <v/>
      </c>
    </row>
    <row r="12906" spans="2:4" ht="13">
      <c r="B12906" s="12" t="str">
        <f ca="1">IFERROR(__xludf.DUMMYFUNCTION("""COMPUTED_VALUE"""),"")</f>
        <v/>
      </c>
      <c r="C12906" s="12" t="str">
        <f ca="1">IFERROR(__xludf.DUMMYFUNCTION("""COMPUTED_VALUE"""),"")</f>
        <v/>
      </c>
      <c r="D12906" s="12" t="str">
        <f ca="1">IFERROR(__xludf.DUMMYFUNCTION("""COMPUTED_VALUE"""),"")</f>
        <v/>
      </c>
    </row>
    <row r="12907" spans="2:4" ht="13">
      <c r="B12907" s="12" t="str">
        <f ca="1">IFERROR(__xludf.DUMMYFUNCTION("""COMPUTED_VALUE"""),"")</f>
        <v/>
      </c>
      <c r="C12907" s="12" t="str">
        <f ca="1">IFERROR(__xludf.DUMMYFUNCTION("""COMPUTED_VALUE"""),"")</f>
        <v/>
      </c>
      <c r="D12907" s="12" t="str">
        <f ca="1">IFERROR(__xludf.DUMMYFUNCTION("""COMPUTED_VALUE"""),"")</f>
        <v/>
      </c>
    </row>
    <row r="12908" spans="2:4" ht="13">
      <c r="B12908" s="12" t="str">
        <f ca="1">IFERROR(__xludf.DUMMYFUNCTION("""COMPUTED_VALUE"""),"")</f>
        <v/>
      </c>
      <c r="C12908" s="12" t="str">
        <f ca="1">IFERROR(__xludf.DUMMYFUNCTION("""COMPUTED_VALUE"""),"")</f>
        <v/>
      </c>
      <c r="D12908" s="12" t="str">
        <f ca="1">IFERROR(__xludf.DUMMYFUNCTION("""COMPUTED_VALUE"""),"")</f>
        <v/>
      </c>
    </row>
    <row r="12909" spans="2:4" ht="13">
      <c r="B12909" s="12" t="str">
        <f ca="1">IFERROR(__xludf.DUMMYFUNCTION("""COMPUTED_VALUE"""),"")</f>
        <v/>
      </c>
      <c r="C12909" s="12" t="str">
        <f ca="1">IFERROR(__xludf.DUMMYFUNCTION("""COMPUTED_VALUE"""),"")</f>
        <v/>
      </c>
      <c r="D12909" s="12" t="str">
        <f ca="1">IFERROR(__xludf.DUMMYFUNCTION("""COMPUTED_VALUE"""),"")</f>
        <v/>
      </c>
    </row>
    <row r="12910" spans="2:4" ht="13">
      <c r="B12910" s="12" t="str">
        <f ca="1">IFERROR(__xludf.DUMMYFUNCTION("""COMPUTED_VALUE"""),"")</f>
        <v/>
      </c>
      <c r="C12910" s="12" t="str">
        <f ca="1">IFERROR(__xludf.DUMMYFUNCTION("""COMPUTED_VALUE"""),"")</f>
        <v/>
      </c>
      <c r="D12910" s="12" t="str">
        <f ca="1">IFERROR(__xludf.DUMMYFUNCTION("""COMPUTED_VALUE"""),"")</f>
        <v/>
      </c>
    </row>
    <row r="12911" spans="2:4" ht="13">
      <c r="B12911" s="12" t="str">
        <f ca="1">IFERROR(__xludf.DUMMYFUNCTION("""COMPUTED_VALUE"""),"")</f>
        <v/>
      </c>
      <c r="C12911" s="12" t="str">
        <f ca="1">IFERROR(__xludf.DUMMYFUNCTION("""COMPUTED_VALUE"""),"")</f>
        <v/>
      </c>
      <c r="D12911" s="12" t="str">
        <f ca="1">IFERROR(__xludf.DUMMYFUNCTION("""COMPUTED_VALUE"""),"")</f>
        <v/>
      </c>
    </row>
    <row r="12912" spans="2:4" ht="13">
      <c r="B12912" s="12" t="str">
        <f ca="1">IFERROR(__xludf.DUMMYFUNCTION("""COMPUTED_VALUE"""),"")</f>
        <v/>
      </c>
      <c r="C12912" s="12" t="str">
        <f ca="1">IFERROR(__xludf.DUMMYFUNCTION("""COMPUTED_VALUE"""),"")</f>
        <v/>
      </c>
      <c r="D12912" s="12" t="str">
        <f ca="1">IFERROR(__xludf.DUMMYFUNCTION("""COMPUTED_VALUE"""),"")</f>
        <v/>
      </c>
    </row>
    <row r="12913" spans="2:4" ht="13">
      <c r="B12913" s="12" t="str">
        <f ca="1">IFERROR(__xludf.DUMMYFUNCTION("""COMPUTED_VALUE"""),"")</f>
        <v/>
      </c>
      <c r="C12913" s="12" t="str">
        <f ca="1">IFERROR(__xludf.DUMMYFUNCTION("""COMPUTED_VALUE"""),"")</f>
        <v/>
      </c>
      <c r="D12913" s="12" t="str">
        <f ca="1">IFERROR(__xludf.DUMMYFUNCTION("""COMPUTED_VALUE"""),"")</f>
        <v/>
      </c>
    </row>
    <row r="12914" spans="2:4" ht="13">
      <c r="B12914" s="12" t="str">
        <f ca="1">IFERROR(__xludf.DUMMYFUNCTION("""COMPUTED_VALUE"""),"")</f>
        <v/>
      </c>
      <c r="C12914" s="12" t="str">
        <f ca="1">IFERROR(__xludf.DUMMYFUNCTION("""COMPUTED_VALUE"""),"")</f>
        <v/>
      </c>
      <c r="D12914" s="12" t="str">
        <f ca="1">IFERROR(__xludf.DUMMYFUNCTION("""COMPUTED_VALUE"""),"")</f>
        <v/>
      </c>
    </row>
    <row r="12915" spans="2:4" ht="13">
      <c r="B12915" s="12" t="str">
        <f ca="1">IFERROR(__xludf.DUMMYFUNCTION("""COMPUTED_VALUE"""),"")</f>
        <v/>
      </c>
      <c r="C12915" s="12" t="str">
        <f ca="1">IFERROR(__xludf.DUMMYFUNCTION("""COMPUTED_VALUE"""),"")</f>
        <v/>
      </c>
      <c r="D12915" s="12" t="str">
        <f ca="1">IFERROR(__xludf.DUMMYFUNCTION("""COMPUTED_VALUE"""),"")</f>
        <v/>
      </c>
    </row>
    <row r="12916" spans="2:4" ht="13">
      <c r="B12916" s="12" t="str">
        <f ca="1">IFERROR(__xludf.DUMMYFUNCTION("""COMPUTED_VALUE"""),"")</f>
        <v/>
      </c>
      <c r="C12916" s="12" t="str">
        <f ca="1">IFERROR(__xludf.DUMMYFUNCTION("""COMPUTED_VALUE"""),"")</f>
        <v/>
      </c>
      <c r="D12916" s="12" t="str">
        <f ca="1">IFERROR(__xludf.DUMMYFUNCTION("""COMPUTED_VALUE"""),"")</f>
        <v/>
      </c>
    </row>
    <row r="12917" spans="2:4" ht="13">
      <c r="B12917" s="12" t="str">
        <f ca="1">IFERROR(__xludf.DUMMYFUNCTION("""COMPUTED_VALUE"""),"")</f>
        <v/>
      </c>
      <c r="C12917" s="12" t="str">
        <f ca="1">IFERROR(__xludf.DUMMYFUNCTION("""COMPUTED_VALUE"""),"")</f>
        <v/>
      </c>
      <c r="D12917" s="12" t="str">
        <f ca="1">IFERROR(__xludf.DUMMYFUNCTION("""COMPUTED_VALUE"""),"")</f>
        <v/>
      </c>
    </row>
    <row r="12918" spans="2:4" ht="13">
      <c r="B12918" s="12" t="str">
        <f ca="1">IFERROR(__xludf.DUMMYFUNCTION("""COMPUTED_VALUE"""),"")</f>
        <v/>
      </c>
      <c r="C12918" s="12" t="str">
        <f ca="1">IFERROR(__xludf.DUMMYFUNCTION("""COMPUTED_VALUE"""),"")</f>
        <v/>
      </c>
      <c r="D12918" s="12" t="str">
        <f ca="1">IFERROR(__xludf.DUMMYFUNCTION("""COMPUTED_VALUE"""),"")</f>
        <v/>
      </c>
    </row>
    <row r="12919" spans="2:4" ht="13">
      <c r="B12919" s="12" t="str">
        <f ca="1">IFERROR(__xludf.DUMMYFUNCTION("""COMPUTED_VALUE"""),"")</f>
        <v/>
      </c>
      <c r="C12919" s="12" t="str">
        <f ca="1">IFERROR(__xludf.DUMMYFUNCTION("""COMPUTED_VALUE"""),"")</f>
        <v/>
      </c>
      <c r="D12919" s="12" t="str">
        <f ca="1">IFERROR(__xludf.DUMMYFUNCTION("""COMPUTED_VALUE"""),"")</f>
        <v/>
      </c>
    </row>
    <row r="12920" spans="2:4" ht="13">
      <c r="B12920" s="12" t="str">
        <f ca="1">IFERROR(__xludf.DUMMYFUNCTION("""COMPUTED_VALUE"""),"")</f>
        <v/>
      </c>
      <c r="C12920" s="12" t="str">
        <f ca="1">IFERROR(__xludf.DUMMYFUNCTION("""COMPUTED_VALUE"""),"")</f>
        <v/>
      </c>
      <c r="D12920" s="12" t="str">
        <f ca="1">IFERROR(__xludf.DUMMYFUNCTION("""COMPUTED_VALUE"""),"")</f>
        <v/>
      </c>
    </row>
    <row r="12921" spans="2:4" ht="13">
      <c r="B12921" s="12" t="str">
        <f ca="1">IFERROR(__xludf.DUMMYFUNCTION("""COMPUTED_VALUE"""),"")</f>
        <v/>
      </c>
      <c r="C12921" s="12" t="str">
        <f ca="1">IFERROR(__xludf.DUMMYFUNCTION("""COMPUTED_VALUE"""),"")</f>
        <v/>
      </c>
      <c r="D12921" s="12" t="str">
        <f ca="1">IFERROR(__xludf.DUMMYFUNCTION("""COMPUTED_VALUE"""),"")</f>
        <v/>
      </c>
    </row>
    <row r="12922" spans="2:4" ht="13">
      <c r="B12922" s="12" t="str">
        <f ca="1">IFERROR(__xludf.DUMMYFUNCTION("""COMPUTED_VALUE"""),"")</f>
        <v/>
      </c>
      <c r="C12922" s="12" t="str">
        <f ca="1">IFERROR(__xludf.DUMMYFUNCTION("""COMPUTED_VALUE"""),"")</f>
        <v/>
      </c>
      <c r="D12922" s="12" t="str">
        <f ca="1">IFERROR(__xludf.DUMMYFUNCTION("""COMPUTED_VALUE"""),"")</f>
        <v/>
      </c>
    </row>
    <row r="12923" spans="2:4" ht="13">
      <c r="B12923" s="12" t="str">
        <f ca="1">IFERROR(__xludf.DUMMYFUNCTION("""COMPUTED_VALUE"""),"")</f>
        <v/>
      </c>
      <c r="C12923" s="12" t="str">
        <f ca="1">IFERROR(__xludf.DUMMYFUNCTION("""COMPUTED_VALUE"""),"")</f>
        <v/>
      </c>
      <c r="D12923" s="12" t="str">
        <f ca="1">IFERROR(__xludf.DUMMYFUNCTION("""COMPUTED_VALUE"""),"")</f>
        <v/>
      </c>
    </row>
    <row r="12924" spans="2:4" ht="13">
      <c r="B12924" s="12" t="str">
        <f ca="1">IFERROR(__xludf.DUMMYFUNCTION("""COMPUTED_VALUE"""),"")</f>
        <v/>
      </c>
      <c r="C12924" s="12" t="str">
        <f ca="1">IFERROR(__xludf.DUMMYFUNCTION("""COMPUTED_VALUE"""),"")</f>
        <v/>
      </c>
      <c r="D12924" s="12" t="str">
        <f ca="1">IFERROR(__xludf.DUMMYFUNCTION("""COMPUTED_VALUE"""),"")</f>
        <v/>
      </c>
    </row>
    <row r="12925" spans="2:4" ht="13">
      <c r="B12925" s="12" t="str">
        <f ca="1">IFERROR(__xludf.DUMMYFUNCTION("""COMPUTED_VALUE"""),"")</f>
        <v/>
      </c>
      <c r="C12925" s="12" t="str">
        <f ca="1">IFERROR(__xludf.DUMMYFUNCTION("""COMPUTED_VALUE"""),"")</f>
        <v/>
      </c>
      <c r="D12925" s="12" t="str">
        <f ca="1">IFERROR(__xludf.DUMMYFUNCTION("""COMPUTED_VALUE"""),"")</f>
        <v/>
      </c>
    </row>
    <row r="12926" spans="2:4" ht="13">
      <c r="B12926" s="12" t="str">
        <f ca="1">IFERROR(__xludf.DUMMYFUNCTION("""COMPUTED_VALUE"""),"")</f>
        <v/>
      </c>
      <c r="C12926" s="12" t="str">
        <f ca="1">IFERROR(__xludf.DUMMYFUNCTION("""COMPUTED_VALUE"""),"")</f>
        <v/>
      </c>
      <c r="D12926" s="12" t="str">
        <f ca="1">IFERROR(__xludf.DUMMYFUNCTION("""COMPUTED_VALUE"""),"")</f>
        <v/>
      </c>
    </row>
    <row r="12927" spans="2:4" ht="13">
      <c r="B12927" s="12" t="str">
        <f ca="1">IFERROR(__xludf.DUMMYFUNCTION("""COMPUTED_VALUE"""),"")</f>
        <v/>
      </c>
      <c r="C12927" s="12" t="str">
        <f ca="1">IFERROR(__xludf.DUMMYFUNCTION("""COMPUTED_VALUE"""),"")</f>
        <v/>
      </c>
      <c r="D12927" s="12" t="str">
        <f ca="1">IFERROR(__xludf.DUMMYFUNCTION("""COMPUTED_VALUE"""),"")</f>
        <v/>
      </c>
    </row>
    <row r="12928" spans="2:4" ht="13">
      <c r="B12928" s="12" t="str">
        <f ca="1">IFERROR(__xludf.DUMMYFUNCTION("""COMPUTED_VALUE"""),"")</f>
        <v/>
      </c>
      <c r="C12928" s="12" t="str">
        <f ca="1">IFERROR(__xludf.DUMMYFUNCTION("""COMPUTED_VALUE"""),"")</f>
        <v/>
      </c>
      <c r="D12928" s="12" t="str">
        <f ca="1">IFERROR(__xludf.DUMMYFUNCTION("""COMPUTED_VALUE"""),"")</f>
        <v/>
      </c>
    </row>
    <row r="12929" spans="2:4" ht="13">
      <c r="B12929" s="12" t="str">
        <f ca="1">IFERROR(__xludf.DUMMYFUNCTION("""COMPUTED_VALUE"""),"")</f>
        <v/>
      </c>
      <c r="C12929" s="12" t="str">
        <f ca="1">IFERROR(__xludf.DUMMYFUNCTION("""COMPUTED_VALUE"""),"")</f>
        <v/>
      </c>
      <c r="D12929" s="12" t="str">
        <f ca="1">IFERROR(__xludf.DUMMYFUNCTION("""COMPUTED_VALUE"""),"")</f>
        <v/>
      </c>
    </row>
    <row r="12930" spans="2:4" ht="13">
      <c r="B12930" s="12" t="str">
        <f ca="1">IFERROR(__xludf.DUMMYFUNCTION("""COMPUTED_VALUE"""),"")</f>
        <v/>
      </c>
      <c r="C12930" s="12" t="str">
        <f ca="1">IFERROR(__xludf.DUMMYFUNCTION("""COMPUTED_VALUE"""),"")</f>
        <v/>
      </c>
      <c r="D12930" s="12" t="str">
        <f ca="1">IFERROR(__xludf.DUMMYFUNCTION("""COMPUTED_VALUE"""),"")</f>
        <v/>
      </c>
    </row>
    <row r="12931" spans="2:4" ht="13">
      <c r="B12931" s="12" t="str">
        <f ca="1">IFERROR(__xludf.DUMMYFUNCTION("""COMPUTED_VALUE"""),"")</f>
        <v/>
      </c>
      <c r="C12931" s="12" t="str">
        <f ca="1">IFERROR(__xludf.DUMMYFUNCTION("""COMPUTED_VALUE"""),"")</f>
        <v/>
      </c>
      <c r="D12931" s="12" t="str">
        <f ca="1">IFERROR(__xludf.DUMMYFUNCTION("""COMPUTED_VALUE"""),"")</f>
        <v/>
      </c>
    </row>
    <row r="12932" spans="2:4" ht="13">
      <c r="B12932" s="12" t="str">
        <f ca="1">IFERROR(__xludf.DUMMYFUNCTION("""COMPUTED_VALUE"""),"")</f>
        <v/>
      </c>
      <c r="C12932" s="12" t="str">
        <f ca="1">IFERROR(__xludf.DUMMYFUNCTION("""COMPUTED_VALUE"""),"")</f>
        <v/>
      </c>
      <c r="D12932" s="12" t="str">
        <f ca="1">IFERROR(__xludf.DUMMYFUNCTION("""COMPUTED_VALUE"""),"")</f>
        <v/>
      </c>
    </row>
    <row r="12933" spans="2:4" ht="13">
      <c r="B12933" s="12" t="str">
        <f ca="1">IFERROR(__xludf.DUMMYFUNCTION("""COMPUTED_VALUE"""),"")</f>
        <v/>
      </c>
      <c r="C12933" s="12" t="str">
        <f ca="1">IFERROR(__xludf.DUMMYFUNCTION("""COMPUTED_VALUE"""),"")</f>
        <v/>
      </c>
      <c r="D12933" s="12" t="str">
        <f ca="1">IFERROR(__xludf.DUMMYFUNCTION("""COMPUTED_VALUE"""),"")</f>
        <v/>
      </c>
    </row>
    <row r="12934" spans="2:4" ht="13">
      <c r="B12934" s="12" t="str">
        <f ca="1">IFERROR(__xludf.DUMMYFUNCTION("""COMPUTED_VALUE"""),"")</f>
        <v/>
      </c>
      <c r="C12934" s="12" t="str">
        <f ca="1">IFERROR(__xludf.DUMMYFUNCTION("""COMPUTED_VALUE"""),"")</f>
        <v/>
      </c>
      <c r="D12934" s="12" t="str">
        <f ca="1">IFERROR(__xludf.DUMMYFUNCTION("""COMPUTED_VALUE"""),"")</f>
        <v/>
      </c>
    </row>
    <row r="12935" spans="2:4" ht="13">
      <c r="B12935" s="12" t="str">
        <f ca="1">IFERROR(__xludf.DUMMYFUNCTION("""COMPUTED_VALUE"""),"")</f>
        <v/>
      </c>
      <c r="C12935" s="12" t="str">
        <f ca="1">IFERROR(__xludf.DUMMYFUNCTION("""COMPUTED_VALUE"""),"")</f>
        <v/>
      </c>
      <c r="D12935" s="12" t="str">
        <f ca="1">IFERROR(__xludf.DUMMYFUNCTION("""COMPUTED_VALUE"""),"")</f>
        <v/>
      </c>
    </row>
    <row r="12936" spans="2:4" ht="13">
      <c r="B12936" s="12" t="str">
        <f ca="1">IFERROR(__xludf.DUMMYFUNCTION("""COMPUTED_VALUE"""),"")</f>
        <v/>
      </c>
      <c r="C12936" s="12" t="str">
        <f ca="1">IFERROR(__xludf.DUMMYFUNCTION("""COMPUTED_VALUE"""),"")</f>
        <v/>
      </c>
      <c r="D12936" s="12" t="str">
        <f ca="1">IFERROR(__xludf.DUMMYFUNCTION("""COMPUTED_VALUE"""),"")</f>
        <v/>
      </c>
    </row>
    <row r="12937" spans="2:4" ht="13">
      <c r="B12937" s="12" t="str">
        <f ca="1">IFERROR(__xludf.DUMMYFUNCTION("""COMPUTED_VALUE"""),"")</f>
        <v/>
      </c>
      <c r="C12937" s="12" t="str">
        <f ca="1">IFERROR(__xludf.DUMMYFUNCTION("""COMPUTED_VALUE"""),"")</f>
        <v/>
      </c>
      <c r="D12937" s="12" t="str">
        <f ca="1">IFERROR(__xludf.DUMMYFUNCTION("""COMPUTED_VALUE"""),"")</f>
        <v/>
      </c>
    </row>
    <row r="12938" spans="2:4" ht="13">
      <c r="B12938" s="12" t="str">
        <f ca="1">IFERROR(__xludf.DUMMYFUNCTION("""COMPUTED_VALUE"""),"")</f>
        <v/>
      </c>
      <c r="C12938" s="12" t="str">
        <f ca="1">IFERROR(__xludf.DUMMYFUNCTION("""COMPUTED_VALUE"""),"")</f>
        <v/>
      </c>
      <c r="D12938" s="12" t="str">
        <f ca="1">IFERROR(__xludf.DUMMYFUNCTION("""COMPUTED_VALUE"""),"")</f>
        <v/>
      </c>
    </row>
    <row r="12939" spans="2:4" ht="13">
      <c r="B12939" s="12" t="str">
        <f ca="1">IFERROR(__xludf.DUMMYFUNCTION("""COMPUTED_VALUE"""),"")</f>
        <v/>
      </c>
      <c r="C12939" s="12" t="str">
        <f ca="1">IFERROR(__xludf.DUMMYFUNCTION("""COMPUTED_VALUE"""),"")</f>
        <v/>
      </c>
      <c r="D12939" s="12" t="str">
        <f ca="1">IFERROR(__xludf.DUMMYFUNCTION("""COMPUTED_VALUE"""),"")</f>
        <v/>
      </c>
    </row>
    <row r="12940" spans="2:4" ht="13">
      <c r="B12940" s="12" t="str">
        <f ca="1">IFERROR(__xludf.DUMMYFUNCTION("""COMPUTED_VALUE"""),"")</f>
        <v/>
      </c>
      <c r="C12940" s="12" t="str">
        <f ca="1">IFERROR(__xludf.DUMMYFUNCTION("""COMPUTED_VALUE"""),"")</f>
        <v/>
      </c>
      <c r="D12940" s="12" t="str">
        <f ca="1">IFERROR(__xludf.DUMMYFUNCTION("""COMPUTED_VALUE"""),"")</f>
        <v/>
      </c>
    </row>
    <row r="12941" spans="2:4" ht="13">
      <c r="B12941" s="12" t="str">
        <f ca="1">IFERROR(__xludf.DUMMYFUNCTION("""COMPUTED_VALUE"""),"")</f>
        <v/>
      </c>
      <c r="C12941" s="12" t="str">
        <f ca="1">IFERROR(__xludf.DUMMYFUNCTION("""COMPUTED_VALUE"""),"")</f>
        <v/>
      </c>
      <c r="D12941" s="12" t="str">
        <f ca="1">IFERROR(__xludf.DUMMYFUNCTION("""COMPUTED_VALUE"""),"")</f>
        <v/>
      </c>
    </row>
    <row r="12942" spans="2:4" ht="13">
      <c r="B12942" s="12" t="str">
        <f ca="1">IFERROR(__xludf.DUMMYFUNCTION("""COMPUTED_VALUE"""),"")</f>
        <v/>
      </c>
      <c r="C12942" s="12" t="str">
        <f ca="1">IFERROR(__xludf.DUMMYFUNCTION("""COMPUTED_VALUE"""),"")</f>
        <v/>
      </c>
      <c r="D12942" s="12" t="str">
        <f ca="1">IFERROR(__xludf.DUMMYFUNCTION("""COMPUTED_VALUE"""),"")</f>
        <v/>
      </c>
    </row>
    <row r="12943" spans="2:4" ht="13">
      <c r="B12943" s="12" t="str">
        <f ca="1">IFERROR(__xludf.DUMMYFUNCTION("""COMPUTED_VALUE"""),"")</f>
        <v/>
      </c>
      <c r="C12943" s="12" t="str">
        <f ca="1">IFERROR(__xludf.DUMMYFUNCTION("""COMPUTED_VALUE"""),"")</f>
        <v/>
      </c>
      <c r="D12943" s="12" t="str">
        <f ca="1">IFERROR(__xludf.DUMMYFUNCTION("""COMPUTED_VALUE"""),"")</f>
        <v/>
      </c>
    </row>
    <row r="12944" spans="2:4" ht="13">
      <c r="B12944" s="12" t="str">
        <f ca="1">IFERROR(__xludf.DUMMYFUNCTION("""COMPUTED_VALUE"""),"")</f>
        <v/>
      </c>
      <c r="C12944" s="12" t="str">
        <f ca="1">IFERROR(__xludf.DUMMYFUNCTION("""COMPUTED_VALUE"""),"")</f>
        <v/>
      </c>
      <c r="D12944" s="12" t="str">
        <f ca="1">IFERROR(__xludf.DUMMYFUNCTION("""COMPUTED_VALUE"""),"")</f>
        <v/>
      </c>
    </row>
    <row r="12945" spans="2:4" ht="13">
      <c r="B12945" s="12" t="str">
        <f ca="1">IFERROR(__xludf.DUMMYFUNCTION("""COMPUTED_VALUE"""),"")</f>
        <v/>
      </c>
      <c r="C12945" s="12" t="str">
        <f ca="1">IFERROR(__xludf.DUMMYFUNCTION("""COMPUTED_VALUE"""),"")</f>
        <v/>
      </c>
      <c r="D12945" s="12" t="str">
        <f ca="1">IFERROR(__xludf.DUMMYFUNCTION("""COMPUTED_VALUE"""),"")</f>
        <v/>
      </c>
    </row>
    <row r="12946" spans="2:4" ht="13">
      <c r="B12946" s="12" t="str">
        <f ca="1">IFERROR(__xludf.DUMMYFUNCTION("""COMPUTED_VALUE"""),"")</f>
        <v/>
      </c>
      <c r="C12946" s="12" t="str">
        <f ca="1">IFERROR(__xludf.DUMMYFUNCTION("""COMPUTED_VALUE"""),"")</f>
        <v/>
      </c>
      <c r="D12946" s="12" t="str">
        <f ca="1">IFERROR(__xludf.DUMMYFUNCTION("""COMPUTED_VALUE"""),"")</f>
        <v/>
      </c>
    </row>
    <row r="12947" spans="2:4" ht="13">
      <c r="B12947" s="12" t="str">
        <f ca="1">IFERROR(__xludf.DUMMYFUNCTION("""COMPUTED_VALUE"""),"")</f>
        <v/>
      </c>
      <c r="C12947" s="12" t="str">
        <f ca="1">IFERROR(__xludf.DUMMYFUNCTION("""COMPUTED_VALUE"""),"")</f>
        <v/>
      </c>
      <c r="D12947" s="12" t="str">
        <f ca="1">IFERROR(__xludf.DUMMYFUNCTION("""COMPUTED_VALUE"""),"")</f>
        <v/>
      </c>
    </row>
    <row r="12948" spans="2:4" ht="13">
      <c r="B12948" s="12" t="str">
        <f ca="1">IFERROR(__xludf.DUMMYFUNCTION("""COMPUTED_VALUE"""),"")</f>
        <v/>
      </c>
      <c r="C12948" s="12" t="str">
        <f ca="1">IFERROR(__xludf.DUMMYFUNCTION("""COMPUTED_VALUE"""),"")</f>
        <v/>
      </c>
      <c r="D12948" s="12" t="str">
        <f ca="1">IFERROR(__xludf.DUMMYFUNCTION("""COMPUTED_VALUE"""),"")</f>
        <v/>
      </c>
    </row>
    <row r="12949" spans="2:4" ht="13">
      <c r="B12949" s="12" t="str">
        <f ca="1">IFERROR(__xludf.DUMMYFUNCTION("""COMPUTED_VALUE"""),"")</f>
        <v/>
      </c>
      <c r="C12949" s="12" t="str">
        <f ca="1">IFERROR(__xludf.DUMMYFUNCTION("""COMPUTED_VALUE"""),"")</f>
        <v/>
      </c>
      <c r="D12949" s="12" t="str">
        <f ca="1">IFERROR(__xludf.DUMMYFUNCTION("""COMPUTED_VALUE"""),"")</f>
        <v/>
      </c>
    </row>
    <row r="12950" spans="2:4" ht="13">
      <c r="B12950" s="12" t="str">
        <f ca="1">IFERROR(__xludf.DUMMYFUNCTION("""COMPUTED_VALUE"""),"")</f>
        <v/>
      </c>
      <c r="C12950" s="12" t="str">
        <f ca="1">IFERROR(__xludf.DUMMYFUNCTION("""COMPUTED_VALUE"""),"")</f>
        <v/>
      </c>
      <c r="D12950" s="12" t="str">
        <f ca="1">IFERROR(__xludf.DUMMYFUNCTION("""COMPUTED_VALUE"""),"")</f>
        <v/>
      </c>
    </row>
    <row r="12951" spans="2:4" ht="13">
      <c r="B12951" s="12" t="str">
        <f ca="1">IFERROR(__xludf.DUMMYFUNCTION("""COMPUTED_VALUE"""),"")</f>
        <v/>
      </c>
      <c r="C12951" s="12" t="str">
        <f ca="1">IFERROR(__xludf.DUMMYFUNCTION("""COMPUTED_VALUE"""),"")</f>
        <v/>
      </c>
      <c r="D12951" s="12" t="str">
        <f ca="1">IFERROR(__xludf.DUMMYFUNCTION("""COMPUTED_VALUE"""),"")</f>
        <v/>
      </c>
    </row>
    <row r="12952" spans="2:4" ht="13">
      <c r="B12952" s="12" t="str">
        <f ca="1">IFERROR(__xludf.DUMMYFUNCTION("""COMPUTED_VALUE"""),"")</f>
        <v/>
      </c>
      <c r="C12952" s="12" t="str">
        <f ca="1">IFERROR(__xludf.DUMMYFUNCTION("""COMPUTED_VALUE"""),"")</f>
        <v/>
      </c>
      <c r="D12952" s="12" t="str">
        <f ca="1">IFERROR(__xludf.DUMMYFUNCTION("""COMPUTED_VALUE"""),"")</f>
        <v/>
      </c>
    </row>
    <row r="12953" spans="2:4" ht="13">
      <c r="B12953" s="12" t="str">
        <f ca="1">IFERROR(__xludf.DUMMYFUNCTION("""COMPUTED_VALUE"""),"")</f>
        <v/>
      </c>
      <c r="C12953" s="12" t="str">
        <f ca="1">IFERROR(__xludf.DUMMYFUNCTION("""COMPUTED_VALUE"""),"")</f>
        <v/>
      </c>
      <c r="D12953" s="12" t="str">
        <f ca="1">IFERROR(__xludf.DUMMYFUNCTION("""COMPUTED_VALUE"""),"")</f>
        <v/>
      </c>
    </row>
    <row r="12954" spans="2:4" ht="13">
      <c r="B12954" s="12" t="str">
        <f ca="1">IFERROR(__xludf.DUMMYFUNCTION("""COMPUTED_VALUE"""),"")</f>
        <v/>
      </c>
      <c r="C12954" s="12" t="str">
        <f ca="1">IFERROR(__xludf.DUMMYFUNCTION("""COMPUTED_VALUE"""),"")</f>
        <v/>
      </c>
      <c r="D12954" s="12" t="str">
        <f ca="1">IFERROR(__xludf.DUMMYFUNCTION("""COMPUTED_VALUE"""),"")</f>
        <v/>
      </c>
    </row>
    <row r="12955" spans="2:4" ht="13">
      <c r="B12955" s="12" t="str">
        <f ca="1">IFERROR(__xludf.DUMMYFUNCTION("""COMPUTED_VALUE"""),"")</f>
        <v/>
      </c>
      <c r="C12955" s="12" t="str">
        <f ca="1">IFERROR(__xludf.DUMMYFUNCTION("""COMPUTED_VALUE"""),"")</f>
        <v/>
      </c>
      <c r="D12955" s="12" t="str">
        <f ca="1">IFERROR(__xludf.DUMMYFUNCTION("""COMPUTED_VALUE"""),"")</f>
        <v/>
      </c>
    </row>
    <row r="12956" spans="2:4" ht="13">
      <c r="B12956" s="12" t="str">
        <f ca="1">IFERROR(__xludf.DUMMYFUNCTION("""COMPUTED_VALUE"""),"")</f>
        <v/>
      </c>
      <c r="C12956" s="12" t="str">
        <f ca="1">IFERROR(__xludf.DUMMYFUNCTION("""COMPUTED_VALUE"""),"")</f>
        <v/>
      </c>
      <c r="D12956" s="12" t="str">
        <f ca="1">IFERROR(__xludf.DUMMYFUNCTION("""COMPUTED_VALUE"""),"")</f>
        <v/>
      </c>
    </row>
    <row r="12957" spans="2:4" ht="13">
      <c r="B12957" s="12" t="str">
        <f ca="1">IFERROR(__xludf.DUMMYFUNCTION("""COMPUTED_VALUE"""),"")</f>
        <v/>
      </c>
      <c r="C12957" s="12" t="str">
        <f ca="1">IFERROR(__xludf.DUMMYFUNCTION("""COMPUTED_VALUE"""),"")</f>
        <v/>
      </c>
      <c r="D12957" s="12" t="str">
        <f ca="1">IFERROR(__xludf.DUMMYFUNCTION("""COMPUTED_VALUE"""),"")</f>
        <v/>
      </c>
    </row>
    <row r="12958" spans="2:4" ht="13">
      <c r="B12958" s="12" t="str">
        <f ca="1">IFERROR(__xludf.DUMMYFUNCTION("""COMPUTED_VALUE"""),"")</f>
        <v/>
      </c>
      <c r="C12958" s="12" t="str">
        <f ca="1">IFERROR(__xludf.DUMMYFUNCTION("""COMPUTED_VALUE"""),"")</f>
        <v/>
      </c>
      <c r="D12958" s="12" t="str">
        <f ca="1">IFERROR(__xludf.DUMMYFUNCTION("""COMPUTED_VALUE"""),"")</f>
        <v/>
      </c>
    </row>
    <row r="12959" spans="2:4" ht="13">
      <c r="B12959" s="12" t="str">
        <f ca="1">IFERROR(__xludf.DUMMYFUNCTION("""COMPUTED_VALUE"""),"")</f>
        <v/>
      </c>
      <c r="C12959" s="12" t="str">
        <f ca="1">IFERROR(__xludf.DUMMYFUNCTION("""COMPUTED_VALUE"""),"")</f>
        <v/>
      </c>
      <c r="D12959" s="12" t="str">
        <f ca="1">IFERROR(__xludf.DUMMYFUNCTION("""COMPUTED_VALUE"""),"")</f>
        <v/>
      </c>
    </row>
    <row r="12960" spans="2:4" ht="13">
      <c r="B12960" s="12" t="str">
        <f ca="1">IFERROR(__xludf.DUMMYFUNCTION("""COMPUTED_VALUE"""),"")</f>
        <v/>
      </c>
      <c r="C12960" s="12" t="str">
        <f ca="1">IFERROR(__xludf.DUMMYFUNCTION("""COMPUTED_VALUE"""),"")</f>
        <v/>
      </c>
      <c r="D12960" s="12" t="str">
        <f ca="1">IFERROR(__xludf.DUMMYFUNCTION("""COMPUTED_VALUE"""),"")</f>
        <v/>
      </c>
    </row>
    <row r="12961" spans="2:4" ht="13">
      <c r="B12961" s="12" t="str">
        <f ca="1">IFERROR(__xludf.DUMMYFUNCTION("""COMPUTED_VALUE"""),"")</f>
        <v/>
      </c>
      <c r="C12961" s="12" t="str">
        <f ca="1">IFERROR(__xludf.DUMMYFUNCTION("""COMPUTED_VALUE"""),"")</f>
        <v/>
      </c>
      <c r="D12961" s="12" t="str">
        <f ca="1">IFERROR(__xludf.DUMMYFUNCTION("""COMPUTED_VALUE"""),"")</f>
        <v/>
      </c>
    </row>
    <row r="12962" spans="2:4" ht="13">
      <c r="B12962" s="12" t="str">
        <f ca="1">IFERROR(__xludf.DUMMYFUNCTION("""COMPUTED_VALUE"""),"")</f>
        <v/>
      </c>
      <c r="C12962" s="12" t="str">
        <f ca="1">IFERROR(__xludf.DUMMYFUNCTION("""COMPUTED_VALUE"""),"")</f>
        <v/>
      </c>
      <c r="D12962" s="12" t="str">
        <f ca="1">IFERROR(__xludf.DUMMYFUNCTION("""COMPUTED_VALUE"""),"")</f>
        <v/>
      </c>
    </row>
    <row r="12963" spans="2:4" ht="13">
      <c r="B12963" s="12" t="str">
        <f ca="1">IFERROR(__xludf.DUMMYFUNCTION("""COMPUTED_VALUE"""),"")</f>
        <v/>
      </c>
      <c r="C12963" s="12" t="str">
        <f ca="1">IFERROR(__xludf.DUMMYFUNCTION("""COMPUTED_VALUE"""),"")</f>
        <v/>
      </c>
      <c r="D12963" s="12" t="str">
        <f ca="1">IFERROR(__xludf.DUMMYFUNCTION("""COMPUTED_VALUE"""),"")</f>
        <v/>
      </c>
    </row>
    <row r="12964" spans="2:4" ht="13">
      <c r="B12964" s="12" t="str">
        <f ca="1">IFERROR(__xludf.DUMMYFUNCTION("""COMPUTED_VALUE"""),"")</f>
        <v/>
      </c>
      <c r="C12964" s="12" t="str">
        <f ca="1">IFERROR(__xludf.DUMMYFUNCTION("""COMPUTED_VALUE"""),"")</f>
        <v/>
      </c>
      <c r="D12964" s="12" t="str">
        <f ca="1">IFERROR(__xludf.DUMMYFUNCTION("""COMPUTED_VALUE"""),"")</f>
        <v/>
      </c>
    </row>
    <row r="12965" spans="2:4" ht="13">
      <c r="B12965" s="12" t="str">
        <f ca="1">IFERROR(__xludf.DUMMYFUNCTION("""COMPUTED_VALUE"""),"")</f>
        <v/>
      </c>
      <c r="C12965" s="12" t="str">
        <f ca="1">IFERROR(__xludf.DUMMYFUNCTION("""COMPUTED_VALUE"""),"")</f>
        <v/>
      </c>
      <c r="D12965" s="12" t="str">
        <f ca="1">IFERROR(__xludf.DUMMYFUNCTION("""COMPUTED_VALUE"""),"")</f>
        <v/>
      </c>
    </row>
    <row r="12966" spans="2:4" ht="13">
      <c r="B12966" s="12" t="str">
        <f ca="1">IFERROR(__xludf.DUMMYFUNCTION("""COMPUTED_VALUE"""),"")</f>
        <v/>
      </c>
      <c r="C12966" s="12" t="str">
        <f ca="1">IFERROR(__xludf.DUMMYFUNCTION("""COMPUTED_VALUE"""),"")</f>
        <v/>
      </c>
      <c r="D12966" s="12" t="str">
        <f ca="1">IFERROR(__xludf.DUMMYFUNCTION("""COMPUTED_VALUE"""),"")</f>
        <v/>
      </c>
    </row>
    <row r="12967" spans="2:4" ht="13">
      <c r="B12967" s="12" t="str">
        <f ca="1">IFERROR(__xludf.DUMMYFUNCTION("""COMPUTED_VALUE"""),"")</f>
        <v/>
      </c>
      <c r="C12967" s="12" t="str">
        <f ca="1">IFERROR(__xludf.DUMMYFUNCTION("""COMPUTED_VALUE"""),"")</f>
        <v/>
      </c>
      <c r="D12967" s="12" t="str">
        <f ca="1">IFERROR(__xludf.DUMMYFUNCTION("""COMPUTED_VALUE"""),"")</f>
        <v/>
      </c>
    </row>
    <row r="12968" spans="2:4" ht="13">
      <c r="B12968" s="12" t="str">
        <f ca="1">IFERROR(__xludf.DUMMYFUNCTION("""COMPUTED_VALUE"""),"")</f>
        <v/>
      </c>
      <c r="C12968" s="12" t="str">
        <f ca="1">IFERROR(__xludf.DUMMYFUNCTION("""COMPUTED_VALUE"""),"")</f>
        <v/>
      </c>
      <c r="D12968" s="12" t="str">
        <f ca="1">IFERROR(__xludf.DUMMYFUNCTION("""COMPUTED_VALUE"""),"")</f>
        <v/>
      </c>
    </row>
    <row r="12969" spans="2:4" ht="13">
      <c r="B12969" s="12" t="str">
        <f ca="1">IFERROR(__xludf.DUMMYFUNCTION("""COMPUTED_VALUE"""),"")</f>
        <v/>
      </c>
      <c r="C12969" s="12" t="str">
        <f ca="1">IFERROR(__xludf.DUMMYFUNCTION("""COMPUTED_VALUE"""),"")</f>
        <v/>
      </c>
      <c r="D12969" s="12" t="str">
        <f ca="1">IFERROR(__xludf.DUMMYFUNCTION("""COMPUTED_VALUE"""),"")</f>
        <v/>
      </c>
    </row>
    <row r="12970" spans="2:4" ht="13">
      <c r="B12970" s="12" t="str">
        <f ca="1">IFERROR(__xludf.DUMMYFUNCTION("""COMPUTED_VALUE"""),"")</f>
        <v/>
      </c>
      <c r="C12970" s="12" t="str">
        <f ca="1">IFERROR(__xludf.DUMMYFUNCTION("""COMPUTED_VALUE"""),"")</f>
        <v/>
      </c>
      <c r="D12970" s="12" t="str">
        <f ca="1">IFERROR(__xludf.DUMMYFUNCTION("""COMPUTED_VALUE"""),"")</f>
        <v/>
      </c>
    </row>
    <row r="12971" spans="2:4" ht="13">
      <c r="B12971" s="12" t="str">
        <f ca="1">IFERROR(__xludf.DUMMYFUNCTION("""COMPUTED_VALUE"""),"")</f>
        <v/>
      </c>
      <c r="C12971" s="12" t="str">
        <f ca="1">IFERROR(__xludf.DUMMYFUNCTION("""COMPUTED_VALUE"""),"")</f>
        <v/>
      </c>
      <c r="D12971" s="12" t="str">
        <f ca="1">IFERROR(__xludf.DUMMYFUNCTION("""COMPUTED_VALUE"""),"")</f>
        <v/>
      </c>
    </row>
    <row r="12972" spans="2:4" ht="13">
      <c r="B12972" s="12" t="str">
        <f ca="1">IFERROR(__xludf.DUMMYFUNCTION("""COMPUTED_VALUE"""),"")</f>
        <v/>
      </c>
      <c r="C12972" s="12" t="str">
        <f ca="1">IFERROR(__xludf.DUMMYFUNCTION("""COMPUTED_VALUE"""),"")</f>
        <v/>
      </c>
      <c r="D12972" s="12" t="str">
        <f ca="1">IFERROR(__xludf.DUMMYFUNCTION("""COMPUTED_VALUE"""),"")</f>
        <v/>
      </c>
    </row>
    <row r="12973" spans="2:4" ht="13">
      <c r="B12973" s="12" t="str">
        <f ca="1">IFERROR(__xludf.DUMMYFUNCTION("""COMPUTED_VALUE"""),"")</f>
        <v/>
      </c>
      <c r="C12973" s="12" t="str">
        <f ca="1">IFERROR(__xludf.DUMMYFUNCTION("""COMPUTED_VALUE"""),"")</f>
        <v/>
      </c>
      <c r="D12973" s="12" t="str">
        <f ca="1">IFERROR(__xludf.DUMMYFUNCTION("""COMPUTED_VALUE"""),"")</f>
        <v/>
      </c>
    </row>
    <row r="12974" spans="2:4" ht="13">
      <c r="B12974" s="12" t="str">
        <f ca="1">IFERROR(__xludf.DUMMYFUNCTION("""COMPUTED_VALUE"""),"")</f>
        <v/>
      </c>
      <c r="C12974" s="12" t="str">
        <f ca="1">IFERROR(__xludf.DUMMYFUNCTION("""COMPUTED_VALUE"""),"")</f>
        <v/>
      </c>
      <c r="D12974" s="12" t="str">
        <f ca="1">IFERROR(__xludf.DUMMYFUNCTION("""COMPUTED_VALUE"""),"")</f>
        <v/>
      </c>
    </row>
    <row r="12975" spans="2:4" ht="13">
      <c r="B12975" s="12" t="str">
        <f ca="1">IFERROR(__xludf.DUMMYFUNCTION("""COMPUTED_VALUE"""),"")</f>
        <v/>
      </c>
      <c r="C12975" s="12" t="str">
        <f ca="1">IFERROR(__xludf.DUMMYFUNCTION("""COMPUTED_VALUE"""),"")</f>
        <v/>
      </c>
      <c r="D12975" s="12" t="str">
        <f ca="1">IFERROR(__xludf.DUMMYFUNCTION("""COMPUTED_VALUE"""),"")</f>
        <v/>
      </c>
    </row>
    <row r="12976" spans="2:4" ht="13">
      <c r="B12976" s="12" t="str">
        <f ca="1">IFERROR(__xludf.DUMMYFUNCTION("""COMPUTED_VALUE"""),"")</f>
        <v/>
      </c>
      <c r="C12976" s="12" t="str">
        <f ca="1">IFERROR(__xludf.DUMMYFUNCTION("""COMPUTED_VALUE"""),"")</f>
        <v/>
      </c>
      <c r="D12976" s="12" t="str">
        <f ca="1">IFERROR(__xludf.DUMMYFUNCTION("""COMPUTED_VALUE"""),"")</f>
        <v/>
      </c>
    </row>
    <row r="12977" spans="2:4" ht="13">
      <c r="B12977" s="12" t="str">
        <f ca="1">IFERROR(__xludf.DUMMYFUNCTION("""COMPUTED_VALUE"""),"")</f>
        <v/>
      </c>
      <c r="C12977" s="12" t="str">
        <f ca="1">IFERROR(__xludf.DUMMYFUNCTION("""COMPUTED_VALUE"""),"")</f>
        <v/>
      </c>
      <c r="D12977" s="12" t="str">
        <f ca="1">IFERROR(__xludf.DUMMYFUNCTION("""COMPUTED_VALUE"""),"")</f>
        <v/>
      </c>
    </row>
    <row r="12978" spans="2:4" ht="13">
      <c r="B12978" s="12" t="str">
        <f ca="1">IFERROR(__xludf.DUMMYFUNCTION("""COMPUTED_VALUE"""),"")</f>
        <v/>
      </c>
      <c r="C12978" s="12" t="str">
        <f ca="1">IFERROR(__xludf.DUMMYFUNCTION("""COMPUTED_VALUE"""),"")</f>
        <v/>
      </c>
      <c r="D12978" s="12" t="str">
        <f ca="1">IFERROR(__xludf.DUMMYFUNCTION("""COMPUTED_VALUE"""),"")</f>
        <v/>
      </c>
    </row>
    <row r="12979" spans="2:4" ht="13">
      <c r="B12979" s="12" t="str">
        <f ca="1">IFERROR(__xludf.DUMMYFUNCTION("""COMPUTED_VALUE"""),"")</f>
        <v/>
      </c>
      <c r="C12979" s="12" t="str">
        <f ca="1">IFERROR(__xludf.DUMMYFUNCTION("""COMPUTED_VALUE"""),"")</f>
        <v/>
      </c>
      <c r="D12979" s="12" t="str">
        <f ca="1">IFERROR(__xludf.DUMMYFUNCTION("""COMPUTED_VALUE"""),"")</f>
        <v/>
      </c>
    </row>
    <row r="12980" spans="2:4" ht="13">
      <c r="B12980" s="12" t="str">
        <f ca="1">IFERROR(__xludf.DUMMYFUNCTION("""COMPUTED_VALUE"""),"")</f>
        <v/>
      </c>
      <c r="C12980" s="12" t="str">
        <f ca="1">IFERROR(__xludf.DUMMYFUNCTION("""COMPUTED_VALUE"""),"")</f>
        <v/>
      </c>
      <c r="D12980" s="12" t="str">
        <f ca="1">IFERROR(__xludf.DUMMYFUNCTION("""COMPUTED_VALUE"""),"")</f>
        <v/>
      </c>
    </row>
    <row r="12981" spans="2:4" ht="13">
      <c r="B12981" s="12" t="str">
        <f ca="1">IFERROR(__xludf.DUMMYFUNCTION("""COMPUTED_VALUE"""),"")</f>
        <v/>
      </c>
      <c r="C12981" s="12" t="str">
        <f ca="1">IFERROR(__xludf.DUMMYFUNCTION("""COMPUTED_VALUE"""),"")</f>
        <v/>
      </c>
      <c r="D12981" s="12" t="str">
        <f ca="1">IFERROR(__xludf.DUMMYFUNCTION("""COMPUTED_VALUE"""),"")</f>
        <v/>
      </c>
    </row>
    <row r="12982" spans="2:4" ht="13">
      <c r="B12982" s="12" t="str">
        <f ca="1">IFERROR(__xludf.DUMMYFUNCTION("""COMPUTED_VALUE"""),"")</f>
        <v/>
      </c>
      <c r="C12982" s="12" t="str">
        <f ca="1">IFERROR(__xludf.DUMMYFUNCTION("""COMPUTED_VALUE"""),"")</f>
        <v/>
      </c>
      <c r="D12982" s="12" t="str">
        <f ca="1">IFERROR(__xludf.DUMMYFUNCTION("""COMPUTED_VALUE"""),"")</f>
        <v/>
      </c>
    </row>
    <row r="12983" spans="2:4" ht="13">
      <c r="B12983" s="12" t="str">
        <f ca="1">IFERROR(__xludf.DUMMYFUNCTION("""COMPUTED_VALUE"""),"")</f>
        <v/>
      </c>
      <c r="C12983" s="12" t="str">
        <f ca="1">IFERROR(__xludf.DUMMYFUNCTION("""COMPUTED_VALUE"""),"")</f>
        <v/>
      </c>
      <c r="D12983" s="12" t="str">
        <f ca="1">IFERROR(__xludf.DUMMYFUNCTION("""COMPUTED_VALUE"""),"")</f>
        <v/>
      </c>
    </row>
    <row r="12984" spans="2:4" ht="13">
      <c r="B12984" s="12" t="str">
        <f ca="1">IFERROR(__xludf.DUMMYFUNCTION("""COMPUTED_VALUE"""),"")</f>
        <v/>
      </c>
      <c r="C12984" s="12" t="str">
        <f ca="1">IFERROR(__xludf.DUMMYFUNCTION("""COMPUTED_VALUE"""),"")</f>
        <v/>
      </c>
      <c r="D12984" s="12" t="str">
        <f ca="1">IFERROR(__xludf.DUMMYFUNCTION("""COMPUTED_VALUE"""),"")</f>
        <v/>
      </c>
    </row>
    <row r="12985" spans="2:4" ht="13">
      <c r="B12985" s="12" t="str">
        <f ca="1">IFERROR(__xludf.DUMMYFUNCTION("""COMPUTED_VALUE"""),"")</f>
        <v/>
      </c>
      <c r="C12985" s="12" t="str">
        <f ca="1">IFERROR(__xludf.DUMMYFUNCTION("""COMPUTED_VALUE"""),"")</f>
        <v/>
      </c>
      <c r="D12985" s="12" t="str">
        <f ca="1">IFERROR(__xludf.DUMMYFUNCTION("""COMPUTED_VALUE"""),"")</f>
        <v/>
      </c>
    </row>
    <row r="12986" spans="2:4" ht="13">
      <c r="B12986" s="12" t="str">
        <f ca="1">IFERROR(__xludf.DUMMYFUNCTION("""COMPUTED_VALUE"""),"")</f>
        <v/>
      </c>
      <c r="C12986" s="12" t="str">
        <f ca="1">IFERROR(__xludf.DUMMYFUNCTION("""COMPUTED_VALUE"""),"")</f>
        <v/>
      </c>
      <c r="D12986" s="12" t="str">
        <f ca="1">IFERROR(__xludf.DUMMYFUNCTION("""COMPUTED_VALUE"""),"")</f>
        <v/>
      </c>
    </row>
    <row r="12987" spans="2:4" ht="13">
      <c r="B12987" s="12" t="str">
        <f ca="1">IFERROR(__xludf.DUMMYFUNCTION("""COMPUTED_VALUE"""),"")</f>
        <v/>
      </c>
      <c r="C12987" s="12" t="str">
        <f ca="1">IFERROR(__xludf.DUMMYFUNCTION("""COMPUTED_VALUE"""),"")</f>
        <v/>
      </c>
      <c r="D12987" s="12" t="str">
        <f ca="1">IFERROR(__xludf.DUMMYFUNCTION("""COMPUTED_VALUE"""),"")</f>
        <v/>
      </c>
    </row>
    <row r="12988" spans="2:4" ht="13">
      <c r="B12988" s="12" t="str">
        <f ca="1">IFERROR(__xludf.DUMMYFUNCTION("""COMPUTED_VALUE"""),"")</f>
        <v/>
      </c>
      <c r="C12988" s="12" t="str">
        <f ca="1">IFERROR(__xludf.DUMMYFUNCTION("""COMPUTED_VALUE"""),"")</f>
        <v/>
      </c>
      <c r="D12988" s="12" t="str">
        <f ca="1">IFERROR(__xludf.DUMMYFUNCTION("""COMPUTED_VALUE"""),"")</f>
        <v/>
      </c>
    </row>
    <row r="12989" spans="2:4" ht="13">
      <c r="B12989" s="12" t="str">
        <f ca="1">IFERROR(__xludf.DUMMYFUNCTION("""COMPUTED_VALUE"""),"")</f>
        <v/>
      </c>
      <c r="C12989" s="12" t="str">
        <f ca="1">IFERROR(__xludf.DUMMYFUNCTION("""COMPUTED_VALUE"""),"")</f>
        <v/>
      </c>
      <c r="D12989" s="12" t="str">
        <f ca="1">IFERROR(__xludf.DUMMYFUNCTION("""COMPUTED_VALUE"""),"")</f>
        <v/>
      </c>
    </row>
    <row r="12990" spans="2:4" ht="13">
      <c r="B12990" s="12" t="str">
        <f ca="1">IFERROR(__xludf.DUMMYFUNCTION("""COMPUTED_VALUE"""),"")</f>
        <v/>
      </c>
      <c r="C12990" s="12" t="str">
        <f ca="1">IFERROR(__xludf.DUMMYFUNCTION("""COMPUTED_VALUE"""),"")</f>
        <v/>
      </c>
      <c r="D12990" s="12" t="str">
        <f ca="1">IFERROR(__xludf.DUMMYFUNCTION("""COMPUTED_VALUE"""),"")</f>
        <v/>
      </c>
    </row>
    <row r="12991" spans="2:4" ht="13">
      <c r="B12991" s="12" t="str">
        <f ca="1">IFERROR(__xludf.DUMMYFUNCTION("""COMPUTED_VALUE"""),"")</f>
        <v/>
      </c>
      <c r="C12991" s="12" t="str">
        <f ca="1">IFERROR(__xludf.DUMMYFUNCTION("""COMPUTED_VALUE"""),"")</f>
        <v/>
      </c>
      <c r="D12991" s="12" t="str">
        <f ca="1">IFERROR(__xludf.DUMMYFUNCTION("""COMPUTED_VALUE"""),"")</f>
        <v/>
      </c>
    </row>
    <row r="12992" spans="2:4" ht="13">
      <c r="B12992" s="12" t="str">
        <f ca="1">IFERROR(__xludf.DUMMYFUNCTION("""COMPUTED_VALUE"""),"")</f>
        <v/>
      </c>
      <c r="C12992" s="12" t="str">
        <f ca="1">IFERROR(__xludf.DUMMYFUNCTION("""COMPUTED_VALUE"""),"")</f>
        <v/>
      </c>
      <c r="D12992" s="12" t="str">
        <f ca="1">IFERROR(__xludf.DUMMYFUNCTION("""COMPUTED_VALUE"""),"")</f>
        <v/>
      </c>
    </row>
    <row r="12993" spans="2:4" ht="13">
      <c r="B12993" s="12" t="str">
        <f ca="1">IFERROR(__xludf.DUMMYFUNCTION("""COMPUTED_VALUE"""),"")</f>
        <v/>
      </c>
      <c r="C12993" s="12" t="str">
        <f ca="1">IFERROR(__xludf.DUMMYFUNCTION("""COMPUTED_VALUE"""),"")</f>
        <v/>
      </c>
      <c r="D12993" s="12" t="str">
        <f ca="1">IFERROR(__xludf.DUMMYFUNCTION("""COMPUTED_VALUE"""),"")</f>
        <v/>
      </c>
    </row>
    <row r="12994" spans="2:4" ht="13">
      <c r="B12994" s="12" t="str">
        <f ca="1">IFERROR(__xludf.DUMMYFUNCTION("""COMPUTED_VALUE"""),"")</f>
        <v/>
      </c>
      <c r="C12994" s="12" t="str">
        <f ca="1">IFERROR(__xludf.DUMMYFUNCTION("""COMPUTED_VALUE"""),"")</f>
        <v/>
      </c>
      <c r="D12994" s="12" t="str">
        <f ca="1">IFERROR(__xludf.DUMMYFUNCTION("""COMPUTED_VALUE"""),"")</f>
        <v/>
      </c>
    </row>
    <row r="12995" spans="2:4" ht="13">
      <c r="B12995" s="12" t="str">
        <f ca="1">IFERROR(__xludf.DUMMYFUNCTION("""COMPUTED_VALUE"""),"")</f>
        <v/>
      </c>
      <c r="C12995" s="12" t="str">
        <f ca="1">IFERROR(__xludf.DUMMYFUNCTION("""COMPUTED_VALUE"""),"")</f>
        <v/>
      </c>
      <c r="D12995" s="12" t="str">
        <f ca="1">IFERROR(__xludf.DUMMYFUNCTION("""COMPUTED_VALUE"""),"")</f>
        <v/>
      </c>
    </row>
    <row r="12996" spans="2:4" ht="13">
      <c r="B12996" s="12" t="str">
        <f ca="1">IFERROR(__xludf.DUMMYFUNCTION("""COMPUTED_VALUE"""),"")</f>
        <v/>
      </c>
      <c r="C12996" s="12" t="str">
        <f ca="1">IFERROR(__xludf.DUMMYFUNCTION("""COMPUTED_VALUE"""),"")</f>
        <v/>
      </c>
      <c r="D12996" s="12" t="str">
        <f ca="1">IFERROR(__xludf.DUMMYFUNCTION("""COMPUTED_VALUE"""),"")</f>
        <v/>
      </c>
    </row>
    <row r="12997" spans="2:4" ht="13">
      <c r="B12997" s="12" t="str">
        <f ca="1">IFERROR(__xludf.DUMMYFUNCTION("""COMPUTED_VALUE"""),"")</f>
        <v/>
      </c>
      <c r="C12997" s="12" t="str">
        <f ca="1">IFERROR(__xludf.DUMMYFUNCTION("""COMPUTED_VALUE"""),"")</f>
        <v/>
      </c>
      <c r="D12997" s="12" t="str">
        <f ca="1">IFERROR(__xludf.DUMMYFUNCTION("""COMPUTED_VALUE"""),"")</f>
        <v/>
      </c>
    </row>
    <row r="12998" spans="2:4" ht="13">
      <c r="B12998" s="12" t="str">
        <f ca="1">IFERROR(__xludf.DUMMYFUNCTION("""COMPUTED_VALUE"""),"")</f>
        <v/>
      </c>
      <c r="C12998" s="12" t="str">
        <f ca="1">IFERROR(__xludf.DUMMYFUNCTION("""COMPUTED_VALUE"""),"")</f>
        <v/>
      </c>
      <c r="D12998" s="12" t="str">
        <f ca="1">IFERROR(__xludf.DUMMYFUNCTION("""COMPUTED_VALUE"""),"")</f>
        <v/>
      </c>
    </row>
    <row r="12999" spans="2:4" ht="13">
      <c r="B12999" s="12" t="str">
        <f ca="1">IFERROR(__xludf.DUMMYFUNCTION("""COMPUTED_VALUE"""),"")</f>
        <v/>
      </c>
      <c r="C12999" s="12" t="str">
        <f ca="1">IFERROR(__xludf.DUMMYFUNCTION("""COMPUTED_VALUE"""),"")</f>
        <v/>
      </c>
      <c r="D12999" s="12" t="str">
        <f ca="1">IFERROR(__xludf.DUMMYFUNCTION("""COMPUTED_VALUE"""),"")</f>
        <v/>
      </c>
    </row>
    <row r="13000" spans="2:4" ht="13">
      <c r="B13000" s="12" t="str">
        <f ca="1">IFERROR(__xludf.DUMMYFUNCTION("""COMPUTED_VALUE"""),"")</f>
        <v/>
      </c>
      <c r="C13000" s="12" t="str">
        <f ca="1">IFERROR(__xludf.DUMMYFUNCTION("""COMPUTED_VALUE"""),"")</f>
        <v/>
      </c>
      <c r="D13000" s="12" t="str">
        <f ca="1">IFERROR(__xludf.DUMMYFUNCTION("""COMPUTED_VALUE"""),"")</f>
        <v/>
      </c>
    </row>
    <row r="13001" spans="2:4" ht="13">
      <c r="B13001" s="12" t="str">
        <f ca="1">IFERROR(__xludf.DUMMYFUNCTION("""COMPUTED_VALUE"""),"")</f>
        <v/>
      </c>
      <c r="C13001" s="12" t="str">
        <f ca="1">IFERROR(__xludf.DUMMYFUNCTION("""COMPUTED_VALUE"""),"")</f>
        <v/>
      </c>
      <c r="D13001" s="12" t="str">
        <f ca="1">IFERROR(__xludf.DUMMYFUNCTION("""COMPUTED_VALUE"""),"")</f>
        <v/>
      </c>
    </row>
    <row r="13002" spans="2:4" ht="13">
      <c r="B13002" s="12" t="str">
        <f ca="1">IFERROR(__xludf.DUMMYFUNCTION("""COMPUTED_VALUE"""),"")</f>
        <v/>
      </c>
      <c r="C13002" s="12" t="str">
        <f ca="1">IFERROR(__xludf.DUMMYFUNCTION("""COMPUTED_VALUE"""),"")</f>
        <v/>
      </c>
      <c r="D13002" s="12" t="str">
        <f ca="1">IFERROR(__xludf.DUMMYFUNCTION("""COMPUTED_VALUE"""),"")</f>
        <v/>
      </c>
    </row>
    <row r="13003" spans="2:4" ht="13">
      <c r="B13003" s="12" t="str">
        <f ca="1">IFERROR(__xludf.DUMMYFUNCTION("""COMPUTED_VALUE"""),"")</f>
        <v/>
      </c>
      <c r="C13003" s="12" t="str">
        <f ca="1">IFERROR(__xludf.DUMMYFUNCTION("""COMPUTED_VALUE"""),"")</f>
        <v/>
      </c>
      <c r="D13003" s="12" t="str">
        <f ca="1">IFERROR(__xludf.DUMMYFUNCTION("""COMPUTED_VALUE"""),"")</f>
        <v/>
      </c>
    </row>
    <row r="13004" spans="2:4" ht="13">
      <c r="B13004" s="12" t="str">
        <f ca="1">IFERROR(__xludf.DUMMYFUNCTION("""COMPUTED_VALUE"""),"")</f>
        <v/>
      </c>
      <c r="C13004" s="12" t="str">
        <f ca="1">IFERROR(__xludf.DUMMYFUNCTION("""COMPUTED_VALUE"""),"")</f>
        <v/>
      </c>
      <c r="D13004" s="12" t="str">
        <f ca="1">IFERROR(__xludf.DUMMYFUNCTION("""COMPUTED_VALUE"""),"")</f>
        <v/>
      </c>
    </row>
    <row r="13005" spans="2:4" ht="13">
      <c r="B13005" s="12" t="str">
        <f ca="1">IFERROR(__xludf.DUMMYFUNCTION("""COMPUTED_VALUE"""),"")</f>
        <v/>
      </c>
      <c r="C13005" s="12" t="str">
        <f ca="1">IFERROR(__xludf.DUMMYFUNCTION("""COMPUTED_VALUE"""),"")</f>
        <v/>
      </c>
      <c r="D13005" s="12" t="str">
        <f ca="1">IFERROR(__xludf.DUMMYFUNCTION("""COMPUTED_VALUE"""),"")</f>
        <v/>
      </c>
    </row>
    <row r="13006" spans="2:4" ht="13">
      <c r="B13006" s="12" t="str">
        <f ca="1">IFERROR(__xludf.DUMMYFUNCTION("""COMPUTED_VALUE"""),"")</f>
        <v/>
      </c>
      <c r="C13006" s="12" t="str">
        <f ca="1">IFERROR(__xludf.DUMMYFUNCTION("""COMPUTED_VALUE"""),"")</f>
        <v/>
      </c>
      <c r="D13006" s="12" t="str">
        <f ca="1">IFERROR(__xludf.DUMMYFUNCTION("""COMPUTED_VALUE"""),"")</f>
        <v/>
      </c>
    </row>
    <row r="13007" spans="2:4" ht="13">
      <c r="B13007" s="12" t="str">
        <f ca="1">IFERROR(__xludf.DUMMYFUNCTION("""COMPUTED_VALUE"""),"")</f>
        <v/>
      </c>
      <c r="C13007" s="12" t="str">
        <f ca="1">IFERROR(__xludf.DUMMYFUNCTION("""COMPUTED_VALUE"""),"")</f>
        <v/>
      </c>
      <c r="D13007" s="12" t="str">
        <f ca="1">IFERROR(__xludf.DUMMYFUNCTION("""COMPUTED_VALUE"""),"")</f>
        <v/>
      </c>
    </row>
    <row r="13008" spans="2:4" ht="13">
      <c r="B13008" s="12" t="str">
        <f ca="1">IFERROR(__xludf.DUMMYFUNCTION("""COMPUTED_VALUE"""),"")</f>
        <v/>
      </c>
      <c r="C13008" s="12" t="str">
        <f ca="1">IFERROR(__xludf.DUMMYFUNCTION("""COMPUTED_VALUE"""),"")</f>
        <v/>
      </c>
      <c r="D13008" s="12" t="str">
        <f ca="1">IFERROR(__xludf.DUMMYFUNCTION("""COMPUTED_VALUE"""),"")</f>
        <v/>
      </c>
    </row>
    <row r="13009" spans="2:4" ht="13">
      <c r="B13009" s="12" t="str">
        <f ca="1">IFERROR(__xludf.DUMMYFUNCTION("""COMPUTED_VALUE"""),"")</f>
        <v/>
      </c>
      <c r="C13009" s="12" t="str">
        <f ca="1">IFERROR(__xludf.DUMMYFUNCTION("""COMPUTED_VALUE"""),"")</f>
        <v/>
      </c>
      <c r="D13009" s="12" t="str">
        <f ca="1">IFERROR(__xludf.DUMMYFUNCTION("""COMPUTED_VALUE"""),"")</f>
        <v/>
      </c>
    </row>
    <row r="13010" spans="2:4" ht="13">
      <c r="B13010" s="12" t="str">
        <f ca="1">IFERROR(__xludf.DUMMYFUNCTION("""COMPUTED_VALUE"""),"")</f>
        <v/>
      </c>
      <c r="C13010" s="12" t="str">
        <f ca="1">IFERROR(__xludf.DUMMYFUNCTION("""COMPUTED_VALUE"""),"")</f>
        <v/>
      </c>
      <c r="D13010" s="12" t="str">
        <f ca="1">IFERROR(__xludf.DUMMYFUNCTION("""COMPUTED_VALUE"""),"")</f>
        <v/>
      </c>
    </row>
    <row r="13011" spans="2:4" ht="13">
      <c r="B13011" s="12" t="str">
        <f ca="1">IFERROR(__xludf.DUMMYFUNCTION("""COMPUTED_VALUE"""),"")</f>
        <v/>
      </c>
      <c r="C13011" s="12" t="str">
        <f ca="1">IFERROR(__xludf.DUMMYFUNCTION("""COMPUTED_VALUE"""),"")</f>
        <v/>
      </c>
      <c r="D13011" s="12" t="str">
        <f ca="1">IFERROR(__xludf.DUMMYFUNCTION("""COMPUTED_VALUE"""),"")</f>
        <v/>
      </c>
    </row>
    <row r="13012" spans="2:4" ht="13">
      <c r="B13012" s="12" t="str">
        <f ca="1">IFERROR(__xludf.DUMMYFUNCTION("""COMPUTED_VALUE"""),"")</f>
        <v/>
      </c>
      <c r="C13012" s="12" t="str">
        <f ca="1">IFERROR(__xludf.DUMMYFUNCTION("""COMPUTED_VALUE"""),"")</f>
        <v/>
      </c>
      <c r="D13012" s="12" t="str">
        <f ca="1">IFERROR(__xludf.DUMMYFUNCTION("""COMPUTED_VALUE"""),"")</f>
        <v/>
      </c>
    </row>
    <row r="13013" spans="2:4" ht="13">
      <c r="B13013" s="12" t="str">
        <f ca="1">IFERROR(__xludf.DUMMYFUNCTION("""COMPUTED_VALUE"""),"")</f>
        <v/>
      </c>
      <c r="C13013" s="12" t="str">
        <f ca="1">IFERROR(__xludf.DUMMYFUNCTION("""COMPUTED_VALUE"""),"")</f>
        <v/>
      </c>
      <c r="D13013" s="12" t="str">
        <f ca="1">IFERROR(__xludf.DUMMYFUNCTION("""COMPUTED_VALUE"""),"")</f>
        <v/>
      </c>
    </row>
    <row r="13014" spans="2:4" ht="13">
      <c r="B13014" s="12" t="str">
        <f ca="1">IFERROR(__xludf.DUMMYFUNCTION("""COMPUTED_VALUE"""),"")</f>
        <v/>
      </c>
      <c r="C13014" s="12" t="str">
        <f ca="1">IFERROR(__xludf.DUMMYFUNCTION("""COMPUTED_VALUE"""),"")</f>
        <v/>
      </c>
      <c r="D13014" s="12" t="str">
        <f ca="1">IFERROR(__xludf.DUMMYFUNCTION("""COMPUTED_VALUE"""),"")</f>
        <v/>
      </c>
    </row>
    <row r="13015" spans="2:4" ht="13">
      <c r="B13015" s="12" t="str">
        <f ca="1">IFERROR(__xludf.DUMMYFUNCTION("""COMPUTED_VALUE"""),"")</f>
        <v/>
      </c>
      <c r="C13015" s="12" t="str">
        <f ca="1">IFERROR(__xludf.DUMMYFUNCTION("""COMPUTED_VALUE"""),"")</f>
        <v/>
      </c>
      <c r="D13015" s="12" t="str">
        <f ca="1">IFERROR(__xludf.DUMMYFUNCTION("""COMPUTED_VALUE"""),"")</f>
        <v/>
      </c>
    </row>
    <row r="13016" spans="2:4" ht="13">
      <c r="B13016" s="12" t="str">
        <f ca="1">IFERROR(__xludf.DUMMYFUNCTION("""COMPUTED_VALUE"""),"")</f>
        <v/>
      </c>
      <c r="C13016" s="12" t="str">
        <f ca="1">IFERROR(__xludf.DUMMYFUNCTION("""COMPUTED_VALUE"""),"")</f>
        <v/>
      </c>
      <c r="D13016" s="12" t="str">
        <f ca="1">IFERROR(__xludf.DUMMYFUNCTION("""COMPUTED_VALUE"""),"")</f>
        <v/>
      </c>
    </row>
    <row r="13017" spans="2:4" ht="13">
      <c r="B13017" s="12" t="str">
        <f ca="1">IFERROR(__xludf.DUMMYFUNCTION("""COMPUTED_VALUE"""),"")</f>
        <v/>
      </c>
      <c r="C13017" s="12" t="str">
        <f ca="1">IFERROR(__xludf.DUMMYFUNCTION("""COMPUTED_VALUE"""),"")</f>
        <v/>
      </c>
      <c r="D13017" s="12" t="str">
        <f ca="1">IFERROR(__xludf.DUMMYFUNCTION("""COMPUTED_VALUE"""),"")</f>
        <v/>
      </c>
    </row>
    <row r="13018" spans="2:4" ht="13">
      <c r="B13018" s="12" t="str">
        <f ca="1">IFERROR(__xludf.DUMMYFUNCTION("""COMPUTED_VALUE"""),"")</f>
        <v/>
      </c>
      <c r="C13018" s="12" t="str">
        <f ca="1">IFERROR(__xludf.DUMMYFUNCTION("""COMPUTED_VALUE"""),"")</f>
        <v/>
      </c>
      <c r="D13018" s="12" t="str">
        <f ca="1">IFERROR(__xludf.DUMMYFUNCTION("""COMPUTED_VALUE"""),"")</f>
        <v/>
      </c>
    </row>
    <row r="13019" spans="2:4" ht="13">
      <c r="B13019" s="12" t="str">
        <f ca="1">IFERROR(__xludf.DUMMYFUNCTION("""COMPUTED_VALUE"""),"")</f>
        <v/>
      </c>
      <c r="C13019" s="12" t="str">
        <f ca="1">IFERROR(__xludf.DUMMYFUNCTION("""COMPUTED_VALUE"""),"")</f>
        <v/>
      </c>
      <c r="D13019" s="12" t="str">
        <f ca="1">IFERROR(__xludf.DUMMYFUNCTION("""COMPUTED_VALUE"""),"")</f>
        <v/>
      </c>
    </row>
    <row r="13020" spans="2:4" ht="13">
      <c r="B13020" s="12" t="str">
        <f ca="1">IFERROR(__xludf.DUMMYFUNCTION("""COMPUTED_VALUE"""),"")</f>
        <v/>
      </c>
      <c r="C13020" s="12" t="str">
        <f ca="1">IFERROR(__xludf.DUMMYFUNCTION("""COMPUTED_VALUE"""),"")</f>
        <v/>
      </c>
      <c r="D13020" s="12" t="str">
        <f ca="1">IFERROR(__xludf.DUMMYFUNCTION("""COMPUTED_VALUE"""),"")</f>
        <v/>
      </c>
    </row>
    <row r="13021" spans="2:4" ht="13">
      <c r="B13021" s="12" t="str">
        <f ca="1">IFERROR(__xludf.DUMMYFUNCTION("""COMPUTED_VALUE"""),"")</f>
        <v/>
      </c>
      <c r="C13021" s="12" t="str">
        <f ca="1">IFERROR(__xludf.DUMMYFUNCTION("""COMPUTED_VALUE"""),"")</f>
        <v/>
      </c>
      <c r="D13021" s="12" t="str">
        <f ca="1">IFERROR(__xludf.DUMMYFUNCTION("""COMPUTED_VALUE"""),"")</f>
        <v/>
      </c>
    </row>
    <row r="13022" spans="2:4" ht="13">
      <c r="B13022" s="12" t="str">
        <f ca="1">IFERROR(__xludf.DUMMYFUNCTION("""COMPUTED_VALUE"""),"")</f>
        <v/>
      </c>
      <c r="C13022" s="12" t="str">
        <f ca="1">IFERROR(__xludf.DUMMYFUNCTION("""COMPUTED_VALUE"""),"")</f>
        <v/>
      </c>
      <c r="D13022" s="12" t="str">
        <f ca="1">IFERROR(__xludf.DUMMYFUNCTION("""COMPUTED_VALUE"""),"")</f>
        <v/>
      </c>
    </row>
    <row r="13023" spans="2:4" ht="13">
      <c r="B13023" s="12" t="str">
        <f ca="1">IFERROR(__xludf.DUMMYFUNCTION("""COMPUTED_VALUE"""),"")</f>
        <v/>
      </c>
      <c r="C13023" s="12" t="str">
        <f ca="1">IFERROR(__xludf.DUMMYFUNCTION("""COMPUTED_VALUE"""),"")</f>
        <v/>
      </c>
      <c r="D13023" s="12" t="str">
        <f ca="1">IFERROR(__xludf.DUMMYFUNCTION("""COMPUTED_VALUE"""),"")</f>
        <v/>
      </c>
    </row>
    <row r="13024" spans="2:4" ht="13">
      <c r="B13024" s="12" t="str">
        <f ca="1">IFERROR(__xludf.DUMMYFUNCTION("""COMPUTED_VALUE"""),"")</f>
        <v/>
      </c>
      <c r="C13024" s="12" t="str">
        <f ca="1">IFERROR(__xludf.DUMMYFUNCTION("""COMPUTED_VALUE"""),"")</f>
        <v/>
      </c>
      <c r="D13024" s="12" t="str">
        <f ca="1">IFERROR(__xludf.DUMMYFUNCTION("""COMPUTED_VALUE"""),"")</f>
        <v/>
      </c>
    </row>
    <row r="13025" spans="2:4" ht="13">
      <c r="B13025" s="12" t="str">
        <f ca="1">IFERROR(__xludf.DUMMYFUNCTION("""COMPUTED_VALUE"""),"")</f>
        <v/>
      </c>
      <c r="C13025" s="12" t="str">
        <f ca="1">IFERROR(__xludf.DUMMYFUNCTION("""COMPUTED_VALUE"""),"")</f>
        <v/>
      </c>
      <c r="D13025" s="12" t="str">
        <f ca="1">IFERROR(__xludf.DUMMYFUNCTION("""COMPUTED_VALUE"""),"")</f>
        <v/>
      </c>
    </row>
    <row r="13026" spans="2:4" ht="13">
      <c r="B13026" s="12" t="str">
        <f ca="1">IFERROR(__xludf.DUMMYFUNCTION("""COMPUTED_VALUE"""),"")</f>
        <v/>
      </c>
      <c r="C13026" s="12" t="str">
        <f ca="1">IFERROR(__xludf.DUMMYFUNCTION("""COMPUTED_VALUE"""),"")</f>
        <v/>
      </c>
      <c r="D13026" s="12" t="str">
        <f ca="1">IFERROR(__xludf.DUMMYFUNCTION("""COMPUTED_VALUE"""),"")</f>
        <v/>
      </c>
    </row>
    <row r="13027" spans="2:4" ht="13">
      <c r="B13027" s="12" t="str">
        <f ca="1">IFERROR(__xludf.DUMMYFUNCTION("""COMPUTED_VALUE"""),"")</f>
        <v/>
      </c>
      <c r="C13027" s="12" t="str">
        <f ca="1">IFERROR(__xludf.DUMMYFUNCTION("""COMPUTED_VALUE"""),"")</f>
        <v/>
      </c>
      <c r="D13027" s="12" t="str">
        <f ca="1">IFERROR(__xludf.DUMMYFUNCTION("""COMPUTED_VALUE"""),"")</f>
        <v/>
      </c>
    </row>
    <row r="13028" spans="2:4" ht="13">
      <c r="B13028" s="12" t="str">
        <f ca="1">IFERROR(__xludf.DUMMYFUNCTION("""COMPUTED_VALUE"""),"")</f>
        <v/>
      </c>
      <c r="C13028" s="12" t="str">
        <f ca="1">IFERROR(__xludf.DUMMYFUNCTION("""COMPUTED_VALUE"""),"")</f>
        <v/>
      </c>
      <c r="D13028" s="12" t="str">
        <f ca="1">IFERROR(__xludf.DUMMYFUNCTION("""COMPUTED_VALUE"""),"")</f>
        <v/>
      </c>
    </row>
    <row r="13029" spans="2:4" ht="13">
      <c r="B13029" s="12" t="str">
        <f ca="1">IFERROR(__xludf.DUMMYFUNCTION("""COMPUTED_VALUE"""),"")</f>
        <v/>
      </c>
      <c r="C13029" s="12" t="str">
        <f ca="1">IFERROR(__xludf.DUMMYFUNCTION("""COMPUTED_VALUE"""),"")</f>
        <v/>
      </c>
      <c r="D13029" s="12" t="str">
        <f ca="1">IFERROR(__xludf.DUMMYFUNCTION("""COMPUTED_VALUE"""),"")</f>
        <v/>
      </c>
    </row>
    <row r="13030" spans="2:4" ht="13">
      <c r="B13030" s="12" t="str">
        <f ca="1">IFERROR(__xludf.DUMMYFUNCTION("""COMPUTED_VALUE"""),"")</f>
        <v/>
      </c>
      <c r="C13030" s="12" t="str">
        <f ca="1">IFERROR(__xludf.DUMMYFUNCTION("""COMPUTED_VALUE"""),"")</f>
        <v/>
      </c>
      <c r="D13030" s="12" t="str">
        <f ca="1">IFERROR(__xludf.DUMMYFUNCTION("""COMPUTED_VALUE"""),"")</f>
        <v/>
      </c>
    </row>
    <row r="13031" spans="2:4" ht="13">
      <c r="B13031" s="12" t="str">
        <f ca="1">IFERROR(__xludf.DUMMYFUNCTION("""COMPUTED_VALUE"""),"")</f>
        <v/>
      </c>
      <c r="C13031" s="12" t="str">
        <f ca="1">IFERROR(__xludf.DUMMYFUNCTION("""COMPUTED_VALUE"""),"")</f>
        <v/>
      </c>
      <c r="D13031" s="12" t="str">
        <f ca="1">IFERROR(__xludf.DUMMYFUNCTION("""COMPUTED_VALUE"""),"")</f>
        <v/>
      </c>
    </row>
    <row r="13032" spans="2:4" ht="13">
      <c r="B13032" s="12" t="str">
        <f ca="1">IFERROR(__xludf.DUMMYFUNCTION("""COMPUTED_VALUE"""),"")</f>
        <v/>
      </c>
      <c r="C13032" s="12" t="str">
        <f ca="1">IFERROR(__xludf.DUMMYFUNCTION("""COMPUTED_VALUE"""),"")</f>
        <v/>
      </c>
      <c r="D13032" s="12" t="str">
        <f ca="1">IFERROR(__xludf.DUMMYFUNCTION("""COMPUTED_VALUE"""),"")</f>
        <v/>
      </c>
    </row>
    <row r="13033" spans="2:4" ht="13">
      <c r="B13033" s="12" t="str">
        <f ca="1">IFERROR(__xludf.DUMMYFUNCTION("""COMPUTED_VALUE"""),"")</f>
        <v/>
      </c>
      <c r="C13033" s="12" t="str">
        <f ca="1">IFERROR(__xludf.DUMMYFUNCTION("""COMPUTED_VALUE"""),"")</f>
        <v/>
      </c>
      <c r="D13033" s="12" t="str">
        <f ca="1">IFERROR(__xludf.DUMMYFUNCTION("""COMPUTED_VALUE"""),"")</f>
        <v/>
      </c>
    </row>
    <row r="13034" spans="2:4" ht="13">
      <c r="B13034" s="12" t="str">
        <f ca="1">IFERROR(__xludf.DUMMYFUNCTION("""COMPUTED_VALUE"""),"")</f>
        <v/>
      </c>
      <c r="C13034" s="12" t="str">
        <f ca="1">IFERROR(__xludf.DUMMYFUNCTION("""COMPUTED_VALUE"""),"")</f>
        <v/>
      </c>
      <c r="D13034" s="12" t="str">
        <f ca="1">IFERROR(__xludf.DUMMYFUNCTION("""COMPUTED_VALUE"""),"")</f>
        <v/>
      </c>
    </row>
    <row r="13035" spans="2:4" ht="13">
      <c r="B13035" s="12" t="str">
        <f ca="1">IFERROR(__xludf.DUMMYFUNCTION("""COMPUTED_VALUE"""),"")</f>
        <v/>
      </c>
      <c r="C13035" s="12" t="str">
        <f ca="1">IFERROR(__xludf.DUMMYFUNCTION("""COMPUTED_VALUE"""),"")</f>
        <v/>
      </c>
      <c r="D13035" s="12" t="str">
        <f ca="1">IFERROR(__xludf.DUMMYFUNCTION("""COMPUTED_VALUE"""),"")</f>
        <v/>
      </c>
    </row>
    <row r="13036" spans="2:4" ht="13">
      <c r="B13036" s="12" t="str">
        <f ca="1">IFERROR(__xludf.DUMMYFUNCTION("""COMPUTED_VALUE"""),"")</f>
        <v/>
      </c>
      <c r="C13036" s="12" t="str">
        <f ca="1">IFERROR(__xludf.DUMMYFUNCTION("""COMPUTED_VALUE"""),"")</f>
        <v/>
      </c>
      <c r="D13036" s="12" t="str">
        <f ca="1">IFERROR(__xludf.DUMMYFUNCTION("""COMPUTED_VALUE"""),"")</f>
        <v/>
      </c>
    </row>
    <row r="13037" spans="2:4" ht="13">
      <c r="B13037" s="12" t="str">
        <f ca="1">IFERROR(__xludf.DUMMYFUNCTION("""COMPUTED_VALUE"""),"")</f>
        <v/>
      </c>
      <c r="C13037" s="12" t="str">
        <f ca="1">IFERROR(__xludf.DUMMYFUNCTION("""COMPUTED_VALUE"""),"")</f>
        <v/>
      </c>
      <c r="D13037" s="12" t="str">
        <f ca="1">IFERROR(__xludf.DUMMYFUNCTION("""COMPUTED_VALUE"""),"")</f>
        <v/>
      </c>
    </row>
    <row r="13038" spans="2:4" ht="13">
      <c r="B13038" s="12" t="str">
        <f ca="1">IFERROR(__xludf.DUMMYFUNCTION("""COMPUTED_VALUE"""),"")</f>
        <v/>
      </c>
      <c r="C13038" s="12" t="str">
        <f ca="1">IFERROR(__xludf.DUMMYFUNCTION("""COMPUTED_VALUE"""),"")</f>
        <v/>
      </c>
      <c r="D13038" s="12" t="str">
        <f ca="1">IFERROR(__xludf.DUMMYFUNCTION("""COMPUTED_VALUE"""),"")</f>
        <v/>
      </c>
    </row>
    <row r="13039" spans="2:4" ht="13">
      <c r="B13039" s="12" t="str">
        <f ca="1">IFERROR(__xludf.DUMMYFUNCTION("""COMPUTED_VALUE"""),"")</f>
        <v/>
      </c>
      <c r="C13039" s="12" t="str">
        <f ca="1">IFERROR(__xludf.DUMMYFUNCTION("""COMPUTED_VALUE"""),"")</f>
        <v/>
      </c>
      <c r="D13039" s="12" t="str">
        <f ca="1">IFERROR(__xludf.DUMMYFUNCTION("""COMPUTED_VALUE"""),"")</f>
        <v/>
      </c>
    </row>
    <row r="13040" spans="2:4" ht="13">
      <c r="B13040" s="12" t="str">
        <f ca="1">IFERROR(__xludf.DUMMYFUNCTION("""COMPUTED_VALUE"""),"")</f>
        <v/>
      </c>
      <c r="C13040" s="12" t="str">
        <f ca="1">IFERROR(__xludf.DUMMYFUNCTION("""COMPUTED_VALUE"""),"")</f>
        <v/>
      </c>
      <c r="D13040" s="12" t="str">
        <f ca="1">IFERROR(__xludf.DUMMYFUNCTION("""COMPUTED_VALUE"""),"")</f>
        <v/>
      </c>
    </row>
    <row r="13041" spans="2:4" ht="13">
      <c r="B13041" s="12" t="str">
        <f ca="1">IFERROR(__xludf.DUMMYFUNCTION("""COMPUTED_VALUE"""),"")</f>
        <v/>
      </c>
      <c r="C13041" s="12" t="str">
        <f ca="1">IFERROR(__xludf.DUMMYFUNCTION("""COMPUTED_VALUE"""),"")</f>
        <v/>
      </c>
      <c r="D13041" s="12" t="str">
        <f ca="1">IFERROR(__xludf.DUMMYFUNCTION("""COMPUTED_VALUE"""),"")</f>
        <v/>
      </c>
    </row>
    <row r="13042" spans="2:4" ht="13">
      <c r="B13042" s="12" t="str">
        <f ca="1">IFERROR(__xludf.DUMMYFUNCTION("""COMPUTED_VALUE"""),"")</f>
        <v/>
      </c>
      <c r="C13042" s="12" t="str">
        <f ca="1">IFERROR(__xludf.DUMMYFUNCTION("""COMPUTED_VALUE"""),"")</f>
        <v/>
      </c>
      <c r="D13042" s="12" t="str">
        <f ca="1">IFERROR(__xludf.DUMMYFUNCTION("""COMPUTED_VALUE"""),"")</f>
        <v/>
      </c>
    </row>
    <row r="13043" spans="2:4" ht="13">
      <c r="B13043" s="12" t="str">
        <f ca="1">IFERROR(__xludf.DUMMYFUNCTION("""COMPUTED_VALUE"""),"")</f>
        <v/>
      </c>
      <c r="C13043" s="12" t="str">
        <f ca="1">IFERROR(__xludf.DUMMYFUNCTION("""COMPUTED_VALUE"""),"")</f>
        <v/>
      </c>
      <c r="D13043" s="12" t="str">
        <f ca="1">IFERROR(__xludf.DUMMYFUNCTION("""COMPUTED_VALUE"""),"")</f>
        <v/>
      </c>
    </row>
    <row r="13044" spans="2:4" ht="13">
      <c r="B13044" s="12" t="str">
        <f ca="1">IFERROR(__xludf.DUMMYFUNCTION("""COMPUTED_VALUE"""),"")</f>
        <v/>
      </c>
      <c r="C13044" s="12" t="str">
        <f ca="1">IFERROR(__xludf.DUMMYFUNCTION("""COMPUTED_VALUE"""),"")</f>
        <v/>
      </c>
      <c r="D13044" s="12" t="str">
        <f ca="1">IFERROR(__xludf.DUMMYFUNCTION("""COMPUTED_VALUE"""),"")</f>
        <v/>
      </c>
    </row>
    <row r="13045" spans="2:4" ht="13">
      <c r="B13045" s="12" t="str">
        <f ca="1">IFERROR(__xludf.DUMMYFUNCTION("""COMPUTED_VALUE"""),"")</f>
        <v/>
      </c>
      <c r="C13045" s="12" t="str">
        <f ca="1">IFERROR(__xludf.DUMMYFUNCTION("""COMPUTED_VALUE"""),"")</f>
        <v/>
      </c>
      <c r="D13045" s="12" t="str">
        <f ca="1">IFERROR(__xludf.DUMMYFUNCTION("""COMPUTED_VALUE"""),"")</f>
        <v/>
      </c>
    </row>
    <row r="13046" spans="2:4" ht="13">
      <c r="B13046" s="12" t="str">
        <f ca="1">IFERROR(__xludf.DUMMYFUNCTION("""COMPUTED_VALUE"""),"")</f>
        <v/>
      </c>
      <c r="C13046" s="12" t="str">
        <f ca="1">IFERROR(__xludf.DUMMYFUNCTION("""COMPUTED_VALUE"""),"")</f>
        <v/>
      </c>
      <c r="D13046" s="12" t="str">
        <f ca="1">IFERROR(__xludf.DUMMYFUNCTION("""COMPUTED_VALUE"""),"")</f>
        <v/>
      </c>
    </row>
    <row r="13047" spans="2:4" ht="13">
      <c r="B13047" s="12" t="str">
        <f ca="1">IFERROR(__xludf.DUMMYFUNCTION("""COMPUTED_VALUE"""),"")</f>
        <v/>
      </c>
      <c r="C13047" s="12" t="str">
        <f ca="1">IFERROR(__xludf.DUMMYFUNCTION("""COMPUTED_VALUE"""),"")</f>
        <v/>
      </c>
      <c r="D13047" s="12" t="str">
        <f ca="1">IFERROR(__xludf.DUMMYFUNCTION("""COMPUTED_VALUE"""),"")</f>
        <v/>
      </c>
    </row>
    <row r="13048" spans="2:4" ht="13">
      <c r="B13048" s="12" t="str">
        <f ca="1">IFERROR(__xludf.DUMMYFUNCTION("""COMPUTED_VALUE"""),"")</f>
        <v/>
      </c>
      <c r="C13048" s="12" t="str">
        <f ca="1">IFERROR(__xludf.DUMMYFUNCTION("""COMPUTED_VALUE"""),"")</f>
        <v/>
      </c>
      <c r="D13048" s="12" t="str">
        <f ca="1">IFERROR(__xludf.DUMMYFUNCTION("""COMPUTED_VALUE"""),"")</f>
        <v/>
      </c>
    </row>
    <row r="13049" spans="2:4" ht="13">
      <c r="B13049" s="12" t="str">
        <f ca="1">IFERROR(__xludf.DUMMYFUNCTION("""COMPUTED_VALUE"""),"")</f>
        <v/>
      </c>
      <c r="C13049" s="12" t="str">
        <f ca="1">IFERROR(__xludf.DUMMYFUNCTION("""COMPUTED_VALUE"""),"")</f>
        <v/>
      </c>
      <c r="D13049" s="12" t="str">
        <f ca="1">IFERROR(__xludf.DUMMYFUNCTION("""COMPUTED_VALUE"""),"")</f>
        <v/>
      </c>
    </row>
    <row r="13050" spans="2:4" ht="13">
      <c r="B13050" s="12" t="str">
        <f ca="1">IFERROR(__xludf.DUMMYFUNCTION("""COMPUTED_VALUE"""),"")</f>
        <v/>
      </c>
      <c r="C13050" s="12" t="str">
        <f ca="1">IFERROR(__xludf.DUMMYFUNCTION("""COMPUTED_VALUE"""),"")</f>
        <v/>
      </c>
      <c r="D13050" s="12" t="str">
        <f ca="1">IFERROR(__xludf.DUMMYFUNCTION("""COMPUTED_VALUE"""),"")</f>
        <v/>
      </c>
    </row>
    <row r="13051" spans="2:4" ht="13">
      <c r="B13051" s="12" t="str">
        <f ca="1">IFERROR(__xludf.DUMMYFUNCTION("""COMPUTED_VALUE"""),"")</f>
        <v/>
      </c>
      <c r="C13051" s="12" t="str">
        <f ca="1">IFERROR(__xludf.DUMMYFUNCTION("""COMPUTED_VALUE"""),"")</f>
        <v/>
      </c>
      <c r="D13051" s="12" t="str">
        <f ca="1">IFERROR(__xludf.DUMMYFUNCTION("""COMPUTED_VALUE"""),"")</f>
        <v/>
      </c>
    </row>
    <row r="13052" spans="2:4" ht="13">
      <c r="B13052" s="12" t="str">
        <f ca="1">IFERROR(__xludf.DUMMYFUNCTION("""COMPUTED_VALUE"""),"")</f>
        <v/>
      </c>
      <c r="C13052" s="12" t="str">
        <f ca="1">IFERROR(__xludf.DUMMYFUNCTION("""COMPUTED_VALUE"""),"")</f>
        <v/>
      </c>
      <c r="D13052" s="12" t="str">
        <f ca="1">IFERROR(__xludf.DUMMYFUNCTION("""COMPUTED_VALUE"""),"")</f>
        <v/>
      </c>
    </row>
    <row r="13053" spans="2:4" ht="13">
      <c r="B13053" s="12" t="str">
        <f ca="1">IFERROR(__xludf.DUMMYFUNCTION("""COMPUTED_VALUE"""),"")</f>
        <v/>
      </c>
      <c r="C13053" s="12" t="str">
        <f ca="1">IFERROR(__xludf.DUMMYFUNCTION("""COMPUTED_VALUE"""),"")</f>
        <v/>
      </c>
      <c r="D13053" s="12" t="str">
        <f ca="1">IFERROR(__xludf.DUMMYFUNCTION("""COMPUTED_VALUE"""),"")</f>
        <v/>
      </c>
    </row>
    <row r="13054" spans="2:4" ht="13">
      <c r="B13054" s="12" t="str">
        <f ca="1">IFERROR(__xludf.DUMMYFUNCTION("""COMPUTED_VALUE"""),"")</f>
        <v/>
      </c>
      <c r="C13054" s="12" t="str">
        <f ca="1">IFERROR(__xludf.DUMMYFUNCTION("""COMPUTED_VALUE"""),"")</f>
        <v/>
      </c>
      <c r="D13054" s="12" t="str">
        <f ca="1">IFERROR(__xludf.DUMMYFUNCTION("""COMPUTED_VALUE"""),"")</f>
        <v/>
      </c>
    </row>
    <row r="13055" spans="2:4" ht="13">
      <c r="B13055" s="12" t="str">
        <f ca="1">IFERROR(__xludf.DUMMYFUNCTION("""COMPUTED_VALUE"""),"")</f>
        <v/>
      </c>
      <c r="C13055" s="12" t="str">
        <f ca="1">IFERROR(__xludf.DUMMYFUNCTION("""COMPUTED_VALUE"""),"")</f>
        <v/>
      </c>
      <c r="D13055" s="12" t="str">
        <f ca="1">IFERROR(__xludf.DUMMYFUNCTION("""COMPUTED_VALUE"""),"")</f>
        <v/>
      </c>
    </row>
    <row r="13056" spans="2:4" ht="13">
      <c r="B13056" s="12" t="str">
        <f ca="1">IFERROR(__xludf.DUMMYFUNCTION("""COMPUTED_VALUE"""),"")</f>
        <v/>
      </c>
      <c r="C13056" s="12" t="str">
        <f ca="1">IFERROR(__xludf.DUMMYFUNCTION("""COMPUTED_VALUE"""),"")</f>
        <v/>
      </c>
      <c r="D13056" s="12" t="str">
        <f ca="1">IFERROR(__xludf.DUMMYFUNCTION("""COMPUTED_VALUE"""),"")</f>
        <v/>
      </c>
    </row>
    <row r="13057" spans="2:4" ht="13">
      <c r="B13057" s="12" t="str">
        <f ca="1">IFERROR(__xludf.DUMMYFUNCTION("""COMPUTED_VALUE"""),"")</f>
        <v/>
      </c>
      <c r="C13057" s="12" t="str">
        <f ca="1">IFERROR(__xludf.DUMMYFUNCTION("""COMPUTED_VALUE"""),"")</f>
        <v/>
      </c>
      <c r="D13057" s="12" t="str">
        <f ca="1">IFERROR(__xludf.DUMMYFUNCTION("""COMPUTED_VALUE"""),"")</f>
        <v/>
      </c>
    </row>
    <row r="13058" spans="2:4" ht="13">
      <c r="B13058" s="12" t="str">
        <f ca="1">IFERROR(__xludf.DUMMYFUNCTION("""COMPUTED_VALUE"""),"")</f>
        <v/>
      </c>
      <c r="C13058" s="12" t="str">
        <f ca="1">IFERROR(__xludf.DUMMYFUNCTION("""COMPUTED_VALUE"""),"")</f>
        <v/>
      </c>
      <c r="D13058" s="12" t="str">
        <f ca="1">IFERROR(__xludf.DUMMYFUNCTION("""COMPUTED_VALUE"""),"")</f>
        <v/>
      </c>
    </row>
    <row r="13059" spans="2:4" ht="13">
      <c r="B13059" s="12" t="str">
        <f ca="1">IFERROR(__xludf.DUMMYFUNCTION("""COMPUTED_VALUE"""),"")</f>
        <v/>
      </c>
      <c r="C13059" s="12" t="str">
        <f ca="1">IFERROR(__xludf.DUMMYFUNCTION("""COMPUTED_VALUE"""),"")</f>
        <v/>
      </c>
      <c r="D13059" s="12" t="str">
        <f ca="1">IFERROR(__xludf.DUMMYFUNCTION("""COMPUTED_VALUE"""),"")</f>
        <v/>
      </c>
    </row>
    <row r="13060" spans="2:4" ht="13">
      <c r="B13060" s="12" t="str">
        <f ca="1">IFERROR(__xludf.DUMMYFUNCTION("""COMPUTED_VALUE"""),"")</f>
        <v/>
      </c>
      <c r="C13060" s="12" t="str">
        <f ca="1">IFERROR(__xludf.DUMMYFUNCTION("""COMPUTED_VALUE"""),"")</f>
        <v/>
      </c>
      <c r="D13060" s="12" t="str">
        <f ca="1">IFERROR(__xludf.DUMMYFUNCTION("""COMPUTED_VALUE"""),"")</f>
        <v/>
      </c>
    </row>
    <row r="13061" spans="2:4" ht="13">
      <c r="B13061" s="12" t="str">
        <f ca="1">IFERROR(__xludf.DUMMYFUNCTION("""COMPUTED_VALUE"""),"")</f>
        <v/>
      </c>
      <c r="C13061" s="12" t="str">
        <f ca="1">IFERROR(__xludf.DUMMYFUNCTION("""COMPUTED_VALUE"""),"")</f>
        <v/>
      </c>
      <c r="D13061" s="12" t="str">
        <f ca="1">IFERROR(__xludf.DUMMYFUNCTION("""COMPUTED_VALUE"""),"")</f>
        <v/>
      </c>
    </row>
    <row r="13062" spans="2:4" ht="13">
      <c r="B13062" s="12" t="str">
        <f ca="1">IFERROR(__xludf.DUMMYFUNCTION("""COMPUTED_VALUE"""),"")</f>
        <v/>
      </c>
      <c r="C13062" s="12" t="str">
        <f ca="1">IFERROR(__xludf.DUMMYFUNCTION("""COMPUTED_VALUE"""),"")</f>
        <v/>
      </c>
      <c r="D13062" s="12" t="str">
        <f ca="1">IFERROR(__xludf.DUMMYFUNCTION("""COMPUTED_VALUE"""),"")</f>
        <v/>
      </c>
    </row>
    <row r="13063" spans="2:4" ht="13">
      <c r="B13063" s="12" t="str">
        <f ca="1">IFERROR(__xludf.DUMMYFUNCTION("""COMPUTED_VALUE"""),"")</f>
        <v/>
      </c>
      <c r="C13063" s="12" t="str">
        <f ca="1">IFERROR(__xludf.DUMMYFUNCTION("""COMPUTED_VALUE"""),"")</f>
        <v/>
      </c>
      <c r="D13063" s="12" t="str">
        <f ca="1">IFERROR(__xludf.DUMMYFUNCTION("""COMPUTED_VALUE"""),"")</f>
        <v/>
      </c>
    </row>
    <row r="13064" spans="2:4" ht="13">
      <c r="B13064" s="12" t="str">
        <f ca="1">IFERROR(__xludf.DUMMYFUNCTION("""COMPUTED_VALUE"""),"")</f>
        <v/>
      </c>
      <c r="C13064" s="12" t="str">
        <f ca="1">IFERROR(__xludf.DUMMYFUNCTION("""COMPUTED_VALUE"""),"")</f>
        <v/>
      </c>
      <c r="D13064" s="12" t="str">
        <f ca="1">IFERROR(__xludf.DUMMYFUNCTION("""COMPUTED_VALUE"""),"")</f>
        <v/>
      </c>
    </row>
    <row r="13065" spans="2:4" ht="13">
      <c r="B13065" s="12" t="str">
        <f ca="1">IFERROR(__xludf.DUMMYFUNCTION("""COMPUTED_VALUE"""),"")</f>
        <v/>
      </c>
      <c r="C13065" s="12" t="str">
        <f ca="1">IFERROR(__xludf.DUMMYFUNCTION("""COMPUTED_VALUE"""),"")</f>
        <v/>
      </c>
      <c r="D13065" s="12" t="str">
        <f ca="1">IFERROR(__xludf.DUMMYFUNCTION("""COMPUTED_VALUE"""),"")</f>
        <v/>
      </c>
    </row>
    <row r="13066" spans="2:4" ht="13">
      <c r="B13066" s="12" t="str">
        <f ca="1">IFERROR(__xludf.DUMMYFUNCTION("""COMPUTED_VALUE"""),"")</f>
        <v/>
      </c>
      <c r="C13066" s="12" t="str">
        <f ca="1">IFERROR(__xludf.DUMMYFUNCTION("""COMPUTED_VALUE"""),"")</f>
        <v/>
      </c>
      <c r="D13066" s="12" t="str">
        <f ca="1">IFERROR(__xludf.DUMMYFUNCTION("""COMPUTED_VALUE"""),"")</f>
        <v/>
      </c>
    </row>
    <row r="13067" spans="2:4" ht="13">
      <c r="B13067" s="12" t="str">
        <f ca="1">IFERROR(__xludf.DUMMYFUNCTION("""COMPUTED_VALUE"""),"")</f>
        <v/>
      </c>
      <c r="C13067" s="12" t="str">
        <f ca="1">IFERROR(__xludf.DUMMYFUNCTION("""COMPUTED_VALUE"""),"")</f>
        <v/>
      </c>
      <c r="D13067" s="12" t="str">
        <f ca="1">IFERROR(__xludf.DUMMYFUNCTION("""COMPUTED_VALUE"""),"")</f>
        <v/>
      </c>
    </row>
    <row r="13068" spans="2:4" ht="13">
      <c r="B13068" s="12" t="str">
        <f ca="1">IFERROR(__xludf.DUMMYFUNCTION("""COMPUTED_VALUE"""),"")</f>
        <v/>
      </c>
      <c r="C13068" s="12" t="str">
        <f ca="1">IFERROR(__xludf.DUMMYFUNCTION("""COMPUTED_VALUE"""),"")</f>
        <v/>
      </c>
      <c r="D13068" s="12" t="str">
        <f ca="1">IFERROR(__xludf.DUMMYFUNCTION("""COMPUTED_VALUE"""),"")</f>
        <v/>
      </c>
    </row>
    <row r="13069" spans="2:4" ht="13">
      <c r="B13069" s="12" t="str">
        <f ca="1">IFERROR(__xludf.DUMMYFUNCTION("""COMPUTED_VALUE"""),"")</f>
        <v/>
      </c>
      <c r="C13069" s="12" t="str">
        <f ca="1">IFERROR(__xludf.DUMMYFUNCTION("""COMPUTED_VALUE"""),"")</f>
        <v/>
      </c>
      <c r="D13069" s="12" t="str">
        <f ca="1">IFERROR(__xludf.DUMMYFUNCTION("""COMPUTED_VALUE"""),"")</f>
        <v/>
      </c>
    </row>
    <row r="13070" spans="2:4" ht="13">
      <c r="B13070" s="12" t="str">
        <f ca="1">IFERROR(__xludf.DUMMYFUNCTION("""COMPUTED_VALUE"""),"")</f>
        <v/>
      </c>
      <c r="C13070" s="12" t="str">
        <f ca="1">IFERROR(__xludf.DUMMYFUNCTION("""COMPUTED_VALUE"""),"")</f>
        <v/>
      </c>
      <c r="D13070" s="12" t="str">
        <f ca="1">IFERROR(__xludf.DUMMYFUNCTION("""COMPUTED_VALUE"""),"")</f>
        <v/>
      </c>
    </row>
    <row r="13071" spans="2:4" ht="13">
      <c r="B13071" s="12" t="str">
        <f ca="1">IFERROR(__xludf.DUMMYFUNCTION("""COMPUTED_VALUE"""),"")</f>
        <v/>
      </c>
      <c r="C13071" s="12" t="str">
        <f ca="1">IFERROR(__xludf.DUMMYFUNCTION("""COMPUTED_VALUE"""),"")</f>
        <v/>
      </c>
      <c r="D13071" s="12" t="str">
        <f ca="1">IFERROR(__xludf.DUMMYFUNCTION("""COMPUTED_VALUE"""),"")</f>
        <v/>
      </c>
    </row>
    <row r="13072" spans="2:4" ht="13">
      <c r="B13072" s="12" t="str">
        <f ca="1">IFERROR(__xludf.DUMMYFUNCTION("""COMPUTED_VALUE"""),"")</f>
        <v/>
      </c>
      <c r="C13072" s="12" t="str">
        <f ca="1">IFERROR(__xludf.DUMMYFUNCTION("""COMPUTED_VALUE"""),"")</f>
        <v/>
      </c>
      <c r="D13072" s="12" t="str">
        <f ca="1">IFERROR(__xludf.DUMMYFUNCTION("""COMPUTED_VALUE"""),"")</f>
        <v/>
      </c>
    </row>
    <row r="13073" spans="2:4" ht="13">
      <c r="B13073" s="12" t="str">
        <f ca="1">IFERROR(__xludf.DUMMYFUNCTION("""COMPUTED_VALUE"""),"")</f>
        <v/>
      </c>
      <c r="C13073" s="12" t="str">
        <f ca="1">IFERROR(__xludf.DUMMYFUNCTION("""COMPUTED_VALUE"""),"")</f>
        <v/>
      </c>
      <c r="D13073" s="12" t="str">
        <f ca="1">IFERROR(__xludf.DUMMYFUNCTION("""COMPUTED_VALUE"""),"")</f>
        <v/>
      </c>
    </row>
    <row r="13074" spans="2:4" ht="13">
      <c r="B13074" s="12" t="str">
        <f ca="1">IFERROR(__xludf.DUMMYFUNCTION("""COMPUTED_VALUE"""),"")</f>
        <v/>
      </c>
      <c r="C13074" s="12" t="str">
        <f ca="1">IFERROR(__xludf.DUMMYFUNCTION("""COMPUTED_VALUE"""),"")</f>
        <v/>
      </c>
      <c r="D13074" s="12" t="str">
        <f ca="1">IFERROR(__xludf.DUMMYFUNCTION("""COMPUTED_VALUE"""),"")</f>
        <v/>
      </c>
    </row>
    <row r="13075" spans="2:4" ht="13">
      <c r="B13075" s="12" t="str">
        <f ca="1">IFERROR(__xludf.DUMMYFUNCTION("""COMPUTED_VALUE"""),"")</f>
        <v/>
      </c>
      <c r="C13075" s="12" t="str">
        <f ca="1">IFERROR(__xludf.DUMMYFUNCTION("""COMPUTED_VALUE"""),"")</f>
        <v/>
      </c>
      <c r="D13075" s="12" t="str">
        <f ca="1">IFERROR(__xludf.DUMMYFUNCTION("""COMPUTED_VALUE"""),"")</f>
        <v/>
      </c>
    </row>
    <row r="13076" spans="2:4" ht="13">
      <c r="B13076" s="12" t="str">
        <f ca="1">IFERROR(__xludf.DUMMYFUNCTION("""COMPUTED_VALUE"""),"")</f>
        <v/>
      </c>
      <c r="C13076" s="12" t="str">
        <f ca="1">IFERROR(__xludf.DUMMYFUNCTION("""COMPUTED_VALUE"""),"")</f>
        <v/>
      </c>
      <c r="D13076" s="12" t="str">
        <f ca="1">IFERROR(__xludf.DUMMYFUNCTION("""COMPUTED_VALUE"""),"")</f>
        <v/>
      </c>
    </row>
    <row r="13077" spans="2:4" ht="13">
      <c r="B13077" s="12" t="str">
        <f ca="1">IFERROR(__xludf.DUMMYFUNCTION("""COMPUTED_VALUE"""),"")</f>
        <v/>
      </c>
      <c r="C13077" s="12" t="str">
        <f ca="1">IFERROR(__xludf.DUMMYFUNCTION("""COMPUTED_VALUE"""),"")</f>
        <v/>
      </c>
      <c r="D13077" s="12" t="str">
        <f ca="1">IFERROR(__xludf.DUMMYFUNCTION("""COMPUTED_VALUE"""),"")</f>
        <v/>
      </c>
    </row>
    <row r="13078" spans="2:4" ht="13">
      <c r="B13078" s="12" t="str">
        <f ca="1">IFERROR(__xludf.DUMMYFUNCTION("""COMPUTED_VALUE"""),"")</f>
        <v/>
      </c>
      <c r="C13078" s="12" t="str">
        <f ca="1">IFERROR(__xludf.DUMMYFUNCTION("""COMPUTED_VALUE"""),"")</f>
        <v/>
      </c>
      <c r="D13078" s="12" t="str">
        <f ca="1">IFERROR(__xludf.DUMMYFUNCTION("""COMPUTED_VALUE"""),"")</f>
        <v/>
      </c>
    </row>
    <row r="13079" spans="2:4" ht="13">
      <c r="B13079" s="12" t="str">
        <f ca="1">IFERROR(__xludf.DUMMYFUNCTION("""COMPUTED_VALUE"""),"")</f>
        <v/>
      </c>
      <c r="C13079" s="12" t="str">
        <f ca="1">IFERROR(__xludf.DUMMYFUNCTION("""COMPUTED_VALUE"""),"")</f>
        <v/>
      </c>
      <c r="D13079" s="12" t="str">
        <f ca="1">IFERROR(__xludf.DUMMYFUNCTION("""COMPUTED_VALUE"""),"")</f>
        <v/>
      </c>
    </row>
    <row r="13080" spans="2:4" ht="13">
      <c r="B13080" s="12" t="str">
        <f ca="1">IFERROR(__xludf.DUMMYFUNCTION("""COMPUTED_VALUE"""),"")</f>
        <v/>
      </c>
      <c r="C13080" s="12" t="str">
        <f ca="1">IFERROR(__xludf.DUMMYFUNCTION("""COMPUTED_VALUE"""),"")</f>
        <v/>
      </c>
      <c r="D13080" s="12" t="str">
        <f ca="1">IFERROR(__xludf.DUMMYFUNCTION("""COMPUTED_VALUE"""),"")</f>
        <v/>
      </c>
    </row>
    <row r="13081" spans="2:4" ht="13">
      <c r="B13081" s="12" t="str">
        <f ca="1">IFERROR(__xludf.DUMMYFUNCTION("""COMPUTED_VALUE"""),"")</f>
        <v/>
      </c>
      <c r="C13081" s="12" t="str">
        <f ca="1">IFERROR(__xludf.DUMMYFUNCTION("""COMPUTED_VALUE"""),"")</f>
        <v/>
      </c>
      <c r="D13081" s="12" t="str">
        <f ca="1">IFERROR(__xludf.DUMMYFUNCTION("""COMPUTED_VALUE"""),"")</f>
        <v/>
      </c>
    </row>
    <row r="13082" spans="2:4" ht="13">
      <c r="B13082" s="12" t="str">
        <f ca="1">IFERROR(__xludf.DUMMYFUNCTION("""COMPUTED_VALUE"""),"")</f>
        <v/>
      </c>
      <c r="C13082" s="12" t="str">
        <f ca="1">IFERROR(__xludf.DUMMYFUNCTION("""COMPUTED_VALUE"""),"")</f>
        <v/>
      </c>
      <c r="D13082" s="12" t="str">
        <f ca="1">IFERROR(__xludf.DUMMYFUNCTION("""COMPUTED_VALUE"""),"")</f>
        <v/>
      </c>
    </row>
    <row r="13083" spans="2:4" ht="13">
      <c r="B13083" s="12" t="str">
        <f ca="1">IFERROR(__xludf.DUMMYFUNCTION("""COMPUTED_VALUE"""),"")</f>
        <v/>
      </c>
      <c r="C13083" s="12" t="str">
        <f ca="1">IFERROR(__xludf.DUMMYFUNCTION("""COMPUTED_VALUE"""),"")</f>
        <v/>
      </c>
      <c r="D13083" s="12" t="str">
        <f ca="1">IFERROR(__xludf.DUMMYFUNCTION("""COMPUTED_VALUE"""),"")</f>
        <v/>
      </c>
    </row>
    <row r="13084" spans="2:4" ht="13">
      <c r="B13084" s="12" t="str">
        <f ca="1">IFERROR(__xludf.DUMMYFUNCTION("""COMPUTED_VALUE"""),"")</f>
        <v/>
      </c>
      <c r="C13084" s="12" t="str">
        <f ca="1">IFERROR(__xludf.DUMMYFUNCTION("""COMPUTED_VALUE"""),"")</f>
        <v/>
      </c>
      <c r="D13084" s="12" t="str">
        <f ca="1">IFERROR(__xludf.DUMMYFUNCTION("""COMPUTED_VALUE"""),"")</f>
        <v/>
      </c>
    </row>
    <row r="13085" spans="2:4" ht="13">
      <c r="B13085" s="12" t="str">
        <f ca="1">IFERROR(__xludf.DUMMYFUNCTION("""COMPUTED_VALUE"""),"")</f>
        <v/>
      </c>
      <c r="C13085" s="12" t="str">
        <f ca="1">IFERROR(__xludf.DUMMYFUNCTION("""COMPUTED_VALUE"""),"")</f>
        <v/>
      </c>
      <c r="D13085" s="12" t="str">
        <f ca="1">IFERROR(__xludf.DUMMYFUNCTION("""COMPUTED_VALUE"""),"")</f>
        <v/>
      </c>
    </row>
    <row r="13086" spans="2:4" ht="13">
      <c r="B13086" s="12" t="str">
        <f ca="1">IFERROR(__xludf.DUMMYFUNCTION("""COMPUTED_VALUE"""),"")</f>
        <v/>
      </c>
      <c r="C13086" s="12" t="str">
        <f ca="1">IFERROR(__xludf.DUMMYFUNCTION("""COMPUTED_VALUE"""),"")</f>
        <v/>
      </c>
      <c r="D13086" s="12" t="str">
        <f ca="1">IFERROR(__xludf.DUMMYFUNCTION("""COMPUTED_VALUE"""),"")</f>
        <v/>
      </c>
    </row>
    <row r="13087" spans="2:4" ht="13">
      <c r="B13087" s="12" t="str">
        <f ca="1">IFERROR(__xludf.DUMMYFUNCTION("""COMPUTED_VALUE"""),"")</f>
        <v/>
      </c>
      <c r="C13087" s="12" t="str">
        <f ca="1">IFERROR(__xludf.DUMMYFUNCTION("""COMPUTED_VALUE"""),"")</f>
        <v/>
      </c>
      <c r="D13087" s="12" t="str">
        <f ca="1">IFERROR(__xludf.DUMMYFUNCTION("""COMPUTED_VALUE"""),"")</f>
        <v/>
      </c>
    </row>
    <row r="13088" spans="2:4" ht="13">
      <c r="B13088" s="12" t="str">
        <f ca="1">IFERROR(__xludf.DUMMYFUNCTION("""COMPUTED_VALUE"""),"")</f>
        <v/>
      </c>
      <c r="C13088" s="12" t="str">
        <f ca="1">IFERROR(__xludf.DUMMYFUNCTION("""COMPUTED_VALUE"""),"")</f>
        <v/>
      </c>
      <c r="D13088" s="12" t="str">
        <f ca="1">IFERROR(__xludf.DUMMYFUNCTION("""COMPUTED_VALUE"""),"")</f>
        <v/>
      </c>
    </row>
    <row r="13089" spans="2:4" ht="13">
      <c r="B13089" s="12" t="str">
        <f ca="1">IFERROR(__xludf.DUMMYFUNCTION("""COMPUTED_VALUE"""),"")</f>
        <v/>
      </c>
      <c r="C13089" s="12" t="str">
        <f ca="1">IFERROR(__xludf.DUMMYFUNCTION("""COMPUTED_VALUE"""),"")</f>
        <v/>
      </c>
      <c r="D13089" s="12" t="str">
        <f ca="1">IFERROR(__xludf.DUMMYFUNCTION("""COMPUTED_VALUE"""),"")</f>
        <v/>
      </c>
    </row>
    <row r="13090" spans="2:4" ht="13">
      <c r="B13090" s="12" t="str">
        <f ca="1">IFERROR(__xludf.DUMMYFUNCTION("""COMPUTED_VALUE"""),"")</f>
        <v/>
      </c>
      <c r="C13090" s="12" t="str">
        <f ca="1">IFERROR(__xludf.DUMMYFUNCTION("""COMPUTED_VALUE"""),"")</f>
        <v/>
      </c>
      <c r="D13090" s="12" t="str">
        <f ca="1">IFERROR(__xludf.DUMMYFUNCTION("""COMPUTED_VALUE"""),"")</f>
        <v/>
      </c>
    </row>
    <row r="13091" spans="2:4" ht="13">
      <c r="B13091" s="12" t="str">
        <f ca="1">IFERROR(__xludf.DUMMYFUNCTION("""COMPUTED_VALUE"""),"")</f>
        <v/>
      </c>
      <c r="C13091" s="12" t="str">
        <f ca="1">IFERROR(__xludf.DUMMYFUNCTION("""COMPUTED_VALUE"""),"")</f>
        <v/>
      </c>
      <c r="D13091" s="12" t="str">
        <f ca="1">IFERROR(__xludf.DUMMYFUNCTION("""COMPUTED_VALUE"""),"")</f>
        <v/>
      </c>
    </row>
    <row r="13092" spans="2:4" ht="13">
      <c r="B13092" s="12" t="str">
        <f ca="1">IFERROR(__xludf.DUMMYFUNCTION("""COMPUTED_VALUE"""),"")</f>
        <v/>
      </c>
      <c r="C13092" s="12" t="str">
        <f ca="1">IFERROR(__xludf.DUMMYFUNCTION("""COMPUTED_VALUE"""),"")</f>
        <v/>
      </c>
      <c r="D13092" s="12" t="str">
        <f ca="1">IFERROR(__xludf.DUMMYFUNCTION("""COMPUTED_VALUE"""),"")</f>
        <v/>
      </c>
    </row>
    <row r="13093" spans="2:4" ht="13">
      <c r="B13093" s="12" t="str">
        <f ca="1">IFERROR(__xludf.DUMMYFUNCTION("""COMPUTED_VALUE"""),"")</f>
        <v/>
      </c>
      <c r="C13093" s="12" t="str">
        <f ca="1">IFERROR(__xludf.DUMMYFUNCTION("""COMPUTED_VALUE"""),"")</f>
        <v/>
      </c>
      <c r="D13093" s="12" t="str">
        <f ca="1">IFERROR(__xludf.DUMMYFUNCTION("""COMPUTED_VALUE"""),"")</f>
        <v/>
      </c>
    </row>
    <row r="13094" spans="2:4" ht="13">
      <c r="B13094" s="12" t="str">
        <f ca="1">IFERROR(__xludf.DUMMYFUNCTION("""COMPUTED_VALUE"""),"")</f>
        <v/>
      </c>
      <c r="C13094" s="12" t="str">
        <f ca="1">IFERROR(__xludf.DUMMYFUNCTION("""COMPUTED_VALUE"""),"")</f>
        <v/>
      </c>
      <c r="D13094" s="12" t="str">
        <f ca="1">IFERROR(__xludf.DUMMYFUNCTION("""COMPUTED_VALUE"""),"")</f>
        <v/>
      </c>
    </row>
    <row r="13095" spans="2:4" ht="13">
      <c r="B13095" s="12" t="str">
        <f ca="1">IFERROR(__xludf.DUMMYFUNCTION("""COMPUTED_VALUE"""),"")</f>
        <v/>
      </c>
      <c r="C13095" s="12" t="str">
        <f ca="1">IFERROR(__xludf.DUMMYFUNCTION("""COMPUTED_VALUE"""),"")</f>
        <v/>
      </c>
      <c r="D13095" s="12" t="str">
        <f ca="1">IFERROR(__xludf.DUMMYFUNCTION("""COMPUTED_VALUE"""),"")</f>
        <v/>
      </c>
    </row>
    <row r="13096" spans="2:4" ht="13">
      <c r="B13096" s="12" t="str">
        <f ca="1">IFERROR(__xludf.DUMMYFUNCTION("""COMPUTED_VALUE"""),"")</f>
        <v/>
      </c>
      <c r="C13096" s="12" t="str">
        <f ca="1">IFERROR(__xludf.DUMMYFUNCTION("""COMPUTED_VALUE"""),"")</f>
        <v/>
      </c>
      <c r="D13096" s="12" t="str">
        <f ca="1">IFERROR(__xludf.DUMMYFUNCTION("""COMPUTED_VALUE"""),"")</f>
        <v/>
      </c>
    </row>
    <row r="13097" spans="2:4" ht="13">
      <c r="B13097" s="12" t="str">
        <f ca="1">IFERROR(__xludf.DUMMYFUNCTION("""COMPUTED_VALUE"""),"")</f>
        <v/>
      </c>
      <c r="C13097" s="12" t="str">
        <f ca="1">IFERROR(__xludf.DUMMYFUNCTION("""COMPUTED_VALUE"""),"")</f>
        <v/>
      </c>
      <c r="D13097" s="12" t="str">
        <f ca="1">IFERROR(__xludf.DUMMYFUNCTION("""COMPUTED_VALUE"""),"")</f>
        <v/>
      </c>
    </row>
    <row r="13098" spans="2:4" ht="13">
      <c r="B13098" s="12" t="str">
        <f ca="1">IFERROR(__xludf.DUMMYFUNCTION("""COMPUTED_VALUE"""),"")</f>
        <v/>
      </c>
      <c r="C13098" s="12" t="str">
        <f ca="1">IFERROR(__xludf.DUMMYFUNCTION("""COMPUTED_VALUE"""),"")</f>
        <v/>
      </c>
      <c r="D13098" s="12" t="str">
        <f ca="1">IFERROR(__xludf.DUMMYFUNCTION("""COMPUTED_VALUE"""),"")</f>
        <v/>
      </c>
    </row>
    <row r="13099" spans="2:4" ht="13">
      <c r="B13099" s="12" t="str">
        <f ca="1">IFERROR(__xludf.DUMMYFUNCTION("""COMPUTED_VALUE"""),"")</f>
        <v/>
      </c>
      <c r="C13099" s="12" t="str">
        <f ca="1">IFERROR(__xludf.DUMMYFUNCTION("""COMPUTED_VALUE"""),"")</f>
        <v/>
      </c>
      <c r="D13099" s="12" t="str">
        <f ca="1">IFERROR(__xludf.DUMMYFUNCTION("""COMPUTED_VALUE"""),"")</f>
        <v/>
      </c>
    </row>
    <row r="13100" spans="2:4" ht="13">
      <c r="B13100" s="12" t="str">
        <f ca="1">IFERROR(__xludf.DUMMYFUNCTION("""COMPUTED_VALUE"""),"")</f>
        <v/>
      </c>
      <c r="C13100" s="12" t="str">
        <f ca="1">IFERROR(__xludf.DUMMYFUNCTION("""COMPUTED_VALUE"""),"")</f>
        <v/>
      </c>
      <c r="D13100" s="12" t="str">
        <f ca="1">IFERROR(__xludf.DUMMYFUNCTION("""COMPUTED_VALUE"""),"")</f>
        <v/>
      </c>
    </row>
    <row r="13101" spans="2:4" ht="13">
      <c r="B13101" s="12" t="str">
        <f ca="1">IFERROR(__xludf.DUMMYFUNCTION("""COMPUTED_VALUE"""),"")</f>
        <v/>
      </c>
      <c r="C13101" s="12" t="str">
        <f ca="1">IFERROR(__xludf.DUMMYFUNCTION("""COMPUTED_VALUE"""),"")</f>
        <v/>
      </c>
      <c r="D13101" s="12" t="str">
        <f ca="1">IFERROR(__xludf.DUMMYFUNCTION("""COMPUTED_VALUE"""),"")</f>
        <v/>
      </c>
    </row>
    <row r="13102" spans="2:4" ht="13">
      <c r="B13102" s="12" t="str">
        <f ca="1">IFERROR(__xludf.DUMMYFUNCTION("""COMPUTED_VALUE"""),"")</f>
        <v/>
      </c>
      <c r="C13102" s="12" t="str">
        <f ca="1">IFERROR(__xludf.DUMMYFUNCTION("""COMPUTED_VALUE"""),"")</f>
        <v/>
      </c>
      <c r="D13102" s="12" t="str">
        <f ca="1">IFERROR(__xludf.DUMMYFUNCTION("""COMPUTED_VALUE"""),"")</f>
        <v/>
      </c>
    </row>
    <row r="13103" spans="2:4" ht="13">
      <c r="B13103" s="12" t="str">
        <f ca="1">IFERROR(__xludf.DUMMYFUNCTION("""COMPUTED_VALUE"""),"")</f>
        <v/>
      </c>
      <c r="C13103" s="12" t="str">
        <f ca="1">IFERROR(__xludf.DUMMYFUNCTION("""COMPUTED_VALUE"""),"")</f>
        <v/>
      </c>
      <c r="D13103" s="12" t="str">
        <f ca="1">IFERROR(__xludf.DUMMYFUNCTION("""COMPUTED_VALUE"""),"")</f>
        <v/>
      </c>
    </row>
    <row r="13104" spans="2:4" ht="13">
      <c r="B13104" s="12" t="str">
        <f ca="1">IFERROR(__xludf.DUMMYFUNCTION("""COMPUTED_VALUE"""),"")</f>
        <v/>
      </c>
      <c r="C13104" s="12" t="str">
        <f ca="1">IFERROR(__xludf.DUMMYFUNCTION("""COMPUTED_VALUE"""),"")</f>
        <v/>
      </c>
      <c r="D13104" s="12" t="str">
        <f ca="1">IFERROR(__xludf.DUMMYFUNCTION("""COMPUTED_VALUE"""),"")</f>
        <v/>
      </c>
    </row>
    <row r="13105" spans="2:4" ht="13">
      <c r="B13105" s="12" t="str">
        <f ca="1">IFERROR(__xludf.DUMMYFUNCTION("""COMPUTED_VALUE"""),"")</f>
        <v/>
      </c>
      <c r="C13105" s="12" t="str">
        <f ca="1">IFERROR(__xludf.DUMMYFUNCTION("""COMPUTED_VALUE"""),"")</f>
        <v/>
      </c>
      <c r="D13105" s="12" t="str">
        <f ca="1">IFERROR(__xludf.DUMMYFUNCTION("""COMPUTED_VALUE"""),"")</f>
        <v/>
      </c>
    </row>
    <row r="13106" spans="2:4" ht="13">
      <c r="B13106" s="12" t="str">
        <f ca="1">IFERROR(__xludf.DUMMYFUNCTION("""COMPUTED_VALUE"""),"")</f>
        <v/>
      </c>
      <c r="C13106" s="12" t="str">
        <f ca="1">IFERROR(__xludf.DUMMYFUNCTION("""COMPUTED_VALUE"""),"")</f>
        <v/>
      </c>
      <c r="D13106" s="12" t="str">
        <f ca="1">IFERROR(__xludf.DUMMYFUNCTION("""COMPUTED_VALUE"""),"")</f>
        <v/>
      </c>
    </row>
    <row r="13107" spans="2:4" ht="13">
      <c r="B13107" s="12" t="str">
        <f ca="1">IFERROR(__xludf.DUMMYFUNCTION("""COMPUTED_VALUE"""),"")</f>
        <v/>
      </c>
      <c r="C13107" s="12" t="str">
        <f ca="1">IFERROR(__xludf.DUMMYFUNCTION("""COMPUTED_VALUE"""),"")</f>
        <v/>
      </c>
      <c r="D13107" s="12" t="str">
        <f ca="1">IFERROR(__xludf.DUMMYFUNCTION("""COMPUTED_VALUE"""),"")</f>
        <v/>
      </c>
    </row>
    <row r="13108" spans="2:4" ht="13">
      <c r="B13108" s="12" t="str">
        <f ca="1">IFERROR(__xludf.DUMMYFUNCTION("""COMPUTED_VALUE"""),"")</f>
        <v/>
      </c>
      <c r="C13108" s="12" t="str">
        <f ca="1">IFERROR(__xludf.DUMMYFUNCTION("""COMPUTED_VALUE"""),"")</f>
        <v/>
      </c>
      <c r="D13108" s="12" t="str">
        <f ca="1">IFERROR(__xludf.DUMMYFUNCTION("""COMPUTED_VALUE"""),"")</f>
        <v/>
      </c>
    </row>
    <row r="13109" spans="2:4" ht="13">
      <c r="B13109" s="12" t="str">
        <f ca="1">IFERROR(__xludf.DUMMYFUNCTION("""COMPUTED_VALUE"""),"")</f>
        <v/>
      </c>
      <c r="C13109" s="12" t="str">
        <f ca="1">IFERROR(__xludf.DUMMYFUNCTION("""COMPUTED_VALUE"""),"")</f>
        <v/>
      </c>
      <c r="D13109" s="12" t="str">
        <f ca="1">IFERROR(__xludf.DUMMYFUNCTION("""COMPUTED_VALUE"""),"")</f>
        <v/>
      </c>
    </row>
    <row r="13110" spans="2:4" ht="13">
      <c r="B13110" s="12" t="str">
        <f ca="1">IFERROR(__xludf.DUMMYFUNCTION("""COMPUTED_VALUE"""),"")</f>
        <v/>
      </c>
      <c r="C13110" s="12" t="str">
        <f ca="1">IFERROR(__xludf.DUMMYFUNCTION("""COMPUTED_VALUE"""),"")</f>
        <v/>
      </c>
      <c r="D13110" s="12" t="str">
        <f ca="1">IFERROR(__xludf.DUMMYFUNCTION("""COMPUTED_VALUE"""),"")</f>
        <v/>
      </c>
    </row>
    <row r="13111" spans="2:4" ht="13">
      <c r="B13111" s="12" t="str">
        <f ca="1">IFERROR(__xludf.DUMMYFUNCTION("""COMPUTED_VALUE"""),"")</f>
        <v/>
      </c>
      <c r="C13111" s="12" t="str">
        <f ca="1">IFERROR(__xludf.DUMMYFUNCTION("""COMPUTED_VALUE"""),"")</f>
        <v/>
      </c>
      <c r="D13111" s="12" t="str">
        <f ca="1">IFERROR(__xludf.DUMMYFUNCTION("""COMPUTED_VALUE"""),"")</f>
        <v/>
      </c>
    </row>
    <row r="13112" spans="2:4" ht="13">
      <c r="B13112" s="12" t="str">
        <f ca="1">IFERROR(__xludf.DUMMYFUNCTION("""COMPUTED_VALUE"""),"")</f>
        <v/>
      </c>
      <c r="C13112" s="12" t="str">
        <f ca="1">IFERROR(__xludf.DUMMYFUNCTION("""COMPUTED_VALUE"""),"")</f>
        <v/>
      </c>
      <c r="D13112" s="12" t="str">
        <f ca="1">IFERROR(__xludf.DUMMYFUNCTION("""COMPUTED_VALUE"""),"")</f>
        <v/>
      </c>
    </row>
    <row r="13113" spans="2:4" ht="13">
      <c r="B13113" s="12" t="str">
        <f ca="1">IFERROR(__xludf.DUMMYFUNCTION("""COMPUTED_VALUE"""),"")</f>
        <v/>
      </c>
      <c r="C13113" s="12" t="str">
        <f ca="1">IFERROR(__xludf.DUMMYFUNCTION("""COMPUTED_VALUE"""),"")</f>
        <v/>
      </c>
      <c r="D13113" s="12" t="str">
        <f ca="1">IFERROR(__xludf.DUMMYFUNCTION("""COMPUTED_VALUE"""),"")</f>
        <v/>
      </c>
    </row>
    <row r="13114" spans="2:4" ht="13">
      <c r="B13114" s="12" t="str">
        <f ca="1">IFERROR(__xludf.DUMMYFUNCTION("""COMPUTED_VALUE"""),"")</f>
        <v/>
      </c>
      <c r="C13114" s="12" t="str">
        <f ca="1">IFERROR(__xludf.DUMMYFUNCTION("""COMPUTED_VALUE"""),"")</f>
        <v/>
      </c>
      <c r="D13114" s="12" t="str">
        <f ca="1">IFERROR(__xludf.DUMMYFUNCTION("""COMPUTED_VALUE"""),"")</f>
        <v/>
      </c>
    </row>
    <row r="13115" spans="2:4" ht="13">
      <c r="B13115" s="12" t="str">
        <f ca="1">IFERROR(__xludf.DUMMYFUNCTION("""COMPUTED_VALUE"""),"")</f>
        <v/>
      </c>
      <c r="C13115" s="12" t="str">
        <f ca="1">IFERROR(__xludf.DUMMYFUNCTION("""COMPUTED_VALUE"""),"")</f>
        <v/>
      </c>
      <c r="D13115" s="12" t="str">
        <f ca="1">IFERROR(__xludf.DUMMYFUNCTION("""COMPUTED_VALUE"""),"")</f>
        <v/>
      </c>
    </row>
    <row r="13116" spans="2:4" ht="13">
      <c r="B13116" s="12" t="str">
        <f ca="1">IFERROR(__xludf.DUMMYFUNCTION("""COMPUTED_VALUE"""),"")</f>
        <v/>
      </c>
      <c r="C13116" s="12" t="str">
        <f ca="1">IFERROR(__xludf.DUMMYFUNCTION("""COMPUTED_VALUE"""),"")</f>
        <v/>
      </c>
      <c r="D13116" s="12" t="str">
        <f ca="1">IFERROR(__xludf.DUMMYFUNCTION("""COMPUTED_VALUE"""),"")</f>
        <v/>
      </c>
    </row>
    <row r="13117" spans="2:4" ht="13">
      <c r="B13117" s="12" t="str">
        <f ca="1">IFERROR(__xludf.DUMMYFUNCTION("""COMPUTED_VALUE"""),"")</f>
        <v/>
      </c>
      <c r="C13117" s="12" t="str">
        <f ca="1">IFERROR(__xludf.DUMMYFUNCTION("""COMPUTED_VALUE"""),"")</f>
        <v/>
      </c>
      <c r="D13117" s="12" t="str">
        <f ca="1">IFERROR(__xludf.DUMMYFUNCTION("""COMPUTED_VALUE"""),"")</f>
        <v/>
      </c>
    </row>
    <row r="13118" spans="2:4" ht="13">
      <c r="B13118" s="12" t="str">
        <f ca="1">IFERROR(__xludf.DUMMYFUNCTION("""COMPUTED_VALUE"""),"")</f>
        <v/>
      </c>
      <c r="C13118" s="12" t="str">
        <f ca="1">IFERROR(__xludf.DUMMYFUNCTION("""COMPUTED_VALUE"""),"")</f>
        <v/>
      </c>
      <c r="D13118" s="12" t="str">
        <f ca="1">IFERROR(__xludf.DUMMYFUNCTION("""COMPUTED_VALUE"""),"")</f>
        <v/>
      </c>
    </row>
    <row r="13119" spans="2:4" ht="13">
      <c r="B13119" s="12" t="str">
        <f ca="1">IFERROR(__xludf.DUMMYFUNCTION("""COMPUTED_VALUE"""),"")</f>
        <v/>
      </c>
      <c r="C13119" s="12" t="str">
        <f ca="1">IFERROR(__xludf.DUMMYFUNCTION("""COMPUTED_VALUE"""),"")</f>
        <v/>
      </c>
      <c r="D13119" s="12" t="str">
        <f ca="1">IFERROR(__xludf.DUMMYFUNCTION("""COMPUTED_VALUE"""),"")</f>
        <v/>
      </c>
    </row>
    <row r="13120" spans="2:4" ht="13">
      <c r="B13120" s="12" t="str">
        <f ca="1">IFERROR(__xludf.DUMMYFUNCTION("""COMPUTED_VALUE"""),"")</f>
        <v/>
      </c>
      <c r="C13120" s="12" t="str">
        <f ca="1">IFERROR(__xludf.DUMMYFUNCTION("""COMPUTED_VALUE"""),"")</f>
        <v/>
      </c>
      <c r="D13120" s="12" t="str">
        <f ca="1">IFERROR(__xludf.DUMMYFUNCTION("""COMPUTED_VALUE"""),"")</f>
        <v/>
      </c>
    </row>
    <row r="13121" spans="2:4" ht="13">
      <c r="B13121" s="12" t="str">
        <f ca="1">IFERROR(__xludf.DUMMYFUNCTION("""COMPUTED_VALUE"""),"")</f>
        <v/>
      </c>
      <c r="C13121" s="12" t="str">
        <f ca="1">IFERROR(__xludf.DUMMYFUNCTION("""COMPUTED_VALUE"""),"")</f>
        <v/>
      </c>
      <c r="D13121" s="12" t="str">
        <f ca="1">IFERROR(__xludf.DUMMYFUNCTION("""COMPUTED_VALUE"""),"")</f>
        <v/>
      </c>
    </row>
    <row r="13122" spans="2:4" ht="13">
      <c r="B13122" s="12" t="str">
        <f ca="1">IFERROR(__xludf.DUMMYFUNCTION("""COMPUTED_VALUE"""),"")</f>
        <v/>
      </c>
      <c r="C13122" s="12" t="str">
        <f ca="1">IFERROR(__xludf.DUMMYFUNCTION("""COMPUTED_VALUE"""),"")</f>
        <v/>
      </c>
      <c r="D13122" s="12" t="str">
        <f ca="1">IFERROR(__xludf.DUMMYFUNCTION("""COMPUTED_VALUE"""),"")</f>
        <v/>
      </c>
    </row>
    <row r="13123" spans="2:4" ht="13">
      <c r="B13123" s="12" t="str">
        <f ca="1">IFERROR(__xludf.DUMMYFUNCTION("""COMPUTED_VALUE"""),"")</f>
        <v/>
      </c>
      <c r="C13123" s="12" t="str">
        <f ca="1">IFERROR(__xludf.DUMMYFUNCTION("""COMPUTED_VALUE"""),"")</f>
        <v/>
      </c>
      <c r="D13123" s="12" t="str">
        <f ca="1">IFERROR(__xludf.DUMMYFUNCTION("""COMPUTED_VALUE"""),"")</f>
        <v/>
      </c>
    </row>
    <row r="13124" spans="2:4" ht="13">
      <c r="B13124" s="12" t="str">
        <f ca="1">IFERROR(__xludf.DUMMYFUNCTION("""COMPUTED_VALUE"""),"")</f>
        <v/>
      </c>
      <c r="C13124" s="12" t="str">
        <f ca="1">IFERROR(__xludf.DUMMYFUNCTION("""COMPUTED_VALUE"""),"")</f>
        <v/>
      </c>
      <c r="D13124" s="12" t="str">
        <f ca="1">IFERROR(__xludf.DUMMYFUNCTION("""COMPUTED_VALUE"""),"")</f>
        <v/>
      </c>
    </row>
    <row r="13125" spans="2:4" ht="13">
      <c r="B13125" s="12" t="str">
        <f ca="1">IFERROR(__xludf.DUMMYFUNCTION("""COMPUTED_VALUE"""),"")</f>
        <v/>
      </c>
      <c r="C13125" s="12" t="str">
        <f ca="1">IFERROR(__xludf.DUMMYFUNCTION("""COMPUTED_VALUE"""),"")</f>
        <v/>
      </c>
      <c r="D13125" s="12" t="str">
        <f ca="1">IFERROR(__xludf.DUMMYFUNCTION("""COMPUTED_VALUE"""),"")</f>
        <v/>
      </c>
    </row>
    <row r="13126" spans="2:4" ht="13">
      <c r="B13126" s="12" t="str">
        <f ca="1">IFERROR(__xludf.DUMMYFUNCTION("""COMPUTED_VALUE"""),"")</f>
        <v/>
      </c>
      <c r="C13126" s="12" t="str">
        <f ca="1">IFERROR(__xludf.DUMMYFUNCTION("""COMPUTED_VALUE"""),"")</f>
        <v/>
      </c>
      <c r="D13126" s="12" t="str">
        <f ca="1">IFERROR(__xludf.DUMMYFUNCTION("""COMPUTED_VALUE"""),"")</f>
        <v/>
      </c>
    </row>
    <row r="13127" spans="2:4" ht="13">
      <c r="B13127" s="12" t="str">
        <f ca="1">IFERROR(__xludf.DUMMYFUNCTION("""COMPUTED_VALUE"""),"")</f>
        <v/>
      </c>
      <c r="C13127" s="12" t="str">
        <f ca="1">IFERROR(__xludf.DUMMYFUNCTION("""COMPUTED_VALUE"""),"")</f>
        <v/>
      </c>
      <c r="D13127" s="12" t="str">
        <f ca="1">IFERROR(__xludf.DUMMYFUNCTION("""COMPUTED_VALUE"""),"")</f>
        <v/>
      </c>
    </row>
    <row r="13128" spans="2:4" ht="13">
      <c r="B13128" s="12" t="str">
        <f ca="1">IFERROR(__xludf.DUMMYFUNCTION("""COMPUTED_VALUE"""),"")</f>
        <v/>
      </c>
      <c r="C13128" s="12" t="str">
        <f ca="1">IFERROR(__xludf.DUMMYFUNCTION("""COMPUTED_VALUE"""),"")</f>
        <v/>
      </c>
      <c r="D13128" s="12" t="str">
        <f ca="1">IFERROR(__xludf.DUMMYFUNCTION("""COMPUTED_VALUE"""),"")</f>
        <v/>
      </c>
    </row>
    <row r="13129" spans="2:4" ht="13">
      <c r="B13129" s="12" t="str">
        <f ca="1">IFERROR(__xludf.DUMMYFUNCTION("""COMPUTED_VALUE"""),"")</f>
        <v/>
      </c>
      <c r="C13129" s="12" t="str">
        <f ca="1">IFERROR(__xludf.DUMMYFUNCTION("""COMPUTED_VALUE"""),"")</f>
        <v/>
      </c>
      <c r="D13129" s="12" t="str">
        <f ca="1">IFERROR(__xludf.DUMMYFUNCTION("""COMPUTED_VALUE"""),"")</f>
        <v/>
      </c>
    </row>
    <row r="13130" spans="2:4" ht="13">
      <c r="B13130" s="12" t="str">
        <f ca="1">IFERROR(__xludf.DUMMYFUNCTION("""COMPUTED_VALUE"""),"")</f>
        <v/>
      </c>
      <c r="C13130" s="12" t="str">
        <f ca="1">IFERROR(__xludf.DUMMYFUNCTION("""COMPUTED_VALUE"""),"")</f>
        <v/>
      </c>
      <c r="D13130" s="12" t="str">
        <f ca="1">IFERROR(__xludf.DUMMYFUNCTION("""COMPUTED_VALUE"""),"")</f>
        <v/>
      </c>
    </row>
    <row r="13131" spans="2:4" ht="13">
      <c r="B13131" s="12" t="str">
        <f ca="1">IFERROR(__xludf.DUMMYFUNCTION("""COMPUTED_VALUE"""),"")</f>
        <v/>
      </c>
      <c r="C13131" s="12" t="str">
        <f ca="1">IFERROR(__xludf.DUMMYFUNCTION("""COMPUTED_VALUE"""),"")</f>
        <v/>
      </c>
      <c r="D13131" s="12" t="str">
        <f ca="1">IFERROR(__xludf.DUMMYFUNCTION("""COMPUTED_VALUE"""),"")</f>
        <v/>
      </c>
    </row>
    <row r="13132" spans="2:4" ht="13">
      <c r="B13132" s="12" t="str">
        <f ca="1">IFERROR(__xludf.DUMMYFUNCTION("""COMPUTED_VALUE"""),"")</f>
        <v/>
      </c>
      <c r="C13132" s="12" t="str">
        <f ca="1">IFERROR(__xludf.DUMMYFUNCTION("""COMPUTED_VALUE"""),"")</f>
        <v/>
      </c>
      <c r="D13132" s="12" t="str">
        <f ca="1">IFERROR(__xludf.DUMMYFUNCTION("""COMPUTED_VALUE"""),"")</f>
        <v/>
      </c>
    </row>
    <row r="13133" spans="2:4" ht="13">
      <c r="B13133" s="12" t="str">
        <f ca="1">IFERROR(__xludf.DUMMYFUNCTION("""COMPUTED_VALUE"""),"")</f>
        <v/>
      </c>
      <c r="C13133" s="12" t="str">
        <f ca="1">IFERROR(__xludf.DUMMYFUNCTION("""COMPUTED_VALUE"""),"")</f>
        <v/>
      </c>
      <c r="D13133" s="12" t="str">
        <f ca="1">IFERROR(__xludf.DUMMYFUNCTION("""COMPUTED_VALUE"""),"")</f>
        <v/>
      </c>
    </row>
    <row r="13134" spans="2:4" ht="13">
      <c r="B13134" s="12" t="str">
        <f ca="1">IFERROR(__xludf.DUMMYFUNCTION("""COMPUTED_VALUE"""),"")</f>
        <v/>
      </c>
      <c r="C13134" s="12" t="str">
        <f ca="1">IFERROR(__xludf.DUMMYFUNCTION("""COMPUTED_VALUE"""),"")</f>
        <v/>
      </c>
      <c r="D13134" s="12" t="str">
        <f ca="1">IFERROR(__xludf.DUMMYFUNCTION("""COMPUTED_VALUE"""),"")</f>
        <v/>
      </c>
    </row>
    <row r="13135" spans="2:4" ht="13">
      <c r="B13135" s="12" t="str">
        <f ca="1">IFERROR(__xludf.DUMMYFUNCTION("""COMPUTED_VALUE"""),"")</f>
        <v/>
      </c>
      <c r="C13135" s="12" t="str">
        <f ca="1">IFERROR(__xludf.DUMMYFUNCTION("""COMPUTED_VALUE"""),"")</f>
        <v/>
      </c>
      <c r="D13135" s="12" t="str">
        <f ca="1">IFERROR(__xludf.DUMMYFUNCTION("""COMPUTED_VALUE"""),"")</f>
        <v/>
      </c>
    </row>
    <row r="13136" spans="2:4" ht="13">
      <c r="B13136" s="12" t="str">
        <f ca="1">IFERROR(__xludf.DUMMYFUNCTION("""COMPUTED_VALUE"""),"")</f>
        <v/>
      </c>
      <c r="C13136" s="12" t="str">
        <f ca="1">IFERROR(__xludf.DUMMYFUNCTION("""COMPUTED_VALUE"""),"")</f>
        <v/>
      </c>
      <c r="D13136" s="12" t="str">
        <f ca="1">IFERROR(__xludf.DUMMYFUNCTION("""COMPUTED_VALUE"""),"")</f>
        <v/>
      </c>
    </row>
    <row r="13137" spans="2:4" ht="13">
      <c r="B13137" s="12" t="str">
        <f ca="1">IFERROR(__xludf.DUMMYFUNCTION("""COMPUTED_VALUE"""),"")</f>
        <v/>
      </c>
      <c r="C13137" s="12" t="str">
        <f ca="1">IFERROR(__xludf.DUMMYFUNCTION("""COMPUTED_VALUE"""),"")</f>
        <v/>
      </c>
      <c r="D13137" s="12" t="str">
        <f ca="1">IFERROR(__xludf.DUMMYFUNCTION("""COMPUTED_VALUE"""),"")</f>
        <v/>
      </c>
    </row>
    <row r="13138" spans="2:4" ht="13">
      <c r="B13138" s="12" t="str">
        <f ca="1">IFERROR(__xludf.DUMMYFUNCTION("""COMPUTED_VALUE"""),"")</f>
        <v/>
      </c>
      <c r="C13138" s="12" t="str">
        <f ca="1">IFERROR(__xludf.DUMMYFUNCTION("""COMPUTED_VALUE"""),"")</f>
        <v/>
      </c>
      <c r="D13138" s="12" t="str">
        <f ca="1">IFERROR(__xludf.DUMMYFUNCTION("""COMPUTED_VALUE"""),"")</f>
        <v/>
      </c>
    </row>
    <row r="13139" spans="2:4" ht="13">
      <c r="B13139" s="12" t="str">
        <f ca="1">IFERROR(__xludf.DUMMYFUNCTION("""COMPUTED_VALUE"""),"")</f>
        <v/>
      </c>
      <c r="C13139" s="12" t="str">
        <f ca="1">IFERROR(__xludf.DUMMYFUNCTION("""COMPUTED_VALUE"""),"")</f>
        <v/>
      </c>
      <c r="D13139" s="12" t="str">
        <f ca="1">IFERROR(__xludf.DUMMYFUNCTION("""COMPUTED_VALUE"""),"")</f>
        <v/>
      </c>
    </row>
    <row r="13140" spans="2:4" ht="13">
      <c r="B13140" s="12" t="str">
        <f ca="1">IFERROR(__xludf.DUMMYFUNCTION("""COMPUTED_VALUE"""),"")</f>
        <v/>
      </c>
      <c r="C13140" s="12" t="str">
        <f ca="1">IFERROR(__xludf.DUMMYFUNCTION("""COMPUTED_VALUE"""),"")</f>
        <v/>
      </c>
      <c r="D13140" s="12" t="str">
        <f ca="1">IFERROR(__xludf.DUMMYFUNCTION("""COMPUTED_VALUE"""),"")</f>
        <v/>
      </c>
    </row>
    <row r="13141" spans="2:4" ht="13">
      <c r="B13141" s="12" t="str">
        <f ca="1">IFERROR(__xludf.DUMMYFUNCTION("""COMPUTED_VALUE"""),"")</f>
        <v/>
      </c>
      <c r="C13141" s="12" t="str">
        <f ca="1">IFERROR(__xludf.DUMMYFUNCTION("""COMPUTED_VALUE"""),"")</f>
        <v/>
      </c>
      <c r="D13141" s="12" t="str">
        <f ca="1">IFERROR(__xludf.DUMMYFUNCTION("""COMPUTED_VALUE"""),"")</f>
        <v/>
      </c>
    </row>
    <row r="13142" spans="2:4" ht="13">
      <c r="B13142" s="12" t="str">
        <f ca="1">IFERROR(__xludf.DUMMYFUNCTION("""COMPUTED_VALUE"""),"")</f>
        <v/>
      </c>
      <c r="C13142" s="12" t="str">
        <f ca="1">IFERROR(__xludf.DUMMYFUNCTION("""COMPUTED_VALUE"""),"")</f>
        <v/>
      </c>
      <c r="D13142" s="12" t="str">
        <f ca="1">IFERROR(__xludf.DUMMYFUNCTION("""COMPUTED_VALUE"""),"")</f>
        <v/>
      </c>
    </row>
    <row r="13143" spans="2:4" ht="13">
      <c r="B13143" s="12" t="str">
        <f ca="1">IFERROR(__xludf.DUMMYFUNCTION("""COMPUTED_VALUE"""),"")</f>
        <v/>
      </c>
      <c r="C13143" s="12" t="str">
        <f ca="1">IFERROR(__xludf.DUMMYFUNCTION("""COMPUTED_VALUE"""),"")</f>
        <v/>
      </c>
      <c r="D13143" s="12" t="str">
        <f ca="1">IFERROR(__xludf.DUMMYFUNCTION("""COMPUTED_VALUE"""),"")</f>
        <v/>
      </c>
    </row>
    <row r="13144" spans="2:4" ht="13">
      <c r="B13144" s="12" t="str">
        <f ca="1">IFERROR(__xludf.DUMMYFUNCTION("""COMPUTED_VALUE"""),"")</f>
        <v/>
      </c>
      <c r="C13144" s="12" t="str">
        <f ca="1">IFERROR(__xludf.DUMMYFUNCTION("""COMPUTED_VALUE"""),"")</f>
        <v/>
      </c>
      <c r="D13144" s="12" t="str">
        <f ca="1">IFERROR(__xludf.DUMMYFUNCTION("""COMPUTED_VALUE"""),"")</f>
        <v/>
      </c>
    </row>
    <row r="13145" spans="2:4" ht="13">
      <c r="B13145" s="12" t="str">
        <f ca="1">IFERROR(__xludf.DUMMYFUNCTION("""COMPUTED_VALUE"""),"")</f>
        <v/>
      </c>
      <c r="C13145" s="12" t="str">
        <f ca="1">IFERROR(__xludf.DUMMYFUNCTION("""COMPUTED_VALUE"""),"")</f>
        <v/>
      </c>
      <c r="D13145" s="12" t="str">
        <f ca="1">IFERROR(__xludf.DUMMYFUNCTION("""COMPUTED_VALUE"""),"")</f>
        <v/>
      </c>
    </row>
    <row r="13146" spans="2:4" ht="13">
      <c r="B13146" s="12" t="str">
        <f ca="1">IFERROR(__xludf.DUMMYFUNCTION("""COMPUTED_VALUE"""),"")</f>
        <v/>
      </c>
      <c r="C13146" s="12" t="str">
        <f ca="1">IFERROR(__xludf.DUMMYFUNCTION("""COMPUTED_VALUE"""),"")</f>
        <v/>
      </c>
      <c r="D13146" s="12" t="str">
        <f ca="1">IFERROR(__xludf.DUMMYFUNCTION("""COMPUTED_VALUE"""),"")</f>
        <v/>
      </c>
    </row>
    <row r="13147" spans="2:4" ht="13">
      <c r="B13147" s="12" t="str">
        <f ca="1">IFERROR(__xludf.DUMMYFUNCTION("""COMPUTED_VALUE"""),"")</f>
        <v/>
      </c>
      <c r="C13147" s="12" t="str">
        <f ca="1">IFERROR(__xludf.DUMMYFUNCTION("""COMPUTED_VALUE"""),"")</f>
        <v/>
      </c>
      <c r="D13147" s="12" t="str">
        <f ca="1">IFERROR(__xludf.DUMMYFUNCTION("""COMPUTED_VALUE"""),"")</f>
        <v/>
      </c>
    </row>
    <row r="13148" spans="2:4" ht="13">
      <c r="B13148" s="12" t="str">
        <f ca="1">IFERROR(__xludf.DUMMYFUNCTION("""COMPUTED_VALUE"""),"")</f>
        <v/>
      </c>
      <c r="C13148" s="12" t="str">
        <f ca="1">IFERROR(__xludf.DUMMYFUNCTION("""COMPUTED_VALUE"""),"")</f>
        <v/>
      </c>
      <c r="D13148" s="12" t="str">
        <f ca="1">IFERROR(__xludf.DUMMYFUNCTION("""COMPUTED_VALUE"""),"")</f>
        <v/>
      </c>
    </row>
    <row r="13149" spans="2:4" ht="13">
      <c r="B13149" s="12" t="str">
        <f ca="1">IFERROR(__xludf.DUMMYFUNCTION("""COMPUTED_VALUE"""),"")</f>
        <v/>
      </c>
      <c r="C13149" s="12" t="str">
        <f ca="1">IFERROR(__xludf.DUMMYFUNCTION("""COMPUTED_VALUE"""),"")</f>
        <v/>
      </c>
      <c r="D13149" s="12" t="str">
        <f ca="1">IFERROR(__xludf.DUMMYFUNCTION("""COMPUTED_VALUE"""),"")</f>
        <v/>
      </c>
    </row>
    <row r="13150" spans="2:4" ht="13">
      <c r="B13150" s="12" t="str">
        <f ca="1">IFERROR(__xludf.DUMMYFUNCTION("""COMPUTED_VALUE"""),"")</f>
        <v/>
      </c>
      <c r="C13150" s="12" t="str">
        <f ca="1">IFERROR(__xludf.DUMMYFUNCTION("""COMPUTED_VALUE"""),"")</f>
        <v/>
      </c>
      <c r="D13150" s="12" t="str">
        <f ca="1">IFERROR(__xludf.DUMMYFUNCTION("""COMPUTED_VALUE"""),"")</f>
        <v/>
      </c>
    </row>
    <row r="13151" spans="2:4" ht="13">
      <c r="B13151" s="12" t="str">
        <f ca="1">IFERROR(__xludf.DUMMYFUNCTION("""COMPUTED_VALUE"""),"")</f>
        <v/>
      </c>
      <c r="C13151" s="12" t="str">
        <f ca="1">IFERROR(__xludf.DUMMYFUNCTION("""COMPUTED_VALUE"""),"")</f>
        <v/>
      </c>
      <c r="D13151" s="12" t="str">
        <f ca="1">IFERROR(__xludf.DUMMYFUNCTION("""COMPUTED_VALUE"""),"")</f>
        <v/>
      </c>
    </row>
    <row r="13152" spans="2:4" ht="13">
      <c r="B13152" s="12" t="str">
        <f ca="1">IFERROR(__xludf.DUMMYFUNCTION("""COMPUTED_VALUE"""),"")</f>
        <v/>
      </c>
      <c r="C13152" s="12" t="str">
        <f ca="1">IFERROR(__xludf.DUMMYFUNCTION("""COMPUTED_VALUE"""),"")</f>
        <v/>
      </c>
      <c r="D13152" s="12" t="str">
        <f ca="1">IFERROR(__xludf.DUMMYFUNCTION("""COMPUTED_VALUE"""),"")</f>
        <v/>
      </c>
    </row>
    <row r="13153" spans="2:4" ht="13">
      <c r="B13153" s="12" t="str">
        <f ca="1">IFERROR(__xludf.DUMMYFUNCTION("""COMPUTED_VALUE"""),"")</f>
        <v/>
      </c>
      <c r="C13153" s="12" t="str">
        <f ca="1">IFERROR(__xludf.DUMMYFUNCTION("""COMPUTED_VALUE"""),"")</f>
        <v/>
      </c>
      <c r="D13153" s="12" t="str">
        <f ca="1">IFERROR(__xludf.DUMMYFUNCTION("""COMPUTED_VALUE"""),"")</f>
        <v/>
      </c>
    </row>
    <row r="13154" spans="2:4" ht="13">
      <c r="B13154" s="12" t="str">
        <f ca="1">IFERROR(__xludf.DUMMYFUNCTION("""COMPUTED_VALUE"""),"")</f>
        <v/>
      </c>
      <c r="C13154" s="12" t="str">
        <f ca="1">IFERROR(__xludf.DUMMYFUNCTION("""COMPUTED_VALUE"""),"")</f>
        <v/>
      </c>
      <c r="D13154" s="12" t="str">
        <f ca="1">IFERROR(__xludf.DUMMYFUNCTION("""COMPUTED_VALUE"""),"")</f>
        <v/>
      </c>
    </row>
    <row r="13155" spans="2:4" ht="13">
      <c r="B13155" s="12" t="str">
        <f ca="1">IFERROR(__xludf.DUMMYFUNCTION("""COMPUTED_VALUE"""),"")</f>
        <v/>
      </c>
      <c r="C13155" s="12" t="str">
        <f ca="1">IFERROR(__xludf.DUMMYFUNCTION("""COMPUTED_VALUE"""),"")</f>
        <v/>
      </c>
      <c r="D13155" s="12" t="str">
        <f ca="1">IFERROR(__xludf.DUMMYFUNCTION("""COMPUTED_VALUE"""),"")</f>
        <v/>
      </c>
    </row>
    <row r="13156" spans="2:4" ht="13">
      <c r="B13156" s="12" t="str">
        <f ca="1">IFERROR(__xludf.DUMMYFUNCTION("""COMPUTED_VALUE"""),"")</f>
        <v/>
      </c>
      <c r="C13156" s="12" t="str">
        <f ca="1">IFERROR(__xludf.DUMMYFUNCTION("""COMPUTED_VALUE"""),"")</f>
        <v/>
      </c>
      <c r="D13156" s="12" t="str">
        <f ca="1">IFERROR(__xludf.DUMMYFUNCTION("""COMPUTED_VALUE"""),"")</f>
        <v/>
      </c>
    </row>
    <row r="13157" spans="2:4" ht="13">
      <c r="B13157" s="12" t="str">
        <f ca="1">IFERROR(__xludf.DUMMYFUNCTION("""COMPUTED_VALUE"""),"")</f>
        <v/>
      </c>
      <c r="C13157" s="12" t="str">
        <f ca="1">IFERROR(__xludf.DUMMYFUNCTION("""COMPUTED_VALUE"""),"")</f>
        <v/>
      </c>
      <c r="D13157" s="12" t="str">
        <f ca="1">IFERROR(__xludf.DUMMYFUNCTION("""COMPUTED_VALUE"""),"")</f>
        <v/>
      </c>
    </row>
    <row r="13158" spans="2:4" ht="13">
      <c r="B13158" s="12" t="str">
        <f ca="1">IFERROR(__xludf.DUMMYFUNCTION("""COMPUTED_VALUE"""),"")</f>
        <v/>
      </c>
      <c r="C13158" s="12" t="str">
        <f ca="1">IFERROR(__xludf.DUMMYFUNCTION("""COMPUTED_VALUE"""),"")</f>
        <v/>
      </c>
      <c r="D13158" s="12" t="str">
        <f ca="1">IFERROR(__xludf.DUMMYFUNCTION("""COMPUTED_VALUE"""),"")</f>
        <v/>
      </c>
    </row>
    <row r="13159" spans="2:4" ht="13">
      <c r="B13159" s="12" t="str">
        <f ca="1">IFERROR(__xludf.DUMMYFUNCTION("""COMPUTED_VALUE"""),"")</f>
        <v/>
      </c>
      <c r="C13159" s="12" t="str">
        <f ca="1">IFERROR(__xludf.DUMMYFUNCTION("""COMPUTED_VALUE"""),"")</f>
        <v/>
      </c>
      <c r="D13159" s="12" t="str">
        <f ca="1">IFERROR(__xludf.DUMMYFUNCTION("""COMPUTED_VALUE"""),"")</f>
        <v/>
      </c>
    </row>
    <row r="13160" spans="2:4" ht="13">
      <c r="B13160" s="12" t="str">
        <f ca="1">IFERROR(__xludf.DUMMYFUNCTION("""COMPUTED_VALUE"""),"")</f>
        <v/>
      </c>
      <c r="C13160" s="12" t="str">
        <f ca="1">IFERROR(__xludf.DUMMYFUNCTION("""COMPUTED_VALUE"""),"")</f>
        <v/>
      </c>
      <c r="D13160" s="12" t="str">
        <f ca="1">IFERROR(__xludf.DUMMYFUNCTION("""COMPUTED_VALUE"""),"")</f>
        <v/>
      </c>
    </row>
    <row r="13161" spans="2:4" ht="13">
      <c r="B13161" s="12" t="str">
        <f ca="1">IFERROR(__xludf.DUMMYFUNCTION("""COMPUTED_VALUE"""),"")</f>
        <v/>
      </c>
      <c r="C13161" s="12" t="str">
        <f ca="1">IFERROR(__xludf.DUMMYFUNCTION("""COMPUTED_VALUE"""),"")</f>
        <v/>
      </c>
      <c r="D13161" s="12" t="str">
        <f ca="1">IFERROR(__xludf.DUMMYFUNCTION("""COMPUTED_VALUE"""),"")</f>
        <v/>
      </c>
    </row>
    <row r="13162" spans="2:4" ht="13">
      <c r="B13162" s="12" t="str">
        <f ca="1">IFERROR(__xludf.DUMMYFUNCTION("""COMPUTED_VALUE"""),"")</f>
        <v/>
      </c>
      <c r="C13162" s="12" t="str">
        <f ca="1">IFERROR(__xludf.DUMMYFUNCTION("""COMPUTED_VALUE"""),"")</f>
        <v/>
      </c>
      <c r="D13162" s="12" t="str">
        <f ca="1">IFERROR(__xludf.DUMMYFUNCTION("""COMPUTED_VALUE"""),"")</f>
        <v/>
      </c>
    </row>
    <row r="13163" spans="2:4" ht="13">
      <c r="B13163" s="12" t="str">
        <f ca="1">IFERROR(__xludf.DUMMYFUNCTION("""COMPUTED_VALUE"""),"")</f>
        <v/>
      </c>
      <c r="C13163" s="12" t="str">
        <f ca="1">IFERROR(__xludf.DUMMYFUNCTION("""COMPUTED_VALUE"""),"")</f>
        <v/>
      </c>
      <c r="D13163" s="12" t="str">
        <f ca="1">IFERROR(__xludf.DUMMYFUNCTION("""COMPUTED_VALUE"""),"")</f>
        <v/>
      </c>
    </row>
    <row r="13164" spans="2:4" ht="13">
      <c r="B13164" s="12" t="str">
        <f ca="1">IFERROR(__xludf.DUMMYFUNCTION("""COMPUTED_VALUE"""),"")</f>
        <v/>
      </c>
      <c r="C13164" s="12" t="str">
        <f ca="1">IFERROR(__xludf.DUMMYFUNCTION("""COMPUTED_VALUE"""),"")</f>
        <v/>
      </c>
      <c r="D13164" s="12" t="str">
        <f ca="1">IFERROR(__xludf.DUMMYFUNCTION("""COMPUTED_VALUE"""),"")</f>
        <v/>
      </c>
    </row>
    <row r="13165" spans="2:4" ht="13">
      <c r="B13165" s="12" t="str">
        <f ca="1">IFERROR(__xludf.DUMMYFUNCTION("""COMPUTED_VALUE"""),"")</f>
        <v/>
      </c>
      <c r="C13165" s="12" t="str">
        <f ca="1">IFERROR(__xludf.DUMMYFUNCTION("""COMPUTED_VALUE"""),"")</f>
        <v/>
      </c>
      <c r="D13165" s="12" t="str">
        <f ca="1">IFERROR(__xludf.DUMMYFUNCTION("""COMPUTED_VALUE"""),"")</f>
        <v/>
      </c>
    </row>
    <row r="13166" spans="2:4" ht="13">
      <c r="B13166" s="12" t="str">
        <f ca="1">IFERROR(__xludf.DUMMYFUNCTION("""COMPUTED_VALUE"""),"")</f>
        <v/>
      </c>
      <c r="C13166" s="12" t="str">
        <f ca="1">IFERROR(__xludf.DUMMYFUNCTION("""COMPUTED_VALUE"""),"")</f>
        <v/>
      </c>
      <c r="D13166" s="12" t="str">
        <f ca="1">IFERROR(__xludf.DUMMYFUNCTION("""COMPUTED_VALUE"""),"")</f>
        <v/>
      </c>
    </row>
    <row r="13167" spans="2:4" ht="13">
      <c r="B13167" s="12" t="str">
        <f ca="1">IFERROR(__xludf.DUMMYFUNCTION("""COMPUTED_VALUE"""),"")</f>
        <v/>
      </c>
      <c r="C13167" s="12" t="str">
        <f ca="1">IFERROR(__xludf.DUMMYFUNCTION("""COMPUTED_VALUE"""),"")</f>
        <v/>
      </c>
      <c r="D13167" s="12" t="str">
        <f ca="1">IFERROR(__xludf.DUMMYFUNCTION("""COMPUTED_VALUE"""),"")</f>
        <v/>
      </c>
    </row>
    <row r="13168" spans="2:4" ht="13">
      <c r="B13168" s="12" t="str">
        <f ca="1">IFERROR(__xludf.DUMMYFUNCTION("""COMPUTED_VALUE"""),"")</f>
        <v/>
      </c>
      <c r="C13168" s="12" t="str">
        <f ca="1">IFERROR(__xludf.DUMMYFUNCTION("""COMPUTED_VALUE"""),"")</f>
        <v/>
      </c>
      <c r="D13168" s="12" t="str">
        <f ca="1">IFERROR(__xludf.DUMMYFUNCTION("""COMPUTED_VALUE"""),"")</f>
        <v/>
      </c>
    </row>
    <row r="13169" spans="2:4" ht="13">
      <c r="B13169" s="12" t="str">
        <f ca="1">IFERROR(__xludf.DUMMYFUNCTION("""COMPUTED_VALUE"""),"")</f>
        <v/>
      </c>
      <c r="C13169" s="12" t="str">
        <f ca="1">IFERROR(__xludf.DUMMYFUNCTION("""COMPUTED_VALUE"""),"")</f>
        <v/>
      </c>
      <c r="D13169" s="12" t="str">
        <f ca="1">IFERROR(__xludf.DUMMYFUNCTION("""COMPUTED_VALUE"""),"")</f>
        <v/>
      </c>
    </row>
    <row r="13170" spans="2:4" ht="13">
      <c r="B13170" s="12" t="str">
        <f ca="1">IFERROR(__xludf.DUMMYFUNCTION("""COMPUTED_VALUE"""),"")</f>
        <v/>
      </c>
      <c r="C13170" s="12" t="str">
        <f ca="1">IFERROR(__xludf.DUMMYFUNCTION("""COMPUTED_VALUE"""),"")</f>
        <v/>
      </c>
      <c r="D13170" s="12" t="str">
        <f ca="1">IFERROR(__xludf.DUMMYFUNCTION("""COMPUTED_VALUE"""),"")</f>
        <v/>
      </c>
    </row>
    <row r="13171" spans="2:4" ht="13">
      <c r="B13171" s="12" t="str">
        <f ca="1">IFERROR(__xludf.DUMMYFUNCTION("""COMPUTED_VALUE"""),"")</f>
        <v/>
      </c>
      <c r="C13171" s="12" t="str">
        <f ca="1">IFERROR(__xludf.DUMMYFUNCTION("""COMPUTED_VALUE"""),"")</f>
        <v/>
      </c>
      <c r="D13171" s="12" t="str">
        <f ca="1">IFERROR(__xludf.DUMMYFUNCTION("""COMPUTED_VALUE"""),"")</f>
        <v/>
      </c>
    </row>
    <row r="13172" spans="2:4" ht="13">
      <c r="B13172" s="12" t="str">
        <f ca="1">IFERROR(__xludf.DUMMYFUNCTION("""COMPUTED_VALUE"""),"")</f>
        <v/>
      </c>
      <c r="C13172" s="12" t="str">
        <f ca="1">IFERROR(__xludf.DUMMYFUNCTION("""COMPUTED_VALUE"""),"")</f>
        <v/>
      </c>
      <c r="D13172" s="12" t="str">
        <f ca="1">IFERROR(__xludf.DUMMYFUNCTION("""COMPUTED_VALUE"""),"")</f>
        <v/>
      </c>
    </row>
    <row r="13173" spans="2:4" ht="13">
      <c r="B13173" s="12" t="str">
        <f ca="1">IFERROR(__xludf.DUMMYFUNCTION("""COMPUTED_VALUE"""),"")</f>
        <v/>
      </c>
      <c r="C13173" s="12" t="str">
        <f ca="1">IFERROR(__xludf.DUMMYFUNCTION("""COMPUTED_VALUE"""),"")</f>
        <v/>
      </c>
      <c r="D13173" s="12" t="str">
        <f ca="1">IFERROR(__xludf.DUMMYFUNCTION("""COMPUTED_VALUE"""),"")</f>
        <v/>
      </c>
    </row>
    <row r="13174" spans="2:4" ht="13">
      <c r="B13174" s="12" t="str">
        <f ca="1">IFERROR(__xludf.DUMMYFUNCTION("""COMPUTED_VALUE"""),"")</f>
        <v/>
      </c>
      <c r="C13174" s="12" t="str">
        <f ca="1">IFERROR(__xludf.DUMMYFUNCTION("""COMPUTED_VALUE"""),"")</f>
        <v/>
      </c>
      <c r="D13174" s="12" t="str">
        <f ca="1">IFERROR(__xludf.DUMMYFUNCTION("""COMPUTED_VALUE"""),"")</f>
        <v/>
      </c>
    </row>
    <row r="13175" spans="2:4" ht="13">
      <c r="B13175" s="12" t="str">
        <f ca="1">IFERROR(__xludf.DUMMYFUNCTION("""COMPUTED_VALUE"""),"")</f>
        <v/>
      </c>
      <c r="C13175" s="12" t="str">
        <f ca="1">IFERROR(__xludf.DUMMYFUNCTION("""COMPUTED_VALUE"""),"")</f>
        <v/>
      </c>
      <c r="D13175" s="12" t="str">
        <f ca="1">IFERROR(__xludf.DUMMYFUNCTION("""COMPUTED_VALUE"""),"")</f>
        <v/>
      </c>
    </row>
    <row r="13176" spans="2:4" ht="13">
      <c r="B13176" s="12" t="str">
        <f ca="1">IFERROR(__xludf.DUMMYFUNCTION("""COMPUTED_VALUE"""),"")</f>
        <v/>
      </c>
      <c r="C13176" s="12" t="str">
        <f ca="1">IFERROR(__xludf.DUMMYFUNCTION("""COMPUTED_VALUE"""),"")</f>
        <v/>
      </c>
      <c r="D13176" s="12" t="str">
        <f ca="1">IFERROR(__xludf.DUMMYFUNCTION("""COMPUTED_VALUE"""),"")</f>
        <v/>
      </c>
    </row>
    <row r="13177" spans="2:4" ht="13">
      <c r="B13177" s="12" t="str">
        <f ca="1">IFERROR(__xludf.DUMMYFUNCTION("""COMPUTED_VALUE"""),"")</f>
        <v/>
      </c>
      <c r="C13177" s="12" t="str">
        <f ca="1">IFERROR(__xludf.DUMMYFUNCTION("""COMPUTED_VALUE"""),"")</f>
        <v/>
      </c>
      <c r="D13177" s="12" t="str">
        <f ca="1">IFERROR(__xludf.DUMMYFUNCTION("""COMPUTED_VALUE"""),"")</f>
        <v/>
      </c>
    </row>
    <row r="13178" spans="2:4" ht="13">
      <c r="B13178" s="12" t="str">
        <f ca="1">IFERROR(__xludf.DUMMYFUNCTION("""COMPUTED_VALUE"""),"")</f>
        <v/>
      </c>
      <c r="C13178" s="12" t="str">
        <f ca="1">IFERROR(__xludf.DUMMYFUNCTION("""COMPUTED_VALUE"""),"")</f>
        <v/>
      </c>
      <c r="D13178" s="12" t="str">
        <f ca="1">IFERROR(__xludf.DUMMYFUNCTION("""COMPUTED_VALUE"""),"")</f>
        <v/>
      </c>
    </row>
    <row r="13179" spans="2:4" ht="13">
      <c r="B13179" s="12" t="str">
        <f ca="1">IFERROR(__xludf.DUMMYFUNCTION("""COMPUTED_VALUE"""),"")</f>
        <v/>
      </c>
      <c r="C13179" s="12" t="str">
        <f ca="1">IFERROR(__xludf.DUMMYFUNCTION("""COMPUTED_VALUE"""),"")</f>
        <v/>
      </c>
      <c r="D13179" s="12" t="str">
        <f ca="1">IFERROR(__xludf.DUMMYFUNCTION("""COMPUTED_VALUE"""),"")</f>
        <v/>
      </c>
    </row>
    <row r="13180" spans="2:4" ht="13">
      <c r="B13180" s="12" t="str">
        <f ca="1">IFERROR(__xludf.DUMMYFUNCTION("""COMPUTED_VALUE"""),"")</f>
        <v/>
      </c>
      <c r="C13180" s="12" t="str">
        <f ca="1">IFERROR(__xludf.DUMMYFUNCTION("""COMPUTED_VALUE"""),"")</f>
        <v/>
      </c>
      <c r="D13180" s="12" t="str">
        <f ca="1">IFERROR(__xludf.DUMMYFUNCTION("""COMPUTED_VALUE"""),"")</f>
        <v/>
      </c>
    </row>
    <row r="13181" spans="2:4" ht="13">
      <c r="B13181" s="12" t="str">
        <f ca="1">IFERROR(__xludf.DUMMYFUNCTION("""COMPUTED_VALUE"""),"")</f>
        <v/>
      </c>
      <c r="C13181" s="12" t="str">
        <f ca="1">IFERROR(__xludf.DUMMYFUNCTION("""COMPUTED_VALUE"""),"")</f>
        <v/>
      </c>
      <c r="D13181" s="12" t="str">
        <f ca="1">IFERROR(__xludf.DUMMYFUNCTION("""COMPUTED_VALUE"""),"")</f>
        <v/>
      </c>
    </row>
    <row r="13182" spans="2:4" ht="13">
      <c r="B13182" s="12" t="str">
        <f ca="1">IFERROR(__xludf.DUMMYFUNCTION("""COMPUTED_VALUE"""),"")</f>
        <v/>
      </c>
      <c r="C13182" s="12" t="str">
        <f ca="1">IFERROR(__xludf.DUMMYFUNCTION("""COMPUTED_VALUE"""),"")</f>
        <v/>
      </c>
      <c r="D13182" s="12" t="str">
        <f ca="1">IFERROR(__xludf.DUMMYFUNCTION("""COMPUTED_VALUE"""),"")</f>
        <v/>
      </c>
    </row>
    <row r="13183" spans="2:4" ht="13">
      <c r="B13183" s="12" t="str">
        <f ca="1">IFERROR(__xludf.DUMMYFUNCTION("""COMPUTED_VALUE"""),"")</f>
        <v/>
      </c>
      <c r="C13183" s="12" t="str">
        <f ca="1">IFERROR(__xludf.DUMMYFUNCTION("""COMPUTED_VALUE"""),"")</f>
        <v/>
      </c>
      <c r="D13183" s="12" t="str">
        <f ca="1">IFERROR(__xludf.DUMMYFUNCTION("""COMPUTED_VALUE"""),"")</f>
        <v/>
      </c>
    </row>
    <row r="13184" spans="2:4" ht="13">
      <c r="B13184" s="12" t="str">
        <f ca="1">IFERROR(__xludf.DUMMYFUNCTION("""COMPUTED_VALUE"""),"")</f>
        <v/>
      </c>
      <c r="C13184" s="12" t="str">
        <f ca="1">IFERROR(__xludf.DUMMYFUNCTION("""COMPUTED_VALUE"""),"")</f>
        <v/>
      </c>
      <c r="D13184" s="12" t="str">
        <f ca="1">IFERROR(__xludf.DUMMYFUNCTION("""COMPUTED_VALUE"""),"")</f>
        <v/>
      </c>
    </row>
    <row r="13185" spans="2:4" ht="13">
      <c r="B13185" s="12" t="str">
        <f ca="1">IFERROR(__xludf.DUMMYFUNCTION("""COMPUTED_VALUE"""),"")</f>
        <v/>
      </c>
      <c r="C13185" s="12" t="str">
        <f ca="1">IFERROR(__xludf.DUMMYFUNCTION("""COMPUTED_VALUE"""),"")</f>
        <v/>
      </c>
      <c r="D13185" s="12" t="str">
        <f ca="1">IFERROR(__xludf.DUMMYFUNCTION("""COMPUTED_VALUE"""),"")</f>
        <v/>
      </c>
    </row>
    <row r="13186" spans="2:4" ht="13">
      <c r="B13186" s="12" t="str">
        <f ca="1">IFERROR(__xludf.DUMMYFUNCTION("""COMPUTED_VALUE"""),"")</f>
        <v/>
      </c>
      <c r="C13186" s="12" t="str">
        <f ca="1">IFERROR(__xludf.DUMMYFUNCTION("""COMPUTED_VALUE"""),"")</f>
        <v/>
      </c>
      <c r="D13186" s="12" t="str">
        <f ca="1">IFERROR(__xludf.DUMMYFUNCTION("""COMPUTED_VALUE"""),"")</f>
        <v/>
      </c>
    </row>
    <row r="13187" spans="2:4" ht="13">
      <c r="B13187" s="12" t="str">
        <f ca="1">IFERROR(__xludf.DUMMYFUNCTION("""COMPUTED_VALUE"""),"")</f>
        <v/>
      </c>
      <c r="C13187" s="12" t="str">
        <f ca="1">IFERROR(__xludf.DUMMYFUNCTION("""COMPUTED_VALUE"""),"")</f>
        <v/>
      </c>
      <c r="D13187" s="12" t="str">
        <f ca="1">IFERROR(__xludf.DUMMYFUNCTION("""COMPUTED_VALUE"""),"")</f>
        <v/>
      </c>
    </row>
    <row r="13188" spans="2:4" ht="13">
      <c r="B13188" s="12" t="str">
        <f ca="1">IFERROR(__xludf.DUMMYFUNCTION("""COMPUTED_VALUE"""),"")</f>
        <v/>
      </c>
      <c r="C13188" s="12" t="str">
        <f ca="1">IFERROR(__xludf.DUMMYFUNCTION("""COMPUTED_VALUE"""),"")</f>
        <v/>
      </c>
      <c r="D13188" s="12" t="str">
        <f ca="1">IFERROR(__xludf.DUMMYFUNCTION("""COMPUTED_VALUE"""),"")</f>
        <v/>
      </c>
    </row>
    <row r="13189" spans="2:4" ht="13">
      <c r="B13189" s="12" t="str">
        <f ca="1">IFERROR(__xludf.DUMMYFUNCTION("""COMPUTED_VALUE"""),"")</f>
        <v/>
      </c>
      <c r="C13189" s="12" t="str">
        <f ca="1">IFERROR(__xludf.DUMMYFUNCTION("""COMPUTED_VALUE"""),"")</f>
        <v/>
      </c>
      <c r="D13189" s="12" t="str">
        <f ca="1">IFERROR(__xludf.DUMMYFUNCTION("""COMPUTED_VALUE"""),"")</f>
        <v/>
      </c>
    </row>
    <row r="13190" spans="2:4" ht="13">
      <c r="B13190" s="12" t="str">
        <f ca="1">IFERROR(__xludf.DUMMYFUNCTION("""COMPUTED_VALUE"""),"")</f>
        <v/>
      </c>
      <c r="C13190" s="12" t="str">
        <f ca="1">IFERROR(__xludf.DUMMYFUNCTION("""COMPUTED_VALUE"""),"")</f>
        <v/>
      </c>
      <c r="D13190" s="12" t="str">
        <f ca="1">IFERROR(__xludf.DUMMYFUNCTION("""COMPUTED_VALUE"""),"")</f>
        <v/>
      </c>
    </row>
    <row r="13191" spans="2:4" ht="13">
      <c r="B13191" s="12" t="str">
        <f ca="1">IFERROR(__xludf.DUMMYFUNCTION("""COMPUTED_VALUE"""),"")</f>
        <v/>
      </c>
      <c r="C13191" s="12" t="str">
        <f ca="1">IFERROR(__xludf.DUMMYFUNCTION("""COMPUTED_VALUE"""),"")</f>
        <v/>
      </c>
      <c r="D13191" s="12" t="str">
        <f ca="1">IFERROR(__xludf.DUMMYFUNCTION("""COMPUTED_VALUE"""),"")</f>
        <v/>
      </c>
    </row>
    <row r="13192" spans="2:4" ht="13">
      <c r="B13192" s="12" t="str">
        <f ca="1">IFERROR(__xludf.DUMMYFUNCTION("""COMPUTED_VALUE"""),"")</f>
        <v/>
      </c>
      <c r="C13192" s="12" t="str">
        <f ca="1">IFERROR(__xludf.DUMMYFUNCTION("""COMPUTED_VALUE"""),"")</f>
        <v/>
      </c>
      <c r="D13192" s="12" t="str">
        <f ca="1">IFERROR(__xludf.DUMMYFUNCTION("""COMPUTED_VALUE"""),"")</f>
        <v/>
      </c>
    </row>
    <row r="13193" spans="2:4" ht="13">
      <c r="B13193" s="12" t="str">
        <f ca="1">IFERROR(__xludf.DUMMYFUNCTION("""COMPUTED_VALUE"""),"")</f>
        <v/>
      </c>
      <c r="C13193" s="12" t="str">
        <f ca="1">IFERROR(__xludf.DUMMYFUNCTION("""COMPUTED_VALUE"""),"")</f>
        <v/>
      </c>
      <c r="D13193" s="12" t="str">
        <f ca="1">IFERROR(__xludf.DUMMYFUNCTION("""COMPUTED_VALUE"""),"")</f>
        <v/>
      </c>
    </row>
    <row r="13194" spans="2:4" ht="13">
      <c r="B13194" s="12" t="str">
        <f ca="1">IFERROR(__xludf.DUMMYFUNCTION("""COMPUTED_VALUE"""),"")</f>
        <v/>
      </c>
      <c r="C13194" s="12" t="str">
        <f ca="1">IFERROR(__xludf.DUMMYFUNCTION("""COMPUTED_VALUE"""),"")</f>
        <v/>
      </c>
      <c r="D13194" s="12" t="str">
        <f ca="1">IFERROR(__xludf.DUMMYFUNCTION("""COMPUTED_VALUE"""),"")</f>
        <v/>
      </c>
    </row>
    <row r="13195" spans="2:4" ht="13">
      <c r="B13195" s="12" t="str">
        <f ca="1">IFERROR(__xludf.DUMMYFUNCTION("""COMPUTED_VALUE"""),"")</f>
        <v/>
      </c>
      <c r="C13195" s="12" t="str">
        <f ca="1">IFERROR(__xludf.DUMMYFUNCTION("""COMPUTED_VALUE"""),"")</f>
        <v/>
      </c>
      <c r="D13195" s="12" t="str">
        <f ca="1">IFERROR(__xludf.DUMMYFUNCTION("""COMPUTED_VALUE"""),"")</f>
        <v/>
      </c>
    </row>
    <row r="13196" spans="2:4" ht="13">
      <c r="B13196" s="12" t="str">
        <f ca="1">IFERROR(__xludf.DUMMYFUNCTION("""COMPUTED_VALUE"""),"")</f>
        <v/>
      </c>
      <c r="C13196" s="12" t="str">
        <f ca="1">IFERROR(__xludf.DUMMYFUNCTION("""COMPUTED_VALUE"""),"")</f>
        <v/>
      </c>
      <c r="D13196" s="12" t="str">
        <f ca="1">IFERROR(__xludf.DUMMYFUNCTION("""COMPUTED_VALUE"""),"")</f>
        <v/>
      </c>
    </row>
    <row r="13197" spans="2:4" ht="13">
      <c r="B13197" s="12" t="str">
        <f ca="1">IFERROR(__xludf.DUMMYFUNCTION("""COMPUTED_VALUE"""),"")</f>
        <v/>
      </c>
      <c r="C13197" s="12" t="str">
        <f ca="1">IFERROR(__xludf.DUMMYFUNCTION("""COMPUTED_VALUE"""),"")</f>
        <v/>
      </c>
      <c r="D13197" s="12" t="str">
        <f ca="1">IFERROR(__xludf.DUMMYFUNCTION("""COMPUTED_VALUE"""),"")</f>
        <v/>
      </c>
    </row>
    <row r="13198" spans="2:4" ht="13">
      <c r="B13198" s="12" t="str">
        <f ca="1">IFERROR(__xludf.DUMMYFUNCTION("""COMPUTED_VALUE"""),"")</f>
        <v/>
      </c>
      <c r="C13198" s="12" t="str">
        <f ca="1">IFERROR(__xludf.DUMMYFUNCTION("""COMPUTED_VALUE"""),"")</f>
        <v/>
      </c>
      <c r="D13198" s="12" t="str">
        <f ca="1">IFERROR(__xludf.DUMMYFUNCTION("""COMPUTED_VALUE"""),"")</f>
        <v/>
      </c>
    </row>
    <row r="13199" spans="2:4" ht="13">
      <c r="B13199" s="12" t="str">
        <f ca="1">IFERROR(__xludf.DUMMYFUNCTION("""COMPUTED_VALUE"""),"")</f>
        <v/>
      </c>
      <c r="C13199" s="12" t="str">
        <f ca="1">IFERROR(__xludf.DUMMYFUNCTION("""COMPUTED_VALUE"""),"")</f>
        <v/>
      </c>
      <c r="D13199" s="12" t="str">
        <f ca="1">IFERROR(__xludf.DUMMYFUNCTION("""COMPUTED_VALUE"""),"")</f>
        <v/>
      </c>
    </row>
    <row r="13200" spans="2:4" ht="13">
      <c r="B13200" s="12" t="str">
        <f ca="1">IFERROR(__xludf.DUMMYFUNCTION("""COMPUTED_VALUE"""),"")</f>
        <v/>
      </c>
      <c r="C13200" s="12" t="str">
        <f ca="1">IFERROR(__xludf.DUMMYFUNCTION("""COMPUTED_VALUE"""),"")</f>
        <v/>
      </c>
      <c r="D13200" s="12" t="str">
        <f ca="1">IFERROR(__xludf.DUMMYFUNCTION("""COMPUTED_VALUE"""),"")</f>
        <v/>
      </c>
    </row>
    <row r="13201" spans="2:4" ht="13">
      <c r="B13201" s="12" t="str">
        <f ca="1">IFERROR(__xludf.DUMMYFUNCTION("""COMPUTED_VALUE"""),"")</f>
        <v/>
      </c>
      <c r="C13201" s="12" t="str">
        <f ca="1">IFERROR(__xludf.DUMMYFUNCTION("""COMPUTED_VALUE"""),"")</f>
        <v/>
      </c>
      <c r="D13201" s="12" t="str">
        <f ca="1">IFERROR(__xludf.DUMMYFUNCTION("""COMPUTED_VALUE"""),"")</f>
        <v/>
      </c>
    </row>
    <row r="13202" spans="2:4" ht="13">
      <c r="B13202" s="12" t="str">
        <f ca="1">IFERROR(__xludf.DUMMYFUNCTION("""COMPUTED_VALUE"""),"")</f>
        <v/>
      </c>
      <c r="C13202" s="12" t="str">
        <f ca="1">IFERROR(__xludf.DUMMYFUNCTION("""COMPUTED_VALUE"""),"")</f>
        <v/>
      </c>
      <c r="D13202" s="12" t="str">
        <f ca="1">IFERROR(__xludf.DUMMYFUNCTION("""COMPUTED_VALUE"""),"")</f>
        <v/>
      </c>
    </row>
    <row r="13203" spans="2:4" ht="13">
      <c r="B13203" s="12" t="str">
        <f ca="1">IFERROR(__xludf.DUMMYFUNCTION("""COMPUTED_VALUE"""),"")</f>
        <v/>
      </c>
      <c r="C13203" s="12" t="str">
        <f ca="1">IFERROR(__xludf.DUMMYFUNCTION("""COMPUTED_VALUE"""),"")</f>
        <v/>
      </c>
      <c r="D13203" s="12" t="str">
        <f ca="1">IFERROR(__xludf.DUMMYFUNCTION("""COMPUTED_VALUE"""),"")</f>
        <v/>
      </c>
    </row>
    <row r="13204" spans="2:4" ht="13">
      <c r="B13204" s="12" t="str">
        <f ca="1">IFERROR(__xludf.DUMMYFUNCTION("""COMPUTED_VALUE"""),"")</f>
        <v/>
      </c>
      <c r="C13204" s="12" t="str">
        <f ca="1">IFERROR(__xludf.DUMMYFUNCTION("""COMPUTED_VALUE"""),"")</f>
        <v/>
      </c>
      <c r="D13204" s="12" t="str">
        <f ca="1">IFERROR(__xludf.DUMMYFUNCTION("""COMPUTED_VALUE"""),"")</f>
        <v/>
      </c>
    </row>
    <row r="13205" spans="2:4" ht="13">
      <c r="B13205" s="12" t="str">
        <f ca="1">IFERROR(__xludf.DUMMYFUNCTION("""COMPUTED_VALUE"""),"")</f>
        <v/>
      </c>
      <c r="C13205" s="12" t="str">
        <f ca="1">IFERROR(__xludf.DUMMYFUNCTION("""COMPUTED_VALUE"""),"")</f>
        <v/>
      </c>
      <c r="D13205" s="12" t="str">
        <f ca="1">IFERROR(__xludf.DUMMYFUNCTION("""COMPUTED_VALUE"""),"")</f>
        <v/>
      </c>
    </row>
    <row r="13206" spans="2:4" ht="13">
      <c r="B13206" s="12" t="str">
        <f ca="1">IFERROR(__xludf.DUMMYFUNCTION("""COMPUTED_VALUE"""),"")</f>
        <v/>
      </c>
      <c r="C13206" s="12" t="str">
        <f ca="1">IFERROR(__xludf.DUMMYFUNCTION("""COMPUTED_VALUE"""),"")</f>
        <v/>
      </c>
      <c r="D13206" s="12" t="str">
        <f ca="1">IFERROR(__xludf.DUMMYFUNCTION("""COMPUTED_VALUE"""),"")</f>
        <v/>
      </c>
    </row>
    <row r="13207" spans="2:4" ht="13">
      <c r="B13207" s="12" t="str">
        <f ca="1">IFERROR(__xludf.DUMMYFUNCTION("""COMPUTED_VALUE"""),"")</f>
        <v/>
      </c>
      <c r="C13207" s="12" t="str">
        <f ca="1">IFERROR(__xludf.DUMMYFUNCTION("""COMPUTED_VALUE"""),"")</f>
        <v/>
      </c>
      <c r="D13207" s="12" t="str">
        <f ca="1">IFERROR(__xludf.DUMMYFUNCTION("""COMPUTED_VALUE"""),"")</f>
        <v/>
      </c>
    </row>
    <row r="13208" spans="2:4" ht="13">
      <c r="B13208" s="12" t="str">
        <f ca="1">IFERROR(__xludf.DUMMYFUNCTION("""COMPUTED_VALUE"""),"")</f>
        <v/>
      </c>
      <c r="C13208" s="12" t="str">
        <f ca="1">IFERROR(__xludf.DUMMYFUNCTION("""COMPUTED_VALUE"""),"")</f>
        <v/>
      </c>
      <c r="D13208" s="12" t="str">
        <f ca="1">IFERROR(__xludf.DUMMYFUNCTION("""COMPUTED_VALUE"""),"")</f>
        <v/>
      </c>
    </row>
    <row r="13209" spans="2:4" ht="13">
      <c r="B13209" s="12" t="str">
        <f ca="1">IFERROR(__xludf.DUMMYFUNCTION("""COMPUTED_VALUE"""),"")</f>
        <v/>
      </c>
      <c r="C13209" s="12" t="str">
        <f ca="1">IFERROR(__xludf.DUMMYFUNCTION("""COMPUTED_VALUE"""),"")</f>
        <v/>
      </c>
      <c r="D13209" s="12" t="str">
        <f ca="1">IFERROR(__xludf.DUMMYFUNCTION("""COMPUTED_VALUE"""),"")</f>
        <v/>
      </c>
    </row>
    <row r="13210" spans="2:4" ht="13">
      <c r="B13210" s="12" t="str">
        <f ca="1">IFERROR(__xludf.DUMMYFUNCTION("""COMPUTED_VALUE"""),"")</f>
        <v/>
      </c>
      <c r="C13210" s="12" t="str">
        <f ca="1">IFERROR(__xludf.DUMMYFUNCTION("""COMPUTED_VALUE"""),"")</f>
        <v/>
      </c>
      <c r="D13210" s="12" t="str">
        <f ca="1">IFERROR(__xludf.DUMMYFUNCTION("""COMPUTED_VALUE"""),"")</f>
        <v/>
      </c>
    </row>
    <row r="13211" spans="2:4" ht="13">
      <c r="B13211" s="12" t="str">
        <f ca="1">IFERROR(__xludf.DUMMYFUNCTION("""COMPUTED_VALUE"""),"")</f>
        <v/>
      </c>
      <c r="C13211" s="12" t="str">
        <f ca="1">IFERROR(__xludf.DUMMYFUNCTION("""COMPUTED_VALUE"""),"")</f>
        <v/>
      </c>
      <c r="D13211" s="12" t="str">
        <f ca="1">IFERROR(__xludf.DUMMYFUNCTION("""COMPUTED_VALUE"""),"")</f>
        <v/>
      </c>
    </row>
    <row r="13212" spans="2:4" ht="13">
      <c r="B13212" s="12" t="str">
        <f ca="1">IFERROR(__xludf.DUMMYFUNCTION("""COMPUTED_VALUE"""),"")</f>
        <v/>
      </c>
      <c r="C13212" s="12" t="str">
        <f ca="1">IFERROR(__xludf.DUMMYFUNCTION("""COMPUTED_VALUE"""),"")</f>
        <v/>
      </c>
      <c r="D13212" s="12" t="str">
        <f ca="1">IFERROR(__xludf.DUMMYFUNCTION("""COMPUTED_VALUE"""),"")</f>
        <v/>
      </c>
    </row>
    <row r="13213" spans="2:4" ht="13">
      <c r="B13213" s="12" t="str">
        <f ca="1">IFERROR(__xludf.DUMMYFUNCTION("""COMPUTED_VALUE"""),"")</f>
        <v/>
      </c>
      <c r="C13213" s="12" t="str">
        <f ca="1">IFERROR(__xludf.DUMMYFUNCTION("""COMPUTED_VALUE"""),"")</f>
        <v/>
      </c>
      <c r="D13213" s="12" t="str">
        <f ca="1">IFERROR(__xludf.DUMMYFUNCTION("""COMPUTED_VALUE"""),"")</f>
        <v/>
      </c>
    </row>
    <row r="13214" spans="2:4" ht="13">
      <c r="B13214" s="12" t="str">
        <f ca="1">IFERROR(__xludf.DUMMYFUNCTION("""COMPUTED_VALUE"""),"")</f>
        <v/>
      </c>
      <c r="C13214" s="12" t="str">
        <f ca="1">IFERROR(__xludf.DUMMYFUNCTION("""COMPUTED_VALUE"""),"")</f>
        <v/>
      </c>
      <c r="D13214" s="12" t="str">
        <f ca="1">IFERROR(__xludf.DUMMYFUNCTION("""COMPUTED_VALUE"""),"")</f>
        <v/>
      </c>
    </row>
    <row r="13215" spans="2:4" ht="13">
      <c r="B13215" s="12" t="str">
        <f ca="1">IFERROR(__xludf.DUMMYFUNCTION("""COMPUTED_VALUE"""),"")</f>
        <v/>
      </c>
      <c r="C13215" s="12" t="str">
        <f ca="1">IFERROR(__xludf.DUMMYFUNCTION("""COMPUTED_VALUE"""),"")</f>
        <v/>
      </c>
      <c r="D13215" s="12" t="str">
        <f ca="1">IFERROR(__xludf.DUMMYFUNCTION("""COMPUTED_VALUE"""),"")</f>
        <v/>
      </c>
    </row>
    <row r="13216" spans="2:4" ht="13">
      <c r="B13216" s="12" t="str">
        <f ca="1">IFERROR(__xludf.DUMMYFUNCTION("""COMPUTED_VALUE"""),"")</f>
        <v/>
      </c>
      <c r="C13216" s="12" t="str">
        <f ca="1">IFERROR(__xludf.DUMMYFUNCTION("""COMPUTED_VALUE"""),"")</f>
        <v/>
      </c>
      <c r="D13216" s="12" t="str">
        <f ca="1">IFERROR(__xludf.DUMMYFUNCTION("""COMPUTED_VALUE"""),"")</f>
        <v/>
      </c>
    </row>
    <row r="13217" spans="2:4" ht="13">
      <c r="B13217" s="12" t="str">
        <f ca="1">IFERROR(__xludf.DUMMYFUNCTION("""COMPUTED_VALUE"""),"")</f>
        <v/>
      </c>
      <c r="C13217" s="12" t="str">
        <f ca="1">IFERROR(__xludf.DUMMYFUNCTION("""COMPUTED_VALUE"""),"")</f>
        <v/>
      </c>
      <c r="D13217" s="12" t="str">
        <f ca="1">IFERROR(__xludf.DUMMYFUNCTION("""COMPUTED_VALUE"""),"")</f>
        <v/>
      </c>
    </row>
    <row r="13218" spans="2:4" ht="13">
      <c r="B13218" s="12" t="str">
        <f ca="1">IFERROR(__xludf.DUMMYFUNCTION("""COMPUTED_VALUE"""),"")</f>
        <v/>
      </c>
      <c r="C13218" s="12" t="str">
        <f ca="1">IFERROR(__xludf.DUMMYFUNCTION("""COMPUTED_VALUE"""),"")</f>
        <v/>
      </c>
      <c r="D13218" s="12" t="str">
        <f ca="1">IFERROR(__xludf.DUMMYFUNCTION("""COMPUTED_VALUE"""),"")</f>
        <v/>
      </c>
    </row>
    <row r="13219" spans="2:4" ht="13">
      <c r="B13219" s="12" t="str">
        <f ca="1">IFERROR(__xludf.DUMMYFUNCTION("""COMPUTED_VALUE"""),"")</f>
        <v/>
      </c>
      <c r="C13219" s="12" t="str">
        <f ca="1">IFERROR(__xludf.DUMMYFUNCTION("""COMPUTED_VALUE"""),"")</f>
        <v/>
      </c>
      <c r="D13219" s="12" t="str">
        <f ca="1">IFERROR(__xludf.DUMMYFUNCTION("""COMPUTED_VALUE"""),"")</f>
        <v/>
      </c>
    </row>
    <row r="13220" spans="2:4" ht="13">
      <c r="B13220" s="12" t="str">
        <f ca="1">IFERROR(__xludf.DUMMYFUNCTION("""COMPUTED_VALUE"""),"")</f>
        <v/>
      </c>
      <c r="C13220" s="12" t="str">
        <f ca="1">IFERROR(__xludf.DUMMYFUNCTION("""COMPUTED_VALUE"""),"")</f>
        <v/>
      </c>
      <c r="D13220" s="12" t="str">
        <f ca="1">IFERROR(__xludf.DUMMYFUNCTION("""COMPUTED_VALUE"""),"")</f>
        <v/>
      </c>
    </row>
    <row r="13221" spans="2:4" ht="13">
      <c r="B13221" s="12" t="str">
        <f ca="1">IFERROR(__xludf.DUMMYFUNCTION("""COMPUTED_VALUE"""),"")</f>
        <v/>
      </c>
      <c r="C13221" s="12" t="str">
        <f ca="1">IFERROR(__xludf.DUMMYFUNCTION("""COMPUTED_VALUE"""),"")</f>
        <v/>
      </c>
      <c r="D13221" s="12" t="str">
        <f ca="1">IFERROR(__xludf.DUMMYFUNCTION("""COMPUTED_VALUE"""),"")</f>
        <v/>
      </c>
    </row>
    <row r="13222" spans="2:4" ht="13">
      <c r="B13222" s="12" t="str">
        <f ca="1">IFERROR(__xludf.DUMMYFUNCTION("""COMPUTED_VALUE"""),"")</f>
        <v/>
      </c>
      <c r="C13222" s="12" t="str">
        <f ca="1">IFERROR(__xludf.DUMMYFUNCTION("""COMPUTED_VALUE"""),"")</f>
        <v/>
      </c>
      <c r="D13222" s="12" t="str">
        <f ca="1">IFERROR(__xludf.DUMMYFUNCTION("""COMPUTED_VALUE"""),"")</f>
        <v/>
      </c>
    </row>
    <row r="13223" spans="2:4" ht="13">
      <c r="B13223" s="12" t="str">
        <f ca="1">IFERROR(__xludf.DUMMYFUNCTION("""COMPUTED_VALUE"""),"")</f>
        <v/>
      </c>
      <c r="C13223" s="12" t="str">
        <f ca="1">IFERROR(__xludf.DUMMYFUNCTION("""COMPUTED_VALUE"""),"")</f>
        <v/>
      </c>
      <c r="D13223" s="12" t="str">
        <f ca="1">IFERROR(__xludf.DUMMYFUNCTION("""COMPUTED_VALUE"""),"")</f>
        <v/>
      </c>
    </row>
    <row r="13224" spans="2:4" ht="13">
      <c r="B13224" s="12" t="str">
        <f ca="1">IFERROR(__xludf.DUMMYFUNCTION("""COMPUTED_VALUE"""),"")</f>
        <v/>
      </c>
      <c r="C13224" s="12" t="str">
        <f ca="1">IFERROR(__xludf.DUMMYFUNCTION("""COMPUTED_VALUE"""),"")</f>
        <v/>
      </c>
      <c r="D13224" s="12" t="str">
        <f ca="1">IFERROR(__xludf.DUMMYFUNCTION("""COMPUTED_VALUE"""),"")</f>
        <v/>
      </c>
    </row>
    <row r="13225" spans="2:4" ht="13">
      <c r="B13225" s="12" t="str">
        <f ca="1">IFERROR(__xludf.DUMMYFUNCTION("""COMPUTED_VALUE"""),"")</f>
        <v/>
      </c>
      <c r="C13225" s="12" t="str">
        <f ca="1">IFERROR(__xludf.DUMMYFUNCTION("""COMPUTED_VALUE"""),"")</f>
        <v/>
      </c>
      <c r="D13225" s="12" t="str">
        <f ca="1">IFERROR(__xludf.DUMMYFUNCTION("""COMPUTED_VALUE"""),"")</f>
        <v/>
      </c>
    </row>
    <row r="13226" spans="2:4" ht="13">
      <c r="B13226" s="12" t="str">
        <f ca="1">IFERROR(__xludf.DUMMYFUNCTION("""COMPUTED_VALUE"""),"")</f>
        <v/>
      </c>
      <c r="C13226" s="12" t="str">
        <f ca="1">IFERROR(__xludf.DUMMYFUNCTION("""COMPUTED_VALUE"""),"")</f>
        <v/>
      </c>
      <c r="D13226" s="12" t="str">
        <f ca="1">IFERROR(__xludf.DUMMYFUNCTION("""COMPUTED_VALUE"""),"")</f>
        <v/>
      </c>
    </row>
    <row r="13227" spans="2:4" ht="13">
      <c r="B13227" s="12" t="str">
        <f ca="1">IFERROR(__xludf.DUMMYFUNCTION("""COMPUTED_VALUE"""),"")</f>
        <v/>
      </c>
      <c r="C13227" s="12" t="str">
        <f ca="1">IFERROR(__xludf.DUMMYFUNCTION("""COMPUTED_VALUE"""),"")</f>
        <v/>
      </c>
      <c r="D13227" s="12" t="str">
        <f ca="1">IFERROR(__xludf.DUMMYFUNCTION("""COMPUTED_VALUE"""),"")</f>
        <v/>
      </c>
    </row>
    <row r="13228" spans="2:4" ht="13">
      <c r="B13228" s="12" t="str">
        <f ca="1">IFERROR(__xludf.DUMMYFUNCTION("""COMPUTED_VALUE"""),"")</f>
        <v/>
      </c>
      <c r="C13228" s="12" t="str">
        <f ca="1">IFERROR(__xludf.DUMMYFUNCTION("""COMPUTED_VALUE"""),"")</f>
        <v/>
      </c>
      <c r="D13228" s="12" t="str">
        <f ca="1">IFERROR(__xludf.DUMMYFUNCTION("""COMPUTED_VALUE"""),"")</f>
        <v/>
      </c>
    </row>
    <row r="13229" spans="2:4" ht="13">
      <c r="B13229" s="12" t="str">
        <f ca="1">IFERROR(__xludf.DUMMYFUNCTION("""COMPUTED_VALUE"""),"")</f>
        <v/>
      </c>
      <c r="C13229" s="12" t="str">
        <f ca="1">IFERROR(__xludf.DUMMYFUNCTION("""COMPUTED_VALUE"""),"")</f>
        <v/>
      </c>
      <c r="D13229" s="12" t="str">
        <f ca="1">IFERROR(__xludf.DUMMYFUNCTION("""COMPUTED_VALUE"""),"")</f>
        <v/>
      </c>
    </row>
    <row r="13230" spans="2:4" ht="13">
      <c r="B13230" s="12" t="str">
        <f ca="1">IFERROR(__xludf.DUMMYFUNCTION("""COMPUTED_VALUE"""),"")</f>
        <v/>
      </c>
      <c r="C13230" s="12" t="str">
        <f ca="1">IFERROR(__xludf.DUMMYFUNCTION("""COMPUTED_VALUE"""),"")</f>
        <v/>
      </c>
      <c r="D13230" s="12" t="str">
        <f ca="1">IFERROR(__xludf.DUMMYFUNCTION("""COMPUTED_VALUE"""),"")</f>
        <v/>
      </c>
    </row>
    <row r="13231" spans="2:4" ht="13">
      <c r="B13231" s="12" t="str">
        <f ca="1">IFERROR(__xludf.DUMMYFUNCTION("""COMPUTED_VALUE"""),"")</f>
        <v/>
      </c>
      <c r="C13231" s="12" t="str">
        <f ca="1">IFERROR(__xludf.DUMMYFUNCTION("""COMPUTED_VALUE"""),"")</f>
        <v/>
      </c>
      <c r="D13231" s="12" t="str">
        <f ca="1">IFERROR(__xludf.DUMMYFUNCTION("""COMPUTED_VALUE"""),"")</f>
        <v/>
      </c>
    </row>
    <row r="13232" spans="2:4" ht="13">
      <c r="B13232" s="12" t="str">
        <f ca="1">IFERROR(__xludf.DUMMYFUNCTION("""COMPUTED_VALUE"""),"")</f>
        <v/>
      </c>
      <c r="C13232" s="12" t="str">
        <f ca="1">IFERROR(__xludf.DUMMYFUNCTION("""COMPUTED_VALUE"""),"")</f>
        <v/>
      </c>
      <c r="D13232" s="12" t="str">
        <f ca="1">IFERROR(__xludf.DUMMYFUNCTION("""COMPUTED_VALUE"""),"")</f>
        <v/>
      </c>
    </row>
    <row r="13233" spans="2:4" ht="13">
      <c r="B13233" s="12" t="str">
        <f ca="1">IFERROR(__xludf.DUMMYFUNCTION("""COMPUTED_VALUE"""),"")</f>
        <v/>
      </c>
      <c r="C13233" s="12" t="str">
        <f ca="1">IFERROR(__xludf.DUMMYFUNCTION("""COMPUTED_VALUE"""),"")</f>
        <v/>
      </c>
      <c r="D13233" s="12" t="str">
        <f ca="1">IFERROR(__xludf.DUMMYFUNCTION("""COMPUTED_VALUE"""),"")</f>
        <v/>
      </c>
    </row>
    <row r="13234" spans="2:4" ht="13">
      <c r="B13234" s="12" t="str">
        <f ca="1">IFERROR(__xludf.DUMMYFUNCTION("""COMPUTED_VALUE"""),"")</f>
        <v/>
      </c>
      <c r="C13234" s="12" t="str">
        <f ca="1">IFERROR(__xludf.DUMMYFUNCTION("""COMPUTED_VALUE"""),"")</f>
        <v/>
      </c>
      <c r="D13234" s="12" t="str">
        <f ca="1">IFERROR(__xludf.DUMMYFUNCTION("""COMPUTED_VALUE"""),"")</f>
        <v/>
      </c>
    </row>
    <row r="13235" spans="2:4" ht="13">
      <c r="B13235" s="12" t="str">
        <f ca="1">IFERROR(__xludf.DUMMYFUNCTION("""COMPUTED_VALUE"""),"")</f>
        <v/>
      </c>
      <c r="C13235" s="12" t="str">
        <f ca="1">IFERROR(__xludf.DUMMYFUNCTION("""COMPUTED_VALUE"""),"")</f>
        <v/>
      </c>
      <c r="D13235" s="12" t="str">
        <f ca="1">IFERROR(__xludf.DUMMYFUNCTION("""COMPUTED_VALUE"""),"")</f>
        <v/>
      </c>
    </row>
    <row r="13236" spans="2:4" ht="13">
      <c r="B13236" s="12" t="str">
        <f ca="1">IFERROR(__xludf.DUMMYFUNCTION("""COMPUTED_VALUE"""),"")</f>
        <v/>
      </c>
      <c r="C13236" s="12" t="str">
        <f ca="1">IFERROR(__xludf.DUMMYFUNCTION("""COMPUTED_VALUE"""),"")</f>
        <v/>
      </c>
      <c r="D13236" s="12" t="str">
        <f ca="1">IFERROR(__xludf.DUMMYFUNCTION("""COMPUTED_VALUE"""),"")</f>
        <v/>
      </c>
    </row>
    <row r="13237" spans="2:4" ht="13">
      <c r="B13237" s="12" t="str">
        <f ca="1">IFERROR(__xludf.DUMMYFUNCTION("""COMPUTED_VALUE"""),"")</f>
        <v/>
      </c>
      <c r="C13237" s="12" t="str">
        <f ca="1">IFERROR(__xludf.DUMMYFUNCTION("""COMPUTED_VALUE"""),"")</f>
        <v/>
      </c>
      <c r="D13237" s="12" t="str">
        <f ca="1">IFERROR(__xludf.DUMMYFUNCTION("""COMPUTED_VALUE"""),"")</f>
        <v/>
      </c>
    </row>
    <row r="13238" spans="2:4" ht="13">
      <c r="B13238" s="12" t="str">
        <f ca="1">IFERROR(__xludf.DUMMYFUNCTION("""COMPUTED_VALUE"""),"")</f>
        <v/>
      </c>
      <c r="C13238" s="12" t="str">
        <f ca="1">IFERROR(__xludf.DUMMYFUNCTION("""COMPUTED_VALUE"""),"")</f>
        <v/>
      </c>
      <c r="D13238" s="12" t="str">
        <f ca="1">IFERROR(__xludf.DUMMYFUNCTION("""COMPUTED_VALUE"""),"")</f>
        <v/>
      </c>
    </row>
    <row r="13239" spans="2:4" ht="13">
      <c r="B13239" s="12" t="str">
        <f ca="1">IFERROR(__xludf.DUMMYFUNCTION("""COMPUTED_VALUE"""),"")</f>
        <v/>
      </c>
      <c r="C13239" s="12" t="str">
        <f ca="1">IFERROR(__xludf.DUMMYFUNCTION("""COMPUTED_VALUE"""),"")</f>
        <v/>
      </c>
      <c r="D13239" s="12" t="str">
        <f ca="1">IFERROR(__xludf.DUMMYFUNCTION("""COMPUTED_VALUE"""),"")</f>
        <v/>
      </c>
    </row>
    <row r="13240" spans="2:4" ht="13">
      <c r="B13240" s="12" t="str">
        <f ca="1">IFERROR(__xludf.DUMMYFUNCTION("""COMPUTED_VALUE"""),"")</f>
        <v/>
      </c>
      <c r="C13240" s="12" t="str">
        <f ca="1">IFERROR(__xludf.DUMMYFUNCTION("""COMPUTED_VALUE"""),"")</f>
        <v/>
      </c>
      <c r="D13240" s="12" t="str">
        <f ca="1">IFERROR(__xludf.DUMMYFUNCTION("""COMPUTED_VALUE"""),"")</f>
        <v/>
      </c>
    </row>
    <row r="13241" spans="2:4" ht="13">
      <c r="B13241" s="12" t="str">
        <f ca="1">IFERROR(__xludf.DUMMYFUNCTION("""COMPUTED_VALUE"""),"")</f>
        <v/>
      </c>
      <c r="C13241" s="12" t="str">
        <f ca="1">IFERROR(__xludf.DUMMYFUNCTION("""COMPUTED_VALUE"""),"")</f>
        <v/>
      </c>
      <c r="D13241" s="12" t="str">
        <f ca="1">IFERROR(__xludf.DUMMYFUNCTION("""COMPUTED_VALUE"""),"")</f>
        <v/>
      </c>
    </row>
    <row r="13242" spans="2:4" ht="13">
      <c r="B13242" s="12" t="str">
        <f ca="1">IFERROR(__xludf.DUMMYFUNCTION("""COMPUTED_VALUE"""),"")</f>
        <v/>
      </c>
      <c r="C13242" s="12" t="str">
        <f ca="1">IFERROR(__xludf.DUMMYFUNCTION("""COMPUTED_VALUE"""),"")</f>
        <v/>
      </c>
      <c r="D13242" s="12" t="str">
        <f ca="1">IFERROR(__xludf.DUMMYFUNCTION("""COMPUTED_VALUE"""),"")</f>
        <v/>
      </c>
    </row>
    <row r="13243" spans="2:4" ht="13">
      <c r="B13243" s="12" t="str">
        <f ca="1">IFERROR(__xludf.DUMMYFUNCTION("""COMPUTED_VALUE"""),"")</f>
        <v/>
      </c>
      <c r="C13243" s="12" t="str">
        <f ca="1">IFERROR(__xludf.DUMMYFUNCTION("""COMPUTED_VALUE"""),"")</f>
        <v/>
      </c>
      <c r="D13243" s="12" t="str">
        <f ca="1">IFERROR(__xludf.DUMMYFUNCTION("""COMPUTED_VALUE"""),"")</f>
        <v/>
      </c>
    </row>
    <row r="13244" spans="2:4" ht="13">
      <c r="B13244" s="12" t="str">
        <f ca="1">IFERROR(__xludf.DUMMYFUNCTION("""COMPUTED_VALUE"""),"")</f>
        <v/>
      </c>
      <c r="C13244" s="12" t="str">
        <f ca="1">IFERROR(__xludf.DUMMYFUNCTION("""COMPUTED_VALUE"""),"")</f>
        <v/>
      </c>
      <c r="D13244" s="12" t="str">
        <f ca="1">IFERROR(__xludf.DUMMYFUNCTION("""COMPUTED_VALUE"""),"")</f>
        <v/>
      </c>
    </row>
    <row r="13245" spans="2:4" ht="13">
      <c r="B13245" s="12" t="str">
        <f ca="1">IFERROR(__xludf.DUMMYFUNCTION("""COMPUTED_VALUE"""),"")</f>
        <v/>
      </c>
      <c r="C13245" s="12" t="str">
        <f ca="1">IFERROR(__xludf.DUMMYFUNCTION("""COMPUTED_VALUE"""),"")</f>
        <v/>
      </c>
      <c r="D13245" s="12" t="str">
        <f ca="1">IFERROR(__xludf.DUMMYFUNCTION("""COMPUTED_VALUE"""),"")</f>
        <v/>
      </c>
    </row>
    <row r="13246" spans="2:4" ht="13">
      <c r="B13246" s="12" t="str">
        <f ca="1">IFERROR(__xludf.DUMMYFUNCTION("""COMPUTED_VALUE"""),"")</f>
        <v/>
      </c>
      <c r="C13246" s="12" t="str">
        <f ca="1">IFERROR(__xludf.DUMMYFUNCTION("""COMPUTED_VALUE"""),"")</f>
        <v/>
      </c>
      <c r="D13246" s="12" t="str">
        <f ca="1">IFERROR(__xludf.DUMMYFUNCTION("""COMPUTED_VALUE"""),"")</f>
        <v/>
      </c>
    </row>
    <row r="13247" spans="2:4" ht="13">
      <c r="B13247" s="12" t="str">
        <f ca="1">IFERROR(__xludf.DUMMYFUNCTION("""COMPUTED_VALUE"""),"")</f>
        <v/>
      </c>
      <c r="C13247" s="12" t="str">
        <f ca="1">IFERROR(__xludf.DUMMYFUNCTION("""COMPUTED_VALUE"""),"")</f>
        <v/>
      </c>
      <c r="D13247" s="12" t="str">
        <f ca="1">IFERROR(__xludf.DUMMYFUNCTION("""COMPUTED_VALUE"""),"")</f>
        <v/>
      </c>
    </row>
    <row r="13248" spans="2:4" ht="13">
      <c r="B13248" s="12" t="str">
        <f ca="1">IFERROR(__xludf.DUMMYFUNCTION("""COMPUTED_VALUE"""),"")</f>
        <v/>
      </c>
      <c r="C13248" s="12" t="str">
        <f ca="1">IFERROR(__xludf.DUMMYFUNCTION("""COMPUTED_VALUE"""),"")</f>
        <v/>
      </c>
      <c r="D13248" s="12" t="str">
        <f ca="1">IFERROR(__xludf.DUMMYFUNCTION("""COMPUTED_VALUE"""),"")</f>
        <v/>
      </c>
    </row>
    <row r="13249" spans="2:4" ht="13">
      <c r="B13249" s="12" t="str">
        <f ca="1">IFERROR(__xludf.DUMMYFUNCTION("""COMPUTED_VALUE"""),"")</f>
        <v/>
      </c>
      <c r="C13249" s="12" t="str">
        <f ca="1">IFERROR(__xludf.DUMMYFUNCTION("""COMPUTED_VALUE"""),"")</f>
        <v/>
      </c>
      <c r="D13249" s="12" t="str">
        <f ca="1">IFERROR(__xludf.DUMMYFUNCTION("""COMPUTED_VALUE"""),"")</f>
        <v/>
      </c>
    </row>
    <row r="13250" spans="2:4" ht="13">
      <c r="B13250" s="12" t="str">
        <f ca="1">IFERROR(__xludf.DUMMYFUNCTION("""COMPUTED_VALUE"""),"")</f>
        <v/>
      </c>
      <c r="C13250" s="12" t="str">
        <f ca="1">IFERROR(__xludf.DUMMYFUNCTION("""COMPUTED_VALUE"""),"")</f>
        <v/>
      </c>
      <c r="D13250" s="12" t="str">
        <f ca="1">IFERROR(__xludf.DUMMYFUNCTION("""COMPUTED_VALUE"""),"")</f>
        <v/>
      </c>
    </row>
    <row r="13251" spans="2:4" ht="13">
      <c r="B13251" s="12" t="str">
        <f ca="1">IFERROR(__xludf.DUMMYFUNCTION("""COMPUTED_VALUE"""),"")</f>
        <v/>
      </c>
      <c r="C13251" s="12" t="str">
        <f ca="1">IFERROR(__xludf.DUMMYFUNCTION("""COMPUTED_VALUE"""),"")</f>
        <v/>
      </c>
      <c r="D13251" s="12" t="str">
        <f ca="1">IFERROR(__xludf.DUMMYFUNCTION("""COMPUTED_VALUE"""),"")</f>
        <v/>
      </c>
    </row>
    <row r="13252" spans="2:4" ht="13">
      <c r="B13252" s="12" t="str">
        <f ca="1">IFERROR(__xludf.DUMMYFUNCTION("""COMPUTED_VALUE"""),"")</f>
        <v/>
      </c>
      <c r="C13252" s="12" t="str">
        <f ca="1">IFERROR(__xludf.DUMMYFUNCTION("""COMPUTED_VALUE"""),"")</f>
        <v/>
      </c>
      <c r="D13252" s="12" t="str">
        <f ca="1">IFERROR(__xludf.DUMMYFUNCTION("""COMPUTED_VALUE"""),"")</f>
        <v/>
      </c>
    </row>
    <row r="13253" spans="2:4" ht="13">
      <c r="B13253" s="12" t="str">
        <f ca="1">IFERROR(__xludf.DUMMYFUNCTION("""COMPUTED_VALUE"""),"")</f>
        <v/>
      </c>
      <c r="C13253" s="12" t="str">
        <f ca="1">IFERROR(__xludf.DUMMYFUNCTION("""COMPUTED_VALUE"""),"")</f>
        <v/>
      </c>
      <c r="D13253" s="12" t="str">
        <f ca="1">IFERROR(__xludf.DUMMYFUNCTION("""COMPUTED_VALUE"""),"")</f>
        <v/>
      </c>
    </row>
    <row r="13254" spans="2:4" ht="13">
      <c r="B13254" s="12" t="str">
        <f ca="1">IFERROR(__xludf.DUMMYFUNCTION("""COMPUTED_VALUE"""),"")</f>
        <v/>
      </c>
      <c r="C13254" s="12" t="str">
        <f ca="1">IFERROR(__xludf.DUMMYFUNCTION("""COMPUTED_VALUE"""),"")</f>
        <v/>
      </c>
      <c r="D13254" s="12" t="str">
        <f ca="1">IFERROR(__xludf.DUMMYFUNCTION("""COMPUTED_VALUE"""),"")</f>
        <v/>
      </c>
    </row>
    <row r="13255" spans="2:4" ht="13">
      <c r="B13255" s="12" t="str">
        <f ca="1">IFERROR(__xludf.DUMMYFUNCTION("""COMPUTED_VALUE"""),"")</f>
        <v/>
      </c>
      <c r="C13255" s="12" t="str">
        <f ca="1">IFERROR(__xludf.DUMMYFUNCTION("""COMPUTED_VALUE"""),"")</f>
        <v/>
      </c>
      <c r="D13255" s="12" t="str">
        <f ca="1">IFERROR(__xludf.DUMMYFUNCTION("""COMPUTED_VALUE"""),"")</f>
        <v/>
      </c>
    </row>
    <row r="13256" spans="2:4" ht="13">
      <c r="B13256" s="12" t="str">
        <f ca="1">IFERROR(__xludf.DUMMYFUNCTION("""COMPUTED_VALUE"""),"")</f>
        <v/>
      </c>
      <c r="C13256" s="12" t="str">
        <f ca="1">IFERROR(__xludf.DUMMYFUNCTION("""COMPUTED_VALUE"""),"")</f>
        <v/>
      </c>
      <c r="D13256" s="12" t="str">
        <f ca="1">IFERROR(__xludf.DUMMYFUNCTION("""COMPUTED_VALUE"""),"")</f>
        <v/>
      </c>
    </row>
    <row r="13257" spans="2:4" ht="13">
      <c r="B13257" s="12" t="str">
        <f ca="1">IFERROR(__xludf.DUMMYFUNCTION("""COMPUTED_VALUE"""),"")</f>
        <v/>
      </c>
      <c r="C13257" s="12" t="str">
        <f ca="1">IFERROR(__xludf.DUMMYFUNCTION("""COMPUTED_VALUE"""),"")</f>
        <v/>
      </c>
      <c r="D13257" s="12" t="str">
        <f ca="1">IFERROR(__xludf.DUMMYFUNCTION("""COMPUTED_VALUE"""),"")</f>
        <v/>
      </c>
    </row>
    <row r="13258" spans="2:4" ht="13">
      <c r="B13258" s="12" t="str">
        <f ca="1">IFERROR(__xludf.DUMMYFUNCTION("""COMPUTED_VALUE"""),"")</f>
        <v/>
      </c>
      <c r="C13258" s="12" t="str">
        <f ca="1">IFERROR(__xludf.DUMMYFUNCTION("""COMPUTED_VALUE"""),"")</f>
        <v/>
      </c>
      <c r="D13258" s="12" t="str">
        <f ca="1">IFERROR(__xludf.DUMMYFUNCTION("""COMPUTED_VALUE"""),"")</f>
        <v/>
      </c>
    </row>
    <row r="13259" spans="2:4" ht="13">
      <c r="B13259" s="12" t="str">
        <f ca="1">IFERROR(__xludf.DUMMYFUNCTION("""COMPUTED_VALUE"""),"")</f>
        <v/>
      </c>
      <c r="C13259" s="12" t="str">
        <f ca="1">IFERROR(__xludf.DUMMYFUNCTION("""COMPUTED_VALUE"""),"")</f>
        <v/>
      </c>
      <c r="D13259" s="12" t="str">
        <f ca="1">IFERROR(__xludf.DUMMYFUNCTION("""COMPUTED_VALUE"""),"")</f>
        <v/>
      </c>
    </row>
    <row r="13260" spans="2:4" ht="13">
      <c r="B13260" s="12" t="str">
        <f ca="1">IFERROR(__xludf.DUMMYFUNCTION("""COMPUTED_VALUE"""),"")</f>
        <v/>
      </c>
      <c r="C13260" s="12" t="str">
        <f ca="1">IFERROR(__xludf.DUMMYFUNCTION("""COMPUTED_VALUE"""),"")</f>
        <v/>
      </c>
      <c r="D13260" s="12" t="str">
        <f ca="1">IFERROR(__xludf.DUMMYFUNCTION("""COMPUTED_VALUE"""),"")</f>
        <v/>
      </c>
    </row>
    <row r="13261" spans="2:4" ht="13">
      <c r="B13261" s="12" t="str">
        <f ca="1">IFERROR(__xludf.DUMMYFUNCTION("""COMPUTED_VALUE"""),"")</f>
        <v/>
      </c>
      <c r="C13261" s="12" t="str">
        <f ca="1">IFERROR(__xludf.DUMMYFUNCTION("""COMPUTED_VALUE"""),"")</f>
        <v/>
      </c>
      <c r="D13261" s="12" t="str">
        <f ca="1">IFERROR(__xludf.DUMMYFUNCTION("""COMPUTED_VALUE"""),"")</f>
        <v/>
      </c>
    </row>
    <row r="13262" spans="2:4" ht="13">
      <c r="B13262" s="12" t="str">
        <f ca="1">IFERROR(__xludf.DUMMYFUNCTION("""COMPUTED_VALUE"""),"")</f>
        <v/>
      </c>
      <c r="C13262" s="12" t="str">
        <f ca="1">IFERROR(__xludf.DUMMYFUNCTION("""COMPUTED_VALUE"""),"")</f>
        <v/>
      </c>
      <c r="D13262" s="12" t="str">
        <f ca="1">IFERROR(__xludf.DUMMYFUNCTION("""COMPUTED_VALUE"""),"")</f>
        <v/>
      </c>
    </row>
    <row r="13263" spans="2:4" ht="13">
      <c r="B13263" s="12" t="str">
        <f ca="1">IFERROR(__xludf.DUMMYFUNCTION("""COMPUTED_VALUE"""),"")</f>
        <v/>
      </c>
      <c r="C13263" s="12" t="str">
        <f ca="1">IFERROR(__xludf.DUMMYFUNCTION("""COMPUTED_VALUE"""),"")</f>
        <v/>
      </c>
      <c r="D13263" s="12" t="str">
        <f ca="1">IFERROR(__xludf.DUMMYFUNCTION("""COMPUTED_VALUE"""),"")</f>
        <v/>
      </c>
    </row>
    <row r="13264" spans="2:4" ht="13">
      <c r="B13264" s="12" t="str">
        <f ca="1">IFERROR(__xludf.DUMMYFUNCTION("""COMPUTED_VALUE"""),"")</f>
        <v/>
      </c>
      <c r="C13264" s="12" t="str">
        <f ca="1">IFERROR(__xludf.DUMMYFUNCTION("""COMPUTED_VALUE"""),"")</f>
        <v/>
      </c>
      <c r="D13264" s="12" t="str">
        <f ca="1">IFERROR(__xludf.DUMMYFUNCTION("""COMPUTED_VALUE"""),"")</f>
        <v/>
      </c>
    </row>
    <row r="13265" spans="2:4" ht="13">
      <c r="B13265" s="12" t="str">
        <f ca="1">IFERROR(__xludf.DUMMYFUNCTION("""COMPUTED_VALUE"""),"")</f>
        <v/>
      </c>
      <c r="C13265" s="12" t="str">
        <f ca="1">IFERROR(__xludf.DUMMYFUNCTION("""COMPUTED_VALUE"""),"")</f>
        <v/>
      </c>
      <c r="D13265" s="12" t="str">
        <f ca="1">IFERROR(__xludf.DUMMYFUNCTION("""COMPUTED_VALUE"""),"")</f>
        <v/>
      </c>
    </row>
    <row r="13266" spans="2:4" ht="13">
      <c r="B13266" s="12" t="str">
        <f ca="1">IFERROR(__xludf.DUMMYFUNCTION("""COMPUTED_VALUE"""),"")</f>
        <v/>
      </c>
      <c r="C13266" s="12" t="str">
        <f ca="1">IFERROR(__xludf.DUMMYFUNCTION("""COMPUTED_VALUE"""),"")</f>
        <v/>
      </c>
      <c r="D13266" s="12" t="str">
        <f ca="1">IFERROR(__xludf.DUMMYFUNCTION("""COMPUTED_VALUE"""),"")</f>
        <v/>
      </c>
    </row>
    <row r="13267" spans="2:4" ht="13">
      <c r="B13267" s="12" t="str">
        <f ca="1">IFERROR(__xludf.DUMMYFUNCTION("""COMPUTED_VALUE"""),"")</f>
        <v/>
      </c>
      <c r="C13267" s="12" t="str">
        <f ca="1">IFERROR(__xludf.DUMMYFUNCTION("""COMPUTED_VALUE"""),"")</f>
        <v/>
      </c>
      <c r="D13267" s="12" t="str">
        <f ca="1">IFERROR(__xludf.DUMMYFUNCTION("""COMPUTED_VALUE"""),"")</f>
        <v/>
      </c>
    </row>
    <row r="13268" spans="2:4" ht="13">
      <c r="B13268" s="12" t="str">
        <f ca="1">IFERROR(__xludf.DUMMYFUNCTION("""COMPUTED_VALUE"""),"")</f>
        <v/>
      </c>
      <c r="C13268" s="12" t="str">
        <f ca="1">IFERROR(__xludf.DUMMYFUNCTION("""COMPUTED_VALUE"""),"")</f>
        <v/>
      </c>
      <c r="D13268" s="12" t="str">
        <f ca="1">IFERROR(__xludf.DUMMYFUNCTION("""COMPUTED_VALUE"""),"")</f>
        <v/>
      </c>
    </row>
    <row r="13269" spans="2:4" ht="13">
      <c r="B13269" s="12" t="str">
        <f ca="1">IFERROR(__xludf.DUMMYFUNCTION("""COMPUTED_VALUE"""),"")</f>
        <v/>
      </c>
      <c r="C13269" s="12" t="str">
        <f ca="1">IFERROR(__xludf.DUMMYFUNCTION("""COMPUTED_VALUE"""),"")</f>
        <v/>
      </c>
      <c r="D13269" s="12" t="str">
        <f ca="1">IFERROR(__xludf.DUMMYFUNCTION("""COMPUTED_VALUE"""),"")</f>
        <v/>
      </c>
    </row>
    <row r="13270" spans="2:4" ht="13">
      <c r="B13270" s="12" t="str">
        <f ca="1">IFERROR(__xludf.DUMMYFUNCTION("""COMPUTED_VALUE"""),"")</f>
        <v/>
      </c>
      <c r="C13270" s="12" t="str">
        <f ca="1">IFERROR(__xludf.DUMMYFUNCTION("""COMPUTED_VALUE"""),"")</f>
        <v/>
      </c>
      <c r="D13270" s="12" t="str">
        <f ca="1">IFERROR(__xludf.DUMMYFUNCTION("""COMPUTED_VALUE"""),"")</f>
        <v/>
      </c>
    </row>
    <row r="13271" spans="2:4" ht="13">
      <c r="B13271" s="12" t="str">
        <f ca="1">IFERROR(__xludf.DUMMYFUNCTION("""COMPUTED_VALUE"""),"")</f>
        <v/>
      </c>
      <c r="C13271" s="12" t="str">
        <f ca="1">IFERROR(__xludf.DUMMYFUNCTION("""COMPUTED_VALUE"""),"")</f>
        <v/>
      </c>
      <c r="D13271" s="12" t="str">
        <f ca="1">IFERROR(__xludf.DUMMYFUNCTION("""COMPUTED_VALUE"""),"")</f>
        <v/>
      </c>
    </row>
    <row r="13272" spans="2:4" ht="13">
      <c r="B13272" s="12" t="str">
        <f ca="1">IFERROR(__xludf.DUMMYFUNCTION("""COMPUTED_VALUE"""),"")</f>
        <v/>
      </c>
      <c r="C13272" s="12" t="str">
        <f ca="1">IFERROR(__xludf.DUMMYFUNCTION("""COMPUTED_VALUE"""),"")</f>
        <v/>
      </c>
      <c r="D13272" s="12" t="str">
        <f ca="1">IFERROR(__xludf.DUMMYFUNCTION("""COMPUTED_VALUE"""),"")</f>
        <v/>
      </c>
    </row>
    <row r="13273" spans="2:4" ht="13">
      <c r="B13273" s="12" t="str">
        <f ca="1">IFERROR(__xludf.DUMMYFUNCTION("""COMPUTED_VALUE"""),"")</f>
        <v/>
      </c>
      <c r="C13273" s="12" t="str">
        <f ca="1">IFERROR(__xludf.DUMMYFUNCTION("""COMPUTED_VALUE"""),"")</f>
        <v/>
      </c>
      <c r="D13273" s="12" t="str">
        <f ca="1">IFERROR(__xludf.DUMMYFUNCTION("""COMPUTED_VALUE"""),"")</f>
        <v/>
      </c>
    </row>
    <row r="13274" spans="2:4" ht="13">
      <c r="B13274" s="12" t="str">
        <f ca="1">IFERROR(__xludf.DUMMYFUNCTION("""COMPUTED_VALUE"""),"")</f>
        <v/>
      </c>
      <c r="C13274" s="12" t="str">
        <f ca="1">IFERROR(__xludf.DUMMYFUNCTION("""COMPUTED_VALUE"""),"")</f>
        <v/>
      </c>
      <c r="D13274" s="12" t="str">
        <f ca="1">IFERROR(__xludf.DUMMYFUNCTION("""COMPUTED_VALUE"""),"")</f>
        <v/>
      </c>
    </row>
    <row r="13275" spans="2:4" ht="13">
      <c r="B13275" s="12" t="str">
        <f ca="1">IFERROR(__xludf.DUMMYFUNCTION("""COMPUTED_VALUE"""),"")</f>
        <v/>
      </c>
      <c r="C13275" s="12" t="str">
        <f ca="1">IFERROR(__xludf.DUMMYFUNCTION("""COMPUTED_VALUE"""),"")</f>
        <v/>
      </c>
      <c r="D13275" s="12" t="str">
        <f ca="1">IFERROR(__xludf.DUMMYFUNCTION("""COMPUTED_VALUE"""),"")</f>
        <v/>
      </c>
    </row>
    <row r="13276" spans="2:4" ht="13">
      <c r="B13276" s="12" t="str">
        <f ca="1">IFERROR(__xludf.DUMMYFUNCTION("""COMPUTED_VALUE"""),"")</f>
        <v/>
      </c>
      <c r="C13276" s="12" t="str">
        <f ca="1">IFERROR(__xludf.DUMMYFUNCTION("""COMPUTED_VALUE"""),"")</f>
        <v/>
      </c>
      <c r="D13276" s="12" t="str">
        <f ca="1">IFERROR(__xludf.DUMMYFUNCTION("""COMPUTED_VALUE"""),"")</f>
        <v/>
      </c>
    </row>
    <row r="13277" spans="2:4" ht="13">
      <c r="B13277" s="12" t="str">
        <f ca="1">IFERROR(__xludf.DUMMYFUNCTION("""COMPUTED_VALUE"""),"")</f>
        <v/>
      </c>
      <c r="C13277" s="12" t="str">
        <f ca="1">IFERROR(__xludf.DUMMYFUNCTION("""COMPUTED_VALUE"""),"")</f>
        <v/>
      </c>
      <c r="D13277" s="12" t="str">
        <f ca="1">IFERROR(__xludf.DUMMYFUNCTION("""COMPUTED_VALUE"""),"")</f>
        <v/>
      </c>
    </row>
    <row r="13278" spans="2:4" ht="13">
      <c r="B13278" s="12" t="str">
        <f ca="1">IFERROR(__xludf.DUMMYFUNCTION("""COMPUTED_VALUE"""),"")</f>
        <v/>
      </c>
      <c r="C13278" s="12" t="str">
        <f ca="1">IFERROR(__xludf.DUMMYFUNCTION("""COMPUTED_VALUE"""),"")</f>
        <v/>
      </c>
      <c r="D13278" s="12" t="str">
        <f ca="1">IFERROR(__xludf.DUMMYFUNCTION("""COMPUTED_VALUE"""),"")</f>
        <v/>
      </c>
    </row>
    <row r="13279" spans="2:4" ht="13">
      <c r="B13279" s="12" t="str">
        <f ca="1">IFERROR(__xludf.DUMMYFUNCTION("""COMPUTED_VALUE"""),"")</f>
        <v/>
      </c>
      <c r="C13279" s="12" t="str">
        <f ca="1">IFERROR(__xludf.DUMMYFUNCTION("""COMPUTED_VALUE"""),"")</f>
        <v/>
      </c>
      <c r="D13279" s="12" t="str">
        <f ca="1">IFERROR(__xludf.DUMMYFUNCTION("""COMPUTED_VALUE"""),"")</f>
        <v/>
      </c>
    </row>
    <row r="13280" spans="2:4" ht="13">
      <c r="B13280" s="12" t="str">
        <f ca="1">IFERROR(__xludf.DUMMYFUNCTION("""COMPUTED_VALUE"""),"")</f>
        <v/>
      </c>
      <c r="C13280" s="12" t="str">
        <f ca="1">IFERROR(__xludf.DUMMYFUNCTION("""COMPUTED_VALUE"""),"")</f>
        <v/>
      </c>
      <c r="D13280" s="12" t="str">
        <f ca="1">IFERROR(__xludf.DUMMYFUNCTION("""COMPUTED_VALUE"""),"")</f>
        <v/>
      </c>
    </row>
    <row r="13281" spans="2:4" ht="13">
      <c r="B13281" s="12" t="str">
        <f ca="1">IFERROR(__xludf.DUMMYFUNCTION("""COMPUTED_VALUE"""),"")</f>
        <v/>
      </c>
      <c r="C13281" s="12" t="str">
        <f ca="1">IFERROR(__xludf.DUMMYFUNCTION("""COMPUTED_VALUE"""),"")</f>
        <v/>
      </c>
      <c r="D13281" s="12" t="str">
        <f ca="1">IFERROR(__xludf.DUMMYFUNCTION("""COMPUTED_VALUE"""),"")</f>
        <v/>
      </c>
    </row>
    <row r="13282" spans="2:4" ht="13">
      <c r="B13282" s="12" t="str">
        <f ca="1">IFERROR(__xludf.DUMMYFUNCTION("""COMPUTED_VALUE"""),"")</f>
        <v/>
      </c>
      <c r="C13282" s="12" t="str">
        <f ca="1">IFERROR(__xludf.DUMMYFUNCTION("""COMPUTED_VALUE"""),"")</f>
        <v/>
      </c>
      <c r="D13282" s="12" t="str">
        <f ca="1">IFERROR(__xludf.DUMMYFUNCTION("""COMPUTED_VALUE"""),"")</f>
        <v/>
      </c>
    </row>
    <row r="13283" spans="2:4" ht="13">
      <c r="B13283" s="12" t="str">
        <f ca="1">IFERROR(__xludf.DUMMYFUNCTION("""COMPUTED_VALUE"""),"")</f>
        <v/>
      </c>
      <c r="C13283" s="12" t="str">
        <f ca="1">IFERROR(__xludf.DUMMYFUNCTION("""COMPUTED_VALUE"""),"")</f>
        <v/>
      </c>
      <c r="D13283" s="12" t="str">
        <f ca="1">IFERROR(__xludf.DUMMYFUNCTION("""COMPUTED_VALUE"""),"")</f>
        <v/>
      </c>
    </row>
    <row r="13284" spans="2:4" ht="13">
      <c r="B13284" s="12" t="str">
        <f ca="1">IFERROR(__xludf.DUMMYFUNCTION("""COMPUTED_VALUE"""),"")</f>
        <v/>
      </c>
      <c r="C13284" s="12" t="str">
        <f ca="1">IFERROR(__xludf.DUMMYFUNCTION("""COMPUTED_VALUE"""),"")</f>
        <v/>
      </c>
      <c r="D13284" s="12" t="str">
        <f ca="1">IFERROR(__xludf.DUMMYFUNCTION("""COMPUTED_VALUE"""),"")</f>
        <v/>
      </c>
    </row>
    <row r="13285" spans="2:4" ht="13">
      <c r="B13285" s="12" t="str">
        <f ca="1">IFERROR(__xludf.DUMMYFUNCTION("""COMPUTED_VALUE"""),"")</f>
        <v/>
      </c>
      <c r="C13285" s="12" t="str">
        <f ca="1">IFERROR(__xludf.DUMMYFUNCTION("""COMPUTED_VALUE"""),"")</f>
        <v/>
      </c>
      <c r="D13285" s="12" t="str">
        <f ca="1">IFERROR(__xludf.DUMMYFUNCTION("""COMPUTED_VALUE"""),"")</f>
        <v/>
      </c>
    </row>
    <row r="13286" spans="2:4" ht="13">
      <c r="B13286" s="12" t="str">
        <f ca="1">IFERROR(__xludf.DUMMYFUNCTION("""COMPUTED_VALUE"""),"")</f>
        <v/>
      </c>
      <c r="C13286" s="12" t="str">
        <f ca="1">IFERROR(__xludf.DUMMYFUNCTION("""COMPUTED_VALUE"""),"")</f>
        <v/>
      </c>
      <c r="D13286" s="12" t="str">
        <f ca="1">IFERROR(__xludf.DUMMYFUNCTION("""COMPUTED_VALUE"""),"")</f>
        <v/>
      </c>
    </row>
    <row r="13287" spans="2:4" ht="13">
      <c r="B13287" s="12" t="str">
        <f ca="1">IFERROR(__xludf.DUMMYFUNCTION("""COMPUTED_VALUE"""),"")</f>
        <v/>
      </c>
      <c r="C13287" s="12" t="str">
        <f ca="1">IFERROR(__xludf.DUMMYFUNCTION("""COMPUTED_VALUE"""),"")</f>
        <v/>
      </c>
      <c r="D13287" s="12" t="str">
        <f ca="1">IFERROR(__xludf.DUMMYFUNCTION("""COMPUTED_VALUE"""),"")</f>
        <v/>
      </c>
    </row>
    <row r="13288" spans="2:4" ht="13">
      <c r="B13288" s="12" t="str">
        <f ca="1">IFERROR(__xludf.DUMMYFUNCTION("""COMPUTED_VALUE"""),"")</f>
        <v/>
      </c>
      <c r="C13288" s="12" t="str">
        <f ca="1">IFERROR(__xludf.DUMMYFUNCTION("""COMPUTED_VALUE"""),"")</f>
        <v/>
      </c>
      <c r="D13288" s="12" t="str">
        <f ca="1">IFERROR(__xludf.DUMMYFUNCTION("""COMPUTED_VALUE"""),"")</f>
        <v/>
      </c>
    </row>
    <row r="13289" spans="2:4" ht="13">
      <c r="B13289" s="12" t="str">
        <f ca="1">IFERROR(__xludf.DUMMYFUNCTION("""COMPUTED_VALUE"""),"")</f>
        <v/>
      </c>
      <c r="C13289" s="12" t="str">
        <f ca="1">IFERROR(__xludf.DUMMYFUNCTION("""COMPUTED_VALUE"""),"")</f>
        <v/>
      </c>
      <c r="D13289" s="12" t="str">
        <f ca="1">IFERROR(__xludf.DUMMYFUNCTION("""COMPUTED_VALUE"""),"")</f>
        <v/>
      </c>
    </row>
    <row r="13290" spans="2:4" ht="13">
      <c r="B13290" s="12" t="str">
        <f ca="1">IFERROR(__xludf.DUMMYFUNCTION("""COMPUTED_VALUE"""),"")</f>
        <v/>
      </c>
      <c r="C13290" s="12" t="str">
        <f ca="1">IFERROR(__xludf.DUMMYFUNCTION("""COMPUTED_VALUE"""),"")</f>
        <v/>
      </c>
      <c r="D13290" s="12" t="str">
        <f ca="1">IFERROR(__xludf.DUMMYFUNCTION("""COMPUTED_VALUE"""),"")</f>
        <v/>
      </c>
    </row>
    <row r="13291" spans="2:4" ht="13">
      <c r="B13291" s="12" t="str">
        <f ca="1">IFERROR(__xludf.DUMMYFUNCTION("""COMPUTED_VALUE"""),"")</f>
        <v/>
      </c>
      <c r="C13291" s="12" t="str">
        <f ca="1">IFERROR(__xludf.DUMMYFUNCTION("""COMPUTED_VALUE"""),"")</f>
        <v/>
      </c>
      <c r="D13291" s="12" t="str">
        <f ca="1">IFERROR(__xludf.DUMMYFUNCTION("""COMPUTED_VALUE"""),"")</f>
        <v/>
      </c>
    </row>
    <row r="13292" spans="2:4" ht="13">
      <c r="B13292" s="12" t="str">
        <f ca="1">IFERROR(__xludf.DUMMYFUNCTION("""COMPUTED_VALUE"""),"")</f>
        <v/>
      </c>
      <c r="C13292" s="12" t="str">
        <f ca="1">IFERROR(__xludf.DUMMYFUNCTION("""COMPUTED_VALUE"""),"")</f>
        <v/>
      </c>
      <c r="D13292" s="12" t="str">
        <f ca="1">IFERROR(__xludf.DUMMYFUNCTION("""COMPUTED_VALUE"""),"")</f>
        <v/>
      </c>
    </row>
    <row r="13293" spans="2:4" ht="13">
      <c r="B13293" s="12" t="str">
        <f ca="1">IFERROR(__xludf.DUMMYFUNCTION("""COMPUTED_VALUE"""),"")</f>
        <v/>
      </c>
      <c r="C13293" s="12" t="str">
        <f ca="1">IFERROR(__xludf.DUMMYFUNCTION("""COMPUTED_VALUE"""),"")</f>
        <v/>
      </c>
      <c r="D13293" s="12" t="str">
        <f ca="1">IFERROR(__xludf.DUMMYFUNCTION("""COMPUTED_VALUE"""),"")</f>
        <v/>
      </c>
    </row>
    <row r="13294" spans="2:4" ht="13">
      <c r="B13294" s="12" t="str">
        <f ca="1">IFERROR(__xludf.DUMMYFUNCTION("""COMPUTED_VALUE"""),"")</f>
        <v/>
      </c>
      <c r="C13294" s="12" t="str">
        <f ca="1">IFERROR(__xludf.DUMMYFUNCTION("""COMPUTED_VALUE"""),"")</f>
        <v/>
      </c>
      <c r="D13294" s="12" t="str">
        <f ca="1">IFERROR(__xludf.DUMMYFUNCTION("""COMPUTED_VALUE"""),"")</f>
        <v/>
      </c>
    </row>
    <row r="13295" spans="2:4" ht="13">
      <c r="B13295" s="12" t="str">
        <f ca="1">IFERROR(__xludf.DUMMYFUNCTION("""COMPUTED_VALUE"""),"")</f>
        <v/>
      </c>
      <c r="C13295" s="12" t="str">
        <f ca="1">IFERROR(__xludf.DUMMYFUNCTION("""COMPUTED_VALUE"""),"")</f>
        <v/>
      </c>
      <c r="D13295" s="12" t="str">
        <f ca="1">IFERROR(__xludf.DUMMYFUNCTION("""COMPUTED_VALUE"""),"")</f>
        <v/>
      </c>
    </row>
    <row r="13296" spans="2:4" ht="13">
      <c r="B13296" s="12" t="str">
        <f ca="1">IFERROR(__xludf.DUMMYFUNCTION("""COMPUTED_VALUE"""),"")</f>
        <v/>
      </c>
      <c r="C13296" s="12" t="str">
        <f ca="1">IFERROR(__xludf.DUMMYFUNCTION("""COMPUTED_VALUE"""),"")</f>
        <v/>
      </c>
      <c r="D13296" s="12" t="str">
        <f ca="1">IFERROR(__xludf.DUMMYFUNCTION("""COMPUTED_VALUE"""),"")</f>
        <v/>
      </c>
    </row>
    <row r="13297" spans="2:4" ht="13">
      <c r="B13297" s="12" t="str">
        <f ca="1">IFERROR(__xludf.DUMMYFUNCTION("""COMPUTED_VALUE"""),"")</f>
        <v/>
      </c>
      <c r="C13297" s="12" t="str">
        <f ca="1">IFERROR(__xludf.DUMMYFUNCTION("""COMPUTED_VALUE"""),"")</f>
        <v/>
      </c>
      <c r="D13297" s="12" t="str">
        <f ca="1">IFERROR(__xludf.DUMMYFUNCTION("""COMPUTED_VALUE"""),"")</f>
        <v/>
      </c>
    </row>
    <row r="13298" spans="2:4" ht="13">
      <c r="B13298" s="12" t="str">
        <f ca="1">IFERROR(__xludf.DUMMYFUNCTION("""COMPUTED_VALUE"""),"")</f>
        <v/>
      </c>
      <c r="C13298" s="12" t="str">
        <f ca="1">IFERROR(__xludf.DUMMYFUNCTION("""COMPUTED_VALUE"""),"")</f>
        <v/>
      </c>
      <c r="D13298" s="12" t="str">
        <f ca="1">IFERROR(__xludf.DUMMYFUNCTION("""COMPUTED_VALUE"""),"")</f>
        <v/>
      </c>
    </row>
    <row r="13299" spans="2:4" ht="13">
      <c r="B13299" s="12" t="str">
        <f ca="1">IFERROR(__xludf.DUMMYFUNCTION("""COMPUTED_VALUE"""),"")</f>
        <v/>
      </c>
      <c r="C13299" s="12" t="str">
        <f ca="1">IFERROR(__xludf.DUMMYFUNCTION("""COMPUTED_VALUE"""),"")</f>
        <v/>
      </c>
      <c r="D13299" s="12" t="str">
        <f ca="1">IFERROR(__xludf.DUMMYFUNCTION("""COMPUTED_VALUE"""),"")</f>
        <v/>
      </c>
    </row>
    <row r="13300" spans="2:4" ht="13">
      <c r="B13300" s="12" t="str">
        <f ca="1">IFERROR(__xludf.DUMMYFUNCTION("""COMPUTED_VALUE"""),"")</f>
        <v/>
      </c>
      <c r="C13300" s="12" t="str">
        <f ca="1">IFERROR(__xludf.DUMMYFUNCTION("""COMPUTED_VALUE"""),"")</f>
        <v/>
      </c>
      <c r="D13300" s="12" t="str">
        <f ca="1">IFERROR(__xludf.DUMMYFUNCTION("""COMPUTED_VALUE"""),"")</f>
        <v/>
      </c>
    </row>
    <row r="13301" spans="2:4" ht="13">
      <c r="B13301" s="12" t="str">
        <f ca="1">IFERROR(__xludf.DUMMYFUNCTION("""COMPUTED_VALUE"""),"")</f>
        <v/>
      </c>
      <c r="C13301" s="12" t="str">
        <f ca="1">IFERROR(__xludf.DUMMYFUNCTION("""COMPUTED_VALUE"""),"")</f>
        <v/>
      </c>
      <c r="D13301" s="12" t="str">
        <f ca="1">IFERROR(__xludf.DUMMYFUNCTION("""COMPUTED_VALUE"""),"")</f>
        <v/>
      </c>
    </row>
    <row r="13302" spans="2:4" ht="13">
      <c r="B13302" s="12" t="str">
        <f ca="1">IFERROR(__xludf.DUMMYFUNCTION("""COMPUTED_VALUE"""),"")</f>
        <v/>
      </c>
      <c r="C13302" s="12" t="str">
        <f ca="1">IFERROR(__xludf.DUMMYFUNCTION("""COMPUTED_VALUE"""),"")</f>
        <v/>
      </c>
      <c r="D13302" s="12" t="str">
        <f ca="1">IFERROR(__xludf.DUMMYFUNCTION("""COMPUTED_VALUE"""),"")</f>
        <v/>
      </c>
    </row>
    <row r="13303" spans="2:4" ht="13">
      <c r="B13303" s="12" t="str">
        <f ca="1">IFERROR(__xludf.DUMMYFUNCTION("""COMPUTED_VALUE"""),"")</f>
        <v/>
      </c>
      <c r="C13303" s="12" t="str">
        <f ca="1">IFERROR(__xludf.DUMMYFUNCTION("""COMPUTED_VALUE"""),"")</f>
        <v/>
      </c>
      <c r="D13303" s="12" t="str">
        <f ca="1">IFERROR(__xludf.DUMMYFUNCTION("""COMPUTED_VALUE"""),"")</f>
        <v/>
      </c>
    </row>
    <row r="13304" spans="2:4" ht="13">
      <c r="B13304" s="12" t="str">
        <f ca="1">IFERROR(__xludf.DUMMYFUNCTION("""COMPUTED_VALUE"""),"")</f>
        <v/>
      </c>
      <c r="C13304" s="12" t="str">
        <f ca="1">IFERROR(__xludf.DUMMYFUNCTION("""COMPUTED_VALUE"""),"")</f>
        <v/>
      </c>
      <c r="D13304" s="12" t="str">
        <f ca="1">IFERROR(__xludf.DUMMYFUNCTION("""COMPUTED_VALUE"""),"")</f>
        <v/>
      </c>
    </row>
    <row r="13305" spans="2:4" ht="13">
      <c r="B13305" s="12" t="str">
        <f ca="1">IFERROR(__xludf.DUMMYFUNCTION("""COMPUTED_VALUE"""),"")</f>
        <v/>
      </c>
      <c r="C13305" s="12" t="str">
        <f ca="1">IFERROR(__xludf.DUMMYFUNCTION("""COMPUTED_VALUE"""),"")</f>
        <v/>
      </c>
      <c r="D13305" s="12" t="str">
        <f ca="1">IFERROR(__xludf.DUMMYFUNCTION("""COMPUTED_VALUE"""),"")</f>
        <v/>
      </c>
    </row>
    <row r="13306" spans="2:4" ht="13">
      <c r="B13306" s="12" t="str">
        <f ca="1">IFERROR(__xludf.DUMMYFUNCTION("""COMPUTED_VALUE"""),"")</f>
        <v/>
      </c>
      <c r="C13306" s="12" t="str">
        <f ca="1">IFERROR(__xludf.DUMMYFUNCTION("""COMPUTED_VALUE"""),"")</f>
        <v/>
      </c>
      <c r="D13306" s="12" t="str">
        <f ca="1">IFERROR(__xludf.DUMMYFUNCTION("""COMPUTED_VALUE"""),"")</f>
        <v/>
      </c>
    </row>
    <row r="13307" spans="2:4" ht="13">
      <c r="B13307" s="12" t="str">
        <f ca="1">IFERROR(__xludf.DUMMYFUNCTION("""COMPUTED_VALUE"""),"")</f>
        <v/>
      </c>
      <c r="C13307" s="12" t="str">
        <f ca="1">IFERROR(__xludf.DUMMYFUNCTION("""COMPUTED_VALUE"""),"")</f>
        <v/>
      </c>
      <c r="D13307" s="12" t="str">
        <f ca="1">IFERROR(__xludf.DUMMYFUNCTION("""COMPUTED_VALUE"""),"")</f>
        <v/>
      </c>
    </row>
    <row r="13308" spans="2:4" ht="13">
      <c r="B13308" s="12" t="str">
        <f ca="1">IFERROR(__xludf.DUMMYFUNCTION("""COMPUTED_VALUE"""),"")</f>
        <v/>
      </c>
      <c r="C13308" s="12" t="str">
        <f ca="1">IFERROR(__xludf.DUMMYFUNCTION("""COMPUTED_VALUE"""),"")</f>
        <v/>
      </c>
      <c r="D13308" s="12" t="str">
        <f ca="1">IFERROR(__xludf.DUMMYFUNCTION("""COMPUTED_VALUE"""),"")</f>
        <v/>
      </c>
    </row>
    <row r="13309" spans="2:4" ht="13">
      <c r="B13309" s="12" t="str">
        <f ca="1">IFERROR(__xludf.DUMMYFUNCTION("""COMPUTED_VALUE"""),"")</f>
        <v/>
      </c>
      <c r="C13309" s="12" t="str">
        <f ca="1">IFERROR(__xludf.DUMMYFUNCTION("""COMPUTED_VALUE"""),"")</f>
        <v/>
      </c>
      <c r="D13309" s="12" t="str">
        <f ca="1">IFERROR(__xludf.DUMMYFUNCTION("""COMPUTED_VALUE"""),"")</f>
        <v/>
      </c>
    </row>
    <row r="13310" spans="2:4" ht="13">
      <c r="B13310" s="12" t="str">
        <f ca="1">IFERROR(__xludf.DUMMYFUNCTION("""COMPUTED_VALUE"""),"")</f>
        <v/>
      </c>
      <c r="C13310" s="12" t="str">
        <f ca="1">IFERROR(__xludf.DUMMYFUNCTION("""COMPUTED_VALUE"""),"")</f>
        <v/>
      </c>
      <c r="D13310" s="12" t="str">
        <f ca="1">IFERROR(__xludf.DUMMYFUNCTION("""COMPUTED_VALUE"""),"")</f>
        <v/>
      </c>
    </row>
    <row r="13311" spans="2:4" ht="13">
      <c r="B13311" s="12" t="str">
        <f ca="1">IFERROR(__xludf.DUMMYFUNCTION("""COMPUTED_VALUE"""),"")</f>
        <v/>
      </c>
      <c r="C13311" s="12" t="str">
        <f ca="1">IFERROR(__xludf.DUMMYFUNCTION("""COMPUTED_VALUE"""),"")</f>
        <v/>
      </c>
      <c r="D13311" s="12" t="str">
        <f ca="1">IFERROR(__xludf.DUMMYFUNCTION("""COMPUTED_VALUE"""),"")</f>
        <v/>
      </c>
    </row>
    <row r="13312" spans="2:4" ht="13">
      <c r="B13312" s="12" t="str">
        <f ca="1">IFERROR(__xludf.DUMMYFUNCTION("""COMPUTED_VALUE"""),"")</f>
        <v/>
      </c>
      <c r="C13312" s="12" t="str">
        <f ca="1">IFERROR(__xludf.DUMMYFUNCTION("""COMPUTED_VALUE"""),"")</f>
        <v/>
      </c>
      <c r="D13312" s="12" t="str">
        <f ca="1">IFERROR(__xludf.DUMMYFUNCTION("""COMPUTED_VALUE"""),"")</f>
        <v/>
      </c>
    </row>
    <row r="13313" spans="2:4" ht="13">
      <c r="B13313" s="12" t="str">
        <f ca="1">IFERROR(__xludf.DUMMYFUNCTION("""COMPUTED_VALUE"""),"")</f>
        <v/>
      </c>
      <c r="C13313" s="12" t="str">
        <f ca="1">IFERROR(__xludf.DUMMYFUNCTION("""COMPUTED_VALUE"""),"")</f>
        <v/>
      </c>
      <c r="D13313" s="12" t="str">
        <f ca="1">IFERROR(__xludf.DUMMYFUNCTION("""COMPUTED_VALUE"""),"")</f>
        <v/>
      </c>
    </row>
    <row r="13314" spans="2:4" ht="13">
      <c r="B13314" s="12" t="str">
        <f ca="1">IFERROR(__xludf.DUMMYFUNCTION("""COMPUTED_VALUE"""),"")</f>
        <v/>
      </c>
      <c r="C13314" s="12" t="str">
        <f ca="1">IFERROR(__xludf.DUMMYFUNCTION("""COMPUTED_VALUE"""),"")</f>
        <v/>
      </c>
      <c r="D13314" s="12" t="str">
        <f ca="1">IFERROR(__xludf.DUMMYFUNCTION("""COMPUTED_VALUE"""),"")</f>
        <v/>
      </c>
    </row>
    <row r="13315" spans="2:4" ht="13">
      <c r="B13315" s="12" t="str">
        <f ca="1">IFERROR(__xludf.DUMMYFUNCTION("""COMPUTED_VALUE"""),"")</f>
        <v/>
      </c>
      <c r="C13315" s="12" t="str">
        <f ca="1">IFERROR(__xludf.DUMMYFUNCTION("""COMPUTED_VALUE"""),"")</f>
        <v/>
      </c>
      <c r="D13315" s="12" t="str">
        <f ca="1">IFERROR(__xludf.DUMMYFUNCTION("""COMPUTED_VALUE"""),"")</f>
        <v/>
      </c>
    </row>
    <row r="13316" spans="2:4" ht="13">
      <c r="B13316" s="12" t="str">
        <f ca="1">IFERROR(__xludf.DUMMYFUNCTION("""COMPUTED_VALUE"""),"")</f>
        <v/>
      </c>
      <c r="C13316" s="12" t="str">
        <f ca="1">IFERROR(__xludf.DUMMYFUNCTION("""COMPUTED_VALUE"""),"")</f>
        <v/>
      </c>
      <c r="D13316" s="12" t="str">
        <f ca="1">IFERROR(__xludf.DUMMYFUNCTION("""COMPUTED_VALUE"""),"")</f>
        <v/>
      </c>
    </row>
    <row r="13317" spans="2:4" ht="13">
      <c r="B13317" s="12" t="str">
        <f ca="1">IFERROR(__xludf.DUMMYFUNCTION("""COMPUTED_VALUE"""),"")</f>
        <v/>
      </c>
      <c r="C13317" s="12" t="str">
        <f ca="1">IFERROR(__xludf.DUMMYFUNCTION("""COMPUTED_VALUE"""),"")</f>
        <v/>
      </c>
      <c r="D13317" s="12" t="str">
        <f ca="1">IFERROR(__xludf.DUMMYFUNCTION("""COMPUTED_VALUE"""),"")</f>
        <v/>
      </c>
    </row>
    <row r="13318" spans="2:4" ht="13">
      <c r="B13318" s="12" t="str">
        <f ca="1">IFERROR(__xludf.DUMMYFUNCTION("""COMPUTED_VALUE"""),"")</f>
        <v/>
      </c>
      <c r="C13318" s="12" t="str">
        <f ca="1">IFERROR(__xludf.DUMMYFUNCTION("""COMPUTED_VALUE"""),"")</f>
        <v/>
      </c>
      <c r="D13318" s="12" t="str">
        <f ca="1">IFERROR(__xludf.DUMMYFUNCTION("""COMPUTED_VALUE"""),"")</f>
        <v/>
      </c>
    </row>
    <row r="13319" spans="2:4" ht="13">
      <c r="B13319" s="12" t="str">
        <f ca="1">IFERROR(__xludf.DUMMYFUNCTION("""COMPUTED_VALUE"""),"")</f>
        <v/>
      </c>
      <c r="C13319" s="12" t="str">
        <f ca="1">IFERROR(__xludf.DUMMYFUNCTION("""COMPUTED_VALUE"""),"")</f>
        <v/>
      </c>
      <c r="D13319" s="12" t="str">
        <f ca="1">IFERROR(__xludf.DUMMYFUNCTION("""COMPUTED_VALUE"""),"")</f>
        <v/>
      </c>
    </row>
    <row r="13320" spans="2:4" ht="13">
      <c r="B13320" s="12" t="str">
        <f ca="1">IFERROR(__xludf.DUMMYFUNCTION("""COMPUTED_VALUE"""),"")</f>
        <v/>
      </c>
      <c r="C13320" s="12" t="str">
        <f ca="1">IFERROR(__xludf.DUMMYFUNCTION("""COMPUTED_VALUE"""),"")</f>
        <v/>
      </c>
      <c r="D13320" s="12" t="str">
        <f ca="1">IFERROR(__xludf.DUMMYFUNCTION("""COMPUTED_VALUE"""),"")</f>
        <v/>
      </c>
    </row>
    <row r="13321" spans="2:4" ht="13">
      <c r="B13321" s="12" t="str">
        <f ca="1">IFERROR(__xludf.DUMMYFUNCTION("""COMPUTED_VALUE"""),"")</f>
        <v/>
      </c>
      <c r="C13321" s="12" t="str">
        <f ca="1">IFERROR(__xludf.DUMMYFUNCTION("""COMPUTED_VALUE"""),"")</f>
        <v/>
      </c>
      <c r="D13321" s="12" t="str">
        <f ca="1">IFERROR(__xludf.DUMMYFUNCTION("""COMPUTED_VALUE"""),"")</f>
        <v/>
      </c>
    </row>
    <row r="13322" spans="2:4" ht="13">
      <c r="B13322" s="12" t="str">
        <f ca="1">IFERROR(__xludf.DUMMYFUNCTION("""COMPUTED_VALUE"""),"")</f>
        <v/>
      </c>
      <c r="C13322" s="12" t="str">
        <f ca="1">IFERROR(__xludf.DUMMYFUNCTION("""COMPUTED_VALUE"""),"")</f>
        <v/>
      </c>
      <c r="D13322" s="12" t="str">
        <f ca="1">IFERROR(__xludf.DUMMYFUNCTION("""COMPUTED_VALUE"""),"")</f>
        <v/>
      </c>
    </row>
    <row r="13323" spans="2:4" ht="13">
      <c r="B13323" s="12" t="str">
        <f ca="1">IFERROR(__xludf.DUMMYFUNCTION("""COMPUTED_VALUE"""),"")</f>
        <v/>
      </c>
      <c r="C13323" s="12" t="str">
        <f ca="1">IFERROR(__xludf.DUMMYFUNCTION("""COMPUTED_VALUE"""),"")</f>
        <v/>
      </c>
      <c r="D13323" s="12" t="str">
        <f ca="1">IFERROR(__xludf.DUMMYFUNCTION("""COMPUTED_VALUE"""),"")</f>
        <v/>
      </c>
    </row>
    <row r="13324" spans="2:4" ht="13">
      <c r="B13324" s="12" t="str">
        <f ca="1">IFERROR(__xludf.DUMMYFUNCTION("""COMPUTED_VALUE"""),"")</f>
        <v/>
      </c>
      <c r="C13324" s="12" t="str">
        <f ca="1">IFERROR(__xludf.DUMMYFUNCTION("""COMPUTED_VALUE"""),"")</f>
        <v/>
      </c>
      <c r="D13324" s="12" t="str">
        <f ca="1">IFERROR(__xludf.DUMMYFUNCTION("""COMPUTED_VALUE"""),"")</f>
        <v/>
      </c>
    </row>
    <row r="13325" spans="2:4" ht="13">
      <c r="B13325" s="12" t="str">
        <f ca="1">IFERROR(__xludf.DUMMYFUNCTION("""COMPUTED_VALUE"""),"")</f>
        <v/>
      </c>
      <c r="C13325" s="12" t="str">
        <f ca="1">IFERROR(__xludf.DUMMYFUNCTION("""COMPUTED_VALUE"""),"")</f>
        <v/>
      </c>
      <c r="D13325" s="12" t="str">
        <f ca="1">IFERROR(__xludf.DUMMYFUNCTION("""COMPUTED_VALUE"""),"")</f>
        <v/>
      </c>
    </row>
    <row r="13326" spans="2:4" ht="13">
      <c r="B13326" s="12" t="str">
        <f ca="1">IFERROR(__xludf.DUMMYFUNCTION("""COMPUTED_VALUE"""),"")</f>
        <v/>
      </c>
      <c r="C13326" s="12" t="str">
        <f ca="1">IFERROR(__xludf.DUMMYFUNCTION("""COMPUTED_VALUE"""),"")</f>
        <v/>
      </c>
      <c r="D13326" s="12" t="str">
        <f ca="1">IFERROR(__xludf.DUMMYFUNCTION("""COMPUTED_VALUE"""),"")</f>
        <v/>
      </c>
    </row>
    <row r="13327" spans="2:4" ht="13">
      <c r="B13327" s="12" t="str">
        <f ca="1">IFERROR(__xludf.DUMMYFUNCTION("""COMPUTED_VALUE"""),"")</f>
        <v/>
      </c>
      <c r="C13327" s="12" t="str">
        <f ca="1">IFERROR(__xludf.DUMMYFUNCTION("""COMPUTED_VALUE"""),"")</f>
        <v/>
      </c>
      <c r="D13327" s="12" t="str">
        <f ca="1">IFERROR(__xludf.DUMMYFUNCTION("""COMPUTED_VALUE"""),"")</f>
        <v/>
      </c>
    </row>
    <row r="13328" spans="2:4" ht="13">
      <c r="B13328" s="12" t="str">
        <f ca="1">IFERROR(__xludf.DUMMYFUNCTION("""COMPUTED_VALUE"""),"")</f>
        <v/>
      </c>
      <c r="C13328" s="12" t="str">
        <f ca="1">IFERROR(__xludf.DUMMYFUNCTION("""COMPUTED_VALUE"""),"")</f>
        <v/>
      </c>
      <c r="D13328" s="12" t="str">
        <f ca="1">IFERROR(__xludf.DUMMYFUNCTION("""COMPUTED_VALUE"""),"")</f>
        <v/>
      </c>
    </row>
    <row r="13329" spans="2:4" ht="13">
      <c r="B13329" s="12" t="str">
        <f ca="1">IFERROR(__xludf.DUMMYFUNCTION("""COMPUTED_VALUE"""),"")</f>
        <v/>
      </c>
      <c r="C13329" s="12" t="str">
        <f ca="1">IFERROR(__xludf.DUMMYFUNCTION("""COMPUTED_VALUE"""),"")</f>
        <v/>
      </c>
      <c r="D13329" s="12" t="str">
        <f ca="1">IFERROR(__xludf.DUMMYFUNCTION("""COMPUTED_VALUE"""),"")</f>
        <v/>
      </c>
    </row>
    <row r="13330" spans="2:4" ht="13">
      <c r="B13330" s="12" t="str">
        <f ca="1">IFERROR(__xludf.DUMMYFUNCTION("""COMPUTED_VALUE"""),"")</f>
        <v/>
      </c>
      <c r="C13330" s="12" t="str">
        <f ca="1">IFERROR(__xludf.DUMMYFUNCTION("""COMPUTED_VALUE"""),"")</f>
        <v/>
      </c>
      <c r="D13330" s="12" t="str">
        <f ca="1">IFERROR(__xludf.DUMMYFUNCTION("""COMPUTED_VALUE"""),"")</f>
        <v/>
      </c>
    </row>
    <row r="13331" spans="2:4" ht="13">
      <c r="B13331" s="12" t="str">
        <f ca="1">IFERROR(__xludf.DUMMYFUNCTION("""COMPUTED_VALUE"""),"")</f>
        <v/>
      </c>
      <c r="C13331" s="12" t="str">
        <f ca="1">IFERROR(__xludf.DUMMYFUNCTION("""COMPUTED_VALUE"""),"")</f>
        <v/>
      </c>
      <c r="D13331" s="12" t="str">
        <f ca="1">IFERROR(__xludf.DUMMYFUNCTION("""COMPUTED_VALUE"""),"")</f>
        <v/>
      </c>
    </row>
    <row r="13332" spans="2:4" ht="13">
      <c r="B13332" s="12" t="str">
        <f ca="1">IFERROR(__xludf.DUMMYFUNCTION("""COMPUTED_VALUE"""),"")</f>
        <v/>
      </c>
      <c r="C13332" s="12" t="str">
        <f ca="1">IFERROR(__xludf.DUMMYFUNCTION("""COMPUTED_VALUE"""),"")</f>
        <v/>
      </c>
      <c r="D13332" s="12" t="str">
        <f ca="1">IFERROR(__xludf.DUMMYFUNCTION("""COMPUTED_VALUE"""),"")</f>
        <v/>
      </c>
    </row>
    <row r="13333" spans="2:4" ht="13">
      <c r="B13333" s="12" t="str">
        <f ca="1">IFERROR(__xludf.DUMMYFUNCTION("""COMPUTED_VALUE"""),"")</f>
        <v/>
      </c>
      <c r="C13333" s="12" t="str">
        <f ca="1">IFERROR(__xludf.DUMMYFUNCTION("""COMPUTED_VALUE"""),"")</f>
        <v/>
      </c>
      <c r="D13333" s="12" t="str">
        <f ca="1">IFERROR(__xludf.DUMMYFUNCTION("""COMPUTED_VALUE"""),"")</f>
        <v/>
      </c>
    </row>
    <row r="13334" spans="2:4" ht="13">
      <c r="B13334" s="12" t="str">
        <f ca="1">IFERROR(__xludf.DUMMYFUNCTION("""COMPUTED_VALUE"""),"")</f>
        <v/>
      </c>
      <c r="C13334" s="12" t="str">
        <f ca="1">IFERROR(__xludf.DUMMYFUNCTION("""COMPUTED_VALUE"""),"")</f>
        <v/>
      </c>
      <c r="D13334" s="12" t="str">
        <f ca="1">IFERROR(__xludf.DUMMYFUNCTION("""COMPUTED_VALUE"""),"")</f>
        <v/>
      </c>
    </row>
    <row r="13335" spans="2:4" ht="13">
      <c r="B13335" s="12" t="str">
        <f ca="1">IFERROR(__xludf.DUMMYFUNCTION("""COMPUTED_VALUE"""),"")</f>
        <v/>
      </c>
      <c r="C13335" s="12" t="str">
        <f ca="1">IFERROR(__xludf.DUMMYFUNCTION("""COMPUTED_VALUE"""),"")</f>
        <v/>
      </c>
      <c r="D13335" s="12" t="str">
        <f ca="1">IFERROR(__xludf.DUMMYFUNCTION("""COMPUTED_VALUE"""),"")</f>
        <v/>
      </c>
    </row>
    <row r="13336" spans="2:4" ht="13">
      <c r="B13336" s="12" t="str">
        <f ca="1">IFERROR(__xludf.DUMMYFUNCTION("""COMPUTED_VALUE"""),"")</f>
        <v/>
      </c>
      <c r="C13336" s="12" t="str">
        <f ca="1">IFERROR(__xludf.DUMMYFUNCTION("""COMPUTED_VALUE"""),"")</f>
        <v/>
      </c>
      <c r="D13336" s="12" t="str">
        <f ca="1">IFERROR(__xludf.DUMMYFUNCTION("""COMPUTED_VALUE"""),"")</f>
        <v/>
      </c>
    </row>
    <row r="13337" spans="2:4" ht="13">
      <c r="B13337" s="12" t="str">
        <f ca="1">IFERROR(__xludf.DUMMYFUNCTION("""COMPUTED_VALUE"""),"")</f>
        <v/>
      </c>
      <c r="C13337" s="12" t="str">
        <f ca="1">IFERROR(__xludf.DUMMYFUNCTION("""COMPUTED_VALUE"""),"")</f>
        <v/>
      </c>
      <c r="D13337" s="12" t="str">
        <f ca="1">IFERROR(__xludf.DUMMYFUNCTION("""COMPUTED_VALUE"""),"")</f>
        <v/>
      </c>
    </row>
    <row r="13338" spans="2:4" ht="13">
      <c r="B13338" s="12" t="str">
        <f ca="1">IFERROR(__xludf.DUMMYFUNCTION("""COMPUTED_VALUE"""),"")</f>
        <v/>
      </c>
      <c r="C13338" s="12" t="str">
        <f ca="1">IFERROR(__xludf.DUMMYFUNCTION("""COMPUTED_VALUE"""),"")</f>
        <v/>
      </c>
      <c r="D13338" s="12" t="str">
        <f ca="1">IFERROR(__xludf.DUMMYFUNCTION("""COMPUTED_VALUE"""),"")</f>
        <v/>
      </c>
    </row>
    <row r="13339" spans="2:4" ht="13">
      <c r="B13339" s="12" t="str">
        <f ca="1">IFERROR(__xludf.DUMMYFUNCTION("""COMPUTED_VALUE"""),"")</f>
        <v/>
      </c>
      <c r="C13339" s="12" t="str">
        <f ca="1">IFERROR(__xludf.DUMMYFUNCTION("""COMPUTED_VALUE"""),"")</f>
        <v/>
      </c>
      <c r="D13339" s="12" t="str">
        <f ca="1">IFERROR(__xludf.DUMMYFUNCTION("""COMPUTED_VALUE"""),"")</f>
        <v/>
      </c>
    </row>
    <row r="13340" spans="2:4" ht="13">
      <c r="B13340" s="12" t="str">
        <f ca="1">IFERROR(__xludf.DUMMYFUNCTION("""COMPUTED_VALUE"""),"")</f>
        <v/>
      </c>
      <c r="C13340" s="12" t="str">
        <f ca="1">IFERROR(__xludf.DUMMYFUNCTION("""COMPUTED_VALUE"""),"")</f>
        <v/>
      </c>
      <c r="D13340" s="12" t="str">
        <f ca="1">IFERROR(__xludf.DUMMYFUNCTION("""COMPUTED_VALUE"""),"")</f>
        <v/>
      </c>
    </row>
    <row r="13341" spans="2:4" ht="13">
      <c r="B13341" s="12" t="str">
        <f ca="1">IFERROR(__xludf.DUMMYFUNCTION("""COMPUTED_VALUE"""),"")</f>
        <v/>
      </c>
      <c r="C13341" s="12" t="str">
        <f ca="1">IFERROR(__xludf.DUMMYFUNCTION("""COMPUTED_VALUE"""),"")</f>
        <v/>
      </c>
      <c r="D13341" s="12" t="str">
        <f ca="1">IFERROR(__xludf.DUMMYFUNCTION("""COMPUTED_VALUE"""),"")</f>
        <v/>
      </c>
    </row>
    <row r="13342" spans="2:4" ht="13">
      <c r="B13342" s="12" t="str">
        <f ca="1">IFERROR(__xludf.DUMMYFUNCTION("""COMPUTED_VALUE"""),"")</f>
        <v/>
      </c>
      <c r="C13342" s="12" t="str">
        <f ca="1">IFERROR(__xludf.DUMMYFUNCTION("""COMPUTED_VALUE"""),"")</f>
        <v/>
      </c>
      <c r="D13342" s="12" t="str">
        <f ca="1">IFERROR(__xludf.DUMMYFUNCTION("""COMPUTED_VALUE"""),"")</f>
        <v/>
      </c>
    </row>
    <row r="13343" spans="2:4" ht="13">
      <c r="B13343" s="12" t="str">
        <f ca="1">IFERROR(__xludf.DUMMYFUNCTION("""COMPUTED_VALUE"""),"")</f>
        <v/>
      </c>
      <c r="C13343" s="12" t="str">
        <f ca="1">IFERROR(__xludf.DUMMYFUNCTION("""COMPUTED_VALUE"""),"")</f>
        <v/>
      </c>
      <c r="D13343" s="12" t="str">
        <f ca="1">IFERROR(__xludf.DUMMYFUNCTION("""COMPUTED_VALUE"""),"")</f>
        <v/>
      </c>
    </row>
    <row r="13344" spans="2:4" ht="13">
      <c r="B13344" s="12" t="str">
        <f ca="1">IFERROR(__xludf.DUMMYFUNCTION("""COMPUTED_VALUE"""),"")</f>
        <v/>
      </c>
      <c r="C13344" s="12" t="str">
        <f ca="1">IFERROR(__xludf.DUMMYFUNCTION("""COMPUTED_VALUE"""),"")</f>
        <v/>
      </c>
      <c r="D13344" s="12" t="str">
        <f ca="1">IFERROR(__xludf.DUMMYFUNCTION("""COMPUTED_VALUE"""),"")</f>
        <v/>
      </c>
    </row>
    <row r="13345" spans="2:4" ht="13">
      <c r="B13345" s="12" t="str">
        <f ca="1">IFERROR(__xludf.DUMMYFUNCTION("""COMPUTED_VALUE"""),"")</f>
        <v/>
      </c>
      <c r="C13345" s="12" t="str">
        <f ca="1">IFERROR(__xludf.DUMMYFUNCTION("""COMPUTED_VALUE"""),"")</f>
        <v/>
      </c>
      <c r="D13345" s="12" t="str">
        <f ca="1">IFERROR(__xludf.DUMMYFUNCTION("""COMPUTED_VALUE"""),"")</f>
        <v/>
      </c>
    </row>
    <row r="13346" spans="2:4" ht="13">
      <c r="B13346" s="12" t="str">
        <f ca="1">IFERROR(__xludf.DUMMYFUNCTION("""COMPUTED_VALUE"""),"")</f>
        <v/>
      </c>
      <c r="C13346" s="12" t="str">
        <f ca="1">IFERROR(__xludf.DUMMYFUNCTION("""COMPUTED_VALUE"""),"")</f>
        <v/>
      </c>
      <c r="D13346" s="12" t="str">
        <f ca="1">IFERROR(__xludf.DUMMYFUNCTION("""COMPUTED_VALUE"""),"")</f>
        <v/>
      </c>
    </row>
    <row r="13347" spans="2:4" ht="13">
      <c r="B13347" s="12" t="str">
        <f ca="1">IFERROR(__xludf.DUMMYFUNCTION("""COMPUTED_VALUE"""),"")</f>
        <v/>
      </c>
      <c r="C13347" s="12" t="str">
        <f ca="1">IFERROR(__xludf.DUMMYFUNCTION("""COMPUTED_VALUE"""),"")</f>
        <v/>
      </c>
      <c r="D13347" s="12" t="str">
        <f ca="1">IFERROR(__xludf.DUMMYFUNCTION("""COMPUTED_VALUE"""),"")</f>
        <v/>
      </c>
    </row>
    <row r="13348" spans="2:4" ht="13">
      <c r="B13348" s="12" t="str">
        <f ca="1">IFERROR(__xludf.DUMMYFUNCTION("""COMPUTED_VALUE"""),"")</f>
        <v/>
      </c>
      <c r="C13348" s="12" t="str">
        <f ca="1">IFERROR(__xludf.DUMMYFUNCTION("""COMPUTED_VALUE"""),"")</f>
        <v/>
      </c>
      <c r="D13348" s="12" t="str">
        <f ca="1">IFERROR(__xludf.DUMMYFUNCTION("""COMPUTED_VALUE"""),"")</f>
        <v/>
      </c>
    </row>
    <row r="13349" spans="2:4" ht="13">
      <c r="B13349" s="12" t="str">
        <f ca="1">IFERROR(__xludf.DUMMYFUNCTION("""COMPUTED_VALUE"""),"")</f>
        <v/>
      </c>
      <c r="C13349" s="12" t="str">
        <f ca="1">IFERROR(__xludf.DUMMYFUNCTION("""COMPUTED_VALUE"""),"")</f>
        <v/>
      </c>
      <c r="D13349" s="12" t="str">
        <f ca="1">IFERROR(__xludf.DUMMYFUNCTION("""COMPUTED_VALUE"""),"")</f>
        <v/>
      </c>
    </row>
    <row r="13350" spans="2:4" ht="13">
      <c r="B13350" s="12" t="str">
        <f ca="1">IFERROR(__xludf.DUMMYFUNCTION("""COMPUTED_VALUE"""),"")</f>
        <v/>
      </c>
      <c r="C13350" s="12" t="str">
        <f ca="1">IFERROR(__xludf.DUMMYFUNCTION("""COMPUTED_VALUE"""),"")</f>
        <v/>
      </c>
      <c r="D13350" s="12" t="str">
        <f ca="1">IFERROR(__xludf.DUMMYFUNCTION("""COMPUTED_VALUE"""),"")</f>
        <v/>
      </c>
    </row>
    <row r="13351" spans="2:4" ht="13">
      <c r="B13351" s="12" t="str">
        <f ca="1">IFERROR(__xludf.DUMMYFUNCTION("""COMPUTED_VALUE"""),"")</f>
        <v/>
      </c>
      <c r="C13351" s="12" t="str">
        <f ca="1">IFERROR(__xludf.DUMMYFUNCTION("""COMPUTED_VALUE"""),"")</f>
        <v/>
      </c>
      <c r="D13351" s="12" t="str">
        <f ca="1">IFERROR(__xludf.DUMMYFUNCTION("""COMPUTED_VALUE"""),"")</f>
        <v/>
      </c>
    </row>
    <row r="13352" spans="2:4" ht="13">
      <c r="B13352" s="12" t="str">
        <f ca="1">IFERROR(__xludf.DUMMYFUNCTION("""COMPUTED_VALUE"""),"")</f>
        <v/>
      </c>
      <c r="C13352" s="12" t="str">
        <f ca="1">IFERROR(__xludf.DUMMYFUNCTION("""COMPUTED_VALUE"""),"")</f>
        <v/>
      </c>
      <c r="D13352" s="12" t="str">
        <f ca="1">IFERROR(__xludf.DUMMYFUNCTION("""COMPUTED_VALUE"""),"")</f>
        <v/>
      </c>
    </row>
    <row r="13353" spans="2:4" ht="13">
      <c r="B13353" s="12" t="str">
        <f ca="1">IFERROR(__xludf.DUMMYFUNCTION("""COMPUTED_VALUE"""),"")</f>
        <v/>
      </c>
      <c r="C13353" s="12" t="str">
        <f ca="1">IFERROR(__xludf.DUMMYFUNCTION("""COMPUTED_VALUE"""),"")</f>
        <v/>
      </c>
      <c r="D13353" s="12" t="str">
        <f ca="1">IFERROR(__xludf.DUMMYFUNCTION("""COMPUTED_VALUE"""),"")</f>
        <v/>
      </c>
    </row>
    <row r="13354" spans="2:4" ht="13">
      <c r="B13354" s="12" t="str">
        <f ca="1">IFERROR(__xludf.DUMMYFUNCTION("""COMPUTED_VALUE"""),"")</f>
        <v/>
      </c>
      <c r="C13354" s="12" t="str">
        <f ca="1">IFERROR(__xludf.DUMMYFUNCTION("""COMPUTED_VALUE"""),"")</f>
        <v/>
      </c>
      <c r="D13354" s="12" t="str">
        <f ca="1">IFERROR(__xludf.DUMMYFUNCTION("""COMPUTED_VALUE"""),"")</f>
        <v/>
      </c>
    </row>
    <row r="13355" spans="2:4" ht="13">
      <c r="B13355" s="12" t="str">
        <f ca="1">IFERROR(__xludf.DUMMYFUNCTION("""COMPUTED_VALUE"""),"")</f>
        <v/>
      </c>
      <c r="C13355" s="12" t="str">
        <f ca="1">IFERROR(__xludf.DUMMYFUNCTION("""COMPUTED_VALUE"""),"")</f>
        <v/>
      </c>
      <c r="D13355" s="12" t="str">
        <f ca="1">IFERROR(__xludf.DUMMYFUNCTION("""COMPUTED_VALUE"""),"")</f>
        <v/>
      </c>
    </row>
    <row r="13356" spans="2:4" ht="13">
      <c r="B13356" s="12" t="str">
        <f ca="1">IFERROR(__xludf.DUMMYFUNCTION("""COMPUTED_VALUE"""),"")</f>
        <v/>
      </c>
      <c r="C13356" s="12" t="str">
        <f ca="1">IFERROR(__xludf.DUMMYFUNCTION("""COMPUTED_VALUE"""),"")</f>
        <v/>
      </c>
      <c r="D13356" s="12" t="str">
        <f ca="1">IFERROR(__xludf.DUMMYFUNCTION("""COMPUTED_VALUE"""),"")</f>
        <v/>
      </c>
    </row>
    <row r="13357" spans="2:4" ht="13">
      <c r="B13357" s="12" t="str">
        <f ca="1">IFERROR(__xludf.DUMMYFUNCTION("""COMPUTED_VALUE"""),"")</f>
        <v/>
      </c>
      <c r="C13357" s="12" t="str">
        <f ca="1">IFERROR(__xludf.DUMMYFUNCTION("""COMPUTED_VALUE"""),"")</f>
        <v/>
      </c>
      <c r="D13357" s="12" t="str">
        <f ca="1">IFERROR(__xludf.DUMMYFUNCTION("""COMPUTED_VALUE"""),"")</f>
        <v/>
      </c>
    </row>
    <row r="13358" spans="2:4" ht="13">
      <c r="B13358" s="12" t="str">
        <f ca="1">IFERROR(__xludf.DUMMYFUNCTION("""COMPUTED_VALUE"""),"")</f>
        <v/>
      </c>
      <c r="C13358" s="12" t="str">
        <f ca="1">IFERROR(__xludf.DUMMYFUNCTION("""COMPUTED_VALUE"""),"")</f>
        <v/>
      </c>
      <c r="D13358" s="12" t="str">
        <f ca="1">IFERROR(__xludf.DUMMYFUNCTION("""COMPUTED_VALUE"""),"")</f>
        <v/>
      </c>
    </row>
    <row r="13359" spans="2:4" ht="13">
      <c r="B13359" s="12" t="str">
        <f ca="1">IFERROR(__xludf.DUMMYFUNCTION("""COMPUTED_VALUE"""),"")</f>
        <v/>
      </c>
      <c r="C13359" s="12" t="str">
        <f ca="1">IFERROR(__xludf.DUMMYFUNCTION("""COMPUTED_VALUE"""),"")</f>
        <v/>
      </c>
      <c r="D13359" s="12" t="str">
        <f ca="1">IFERROR(__xludf.DUMMYFUNCTION("""COMPUTED_VALUE"""),"")</f>
        <v/>
      </c>
    </row>
    <row r="13360" spans="2:4" ht="13">
      <c r="B13360" s="12" t="str">
        <f ca="1">IFERROR(__xludf.DUMMYFUNCTION("""COMPUTED_VALUE"""),"")</f>
        <v/>
      </c>
      <c r="C13360" s="12" t="str">
        <f ca="1">IFERROR(__xludf.DUMMYFUNCTION("""COMPUTED_VALUE"""),"")</f>
        <v/>
      </c>
      <c r="D13360" s="12" t="str">
        <f ca="1">IFERROR(__xludf.DUMMYFUNCTION("""COMPUTED_VALUE"""),"")</f>
        <v/>
      </c>
    </row>
    <row r="13361" spans="2:4" ht="13">
      <c r="B13361" s="12" t="str">
        <f ca="1">IFERROR(__xludf.DUMMYFUNCTION("""COMPUTED_VALUE"""),"")</f>
        <v/>
      </c>
      <c r="C13361" s="12" t="str">
        <f ca="1">IFERROR(__xludf.DUMMYFUNCTION("""COMPUTED_VALUE"""),"")</f>
        <v/>
      </c>
      <c r="D13361" s="12" t="str">
        <f ca="1">IFERROR(__xludf.DUMMYFUNCTION("""COMPUTED_VALUE"""),"")</f>
        <v/>
      </c>
    </row>
    <row r="13362" spans="2:4" ht="13">
      <c r="B13362" s="12" t="str">
        <f ca="1">IFERROR(__xludf.DUMMYFUNCTION("""COMPUTED_VALUE"""),"")</f>
        <v/>
      </c>
      <c r="C13362" s="12" t="str">
        <f ca="1">IFERROR(__xludf.DUMMYFUNCTION("""COMPUTED_VALUE"""),"")</f>
        <v/>
      </c>
      <c r="D13362" s="12" t="str">
        <f ca="1">IFERROR(__xludf.DUMMYFUNCTION("""COMPUTED_VALUE"""),"")</f>
        <v/>
      </c>
    </row>
    <row r="13363" spans="2:4" ht="13">
      <c r="B13363" s="12" t="str">
        <f ca="1">IFERROR(__xludf.DUMMYFUNCTION("""COMPUTED_VALUE"""),"")</f>
        <v/>
      </c>
      <c r="C13363" s="12" t="str">
        <f ca="1">IFERROR(__xludf.DUMMYFUNCTION("""COMPUTED_VALUE"""),"")</f>
        <v/>
      </c>
      <c r="D13363" s="12" t="str">
        <f ca="1">IFERROR(__xludf.DUMMYFUNCTION("""COMPUTED_VALUE"""),"")</f>
        <v/>
      </c>
    </row>
    <row r="13364" spans="2:4" ht="13">
      <c r="B13364" s="12" t="str">
        <f ca="1">IFERROR(__xludf.DUMMYFUNCTION("""COMPUTED_VALUE"""),"")</f>
        <v/>
      </c>
      <c r="C13364" s="12" t="str">
        <f ca="1">IFERROR(__xludf.DUMMYFUNCTION("""COMPUTED_VALUE"""),"")</f>
        <v/>
      </c>
      <c r="D13364" s="12" t="str">
        <f ca="1">IFERROR(__xludf.DUMMYFUNCTION("""COMPUTED_VALUE"""),"")</f>
        <v/>
      </c>
    </row>
    <row r="13365" spans="2:4" ht="13">
      <c r="B13365" s="12" t="str">
        <f ca="1">IFERROR(__xludf.DUMMYFUNCTION("""COMPUTED_VALUE"""),"")</f>
        <v/>
      </c>
      <c r="C13365" s="12" t="str">
        <f ca="1">IFERROR(__xludf.DUMMYFUNCTION("""COMPUTED_VALUE"""),"")</f>
        <v/>
      </c>
      <c r="D13365" s="12" t="str">
        <f ca="1">IFERROR(__xludf.DUMMYFUNCTION("""COMPUTED_VALUE"""),"")</f>
        <v/>
      </c>
    </row>
    <row r="13366" spans="2:4" ht="13">
      <c r="B13366" s="12" t="str">
        <f ca="1">IFERROR(__xludf.DUMMYFUNCTION("""COMPUTED_VALUE"""),"")</f>
        <v/>
      </c>
      <c r="C13366" s="12" t="str">
        <f ca="1">IFERROR(__xludf.DUMMYFUNCTION("""COMPUTED_VALUE"""),"")</f>
        <v/>
      </c>
      <c r="D13366" s="12" t="str">
        <f ca="1">IFERROR(__xludf.DUMMYFUNCTION("""COMPUTED_VALUE"""),"")</f>
        <v/>
      </c>
    </row>
    <row r="13367" spans="2:4" ht="13">
      <c r="B13367" s="12" t="str">
        <f ca="1">IFERROR(__xludf.DUMMYFUNCTION("""COMPUTED_VALUE"""),"")</f>
        <v/>
      </c>
      <c r="C13367" s="12" t="str">
        <f ca="1">IFERROR(__xludf.DUMMYFUNCTION("""COMPUTED_VALUE"""),"")</f>
        <v/>
      </c>
      <c r="D13367" s="12" t="str">
        <f ca="1">IFERROR(__xludf.DUMMYFUNCTION("""COMPUTED_VALUE"""),"")</f>
        <v/>
      </c>
    </row>
    <row r="13368" spans="2:4" ht="13">
      <c r="B13368" s="12" t="str">
        <f ca="1">IFERROR(__xludf.DUMMYFUNCTION("""COMPUTED_VALUE"""),"")</f>
        <v/>
      </c>
      <c r="C13368" s="12" t="str">
        <f ca="1">IFERROR(__xludf.DUMMYFUNCTION("""COMPUTED_VALUE"""),"")</f>
        <v/>
      </c>
      <c r="D13368" s="12" t="str">
        <f ca="1">IFERROR(__xludf.DUMMYFUNCTION("""COMPUTED_VALUE"""),"")</f>
        <v/>
      </c>
    </row>
    <row r="13369" spans="2:4" ht="13">
      <c r="B13369" s="12" t="str">
        <f ca="1">IFERROR(__xludf.DUMMYFUNCTION("""COMPUTED_VALUE"""),"")</f>
        <v/>
      </c>
      <c r="C13369" s="12" t="str">
        <f ca="1">IFERROR(__xludf.DUMMYFUNCTION("""COMPUTED_VALUE"""),"")</f>
        <v/>
      </c>
      <c r="D13369" s="12" t="str">
        <f ca="1">IFERROR(__xludf.DUMMYFUNCTION("""COMPUTED_VALUE"""),"")</f>
        <v/>
      </c>
    </row>
    <row r="13370" spans="2:4" ht="13">
      <c r="B13370" s="12" t="str">
        <f ca="1">IFERROR(__xludf.DUMMYFUNCTION("""COMPUTED_VALUE"""),"")</f>
        <v/>
      </c>
      <c r="C13370" s="12" t="str">
        <f ca="1">IFERROR(__xludf.DUMMYFUNCTION("""COMPUTED_VALUE"""),"")</f>
        <v/>
      </c>
      <c r="D13370" s="12" t="str">
        <f ca="1">IFERROR(__xludf.DUMMYFUNCTION("""COMPUTED_VALUE"""),"")</f>
        <v/>
      </c>
    </row>
    <row r="13371" spans="2:4" ht="13">
      <c r="B13371" s="12" t="str">
        <f ca="1">IFERROR(__xludf.DUMMYFUNCTION("""COMPUTED_VALUE"""),"")</f>
        <v/>
      </c>
      <c r="C13371" s="12" t="str">
        <f ca="1">IFERROR(__xludf.DUMMYFUNCTION("""COMPUTED_VALUE"""),"")</f>
        <v/>
      </c>
      <c r="D13371" s="12" t="str">
        <f ca="1">IFERROR(__xludf.DUMMYFUNCTION("""COMPUTED_VALUE"""),"")</f>
        <v/>
      </c>
    </row>
    <row r="13372" spans="2:4" ht="13">
      <c r="B13372" s="12" t="str">
        <f ca="1">IFERROR(__xludf.DUMMYFUNCTION("""COMPUTED_VALUE"""),"")</f>
        <v/>
      </c>
      <c r="C13372" s="12" t="str">
        <f ca="1">IFERROR(__xludf.DUMMYFUNCTION("""COMPUTED_VALUE"""),"")</f>
        <v/>
      </c>
      <c r="D13372" s="12" t="str">
        <f ca="1">IFERROR(__xludf.DUMMYFUNCTION("""COMPUTED_VALUE"""),"")</f>
        <v/>
      </c>
    </row>
    <row r="13373" spans="2:4" ht="13">
      <c r="B13373" s="12" t="str">
        <f ca="1">IFERROR(__xludf.DUMMYFUNCTION("""COMPUTED_VALUE"""),"")</f>
        <v/>
      </c>
      <c r="C13373" s="12" t="str">
        <f ca="1">IFERROR(__xludf.DUMMYFUNCTION("""COMPUTED_VALUE"""),"")</f>
        <v/>
      </c>
      <c r="D13373" s="12" t="str">
        <f ca="1">IFERROR(__xludf.DUMMYFUNCTION("""COMPUTED_VALUE"""),"")</f>
        <v/>
      </c>
    </row>
    <row r="13374" spans="2:4" ht="13">
      <c r="B13374" s="12" t="str">
        <f ca="1">IFERROR(__xludf.DUMMYFUNCTION("""COMPUTED_VALUE"""),"")</f>
        <v/>
      </c>
      <c r="C13374" s="12" t="str">
        <f ca="1">IFERROR(__xludf.DUMMYFUNCTION("""COMPUTED_VALUE"""),"")</f>
        <v/>
      </c>
      <c r="D13374" s="12" t="str">
        <f ca="1">IFERROR(__xludf.DUMMYFUNCTION("""COMPUTED_VALUE"""),"")</f>
        <v/>
      </c>
    </row>
    <row r="13375" spans="2:4" ht="13">
      <c r="B13375" s="12" t="str">
        <f ca="1">IFERROR(__xludf.DUMMYFUNCTION("""COMPUTED_VALUE"""),"")</f>
        <v/>
      </c>
      <c r="C13375" s="12" t="str">
        <f ca="1">IFERROR(__xludf.DUMMYFUNCTION("""COMPUTED_VALUE"""),"")</f>
        <v/>
      </c>
      <c r="D13375" s="12" t="str">
        <f ca="1">IFERROR(__xludf.DUMMYFUNCTION("""COMPUTED_VALUE"""),"")</f>
        <v/>
      </c>
    </row>
    <row r="13376" spans="2:4" ht="13">
      <c r="B13376" s="12" t="str">
        <f ca="1">IFERROR(__xludf.DUMMYFUNCTION("""COMPUTED_VALUE"""),"")</f>
        <v/>
      </c>
      <c r="C13376" s="12" t="str">
        <f ca="1">IFERROR(__xludf.DUMMYFUNCTION("""COMPUTED_VALUE"""),"")</f>
        <v/>
      </c>
      <c r="D13376" s="12" t="str">
        <f ca="1">IFERROR(__xludf.DUMMYFUNCTION("""COMPUTED_VALUE"""),"")</f>
        <v/>
      </c>
    </row>
    <row r="13377" spans="2:4" ht="13">
      <c r="B13377" s="12" t="str">
        <f ca="1">IFERROR(__xludf.DUMMYFUNCTION("""COMPUTED_VALUE"""),"")</f>
        <v/>
      </c>
      <c r="C13377" s="12" t="str">
        <f ca="1">IFERROR(__xludf.DUMMYFUNCTION("""COMPUTED_VALUE"""),"")</f>
        <v/>
      </c>
      <c r="D13377" s="12" t="str">
        <f ca="1">IFERROR(__xludf.DUMMYFUNCTION("""COMPUTED_VALUE"""),"")</f>
        <v/>
      </c>
    </row>
    <row r="13378" spans="2:4" ht="13">
      <c r="B13378" s="12" t="str">
        <f ca="1">IFERROR(__xludf.DUMMYFUNCTION("""COMPUTED_VALUE"""),"")</f>
        <v/>
      </c>
      <c r="C13378" s="12" t="str">
        <f ca="1">IFERROR(__xludf.DUMMYFUNCTION("""COMPUTED_VALUE"""),"")</f>
        <v/>
      </c>
      <c r="D13378" s="12" t="str">
        <f ca="1">IFERROR(__xludf.DUMMYFUNCTION("""COMPUTED_VALUE"""),"")</f>
        <v/>
      </c>
    </row>
    <row r="13379" spans="2:4" ht="13">
      <c r="B13379" s="12" t="str">
        <f ca="1">IFERROR(__xludf.DUMMYFUNCTION("""COMPUTED_VALUE"""),"")</f>
        <v/>
      </c>
      <c r="C13379" s="12" t="str">
        <f ca="1">IFERROR(__xludf.DUMMYFUNCTION("""COMPUTED_VALUE"""),"")</f>
        <v/>
      </c>
      <c r="D13379" s="12" t="str">
        <f ca="1">IFERROR(__xludf.DUMMYFUNCTION("""COMPUTED_VALUE"""),"")</f>
        <v/>
      </c>
    </row>
    <row r="13380" spans="2:4" ht="13">
      <c r="B13380" s="12" t="str">
        <f ca="1">IFERROR(__xludf.DUMMYFUNCTION("""COMPUTED_VALUE"""),"")</f>
        <v/>
      </c>
      <c r="C13380" s="12" t="str">
        <f ca="1">IFERROR(__xludf.DUMMYFUNCTION("""COMPUTED_VALUE"""),"")</f>
        <v/>
      </c>
      <c r="D13380" s="12" t="str">
        <f ca="1">IFERROR(__xludf.DUMMYFUNCTION("""COMPUTED_VALUE"""),"")</f>
        <v/>
      </c>
    </row>
    <row r="13381" spans="2:4" ht="13">
      <c r="B13381" s="12" t="str">
        <f ca="1">IFERROR(__xludf.DUMMYFUNCTION("""COMPUTED_VALUE"""),"")</f>
        <v/>
      </c>
      <c r="C13381" s="12" t="str">
        <f ca="1">IFERROR(__xludf.DUMMYFUNCTION("""COMPUTED_VALUE"""),"")</f>
        <v/>
      </c>
      <c r="D13381" s="12" t="str">
        <f ca="1">IFERROR(__xludf.DUMMYFUNCTION("""COMPUTED_VALUE"""),"")</f>
        <v/>
      </c>
    </row>
    <row r="13382" spans="2:4" ht="13">
      <c r="B13382" s="12" t="str">
        <f ca="1">IFERROR(__xludf.DUMMYFUNCTION("""COMPUTED_VALUE"""),"")</f>
        <v/>
      </c>
      <c r="C13382" s="12" t="str">
        <f ca="1">IFERROR(__xludf.DUMMYFUNCTION("""COMPUTED_VALUE"""),"")</f>
        <v/>
      </c>
      <c r="D13382" s="12" t="str">
        <f ca="1">IFERROR(__xludf.DUMMYFUNCTION("""COMPUTED_VALUE"""),"")</f>
        <v/>
      </c>
    </row>
    <row r="13383" spans="2:4" ht="13">
      <c r="B13383" s="12" t="str">
        <f ca="1">IFERROR(__xludf.DUMMYFUNCTION("""COMPUTED_VALUE"""),"")</f>
        <v/>
      </c>
      <c r="C13383" s="12" t="str">
        <f ca="1">IFERROR(__xludf.DUMMYFUNCTION("""COMPUTED_VALUE"""),"")</f>
        <v/>
      </c>
      <c r="D13383" s="12" t="str">
        <f ca="1">IFERROR(__xludf.DUMMYFUNCTION("""COMPUTED_VALUE"""),"")</f>
        <v/>
      </c>
    </row>
    <row r="13384" spans="2:4" ht="13">
      <c r="B13384" s="12" t="str">
        <f ca="1">IFERROR(__xludf.DUMMYFUNCTION("""COMPUTED_VALUE"""),"")</f>
        <v/>
      </c>
      <c r="C13384" s="12" t="str">
        <f ca="1">IFERROR(__xludf.DUMMYFUNCTION("""COMPUTED_VALUE"""),"")</f>
        <v/>
      </c>
      <c r="D13384" s="12" t="str">
        <f ca="1">IFERROR(__xludf.DUMMYFUNCTION("""COMPUTED_VALUE"""),"")</f>
        <v/>
      </c>
    </row>
    <row r="13385" spans="2:4" ht="13">
      <c r="B13385" s="12" t="str">
        <f ca="1">IFERROR(__xludf.DUMMYFUNCTION("""COMPUTED_VALUE"""),"")</f>
        <v/>
      </c>
      <c r="C13385" s="12" t="str">
        <f ca="1">IFERROR(__xludf.DUMMYFUNCTION("""COMPUTED_VALUE"""),"")</f>
        <v/>
      </c>
      <c r="D13385" s="12" t="str">
        <f ca="1">IFERROR(__xludf.DUMMYFUNCTION("""COMPUTED_VALUE"""),"")</f>
        <v/>
      </c>
    </row>
    <row r="13386" spans="2:4" ht="13">
      <c r="B13386" s="12" t="str">
        <f ca="1">IFERROR(__xludf.DUMMYFUNCTION("""COMPUTED_VALUE"""),"")</f>
        <v/>
      </c>
      <c r="C13386" s="12" t="str">
        <f ca="1">IFERROR(__xludf.DUMMYFUNCTION("""COMPUTED_VALUE"""),"")</f>
        <v/>
      </c>
      <c r="D13386" s="12" t="str">
        <f ca="1">IFERROR(__xludf.DUMMYFUNCTION("""COMPUTED_VALUE"""),"")</f>
        <v/>
      </c>
    </row>
    <row r="13387" spans="2:4" ht="13">
      <c r="B13387" s="12" t="str">
        <f ca="1">IFERROR(__xludf.DUMMYFUNCTION("""COMPUTED_VALUE"""),"")</f>
        <v/>
      </c>
      <c r="C13387" s="12" t="str">
        <f ca="1">IFERROR(__xludf.DUMMYFUNCTION("""COMPUTED_VALUE"""),"")</f>
        <v/>
      </c>
      <c r="D13387" s="12" t="str">
        <f ca="1">IFERROR(__xludf.DUMMYFUNCTION("""COMPUTED_VALUE"""),"")</f>
        <v/>
      </c>
    </row>
    <row r="13388" spans="2:4" ht="13">
      <c r="B13388" s="12" t="str">
        <f ca="1">IFERROR(__xludf.DUMMYFUNCTION("""COMPUTED_VALUE"""),"")</f>
        <v/>
      </c>
      <c r="C13388" s="12" t="str">
        <f ca="1">IFERROR(__xludf.DUMMYFUNCTION("""COMPUTED_VALUE"""),"")</f>
        <v/>
      </c>
      <c r="D13388" s="12" t="str">
        <f ca="1">IFERROR(__xludf.DUMMYFUNCTION("""COMPUTED_VALUE"""),"")</f>
        <v/>
      </c>
    </row>
    <row r="13389" spans="2:4" ht="13">
      <c r="B13389" s="12" t="str">
        <f ca="1">IFERROR(__xludf.DUMMYFUNCTION("""COMPUTED_VALUE"""),"")</f>
        <v/>
      </c>
      <c r="C13389" s="12" t="str">
        <f ca="1">IFERROR(__xludf.DUMMYFUNCTION("""COMPUTED_VALUE"""),"")</f>
        <v/>
      </c>
      <c r="D13389" s="12" t="str">
        <f ca="1">IFERROR(__xludf.DUMMYFUNCTION("""COMPUTED_VALUE"""),"")</f>
        <v/>
      </c>
    </row>
    <row r="13390" spans="2:4" ht="13">
      <c r="B13390" s="12" t="str">
        <f ca="1">IFERROR(__xludf.DUMMYFUNCTION("""COMPUTED_VALUE"""),"")</f>
        <v/>
      </c>
      <c r="C13390" s="12" t="str">
        <f ca="1">IFERROR(__xludf.DUMMYFUNCTION("""COMPUTED_VALUE"""),"")</f>
        <v/>
      </c>
      <c r="D13390" s="12" t="str">
        <f ca="1">IFERROR(__xludf.DUMMYFUNCTION("""COMPUTED_VALUE"""),"")</f>
        <v/>
      </c>
    </row>
    <row r="13391" spans="2:4" ht="13">
      <c r="B13391" s="12" t="str">
        <f ca="1">IFERROR(__xludf.DUMMYFUNCTION("""COMPUTED_VALUE"""),"")</f>
        <v/>
      </c>
      <c r="C13391" s="12" t="str">
        <f ca="1">IFERROR(__xludf.DUMMYFUNCTION("""COMPUTED_VALUE"""),"")</f>
        <v/>
      </c>
      <c r="D13391" s="12" t="str">
        <f ca="1">IFERROR(__xludf.DUMMYFUNCTION("""COMPUTED_VALUE"""),"")</f>
        <v/>
      </c>
    </row>
    <row r="13392" spans="2:4" ht="13">
      <c r="B13392" s="12" t="str">
        <f ca="1">IFERROR(__xludf.DUMMYFUNCTION("""COMPUTED_VALUE"""),"")</f>
        <v/>
      </c>
      <c r="C13392" s="12" t="str">
        <f ca="1">IFERROR(__xludf.DUMMYFUNCTION("""COMPUTED_VALUE"""),"")</f>
        <v/>
      </c>
      <c r="D13392" s="12" t="str">
        <f ca="1">IFERROR(__xludf.DUMMYFUNCTION("""COMPUTED_VALUE"""),"")</f>
        <v/>
      </c>
    </row>
    <row r="13393" spans="2:4" ht="13">
      <c r="B13393" s="12" t="str">
        <f ca="1">IFERROR(__xludf.DUMMYFUNCTION("""COMPUTED_VALUE"""),"")</f>
        <v/>
      </c>
      <c r="C13393" s="12" t="str">
        <f ca="1">IFERROR(__xludf.DUMMYFUNCTION("""COMPUTED_VALUE"""),"")</f>
        <v/>
      </c>
      <c r="D13393" s="12" t="str">
        <f ca="1">IFERROR(__xludf.DUMMYFUNCTION("""COMPUTED_VALUE"""),"")</f>
        <v/>
      </c>
    </row>
    <row r="13394" spans="2:4" ht="13">
      <c r="B13394" s="12" t="str">
        <f ca="1">IFERROR(__xludf.DUMMYFUNCTION("""COMPUTED_VALUE"""),"")</f>
        <v/>
      </c>
      <c r="C13394" s="12" t="str">
        <f ca="1">IFERROR(__xludf.DUMMYFUNCTION("""COMPUTED_VALUE"""),"")</f>
        <v/>
      </c>
      <c r="D13394" s="12" t="str">
        <f ca="1">IFERROR(__xludf.DUMMYFUNCTION("""COMPUTED_VALUE"""),"")</f>
        <v/>
      </c>
    </row>
    <row r="13395" spans="2:4" ht="13">
      <c r="B13395" s="12" t="str">
        <f ca="1">IFERROR(__xludf.DUMMYFUNCTION("""COMPUTED_VALUE"""),"")</f>
        <v/>
      </c>
      <c r="C13395" s="12" t="str">
        <f ca="1">IFERROR(__xludf.DUMMYFUNCTION("""COMPUTED_VALUE"""),"")</f>
        <v/>
      </c>
      <c r="D13395" s="12" t="str">
        <f ca="1">IFERROR(__xludf.DUMMYFUNCTION("""COMPUTED_VALUE"""),"")</f>
        <v/>
      </c>
    </row>
    <row r="13396" spans="2:4" ht="13">
      <c r="B13396" s="12" t="str">
        <f ca="1">IFERROR(__xludf.DUMMYFUNCTION("""COMPUTED_VALUE"""),"")</f>
        <v/>
      </c>
      <c r="C13396" s="12" t="str">
        <f ca="1">IFERROR(__xludf.DUMMYFUNCTION("""COMPUTED_VALUE"""),"")</f>
        <v/>
      </c>
      <c r="D13396" s="12" t="str">
        <f ca="1">IFERROR(__xludf.DUMMYFUNCTION("""COMPUTED_VALUE"""),"")</f>
        <v/>
      </c>
    </row>
    <row r="13397" spans="2:4" ht="13">
      <c r="B13397" s="12" t="str">
        <f ca="1">IFERROR(__xludf.DUMMYFUNCTION("""COMPUTED_VALUE"""),"")</f>
        <v/>
      </c>
      <c r="C13397" s="12" t="str">
        <f ca="1">IFERROR(__xludf.DUMMYFUNCTION("""COMPUTED_VALUE"""),"")</f>
        <v/>
      </c>
      <c r="D13397" s="12" t="str">
        <f ca="1">IFERROR(__xludf.DUMMYFUNCTION("""COMPUTED_VALUE"""),"")</f>
        <v/>
      </c>
    </row>
    <row r="13398" spans="2:4" ht="13">
      <c r="B13398" s="12" t="str">
        <f ca="1">IFERROR(__xludf.DUMMYFUNCTION("""COMPUTED_VALUE"""),"")</f>
        <v/>
      </c>
      <c r="C13398" s="12" t="str">
        <f ca="1">IFERROR(__xludf.DUMMYFUNCTION("""COMPUTED_VALUE"""),"")</f>
        <v/>
      </c>
      <c r="D13398" s="12" t="str">
        <f ca="1">IFERROR(__xludf.DUMMYFUNCTION("""COMPUTED_VALUE"""),"")</f>
        <v/>
      </c>
    </row>
    <row r="13399" spans="2:4" ht="13">
      <c r="B13399" s="12" t="str">
        <f ca="1">IFERROR(__xludf.DUMMYFUNCTION("""COMPUTED_VALUE"""),"")</f>
        <v/>
      </c>
      <c r="C13399" s="12" t="str">
        <f ca="1">IFERROR(__xludf.DUMMYFUNCTION("""COMPUTED_VALUE"""),"")</f>
        <v/>
      </c>
      <c r="D13399" s="12" t="str">
        <f ca="1">IFERROR(__xludf.DUMMYFUNCTION("""COMPUTED_VALUE"""),"")</f>
        <v/>
      </c>
    </row>
    <row r="13400" spans="2:4" ht="13">
      <c r="B13400" s="12" t="str">
        <f ca="1">IFERROR(__xludf.DUMMYFUNCTION("""COMPUTED_VALUE"""),"")</f>
        <v/>
      </c>
      <c r="C13400" s="12" t="str">
        <f ca="1">IFERROR(__xludf.DUMMYFUNCTION("""COMPUTED_VALUE"""),"")</f>
        <v/>
      </c>
      <c r="D13400" s="12" t="str">
        <f ca="1">IFERROR(__xludf.DUMMYFUNCTION("""COMPUTED_VALUE"""),"")</f>
        <v/>
      </c>
    </row>
    <row r="13401" spans="2:4" ht="13">
      <c r="B13401" s="12" t="str">
        <f ca="1">IFERROR(__xludf.DUMMYFUNCTION("""COMPUTED_VALUE"""),"")</f>
        <v/>
      </c>
      <c r="C13401" s="12" t="str">
        <f ca="1">IFERROR(__xludf.DUMMYFUNCTION("""COMPUTED_VALUE"""),"")</f>
        <v/>
      </c>
      <c r="D13401" s="12" t="str">
        <f ca="1">IFERROR(__xludf.DUMMYFUNCTION("""COMPUTED_VALUE"""),"")</f>
        <v/>
      </c>
    </row>
    <row r="13402" spans="2:4" ht="13">
      <c r="B13402" s="12" t="str">
        <f ca="1">IFERROR(__xludf.DUMMYFUNCTION("""COMPUTED_VALUE"""),"")</f>
        <v/>
      </c>
      <c r="C13402" s="12" t="str">
        <f ca="1">IFERROR(__xludf.DUMMYFUNCTION("""COMPUTED_VALUE"""),"")</f>
        <v/>
      </c>
      <c r="D13402" s="12" t="str">
        <f ca="1">IFERROR(__xludf.DUMMYFUNCTION("""COMPUTED_VALUE"""),"")</f>
        <v/>
      </c>
    </row>
    <row r="13403" spans="2:4" ht="13">
      <c r="B13403" s="12" t="str">
        <f ca="1">IFERROR(__xludf.DUMMYFUNCTION("""COMPUTED_VALUE"""),"")</f>
        <v/>
      </c>
      <c r="C13403" s="12" t="str">
        <f ca="1">IFERROR(__xludf.DUMMYFUNCTION("""COMPUTED_VALUE"""),"")</f>
        <v/>
      </c>
      <c r="D13403" s="12" t="str">
        <f ca="1">IFERROR(__xludf.DUMMYFUNCTION("""COMPUTED_VALUE"""),"")</f>
        <v/>
      </c>
    </row>
    <row r="13404" spans="2:4" ht="13">
      <c r="B13404" s="12" t="str">
        <f ca="1">IFERROR(__xludf.DUMMYFUNCTION("""COMPUTED_VALUE"""),"")</f>
        <v/>
      </c>
      <c r="C13404" s="12" t="str">
        <f ca="1">IFERROR(__xludf.DUMMYFUNCTION("""COMPUTED_VALUE"""),"")</f>
        <v/>
      </c>
      <c r="D13404" s="12" t="str">
        <f ca="1">IFERROR(__xludf.DUMMYFUNCTION("""COMPUTED_VALUE"""),"")</f>
        <v/>
      </c>
    </row>
    <row r="13405" spans="2:4" ht="13">
      <c r="B13405" s="12" t="str">
        <f ca="1">IFERROR(__xludf.DUMMYFUNCTION("""COMPUTED_VALUE"""),"")</f>
        <v/>
      </c>
      <c r="C13405" s="12" t="str">
        <f ca="1">IFERROR(__xludf.DUMMYFUNCTION("""COMPUTED_VALUE"""),"")</f>
        <v/>
      </c>
      <c r="D13405" s="12" t="str">
        <f ca="1">IFERROR(__xludf.DUMMYFUNCTION("""COMPUTED_VALUE"""),"")</f>
        <v/>
      </c>
    </row>
    <row r="13406" spans="2:4" ht="13">
      <c r="B13406" s="12" t="str">
        <f ca="1">IFERROR(__xludf.DUMMYFUNCTION("""COMPUTED_VALUE"""),"")</f>
        <v/>
      </c>
      <c r="C13406" s="12" t="str">
        <f ca="1">IFERROR(__xludf.DUMMYFUNCTION("""COMPUTED_VALUE"""),"")</f>
        <v/>
      </c>
      <c r="D13406" s="12" t="str">
        <f ca="1">IFERROR(__xludf.DUMMYFUNCTION("""COMPUTED_VALUE"""),"")</f>
        <v/>
      </c>
    </row>
    <row r="13407" spans="2:4" ht="13">
      <c r="B13407" s="12" t="str">
        <f ca="1">IFERROR(__xludf.DUMMYFUNCTION("""COMPUTED_VALUE"""),"")</f>
        <v/>
      </c>
      <c r="C13407" s="12" t="str">
        <f ca="1">IFERROR(__xludf.DUMMYFUNCTION("""COMPUTED_VALUE"""),"")</f>
        <v/>
      </c>
      <c r="D13407" s="12" t="str">
        <f ca="1">IFERROR(__xludf.DUMMYFUNCTION("""COMPUTED_VALUE"""),"")</f>
        <v/>
      </c>
    </row>
    <row r="13408" spans="2:4" ht="13">
      <c r="B13408" s="12" t="str">
        <f ca="1">IFERROR(__xludf.DUMMYFUNCTION("""COMPUTED_VALUE"""),"")</f>
        <v/>
      </c>
      <c r="C13408" s="12" t="str">
        <f ca="1">IFERROR(__xludf.DUMMYFUNCTION("""COMPUTED_VALUE"""),"")</f>
        <v/>
      </c>
      <c r="D13408" s="12" t="str">
        <f ca="1">IFERROR(__xludf.DUMMYFUNCTION("""COMPUTED_VALUE"""),"")</f>
        <v/>
      </c>
    </row>
    <row r="13409" spans="2:4" ht="13">
      <c r="B13409" s="12" t="str">
        <f ca="1">IFERROR(__xludf.DUMMYFUNCTION("""COMPUTED_VALUE"""),"")</f>
        <v/>
      </c>
      <c r="C13409" s="12" t="str">
        <f ca="1">IFERROR(__xludf.DUMMYFUNCTION("""COMPUTED_VALUE"""),"")</f>
        <v/>
      </c>
      <c r="D13409" s="12" t="str">
        <f ca="1">IFERROR(__xludf.DUMMYFUNCTION("""COMPUTED_VALUE"""),"")</f>
        <v/>
      </c>
    </row>
    <row r="13410" spans="2:4" ht="13">
      <c r="B13410" s="12" t="str">
        <f ca="1">IFERROR(__xludf.DUMMYFUNCTION("""COMPUTED_VALUE"""),"")</f>
        <v/>
      </c>
      <c r="C13410" s="12" t="str">
        <f ca="1">IFERROR(__xludf.DUMMYFUNCTION("""COMPUTED_VALUE"""),"")</f>
        <v/>
      </c>
      <c r="D13410" s="12" t="str">
        <f ca="1">IFERROR(__xludf.DUMMYFUNCTION("""COMPUTED_VALUE"""),"")</f>
        <v/>
      </c>
    </row>
    <row r="13411" spans="2:4" ht="13">
      <c r="B13411" s="12" t="str">
        <f ca="1">IFERROR(__xludf.DUMMYFUNCTION("""COMPUTED_VALUE"""),"")</f>
        <v/>
      </c>
      <c r="C13411" s="12" t="str">
        <f ca="1">IFERROR(__xludf.DUMMYFUNCTION("""COMPUTED_VALUE"""),"")</f>
        <v/>
      </c>
      <c r="D13411" s="12" t="str">
        <f ca="1">IFERROR(__xludf.DUMMYFUNCTION("""COMPUTED_VALUE"""),"")</f>
        <v/>
      </c>
    </row>
    <row r="13412" spans="2:4" ht="13">
      <c r="B13412" s="12" t="str">
        <f ca="1">IFERROR(__xludf.DUMMYFUNCTION("""COMPUTED_VALUE"""),"")</f>
        <v/>
      </c>
      <c r="C13412" s="12" t="str">
        <f ca="1">IFERROR(__xludf.DUMMYFUNCTION("""COMPUTED_VALUE"""),"")</f>
        <v/>
      </c>
      <c r="D13412" s="12" t="str">
        <f ca="1">IFERROR(__xludf.DUMMYFUNCTION("""COMPUTED_VALUE"""),"")</f>
        <v/>
      </c>
    </row>
    <row r="13413" spans="2:4" ht="13">
      <c r="B13413" s="12" t="str">
        <f ca="1">IFERROR(__xludf.DUMMYFUNCTION("""COMPUTED_VALUE"""),"")</f>
        <v/>
      </c>
      <c r="C13413" s="12" t="str">
        <f ca="1">IFERROR(__xludf.DUMMYFUNCTION("""COMPUTED_VALUE"""),"")</f>
        <v/>
      </c>
      <c r="D13413" s="12" t="str">
        <f ca="1">IFERROR(__xludf.DUMMYFUNCTION("""COMPUTED_VALUE"""),"")</f>
        <v/>
      </c>
    </row>
    <row r="13414" spans="2:4" ht="13">
      <c r="B13414" s="12" t="str">
        <f ca="1">IFERROR(__xludf.DUMMYFUNCTION("""COMPUTED_VALUE"""),"")</f>
        <v/>
      </c>
      <c r="C13414" s="12" t="str">
        <f ca="1">IFERROR(__xludf.DUMMYFUNCTION("""COMPUTED_VALUE"""),"")</f>
        <v/>
      </c>
      <c r="D13414" s="12" t="str">
        <f ca="1">IFERROR(__xludf.DUMMYFUNCTION("""COMPUTED_VALUE"""),"")</f>
        <v/>
      </c>
    </row>
    <row r="13415" spans="2:4" ht="13">
      <c r="B13415" s="12" t="str">
        <f ca="1">IFERROR(__xludf.DUMMYFUNCTION("""COMPUTED_VALUE"""),"")</f>
        <v/>
      </c>
      <c r="C13415" s="12" t="str">
        <f ca="1">IFERROR(__xludf.DUMMYFUNCTION("""COMPUTED_VALUE"""),"")</f>
        <v/>
      </c>
      <c r="D13415" s="12" t="str">
        <f ca="1">IFERROR(__xludf.DUMMYFUNCTION("""COMPUTED_VALUE"""),"")</f>
        <v/>
      </c>
    </row>
    <row r="13416" spans="2:4" ht="13">
      <c r="B13416" s="12" t="str">
        <f ca="1">IFERROR(__xludf.DUMMYFUNCTION("""COMPUTED_VALUE"""),"")</f>
        <v/>
      </c>
      <c r="C13416" s="12" t="str">
        <f ca="1">IFERROR(__xludf.DUMMYFUNCTION("""COMPUTED_VALUE"""),"")</f>
        <v/>
      </c>
      <c r="D13416" s="12" t="str">
        <f ca="1">IFERROR(__xludf.DUMMYFUNCTION("""COMPUTED_VALUE"""),"")</f>
        <v/>
      </c>
    </row>
    <row r="13417" spans="2:4" ht="13">
      <c r="B13417" s="12" t="str">
        <f ca="1">IFERROR(__xludf.DUMMYFUNCTION("""COMPUTED_VALUE"""),"")</f>
        <v/>
      </c>
      <c r="C13417" s="12" t="str">
        <f ca="1">IFERROR(__xludf.DUMMYFUNCTION("""COMPUTED_VALUE"""),"")</f>
        <v/>
      </c>
      <c r="D13417" s="12" t="str">
        <f ca="1">IFERROR(__xludf.DUMMYFUNCTION("""COMPUTED_VALUE"""),"")</f>
        <v/>
      </c>
    </row>
    <row r="13418" spans="2:4" ht="13">
      <c r="B13418" s="12" t="str">
        <f ca="1">IFERROR(__xludf.DUMMYFUNCTION("""COMPUTED_VALUE"""),"")</f>
        <v/>
      </c>
      <c r="C13418" s="12" t="str">
        <f ca="1">IFERROR(__xludf.DUMMYFUNCTION("""COMPUTED_VALUE"""),"")</f>
        <v/>
      </c>
      <c r="D13418" s="12" t="str">
        <f ca="1">IFERROR(__xludf.DUMMYFUNCTION("""COMPUTED_VALUE"""),"")</f>
        <v/>
      </c>
    </row>
    <row r="13419" spans="2:4" ht="13">
      <c r="B13419" s="12" t="str">
        <f ca="1">IFERROR(__xludf.DUMMYFUNCTION("""COMPUTED_VALUE"""),"")</f>
        <v/>
      </c>
      <c r="C13419" s="12" t="str">
        <f ca="1">IFERROR(__xludf.DUMMYFUNCTION("""COMPUTED_VALUE"""),"")</f>
        <v/>
      </c>
      <c r="D13419" s="12" t="str">
        <f ca="1">IFERROR(__xludf.DUMMYFUNCTION("""COMPUTED_VALUE"""),"")</f>
        <v/>
      </c>
    </row>
    <row r="13420" spans="2:4" ht="13">
      <c r="B13420" s="12" t="str">
        <f ca="1">IFERROR(__xludf.DUMMYFUNCTION("""COMPUTED_VALUE"""),"")</f>
        <v/>
      </c>
      <c r="C13420" s="12" t="str">
        <f ca="1">IFERROR(__xludf.DUMMYFUNCTION("""COMPUTED_VALUE"""),"")</f>
        <v/>
      </c>
      <c r="D13420" s="12" t="str">
        <f ca="1">IFERROR(__xludf.DUMMYFUNCTION("""COMPUTED_VALUE"""),"")</f>
        <v/>
      </c>
    </row>
    <row r="13421" spans="2:4" ht="13">
      <c r="B13421" s="12" t="str">
        <f ca="1">IFERROR(__xludf.DUMMYFUNCTION("""COMPUTED_VALUE"""),"")</f>
        <v/>
      </c>
      <c r="C13421" s="12" t="str">
        <f ca="1">IFERROR(__xludf.DUMMYFUNCTION("""COMPUTED_VALUE"""),"")</f>
        <v/>
      </c>
      <c r="D13421" s="12" t="str">
        <f ca="1">IFERROR(__xludf.DUMMYFUNCTION("""COMPUTED_VALUE"""),"")</f>
        <v/>
      </c>
    </row>
    <row r="13422" spans="2:4" ht="13">
      <c r="B13422" s="12" t="str">
        <f ca="1">IFERROR(__xludf.DUMMYFUNCTION("""COMPUTED_VALUE"""),"")</f>
        <v/>
      </c>
      <c r="C13422" s="12" t="str">
        <f ca="1">IFERROR(__xludf.DUMMYFUNCTION("""COMPUTED_VALUE"""),"")</f>
        <v/>
      </c>
      <c r="D13422" s="12" t="str">
        <f ca="1">IFERROR(__xludf.DUMMYFUNCTION("""COMPUTED_VALUE"""),"")</f>
        <v/>
      </c>
    </row>
    <row r="13423" spans="2:4" ht="13">
      <c r="B13423" s="12" t="str">
        <f ca="1">IFERROR(__xludf.DUMMYFUNCTION("""COMPUTED_VALUE"""),"")</f>
        <v/>
      </c>
      <c r="C13423" s="12" t="str">
        <f ca="1">IFERROR(__xludf.DUMMYFUNCTION("""COMPUTED_VALUE"""),"")</f>
        <v/>
      </c>
      <c r="D13423" s="12" t="str">
        <f ca="1">IFERROR(__xludf.DUMMYFUNCTION("""COMPUTED_VALUE"""),"")</f>
        <v/>
      </c>
    </row>
    <row r="13424" spans="2:4" ht="13">
      <c r="B13424" s="12" t="str">
        <f ca="1">IFERROR(__xludf.DUMMYFUNCTION("""COMPUTED_VALUE"""),"")</f>
        <v/>
      </c>
      <c r="C13424" s="12" t="str">
        <f ca="1">IFERROR(__xludf.DUMMYFUNCTION("""COMPUTED_VALUE"""),"")</f>
        <v/>
      </c>
      <c r="D13424" s="12" t="str">
        <f ca="1">IFERROR(__xludf.DUMMYFUNCTION("""COMPUTED_VALUE"""),"")</f>
        <v/>
      </c>
    </row>
    <row r="13425" spans="2:4" ht="13">
      <c r="B13425" s="12" t="str">
        <f ca="1">IFERROR(__xludf.DUMMYFUNCTION("""COMPUTED_VALUE"""),"")</f>
        <v/>
      </c>
      <c r="C13425" s="12" t="str">
        <f ca="1">IFERROR(__xludf.DUMMYFUNCTION("""COMPUTED_VALUE"""),"")</f>
        <v/>
      </c>
      <c r="D13425" s="12" t="str">
        <f ca="1">IFERROR(__xludf.DUMMYFUNCTION("""COMPUTED_VALUE"""),"")</f>
        <v/>
      </c>
    </row>
    <row r="13426" spans="2:4" ht="13">
      <c r="B13426" s="12" t="str">
        <f ca="1">IFERROR(__xludf.DUMMYFUNCTION("""COMPUTED_VALUE"""),"")</f>
        <v/>
      </c>
      <c r="C13426" s="12" t="str">
        <f ca="1">IFERROR(__xludf.DUMMYFUNCTION("""COMPUTED_VALUE"""),"")</f>
        <v/>
      </c>
      <c r="D13426" s="12" t="str">
        <f ca="1">IFERROR(__xludf.DUMMYFUNCTION("""COMPUTED_VALUE"""),"")</f>
        <v/>
      </c>
    </row>
    <row r="13427" spans="2:4" ht="13">
      <c r="B13427" s="12" t="str">
        <f ca="1">IFERROR(__xludf.DUMMYFUNCTION("""COMPUTED_VALUE"""),"")</f>
        <v/>
      </c>
      <c r="C13427" s="12" t="str">
        <f ca="1">IFERROR(__xludf.DUMMYFUNCTION("""COMPUTED_VALUE"""),"")</f>
        <v/>
      </c>
      <c r="D13427" s="12" t="str">
        <f ca="1">IFERROR(__xludf.DUMMYFUNCTION("""COMPUTED_VALUE"""),"")</f>
        <v/>
      </c>
    </row>
    <row r="13428" spans="2:4" ht="13">
      <c r="B13428" s="12" t="str">
        <f ca="1">IFERROR(__xludf.DUMMYFUNCTION("""COMPUTED_VALUE"""),"")</f>
        <v/>
      </c>
      <c r="C13428" s="12" t="str">
        <f ca="1">IFERROR(__xludf.DUMMYFUNCTION("""COMPUTED_VALUE"""),"")</f>
        <v/>
      </c>
      <c r="D13428" s="12" t="str">
        <f ca="1">IFERROR(__xludf.DUMMYFUNCTION("""COMPUTED_VALUE"""),"")</f>
        <v/>
      </c>
    </row>
    <row r="13429" spans="2:4" ht="13">
      <c r="B13429" s="12" t="str">
        <f ca="1">IFERROR(__xludf.DUMMYFUNCTION("""COMPUTED_VALUE"""),"")</f>
        <v/>
      </c>
      <c r="C13429" s="12" t="str">
        <f ca="1">IFERROR(__xludf.DUMMYFUNCTION("""COMPUTED_VALUE"""),"")</f>
        <v/>
      </c>
      <c r="D13429" s="12" t="str">
        <f ca="1">IFERROR(__xludf.DUMMYFUNCTION("""COMPUTED_VALUE"""),"")</f>
        <v/>
      </c>
    </row>
    <row r="13430" spans="2:4" ht="13">
      <c r="B13430" s="12" t="str">
        <f ca="1">IFERROR(__xludf.DUMMYFUNCTION("""COMPUTED_VALUE"""),"")</f>
        <v/>
      </c>
      <c r="C13430" s="12" t="str">
        <f ca="1">IFERROR(__xludf.DUMMYFUNCTION("""COMPUTED_VALUE"""),"")</f>
        <v/>
      </c>
      <c r="D13430" s="12" t="str">
        <f ca="1">IFERROR(__xludf.DUMMYFUNCTION("""COMPUTED_VALUE"""),"")</f>
        <v/>
      </c>
    </row>
    <row r="13431" spans="2:4" ht="13">
      <c r="B13431" s="12" t="str">
        <f ca="1">IFERROR(__xludf.DUMMYFUNCTION("""COMPUTED_VALUE"""),"")</f>
        <v/>
      </c>
      <c r="C13431" s="12" t="str">
        <f ca="1">IFERROR(__xludf.DUMMYFUNCTION("""COMPUTED_VALUE"""),"")</f>
        <v/>
      </c>
      <c r="D13431" s="12" t="str">
        <f ca="1">IFERROR(__xludf.DUMMYFUNCTION("""COMPUTED_VALUE"""),"")</f>
        <v/>
      </c>
    </row>
    <row r="13432" spans="2:4" ht="13">
      <c r="B13432" s="12" t="str">
        <f ca="1">IFERROR(__xludf.DUMMYFUNCTION("""COMPUTED_VALUE"""),"")</f>
        <v/>
      </c>
      <c r="C13432" s="12" t="str">
        <f ca="1">IFERROR(__xludf.DUMMYFUNCTION("""COMPUTED_VALUE"""),"")</f>
        <v/>
      </c>
      <c r="D13432" s="12" t="str">
        <f ca="1">IFERROR(__xludf.DUMMYFUNCTION("""COMPUTED_VALUE"""),"")</f>
        <v/>
      </c>
    </row>
    <row r="13433" spans="2:4" ht="13">
      <c r="B13433" s="12" t="str">
        <f ca="1">IFERROR(__xludf.DUMMYFUNCTION("""COMPUTED_VALUE"""),"")</f>
        <v/>
      </c>
      <c r="C13433" s="12" t="str">
        <f ca="1">IFERROR(__xludf.DUMMYFUNCTION("""COMPUTED_VALUE"""),"")</f>
        <v/>
      </c>
      <c r="D13433" s="12" t="str">
        <f ca="1">IFERROR(__xludf.DUMMYFUNCTION("""COMPUTED_VALUE"""),"")</f>
        <v/>
      </c>
    </row>
    <row r="13434" spans="2:4" ht="13">
      <c r="B13434" s="12" t="str">
        <f ca="1">IFERROR(__xludf.DUMMYFUNCTION("""COMPUTED_VALUE"""),"")</f>
        <v/>
      </c>
      <c r="C13434" s="12" t="str">
        <f ca="1">IFERROR(__xludf.DUMMYFUNCTION("""COMPUTED_VALUE"""),"")</f>
        <v/>
      </c>
      <c r="D13434" s="12" t="str">
        <f ca="1">IFERROR(__xludf.DUMMYFUNCTION("""COMPUTED_VALUE"""),"")</f>
        <v/>
      </c>
    </row>
    <row r="13435" spans="2:4" ht="13">
      <c r="B13435" s="12" t="str">
        <f ca="1">IFERROR(__xludf.DUMMYFUNCTION("""COMPUTED_VALUE"""),"")</f>
        <v/>
      </c>
      <c r="C13435" s="12" t="str">
        <f ca="1">IFERROR(__xludf.DUMMYFUNCTION("""COMPUTED_VALUE"""),"")</f>
        <v/>
      </c>
      <c r="D13435" s="12" t="str">
        <f ca="1">IFERROR(__xludf.DUMMYFUNCTION("""COMPUTED_VALUE"""),"")</f>
        <v/>
      </c>
    </row>
    <row r="13436" spans="2:4" ht="13">
      <c r="B13436" s="12" t="str">
        <f ca="1">IFERROR(__xludf.DUMMYFUNCTION("""COMPUTED_VALUE"""),"")</f>
        <v/>
      </c>
      <c r="C13436" s="12" t="str">
        <f ca="1">IFERROR(__xludf.DUMMYFUNCTION("""COMPUTED_VALUE"""),"")</f>
        <v/>
      </c>
      <c r="D13436" s="12" t="str">
        <f ca="1">IFERROR(__xludf.DUMMYFUNCTION("""COMPUTED_VALUE"""),"")</f>
        <v/>
      </c>
    </row>
    <row r="13437" spans="2:4" ht="13">
      <c r="B13437" s="12" t="str">
        <f ca="1">IFERROR(__xludf.DUMMYFUNCTION("""COMPUTED_VALUE"""),"")</f>
        <v/>
      </c>
      <c r="C13437" s="12" t="str">
        <f ca="1">IFERROR(__xludf.DUMMYFUNCTION("""COMPUTED_VALUE"""),"")</f>
        <v/>
      </c>
      <c r="D13437" s="12" t="str">
        <f ca="1">IFERROR(__xludf.DUMMYFUNCTION("""COMPUTED_VALUE"""),"")</f>
        <v/>
      </c>
    </row>
    <row r="13438" spans="2:4" ht="13">
      <c r="B13438" s="12" t="str">
        <f ca="1">IFERROR(__xludf.DUMMYFUNCTION("""COMPUTED_VALUE"""),"")</f>
        <v/>
      </c>
      <c r="C13438" s="12" t="str">
        <f ca="1">IFERROR(__xludf.DUMMYFUNCTION("""COMPUTED_VALUE"""),"")</f>
        <v/>
      </c>
      <c r="D13438" s="12" t="str">
        <f ca="1">IFERROR(__xludf.DUMMYFUNCTION("""COMPUTED_VALUE"""),"")</f>
        <v/>
      </c>
    </row>
    <row r="13439" spans="2:4" ht="13">
      <c r="B13439" s="12" t="str">
        <f ca="1">IFERROR(__xludf.DUMMYFUNCTION("""COMPUTED_VALUE"""),"")</f>
        <v/>
      </c>
      <c r="C13439" s="12" t="str">
        <f ca="1">IFERROR(__xludf.DUMMYFUNCTION("""COMPUTED_VALUE"""),"")</f>
        <v/>
      </c>
      <c r="D13439" s="12" t="str">
        <f ca="1">IFERROR(__xludf.DUMMYFUNCTION("""COMPUTED_VALUE"""),"")</f>
        <v/>
      </c>
    </row>
    <row r="13440" spans="2:4" ht="13">
      <c r="B13440" s="12" t="str">
        <f ca="1">IFERROR(__xludf.DUMMYFUNCTION("""COMPUTED_VALUE"""),"")</f>
        <v/>
      </c>
      <c r="C13440" s="12" t="str">
        <f ca="1">IFERROR(__xludf.DUMMYFUNCTION("""COMPUTED_VALUE"""),"")</f>
        <v/>
      </c>
      <c r="D13440" s="12" t="str">
        <f ca="1">IFERROR(__xludf.DUMMYFUNCTION("""COMPUTED_VALUE"""),"")</f>
        <v/>
      </c>
    </row>
    <row r="13441" spans="2:4" ht="13">
      <c r="B13441" s="12" t="str">
        <f ca="1">IFERROR(__xludf.DUMMYFUNCTION("""COMPUTED_VALUE"""),"")</f>
        <v/>
      </c>
      <c r="C13441" s="12" t="str">
        <f ca="1">IFERROR(__xludf.DUMMYFUNCTION("""COMPUTED_VALUE"""),"")</f>
        <v/>
      </c>
      <c r="D13441" s="12" t="str">
        <f ca="1">IFERROR(__xludf.DUMMYFUNCTION("""COMPUTED_VALUE"""),"")</f>
        <v/>
      </c>
    </row>
    <row r="13442" spans="2:4" ht="13">
      <c r="B13442" s="12" t="str">
        <f ca="1">IFERROR(__xludf.DUMMYFUNCTION("""COMPUTED_VALUE"""),"")</f>
        <v/>
      </c>
      <c r="C13442" s="12" t="str">
        <f ca="1">IFERROR(__xludf.DUMMYFUNCTION("""COMPUTED_VALUE"""),"")</f>
        <v/>
      </c>
      <c r="D13442" s="12" t="str">
        <f ca="1">IFERROR(__xludf.DUMMYFUNCTION("""COMPUTED_VALUE"""),"")</f>
        <v/>
      </c>
    </row>
    <row r="13443" spans="2:4" ht="13">
      <c r="B13443" s="12" t="str">
        <f ca="1">IFERROR(__xludf.DUMMYFUNCTION("""COMPUTED_VALUE"""),"")</f>
        <v/>
      </c>
      <c r="C13443" s="12" t="str">
        <f ca="1">IFERROR(__xludf.DUMMYFUNCTION("""COMPUTED_VALUE"""),"")</f>
        <v/>
      </c>
      <c r="D13443" s="12" t="str">
        <f ca="1">IFERROR(__xludf.DUMMYFUNCTION("""COMPUTED_VALUE"""),"")</f>
        <v/>
      </c>
    </row>
    <row r="13444" spans="2:4" ht="13">
      <c r="B13444" s="12" t="str">
        <f ca="1">IFERROR(__xludf.DUMMYFUNCTION("""COMPUTED_VALUE"""),"")</f>
        <v/>
      </c>
      <c r="C13444" s="12" t="str">
        <f ca="1">IFERROR(__xludf.DUMMYFUNCTION("""COMPUTED_VALUE"""),"")</f>
        <v/>
      </c>
      <c r="D13444" s="12" t="str">
        <f ca="1">IFERROR(__xludf.DUMMYFUNCTION("""COMPUTED_VALUE"""),"")</f>
        <v/>
      </c>
    </row>
    <row r="13445" spans="2:4" ht="13">
      <c r="B13445" s="12" t="str">
        <f ca="1">IFERROR(__xludf.DUMMYFUNCTION("""COMPUTED_VALUE"""),"")</f>
        <v/>
      </c>
      <c r="C13445" s="12" t="str">
        <f ca="1">IFERROR(__xludf.DUMMYFUNCTION("""COMPUTED_VALUE"""),"")</f>
        <v/>
      </c>
      <c r="D13445" s="12" t="str">
        <f ca="1">IFERROR(__xludf.DUMMYFUNCTION("""COMPUTED_VALUE"""),"")</f>
        <v/>
      </c>
    </row>
    <row r="13446" spans="2:4" ht="13">
      <c r="B13446" s="12" t="str">
        <f ca="1">IFERROR(__xludf.DUMMYFUNCTION("""COMPUTED_VALUE"""),"")</f>
        <v/>
      </c>
      <c r="C13446" s="12" t="str">
        <f ca="1">IFERROR(__xludf.DUMMYFUNCTION("""COMPUTED_VALUE"""),"")</f>
        <v/>
      </c>
      <c r="D13446" s="12" t="str">
        <f ca="1">IFERROR(__xludf.DUMMYFUNCTION("""COMPUTED_VALUE"""),"")</f>
        <v/>
      </c>
    </row>
    <row r="13447" spans="2:4" ht="13">
      <c r="B13447" s="12" t="str">
        <f ca="1">IFERROR(__xludf.DUMMYFUNCTION("""COMPUTED_VALUE"""),"")</f>
        <v/>
      </c>
      <c r="C13447" s="12" t="str">
        <f ca="1">IFERROR(__xludf.DUMMYFUNCTION("""COMPUTED_VALUE"""),"")</f>
        <v/>
      </c>
      <c r="D13447" s="12" t="str">
        <f ca="1">IFERROR(__xludf.DUMMYFUNCTION("""COMPUTED_VALUE"""),"")</f>
        <v/>
      </c>
    </row>
    <row r="13448" spans="2:4" ht="13">
      <c r="B13448" s="12" t="str">
        <f ca="1">IFERROR(__xludf.DUMMYFUNCTION("""COMPUTED_VALUE"""),"")</f>
        <v/>
      </c>
      <c r="C13448" s="12" t="str">
        <f ca="1">IFERROR(__xludf.DUMMYFUNCTION("""COMPUTED_VALUE"""),"")</f>
        <v/>
      </c>
      <c r="D13448" s="12" t="str">
        <f ca="1">IFERROR(__xludf.DUMMYFUNCTION("""COMPUTED_VALUE"""),"")</f>
        <v/>
      </c>
    </row>
    <row r="13449" spans="2:4" ht="13">
      <c r="B13449" s="12" t="str">
        <f ca="1">IFERROR(__xludf.DUMMYFUNCTION("""COMPUTED_VALUE"""),"")</f>
        <v/>
      </c>
      <c r="C13449" s="12" t="str">
        <f ca="1">IFERROR(__xludf.DUMMYFUNCTION("""COMPUTED_VALUE"""),"")</f>
        <v/>
      </c>
      <c r="D13449" s="12" t="str">
        <f ca="1">IFERROR(__xludf.DUMMYFUNCTION("""COMPUTED_VALUE"""),"")</f>
        <v/>
      </c>
    </row>
    <row r="13450" spans="2:4" ht="13">
      <c r="B13450" s="12" t="str">
        <f ca="1">IFERROR(__xludf.DUMMYFUNCTION("""COMPUTED_VALUE"""),"")</f>
        <v/>
      </c>
      <c r="C13450" s="12" t="str">
        <f ca="1">IFERROR(__xludf.DUMMYFUNCTION("""COMPUTED_VALUE"""),"")</f>
        <v/>
      </c>
      <c r="D13450" s="12" t="str">
        <f ca="1">IFERROR(__xludf.DUMMYFUNCTION("""COMPUTED_VALUE"""),"")</f>
        <v/>
      </c>
    </row>
    <row r="13451" spans="2:4" ht="13">
      <c r="B13451" s="12" t="str">
        <f ca="1">IFERROR(__xludf.DUMMYFUNCTION("""COMPUTED_VALUE"""),"")</f>
        <v/>
      </c>
      <c r="C13451" s="12" t="str">
        <f ca="1">IFERROR(__xludf.DUMMYFUNCTION("""COMPUTED_VALUE"""),"")</f>
        <v/>
      </c>
      <c r="D13451" s="12" t="str">
        <f ca="1">IFERROR(__xludf.DUMMYFUNCTION("""COMPUTED_VALUE"""),"")</f>
        <v/>
      </c>
    </row>
    <row r="13452" spans="2:4" ht="13">
      <c r="B13452" s="12" t="str">
        <f ca="1">IFERROR(__xludf.DUMMYFUNCTION("""COMPUTED_VALUE"""),"")</f>
        <v/>
      </c>
      <c r="C13452" s="12" t="str">
        <f ca="1">IFERROR(__xludf.DUMMYFUNCTION("""COMPUTED_VALUE"""),"")</f>
        <v/>
      </c>
      <c r="D13452" s="12" t="str">
        <f ca="1">IFERROR(__xludf.DUMMYFUNCTION("""COMPUTED_VALUE"""),"")</f>
        <v/>
      </c>
    </row>
    <row r="13453" spans="2:4" ht="13">
      <c r="B13453" s="12" t="str">
        <f ca="1">IFERROR(__xludf.DUMMYFUNCTION("""COMPUTED_VALUE"""),"")</f>
        <v/>
      </c>
      <c r="C13453" s="12" t="str">
        <f ca="1">IFERROR(__xludf.DUMMYFUNCTION("""COMPUTED_VALUE"""),"")</f>
        <v/>
      </c>
      <c r="D13453" s="12" t="str">
        <f ca="1">IFERROR(__xludf.DUMMYFUNCTION("""COMPUTED_VALUE"""),"")</f>
        <v/>
      </c>
    </row>
    <row r="13454" spans="2:4" ht="13">
      <c r="B13454" s="12" t="str">
        <f ca="1">IFERROR(__xludf.DUMMYFUNCTION("""COMPUTED_VALUE"""),"")</f>
        <v/>
      </c>
      <c r="C13454" s="12" t="str">
        <f ca="1">IFERROR(__xludf.DUMMYFUNCTION("""COMPUTED_VALUE"""),"")</f>
        <v/>
      </c>
      <c r="D13454" s="12" t="str">
        <f ca="1">IFERROR(__xludf.DUMMYFUNCTION("""COMPUTED_VALUE"""),"")</f>
        <v/>
      </c>
    </row>
    <row r="13455" spans="2:4" ht="13">
      <c r="B13455" s="12" t="str">
        <f ca="1">IFERROR(__xludf.DUMMYFUNCTION("""COMPUTED_VALUE"""),"")</f>
        <v/>
      </c>
      <c r="C13455" s="12" t="str">
        <f ca="1">IFERROR(__xludf.DUMMYFUNCTION("""COMPUTED_VALUE"""),"")</f>
        <v/>
      </c>
      <c r="D13455" s="12" t="str">
        <f ca="1">IFERROR(__xludf.DUMMYFUNCTION("""COMPUTED_VALUE"""),"")</f>
        <v/>
      </c>
    </row>
    <row r="13456" spans="2:4" ht="13">
      <c r="B13456" s="12" t="str">
        <f ca="1">IFERROR(__xludf.DUMMYFUNCTION("""COMPUTED_VALUE"""),"")</f>
        <v/>
      </c>
      <c r="C13456" s="12" t="str">
        <f ca="1">IFERROR(__xludf.DUMMYFUNCTION("""COMPUTED_VALUE"""),"")</f>
        <v/>
      </c>
      <c r="D13456" s="12" t="str">
        <f ca="1">IFERROR(__xludf.DUMMYFUNCTION("""COMPUTED_VALUE"""),"")</f>
        <v/>
      </c>
    </row>
    <row r="13457" spans="2:4" ht="13">
      <c r="B13457" s="12" t="str">
        <f ca="1">IFERROR(__xludf.DUMMYFUNCTION("""COMPUTED_VALUE"""),"")</f>
        <v/>
      </c>
      <c r="C13457" s="12" t="str">
        <f ca="1">IFERROR(__xludf.DUMMYFUNCTION("""COMPUTED_VALUE"""),"")</f>
        <v/>
      </c>
      <c r="D13457" s="12" t="str">
        <f ca="1">IFERROR(__xludf.DUMMYFUNCTION("""COMPUTED_VALUE"""),"")</f>
        <v/>
      </c>
    </row>
    <row r="13458" spans="2:4" ht="13">
      <c r="B13458" s="12" t="str">
        <f ca="1">IFERROR(__xludf.DUMMYFUNCTION("""COMPUTED_VALUE"""),"")</f>
        <v/>
      </c>
      <c r="C13458" s="12" t="str">
        <f ca="1">IFERROR(__xludf.DUMMYFUNCTION("""COMPUTED_VALUE"""),"")</f>
        <v/>
      </c>
      <c r="D13458" s="12" t="str">
        <f ca="1">IFERROR(__xludf.DUMMYFUNCTION("""COMPUTED_VALUE"""),"")</f>
        <v/>
      </c>
    </row>
    <row r="13459" spans="2:4" ht="13">
      <c r="B13459" s="12" t="str">
        <f ca="1">IFERROR(__xludf.DUMMYFUNCTION("""COMPUTED_VALUE"""),"")</f>
        <v/>
      </c>
      <c r="C13459" s="12" t="str">
        <f ca="1">IFERROR(__xludf.DUMMYFUNCTION("""COMPUTED_VALUE"""),"")</f>
        <v/>
      </c>
      <c r="D13459" s="12" t="str">
        <f ca="1">IFERROR(__xludf.DUMMYFUNCTION("""COMPUTED_VALUE"""),"")</f>
        <v/>
      </c>
    </row>
    <row r="13460" spans="2:4" ht="13">
      <c r="B13460" s="12" t="str">
        <f ca="1">IFERROR(__xludf.DUMMYFUNCTION("""COMPUTED_VALUE"""),"")</f>
        <v/>
      </c>
      <c r="C13460" s="12" t="str">
        <f ca="1">IFERROR(__xludf.DUMMYFUNCTION("""COMPUTED_VALUE"""),"")</f>
        <v/>
      </c>
      <c r="D13460" s="12" t="str">
        <f ca="1">IFERROR(__xludf.DUMMYFUNCTION("""COMPUTED_VALUE"""),"")</f>
        <v/>
      </c>
    </row>
    <row r="13461" spans="2:4" ht="13">
      <c r="B13461" s="12" t="str">
        <f ca="1">IFERROR(__xludf.DUMMYFUNCTION("""COMPUTED_VALUE"""),"")</f>
        <v/>
      </c>
      <c r="C13461" s="12" t="str">
        <f ca="1">IFERROR(__xludf.DUMMYFUNCTION("""COMPUTED_VALUE"""),"")</f>
        <v/>
      </c>
      <c r="D13461" s="12" t="str">
        <f ca="1">IFERROR(__xludf.DUMMYFUNCTION("""COMPUTED_VALUE"""),"")</f>
        <v/>
      </c>
    </row>
    <row r="13462" spans="2:4" ht="13">
      <c r="B13462" s="12" t="str">
        <f ca="1">IFERROR(__xludf.DUMMYFUNCTION("""COMPUTED_VALUE"""),"")</f>
        <v/>
      </c>
      <c r="C13462" s="12" t="str">
        <f ca="1">IFERROR(__xludf.DUMMYFUNCTION("""COMPUTED_VALUE"""),"")</f>
        <v/>
      </c>
      <c r="D13462" s="12" t="str">
        <f ca="1">IFERROR(__xludf.DUMMYFUNCTION("""COMPUTED_VALUE"""),"")</f>
        <v/>
      </c>
    </row>
    <row r="13463" spans="2:4" ht="13">
      <c r="B13463" s="12" t="str">
        <f ca="1">IFERROR(__xludf.DUMMYFUNCTION("""COMPUTED_VALUE"""),"")</f>
        <v/>
      </c>
      <c r="C13463" s="12" t="str">
        <f ca="1">IFERROR(__xludf.DUMMYFUNCTION("""COMPUTED_VALUE"""),"")</f>
        <v/>
      </c>
      <c r="D13463" s="12" t="str">
        <f ca="1">IFERROR(__xludf.DUMMYFUNCTION("""COMPUTED_VALUE"""),"")</f>
        <v/>
      </c>
    </row>
    <row r="13464" spans="2:4" ht="13">
      <c r="B13464" s="12" t="str">
        <f ca="1">IFERROR(__xludf.DUMMYFUNCTION("""COMPUTED_VALUE"""),"")</f>
        <v/>
      </c>
      <c r="C13464" s="12" t="str">
        <f ca="1">IFERROR(__xludf.DUMMYFUNCTION("""COMPUTED_VALUE"""),"")</f>
        <v/>
      </c>
      <c r="D13464" s="12" t="str">
        <f ca="1">IFERROR(__xludf.DUMMYFUNCTION("""COMPUTED_VALUE"""),"")</f>
        <v/>
      </c>
    </row>
    <row r="13465" spans="2:4" ht="13">
      <c r="B13465" s="12" t="str">
        <f ca="1">IFERROR(__xludf.DUMMYFUNCTION("""COMPUTED_VALUE"""),"")</f>
        <v/>
      </c>
      <c r="C13465" s="12" t="str">
        <f ca="1">IFERROR(__xludf.DUMMYFUNCTION("""COMPUTED_VALUE"""),"")</f>
        <v/>
      </c>
      <c r="D13465" s="12" t="str">
        <f ca="1">IFERROR(__xludf.DUMMYFUNCTION("""COMPUTED_VALUE"""),"")</f>
        <v/>
      </c>
    </row>
    <row r="13466" spans="2:4" ht="13">
      <c r="B13466" s="12" t="str">
        <f ca="1">IFERROR(__xludf.DUMMYFUNCTION("""COMPUTED_VALUE"""),"")</f>
        <v/>
      </c>
      <c r="C13466" s="12" t="str">
        <f ca="1">IFERROR(__xludf.DUMMYFUNCTION("""COMPUTED_VALUE"""),"")</f>
        <v/>
      </c>
      <c r="D13466" s="12" t="str">
        <f ca="1">IFERROR(__xludf.DUMMYFUNCTION("""COMPUTED_VALUE"""),"")</f>
        <v/>
      </c>
    </row>
    <row r="13467" spans="2:4" ht="13">
      <c r="B13467" s="12" t="str">
        <f ca="1">IFERROR(__xludf.DUMMYFUNCTION("""COMPUTED_VALUE"""),"")</f>
        <v/>
      </c>
      <c r="C13467" s="12" t="str">
        <f ca="1">IFERROR(__xludf.DUMMYFUNCTION("""COMPUTED_VALUE"""),"")</f>
        <v/>
      </c>
      <c r="D13467" s="12" t="str">
        <f ca="1">IFERROR(__xludf.DUMMYFUNCTION("""COMPUTED_VALUE"""),"")</f>
        <v/>
      </c>
    </row>
    <row r="13468" spans="2:4" ht="13">
      <c r="B13468" s="12" t="str">
        <f ca="1">IFERROR(__xludf.DUMMYFUNCTION("""COMPUTED_VALUE"""),"")</f>
        <v/>
      </c>
      <c r="C13468" s="12" t="str">
        <f ca="1">IFERROR(__xludf.DUMMYFUNCTION("""COMPUTED_VALUE"""),"")</f>
        <v/>
      </c>
      <c r="D13468" s="12" t="str">
        <f ca="1">IFERROR(__xludf.DUMMYFUNCTION("""COMPUTED_VALUE"""),"")</f>
        <v/>
      </c>
    </row>
    <row r="13469" spans="2:4" ht="13">
      <c r="B13469" s="12" t="str">
        <f ca="1">IFERROR(__xludf.DUMMYFUNCTION("""COMPUTED_VALUE"""),"")</f>
        <v/>
      </c>
      <c r="C13469" s="12" t="str">
        <f ca="1">IFERROR(__xludf.DUMMYFUNCTION("""COMPUTED_VALUE"""),"")</f>
        <v/>
      </c>
      <c r="D13469" s="12" t="str">
        <f ca="1">IFERROR(__xludf.DUMMYFUNCTION("""COMPUTED_VALUE"""),"")</f>
        <v/>
      </c>
    </row>
    <row r="13470" spans="2:4" ht="13">
      <c r="B13470" s="12" t="str">
        <f ca="1">IFERROR(__xludf.DUMMYFUNCTION("""COMPUTED_VALUE"""),"")</f>
        <v/>
      </c>
      <c r="C13470" s="12" t="str">
        <f ca="1">IFERROR(__xludf.DUMMYFUNCTION("""COMPUTED_VALUE"""),"")</f>
        <v/>
      </c>
      <c r="D13470" s="12" t="str">
        <f ca="1">IFERROR(__xludf.DUMMYFUNCTION("""COMPUTED_VALUE"""),"")</f>
        <v/>
      </c>
    </row>
    <row r="13471" spans="2:4" ht="13">
      <c r="B13471" s="12" t="str">
        <f ca="1">IFERROR(__xludf.DUMMYFUNCTION("""COMPUTED_VALUE"""),"")</f>
        <v/>
      </c>
      <c r="C13471" s="12" t="str">
        <f ca="1">IFERROR(__xludf.DUMMYFUNCTION("""COMPUTED_VALUE"""),"")</f>
        <v/>
      </c>
      <c r="D13471" s="12" t="str">
        <f ca="1">IFERROR(__xludf.DUMMYFUNCTION("""COMPUTED_VALUE"""),"")</f>
        <v/>
      </c>
    </row>
    <row r="13472" spans="2:4" ht="13">
      <c r="B13472" s="12" t="str">
        <f ca="1">IFERROR(__xludf.DUMMYFUNCTION("""COMPUTED_VALUE"""),"")</f>
        <v/>
      </c>
      <c r="C13472" s="12" t="str">
        <f ca="1">IFERROR(__xludf.DUMMYFUNCTION("""COMPUTED_VALUE"""),"")</f>
        <v/>
      </c>
      <c r="D13472" s="12" t="str">
        <f ca="1">IFERROR(__xludf.DUMMYFUNCTION("""COMPUTED_VALUE"""),"")</f>
        <v/>
      </c>
    </row>
    <row r="13473" spans="2:4" ht="13">
      <c r="B13473" s="12" t="str">
        <f ca="1">IFERROR(__xludf.DUMMYFUNCTION("""COMPUTED_VALUE"""),"")</f>
        <v/>
      </c>
      <c r="C13473" s="12" t="str">
        <f ca="1">IFERROR(__xludf.DUMMYFUNCTION("""COMPUTED_VALUE"""),"")</f>
        <v/>
      </c>
      <c r="D13473" s="12" t="str">
        <f ca="1">IFERROR(__xludf.DUMMYFUNCTION("""COMPUTED_VALUE"""),"")</f>
        <v/>
      </c>
    </row>
    <row r="13474" spans="2:4" ht="13">
      <c r="B13474" s="12" t="str">
        <f ca="1">IFERROR(__xludf.DUMMYFUNCTION("""COMPUTED_VALUE"""),"")</f>
        <v/>
      </c>
      <c r="C13474" s="12" t="str">
        <f ca="1">IFERROR(__xludf.DUMMYFUNCTION("""COMPUTED_VALUE"""),"")</f>
        <v/>
      </c>
      <c r="D13474" s="12" t="str">
        <f ca="1">IFERROR(__xludf.DUMMYFUNCTION("""COMPUTED_VALUE"""),"")</f>
        <v/>
      </c>
    </row>
    <row r="13475" spans="2:4" ht="13">
      <c r="B13475" s="12" t="str">
        <f ca="1">IFERROR(__xludf.DUMMYFUNCTION("""COMPUTED_VALUE"""),"")</f>
        <v/>
      </c>
      <c r="C13475" s="12" t="str">
        <f ca="1">IFERROR(__xludf.DUMMYFUNCTION("""COMPUTED_VALUE"""),"")</f>
        <v/>
      </c>
      <c r="D13475" s="12" t="str">
        <f ca="1">IFERROR(__xludf.DUMMYFUNCTION("""COMPUTED_VALUE"""),"")</f>
        <v/>
      </c>
    </row>
    <row r="13476" spans="2:4" ht="13">
      <c r="B13476" s="12" t="str">
        <f ca="1">IFERROR(__xludf.DUMMYFUNCTION("""COMPUTED_VALUE"""),"")</f>
        <v/>
      </c>
      <c r="C13476" s="12" t="str">
        <f ca="1">IFERROR(__xludf.DUMMYFUNCTION("""COMPUTED_VALUE"""),"")</f>
        <v/>
      </c>
      <c r="D13476" s="12" t="str">
        <f ca="1">IFERROR(__xludf.DUMMYFUNCTION("""COMPUTED_VALUE"""),"")</f>
        <v/>
      </c>
    </row>
    <row r="13477" spans="2:4" ht="13">
      <c r="B13477" s="12" t="str">
        <f ca="1">IFERROR(__xludf.DUMMYFUNCTION("""COMPUTED_VALUE"""),"")</f>
        <v/>
      </c>
      <c r="C13477" s="12" t="str">
        <f ca="1">IFERROR(__xludf.DUMMYFUNCTION("""COMPUTED_VALUE"""),"")</f>
        <v/>
      </c>
      <c r="D13477" s="12" t="str">
        <f ca="1">IFERROR(__xludf.DUMMYFUNCTION("""COMPUTED_VALUE"""),"")</f>
        <v/>
      </c>
    </row>
    <row r="13478" spans="2:4" ht="13">
      <c r="B13478" s="12" t="str">
        <f ca="1">IFERROR(__xludf.DUMMYFUNCTION("""COMPUTED_VALUE"""),"")</f>
        <v/>
      </c>
      <c r="C13478" s="12" t="str">
        <f ca="1">IFERROR(__xludf.DUMMYFUNCTION("""COMPUTED_VALUE"""),"")</f>
        <v/>
      </c>
      <c r="D13478" s="12" t="str">
        <f ca="1">IFERROR(__xludf.DUMMYFUNCTION("""COMPUTED_VALUE"""),"")</f>
        <v/>
      </c>
    </row>
    <row r="13479" spans="2:4" ht="13">
      <c r="B13479" s="12" t="str">
        <f ca="1">IFERROR(__xludf.DUMMYFUNCTION("""COMPUTED_VALUE"""),"")</f>
        <v/>
      </c>
      <c r="C13479" s="12" t="str">
        <f ca="1">IFERROR(__xludf.DUMMYFUNCTION("""COMPUTED_VALUE"""),"")</f>
        <v/>
      </c>
      <c r="D13479" s="12" t="str">
        <f ca="1">IFERROR(__xludf.DUMMYFUNCTION("""COMPUTED_VALUE"""),"")</f>
        <v/>
      </c>
    </row>
    <row r="13480" spans="2:4" ht="13">
      <c r="B13480" s="12" t="str">
        <f ca="1">IFERROR(__xludf.DUMMYFUNCTION("""COMPUTED_VALUE"""),"")</f>
        <v/>
      </c>
      <c r="C13480" s="12" t="str">
        <f ca="1">IFERROR(__xludf.DUMMYFUNCTION("""COMPUTED_VALUE"""),"")</f>
        <v/>
      </c>
      <c r="D13480" s="12" t="str">
        <f ca="1">IFERROR(__xludf.DUMMYFUNCTION("""COMPUTED_VALUE"""),"")</f>
        <v/>
      </c>
    </row>
    <row r="13481" spans="2:4" ht="13">
      <c r="B13481" s="12" t="str">
        <f ca="1">IFERROR(__xludf.DUMMYFUNCTION("""COMPUTED_VALUE"""),"")</f>
        <v/>
      </c>
      <c r="C13481" s="12" t="str">
        <f ca="1">IFERROR(__xludf.DUMMYFUNCTION("""COMPUTED_VALUE"""),"")</f>
        <v/>
      </c>
      <c r="D13481" s="12" t="str">
        <f ca="1">IFERROR(__xludf.DUMMYFUNCTION("""COMPUTED_VALUE"""),"")</f>
        <v/>
      </c>
    </row>
    <row r="13482" spans="2:4" ht="13">
      <c r="B13482" s="12" t="str">
        <f ca="1">IFERROR(__xludf.DUMMYFUNCTION("""COMPUTED_VALUE"""),"")</f>
        <v/>
      </c>
      <c r="C13482" s="12" t="str">
        <f ca="1">IFERROR(__xludf.DUMMYFUNCTION("""COMPUTED_VALUE"""),"")</f>
        <v/>
      </c>
      <c r="D13482" s="12" t="str">
        <f ca="1">IFERROR(__xludf.DUMMYFUNCTION("""COMPUTED_VALUE"""),"")</f>
        <v/>
      </c>
    </row>
    <row r="13483" spans="2:4" ht="13">
      <c r="B13483" s="12" t="str">
        <f ca="1">IFERROR(__xludf.DUMMYFUNCTION("""COMPUTED_VALUE"""),"")</f>
        <v/>
      </c>
      <c r="C13483" s="12" t="str">
        <f ca="1">IFERROR(__xludf.DUMMYFUNCTION("""COMPUTED_VALUE"""),"")</f>
        <v/>
      </c>
      <c r="D13483" s="12" t="str">
        <f ca="1">IFERROR(__xludf.DUMMYFUNCTION("""COMPUTED_VALUE"""),"")</f>
        <v/>
      </c>
    </row>
    <row r="13484" spans="2:4" ht="13">
      <c r="B13484" s="12" t="str">
        <f ca="1">IFERROR(__xludf.DUMMYFUNCTION("""COMPUTED_VALUE"""),"")</f>
        <v/>
      </c>
      <c r="C13484" s="12" t="str">
        <f ca="1">IFERROR(__xludf.DUMMYFUNCTION("""COMPUTED_VALUE"""),"")</f>
        <v/>
      </c>
      <c r="D13484" s="12" t="str">
        <f ca="1">IFERROR(__xludf.DUMMYFUNCTION("""COMPUTED_VALUE"""),"")</f>
        <v/>
      </c>
    </row>
    <row r="13485" spans="2:4" ht="13">
      <c r="B13485" s="12" t="str">
        <f ca="1">IFERROR(__xludf.DUMMYFUNCTION("""COMPUTED_VALUE"""),"")</f>
        <v/>
      </c>
      <c r="C13485" s="12" t="str">
        <f ca="1">IFERROR(__xludf.DUMMYFUNCTION("""COMPUTED_VALUE"""),"")</f>
        <v/>
      </c>
      <c r="D13485" s="12" t="str">
        <f ca="1">IFERROR(__xludf.DUMMYFUNCTION("""COMPUTED_VALUE"""),"")</f>
        <v/>
      </c>
    </row>
    <row r="13486" spans="2:4" ht="13">
      <c r="B13486" s="12" t="str">
        <f ca="1">IFERROR(__xludf.DUMMYFUNCTION("""COMPUTED_VALUE"""),"")</f>
        <v/>
      </c>
      <c r="C13486" s="12" t="str">
        <f ca="1">IFERROR(__xludf.DUMMYFUNCTION("""COMPUTED_VALUE"""),"")</f>
        <v/>
      </c>
      <c r="D13486" s="12" t="str">
        <f ca="1">IFERROR(__xludf.DUMMYFUNCTION("""COMPUTED_VALUE"""),"")</f>
        <v/>
      </c>
    </row>
    <row r="13487" spans="2:4" ht="13">
      <c r="B13487" s="12" t="str">
        <f ca="1">IFERROR(__xludf.DUMMYFUNCTION("""COMPUTED_VALUE"""),"")</f>
        <v/>
      </c>
      <c r="C13487" s="12" t="str">
        <f ca="1">IFERROR(__xludf.DUMMYFUNCTION("""COMPUTED_VALUE"""),"")</f>
        <v/>
      </c>
      <c r="D13487" s="12" t="str">
        <f ca="1">IFERROR(__xludf.DUMMYFUNCTION("""COMPUTED_VALUE"""),"")</f>
        <v/>
      </c>
    </row>
    <row r="13488" spans="2:4" ht="13">
      <c r="B13488" s="12" t="str">
        <f ca="1">IFERROR(__xludf.DUMMYFUNCTION("""COMPUTED_VALUE"""),"")</f>
        <v/>
      </c>
      <c r="C13488" s="12" t="str">
        <f ca="1">IFERROR(__xludf.DUMMYFUNCTION("""COMPUTED_VALUE"""),"")</f>
        <v/>
      </c>
      <c r="D13488" s="12" t="str">
        <f ca="1">IFERROR(__xludf.DUMMYFUNCTION("""COMPUTED_VALUE"""),"")</f>
        <v/>
      </c>
    </row>
    <row r="13489" spans="2:4" ht="13">
      <c r="B13489" s="12" t="str">
        <f ca="1">IFERROR(__xludf.DUMMYFUNCTION("""COMPUTED_VALUE"""),"")</f>
        <v/>
      </c>
      <c r="C13489" s="12" t="str">
        <f ca="1">IFERROR(__xludf.DUMMYFUNCTION("""COMPUTED_VALUE"""),"")</f>
        <v/>
      </c>
      <c r="D13489" s="12" t="str">
        <f ca="1">IFERROR(__xludf.DUMMYFUNCTION("""COMPUTED_VALUE"""),"")</f>
        <v/>
      </c>
    </row>
    <row r="13490" spans="2:4" ht="13">
      <c r="B13490" s="12" t="str">
        <f ca="1">IFERROR(__xludf.DUMMYFUNCTION("""COMPUTED_VALUE"""),"")</f>
        <v/>
      </c>
      <c r="C13490" s="12" t="str">
        <f ca="1">IFERROR(__xludf.DUMMYFUNCTION("""COMPUTED_VALUE"""),"")</f>
        <v/>
      </c>
      <c r="D13490" s="12" t="str">
        <f ca="1">IFERROR(__xludf.DUMMYFUNCTION("""COMPUTED_VALUE"""),"")</f>
        <v/>
      </c>
    </row>
    <row r="13491" spans="2:4" ht="13">
      <c r="B13491" s="12" t="str">
        <f ca="1">IFERROR(__xludf.DUMMYFUNCTION("""COMPUTED_VALUE"""),"")</f>
        <v/>
      </c>
      <c r="C13491" s="12" t="str">
        <f ca="1">IFERROR(__xludf.DUMMYFUNCTION("""COMPUTED_VALUE"""),"")</f>
        <v/>
      </c>
      <c r="D13491" s="12" t="str">
        <f ca="1">IFERROR(__xludf.DUMMYFUNCTION("""COMPUTED_VALUE"""),"")</f>
        <v/>
      </c>
    </row>
    <row r="13492" spans="2:4" ht="13">
      <c r="B13492" s="12" t="str">
        <f ca="1">IFERROR(__xludf.DUMMYFUNCTION("""COMPUTED_VALUE"""),"")</f>
        <v/>
      </c>
      <c r="C13492" s="12" t="str">
        <f ca="1">IFERROR(__xludf.DUMMYFUNCTION("""COMPUTED_VALUE"""),"")</f>
        <v/>
      </c>
      <c r="D13492" s="12" t="str">
        <f ca="1">IFERROR(__xludf.DUMMYFUNCTION("""COMPUTED_VALUE"""),"")</f>
        <v/>
      </c>
    </row>
    <row r="13493" spans="2:4" ht="13">
      <c r="B13493" s="12" t="str">
        <f ca="1">IFERROR(__xludf.DUMMYFUNCTION("""COMPUTED_VALUE"""),"")</f>
        <v/>
      </c>
      <c r="C13493" s="12" t="str">
        <f ca="1">IFERROR(__xludf.DUMMYFUNCTION("""COMPUTED_VALUE"""),"")</f>
        <v/>
      </c>
      <c r="D13493" s="12" t="str">
        <f ca="1">IFERROR(__xludf.DUMMYFUNCTION("""COMPUTED_VALUE"""),"")</f>
        <v/>
      </c>
    </row>
    <row r="13494" spans="2:4" ht="13">
      <c r="B13494" s="12" t="str">
        <f ca="1">IFERROR(__xludf.DUMMYFUNCTION("""COMPUTED_VALUE"""),"")</f>
        <v/>
      </c>
      <c r="C13494" s="12" t="str">
        <f ca="1">IFERROR(__xludf.DUMMYFUNCTION("""COMPUTED_VALUE"""),"")</f>
        <v/>
      </c>
      <c r="D13494" s="12" t="str">
        <f ca="1">IFERROR(__xludf.DUMMYFUNCTION("""COMPUTED_VALUE"""),"")</f>
        <v/>
      </c>
    </row>
    <row r="13495" spans="2:4" ht="13">
      <c r="B13495" s="12" t="str">
        <f ca="1">IFERROR(__xludf.DUMMYFUNCTION("""COMPUTED_VALUE"""),"")</f>
        <v/>
      </c>
      <c r="C13495" s="12" t="str">
        <f ca="1">IFERROR(__xludf.DUMMYFUNCTION("""COMPUTED_VALUE"""),"")</f>
        <v/>
      </c>
      <c r="D13495" s="12" t="str">
        <f ca="1">IFERROR(__xludf.DUMMYFUNCTION("""COMPUTED_VALUE"""),"")</f>
        <v/>
      </c>
    </row>
    <row r="13496" spans="2:4" ht="13">
      <c r="B13496" s="12" t="str">
        <f ca="1">IFERROR(__xludf.DUMMYFUNCTION("""COMPUTED_VALUE"""),"")</f>
        <v/>
      </c>
      <c r="C13496" s="12" t="str">
        <f ca="1">IFERROR(__xludf.DUMMYFUNCTION("""COMPUTED_VALUE"""),"")</f>
        <v/>
      </c>
      <c r="D13496" s="12" t="str">
        <f ca="1">IFERROR(__xludf.DUMMYFUNCTION("""COMPUTED_VALUE"""),"")</f>
        <v/>
      </c>
    </row>
    <row r="13497" spans="2:4" ht="13">
      <c r="B13497" s="12" t="str">
        <f ca="1">IFERROR(__xludf.DUMMYFUNCTION("""COMPUTED_VALUE"""),"")</f>
        <v/>
      </c>
      <c r="C13497" s="12" t="str">
        <f ca="1">IFERROR(__xludf.DUMMYFUNCTION("""COMPUTED_VALUE"""),"")</f>
        <v/>
      </c>
      <c r="D13497" s="12" t="str">
        <f ca="1">IFERROR(__xludf.DUMMYFUNCTION("""COMPUTED_VALUE"""),"")</f>
        <v/>
      </c>
    </row>
    <row r="13498" spans="2:4" ht="13">
      <c r="B13498" s="12" t="str">
        <f ca="1">IFERROR(__xludf.DUMMYFUNCTION("""COMPUTED_VALUE"""),"")</f>
        <v/>
      </c>
      <c r="C13498" s="12" t="str">
        <f ca="1">IFERROR(__xludf.DUMMYFUNCTION("""COMPUTED_VALUE"""),"")</f>
        <v/>
      </c>
      <c r="D13498" s="12" t="str">
        <f ca="1">IFERROR(__xludf.DUMMYFUNCTION("""COMPUTED_VALUE"""),"")</f>
        <v/>
      </c>
    </row>
    <row r="13499" spans="2:4" ht="13">
      <c r="B13499" s="12" t="str">
        <f ca="1">IFERROR(__xludf.DUMMYFUNCTION("""COMPUTED_VALUE"""),"")</f>
        <v/>
      </c>
      <c r="C13499" s="12" t="str">
        <f ca="1">IFERROR(__xludf.DUMMYFUNCTION("""COMPUTED_VALUE"""),"")</f>
        <v/>
      </c>
      <c r="D13499" s="12" t="str">
        <f ca="1">IFERROR(__xludf.DUMMYFUNCTION("""COMPUTED_VALUE"""),"")</f>
        <v/>
      </c>
    </row>
    <row r="13500" spans="2:4" ht="13">
      <c r="B13500" s="12" t="str">
        <f ca="1">IFERROR(__xludf.DUMMYFUNCTION("""COMPUTED_VALUE"""),"")</f>
        <v/>
      </c>
      <c r="C13500" s="12" t="str">
        <f ca="1">IFERROR(__xludf.DUMMYFUNCTION("""COMPUTED_VALUE"""),"")</f>
        <v/>
      </c>
      <c r="D13500" s="12" t="str">
        <f ca="1">IFERROR(__xludf.DUMMYFUNCTION("""COMPUTED_VALUE"""),"")</f>
        <v/>
      </c>
    </row>
    <row r="13501" spans="2:4" ht="13">
      <c r="B13501" s="12" t="str">
        <f ca="1">IFERROR(__xludf.DUMMYFUNCTION("""COMPUTED_VALUE"""),"")</f>
        <v/>
      </c>
      <c r="C13501" s="12" t="str">
        <f ca="1">IFERROR(__xludf.DUMMYFUNCTION("""COMPUTED_VALUE"""),"")</f>
        <v/>
      </c>
      <c r="D13501" s="12" t="str">
        <f ca="1">IFERROR(__xludf.DUMMYFUNCTION("""COMPUTED_VALUE"""),"")</f>
        <v/>
      </c>
    </row>
    <row r="13502" spans="2:4" ht="13">
      <c r="B13502" s="12" t="str">
        <f ca="1">IFERROR(__xludf.DUMMYFUNCTION("""COMPUTED_VALUE"""),"")</f>
        <v/>
      </c>
      <c r="C13502" s="12" t="str">
        <f ca="1">IFERROR(__xludf.DUMMYFUNCTION("""COMPUTED_VALUE"""),"")</f>
        <v/>
      </c>
      <c r="D13502" s="12" t="str">
        <f ca="1">IFERROR(__xludf.DUMMYFUNCTION("""COMPUTED_VALUE"""),"")</f>
        <v/>
      </c>
    </row>
    <row r="13503" spans="2:4" ht="13">
      <c r="B13503" s="12" t="str">
        <f ca="1">IFERROR(__xludf.DUMMYFUNCTION("""COMPUTED_VALUE"""),"")</f>
        <v/>
      </c>
      <c r="C13503" s="12" t="str">
        <f ca="1">IFERROR(__xludf.DUMMYFUNCTION("""COMPUTED_VALUE"""),"")</f>
        <v/>
      </c>
      <c r="D13503" s="12" t="str">
        <f ca="1">IFERROR(__xludf.DUMMYFUNCTION("""COMPUTED_VALUE"""),"")</f>
        <v/>
      </c>
    </row>
    <row r="13504" spans="2:4" ht="13">
      <c r="B13504" s="12" t="str">
        <f ca="1">IFERROR(__xludf.DUMMYFUNCTION("""COMPUTED_VALUE"""),"")</f>
        <v/>
      </c>
      <c r="C13504" s="12" t="str">
        <f ca="1">IFERROR(__xludf.DUMMYFUNCTION("""COMPUTED_VALUE"""),"")</f>
        <v/>
      </c>
      <c r="D13504" s="12" t="str">
        <f ca="1">IFERROR(__xludf.DUMMYFUNCTION("""COMPUTED_VALUE"""),"")</f>
        <v/>
      </c>
    </row>
    <row r="13505" spans="2:4" ht="13">
      <c r="B13505" s="12" t="str">
        <f ca="1">IFERROR(__xludf.DUMMYFUNCTION("""COMPUTED_VALUE"""),"")</f>
        <v/>
      </c>
      <c r="C13505" s="12" t="str">
        <f ca="1">IFERROR(__xludf.DUMMYFUNCTION("""COMPUTED_VALUE"""),"")</f>
        <v/>
      </c>
      <c r="D13505" s="12" t="str">
        <f ca="1">IFERROR(__xludf.DUMMYFUNCTION("""COMPUTED_VALUE"""),"")</f>
        <v/>
      </c>
    </row>
    <row r="13506" spans="2:4" ht="13">
      <c r="B13506" s="12" t="str">
        <f ca="1">IFERROR(__xludf.DUMMYFUNCTION("""COMPUTED_VALUE"""),"")</f>
        <v/>
      </c>
      <c r="C13506" s="12" t="str">
        <f ca="1">IFERROR(__xludf.DUMMYFUNCTION("""COMPUTED_VALUE"""),"")</f>
        <v/>
      </c>
      <c r="D13506" s="12" t="str">
        <f ca="1">IFERROR(__xludf.DUMMYFUNCTION("""COMPUTED_VALUE"""),"")</f>
        <v/>
      </c>
    </row>
    <row r="13507" spans="2:4" ht="13">
      <c r="B13507" s="12" t="str">
        <f ca="1">IFERROR(__xludf.DUMMYFUNCTION("""COMPUTED_VALUE"""),"")</f>
        <v/>
      </c>
      <c r="C13507" s="12" t="str">
        <f ca="1">IFERROR(__xludf.DUMMYFUNCTION("""COMPUTED_VALUE"""),"")</f>
        <v/>
      </c>
      <c r="D13507" s="12" t="str">
        <f ca="1">IFERROR(__xludf.DUMMYFUNCTION("""COMPUTED_VALUE"""),"")</f>
        <v/>
      </c>
    </row>
    <row r="13508" spans="2:4" ht="13">
      <c r="B13508" s="12" t="str">
        <f ca="1">IFERROR(__xludf.DUMMYFUNCTION("""COMPUTED_VALUE"""),"")</f>
        <v/>
      </c>
      <c r="C13508" s="12" t="str">
        <f ca="1">IFERROR(__xludf.DUMMYFUNCTION("""COMPUTED_VALUE"""),"")</f>
        <v/>
      </c>
      <c r="D13508" s="12" t="str">
        <f ca="1">IFERROR(__xludf.DUMMYFUNCTION("""COMPUTED_VALUE"""),"")</f>
        <v/>
      </c>
    </row>
    <row r="13509" spans="2:4" ht="13">
      <c r="B13509" s="12" t="str">
        <f ca="1">IFERROR(__xludf.DUMMYFUNCTION("""COMPUTED_VALUE"""),"")</f>
        <v/>
      </c>
      <c r="C13509" s="12" t="str">
        <f ca="1">IFERROR(__xludf.DUMMYFUNCTION("""COMPUTED_VALUE"""),"")</f>
        <v/>
      </c>
      <c r="D13509" s="12" t="str">
        <f ca="1">IFERROR(__xludf.DUMMYFUNCTION("""COMPUTED_VALUE"""),"")</f>
        <v/>
      </c>
    </row>
    <row r="13510" spans="2:4" ht="13">
      <c r="B13510" s="12" t="str">
        <f ca="1">IFERROR(__xludf.DUMMYFUNCTION("""COMPUTED_VALUE"""),"")</f>
        <v/>
      </c>
      <c r="C13510" s="12" t="str">
        <f ca="1">IFERROR(__xludf.DUMMYFUNCTION("""COMPUTED_VALUE"""),"")</f>
        <v/>
      </c>
      <c r="D13510" s="12" t="str">
        <f ca="1">IFERROR(__xludf.DUMMYFUNCTION("""COMPUTED_VALUE"""),"")</f>
        <v/>
      </c>
    </row>
    <row r="13511" spans="2:4" ht="13">
      <c r="B13511" s="12" t="str">
        <f ca="1">IFERROR(__xludf.DUMMYFUNCTION("""COMPUTED_VALUE"""),"")</f>
        <v/>
      </c>
      <c r="C13511" s="12" t="str">
        <f ca="1">IFERROR(__xludf.DUMMYFUNCTION("""COMPUTED_VALUE"""),"")</f>
        <v/>
      </c>
      <c r="D13511" s="12" t="str">
        <f ca="1">IFERROR(__xludf.DUMMYFUNCTION("""COMPUTED_VALUE"""),"")</f>
        <v/>
      </c>
    </row>
    <row r="13512" spans="2:4" ht="13">
      <c r="B13512" s="12" t="str">
        <f ca="1">IFERROR(__xludf.DUMMYFUNCTION("""COMPUTED_VALUE"""),"")</f>
        <v/>
      </c>
      <c r="C13512" s="12" t="str">
        <f ca="1">IFERROR(__xludf.DUMMYFUNCTION("""COMPUTED_VALUE"""),"")</f>
        <v/>
      </c>
      <c r="D13512" s="12" t="str">
        <f ca="1">IFERROR(__xludf.DUMMYFUNCTION("""COMPUTED_VALUE"""),"")</f>
        <v/>
      </c>
    </row>
    <row r="13513" spans="2:4" ht="13">
      <c r="B13513" s="12" t="str">
        <f ca="1">IFERROR(__xludf.DUMMYFUNCTION("""COMPUTED_VALUE"""),"")</f>
        <v/>
      </c>
      <c r="C13513" s="12" t="str">
        <f ca="1">IFERROR(__xludf.DUMMYFUNCTION("""COMPUTED_VALUE"""),"")</f>
        <v/>
      </c>
      <c r="D13513" s="12" t="str">
        <f ca="1">IFERROR(__xludf.DUMMYFUNCTION("""COMPUTED_VALUE"""),"")</f>
        <v/>
      </c>
    </row>
    <row r="13514" spans="2:4" ht="13">
      <c r="B13514" s="12" t="str">
        <f ca="1">IFERROR(__xludf.DUMMYFUNCTION("""COMPUTED_VALUE"""),"")</f>
        <v/>
      </c>
      <c r="C13514" s="12" t="str">
        <f ca="1">IFERROR(__xludf.DUMMYFUNCTION("""COMPUTED_VALUE"""),"")</f>
        <v/>
      </c>
      <c r="D13514" s="12" t="str">
        <f ca="1">IFERROR(__xludf.DUMMYFUNCTION("""COMPUTED_VALUE"""),"")</f>
        <v/>
      </c>
    </row>
    <row r="13515" spans="2:4" ht="13">
      <c r="B13515" s="12" t="str">
        <f ca="1">IFERROR(__xludf.DUMMYFUNCTION("""COMPUTED_VALUE"""),"")</f>
        <v/>
      </c>
      <c r="C13515" s="12" t="str">
        <f ca="1">IFERROR(__xludf.DUMMYFUNCTION("""COMPUTED_VALUE"""),"")</f>
        <v/>
      </c>
      <c r="D13515" s="12" t="str">
        <f ca="1">IFERROR(__xludf.DUMMYFUNCTION("""COMPUTED_VALUE"""),"")</f>
        <v/>
      </c>
    </row>
    <row r="13516" spans="2:4" ht="13">
      <c r="B13516" s="12" t="str">
        <f ca="1">IFERROR(__xludf.DUMMYFUNCTION("""COMPUTED_VALUE"""),"")</f>
        <v/>
      </c>
      <c r="C13516" s="12" t="str">
        <f ca="1">IFERROR(__xludf.DUMMYFUNCTION("""COMPUTED_VALUE"""),"")</f>
        <v/>
      </c>
      <c r="D13516" s="12" t="str">
        <f ca="1">IFERROR(__xludf.DUMMYFUNCTION("""COMPUTED_VALUE"""),"")</f>
        <v/>
      </c>
    </row>
    <row r="13517" spans="2:4" ht="13">
      <c r="B13517" s="12" t="str">
        <f ca="1">IFERROR(__xludf.DUMMYFUNCTION("""COMPUTED_VALUE"""),"")</f>
        <v/>
      </c>
      <c r="C13517" s="12" t="str">
        <f ca="1">IFERROR(__xludf.DUMMYFUNCTION("""COMPUTED_VALUE"""),"")</f>
        <v/>
      </c>
      <c r="D13517" s="12" t="str">
        <f ca="1">IFERROR(__xludf.DUMMYFUNCTION("""COMPUTED_VALUE"""),"")</f>
        <v/>
      </c>
    </row>
    <row r="13518" spans="2:4" ht="13">
      <c r="B13518" s="12" t="str">
        <f ca="1">IFERROR(__xludf.DUMMYFUNCTION("""COMPUTED_VALUE"""),"")</f>
        <v/>
      </c>
      <c r="C13518" s="12" t="str">
        <f ca="1">IFERROR(__xludf.DUMMYFUNCTION("""COMPUTED_VALUE"""),"")</f>
        <v/>
      </c>
      <c r="D13518" s="12" t="str">
        <f ca="1">IFERROR(__xludf.DUMMYFUNCTION("""COMPUTED_VALUE"""),"")</f>
        <v/>
      </c>
    </row>
    <row r="13519" spans="2:4" ht="13">
      <c r="B13519" s="12" t="str">
        <f ca="1">IFERROR(__xludf.DUMMYFUNCTION("""COMPUTED_VALUE"""),"")</f>
        <v/>
      </c>
      <c r="C13519" s="12" t="str">
        <f ca="1">IFERROR(__xludf.DUMMYFUNCTION("""COMPUTED_VALUE"""),"")</f>
        <v/>
      </c>
      <c r="D13519" s="12" t="str">
        <f ca="1">IFERROR(__xludf.DUMMYFUNCTION("""COMPUTED_VALUE"""),"")</f>
        <v/>
      </c>
    </row>
    <row r="13520" spans="2:4" ht="13">
      <c r="B13520" s="12" t="str">
        <f ca="1">IFERROR(__xludf.DUMMYFUNCTION("""COMPUTED_VALUE"""),"")</f>
        <v/>
      </c>
      <c r="C13520" s="12" t="str">
        <f ca="1">IFERROR(__xludf.DUMMYFUNCTION("""COMPUTED_VALUE"""),"")</f>
        <v/>
      </c>
      <c r="D13520" s="12" t="str">
        <f ca="1">IFERROR(__xludf.DUMMYFUNCTION("""COMPUTED_VALUE"""),"")</f>
        <v/>
      </c>
    </row>
    <row r="13521" spans="2:4" ht="13">
      <c r="B13521" s="12" t="str">
        <f ca="1">IFERROR(__xludf.DUMMYFUNCTION("""COMPUTED_VALUE"""),"")</f>
        <v/>
      </c>
      <c r="C13521" s="12" t="str">
        <f ca="1">IFERROR(__xludf.DUMMYFUNCTION("""COMPUTED_VALUE"""),"")</f>
        <v/>
      </c>
      <c r="D13521" s="12" t="str">
        <f ca="1">IFERROR(__xludf.DUMMYFUNCTION("""COMPUTED_VALUE"""),"")</f>
        <v/>
      </c>
    </row>
    <row r="13522" spans="2:4" ht="13">
      <c r="B13522" s="12" t="str">
        <f ca="1">IFERROR(__xludf.DUMMYFUNCTION("""COMPUTED_VALUE"""),"")</f>
        <v/>
      </c>
      <c r="C13522" s="12" t="str">
        <f ca="1">IFERROR(__xludf.DUMMYFUNCTION("""COMPUTED_VALUE"""),"")</f>
        <v/>
      </c>
      <c r="D13522" s="12" t="str">
        <f ca="1">IFERROR(__xludf.DUMMYFUNCTION("""COMPUTED_VALUE"""),"")</f>
        <v/>
      </c>
    </row>
    <row r="13523" spans="2:4" ht="13">
      <c r="B13523" s="12" t="str">
        <f ca="1">IFERROR(__xludf.DUMMYFUNCTION("""COMPUTED_VALUE"""),"")</f>
        <v/>
      </c>
      <c r="C13523" s="12" t="str">
        <f ca="1">IFERROR(__xludf.DUMMYFUNCTION("""COMPUTED_VALUE"""),"")</f>
        <v/>
      </c>
      <c r="D13523" s="12" t="str">
        <f ca="1">IFERROR(__xludf.DUMMYFUNCTION("""COMPUTED_VALUE"""),"")</f>
        <v/>
      </c>
    </row>
    <row r="13524" spans="2:4" ht="13">
      <c r="B13524" s="12" t="str">
        <f ca="1">IFERROR(__xludf.DUMMYFUNCTION("""COMPUTED_VALUE"""),"")</f>
        <v/>
      </c>
      <c r="C13524" s="12" t="str">
        <f ca="1">IFERROR(__xludf.DUMMYFUNCTION("""COMPUTED_VALUE"""),"")</f>
        <v/>
      </c>
      <c r="D13524" s="12" t="str">
        <f ca="1">IFERROR(__xludf.DUMMYFUNCTION("""COMPUTED_VALUE"""),"")</f>
        <v/>
      </c>
    </row>
    <row r="13525" spans="2:4" ht="13">
      <c r="B13525" s="12" t="str">
        <f ca="1">IFERROR(__xludf.DUMMYFUNCTION("""COMPUTED_VALUE"""),"")</f>
        <v/>
      </c>
      <c r="C13525" s="12" t="str">
        <f ca="1">IFERROR(__xludf.DUMMYFUNCTION("""COMPUTED_VALUE"""),"")</f>
        <v/>
      </c>
      <c r="D13525" s="12" t="str">
        <f ca="1">IFERROR(__xludf.DUMMYFUNCTION("""COMPUTED_VALUE"""),"")</f>
        <v/>
      </c>
    </row>
    <row r="13526" spans="2:4" ht="13">
      <c r="B13526" s="12" t="str">
        <f ca="1">IFERROR(__xludf.DUMMYFUNCTION("""COMPUTED_VALUE"""),"")</f>
        <v/>
      </c>
      <c r="C13526" s="12" t="str">
        <f ca="1">IFERROR(__xludf.DUMMYFUNCTION("""COMPUTED_VALUE"""),"")</f>
        <v/>
      </c>
      <c r="D13526" s="12" t="str">
        <f ca="1">IFERROR(__xludf.DUMMYFUNCTION("""COMPUTED_VALUE"""),"")</f>
        <v/>
      </c>
    </row>
    <row r="13527" spans="2:4" ht="13">
      <c r="B13527" s="12" t="str">
        <f ca="1">IFERROR(__xludf.DUMMYFUNCTION("""COMPUTED_VALUE"""),"")</f>
        <v/>
      </c>
      <c r="C13527" s="12" t="str">
        <f ca="1">IFERROR(__xludf.DUMMYFUNCTION("""COMPUTED_VALUE"""),"")</f>
        <v/>
      </c>
      <c r="D13527" s="12" t="str">
        <f ca="1">IFERROR(__xludf.DUMMYFUNCTION("""COMPUTED_VALUE"""),"")</f>
        <v/>
      </c>
    </row>
    <row r="13528" spans="2:4" ht="13">
      <c r="B13528" s="12" t="str">
        <f ca="1">IFERROR(__xludf.DUMMYFUNCTION("""COMPUTED_VALUE"""),"")</f>
        <v/>
      </c>
      <c r="C13528" s="12" t="str">
        <f ca="1">IFERROR(__xludf.DUMMYFUNCTION("""COMPUTED_VALUE"""),"")</f>
        <v/>
      </c>
      <c r="D13528" s="12" t="str">
        <f ca="1">IFERROR(__xludf.DUMMYFUNCTION("""COMPUTED_VALUE"""),"")</f>
        <v/>
      </c>
    </row>
    <row r="13529" spans="2:4" ht="13">
      <c r="B13529" s="12" t="str">
        <f ca="1">IFERROR(__xludf.DUMMYFUNCTION("""COMPUTED_VALUE"""),"")</f>
        <v/>
      </c>
      <c r="C13529" s="12" t="str">
        <f ca="1">IFERROR(__xludf.DUMMYFUNCTION("""COMPUTED_VALUE"""),"")</f>
        <v/>
      </c>
      <c r="D13529" s="12" t="str">
        <f ca="1">IFERROR(__xludf.DUMMYFUNCTION("""COMPUTED_VALUE"""),"")</f>
        <v/>
      </c>
    </row>
    <row r="13530" spans="2:4" ht="13">
      <c r="B13530" s="12" t="str">
        <f ca="1">IFERROR(__xludf.DUMMYFUNCTION("""COMPUTED_VALUE"""),"")</f>
        <v/>
      </c>
      <c r="C13530" s="12" t="str">
        <f ca="1">IFERROR(__xludf.DUMMYFUNCTION("""COMPUTED_VALUE"""),"")</f>
        <v/>
      </c>
      <c r="D13530" s="12" t="str">
        <f ca="1">IFERROR(__xludf.DUMMYFUNCTION("""COMPUTED_VALUE"""),"")</f>
        <v/>
      </c>
    </row>
    <row r="13531" spans="2:4" ht="13">
      <c r="B13531" s="12" t="str">
        <f ca="1">IFERROR(__xludf.DUMMYFUNCTION("""COMPUTED_VALUE"""),"")</f>
        <v/>
      </c>
      <c r="C13531" s="12" t="str">
        <f ca="1">IFERROR(__xludf.DUMMYFUNCTION("""COMPUTED_VALUE"""),"")</f>
        <v/>
      </c>
      <c r="D13531" s="12" t="str">
        <f ca="1">IFERROR(__xludf.DUMMYFUNCTION("""COMPUTED_VALUE"""),"")</f>
        <v/>
      </c>
    </row>
    <row r="13532" spans="2:4" ht="13">
      <c r="B13532" s="12" t="str">
        <f ca="1">IFERROR(__xludf.DUMMYFUNCTION("""COMPUTED_VALUE"""),"")</f>
        <v/>
      </c>
      <c r="C13532" s="12" t="str">
        <f ca="1">IFERROR(__xludf.DUMMYFUNCTION("""COMPUTED_VALUE"""),"")</f>
        <v/>
      </c>
      <c r="D13532" s="12" t="str">
        <f ca="1">IFERROR(__xludf.DUMMYFUNCTION("""COMPUTED_VALUE"""),"")</f>
        <v/>
      </c>
    </row>
    <row r="13533" spans="2:4" ht="13">
      <c r="B13533" s="12" t="str">
        <f ca="1">IFERROR(__xludf.DUMMYFUNCTION("""COMPUTED_VALUE"""),"")</f>
        <v/>
      </c>
      <c r="C13533" s="12" t="str">
        <f ca="1">IFERROR(__xludf.DUMMYFUNCTION("""COMPUTED_VALUE"""),"")</f>
        <v/>
      </c>
      <c r="D13533" s="12" t="str">
        <f ca="1">IFERROR(__xludf.DUMMYFUNCTION("""COMPUTED_VALUE"""),"")</f>
        <v/>
      </c>
    </row>
    <row r="13534" spans="2:4" ht="13">
      <c r="B13534" s="12" t="str">
        <f ca="1">IFERROR(__xludf.DUMMYFUNCTION("""COMPUTED_VALUE"""),"")</f>
        <v/>
      </c>
      <c r="C13534" s="12" t="str">
        <f ca="1">IFERROR(__xludf.DUMMYFUNCTION("""COMPUTED_VALUE"""),"")</f>
        <v/>
      </c>
      <c r="D13534" s="12" t="str">
        <f ca="1">IFERROR(__xludf.DUMMYFUNCTION("""COMPUTED_VALUE"""),"")</f>
        <v/>
      </c>
    </row>
    <row r="13535" spans="2:4" ht="13">
      <c r="B13535" s="12" t="str">
        <f ca="1">IFERROR(__xludf.DUMMYFUNCTION("""COMPUTED_VALUE"""),"")</f>
        <v/>
      </c>
      <c r="C13535" s="12" t="str">
        <f ca="1">IFERROR(__xludf.DUMMYFUNCTION("""COMPUTED_VALUE"""),"")</f>
        <v/>
      </c>
      <c r="D13535" s="12" t="str">
        <f ca="1">IFERROR(__xludf.DUMMYFUNCTION("""COMPUTED_VALUE"""),"")</f>
        <v/>
      </c>
    </row>
    <row r="13536" spans="2:4" ht="13">
      <c r="B13536" s="12" t="str">
        <f ca="1">IFERROR(__xludf.DUMMYFUNCTION("""COMPUTED_VALUE"""),"")</f>
        <v/>
      </c>
      <c r="C13536" s="12" t="str">
        <f ca="1">IFERROR(__xludf.DUMMYFUNCTION("""COMPUTED_VALUE"""),"")</f>
        <v/>
      </c>
      <c r="D13536" s="12" t="str">
        <f ca="1">IFERROR(__xludf.DUMMYFUNCTION("""COMPUTED_VALUE"""),"")</f>
        <v/>
      </c>
    </row>
    <row r="13537" spans="2:4" ht="13">
      <c r="B13537" s="12" t="str">
        <f ca="1">IFERROR(__xludf.DUMMYFUNCTION("""COMPUTED_VALUE"""),"")</f>
        <v/>
      </c>
      <c r="C13537" s="12" t="str">
        <f ca="1">IFERROR(__xludf.DUMMYFUNCTION("""COMPUTED_VALUE"""),"")</f>
        <v/>
      </c>
      <c r="D13537" s="12" t="str">
        <f ca="1">IFERROR(__xludf.DUMMYFUNCTION("""COMPUTED_VALUE"""),"")</f>
        <v/>
      </c>
    </row>
    <row r="13538" spans="2:4" ht="13">
      <c r="B13538" s="12" t="str">
        <f ca="1">IFERROR(__xludf.DUMMYFUNCTION("""COMPUTED_VALUE"""),"")</f>
        <v/>
      </c>
      <c r="C13538" s="12" t="str">
        <f ca="1">IFERROR(__xludf.DUMMYFUNCTION("""COMPUTED_VALUE"""),"")</f>
        <v/>
      </c>
      <c r="D13538" s="12" t="str">
        <f ca="1">IFERROR(__xludf.DUMMYFUNCTION("""COMPUTED_VALUE"""),"")</f>
        <v/>
      </c>
    </row>
    <row r="13539" spans="2:4" ht="13">
      <c r="B13539" s="12" t="str">
        <f ca="1">IFERROR(__xludf.DUMMYFUNCTION("""COMPUTED_VALUE"""),"")</f>
        <v/>
      </c>
      <c r="C13539" s="12" t="str">
        <f ca="1">IFERROR(__xludf.DUMMYFUNCTION("""COMPUTED_VALUE"""),"")</f>
        <v/>
      </c>
      <c r="D13539" s="12" t="str">
        <f ca="1">IFERROR(__xludf.DUMMYFUNCTION("""COMPUTED_VALUE"""),"")</f>
        <v/>
      </c>
    </row>
    <row r="13540" spans="2:4" ht="13">
      <c r="B13540" s="12" t="str">
        <f ca="1">IFERROR(__xludf.DUMMYFUNCTION("""COMPUTED_VALUE"""),"")</f>
        <v/>
      </c>
      <c r="C13540" s="12" t="str">
        <f ca="1">IFERROR(__xludf.DUMMYFUNCTION("""COMPUTED_VALUE"""),"")</f>
        <v/>
      </c>
      <c r="D13540" s="12" t="str">
        <f ca="1">IFERROR(__xludf.DUMMYFUNCTION("""COMPUTED_VALUE"""),"")</f>
        <v/>
      </c>
    </row>
    <row r="13541" spans="2:4" ht="13">
      <c r="B13541" s="12" t="str">
        <f ca="1">IFERROR(__xludf.DUMMYFUNCTION("""COMPUTED_VALUE"""),"")</f>
        <v/>
      </c>
      <c r="C13541" s="12" t="str">
        <f ca="1">IFERROR(__xludf.DUMMYFUNCTION("""COMPUTED_VALUE"""),"")</f>
        <v/>
      </c>
      <c r="D13541" s="12" t="str">
        <f ca="1">IFERROR(__xludf.DUMMYFUNCTION("""COMPUTED_VALUE"""),"")</f>
        <v/>
      </c>
    </row>
    <row r="13542" spans="2:4" ht="13">
      <c r="B13542" s="12" t="str">
        <f ca="1">IFERROR(__xludf.DUMMYFUNCTION("""COMPUTED_VALUE"""),"")</f>
        <v/>
      </c>
      <c r="C13542" s="12" t="str">
        <f ca="1">IFERROR(__xludf.DUMMYFUNCTION("""COMPUTED_VALUE"""),"")</f>
        <v/>
      </c>
      <c r="D13542" s="12" t="str">
        <f ca="1">IFERROR(__xludf.DUMMYFUNCTION("""COMPUTED_VALUE"""),"")</f>
        <v/>
      </c>
    </row>
    <row r="13543" spans="2:4" ht="13">
      <c r="B13543" s="12" t="str">
        <f ca="1">IFERROR(__xludf.DUMMYFUNCTION("""COMPUTED_VALUE"""),"")</f>
        <v/>
      </c>
      <c r="C13543" s="12" t="str">
        <f ca="1">IFERROR(__xludf.DUMMYFUNCTION("""COMPUTED_VALUE"""),"")</f>
        <v/>
      </c>
      <c r="D13543" s="12" t="str">
        <f ca="1">IFERROR(__xludf.DUMMYFUNCTION("""COMPUTED_VALUE"""),"")</f>
        <v/>
      </c>
    </row>
    <row r="13544" spans="2:4" ht="13">
      <c r="B13544" s="12" t="str">
        <f ca="1">IFERROR(__xludf.DUMMYFUNCTION("""COMPUTED_VALUE"""),"")</f>
        <v/>
      </c>
      <c r="C13544" s="12" t="str">
        <f ca="1">IFERROR(__xludf.DUMMYFUNCTION("""COMPUTED_VALUE"""),"")</f>
        <v/>
      </c>
      <c r="D13544" s="12" t="str">
        <f ca="1">IFERROR(__xludf.DUMMYFUNCTION("""COMPUTED_VALUE"""),"")</f>
        <v/>
      </c>
    </row>
    <row r="13545" spans="2:4" ht="13">
      <c r="B13545" s="12" t="str">
        <f ca="1">IFERROR(__xludf.DUMMYFUNCTION("""COMPUTED_VALUE"""),"")</f>
        <v/>
      </c>
      <c r="C13545" s="12" t="str">
        <f ca="1">IFERROR(__xludf.DUMMYFUNCTION("""COMPUTED_VALUE"""),"")</f>
        <v/>
      </c>
      <c r="D13545" s="12" t="str">
        <f ca="1">IFERROR(__xludf.DUMMYFUNCTION("""COMPUTED_VALUE"""),"")</f>
        <v/>
      </c>
    </row>
    <row r="13546" spans="2:4" ht="13">
      <c r="B13546" s="12" t="str">
        <f ca="1">IFERROR(__xludf.DUMMYFUNCTION("""COMPUTED_VALUE"""),"")</f>
        <v/>
      </c>
      <c r="C13546" s="12" t="str">
        <f ca="1">IFERROR(__xludf.DUMMYFUNCTION("""COMPUTED_VALUE"""),"")</f>
        <v/>
      </c>
      <c r="D13546" s="12" t="str">
        <f ca="1">IFERROR(__xludf.DUMMYFUNCTION("""COMPUTED_VALUE"""),"")</f>
        <v/>
      </c>
    </row>
    <row r="13547" spans="2:4" ht="13">
      <c r="B13547" s="12" t="str">
        <f ca="1">IFERROR(__xludf.DUMMYFUNCTION("""COMPUTED_VALUE"""),"")</f>
        <v/>
      </c>
      <c r="C13547" s="12" t="str">
        <f ca="1">IFERROR(__xludf.DUMMYFUNCTION("""COMPUTED_VALUE"""),"")</f>
        <v/>
      </c>
      <c r="D13547" s="12" t="str">
        <f ca="1">IFERROR(__xludf.DUMMYFUNCTION("""COMPUTED_VALUE"""),"")</f>
        <v/>
      </c>
    </row>
    <row r="13548" spans="2:4" ht="13">
      <c r="B13548" s="12" t="str">
        <f ca="1">IFERROR(__xludf.DUMMYFUNCTION("""COMPUTED_VALUE"""),"")</f>
        <v/>
      </c>
      <c r="C13548" s="12" t="str">
        <f ca="1">IFERROR(__xludf.DUMMYFUNCTION("""COMPUTED_VALUE"""),"")</f>
        <v/>
      </c>
      <c r="D13548" s="12" t="str">
        <f ca="1">IFERROR(__xludf.DUMMYFUNCTION("""COMPUTED_VALUE"""),"")</f>
        <v/>
      </c>
    </row>
    <row r="13549" spans="2:4" ht="13">
      <c r="B13549" s="12" t="str">
        <f ca="1">IFERROR(__xludf.DUMMYFUNCTION("""COMPUTED_VALUE"""),"")</f>
        <v/>
      </c>
      <c r="C13549" s="12" t="str">
        <f ca="1">IFERROR(__xludf.DUMMYFUNCTION("""COMPUTED_VALUE"""),"")</f>
        <v/>
      </c>
      <c r="D13549" s="12" t="str">
        <f ca="1">IFERROR(__xludf.DUMMYFUNCTION("""COMPUTED_VALUE"""),"")</f>
        <v/>
      </c>
    </row>
    <row r="13550" spans="2:4" ht="13">
      <c r="B13550" s="12" t="str">
        <f ca="1">IFERROR(__xludf.DUMMYFUNCTION("""COMPUTED_VALUE"""),"")</f>
        <v/>
      </c>
      <c r="C13550" s="12" t="str">
        <f ca="1">IFERROR(__xludf.DUMMYFUNCTION("""COMPUTED_VALUE"""),"")</f>
        <v/>
      </c>
      <c r="D13550" s="12" t="str">
        <f ca="1">IFERROR(__xludf.DUMMYFUNCTION("""COMPUTED_VALUE"""),"")</f>
        <v/>
      </c>
    </row>
    <row r="13551" spans="2:4" ht="13">
      <c r="B13551" s="12" t="str">
        <f ca="1">IFERROR(__xludf.DUMMYFUNCTION("""COMPUTED_VALUE"""),"")</f>
        <v/>
      </c>
      <c r="C13551" s="12" t="str">
        <f ca="1">IFERROR(__xludf.DUMMYFUNCTION("""COMPUTED_VALUE"""),"")</f>
        <v/>
      </c>
      <c r="D13551" s="12" t="str">
        <f ca="1">IFERROR(__xludf.DUMMYFUNCTION("""COMPUTED_VALUE"""),"")</f>
        <v/>
      </c>
    </row>
    <row r="13552" spans="2:4" ht="13">
      <c r="B13552" s="12" t="str">
        <f ca="1">IFERROR(__xludf.DUMMYFUNCTION("""COMPUTED_VALUE"""),"")</f>
        <v/>
      </c>
      <c r="C13552" s="12" t="str">
        <f ca="1">IFERROR(__xludf.DUMMYFUNCTION("""COMPUTED_VALUE"""),"")</f>
        <v/>
      </c>
      <c r="D13552" s="12" t="str">
        <f ca="1">IFERROR(__xludf.DUMMYFUNCTION("""COMPUTED_VALUE"""),"")</f>
        <v/>
      </c>
    </row>
    <row r="13553" spans="2:4" ht="13">
      <c r="B13553" s="12" t="str">
        <f ca="1">IFERROR(__xludf.DUMMYFUNCTION("""COMPUTED_VALUE"""),"")</f>
        <v/>
      </c>
      <c r="C13553" s="12" t="str">
        <f ca="1">IFERROR(__xludf.DUMMYFUNCTION("""COMPUTED_VALUE"""),"")</f>
        <v/>
      </c>
      <c r="D13553" s="12" t="str">
        <f ca="1">IFERROR(__xludf.DUMMYFUNCTION("""COMPUTED_VALUE"""),"")</f>
        <v/>
      </c>
    </row>
    <row r="13554" spans="2:4" ht="13">
      <c r="B13554" s="12" t="str">
        <f ca="1">IFERROR(__xludf.DUMMYFUNCTION("""COMPUTED_VALUE"""),"")</f>
        <v/>
      </c>
      <c r="C13554" s="12" t="str">
        <f ca="1">IFERROR(__xludf.DUMMYFUNCTION("""COMPUTED_VALUE"""),"")</f>
        <v/>
      </c>
      <c r="D13554" s="12" t="str">
        <f ca="1">IFERROR(__xludf.DUMMYFUNCTION("""COMPUTED_VALUE"""),"")</f>
        <v/>
      </c>
    </row>
    <row r="13555" spans="2:4" ht="13">
      <c r="B13555" s="12" t="str">
        <f ca="1">IFERROR(__xludf.DUMMYFUNCTION("""COMPUTED_VALUE"""),"")</f>
        <v/>
      </c>
      <c r="C13555" s="12" t="str">
        <f ca="1">IFERROR(__xludf.DUMMYFUNCTION("""COMPUTED_VALUE"""),"")</f>
        <v/>
      </c>
      <c r="D13555" s="12" t="str">
        <f ca="1">IFERROR(__xludf.DUMMYFUNCTION("""COMPUTED_VALUE"""),"")</f>
        <v/>
      </c>
    </row>
    <row r="13556" spans="2:4" ht="13">
      <c r="B13556" s="12" t="str">
        <f ca="1">IFERROR(__xludf.DUMMYFUNCTION("""COMPUTED_VALUE"""),"")</f>
        <v/>
      </c>
      <c r="C13556" s="12" t="str">
        <f ca="1">IFERROR(__xludf.DUMMYFUNCTION("""COMPUTED_VALUE"""),"")</f>
        <v/>
      </c>
      <c r="D13556" s="12" t="str">
        <f ca="1">IFERROR(__xludf.DUMMYFUNCTION("""COMPUTED_VALUE"""),"")</f>
        <v/>
      </c>
    </row>
    <row r="13557" spans="2:4" ht="13">
      <c r="B13557" s="12" t="str">
        <f ca="1">IFERROR(__xludf.DUMMYFUNCTION("""COMPUTED_VALUE"""),"")</f>
        <v/>
      </c>
      <c r="C13557" s="12" t="str">
        <f ca="1">IFERROR(__xludf.DUMMYFUNCTION("""COMPUTED_VALUE"""),"")</f>
        <v/>
      </c>
      <c r="D13557" s="12" t="str">
        <f ca="1">IFERROR(__xludf.DUMMYFUNCTION("""COMPUTED_VALUE"""),"")</f>
        <v/>
      </c>
    </row>
    <row r="13558" spans="2:4" ht="13">
      <c r="B13558" s="12" t="str">
        <f ca="1">IFERROR(__xludf.DUMMYFUNCTION("""COMPUTED_VALUE"""),"")</f>
        <v/>
      </c>
      <c r="C13558" s="12" t="str">
        <f ca="1">IFERROR(__xludf.DUMMYFUNCTION("""COMPUTED_VALUE"""),"")</f>
        <v/>
      </c>
      <c r="D13558" s="12" t="str">
        <f ca="1">IFERROR(__xludf.DUMMYFUNCTION("""COMPUTED_VALUE"""),"")</f>
        <v/>
      </c>
    </row>
    <row r="13559" spans="2:4" ht="13">
      <c r="B13559" s="12" t="str">
        <f ca="1">IFERROR(__xludf.DUMMYFUNCTION("""COMPUTED_VALUE"""),"")</f>
        <v/>
      </c>
      <c r="C13559" s="12" t="str">
        <f ca="1">IFERROR(__xludf.DUMMYFUNCTION("""COMPUTED_VALUE"""),"")</f>
        <v/>
      </c>
      <c r="D13559" s="12" t="str">
        <f ca="1">IFERROR(__xludf.DUMMYFUNCTION("""COMPUTED_VALUE"""),"")</f>
        <v/>
      </c>
    </row>
    <row r="13560" spans="2:4" ht="13">
      <c r="B13560" s="12" t="str">
        <f ca="1">IFERROR(__xludf.DUMMYFUNCTION("""COMPUTED_VALUE"""),"")</f>
        <v/>
      </c>
      <c r="C13560" s="12" t="str">
        <f ca="1">IFERROR(__xludf.DUMMYFUNCTION("""COMPUTED_VALUE"""),"")</f>
        <v/>
      </c>
      <c r="D13560" s="12" t="str">
        <f ca="1">IFERROR(__xludf.DUMMYFUNCTION("""COMPUTED_VALUE"""),"")</f>
        <v/>
      </c>
    </row>
    <row r="13561" spans="2:4" ht="13">
      <c r="B13561" s="12" t="str">
        <f ca="1">IFERROR(__xludf.DUMMYFUNCTION("""COMPUTED_VALUE"""),"")</f>
        <v/>
      </c>
      <c r="C13561" s="12" t="str">
        <f ca="1">IFERROR(__xludf.DUMMYFUNCTION("""COMPUTED_VALUE"""),"")</f>
        <v/>
      </c>
      <c r="D13561" s="12" t="str">
        <f ca="1">IFERROR(__xludf.DUMMYFUNCTION("""COMPUTED_VALUE"""),"")</f>
        <v/>
      </c>
    </row>
    <row r="13562" spans="2:4" ht="13">
      <c r="B13562" s="12" t="str">
        <f ca="1">IFERROR(__xludf.DUMMYFUNCTION("""COMPUTED_VALUE"""),"")</f>
        <v/>
      </c>
      <c r="C13562" s="12" t="str">
        <f ca="1">IFERROR(__xludf.DUMMYFUNCTION("""COMPUTED_VALUE"""),"")</f>
        <v/>
      </c>
      <c r="D13562" s="12" t="str">
        <f ca="1">IFERROR(__xludf.DUMMYFUNCTION("""COMPUTED_VALUE"""),"")</f>
        <v/>
      </c>
    </row>
    <row r="13563" spans="2:4" ht="13">
      <c r="B13563" s="12" t="str">
        <f ca="1">IFERROR(__xludf.DUMMYFUNCTION("""COMPUTED_VALUE"""),"")</f>
        <v/>
      </c>
      <c r="C13563" s="12" t="str">
        <f ca="1">IFERROR(__xludf.DUMMYFUNCTION("""COMPUTED_VALUE"""),"")</f>
        <v/>
      </c>
      <c r="D13563" s="12" t="str">
        <f ca="1">IFERROR(__xludf.DUMMYFUNCTION("""COMPUTED_VALUE"""),"")</f>
        <v/>
      </c>
    </row>
    <row r="13564" spans="2:4" ht="13">
      <c r="B13564" s="12" t="str">
        <f ca="1">IFERROR(__xludf.DUMMYFUNCTION("""COMPUTED_VALUE"""),"")</f>
        <v/>
      </c>
      <c r="C13564" s="12" t="str">
        <f ca="1">IFERROR(__xludf.DUMMYFUNCTION("""COMPUTED_VALUE"""),"")</f>
        <v/>
      </c>
      <c r="D13564" s="12" t="str">
        <f ca="1">IFERROR(__xludf.DUMMYFUNCTION("""COMPUTED_VALUE"""),"")</f>
        <v/>
      </c>
    </row>
    <row r="13565" spans="2:4" ht="13">
      <c r="B13565" s="12" t="str">
        <f ca="1">IFERROR(__xludf.DUMMYFUNCTION("""COMPUTED_VALUE"""),"")</f>
        <v/>
      </c>
      <c r="C13565" s="12" t="str">
        <f ca="1">IFERROR(__xludf.DUMMYFUNCTION("""COMPUTED_VALUE"""),"")</f>
        <v/>
      </c>
      <c r="D13565" s="12" t="str">
        <f ca="1">IFERROR(__xludf.DUMMYFUNCTION("""COMPUTED_VALUE"""),"")</f>
        <v/>
      </c>
    </row>
    <row r="13566" spans="2:4" ht="13">
      <c r="B13566" s="12" t="str">
        <f ca="1">IFERROR(__xludf.DUMMYFUNCTION("""COMPUTED_VALUE"""),"")</f>
        <v/>
      </c>
      <c r="C13566" s="12" t="str">
        <f ca="1">IFERROR(__xludf.DUMMYFUNCTION("""COMPUTED_VALUE"""),"")</f>
        <v/>
      </c>
      <c r="D13566" s="12" t="str">
        <f ca="1">IFERROR(__xludf.DUMMYFUNCTION("""COMPUTED_VALUE"""),"")</f>
        <v/>
      </c>
    </row>
    <row r="13567" spans="2:4" ht="13">
      <c r="B13567" s="12" t="str">
        <f ca="1">IFERROR(__xludf.DUMMYFUNCTION("""COMPUTED_VALUE"""),"")</f>
        <v/>
      </c>
      <c r="C13567" s="12" t="str">
        <f ca="1">IFERROR(__xludf.DUMMYFUNCTION("""COMPUTED_VALUE"""),"")</f>
        <v/>
      </c>
      <c r="D13567" s="12" t="str">
        <f ca="1">IFERROR(__xludf.DUMMYFUNCTION("""COMPUTED_VALUE"""),"")</f>
        <v/>
      </c>
    </row>
    <row r="13568" spans="2:4" ht="13">
      <c r="B13568" s="12" t="str">
        <f ca="1">IFERROR(__xludf.DUMMYFUNCTION("""COMPUTED_VALUE"""),"")</f>
        <v/>
      </c>
      <c r="C13568" s="12" t="str">
        <f ca="1">IFERROR(__xludf.DUMMYFUNCTION("""COMPUTED_VALUE"""),"")</f>
        <v/>
      </c>
      <c r="D13568" s="12" t="str">
        <f ca="1">IFERROR(__xludf.DUMMYFUNCTION("""COMPUTED_VALUE"""),"")</f>
        <v/>
      </c>
    </row>
    <row r="13569" spans="2:4" ht="13">
      <c r="B13569" s="12" t="str">
        <f ca="1">IFERROR(__xludf.DUMMYFUNCTION("""COMPUTED_VALUE"""),"")</f>
        <v/>
      </c>
      <c r="C13569" s="12" t="str">
        <f ca="1">IFERROR(__xludf.DUMMYFUNCTION("""COMPUTED_VALUE"""),"")</f>
        <v/>
      </c>
      <c r="D13569" s="12" t="str">
        <f ca="1">IFERROR(__xludf.DUMMYFUNCTION("""COMPUTED_VALUE"""),"")</f>
        <v/>
      </c>
    </row>
    <row r="13570" spans="2:4" ht="13">
      <c r="B13570" s="12" t="str">
        <f ca="1">IFERROR(__xludf.DUMMYFUNCTION("""COMPUTED_VALUE"""),"")</f>
        <v/>
      </c>
      <c r="C13570" s="12" t="str">
        <f ca="1">IFERROR(__xludf.DUMMYFUNCTION("""COMPUTED_VALUE"""),"")</f>
        <v/>
      </c>
      <c r="D13570" s="12" t="str">
        <f ca="1">IFERROR(__xludf.DUMMYFUNCTION("""COMPUTED_VALUE"""),"")</f>
        <v/>
      </c>
    </row>
    <row r="13571" spans="2:4" ht="13">
      <c r="B13571" s="12" t="str">
        <f ca="1">IFERROR(__xludf.DUMMYFUNCTION("""COMPUTED_VALUE"""),"")</f>
        <v/>
      </c>
      <c r="C13571" s="12" t="str">
        <f ca="1">IFERROR(__xludf.DUMMYFUNCTION("""COMPUTED_VALUE"""),"")</f>
        <v/>
      </c>
      <c r="D13571" s="12" t="str">
        <f ca="1">IFERROR(__xludf.DUMMYFUNCTION("""COMPUTED_VALUE"""),"")</f>
        <v/>
      </c>
    </row>
    <row r="13572" spans="2:4" ht="13">
      <c r="B13572" s="12" t="str">
        <f ca="1">IFERROR(__xludf.DUMMYFUNCTION("""COMPUTED_VALUE"""),"")</f>
        <v/>
      </c>
      <c r="C13572" s="12" t="str">
        <f ca="1">IFERROR(__xludf.DUMMYFUNCTION("""COMPUTED_VALUE"""),"")</f>
        <v/>
      </c>
      <c r="D13572" s="12" t="str">
        <f ca="1">IFERROR(__xludf.DUMMYFUNCTION("""COMPUTED_VALUE"""),"")</f>
        <v/>
      </c>
    </row>
    <row r="13573" spans="2:4" ht="13">
      <c r="B13573" s="12" t="str">
        <f ca="1">IFERROR(__xludf.DUMMYFUNCTION("""COMPUTED_VALUE"""),"")</f>
        <v/>
      </c>
      <c r="C13573" s="12" t="str">
        <f ca="1">IFERROR(__xludf.DUMMYFUNCTION("""COMPUTED_VALUE"""),"")</f>
        <v/>
      </c>
      <c r="D13573" s="12" t="str">
        <f ca="1">IFERROR(__xludf.DUMMYFUNCTION("""COMPUTED_VALUE"""),"")</f>
        <v/>
      </c>
    </row>
    <row r="13574" spans="2:4" ht="13">
      <c r="B13574" s="12" t="str">
        <f ca="1">IFERROR(__xludf.DUMMYFUNCTION("""COMPUTED_VALUE"""),"")</f>
        <v/>
      </c>
      <c r="C13574" s="12" t="str">
        <f ca="1">IFERROR(__xludf.DUMMYFUNCTION("""COMPUTED_VALUE"""),"")</f>
        <v/>
      </c>
      <c r="D13574" s="12" t="str">
        <f ca="1">IFERROR(__xludf.DUMMYFUNCTION("""COMPUTED_VALUE"""),"")</f>
        <v/>
      </c>
    </row>
    <row r="13575" spans="2:4" ht="13">
      <c r="B13575" s="12" t="str">
        <f ca="1">IFERROR(__xludf.DUMMYFUNCTION("""COMPUTED_VALUE"""),"")</f>
        <v/>
      </c>
      <c r="C13575" s="12" t="str">
        <f ca="1">IFERROR(__xludf.DUMMYFUNCTION("""COMPUTED_VALUE"""),"")</f>
        <v/>
      </c>
      <c r="D13575" s="12" t="str">
        <f ca="1">IFERROR(__xludf.DUMMYFUNCTION("""COMPUTED_VALUE"""),"")</f>
        <v/>
      </c>
    </row>
    <row r="13576" spans="2:4" ht="13">
      <c r="B13576" s="12" t="str">
        <f ca="1">IFERROR(__xludf.DUMMYFUNCTION("""COMPUTED_VALUE"""),"")</f>
        <v/>
      </c>
      <c r="C13576" s="12" t="str">
        <f ca="1">IFERROR(__xludf.DUMMYFUNCTION("""COMPUTED_VALUE"""),"")</f>
        <v/>
      </c>
      <c r="D13576" s="12" t="str">
        <f ca="1">IFERROR(__xludf.DUMMYFUNCTION("""COMPUTED_VALUE"""),"")</f>
        <v/>
      </c>
    </row>
    <row r="13577" spans="2:4" ht="13">
      <c r="B13577" s="12" t="str">
        <f ca="1">IFERROR(__xludf.DUMMYFUNCTION("""COMPUTED_VALUE"""),"")</f>
        <v/>
      </c>
      <c r="C13577" s="12" t="str">
        <f ca="1">IFERROR(__xludf.DUMMYFUNCTION("""COMPUTED_VALUE"""),"")</f>
        <v/>
      </c>
      <c r="D13577" s="12" t="str">
        <f ca="1">IFERROR(__xludf.DUMMYFUNCTION("""COMPUTED_VALUE"""),"")</f>
        <v/>
      </c>
    </row>
    <row r="13578" spans="2:4" ht="13">
      <c r="B13578" s="12" t="str">
        <f ca="1">IFERROR(__xludf.DUMMYFUNCTION("""COMPUTED_VALUE"""),"")</f>
        <v/>
      </c>
      <c r="C13578" s="12" t="str">
        <f ca="1">IFERROR(__xludf.DUMMYFUNCTION("""COMPUTED_VALUE"""),"")</f>
        <v/>
      </c>
      <c r="D13578" s="12" t="str">
        <f ca="1">IFERROR(__xludf.DUMMYFUNCTION("""COMPUTED_VALUE"""),"")</f>
        <v/>
      </c>
    </row>
    <row r="13579" spans="2:4" ht="13">
      <c r="B13579" s="12" t="str">
        <f ca="1">IFERROR(__xludf.DUMMYFUNCTION("""COMPUTED_VALUE"""),"")</f>
        <v/>
      </c>
      <c r="C13579" s="12" t="str">
        <f ca="1">IFERROR(__xludf.DUMMYFUNCTION("""COMPUTED_VALUE"""),"")</f>
        <v/>
      </c>
      <c r="D13579" s="12" t="str">
        <f ca="1">IFERROR(__xludf.DUMMYFUNCTION("""COMPUTED_VALUE"""),"")</f>
        <v/>
      </c>
    </row>
    <row r="13580" spans="2:4" ht="13">
      <c r="B13580" s="12" t="str">
        <f ca="1">IFERROR(__xludf.DUMMYFUNCTION("""COMPUTED_VALUE"""),"")</f>
        <v/>
      </c>
      <c r="C13580" s="12" t="str">
        <f ca="1">IFERROR(__xludf.DUMMYFUNCTION("""COMPUTED_VALUE"""),"")</f>
        <v/>
      </c>
      <c r="D13580" s="12" t="str">
        <f ca="1">IFERROR(__xludf.DUMMYFUNCTION("""COMPUTED_VALUE"""),"")</f>
        <v/>
      </c>
    </row>
    <row r="13581" spans="2:4" ht="13">
      <c r="B13581" s="12" t="str">
        <f ca="1">IFERROR(__xludf.DUMMYFUNCTION("""COMPUTED_VALUE"""),"")</f>
        <v/>
      </c>
      <c r="C13581" s="12" t="str">
        <f ca="1">IFERROR(__xludf.DUMMYFUNCTION("""COMPUTED_VALUE"""),"")</f>
        <v/>
      </c>
      <c r="D13581" s="12" t="str">
        <f ca="1">IFERROR(__xludf.DUMMYFUNCTION("""COMPUTED_VALUE"""),"")</f>
        <v/>
      </c>
    </row>
    <row r="13582" spans="2:4" ht="13">
      <c r="B13582" s="12" t="str">
        <f ca="1">IFERROR(__xludf.DUMMYFUNCTION("""COMPUTED_VALUE"""),"")</f>
        <v/>
      </c>
      <c r="C13582" s="12" t="str">
        <f ca="1">IFERROR(__xludf.DUMMYFUNCTION("""COMPUTED_VALUE"""),"")</f>
        <v/>
      </c>
      <c r="D13582" s="12" t="str">
        <f ca="1">IFERROR(__xludf.DUMMYFUNCTION("""COMPUTED_VALUE"""),"")</f>
        <v/>
      </c>
    </row>
    <row r="13583" spans="2:4" ht="13">
      <c r="B13583" s="12" t="str">
        <f ca="1">IFERROR(__xludf.DUMMYFUNCTION("""COMPUTED_VALUE"""),"")</f>
        <v/>
      </c>
      <c r="C13583" s="12" t="str">
        <f ca="1">IFERROR(__xludf.DUMMYFUNCTION("""COMPUTED_VALUE"""),"")</f>
        <v/>
      </c>
      <c r="D13583" s="12" t="str">
        <f ca="1">IFERROR(__xludf.DUMMYFUNCTION("""COMPUTED_VALUE"""),"")</f>
        <v/>
      </c>
    </row>
    <row r="13584" spans="2:4" ht="13">
      <c r="B13584" s="12" t="str">
        <f ca="1">IFERROR(__xludf.DUMMYFUNCTION("""COMPUTED_VALUE"""),"")</f>
        <v/>
      </c>
      <c r="C13584" s="12" t="str">
        <f ca="1">IFERROR(__xludf.DUMMYFUNCTION("""COMPUTED_VALUE"""),"")</f>
        <v/>
      </c>
      <c r="D13584" s="12" t="str">
        <f ca="1">IFERROR(__xludf.DUMMYFUNCTION("""COMPUTED_VALUE"""),"")</f>
        <v/>
      </c>
    </row>
    <row r="13585" spans="2:4" ht="13">
      <c r="B13585" s="12" t="str">
        <f ca="1">IFERROR(__xludf.DUMMYFUNCTION("""COMPUTED_VALUE"""),"")</f>
        <v/>
      </c>
      <c r="C13585" s="12" t="str">
        <f ca="1">IFERROR(__xludf.DUMMYFUNCTION("""COMPUTED_VALUE"""),"")</f>
        <v/>
      </c>
      <c r="D13585" s="12" t="str">
        <f ca="1">IFERROR(__xludf.DUMMYFUNCTION("""COMPUTED_VALUE"""),"")</f>
        <v/>
      </c>
    </row>
    <row r="13586" spans="2:4" ht="13">
      <c r="B13586" s="12" t="str">
        <f ca="1">IFERROR(__xludf.DUMMYFUNCTION("""COMPUTED_VALUE"""),"")</f>
        <v/>
      </c>
      <c r="C13586" s="12" t="str">
        <f ca="1">IFERROR(__xludf.DUMMYFUNCTION("""COMPUTED_VALUE"""),"")</f>
        <v/>
      </c>
      <c r="D13586" s="12" t="str">
        <f ca="1">IFERROR(__xludf.DUMMYFUNCTION("""COMPUTED_VALUE"""),"")</f>
        <v/>
      </c>
    </row>
    <row r="13587" spans="2:4" ht="13">
      <c r="B13587" s="12" t="str">
        <f ca="1">IFERROR(__xludf.DUMMYFUNCTION("""COMPUTED_VALUE"""),"")</f>
        <v/>
      </c>
      <c r="C13587" s="12" t="str">
        <f ca="1">IFERROR(__xludf.DUMMYFUNCTION("""COMPUTED_VALUE"""),"")</f>
        <v/>
      </c>
      <c r="D13587" s="12" t="str">
        <f ca="1">IFERROR(__xludf.DUMMYFUNCTION("""COMPUTED_VALUE"""),"")</f>
        <v/>
      </c>
    </row>
    <row r="13588" spans="2:4" ht="13">
      <c r="B13588" s="12" t="str">
        <f ca="1">IFERROR(__xludf.DUMMYFUNCTION("""COMPUTED_VALUE"""),"")</f>
        <v/>
      </c>
      <c r="C13588" s="12" t="str">
        <f ca="1">IFERROR(__xludf.DUMMYFUNCTION("""COMPUTED_VALUE"""),"")</f>
        <v/>
      </c>
      <c r="D13588" s="12" t="str">
        <f ca="1">IFERROR(__xludf.DUMMYFUNCTION("""COMPUTED_VALUE"""),"")</f>
        <v/>
      </c>
    </row>
    <row r="13589" spans="2:4" ht="13">
      <c r="B13589" s="12" t="str">
        <f ca="1">IFERROR(__xludf.DUMMYFUNCTION("""COMPUTED_VALUE"""),"")</f>
        <v/>
      </c>
      <c r="C13589" s="12" t="str">
        <f ca="1">IFERROR(__xludf.DUMMYFUNCTION("""COMPUTED_VALUE"""),"")</f>
        <v/>
      </c>
      <c r="D13589" s="12" t="str">
        <f ca="1">IFERROR(__xludf.DUMMYFUNCTION("""COMPUTED_VALUE"""),"")</f>
        <v/>
      </c>
    </row>
    <row r="13590" spans="2:4" ht="13">
      <c r="B13590" s="12" t="str">
        <f ca="1">IFERROR(__xludf.DUMMYFUNCTION("""COMPUTED_VALUE"""),"")</f>
        <v/>
      </c>
      <c r="C13590" s="12" t="str">
        <f ca="1">IFERROR(__xludf.DUMMYFUNCTION("""COMPUTED_VALUE"""),"")</f>
        <v/>
      </c>
      <c r="D13590" s="12" t="str">
        <f ca="1">IFERROR(__xludf.DUMMYFUNCTION("""COMPUTED_VALUE"""),"")</f>
        <v/>
      </c>
    </row>
    <row r="13591" spans="2:4" ht="13">
      <c r="B13591" s="12" t="str">
        <f ca="1">IFERROR(__xludf.DUMMYFUNCTION("""COMPUTED_VALUE"""),"")</f>
        <v/>
      </c>
      <c r="C13591" s="12" t="str">
        <f ca="1">IFERROR(__xludf.DUMMYFUNCTION("""COMPUTED_VALUE"""),"")</f>
        <v/>
      </c>
      <c r="D13591" s="12" t="str">
        <f ca="1">IFERROR(__xludf.DUMMYFUNCTION("""COMPUTED_VALUE"""),"")</f>
        <v/>
      </c>
    </row>
    <row r="13592" spans="2:4" ht="13">
      <c r="B13592" s="12" t="str">
        <f ca="1">IFERROR(__xludf.DUMMYFUNCTION("""COMPUTED_VALUE"""),"")</f>
        <v/>
      </c>
      <c r="C13592" s="12" t="str">
        <f ca="1">IFERROR(__xludf.DUMMYFUNCTION("""COMPUTED_VALUE"""),"")</f>
        <v/>
      </c>
      <c r="D13592" s="12" t="str">
        <f ca="1">IFERROR(__xludf.DUMMYFUNCTION("""COMPUTED_VALUE"""),"")</f>
        <v/>
      </c>
    </row>
    <row r="13593" spans="2:4" ht="13">
      <c r="B13593" s="12" t="str">
        <f ca="1">IFERROR(__xludf.DUMMYFUNCTION("""COMPUTED_VALUE"""),"")</f>
        <v/>
      </c>
      <c r="C13593" s="12" t="str">
        <f ca="1">IFERROR(__xludf.DUMMYFUNCTION("""COMPUTED_VALUE"""),"")</f>
        <v/>
      </c>
      <c r="D13593" s="12" t="str">
        <f ca="1">IFERROR(__xludf.DUMMYFUNCTION("""COMPUTED_VALUE"""),"")</f>
        <v/>
      </c>
    </row>
    <row r="13594" spans="2:4" ht="13">
      <c r="B13594" s="12" t="str">
        <f ca="1">IFERROR(__xludf.DUMMYFUNCTION("""COMPUTED_VALUE"""),"")</f>
        <v/>
      </c>
      <c r="C13594" s="12" t="str">
        <f ca="1">IFERROR(__xludf.DUMMYFUNCTION("""COMPUTED_VALUE"""),"")</f>
        <v/>
      </c>
      <c r="D13594" s="12" t="str">
        <f ca="1">IFERROR(__xludf.DUMMYFUNCTION("""COMPUTED_VALUE"""),"")</f>
        <v/>
      </c>
    </row>
    <row r="13595" spans="2:4" ht="13">
      <c r="B13595" s="12" t="str">
        <f ca="1">IFERROR(__xludf.DUMMYFUNCTION("""COMPUTED_VALUE"""),"")</f>
        <v/>
      </c>
      <c r="C13595" s="12" t="str">
        <f ca="1">IFERROR(__xludf.DUMMYFUNCTION("""COMPUTED_VALUE"""),"")</f>
        <v/>
      </c>
      <c r="D13595" s="12" t="str">
        <f ca="1">IFERROR(__xludf.DUMMYFUNCTION("""COMPUTED_VALUE"""),"")</f>
        <v/>
      </c>
    </row>
    <row r="13596" spans="2:4" ht="13">
      <c r="B13596" s="12" t="str">
        <f ca="1">IFERROR(__xludf.DUMMYFUNCTION("""COMPUTED_VALUE"""),"")</f>
        <v/>
      </c>
      <c r="C13596" s="12" t="str">
        <f ca="1">IFERROR(__xludf.DUMMYFUNCTION("""COMPUTED_VALUE"""),"")</f>
        <v/>
      </c>
      <c r="D13596" s="12" t="str">
        <f ca="1">IFERROR(__xludf.DUMMYFUNCTION("""COMPUTED_VALUE"""),"")</f>
        <v/>
      </c>
    </row>
    <row r="13597" spans="2:4" ht="13">
      <c r="B13597" s="12" t="str">
        <f ca="1">IFERROR(__xludf.DUMMYFUNCTION("""COMPUTED_VALUE"""),"")</f>
        <v/>
      </c>
      <c r="C13597" s="12" t="str">
        <f ca="1">IFERROR(__xludf.DUMMYFUNCTION("""COMPUTED_VALUE"""),"")</f>
        <v/>
      </c>
      <c r="D13597" s="12" t="str">
        <f ca="1">IFERROR(__xludf.DUMMYFUNCTION("""COMPUTED_VALUE"""),"")</f>
        <v/>
      </c>
    </row>
    <row r="13598" spans="2:4" ht="13">
      <c r="B13598" s="12" t="str">
        <f ca="1">IFERROR(__xludf.DUMMYFUNCTION("""COMPUTED_VALUE"""),"")</f>
        <v/>
      </c>
      <c r="C13598" s="12" t="str">
        <f ca="1">IFERROR(__xludf.DUMMYFUNCTION("""COMPUTED_VALUE"""),"")</f>
        <v/>
      </c>
      <c r="D13598" s="12" t="str">
        <f ca="1">IFERROR(__xludf.DUMMYFUNCTION("""COMPUTED_VALUE"""),"")</f>
        <v/>
      </c>
    </row>
    <row r="13599" spans="2:4" ht="13">
      <c r="B13599" s="12" t="str">
        <f ca="1">IFERROR(__xludf.DUMMYFUNCTION("""COMPUTED_VALUE"""),"")</f>
        <v/>
      </c>
      <c r="C13599" s="12" t="str">
        <f ca="1">IFERROR(__xludf.DUMMYFUNCTION("""COMPUTED_VALUE"""),"")</f>
        <v/>
      </c>
      <c r="D13599" s="12" t="str">
        <f ca="1">IFERROR(__xludf.DUMMYFUNCTION("""COMPUTED_VALUE"""),"")</f>
        <v/>
      </c>
    </row>
    <row r="13600" spans="2:4" ht="13">
      <c r="B13600" s="12" t="str">
        <f ca="1">IFERROR(__xludf.DUMMYFUNCTION("""COMPUTED_VALUE"""),"")</f>
        <v/>
      </c>
      <c r="C13600" s="12" t="str">
        <f ca="1">IFERROR(__xludf.DUMMYFUNCTION("""COMPUTED_VALUE"""),"")</f>
        <v/>
      </c>
      <c r="D13600" s="12" t="str">
        <f ca="1">IFERROR(__xludf.DUMMYFUNCTION("""COMPUTED_VALUE"""),"")</f>
        <v/>
      </c>
    </row>
    <row r="13601" spans="2:4" ht="13">
      <c r="B13601" s="12" t="str">
        <f ca="1">IFERROR(__xludf.DUMMYFUNCTION("""COMPUTED_VALUE"""),"")</f>
        <v/>
      </c>
      <c r="C13601" s="12" t="str">
        <f ca="1">IFERROR(__xludf.DUMMYFUNCTION("""COMPUTED_VALUE"""),"")</f>
        <v/>
      </c>
      <c r="D13601" s="12" t="str">
        <f ca="1">IFERROR(__xludf.DUMMYFUNCTION("""COMPUTED_VALUE"""),"")</f>
        <v/>
      </c>
    </row>
    <row r="13602" spans="2:4" ht="13">
      <c r="B13602" s="12" t="str">
        <f ca="1">IFERROR(__xludf.DUMMYFUNCTION("""COMPUTED_VALUE"""),"")</f>
        <v/>
      </c>
      <c r="C13602" s="12" t="str">
        <f ca="1">IFERROR(__xludf.DUMMYFUNCTION("""COMPUTED_VALUE"""),"")</f>
        <v/>
      </c>
      <c r="D13602" s="12" t="str">
        <f ca="1">IFERROR(__xludf.DUMMYFUNCTION("""COMPUTED_VALUE"""),"")</f>
        <v/>
      </c>
    </row>
    <row r="13603" spans="2:4" ht="13">
      <c r="B13603" s="12" t="str">
        <f ca="1">IFERROR(__xludf.DUMMYFUNCTION("""COMPUTED_VALUE"""),"")</f>
        <v/>
      </c>
      <c r="C13603" s="12" t="str">
        <f ca="1">IFERROR(__xludf.DUMMYFUNCTION("""COMPUTED_VALUE"""),"")</f>
        <v/>
      </c>
      <c r="D13603" s="12" t="str">
        <f ca="1">IFERROR(__xludf.DUMMYFUNCTION("""COMPUTED_VALUE"""),"")</f>
        <v/>
      </c>
    </row>
    <row r="13604" spans="2:4" ht="13">
      <c r="B13604" s="12" t="str">
        <f ca="1">IFERROR(__xludf.DUMMYFUNCTION("""COMPUTED_VALUE"""),"")</f>
        <v/>
      </c>
      <c r="C13604" s="12" t="str">
        <f ca="1">IFERROR(__xludf.DUMMYFUNCTION("""COMPUTED_VALUE"""),"")</f>
        <v/>
      </c>
      <c r="D13604" s="12" t="str">
        <f ca="1">IFERROR(__xludf.DUMMYFUNCTION("""COMPUTED_VALUE"""),"")</f>
        <v/>
      </c>
    </row>
    <row r="13605" spans="2:4" ht="13">
      <c r="B13605" s="12" t="str">
        <f ca="1">IFERROR(__xludf.DUMMYFUNCTION("""COMPUTED_VALUE"""),"")</f>
        <v/>
      </c>
      <c r="C13605" s="12" t="str">
        <f ca="1">IFERROR(__xludf.DUMMYFUNCTION("""COMPUTED_VALUE"""),"")</f>
        <v/>
      </c>
      <c r="D13605" s="12" t="str">
        <f ca="1">IFERROR(__xludf.DUMMYFUNCTION("""COMPUTED_VALUE"""),"")</f>
        <v/>
      </c>
    </row>
    <row r="13606" spans="2:4" ht="13">
      <c r="B13606" s="12" t="str">
        <f ca="1">IFERROR(__xludf.DUMMYFUNCTION("""COMPUTED_VALUE"""),"")</f>
        <v/>
      </c>
      <c r="C13606" s="12" t="str">
        <f ca="1">IFERROR(__xludf.DUMMYFUNCTION("""COMPUTED_VALUE"""),"")</f>
        <v/>
      </c>
      <c r="D13606" s="12" t="str">
        <f ca="1">IFERROR(__xludf.DUMMYFUNCTION("""COMPUTED_VALUE"""),"")</f>
        <v/>
      </c>
    </row>
    <row r="13607" spans="2:4" ht="13">
      <c r="B13607" s="12" t="str">
        <f ca="1">IFERROR(__xludf.DUMMYFUNCTION("""COMPUTED_VALUE"""),"")</f>
        <v/>
      </c>
      <c r="C13607" s="12" t="str">
        <f ca="1">IFERROR(__xludf.DUMMYFUNCTION("""COMPUTED_VALUE"""),"")</f>
        <v/>
      </c>
      <c r="D13607" s="12" t="str">
        <f ca="1">IFERROR(__xludf.DUMMYFUNCTION("""COMPUTED_VALUE"""),"")</f>
        <v/>
      </c>
    </row>
    <row r="13608" spans="2:4" ht="13">
      <c r="B13608" s="12" t="str">
        <f ca="1">IFERROR(__xludf.DUMMYFUNCTION("""COMPUTED_VALUE"""),"")</f>
        <v/>
      </c>
      <c r="C13608" s="12" t="str">
        <f ca="1">IFERROR(__xludf.DUMMYFUNCTION("""COMPUTED_VALUE"""),"")</f>
        <v/>
      </c>
      <c r="D13608" s="12" t="str">
        <f ca="1">IFERROR(__xludf.DUMMYFUNCTION("""COMPUTED_VALUE"""),"")</f>
        <v/>
      </c>
    </row>
    <row r="13609" spans="2:4" ht="13">
      <c r="B13609" s="12" t="str">
        <f ca="1">IFERROR(__xludf.DUMMYFUNCTION("""COMPUTED_VALUE"""),"")</f>
        <v/>
      </c>
      <c r="C13609" s="12" t="str">
        <f ca="1">IFERROR(__xludf.DUMMYFUNCTION("""COMPUTED_VALUE"""),"")</f>
        <v/>
      </c>
      <c r="D13609" s="12" t="str">
        <f ca="1">IFERROR(__xludf.DUMMYFUNCTION("""COMPUTED_VALUE"""),"")</f>
        <v/>
      </c>
    </row>
    <row r="13610" spans="2:4" ht="13">
      <c r="B13610" s="12" t="str">
        <f ca="1">IFERROR(__xludf.DUMMYFUNCTION("""COMPUTED_VALUE"""),"")</f>
        <v/>
      </c>
      <c r="C13610" s="12" t="str">
        <f ca="1">IFERROR(__xludf.DUMMYFUNCTION("""COMPUTED_VALUE"""),"")</f>
        <v/>
      </c>
      <c r="D13610" s="12" t="str">
        <f ca="1">IFERROR(__xludf.DUMMYFUNCTION("""COMPUTED_VALUE"""),"")</f>
        <v/>
      </c>
    </row>
    <row r="13611" spans="2:4" ht="13">
      <c r="B13611" s="12" t="str">
        <f ca="1">IFERROR(__xludf.DUMMYFUNCTION("""COMPUTED_VALUE"""),"")</f>
        <v/>
      </c>
      <c r="C13611" s="12" t="str">
        <f ca="1">IFERROR(__xludf.DUMMYFUNCTION("""COMPUTED_VALUE"""),"")</f>
        <v/>
      </c>
      <c r="D13611" s="12" t="str">
        <f ca="1">IFERROR(__xludf.DUMMYFUNCTION("""COMPUTED_VALUE"""),"")</f>
        <v/>
      </c>
    </row>
    <row r="13612" spans="2:4" ht="13">
      <c r="B13612" s="12" t="str">
        <f ca="1">IFERROR(__xludf.DUMMYFUNCTION("""COMPUTED_VALUE"""),"")</f>
        <v/>
      </c>
      <c r="C13612" s="12" t="str">
        <f ca="1">IFERROR(__xludf.DUMMYFUNCTION("""COMPUTED_VALUE"""),"")</f>
        <v/>
      </c>
      <c r="D13612" s="12" t="str">
        <f ca="1">IFERROR(__xludf.DUMMYFUNCTION("""COMPUTED_VALUE"""),"")</f>
        <v/>
      </c>
    </row>
    <row r="13613" spans="2:4" ht="13">
      <c r="B13613" s="12" t="str">
        <f ca="1">IFERROR(__xludf.DUMMYFUNCTION("""COMPUTED_VALUE"""),"")</f>
        <v/>
      </c>
      <c r="C13613" s="12" t="str">
        <f ca="1">IFERROR(__xludf.DUMMYFUNCTION("""COMPUTED_VALUE"""),"")</f>
        <v/>
      </c>
      <c r="D13613" s="12" t="str">
        <f ca="1">IFERROR(__xludf.DUMMYFUNCTION("""COMPUTED_VALUE"""),"")</f>
        <v/>
      </c>
    </row>
    <row r="13614" spans="2:4" ht="13">
      <c r="B13614" s="12" t="str">
        <f ca="1">IFERROR(__xludf.DUMMYFUNCTION("""COMPUTED_VALUE"""),"")</f>
        <v/>
      </c>
      <c r="C13614" s="12" t="str">
        <f ca="1">IFERROR(__xludf.DUMMYFUNCTION("""COMPUTED_VALUE"""),"")</f>
        <v/>
      </c>
      <c r="D13614" s="12" t="str">
        <f ca="1">IFERROR(__xludf.DUMMYFUNCTION("""COMPUTED_VALUE"""),"")</f>
        <v/>
      </c>
    </row>
    <row r="13615" spans="2:4" ht="13">
      <c r="B13615" s="12" t="str">
        <f ca="1">IFERROR(__xludf.DUMMYFUNCTION("""COMPUTED_VALUE"""),"")</f>
        <v/>
      </c>
      <c r="C13615" s="12" t="str">
        <f ca="1">IFERROR(__xludf.DUMMYFUNCTION("""COMPUTED_VALUE"""),"")</f>
        <v/>
      </c>
      <c r="D13615" s="12" t="str">
        <f ca="1">IFERROR(__xludf.DUMMYFUNCTION("""COMPUTED_VALUE"""),"")</f>
        <v/>
      </c>
    </row>
    <row r="13616" spans="2:4" ht="13">
      <c r="B13616" s="12" t="str">
        <f ca="1">IFERROR(__xludf.DUMMYFUNCTION("""COMPUTED_VALUE"""),"")</f>
        <v/>
      </c>
      <c r="C13616" s="12" t="str">
        <f ca="1">IFERROR(__xludf.DUMMYFUNCTION("""COMPUTED_VALUE"""),"")</f>
        <v/>
      </c>
      <c r="D13616" s="12" t="str">
        <f ca="1">IFERROR(__xludf.DUMMYFUNCTION("""COMPUTED_VALUE"""),"")</f>
        <v/>
      </c>
    </row>
    <row r="13617" spans="2:4" ht="13">
      <c r="B13617" s="12" t="str">
        <f ca="1">IFERROR(__xludf.DUMMYFUNCTION("""COMPUTED_VALUE"""),"")</f>
        <v/>
      </c>
      <c r="C13617" s="12" t="str">
        <f ca="1">IFERROR(__xludf.DUMMYFUNCTION("""COMPUTED_VALUE"""),"")</f>
        <v/>
      </c>
      <c r="D13617" s="12" t="str">
        <f ca="1">IFERROR(__xludf.DUMMYFUNCTION("""COMPUTED_VALUE"""),"")</f>
        <v/>
      </c>
    </row>
    <row r="13618" spans="2:4" ht="13">
      <c r="B13618" s="12" t="str">
        <f ca="1">IFERROR(__xludf.DUMMYFUNCTION("""COMPUTED_VALUE"""),"")</f>
        <v/>
      </c>
      <c r="C13618" s="12" t="str">
        <f ca="1">IFERROR(__xludf.DUMMYFUNCTION("""COMPUTED_VALUE"""),"")</f>
        <v/>
      </c>
      <c r="D13618" s="12" t="str">
        <f ca="1">IFERROR(__xludf.DUMMYFUNCTION("""COMPUTED_VALUE"""),"")</f>
        <v/>
      </c>
    </row>
    <row r="13619" spans="2:4" ht="13">
      <c r="B13619" s="12" t="str">
        <f ca="1">IFERROR(__xludf.DUMMYFUNCTION("""COMPUTED_VALUE"""),"")</f>
        <v/>
      </c>
      <c r="C13619" s="12" t="str">
        <f ca="1">IFERROR(__xludf.DUMMYFUNCTION("""COMPUTED_VALUE"""),"")</f>
        <v/>
      </c>
      <c r="D13619" s="12" t="str">
        <f ca="1">IFERROR(__xludf.DUMMYFUNCTION("""COMPUTED_VALUE"""),"")</f>
        <v/>
      </c>
    </row>
    <row r="13620" spans="2:4" ht="13">
      <c r="B13620" s="12" t="str">
        <f ca="1">IFERROR(__xludf.DUMMYFUNCTION("""COMPUTED_VALUE"""),"")</f>
        <v/>
      </c>
      <c r="C13620" s="12" t="str">
        <f ca="1">IFERROR(__xludf.DUMMYFUNCTION("""COMPUTED_VALUE"""),"")</f>
        <v/>
      </c>
      <c r="D13620" s="12" t="str">
        <f ca="1">IFERROR(__xludf.DUMMYFUNCTION("""COMPUTED_VALUE"""),"")</f>
        <v/>
      </c>
    </row>
    <row r="13621" spans="2:4" ht="13">
      <c r="B13621" s="12" t="str">
        <f ca="1">IFERROR(__xludf.DUMMYFUNCTION("""COMPUTED_VALUE"""),"")</f>
        <v/>
      </c>
      <c r="C13621" s="12" t="str">
        <f ca="1">IFERROR(__xludf.DUMMYFUNCTION("""COMPUTED_VALUE"""),"")</f>
        <v/>
      </c>
      <c r="D13621" s="12" t="str">
        <f ca="1">IFERROR(__xludf.DUMMYFUNCTION("""COMPUTED_VALUE"""),"")</f>
        <v/>
      </c>
    </row>
    <row r="13622" spans="2:4" ht="13">
      <c r="B13622" s="12" t="str">
        <f ca="1">IFERROR(__xludf.DUMMYFUNCTION("""COMPUTED_VALUE"""),"")</f>
        <v/>
      </c>
      <c r="C13622" s="12" t="str">
        <f ca="1">IFERROR(__xludf.DUMMYFUNCTION("""COMPUTED_VALUE"""),"")</f>
        <v/>
      </c>
      <c r="D13622" s="12" t="str">
        <f ca="1">IFERROR(__xludf.DUMMYFUNCTION("""COMPUTED_VALUE"""),"")</f>
        <v/>
      </c>
    </row>
    <row r="13623" spans="2:4" ht="13">
      <c r="B13623" s="12" t="str">
        <f ca="1">IFERROR(__xludf.DUMMYFUNCTION("""COMPUTED_VALUE"""),"")</f>
        <v/>
      </c>
      <c r="C13623" s="12" t="str">
        <f ca="1">IFERROR(__xludf.DUMMYFUNCTION("""COMPUTED_VALUE"""),"")</f>
        <v/>
      </c>
      <c r="D13623" s="12" t="str">
        <f ca="1">IFERROR(__xludf.DUMMYFUNCTION("""COMPUTED_VALUE"""),"")</f>
        <v/>
      </c>
    </row>
    <row r="13624" spans="2:4" ht="13">
      <c r="B13624" s="12" t="str">
        <f ca="1">IFERROR(__xludf.DUMMYFUNCTION("""COMPUTED_VALUE"""),"")</f>
        <v/>
      </c>
      <c r="C13624" s="12" t="str">
        <f ca="1">IFERROR(__xludf.DUMMYFUNCTION("""COMPUTED_VALUE"""),"")</f>
        <v/>
      </c>
      <c r="D13624" s="12" t="str">
        <f ca="1">IFERROR(__xludf.DUMMYFUNCTION("""COMPUTED_VALUE"""),"")</f>
        <v/>
      </c>
    </row>
    <row r="13625" spans="2:4" ht="13">
      <c r="B13625" s="12" t="str">
        <f ca="1">IFERROR(__xludf.DUMMYFUNCTION("""COMPUTED_VALUE"""),"")</f>
        <v/>
      </c>
      <c r="C13625" s="12" t="str">
        <f ca="1">IFERROR(__xludf.DUMMYFUNCTION("""COMPUTED_VALUE"""),"")</f>
        <v/>
      </c>
      <c r="D13625" s="12" t="str">
        <f ca="1">IFERROR(__xludf.DUMMYFUNCTION("""COMPUTED_VALUE"""),"")</f>
        <v/>
      </c>
    </row>
    <row r="13626" spans="2:4" ht="13">
      <c r="B13626" s="12" t="str">
        <f ca="1">IFERROR(__xludf.DUMMYFUNCTION("""COMPUTED_VALUE"""),"")</f>
        <v/>
      </c>
      <c r="C13626" s="12" t="str">
        <f ca="1">IFERROR(__xludf.DUMMYFUNCTION("""COMPUTED_VALUE"""),"")</f>
        <v/>
      </c>
      <c r="D13626" s="12" t="str">
        <f ca="1">IFERROR(__xludf.DUMMYFUNCTION("""COMPUTED_VALUE"""),"")</f>
        <v/>
      </c>
    </row>
    <row r="13627" spans="2:4" ht="13">
      <c r="B13627" s="12" t="str">
        <f ca="1">IFERROR(__xludf.DUMMYFUNCTION("""COMPUTED_VALUE"""),"")</f>
        <v/>
      </c>
      <c r="C13627" s="12" t="str">
        <f ca="1">IFERROR(__xludf.DUMMYFUNCTION("""COMPUTED_VALUE"""),"")</f>
        <v/>
      </c>
      <c r="D13627" s="12" t="str">
        <f ca="1">IFERROR(__xludf.DUMMYFUNCTION("""COMPUTED_VALUE"""),"")</f>
        <v/>
      </c>
    </row>
    <row r="13628" spans="2:4" ht="13">
      <c r="B13628" s="12" t="str">
        <f ca="1">IFERROR(__xludf.DUMMYFUNCTION("""COMPUTED_VALUE"""),"")</f>
        <v/>
      </c>
      <c r="C13628" s="12" t="str">
        <f ca="1">IFERROR(__xludf.DUMMYFUNCTION("""COMPUTED_VALUE"""),"")</f>
        <v/>
      </c>
      <c r="D13628" s="12" t="str">
        <f ca="1">IFERROR(__xludf.DUMMYFUNCTION("""COMPUTED_VALUE"""),"")</f>
        <v/>
      </c>
    </row>
    <row r="13629" spans="2:4" ht="13">
      <c r="B13629" s="12" t="str">
        <f ca="1">IFERROR(__xludf.DUMMYFUNCTION("""COMPUTED_VALUE"""),"")</f>
        <v/>
      </c>
      <c r="C13629" s="12" t="str">
        <f ca="1">IFERROR(__xludf.DUMMYFUNCTION("""COMPUTED_VALUE"""),"")</f>
        <v/>
      </c>
      <c r="D13629" s="12" t="str">
        <f ca="1">IFERROR(__xludf.DUMMYFUNCTION("""COMPUTED_VALUE"""),"")</f>
        <v/>
      </c>
    </row>
    <row r="13630" spans="2:4" ht="13">
      <c r="B13630" s="12" t="str">
        <f ca="1">IFERROR(__xludf.DUMMYFUNCTION("""COMPUTED_VALUE"""),"")</f>
        <v/>
      </c>
      <c r="C13630" s="12" t="str">
        <f ca="1">IFERROR(__xludf.DUMMYFUNCTION("""COMPUTED_VALUE"""),"")</f>
        <v/>
      </c>
      <c r="D13630" s="12" t="str">
        <f ca="1">IFERROR(__xludf.DUMMYFUNCTION("""COMPUTED_VALUE"""),"")</f>
        <v/>
      </c>
    </row>
    <row r="13631" spans="2:4" ht="13">
      <c r="B13631" s="12" t="str">
        <f ca="1">IFERROR(__xludf.DUMMYFUNCTION("""COMPUTED_VALUE"""),"")</f>
        <v/>
      </c>
      <c r="C13631" s="12" t="str">
        <f ca="1">IFERROR(__xludf.DUMMYFUNCTION("""COMPUTED_VALUE"""),"")</f>
        <v/>
      </c>
      <c r="D13631" s="12" t="str">
        <f ca="1">IFERROR(__xludf.DUMMYFUNCTION("""COMPUTED_VALUE"""),"")</f>
        <v/>
      </c>
    </row>
    <row r="13632" spans="2:4" ht="13">
      <c r="B13632" s="12" t="str">
        <f ca="1">IFERROR(__xludf.DUMMYFUNCTION("""COMPUTED_VALUE"""),"")</f>
        <v/>
      </c>
      <c r="C13632" s="12" t="str">
        <f ca="1">IFERROR(__xludf.DUMMYFUNCTION("""COMPUTED_VALUE"""),"")</f>
        <v/>
      </c>
      <c r="D13632" s="12" t="str">
        <f ca="1">IFERROR(__xludf.DUMMYFUNCTION("""COMPUTED_VALUE"""),"")</f>
        <v/>
      </c>
    </row>
    <row r="13633" spans="2:4" ht="13">
      <c r="B13633" s="12" t="str">
        <f ca="1">IFERROR(__xludf.DUMMYFUNCTION("""COMPUTED_VALUE"""),"")</f>
        <v/>
      </c>
      <c r="C13633" s="12" t="str">
        <f ca="1">IFERROR(__xludf.DUMMYFUNCTION("""COMPUTED_VALUE"""),"")</f>
        <v/>
      </c>
      <c r="D13633" s="12" t="str">
        <f ca="1">IFERROR(__xludf.DUMMYFUNCTION("""COMPUTED_VALUE"""),"")</f>
        <v/>
      </c>
    </row>
    <row r="13634" spans="2:4" ht="13">
      <c r="B13634" s="12" t="str">
        <f ca="1">IFERROR(__xludf.DUMMYFUNCTION("""COMPUTED_VALUE"""),"")</f>
        <v/>
      </c>
      <c r="C13634" s="12" t="str">
        <f ca="1">IFERROR(__xludf.DUMMYFUNCTION("""COMPUTED_VALUE"""),"")</f>
        <v/>
      </c>
      <c r="D13634" s="12" t="str">
        <f ca="1">IFERROR(__xludf.DUMMYFUNCTION("""COMPUTED_VALUE"""),"")</f>
        <v/>
      </c>
    </row>
    <row r="13635" spans="2:4" ht="13">
      <c r="B13635" s="12" t="str">
        <f ca="1">IFERROR(__xludf.DUMMYFUNCTION("""COMPUTED_VALUE"""),"")</f>
        <v/>
      </c>
      <c r="C13635" s="12" t="str">
        <f ca="1">IFERROR(__xludf.DUMMYFUNCTION("""COMPUTED_VALUE"""),"")</f>
        <v/>
      </c>
      <c r="D13635" s="12" t="str">
        <f ca="1">IFERROR(__xludf.DUMMYFUNCTION("""COMPUTED_VALUE"""),"")</f>
        <v/>
      </c>
    </row>
    <row r="13636" spans="2:4" ht="13">
      <c r="B13636" s="12" t="str">
        <f ca="1">IFERROR(__xludf.DUMMYFUNCTION("""COMPUTED_VALUE"""),"")</f>
        <v/>
      </c>
      <c r="C13636" s="12" t="str">
        <f ca="1">IFERROR(__xludf.DUMMYFUNCTION("""COMPUTED_VALUE"""),"")</f>
        <v/>
      </c>
      <c r="D13636" s="12" t="str">
        <f ca="1">IFERROR(__xludf.DUMMYFUNCTION("""COMPUTED_VALUE"""),"")</f>
        <v/>
      </c>
    </row>
    <row r="13637" spans="2:4" ht="13">
      <c r="B13637" s="12" t="str">
        <f ca="1">IFERROR(__xludf.DUMMYFUNCTION("""COMPUTED_VALUE"""),"")</f>
        <v/>
      </c>
      <c r="C13637" s="12" t="str">
        <f ca="1">IFERROR(__xludf.DUMMYFUNCTION("""COMPUTED_VALUE"""),"")</f>
        <v/>
      </c>
      <c r="D13637" s="12" t="str">
        <f ca="1">IFERROR(__xludf.DUMMYFUNCTION("""COMPUTED_VALUE"""),"")</f>
        <v/>
      </c>
    </row>
    <row r="13638" spans="2:4" ht="13">
      <c r="B13638" s="12" t="str">
        <f ca="1">IFERROR(__xludf.DUMMYFUNCTION("""COMPUTED_VALUE"""),"")</f>
        <v/>
      </c>
      <c r="C13638" s="12" t="str">
        <f ca="1">IFERROR(__xludf.DUMMYFUNCTION("""COMPUTED_VALUE"""),"")</f>
        <v/>
      </c>
      <c r="D13638" s="12" t="str">
        <f ca="1">IFERROR(__xludf.DUMMYFUNCTION("""COMPUTED_VALUE"""),"")</f>
        <v/>
      </c>
    </row>
    <row r="13639" spans="2:4" ht="13">
      <c r="B13639" s="12" t="str">
        <f ca="1">IFERROR(__xludf.DUMMYFUNCTION("""COMPUTED_VALUE"""),"")</f>
        <v/>
      </c>
      <c r="C13639" s="12" t="str">
        <f ca="1">IFERROR(__xludf.DUMMYFUNCTION("""COMPUTED_VALUE"""),"")</f>
        <v/>
      </c>
      <c r="D13639" s="12" t="str">
        <f ca="1">IFERROR(__xludf.DUMMYFUNCTION("""COMPUTED_VALUE"""),"")</f>
        <v/>
      </c>
    </row>
    <row r="13640" spans="2:4" ht="13">
      <c r="B13640" s="12" t="str">
        <f ca="1">IFERROR(__xludf.DUMMYFUNCTION("""COMPUTED_VALUE"""),"")</f>
        <v/>
      </c>
      <c r="C13640" s="12" t="str">
        <f ca="1">IFERROR(__xludf.DUMMYFUNCTION("""COMPUTED_VALUE"""),"")</f>
        <v/>
      </c>
      <c r="D13640" s="12" t="str">
        <f ca="1">IFERROR(__xludf.DUMMYFUNCTION("""COMPUTED_VALUE"""),"")</f>
        <v/>
      </c>
    </row>
    <row r="13641" spans="2:4" ht="13">
      <c r="B13641" s="12" t="str">
        <f ca="1">IFERROR(__xludf.DUMMYFUNCTION("""COMPUTED_VALUE"""),"")</f>
        <v/>
      </c>
      <c r="C13641" s="12" t="str">
        <f ca="1">IFERROR(__xludf.DUMMYFUNCTION("""COMPUTED_VALUE"""),"")</f>
        <v/>
      </c>
      <c r="D13641" s="12" t="str">
        <f ca="1">IFERROR(__xludf.DUMMYFUNCTION("""COMPUTED_VALUE"""),"")</f>
        <v/>
      </c>
    </row>
    <row r="13642" spans="2:4" ht="13">
      <c r="B13642" s="12" t="str">
        <f ca="1">IFERROR(__xludf.DUMMYFUNCTION("""COMPUTED_VALUE"""),"")</f>
        <v/>
      </c>
      <c r="C13642" s="12" t="str">
        <f ca="1">IFERROR(__xludf.DUMMYFUNCTION("""COMPUTED_VALUE"""),"")</f>
        <v/>
      </c>
      <c r="D13642" s="12" t="str">
        <f ca="1">IFERROR(__xludf.DUMMYFUNCTION("""COMPUTED_VALUE"""),"")</f>
        <v/>
      </c>
    </row>
    <row r="13643" spans="2:4" ht="13">
      <c r="B13643" s="12" t="str">
        <f ca="1">IFERROR(__xludf.DUMMYFUNCTION("""COMPUTED_VALUE"""),"")</f>
        <v/>
      </c>
      <c r="C13643" s="12" t="str">
        <f ca="1">IFERROR(__xludf.DUMMYFUNCTION("""COMPUTED_VALUE"""),"")</f>
        <v/>
      </c>
      <c r="D13643" s="12" t="str">
        <f ca="1">IFERROR(__xludf.DUMMYFUNCTION("""COMPUTED_VALUE"""),"")</f>
        <v/>
      </c>
    </row>
    <row r="13644" spans="2:4" ht="13">
      <c r="B13644" s="12" t="str">
        <f ca="1">IFERROR(__xludf.DUMMYFUNCTION("""COMPUTED_VALUE"""),"")</f>
        <v/>
      </c>
      <c r="C13644" s="12" t="str">
        <f ca="1">IFERROR(__xludf.DUMMYFUNCTION("""COMPUTED_VALUE"""),"")</f>
        <v/>
      </c>
      <c r="D13644" s="12" t="str">
        <f ca="1">IFERROR(__xludf.DUMMYFUNCTION("""COMPUTED_VALUE"""),"")</f>
        <v/>
      </c>
    </row>
    <row r="13645" spans="2:4" ht="13">
      <c r="B13645" s="12" t="str">
        <f ca="1">IFERROR(__xludf.DUMMYFUNCTION("""COMPUTED_VALUE"""),"")</f>
        <v/>
      </c>
      <c r="C13645" s="12" t="str">
        <f ca="1">IFERROR(__xludf.DUMMYFUNCTION("""COMPUTED_VALUE"""),"")</f>
        <v/>
      </c>
      <c r="D13645" s="12" t="str">
        <f ca="1">IFERROR(__xludf.DUMMYFUNCTION("""COMPUTED_VALUE"""),"")</f>
        <v/>
      </c>
    </row>
    <row r="13646" spans="2:4" ht="13">
      <c r="B13646" s="12" t="str">
        <f ca="1">IFERROR(__xludf.DUMMYFUNCTION("""COMPUTED_VALUE"""),"")</f>
        <v/>
      </c>
      <c r="C13646" s="12" t="str">
        <f ca="1">IFERROR(__xludf.DUMMYFUNCTION("""COMPUTED_VALUE"""),"")</f>
        <v/>
      </c>
      <c r="D13646" s="12" t="str">
        <f ca="1">IFERROR(__xludf.DUMMYFUNCTION("""COMPUTED_VALUE"""),"")</f>
        <v/>
      </c>
    </row>
    <row r="13647" spans="2:4" ht="13">
      <c r="B13647" s="12" t="str">
        <f ca="1">IFERROR(__xludf.DUMMYFUNCTION("""COMPUTED_VALUE"""),"")</f>
        <v/>
      </c>
      <c r="C13647" s="12" t="str">
        <f ca="1">IFERROR(__xludf.DUMMYFUNCTION("""COMPUTED_VALUE"""),"")</f>
        <v/>
      </c>
      <c r="D13647" s="12" t="str">
        <f ca="1">IFERROR(__xludf.DUMMYFUNCTION("""COMPUTED_VALUE"""),"")</f>
        <v/>
      </c>
    </row>
    <row r="13648" spans="2:4" ht="13">
      <c r="B13648" s="12" t="str">
        <f ca="1">IFERROR(__xludf.DUMMYFUNCTION("""COMPUTED_VALUE"""),"")</f>
        <v/>
      </c>
      <c r="C13648" s="12" t="str">
        <f ca="1">IFERROR(__xludf.DUMMYFUNCTION("""COMPUTED_VALUE"""),"")</f>
        <v/>
      </c>
      <c r="D13648" s="12" t="str">
        <f ca="1">IFERROR(__xludf.DUMMYFUNCTION("""COMPUTED_VALUE"""),"")</f>
        <v/>
      </c>
    </row>
    <row r="13649" spans="2:4" ht="13">
      <c r="B13649" s="12" t="str">
        <f ca="1">IFERROR(__xludf.DUMMYFUNCTION("""COMPUTED_VALUE"""),"")</f>
        <v/>
      </c>
      <c r="C13649" s="12" t="str">
        <f ca="1">IFERROR(__xludf.DUMMYFUNCTION("""COMPUTED_VALUE"""),"")</f>
        <v/>
      </c>
      <c r="D13649" s="12" t="str">
        <f ca="1">IFERROR(__xludf.DUMMYFUNCTION("""COMPUTED_VALUE"""),"")</f>
        <v/>
      </c>
    </row>
    <row r="13650" spans="2:4" ht="13">
      <c r="B13650" s="12" t="str">
        <f ca="1">IFERROR(__xludf.DUMMYFUNCTION("""COMPUTED_VALUE"""),"")</f>
        <v/>
      </c>
      <c r="C13650" s="12" t="str">
        <f ca="1">IFERROR(__xludf.DUMMYFUNCTION("""COMPUTED_VALUE"""),"")</f>
        <v/>
      </c>
      <c r="D13650" s="12" t="str">
        <f ca="1">IFERROR(__xludf.DUMMYFUNCTION("""COMPUTED_VALUE"""),"")</f>
        <v/>
      </c>
    </row>
    <row r="13651" spans="2:4" ht="13">
      <c r="B13651" s="12" t="str">
        <f ca="1">IFERROR(__xludf.DUMMYFUNCTION("""COMPUTED_VALUE"""),"")</f>
        <v/>
      </c>
      <c r="C13651" s="12" t="str">
        <f ca="1">IFERROR(__xludf.DUMMYFUNCTION("""COMPUTED_VALUE"""),"")</f>
        <v/>
      </c>
      <c r="D13651" s="12" t="str">
        <f ca="1">IFERROR(__xludf.DUMMYFUNCTION("""COMPUTED_VALUE"""),"")</f>
        <v/>
      </c>
    </row>
    <row r="13652" spans="2:4" ht="13">
      <c r="B13652" s="12" t="str">
        <f ca="1">IFERROR(__xludf.DUMMYFUNCTION("""COMPUTED_VALUE"""),"")</f>
        <v/>
      </c>
      <c r="C13652" s="12" t="str">
        <f ca="1">IFERROR(__xludf.DUMMYFUNCTION("""COMPUTED_VALUE"""),"")</f>
        <v/>
      </c>
      <c r="D13652" s="12" t="str">
        <f ca="1">IFERROR(__xludf.DUMMYFUNCTION("""COMPUTED_VALUE"""),"")</f>
        <v/>
      </c>
    </row>
    <row r="13653" spans="2:4" ht="13">
      <c r="B13653" s="12" t="str">
        <f ca="1">IFERROR(__xludf.DUMMYFUNCTION("""COMPUTED_VALUE"""),"")</f>
        <v/>
      </c>
      <c r="C13653" s="12" t="str">
        <f ca="1">IFERROR(__xludf.DUMMYFUNCTION("""COMPUTED_VALUE"""),"")</f>
        <v/>
      </c>
      <c r="D13653" s="12" t="str">
        <f ca="1">IFERROR(__xludf.DUMMYFUNCTION("""COMPUTED_VALUE"""),"")</f>
        <v/>
      </c>
    </row>
    <row r="13654" spans="2:4" ht="13">
      <c r="B13654" s="12" t="str">
        <f ca="1">IFERROR(__xludf.DUMMYFUNCTION("""COMPUTED_VALUE"""),"")</f>
        <v/>
      </c>
      <c r="C13654" s="12" t="str">
        <f ca="1">IFERROR(__xludf.DUMMYFUNCTION("""COMPUTED_VALUE"""),"")</f>
        <v/>
      </c>
      <c r="D13654" s="12" t="str">
        <f ca="1">IFERROR(__xludf.DUMMYFUNCTION("""COMPUTED_VALUE"""),"")</f>
        <v/>
      </c>
    </row>
    <row r="13655" spans="2:4" ht="13">
      <c r="B13655" s="12" t="str">
        <f ca="1">IFERROR(__xludf.DUMMYFUNCTION("""COMPUTED_VALUE"""),"")</f>
        <v/>
      </c>
      <c r="C13655" s="12" t="str">
        <f ca="1">IFERROR(__xludf.DUMMYFUNCTION("""COMPUTED_VALUE"""),"")</f>
        <v/>
      </c>
      <c r="D13655" s="12" t="str">
        <f ca="1">IFERROR(__xludf.DUMMYFUNCTION("""COMPUTED_VALUE"""),"")</f>
        <v/>
      </c>
    </row>
    <row r="13656" spans="2:4" ht="13">
      <c r="B13656" s="12" t="str">
        <f ca="1">IFERROR(__xludf.DUMMYFUNCTION("""COMPUTED_VALUE"""),"")</f>
        <v/>
      </c>
      <c r="C13656" s="12" t="str">
        <f ca="1">IFERROR(__xludf.DUMMYFUNCTION("""COMPUTED_VALUE"""),"")</f>
        <v/>
      </c>
      <c r="D13656" s="12" t="str">
        <f ca="1">IFERROR(__xludf.DUMMYFUNCTION("""COMPUTED_VALUE"""),"")</f>
        <v/>
      </c>
    </row>
    <row r="13657" spans="2:4" ht="13">
      <c r="B13657" s="12" t="str">
        <f ca="1">IFERROR(__xludf.DUMMYFUNCTION("""COMPUTED_VALUE"""),"")</f>
        <v/>
      </c>
      <c r="C13657" s="12" t="str">
        <f ca="1">IFERROR(__xludf.DUMMYFUNCTION("""COMPUTED_VALUE"""),"")</f>
        <v/>
      </c>
      <c r="D13657" s="12" t="str">
        <f ca="1">IFERROR(__xludf.DUMMYFUNCTION("""COMPUTED_VALUE"""),"")</f>
        <v/>
      </c>
    </row>
    <row r="13658" spans="2:4" ht="13">
      <c r="B13658" s="12" t="str">
        <f ca="1">IFERROR(__xludf.DUMMYFUNCTION("""COMPUTED_VALUE"""),"")</f>
        <v/>
      </c>
      <c r="C13658" s="12" t="str">
        <f ca="1">IFERROR(__xludf.DUMMYFUNCTION("""COMPUTED_VALUE"""),"")</f>
        <v/>
      </c>
      <c r="D13658" s="12" t="str">
        <f ca="1">IFERROR(__xludf.DUMMYFUNCTION("""COMPUTED_VALUE"""),"")</f>
        <v/>
      </c>
    </row>
    <row r="13659" spans="2:4" ht="13">
      <c r="B13659" s="12" t="str">
        <f ca="1">IFERROR(__xludf.DUMMYFUNCTION("""COMPUTED_VALUE"""),"")</f>
        <v/>
      </c>
      <c r="C13659" s="12" t="str">
        <f ca="1">IFERROR(__xludf.DUMMYFUNCTION("""COMPUTED_VALUE"""),"")</f>
        <v/>
      </c>
      <c r="D13659" s="12" t="str">
        <f ca="1">IFERROR(__xludf.DUMMYFUNCTION("""COMPUTED_VALUE"""),"")</f>
        <v/>
      </c>
    </row>
    <row r="13660" spans="2:4" ht="13">
      <c r="B13660" s="12" t="str">
        <f ca="1">IFERROR(__xludf.DUMMYFUNCTION("""COMPUTED_VALUE"""),"")</f>
        <v/>
      </c>
      <c r="C13660" s="12" t="str">
        <f ca="1">IFERROR(__xludf.DUMMYFUNCTION("""COMPUTED_VALUE"""),"")</f>
        <v/>
      </c>
      <c r="D13660" s="12" t="str">
        <f ca="1">IFERROR(__xludf.DUMMYFUNCTION("""COMPUTED_VALUE"""),"")</f>
        <v/>
      </c>
    </row>
    <row r="13661" spans="2:4" ht="13">
      <c r="B13661" s="12" t="str">
        <f ca="1">IFERROR(__xludf.DUMMYFUNCTION("""COMPUTED_VALUE"""),"")</f>
        <v/>
      </c>
      <c r="C13661" s="12" t="str">
        <f ca="1">IFERROR(__xludf.DUMMYFUNCTION("""COMPUTED_VALUE"""),"")</f>
        <v/>
      </c>
      <c r="D13661" s="12" t="str">
        <f ca="1">IFERROR(__xludf.DUMMYFUNCTION("""COMPUTED_VALUE"""),"")</f>
        <v/>
      </c>
    </row>
    <row r="13662" spans="2:4" ht="13">
      <c r="B13662" s="12" t="str">
        <f ca="1">IFERROR(__xludf.DUMMYFUNCTION("""COMPUTED_VALUE"""),"")</f>
        <v/>
      </c>
      <c r="C13662" s="12" t="str">
        <f ca="1">IFERROR(__xludf.DUMMYFUNCTION("""COMPUTED_VALUE"""),"")</f>
        <v/>
      </c>
      <c r="D13662" s="12" t="str">
        <f ca="1">IFERROR(__xludf.DUMMYFUNCTION("""COMPUTED_VALUE"""),"")</f>
        <v/>
      </c>
    </row>
    <row r="13663" spans="2:4" ht="13">
      <c r="B13663" s="12" t="str">
        <f ca="1">IFERROR(__xludf.DUMMYFUNCTION("""COMPUTED_VALUE"""),"")</f>
        <v/>
      </c>
      <c r="C13663" s="12" t="str">
        <f ca="1">IFERROR(__xludf.DUMMYFUNCTION("""COMPUTED_VALUE"""),"")</f>
        <v/>
      </c>
      <c r="D13663" s="12" t="str">
        <f ca="1">IFERROR(__xludf.DUMMYFUNCTION("""COMPUTED_VALUE"""),"")</f>
        <v/>
      </c>
    </row>
    <row r="13664" spans="2:4" ht="13">
      <c r="B13664" s="12" t="str">
        <f ca="1">IFERROR(__xludf.DUMMYFUNCTION("""COMPUTED_VALUE"""),"")</f>
        <v/>
      </c>
      <c r="C13664" s="12" t="str">
        <f ca="1">IFERROR(__xludf.DUMMYFUNCTION("""COMPUTED_VALUE"""),"")</f>
        <v/>
      </c>
      <c r="D13664" s="12" t="str">
        <f ca="1">IFERROR(__xludf.DUMMYFUNCTION("""COMPUTED_VALUE"""),"")</f>
        <v/>
      </c>
    </row>
    <row r="13665" spans="2:4" ht="13">
      <c r="B13665" s="12" t="str">
        <f ca="1">IFERROR(__xludf.DUMMYFUNCTION("""COMPUTED_VALUE"""),"")</f>
        <v/>
      </c>
      <c r="C13665" s="12" t="str">
        <f ca="1">IFERROR(__xludf.DUMMYFUNCTION("""COMPUTED_VALUE"""),"")</f>
        <v/>
      </c>
      <c r="D13665" s="12" t="str">
        <f ca="1">IFERROR(__xludf.DUMMYFUNCTION("""COMPUTED_VALUE"""),"")</f>
        <v/>
      </c>
    </row>
    <row r="13666" spans="2:4" ht="13">
      <c r="B13666" s="12" t="str">
        <f ca="1">IFERROR(__xludf.DUMMYFUNCTION("""COMPUTED_VALUE"""),"")</f>
        <v/>
      </c>
      <c r="C13666" s="12" t="str">
        <f ca="1">IFERROR(__xludf.DUMMYFUNCTION("""COMPUTED_VALUE"""),"")</f>
        <v/>
      </c>
      <c r="D13666" s="12" t="str">
        <f ca="1">IFERROR(__xludf.DUMMYFUNCTION("""COMPUTED_VALUE"""),"")</f>
        <v/>
      </c>
    </row>
    <row r="13667" spans="2:4" ht="13">
      <c r="B13667" s="12" t="str">
        <f ca="1">IFERROR(__xludf.DUMMYFUNCTION("""COMPUTED_VALUE"""),"")</f>
        <v/>
      </c>
      <c r="C13667" s="12" t="str">
        <f ca="1">IFERROR(__xludf.DUMMYFUNCTION("""COMPUTED_VALUE"""),"")</f>
        <v/>
      </c>
      <c r="D13667" s="12" t="str">
        <f ca="1">IFERROR(__xludf.DUMMYFUNCTION("""COMPUTED_VALUE"""),"")</f>
        <v/>
      </c>
    </row>
    <row r="13668" spans="2:4" ht="13">
      <c r="B13668" s="12" t="str">
        <f ca="1">IFERROR(__xludf.DUMMYFUNCTION("""COMPUTED_VALUE"""),"")</f>
        <v/>
      </c>
      <c r="C13668" s="12" t="str">
        <f ca="1">IFERROR(__xludf.DUMMYFUNCTION("""COMPUTED_VALUE"""),"")</f>
        <v/>
      </c>
      <c r="D13668" s="12" t="str">
        <f ca="1">IFERROR(__xludf.DUMMYFUNCTION("""COMPUTED_VALUE"""),"")</f>
        <v/>
      </c>
    </row>
    <row r="13669" spans="2:4" ht="13">
      <c r="B13669" s="12" t="str">
        <f ca="1">IFERROR(__xludf.DUMMYFUNCTION("""COMPUTED_VALUE"""),"")</f>
        <v/>
      </c>
      <c r="C13669" s="12" t="str">
        <f ca="1">IFERROR(__xludf.DUMMYFUNCTION("""COMPUTED_VALUE"""),"")</f>
        <v/>
      </c>
      <c r="D13669" s="12" t="str">
        <f ca="1">IFERROR(__xludf.DUMMYFUNCTION("""COMPUTED_VALUE"""),"")</f>
        <v/>
      </c>
    </row>
    <row r="13670" spans="2:4" ht="13">
      <c r="B13670" s="12" t="str">
        <f ca="1">IFERROR(__xludf.DUMMYFUNCTION("""COMPUTED_VALUE"""),"")</f>
        <v/>
      </c>
      <c r="C13670" s="12" t="str">
        <f ca="1">IFERROR(__xludf.DUMMYFUNCTION("""COMPUTED_VALUE"""),"")</f>
        <v/>
      </c>
      <c r="D13670" s="12" t="str">
        <f ca="1">IFERROR(__xludf.DUMMYFUNCTION("""COMPUTED_VALUE"""),"")</f>
        <v/>
      </c>
    </row>
    <row r="13671" spans="2:4" ht="13">
      <c r="B13671" s="12" t="str">
        <f ca="1">IFERROR(__xludf.DUMMYFUNCTION("""COMPUTED_VALUE"""),"")</f>
        <v/>
      </c>
      <c r="C13671" s="12" t="str">
        <f ca="1">IFERROR(__xludf.DUMMYFUNCTION("""COMPUTED_VALUE"""),"")</f>
        <v/>
      </c>
      <c r="D13671" s="12" t="str">
        <f ca="1">IFERROR(__xludf.DUMMYFUNCTION("""COMPUTED_VALUE"""),"")</f>
        <v/>
      </c>
    </row>
    <row r="13672" spans="2:4" ht="13">
      <c r="B13672" s="12" t="str">
        <f ca="1">IFERROR(__xludf.DUMMYFUNCTION("""COMPUTED_VALUE"""),"")</f>
        <v/>
      </c>
      <c r="C13672" s="12" t="str">
        <f ca="1">IFERROR(__xludf.DUMMYFUNCTION("""COMPUTED_VALUE"""),"")</f>
        <v/>
      </c>
      <c r="D13672" s="12" t="str">
        <f ca="1">IFERROR(__xludf.DUMMYFUNCTION("""COMPUTED_VALUE"""),"")</f>
        <v/>
      </c>
    </row>
    <row r="13673" spans="2:4" ht="13">
      <c r="B13673" s="12" t="str">
        <f ca="1">IFERROR(__xludf.DUMMYFUNCTION("""COMPUTED_VALUE"""),"")</f>
        <v/>
      </c>
      <c r="C13673" s="12" t="str">
        <f ca="1">IFERROR(__xludf.DUMMYFUNCTION("""COMPUTED_VALUE"""),"")</f>
        <v/>
      </c>
      <c r="D13673" s="12" t="str">
        <f ca="1">IFERROR(__xludf.DUMMYFUNCTION("""COMPUTED_VALUE"""),"")</f>
        <v/>
      </c>
    </row>
    <row r="13674" spans="2:4" ht="13">
      <c r="B13674" s="12" t="str">
        <f ca="1">IFERROR(__xludf.DUMMYFUNCTION("""COMPUTED_VALUE"""),"")</f>
        <v/>
      </c>
      <c r="C13674" s="12" t="str">
        <f ca="1">IFERROR(__xludf.DUMMYFUNCTION("""COMPUTED_VALUE"""),"")</f>
        <v/>
      </c>
      <c r="D13674" s="12" t="str">
        <f ca="1">IFERROR(__xludf.DUMMYFUNCTION("""COMPUTED_VALUE"""),"")</f>
        <v/>
      </c>
    </row>
    <row r="13675" spans="2:4" ht="13">
      <c r="B13675" s="12" t="str">
        <f ca="1">IFERROR(__xludf.DUMMYFUNCTION("""COMPUTED_VALUE"""),"")</f>
        <v/>
      </c>
      <c r="C13675" s="12" t="str">
        <f ca="1">IFERROR(__xludf.DUMMYFUNCTION("""COMPUTED_VALUE"""),"")</f>
        <v/>
      </c>
      <c r="D13675" s="12" t="str">
        <f ca="1">IFERROR(__xludf.DUMMYFUNCTION("""COMPUTED_VALUE"""),"")</f>
        <v/>
      </c>
    </row>
    <row r="13676" spans="2:4" ht="13">
      <c r="B13676" s="12" t="str">
        <f ca="1">IFERROR(__xludf.DUMMYFUNCTION("""COMPUTED_VALUE"""),"")</f>
        <v/>
      </c>
      <c r="C13676" s="12" t="str">
        <f ca="1">IFERROR(__xludf.DUMMYFUNCTION("""COMPUTED_VALUE"""),"")</f>
        <v/>
      </c>
      <c r="D13676" s="12" t="str">
        <f ca="1">IFERROR(__xludf.DUMMYFUNCTION("""COMPUTED_VALUE"""),"")</f>
        <v/>
      </c>
    </row>
    <row r="13677" spans="2:4" ht="13">
      <c r="B13677" s="12" t="str">
        <f ca="1">IFERROR(__xludf.DUMMYFUNCTION("""COMPUTED_VALUE"""),"")</f>
        <v/>
      </c>
      <c r="C13677" s="12" t="str">
        <f ca="1">IFERROR(__xludf.DUMMYFUNCTION("""COMPUTED_VALUE"""),"")</f>
        <v/>
      </c>
      <c r="D13677" s="12" t="str">
        <f ca="1">IFERROR(__xludf.DUMMYFUNCTION("""COMPUTED_VALUE"""),"")</f>
        <v/>
      </c>
    </row>
    <row r="13678" spans="2:4" ht="13">
      <c r="B13678" s="12" t="str">
        <f ca="1">IFERROR(__xludf.DUMMYFUNCTION("""COMPUTED_VALUE"""),"")</f>
        <v/>
      </c>
      <c r="C13678" s="12" t="str">
        <f ca="1">IFERROR(__xludf.DUMMYFUNCTION("""COMPUTED_VALUE"""),"")</f>
        <v/>
      </c>
      <c r="D13678" s="12" t="str">
        <f ca="1">IFERROR(__xludf.DUMMYFUNCTION("""COMPUTED_VALUE"""),"")</f>
        <v/>
      </c>
    </row>
    <row r="13679" spans="2:4" ht="13">
      <c r="B13679" s="12" t="str">
        <f ca="1">IFERROR(__xludf.DUMMYFUNCTION("""COMPUTED_VALUE"""),"")</f>
        <v/>
      </c>
      <c r="C13679" s="12" t="str">
        <f ca="1">IFERROR(__xludf.DUMMYFUNCTION("""COMPUTED_VALUE"""),"")</f>
        <v/>
      </c>
      <c r="D13679" s="12" t="str">
        <f ca="1">IFERROR(__xludf.DUMMYFUNCTION("""COMPUTED_VALUE"""),"")</f>
        <v/>
      </c>
    </row>
    <row r="13680" spans="2:4" ht="13">
      <c r="B13680" s="12" t="str">
        <f ca="1">IFERROR(__xludf.DUMMYFUNCTION("""COMPUTED_VALUE"""),"")</f>
        <v/>
      </c>
      <c r="C13680" s="12" t="str">
        <f ca="1">IFERROR(__xludf.DUMMYFUNCTION("""COMPUTED_VALUE"""),"")</f>
        <v/>
      </c>
      <c r="D13680" s="12" t="str">
        <f ca="1">IFERROR(__xludf.DUMMYFUNCTION("""COMPUTED_VALUE"""),"")</f>
        <v/>
      </c>
    </row>
    <row r="13681" spans="2:4" ht="13">
      <c r="B13681" s="12" t="str">
        <f ca="1">IFERROR(__xludf.DUMMYFUNCTION("""COMPUTED_VALUE"""),"")</f>
        <v/>
      </c>
      <c r="C13681" s="12" t="str">
        <f ca="1">IFERROR(__xludf.DUMMYFUNCTION("""COMPUTED_VALUE"""),"")</f>
        <v/>
      </c>
      <c r="D13681" s="12" t="str">
        <f ca="1">IFERROR(__xludf.DUMMYFUNCTION("""COMPUTED_VALUE"""),"")</f>
        <v/>
      </c>
    </row>
    <row r="13682" spans="2:4" ht="13">
      <c r="B13682" s="12" t="str">
        <f ca="1">IFERROR(__xludf.DUMMYFUNCTION("""COMPUTED_VALUE"""),"")</f>
        <v/>
      </c>
      <c r="C13682" s="12" t="str">
        <f ca="1">IFERROR(__xludf.DUMMYFUNCTION("""COMPUTED_VALUE"""),"")</f>
        <v/>
      </c>
      <c r="D13682" s="12" t="str">
        <f ca="1">IFERROR(__xludf.DUMMYFUNCTION("""COMPUTED_VALUE"""),"")</f>
        <v/>
      </c>
    </row>
    <row r="13683" spans="2:4" ht="13">
      <c r="B13683" s="12" t="str">
        <f ca="1">IFERROR(__xludf.DUMMYFUNCTION("""COMPUTED_VALUE"""),"")</f>
        <v/>
      </c>
      <c r="C13683" s="12" t="str">
        <f ca="1">IFERROR(__xludf.DUMMYFUNCTION("""COMPUTED_VALUE"""),"")</f>
        <v/>
      </c>
      <c r="D13683" s="12" t="str">
        <f ca="1">IFERROR(__xludf.DUMMYFUNCTION("""COMPUTED_VALUE"""),"")</f>
        <v/>
      </c>
    </row>
    <row r="13684" spans="2:4" ht="13">
      <c r="B13684" s="12" t="str">
        <f ca="1">IFERROR(__xludf.DUMMYFUNCTION("""COMPUTED_VALUE"""),"")</f>
        <v/>
      </c>
      <c r="C13684" s="12" t="str">
        <f ca="1">IFERROR(__xludf.DUMMYFUNCTION("""COMPUTED_VALUE"""),"")</f>
        <v/>
      </c>
      <c r="D13684" s="12" t="str">
        <f ca="1">IFERROR(__xludf.DUMMYFUNCTION("""COMPUTED_VALUE"""),"")</f>
        <v/>
      </c>
    </row>
    <row r="13685" spans="2:4" ht="13">
      <c r="B13685" s="12" t="str">
        <f ca="1">IFERROR(__xludf.DUMMYFUNCTION("""COMPUTED_VALUE"""),"")</f>
        <v/>
      </c>
      <c r="C13685" s="12" t="str">
        <f ca="1">IFERROR(__xludf.DUMMYFUNCTION("""COMPUTED_VALUE"""),"")</f>
        <v/>
      </c>
      <c r="D13685" s="12" t="str">
        <f ca="1">IFERROR(__xludf.DUMMYFUNCTION("""COMPUTED_VALUE"""),"")</f>
        <v/>
      </c>
    </row>
    <row r="13686" spans="2:4" ht="13">
      <c r="B13686" s="12" t="str">
        <f ca="1">IFERROR(__xludf.DUMMYFUNCTION("""COMPUTED_VALUE"""),"")</f>
        <v/>
      </c>
      <c r="C13686" s="12" t="str">
        <f ca="1">IFERROR(__xludf.DUMMYFUNCTION("""COMPUTED_VALUE"""),"")</f>
        <v/>
      </c>
      <c r="D13686" s="12" t="str">
        <f ca="1">IFERROR(__xludf.DUMMYFUNCTION("""COMPUTED_VALUE"""),"")</f>
        <v/>
      </c>
    </row>
    <row r="13687" spans="2:4" ht="13">
      <c r="B13687" s="12" t="str">
        <f ca="1">IFERROR(__xludf.DUMMYFUNCTION("""COMPUTED_VALUE"""),"")</f>
        <v/>
      </c>
      <c r="C13687" s="12" t="str">
        <f ca="1">IFERROR(__xludf.DUMMYFUNCTION("""COMPUTED_VALUE"""),"")</f>
        <v/>
      </c>
      <c r="D13687" s="12" t="str">
        <f ca="1">IFERROR(__xludf.DUMMYFUNCTION("""COMPUTED_VALUE"""),"")</f>
        <v/>
      </c>
    </row>
    <row r="13688" spans="2:4" ht="13">
      <c r="B13688" s="12" t="str">
        <f ca="1">IFERROR(__xludf.DUMMYFUNCTION("""COMPUTED_VALUE"""),"")</f>
        <v/>
      </c>
      <c r="C13688" s="12" t="str">
        <f ca="1">IFERROR(__xludf.DUMMYFUNCTION("""COMPUTED_VALUE"""),"")</f>
        <v/>
      </c>
      <c r="D13688" s="12" t="str">
        <f ca="1">IFERROR(__xludf.DUMMYFUNCTION("""COMPUTED_VALUE"""),"")</f>
        <v/>
      </c>
    </row>
    <row r="13689" spans="2:4" ht="13">
      <c r="B13689" s="12" t="str">
        <f ca="1">IFERROR(__xludf.DUMMYFUNCTION("""COMPUTED_VALUE"""),"")</f>
        <v/>
      </c>
      <c r="C13689" s="12" t="str">
        <f ca="1">IFERROR(__xludf.DUMMYFUNCTION("""COMPUTED_VALUE"""),"")</f>
        <v/>
      </c>
      <c r="D13689" s="12" t="str">
        <f ca="1">IFERROR(__xludf.DUMMYFUNCTION("""COMPUTED_VALUE"""),"")</f>
        <v/>
      </c>
    </row>
    <row r="13690" spans="2:4" ht="13">
      <c r="B13690" s="12" t="str">
        <f ca="1">IFERROR(__xludf.DUMMYFUNCTION("""COMPUTED_VALUE"""),"")</f>
        <v/>
      </c>
      <c r="C13690" s="12" t="str">
        <f ca="1">IFERROR(__xludf.DUMMYFUNCTION("""COMPUTED_VALUE"""),"")</f>
        <v/>
      </c>
      <c r="D13690" s="12" t="str">
        <f ca="1">IFERROR(__xludf.DUMMYFUNCTION("""COMPUTED_VALUE"""),"")</f>
        <v/>
      </c>
    </row>
    <row r="13691" spans="2:4" ht="13">
      <c r="B13691" s="12" t="str">
        <f ca="1">IFERROR(__xludf.DUMMYFUNCTION("""COMPUTED_VALUE"""),"")</f>
        <v/>
      </c>
      <c r="C13691" s="12" t="str">
        <f ca="1">IFERROR(__xludf.DUMMYFUNCTION("""COMPUTED_VALUE"""),"")</f>
        <v/>
      </c>
      <c r="D13691" s="12" t="str">
        <f ca="1">IFERROR(__xludf.DUMMYFUNCTION("""COMPUTED_VALUE"""),"")</f>
        <v/>
      </c>
    </row>
    <row r="13692" spans="2:4" ht="13">
      <c r="B13692" s="12" t="str">
        <f ca="1">IFERROR(__xludf.DUMMYFUNCTION("""COMPUTED_VALUE"""),"")</f>
        <v/>
      </c>
      <c r="C13692" s="12" t="str">
        <f ca="1">IFERROR(__xludf.DUMMYFUNCTION("""COMPUTED_VALUE"""),"")</f>
        <v/>
      </c>
      <c r="D13692" s="12" t="str">
        <f ca="1">IFERROR(__xludf.DUMMYFUNCTION("""COMPUTED_VALUE"""),"")</f>
        <v/>
      </c>
    </row>
    <row r="13693" spans="2:4" ht="13">
      <c r="B13693" s="12" t="str">
        <f ca="1">IFERROR(__xludf.DUMMYFUNCTION("""COMPUTED_VALUE"""),"")</f>
        <v/>
      </c>
      <c r="C13693" s="12" t="str">
        <f ca="1">IFERROR(__xludf.DUMMYFUNCTION("""COMPUTED_VALUE"""),"")</f>
        <v/>
      </c>
      <c r="D13693" s="12" t="str">
        <f ca="1">IFERROR(__xludf.DUMMYFUNCTION("""COMPUTED_VALUE"""),"")</f>
        <v/>
      </c>
    </row>
    <row r="13694" spans="2:4" ht="13">
      <c r="B13694" s="12" t="str">
        <f ca="1">IFERROR(__xludf.DUMMYFUNCTION("""COMPUTED_VALUE"""),"")</f>
        <v/>
      </c>
      <c r="C13694" s="12" t="str">
        <f ca="1">IFERROR(__xludf.DUMMYFUNCTION("""COMPUTED_VALUE"""),"")</f>
        <v/>
      </c>
      <c r="D13694" s="12" t="str">
        <f ca="1">IFERROR(__xludf.DUMMYFUNCTION("""COMPUTED_VALUE"""),"")</f>
        <v/>
      </c>
    </row>
    <row r="13695" spans="2:4" ht="13">
      <c r="B13695" s="12" t="str">
        <f ca="1">IFERROR(__xludf.DUMMYFUNCTION("""COMPUTED_VALUE"""),"")</f>
        <v/>
      </c>
      <c r="C13695" s="12" t="str">
        <f ca="1">IFERROR(__xludf.DUMMYFUNCTION("""COMPUTED_VALUE"""),"")</f>
        <v/>
      </c>
      <c r="D13695" s="12" t="str">
        <f ca="1">IFERROR(__xludf.DUMMYFUNCTION("""COMPUTED_VALUE"""),"")</f>
        <v/>
      </c>
    </row>
    <row r="13696" spans="2:4" ht="13">
      <c r="B13696" s="12" t="str">
        <f ca="1">IFERROR(__xludf.DUMMYFUNCTION("""COMPUTED_VALUE"""),"")</f>
        <v/>
      </c>
      <c r="C13696" s="12" t="str">
        <f ca="1">IFERROR(__xludf.DUMMYFUNCTION("""COMPUTED_VALUE"""),"")</f>
        <v/>
      </c>
      <c r="D13696" s="12" t="str">
        <f ca="1">IFERROR(__xludf.DUMMYFUNCTION("""COMPUTED_VALUE"""),"")</f>
        <v/>
      </c>
    </row>
    <row r="13697" spans="2:4" ht="13">
      <c r="B13697" s="12" t="str">
        <f ca="1">IFERROR(__xludf.DUMMYFUNCTION("""COMPUTED_VALUE"""),"")</f>
        <v/>
      </c>
      <c r="C13697" s="12" t="str">
        <f ca="1">IFERROR(__xludf.DUMMYFUNCTION("""COMPUTED_VALUE"""),"")</f>
        <v/>
      </c>
      <c r="D13697" s="12" t="str">
        <f ca="1">IFERROR(__xludf.DUMMYFUNCTION("""COMPUTED_VALUE"""),"")</f>
        <v/>
      </c>
    </row>
    <row r="13698" spans="2:4" ht="13">
      <c r="B13698" s="12" t="str">
        <f ca="1">IFERROR(__xludf.DUMMYFUNCTION("""COMPUTED_VALUE"""),"")</f>
        <v/>
      </c>
      <c r="C13698" s="12" t="str">
        <f ca="1">IFERROR(__xludf.DUMMYFUNCTION("""COMPUTED_VALUE"""),"")</f>
        <v/>
      </c>
      <c r="D13698" s="12" t="str">
        <f ca="1">IFERROR(__xludf.DUMMYFUNCTION("""COMPUTED_VALUE"""),"")</f>
        <v/>
      </c>
    </row>
    <row r="13699" spans="2:4" ht="13">
      <c r="B13699" s="12" t="str">
        <f ca="1">IFERROR(__xludf.DUMMYFUNCTION("""COMPUTED_VALUE"""),"")</f>
        <v/>
      </c>
      <c r="C13699" s="12" t="str">
        <f ca="1">IFERROR(__xludf.DUMMYFUNCTION("""COMPUTED_VALUE"""),"")</f>
        <v/>
      </c>
      <c r="D13699" s="12" t="str">
        <f ca="1">IFERROR(__xludf.DUMMYFUNCTION("""COMPUTED_VALUE"""),"")</f>
        <v/>
      </c>
    </row>
    <row r="13700" spans="2:4" ht="13">
      <c r="B13700" s="12" t="str">
        <f ca="1">IFERROR(__xludf.DUMMYFUNCTION("""COMPUTED_VALUE"""),"")</f>
        <v/>
      </c>
      <c r="C13700" s="12" t="str">
        <f ca="1">IFERROR(__xludf.DUMMYFUNCTION("""COMPUTED_VALUE"""),"")</f>
        <v/>
      </c>
      <c r="D13700" s="12" t="str">
        <f ca="1">IFERROR(__xludf.DUMMYFUNCTION("""COMPUTED_VALUE"""),"")</f>
        <v/>
      </c>
    </row>
    <row r="13701" spans="2:4" ht="13">
      <c r="B13701" s="12" t="str">
        <f ca="1">IFERROR(__xludf.DUMMYFUNCTION("""COMPUTED_VALUE"""),"")</f>
        <v/>
      </c>
      <c r="C13701" s="12" t="str">
        <f ca="1">IFERROR(__xludf.DUMMYFUNCTION("""COMPUTED_VALUE"""),"")</f>
        <v/>
      </c>
      <c r="D13701" s="12" t="str">
        <f ca="1">IFERROR(__xludf.DUMMYFUNCTION("""COMPUTED_VALUE"""),"")</f>
        <v/>
      </c>
    </row>
    <row r="13702" spans="2:4" ht="13">
      <c r="B13702" s="12" t="str">
        <f ca="1">IFERROR(__xludf.DUMMYFUNCTION("""COMPUTED_VALUE"""),"")</f>
        <v/>
      </c>
      <c r="C13702" s="12" t="str">
        <f ca="1">IFERROR(__xludf.DUMMYFUNCTION("""COMPUTED_VALUE"""),"")</f>
        <v/>
      </c>
      <c r="D13702" s="12" t="str">
        <f ca="1">IFERROR(__xludf.DUMMYFUNCTION("""COMPUTED_VALUE"""),"")</f>
        <v/>
      </c>
    </row>
    <row r="13703" spans="2:4" ht="13">
      <c r="B13703" s="12" t="str">
        <f ca="1">IFERROR(__xludf.DUMMYFUNCTION("""COMPUTED_VALUE"""),"")</f>
        <v/>
      </c>
      <c r="C13703" s="12" t="str">
        <f ca="1">IFERROR(__xludf.DUMMYFUNCTION("""COMPUTED_VALUE"""),"")</f>
        <v/>
      </c>
      <c r="D13703" s="12" t="str">
        <f ca="1">IFERROR(__xludf.DUMMYFUNCTION("""COMPUTED_VALUE"""),"")</f>
        <v/>
      </c>
    </row>
    <row r="13704" spans="2:4" ht="13">
      <c r="B13704" s="12" t="str">
        <f ca="1">IFERROR(__xludf.DUMMYFUNCTION("""COMPUTED_VALUE"""),"")</f>
        <v/>
      </c>
      <c r="C13704" s="12" t="str">
        <f ca="1">IFERROR(__xludf.DUMMYFUNCTION("""COMPUTED_VALUE"""),"")</f>
        <v/>
      </c>
      <c r="D13704" s="12" t="str">
        <f ca="1">IFERROR(__xludf.DUMMYFUNCTION("""COMPUTED_VALUE"""),"")</f>
        <v/>
      </c>
    </row>
    <row r="13705" spans="2:4" ht="13">
      <c r="B13705" s="12" t="str">
        <f ca="1">IFERROR(__xludf.DUMMYFUNCTION("""COMPUTED_VALUE"""),"")</f>
        <v/>
      </c>
      <c r="C13705" s="12" t="str">
        <f ca="1">IFERROR(__xludf.DUMMYFUNCTION("""COMPUTED_VALUE"""),"")</f>
        <v/>
      </c>
      <c r="D13705" s="12" t="str">
        <f ca="1">IFERROR(__xludf.DUMMYFUNCTION("""COMPUTED_VALUE"""),"")</f>
        <v/>
      </c>
    </row>
    <row r="13706" spans="2:4" ht="13">
      <c r="B13706" s="12" t="str">
        <f ca="1">IFERROR(__xludf.DUMMYFUNCTION("""COMPUTED_VALUE"""),"")</f>
        <v/>
      </c>
      <c r="C13706" s="12" t="str">
        <f ca="1">IFERROR(__xludf.DUMMYFUNCTION("""COMPUTED_VALUE"""),"")</f>
        <v/>
      </c>
      <c r="D13706" s="12" t="str">
        <f ca="1">IFERROR(__xludf.DUMMYFUNCTION("""COMPUTED_VALUE"""),"")</f>
        <v/>
      </c>
    </row>
    <row r="13707" spans="2:4" ht="13">
      <c r="B13707" s="12" t="str">
        <f ca="1">IFERROR(__xludf.DUMMYFUNCTION("""COMPUTED_VALUE"""),"")</f>
        <v/>
      </c>
      <c r="C13707" s="12" t="str">
        <f ca="1">IFERROR(__xludf.DUMMYFUNCTION("""COMPUTED_VALUE"""),"")</f>
        <v/>
      </c>
      <c r="D13707" s="12" t="str">
        <f ca="1">IFERROR(__xludf.DUMMYFUNCTION("""COMPUTED_VALUE"""),"")</f>
        <v/>
      </c>
    </row>
    <row r="13708" spans="2:4" ht="13">
      <c r="B13708" s="12" t="str">
        <f ca="1">IFERROR(__xludf.DUMMYFUNCTION("""COMPUTED_VALUE"""),"")</f>
        <v/>
      </c>
      <c r="C13708" s="12" t="str">
        <f ca="1">IFERROR(__xludf.DUMMYFUNCTION("""COMPUTED_VALUE"""),"")</f>
        <v/>
      </c>
      <c r="D13708" s="12" t="str">
        <f ca="1">IFERROR(__xludf.DUMMYFUNCTION("""COMPUTED_VALUE"""),"")</f>
        <v/>
      </c>
    </row>
    <row r="13709" spans="2:4" ht="13">
      <c r="B13709" s="12" t="str">
        <f ca="1">IFERROR(__xludf.DUMMYFUNCTION("""COMPUTED_VALUE"""),"")</f>
        <v/>
      </c>
      <c r="C13709" s="12" t="str">
        <f ca="1">IFERROR(__xludf.DUMMYFUNCTION("""COMPUTED_VALUE"""),"")</f>
        <v/>
      </c>
      <c r="D13709" s="12" t="str">
        <f ca="1">IFERROR(__xludf.DUMMYFUNCTION("""COMPUTED_VALUE"""),"")</f>
        <v/>
      </c>
    </row>
    <row r="13710" spans="2:4" ht="13">
      <c r="B13710" s="12" t="str">
        <f ca="1">IFERROR(__xludf.DUMMYFUNCTION("""COMPUTED_VALUE"""),"")</f>
        <v/>
      </c>
      <c r="C13710" s="12" t="str">
        <f ca="1">IFERROR(__xludf.DUMMYFUNCTION("""COMPUTED_VALUE"""),"")</f>
        <v/>
      </c>
      <c r="D13710" s="12" t="str">
        <f ca="1">IFERROR(__xludf.DUMMYFUNCTION("""COMPUTED_VALUE"""),"")</f>
        <v/>
      </c>
    </row>
    <row r="13711" spans="2:4" ht="13">
      <c r="B13711" s="12" t="str">
        <f ca="1">IFERROR(__xludf.DUMMYFUNCTION("""COMPUTED_VALUE"""),"")</f>
        <v/>
      </c>
      <c r="C13711" s="12" t="str">
        <f ca="1">IFERROR(__xludf.DUMMYFUNCTION("""COMPUTED_VALUE"""),"")</f>
        <v/>
      </c>
      <c r="D13711" s="12" t="str">
        <f ca="1">IFERROR(__xludf.DUMMYFUNCTION("""COMPUTED_VALUE"""),"")</f>
        <v/>
      </c>
    </row>
    <row r="13712" spans="2:4" ht="13">
      <c r="B13712" s="12" t="str">
        <f ca="1">IFERROR(__xludf.DUMMYFUNCTION("""COMPUTED_VALUE"""),"")</f>
        <v/>
      </c>
      <c r="C13712" s="12" t="str">
        <f ca="1">IFERROR(__xludf.DUMMYFUNCTION("""COMPUTED_VALUE"""),"")</f>
        <v/>
      </c>
      <c r="D13712" s="12" t="str">
        <f ca="1">IFERROR(__xludf.DUMMYFUNCTION("""COMPUTED_VALUE"""),"")</f>
        <v/>
      </c>
    </row>
    <row r="13713" spans="2:4" ht="13">
      <c r="B13713" s="12" t="str">
        <f ca="1">IFERROR(__xludf.DUMMYFUNCTION("""COMPUTED_VALUE"""),"")</f>
        <v/>
      </c>
      <c r="C13713" s="12" t="str">
        <f ca="1">IFERROR(__xludf.DUMMYFUNCTION("""COMPUTED_VALUE"""),"")</f>
        <v/>
      </c>
      <c r="D13713" s="12" t="str">
        <f ca="1">IFERROR(__xludf.DUMMYFUNCTION("""COMPUTED_VALUE"""),"")</f>
        <v/>
      </c>
    </row>
    <row r="13714" spans="2:4" ht="13">
      <c r="B13714" s="12" t="str">
        <f ca="1">IFERROR(__xludf.DUMMYFUNCTION("""COMPUTED_VALUE"""),"")</f>
        <v/>
      </c>
      <c r="C13714" s="12" t="str">
        <f ca="1">IFERROR(__xludf.DUMMYFUNCTION("""COMPUTED_VALUE"""),"")</f>
        <v/>
      </c>
      <c r="D13714" s="12" t="str">
        <f ca="1">IFERROR(__xludf.DUMMYFUNCTION("""COMPUTED_VALUE"""),"")</f>
        <v/>
      </c>
    </row>
    <row r="13715" spans="2:4" ht="13">
      <c r="B13715" s="12" t="str">
        <f ca="1">IFERROR(__xludf.DUMMYFUNCTION("""COMPUTED_VALUE"""),"")</f>
        <v/>
      </c>
      <c r="C13715" s="12" t="str">
        <f ca="1">IFERROR(__xludf.DUMMYFUNCTION("""COMPUTED_VALUE"""),"")</f>
        <v/>
      </c>
      <c r="D13715" s="12" t="str">
        <f ca="1">IFERROR(__xludf.DUMMYFUNCTION("""COMPUTED_VALUE"""),"")</f>
        <v/>
      </c>
    </row>
    <row r="13716" spans="2:4" ht="13">
      <c r="B13716" s="12" t="str">
        <f ca="1">IFERROR(__xludf.DUMMYFUNCTION("""COMPUTED_VALUE"""),"")</f>
        <v/>
      </c>
      <c r="C13716" s="12" t="str">
        <f ca="1">IFERROR(__xludf.DUMMYFUNCTION("""COMPUTED_VALUE"""),"")</f>
        <v/>
      </c>
      <c r="D13716" s="12" t="str">
        <f ca="1">IFERROR(__xludf.DUMMYFUNCTION("""COMPUTED_VALUE"""),"")</f>
        <v/>
      </c>
    </row>
    <row r="13717" spans="2:4" ht="13">
      <c r="B13717" s="12" t="str">
        <f ca="1">IFERROR(__xludf.DUMMYFUNCTION("""COMPUTED_VALUE"""),"")</f>
        <v/>
      </c>
      <c r="C13717" s="12" t="str">
        <f ca="1">IFERROR(__xludf.DUMMYFUNCTION("""COMPUTED_VALUE"""),"")</f>
        <v/>
      </c>
      <c r="D13717" s="12" t="str">
        <f ca="1">IFERROR(__xludf.DUMMYFUNCTION("""COMPUTED_VALUE"""),"")</f>
        <v/>
      </c>
    </row>
    <row r="13718" spans="2:4" ht="13">
      <c r="B13718" s="12" t="str">
        <f ca="1">IFERROR(__xludf.DUMMYFUNCTION("""COMPUTED_VALUE"""),"")</f>
        <v/>
      </c>
      <c r="C13718" s="12" t="str">
        <f ca="1">IFERROR(__xludf.DUMMYFUNCTION("""COMPUTED_VALUE"""),"")</f>
        <v/>
      </c>
      <c r="D13718" s="12" t="str">
        <f ca="1">IFERROR(__xludf.DUMMYFUNCTION("""COMPUTED_VALUE"""),"")</f>
        <v/>
      </c>
    </row>
    <row r="13719" spans="2:4" ht="13">
      <c r="B13719" s="12" t="str">
        <f ca="1">IFERROR(__xludf.DUMMYFUNCTION("""COMPUTED_VALUE"""),"")</f>
        <v/>
      </c>
      <c r="C13719" s="12" t="str">
        <f ca="1">IFERROR(__xludf.DUMMYFUNCTION("""COMPUTED_VALUE"""),"")</f>
        <v/>
      </c>
      <c r="D13719" s="12" t="str">
        <f ca="1">IFERROR(__xludf.DUMMYFUNCTION("""COMPUTED_VALUE"""),"")</f>
        <v/>
      </c>
    </row>
    <row r="13720" spans="2:4" ht="13">
      <c r="B13720" s="12" t="str">
        <f ca="1">IFERROR(__xludf.DUMMYFUNCTION("""COMPUTED_VALUE"""),"")</f>
        <v/>
      </c>
      <c r="C13720" s="12" t="str">
        <f ca="1">IFERROR(__xludf.DUMMYFUNCTION("""COMPUTED_VALUE"""),"")</f>
        <v/>
      </c>
      <c r="D13720" s="12" t="str">
        <f ca="1">IFERROR(__xludf.DUMMYFUNCTION("""COMPUTED_VALUE"""),"")</f>
        <v/>
      </c>
    </row>
    <row r="13721" spans="2:4" ht="13">
      <c r="B13721" s="12" t="str">
        <f ca="1">IFERROR(__xludf.DUMMYFUNCTION("""COMPUTED_VALUE"""),"")</f>
        <v/>
      </c>
      <c r="C13721" s="12" t="str">
        <f ca="1">IFERROR(__xludf.DUMMYFUNCTION("""COMPUTED_VALUE"""),"")</f>
        <v/>
      </c>
      <c r="D13721" s="12" t="str">
        <f ca="1">IFERROR(__xludf.DUMMYFUNCTION("""COMPUTED_VALUE"""),"")</f>
        <v/>
      </c>
    </row>
    <row r="13722" spans="2:4" ht="13">
      <c r="B13722" s="12" t="str">
        <f ca="1">IFERROR(__xludf.DUMMYFUNCTION("""COMPUTED_VALUE"""),"")</f>
        <v/>
      </c>
      <c r="C13722" s="12" t="str">
        <f ca="1">IFERROR(__xludf.DUMMYFUNCTION("""COMPUTED_VALUE"""),"")</f>
        <v/>
      </c>
      <c r="D13722" s="12" t="str">
        <f ca="1">IFERROR(__xludf.DUMMYFUNCTION("""COMPUTED_VALUE"""),"")</f>
        <v/>
      </c>
    </row>
    <row r="13723" spans="2:4" ht="13">
      <c r="B13723" s="12" t="str">
        <f ca="1">IFERROR(__xludf.DUMMYFUNCTION("""COMPUTED_VALUE"""),"")</f>
        <v/>
      </c>
      <c r="C13723" s="12" t="str">
        <f ca="1">IFERROR(__xludf.DUMMYFUNCTION("""COMPUTED_VALUE"""),"")</f>
        <v/>
      </c>
      <c r="D13723" s="12" t="str">
        <f ca="1">IFERROR(__xludf.DUMMYFUNCTION("""COMPUTED_VALUE"""),"")</f>
        <v/>
      </c>
    </row>
    <row r="13724" spans="2:4" ht="13">
      <c r="B13724" s="12" t="str">
        <f ca="1">IFERROR(__xludf.DUMMYFUNCTION("""COMPUTED_VALUE"""),"")</f>
        <v/>
      </c>
      <c r="C13724" s="12" t="str">
        <f ca="1">IFERROR(__xludf.DUMMYFUNCTION("""COMPUTED_VALUE"""),"")</f>
        <v/>
      </c>
      <c r="D13724" s="12" t="str">
        <f ca="1">IFERROR(__xludf.DUMMYFUNCTION("""COMPUTED_VALUE"""),"")</f>
        <v/>
      </c>
    </row>
    <row r="13725" spans="2:4" ht="13">
      <c r="B13725" s="12" t="str">
        <f ca="1">IFERROR(__xludf.DUMMYFUNCTION("""COMPUTED_VALUE"""),"")</f>
        <v/>
      </c>
      <c r="C13725" s="12" t="str">
        <f ca="1">IFERROR(__xludf.DUMMYFUNCTION("""COMPUTED_VALUE"""),"")</f>
        <v/>
      </c>
      <c r="D13725" s="12" t="str">
        <f ca="1">IFERROR(__xludf.DUMMYFUNCTION("""COMPUTED_VALUE"""),"")</f>
        <v/>
      </c>
    </row>
    <row r="13726" spans="2:4" ht="13">
      <c r="B13726" s="12" t="str">
        <f ca="1">IFERROR(__xludf.DUMMYFUNCTION("""COMPUTED_VALUE"""),"")</f>
        <v/>
      </c>
      <c r="C13726" s="12" t="str">
        <f ca="1">IFERROR(__xludf.DUMMYFUNCTION("""COMPUTED_VALUE"""),"")</f>
        <v/>
      </c>
      <c r="D13726" s="12" t="str">
        <f ca="1">IFERROR(__xludf.DUMMYFUNCTION("""COMPUTED_VALUE"""),"")</f>
        <v/>
      </c>
    </row>
    <row r="13727" spans="2:4" ht="13">
      <c r="B13727" s="12" t="str">
        <f ca="1">IFERROR(__xludf.DUMMYFUNCTION("""COMPUTED_VALUE"""),"")</f>
        <v/>
      </c>
      <c r="C13727" s="12" t="str">
        <f ca="1">IFERROR(__xludf.DUMMYFUNCTION("""COMPUTED_VALUE"""),"")</f>
        <v/>
      </c>
      <c r="D13727" s="12" t="str">
        <f ca="1">IFERROR(__xludf.DUMMYFUNCTION("""COMPUTED_VALUE"""),"")</f>
        <v/>
      </c>
    </row>
    <row r="13728" spans="2:4" ht="13">
      <c r="B13728" s="12" t="str">
        <f ca="1">IFERROR(__xludf.DUMMYFUNCTION("""COMPUTED_VALUE"""),"")</f>
        <v/>
      </c>
      <c r="C13728" s="12" t="str">
        <f ca="1">IFERROR(__xludf.DUMMYFUNCTION("""COMPUTED_VALUE"""),"")</f>
        <v/>
      </c>
      <c r="D13728" s="12" t="str">
        <f ca="1">IFERROR(__xludf.DUMMYFUNCTION("""COMPUTED_VALUE"""),"")</f>
        <v/>
      </c>
    </row>
    <row r="13729" spans="2:4" ht="13">
      <c r="B13729" s="12" t="str">
        <f ca="1">IFERROR(__xludf.DUMMYFUNCTION("""COMPUTED_VALUE"""),"")</f>
        <v/>
      </c>
      <c r="C13729" s="12" t="str">
        <f ca="1">IFERROR(__xludf.DUMMYFUNCTION("""COMPUTED_VALUE"""),"")</f>
        <v/>
      </c>
      <c r="D13729" s="12" t="str">
        <f ca="1">IFERROR(__xludf.DUMMYFUNCTION("""COMPUTED_VALUE"""),"")</f>
        <v/>
      </c>
    </row>
    <row r="13730" spans="2:4" ht="13">
      <c r="B13730" s="12" t="str">
        <f ca="1">IFERROR(__xludf.DUMMYFUNCTION("""COMPUTED_VALUE"""),"")</f>
        <v/>
      </c>
      <c r="C13730" s="12" t="str">
        <f ca="1">IFERROR(__xludf.DUMMYFUNCTION("""COMPUTED_VALUE"""),"")</f>
        <v/>
      </c>
      <c r="D13730" s="12" t="str">
        <f ca="1">IFERROR(__xludf.DUMMYFUNCTION("""COMPUTED_VALUE"""),"")</f>
        <v/>
      </c>
    </row>
    <row r="13731" spans="2:4" ht="13">
      <c r="B13731" s="12" t="str">
        <f ca="1">IFERROR(__xludf.DUMMYFUNCTION("""COMPUTED_VALUE"""),"")</f>
        <v/>
      </c>
      <c r="C13731" s="12" t="str">
        <f ca="1">IFERROR(__xludf.DUMMYFUNCTION("""COMPUTED_VALUE"""),"")</f>
        <v/>
      </c>
      <c r="D13731" s="12" t="str">
        <f ca="1">IFERROR(__xludf.DUMMYFUNCTION("""COMPUTED_VALUE"""),"")</f>
        <v/>
      </c>
    </row>
    <row r="13732" spans="2:4" ht="13">
      <c r="B13732" s="12" t="str">
        <f ca="1">IFERROR(__xludf.DUMMYFUNCTION("""COMPUTED_VALUE"""),"")</f>
        <v/>
      </c>
      <c r="C13732" s="12" t="str">
        <f ca="1">IFERROR(__xludf.DUMMYFUNCTION("""COMPUTED_VALUE"""),"")</f>
        <v/>
      </c>
      <c r="D13732" s="12" t="str">
        <f ca="1">IFERROR(__xludf.DUMMYFUNCTION("""COMPUTED_VALUE"""),"")</f>
        <v/>
      </c>
    </row>
    <row r="13733" spans="2:4" ht="13">
      <c r="B13733" s="12" t="str">
        <f ca="1">IFERROR(__xludf.DUMMYFUNCTION("""COMPUTED_VALUE"""),"")</f>
        <v/>
      </c>
      <c r="C13733" s="12" t="str">
        <f ca="1">IFERROR(__xludf.DUMMYFUNCTION("""COMPUTED_VALUE"""),"")</f>
        <v/>
      </c>
      <c r="D13733" s="12" t="str">
        <f ca="1">IFERROR(__xludf.DUMMYFUNCTION("""COMPUTED_VALUE"""),"")</f>
        <v/>
      </c>
    </row>
    <row r="13734" spans="2:4" ht="13">
      <c r="B13734" s="12" t="str">
        <f ca="1">IFERROR(__xludf.DUMMYFUNCTION("""COMPUTED_VALUE"""),"")</f>
        <v/>
      </c>
      <c r="C13734" s="12" t="str">
        <f ca="1">IFERROR(__xludf.DUMMYFUNCTION("""COMPUTED_VALUE"""),"")</f>
        <v/>
      </c>
      <c r="D13734" s="12" t="str">
        <f ca="1">IFERROR(__xludf.DUMMYFUNCTION("""COMPUTED_VALUE"""),"")</f>
        <v/>
      </c>
    </row>
    <row r="13735" spans="2:4" ht="13">
      <c r="B13735" s="12" t="str">
        <f ca="1">IFERROR(__xludf.DUMMYFUNCTION("""COMPUTED_VALUE"""),"")</f>
        <v/>
      </c>
      <c r="C13735" s="12" t="str">
        <f ca="1">IFERROR(__xludf.DUMMYFUNCTION("""COMPUTED_VALUE"""),"")</f>
        <v/>
      </c>
      <c r="D13735" s="12" t="str">
        <f ca="1">IFERROR(__xludf.DUMMYFUNCTION("""COMPUTED_VALUE"""),"")</f>
        <v/>
      </c>
    </row>
    <row r="13736" spans="2:4" ht="13">
      <c r="B13736" s="12" t="str">
        <f ca="1">IFERROR(__xludf.DUMMYFUNCTION("""COMPUTED_VALUE"""),"")</f>
        <v/>
      </c>
      <c r="C13736" s="12" t="str">
        <f ca="1">IFERROR(__xludf.DUMMYFUNCTION("""COMPUTED_VALUE"""),"")</f>
        <v/>
      </c>
      <c r="D13736" s="12" t="str">
        <f ca="1">IFERROR(__xludf.DUMMYFUNCTION("""COMPUTED_VALUE"""),"")</f>
        <v/>
      </c>
    </row>
    <row r="13737" spans="2:4" ht="13">
      <c r="B13737" s="12" t="str">
        <f ca="1">IFERROR(__xludf.DUMMYFUNCTION("""COMPUTED_VALUE"""),"")</f>
        <v/>
      </c>
      <c r="C13737" s="12" t="str">
        <f ca="1">IFERROR(__xludf.DUMMYFUNCTION("""COMPUTED_VALUE"""),"")</f>
        <v/>
      </c>
      <c r="D13737" s="12" t="str">
        <f ca="1">IFERROR(__xludf.DUMMYFUNCTION("""COMPUTED_VALUE"""),"")</f>
        <v/>
      </c>
    </row>
    <row r="13738" spans="2:4" ht="13">
      <c r="B13738" s="12" t="str">
        <f ca="1">IFERROR(__xludf.DUMMYFUNCTION("""COMPUTED_VALUE"""),"")</f>
        <v/>
      </c>
      <c r="C13738" s="12" t="str">
        <f ca="1">IFERROR(__xludf.DUMMYFUNCTION("""COMPUTED_VALUE"""),"")</f>
        <v/>
      </c>
      <c r="D13738" s="12" t="str">
        <f ca="1">IFERROR(__xludf.DUMMYFUNCTION("""COMPUTED_VALUE"""),"")</f>
        <v/>
      </c>
    </row>
    <row r="13739" spans="2:4" ht="13">
      <c r="B13739" s="12" t="str">
        <f ca="1">IFERROR(__xludf.DUMMYFUNCTION("""COMPUTED_VALUE"""),"")</f>
        <v/>
      </c>
      <c r="C13739" s="12" t="str">
        <f ca="1">IFERROR(__xludf.DUMMYFUNCTION("""COMPUTED_VALUE"""),"")</f>
        <v/>
      </c>
      <c r="D13739" s="12" t="str">
        <f ca="1">IFERROR(__xludf.DUMMYFUNCTION("""COMPUTED_VALUE"""),"")</f>
        <v/>
      </c>
    </row>
    <row r="13740" spans="2:4" ht="13">
      <c r="B13740" s="12" t="str">
        <f ca="1">IFERROR(__xludf.DUMMYFUNCTION("""COMPUTED_VALUE"""),"")</f>
        <v/>
      </c>
      <c r="C13740" s="12" t="str">
        <f ca="1">IFERROR(__xludf.DUMMYFUNCTION("""COMPUTED_VALUE"""),"")</f>
        <v/>
      </c>
      <c r="D13740" s="12" t="str">
        <f ca="1">IFERROR(__xludf.DUMMYFUNCTION("""COMPUTED_VALUE"""),"")</f>
        <v/>
      </c>
    </row>
    <row r="13741" spans="2:4" ht="13">
      <c r="B13741" s="12" t="str">
        <f ca="1">IFERROR(__xludf.DUMMYFUNCTION("""COMPUTED_VALUE"""),"")</f>
        <v/>
      </c>
      <c r="C13741" s="12" t="str">
        <f ca="1">IFERROR(__xludf.DUMMYFUNCTION("""COMPUTED_VALUE"""),"")</f>
        <v/>
      </c>
      <c r="D13741" s="12" t="str">
        <f ca="1">IFERROR(__xludf.DUMMYFUNCTION("""COMPUTED_VALUE"""),"")</f>
        <v/>
      </c>
    </row>
    <row r="13742" spans="2:4" ht="13">
      <c r="B13742" s="12" t="str">
        <f ca="1">IFERROR(__xludf.DUMMYFUNCTION("""COMPUTED_VALUE"""),"")</f>
        <v/>
      </c>
      <c r="C13742" s="12" t="str">
        <f ca="1">IFERROR(__xludf.DUMMYFUNCTION("""COMPUTED_VALUE"""),"")</f>
        <v/>
      </c>
      <c r="D13742" s="12" t="str">
        <f ca="1">IFERROR(__xludf.DUMMYFUNCTION("""COMPUTED_VALUE"""),"")</f>
        <v/>
      </c>
    </row>
    <row r="13743" spans="2:4" ht="13">
      <c r="B13743" s="12" t="str">
        <f ca="1">IFERROR(__xludf.DUMMYFUNCTION("""COMPUTED_VALUE"""),"")</f>
        <v/>
      </c>
      <c r="C13743" s="12" t="str">
        <f ca="1">IFERROR(__xludf.DUMMYFUNCTION("""COMPUTED_VALUE"""),"")</f>
        <v/>
      </c>
      <c r="D13743" s="12" t="str">
        <f ca="1">IFERROR(__xludf.DUMMYFUNCTION("""COMPUTED_VALUE"""),"")</f>
        <v/>
      </c>
    </row>
    <row r="13744" spans="2:4" ht="13">
      <c r="B13744" s="12" t="str">
        <f ca="1">IFERROR(__xludf.DUMMYFUNCTION("""COMPUTED_VALUE"""),"")</f>
        <v/>
      </c>
      <c r="C13744" s="12" t="str">
        <f ca="1">IFERROR(__xludf.DUMMYFUNCTION("""COMPUTED_VALUE"""),"")</f>
        <v/>
      </c>
      <c r="D13744" s="12" t="str">
        <f ca="1">IFERROR(__xludf.DUMMYFUNCTION("""COMPUTED_VALUE"""),"")</f>
        <v/>
      </c>
    </row>
    <row r="13745" spans="2:4" ht="13">
      <c r="B13745" s="12" t="str">
        <f ca="1">IFERROR(__xludf.DUMMYFUNCTION("""COMPUTED_VALUE"""),"")</f>
        <v/>
      </c>
      <c r="C13745" s="12" t="str">
        <f ca="1">IFERROR(__xludf.DUMMYFUNCTION("""COMPUTED_VALUE"""),"")</f>
        <v/>
      </c>
      <c r="D13745" s="12" t="str">
        <f ca="1">IFERROR(__xludf.DUMMYFUNCTION("""COMPUTED_VALUE"""),"")</f>
        <v/>
      </c>
    </row>
    <row r="13746" spans="2:4" ht="13">
      <c r="B13746" s="12" t="str">
        <f ca="1">IFERROR(__xludf.DUMMYFUNCTION("""COMPUTED_VALUE"""),"")</f>
        <v/>
      </c>
      <c r="C13746" s="12" t="str">
        <f ca="1">IFERROR(__xludf.DUMMYFUNCTION("""COMPUTED_VALUE"""),"")</f>
        <v/>
      </c>
      <c r="D13746" s="12" t="str">
        <f ca="1">IFERROR(__xludf.DUMMYFUNCTION("""COMPUTED_VALUE"""),"")</f>
        <v/>
      </c>
    </row>
    <row r="13747" spans="2:4" ht="13">
      <c r="B13747" s="12" t="str">
        <f ca="1">IFERROR(__xludf.DUMMYFUNCTION("""COMPUTED_VALUE"""),"")</f>
        <v/>
      </c>
      <c r="C13747" s="12" t="str">
        <f ca="1">IFERROR(__xludf.DUMMYFUNCTION("""COMPUTED_VALUE"""),"")</f>
        <v/>
      </c>
      <c r="D13747" s="12" t="str">
        <f ca="1">IFERROR(__xludf.DUMMYFUNCTION("""COMPUTED_VALUE"""),"")</f>
        <v/>
      </c>
    </row>
    <row r="13748" spans="2:4" ht="13">
      <c r="B13748" s="12" t="str">
        <f ca="1">IFERROR(__xludf.DUMMYFUNCTION("""COMPUTED_VALUE"""),"")</f>
        <v/>
      </c>
      <c r="C13748" s="12" t="str">
        <f ca="1">IFERROR(__xludf.DUMMYFUNCTION("""COMPUTED_VALUE"""),"")</f>
        <v/>
      </c>
      <c r="D13748" s="12" t="str">
        <f ca="1">IFERROR(__xludf.DUMMYFUNCTION("""COMPUTED_VALUE"""),"")</f>
        <v/>
      </c>
    </row>
    <row r="13749" spans="2:4" ht="13">
      <c r="B13749" s="12" t="str">
        <f ca="1">IFERROR(__xludf.DUMMYFUNCTION("""COMPUTED_VALUE"""),"")</f>
        <v/>
      </c>
      <c r="C13749" s="12" t="str">
        <f ca="1">IFERROR(__xludf.DUMMYFUNCTION("""COMPUTED_VALUE"""),"")</f>
        <v/>
      </c>
      <c r="D13749" s="12" t="str">
        <f ca="1">IFERROR(__xludf.DUMMYFUNCTION("""COMPUTED_VALUE"""),"")</f>
        <v/>
      </c>
    </row>
    <row r="13750" spans="2:4" ht="13">
      <c r="B13750" s="12" t="str">
        <f ca="1">IFERROR(__xludf.DUMMYFUNCTION("""COMPUTED_VALUE"""),"")</f>
        <v/>
      </c>
      <c r="C13750" s="12" t="str">
        <f ca="1">IFERROR(__xludf.DUMMYFUNCTION("""COMPUTED_VALUE"""),"")</f>
        <v/>
      </c>
      <c r="D13750" s="12" t="str">
        <f ca="1">IFERROR(__xludf.DUMMYFUNCTION("""COMPUTED_VALUE"""),"")</f>
        <v/>
      </c>
    </row>
    <row r="13751" spans="2:4" ht="13">
      <c r="B13751" s="12" t="str">
        <f ca="1">IFERROR(__xludf.DUMMYFUNCTION("""COMPUTED_VALUE"""),"")</f>
        <v/>
      </c>
      <c r="C13751" s="12" t="str">
        <f ca="1">IFERROR(__xludf.DUMMYFUNCTION("""COMPUTED_VALUE"""),"")</f>
        <v/>
      </c>
      <c r="D13751" s="12" t="str">
        <f ca="1">IFERROR(__xludf.DUMMYFUNCTION("""COMPUTED_VALUE"""),"")</f>
        <v/>
      </c>
    </row>
    <row r="13752" spans="2:4" ht="13">
      <c r="B13752" s="12" t="str">
        <f ca="1">IFERROR(__xludf.DUMMYFUNCTION("""COMPUTED_VALUE"""),"")</f>
        <v/>
      </c>
      <c r="C13752" s="12" t="str">
        <f ca="1">IFERROR(__xludf.DUMMYFUNCTION("""COMPUTED_VALUE"""),"")</f>
        <v/>
      </c>
      <c r="D13752" s="12" t="str">
        <f ca="1">IFERROR(__xludf.DUMMYFUNCTION("""COMPUTED_VALUE"""),"")</f>
        <v/>
      </c>
    </row>
    <row r="13753" spans="2:4" ht="13">
      <c r="B13753" s="12" t="str">
        <f ca="1">IFERROR(__xludf.DUMMYFUNCTION("""COMPUTED_VALUE"""),"")</f>
        <v/>
      </c>
      <c r="C13753" s="12" t="str">
        <f ca="1">IFERROR(__xludf.DUMMYFUNCTION("""COMPUTED_VALUE"""),"")</f>
        <v/>
      </c>
      <c r="D13753" s="12" t="str">
        <f ca="1">IFERROR(__xludf.DUMMYFUNCTION("""COMPUTED_VALUE"""),"")</f>
        <v/>
      </c>
    </row>
    <row r="13754" spans="2:4" ht="13">
      <c r="B13754" s="12" t="str">
        <f ca="1">IFERROR(__xludf.DUMMYFUNCTION("""COMPUTED_VALUE"""),"")</f>
        <v/>
      </c>
      <c r="C13754" s="12" t="str">
        <f ca="1">IFERROR(__xludf.DUMMYFUNCTION("""COMPUTED_VALUE"""),"")</f>
        <v/>
      </c>
      <c r="D13754" s="12" t="str">
        <f ca="1">IFERROR(__xludf.DUMMYFUNCTION("""COMPUTED_VALUE"""),"")</f>
        <v/>
      </c>
    </row>
    <row r="13755" spans="2:4" ht="13">
      <c r="B13755" s="12" t="str">
        <f ca="1">IFERROR(__xludf.DUMMYFUNCTION("""COMPUTED_VALUE"""),"")</f>
        <v/>
      </c>
      <c r="C13755" s="12" t="str">
        <f ca="1">IFERROR(__xludf.DUMMYFUNCTION("""COMPUTED_VALUE"""),"")</f>
        <v/>
      </c>
      <c r="D13755" s="12" t="str">
        <f ca="1">IFERROR(__xludf.DUMMYFUNCTION("""COMPUTED_VALUE"""),"")</f>
        <v/>
      </c>
    </row>
    <row r="13756" spans="2:4" ht="13">
      <c r="B13756" s="12" t="str">
        <f ca="1">IFERROR(__xludf.DUMMYFUNCTION("""COMPUTED_VALUE"""),"")</f>
        <v/>
      </c>
      <c r="C13756" s="12" t="str">
        <f ca="1">IFERROR(__xludf.DUMMYFUNCTION("""COMPUTED_VALUE"""),"")</f>
        <v/>
      </c>
      <c r="D13756" s="12" t="str">
        <f ca="1">IFERROR(__xludf.DUMMYFUNCTION("""COMPUTED_VALUE"""),"")</f>
        <v/>
      </c>
    </row>
    <row r="13757" spans="2:4" ht="13">
      <c r="B13757" s="12" t="str">
        <f ca="1">IFERROR(__xludf.DUMMYFUNCTION("""COMPUTED_VALUE"""),"")</f>
        <v/>
      </c>
      <c r="C13757" s="12" t="str">
        <f ca="1">IFERROR(__xludf.DUMMYFUNCTION("""COMPUTED_VALUE"""),"")</f>
        <v/>
      </c>
      <c r="D13757" s="12" t="str">
        <f ca="1">IFERROR(__xludf.DUMMYFUNCTION("""COMPUTED_VALUE"""),"")</f>
        <v/>
      </c>
    </row>
    <row r="13758" spans="2:4" ht="13">
      <c r="B13758" s="12" t="str">
        <f ca="1">IFERROR(__xludf.DUMMYFUNCTION("""COMPUTED_VALUE"""),"")</f>
        <v/>
      </c>
      <c r="C13758" s="12" t="str">
        <f ca="1">IFERROR(__xludf.DUMMYFUNCTION("""COMPUTED_VALUE"""),"")</f>
        <v/>
      </c>
      <c r="D13758" s="12" t="str">
        <f ca="1">IFERROR(__xludf.DUMMYFUNCTION("""COMPUTED_VALUE"""),"")</f>
        <v/>
      </c>
    </row>
    <row r="13759" spans="2:4" ht="13">
      <c r="B13759" s="12" t="str">
        <f ca="1">IFERROR(__xludf.DUMMYFUNCTION("""COMPUTED_VALUE"""),"")</f>
        <v/>
      </c>
      <c r="C13759" s="12" t="str">
        <f ca="1">IFERROR(__xludf.DUMMYFUNCTION("""COMPUTED_VALUE"""),"")</f>
        <v/>
      </c>
      <c r="D13759" s="12" t="str">
        <f ca="1">IFERROR(__xludf.DUMMYFUNCTION("""COMPUTED_VALUE"""),"")</f>
        <v/>
      </c>
    </row>
    <row r="13760" spans="2:4" ht="13">
      <c r="B13760" s="12" t="str">
        <f ca="1">IFERROR(__xludf.DUMMYFUNCTION("""COMPUTED_VALUE"""),"")</f>
        <v/>
      </c>
      <c r="C13760" s="12" t="str">
        <f ca="1">IFERROR(__xludf.DUMMYFUNCTION("""COMPUTED_VALUE"""),"")</f>
        <v/>
      </c>
      <c r="D13760" s="12" t="str">
        <f ca="1">IFERROR(__xludf.DUMMYFUNCTION("""COMPUTED_VALUE"""),"")</f>
        <v/>
      </c>
    </row>
    <row r="13761" spans="2:4" ht="13">
      <c r="B13761" s="12" t="str">
        <f ca="1">IFERROR(__xludf.DUMMYFUNCTION("""COMPUTED_VALUE"""),"")</f>
        <v/>
      </c>
      <c r="C13761" s="12" t="str">
        <f ca="1">IFERROR(__xludf.DUMMYFUNCTION("""COMPUTED_VALUE"""),"")</f>
        <v/>
      </c>
      <c r="D13761" s="12" t="str">
        <f ca="1">IFERROR(__xludf.DUMMYFUNCTION("""COMPUTED_VALUE"""),"")</f>
        <v/>
      </c>
    </row>
    <row r="13762" spans="2:4" ht="13">
      <c r="B13762" s="12" t="str">
        <f ca="1">IFERROR(__xludf.DUMMYFUNCTION("""COMPUTED_VALUE"""),"")</f>
        <v/>
      </c>
      <c r="C13762" s="12" t="str">
        <f ca="1">IFERROR(__xludf.DUMMYFUNCTION("""COMPUTED_VALUE"""),"")</f>
        <v/>
      </c>
      <c r="D13762" s="12" t="str">
        <f ca="1">IFERROR(__xludf.DUMMYFUNCTION("""COMPUTED_VALUE"""),"")</f>
        <v/>
      </c>
    </row>
    <row r="13763" spans="2:4" ht="13">
      <c r="B13763" s="12" t="str">
        <f ca="1">IFERROR(__xludf.DUMMYFUNCTION("""COMPUTED_VALUE"""),"")</f>
        <v/>
      </c>
      <c r="C13763" s="12" t="str">
        <f ca="1">IFERROR(__xludf.DUMMYFUNCTION("""COMPUTED_VALUE"""),"")</f>
        <v/>
      </c>
      <c r="D13763" s="12" t="str">
        <f ca="1">IFERROR(__xludf.DUMMYFUNCTION("""COMPUTED_VALUE"""),"")</f>
        <v/>
      </c>
    </row>
    <row r="13764" spans="2:4" ht="13">
      <c r="B13764" s="12" t="str">
        <f ca="1">IFERROR(__xludf.DUMMYFUNCTION("""COMPUTED_VALUE"""),"")</f>
        <v/>
      </c>
      <c r="C13764" s="12" t="str">
        <f ca="1">IFERROR(__xludf.DUMMYFUNCTION("""COMPUTED_VALUE"""),"")</f>
        <v/>
      </c>
      <c r="D13764" s="12" t="str">
        <f ca="1">IFERROR(__xludf.DUMMYFUNCTION("""COMPUTED_VALUE"""),"")</f>
        <v/>
      </c>
    </row>
    <row r="13765" spans="2:4" ht="13">
      <c r="B13765" s="12" t="str">
        <f ca="1">IFERROR(__xludf.DUMMYFUNCTION("""COMPUTED_VALUE"""),"")</f>
        <v/>
      </c>
      <c r="C13765" s="12" t="str">
        <f ca="1">IFERROR(__xludf.DUMMYFUNCTION("""COMPUTED_VALUE"""),"")</f>
        <v/>
      </c>
      <c r="D13765" s="12" t="str">
        <f ca="1">IFERROR(__xludf.DUMMYFUNCTION("""COMPUTED_VALUE"""),"")</f>
        <v/>
      </c>
    </row>
    <row r="13766" spans="2:4" ht="13">
      <c r="B13766" s="12" t="str">
        <f ca="1">IFERROR(__xludf.DUMMYFUNCTION("""COMPUTED_VALUE"""),"")</f>
        <v/>
      </c>
      <c r="C13766" s="12" t="str">
        <f ca="1">IFERROR(__xludf.DUMMYFUNCTION("""COMPUTED_VALUE"""),"")</f>
        <v/>
      </c>
      <c r="D13766" s="12" t="str">
        <f ca="1">IFERROR(__xludf.DUMMYFUNCTION("""COMPUTED_VALUE"""),"")</f>
        <v/>
      </c>
    </row>
    <row r="13767" spans="2:4" ht="13">
      <c r="B13767" s="12" t="str">
        <f ca="1">IFERROR(__xludf.DUMMYFUNCTION("""COMPUTED_VALUE"""),"")</f>
        <v/>
      </c>
      <c r="C13767" s="12" t="str">
        <f ca="1">IFERROR(__xludf.DUMMYFUNCTION("""COMPUTED_VALUE"""),"")</f>
        <v/>
      </c>
      <c r="D13767" s="12" t="str">
        <f ca="1">IFERROR(__xludf.DUMMYFUNCTION("""COMPUTED_VALUE"""),"")</f>
        <v/>
      </c>
    </row>
    <row r="13768" spans="2:4" ht="13">
      <c r="B13768" s="12" t="str">
        <f ca="1">IFERROR(__xludf.DUMMYFUNCTION("""COMPUTED_VALUE"""),"")</f>
        <v/>
      </c>
      <c r="C13768" s="12" t="str">
        <f ca="1">IFERROR(__xludf.DUMMYFUNCTION("""COMPUTED_VALUE"""),"")</f>
        <v/>
      </c>
      <c r="D13768" s="12" t="str">
        <f ca="1">IFERROR(__xludf.DUMMYFUNCTION("""COMPUTED_VALUE"""),"")</f>
        <v/>
      </c>
    </row>
    <row r="13769" spans="2:4" ht="13">
      <c r="B13769" s="12" t="str">
        <f ca="1">IFERROR(__xludf.DUMMYFUNCTION("""COMPUTED_VALUE"""),"")</f>
        <v/>
      </c>
      <c r="C13769" s="12" t="str">
        <f ca="1">IFERROR(__xludf.DUMMYFUNCTION("""COMPUTED_VALUE"""),"")</f>
        <v/>
      </c>
      <c r="D13769" s="12" t="str">
        <f ca="1">IFERROR(__xludf.DUMMYFUNCTION("""COMPUTED_VALUE"""),"")</f>
        <v/>
      </c>
    </row>
    <row r="13770" spans="2:4" ht="13">
      <c r="B13770" s="12" t="str">
        <f ca="1">IFERROR(__xludf.DUMMYFUNCTION("""COMPUTED_VALUE"""),"")</f>
        <v/>
      </c>
      <c r="C13770" s="12" t="str">
        <f ca="1">IFERROR(__xludf.DUMMYFUNCTION("""COMPUTED_VALUE"""),"")</f>
        <v/>
      </c>
      <c r="D13770" s="12" t="str">
        <f ca="1">IFERROR(__xludf.DUMMYFUNCTION("""COMPUTED_VALUE"""),"")</f>
        <v/>
      </c>
    </row>
    <row r="13771" spans="2:4" ht="13">
      <c r="B13771" s="12" t="str">
        <f ca="1">IFERROR(__xludf.DUMMYFUNCTION("""COMPUTED_VALUE"""),"")</f>
        <v/>
      </c>
      <c r="C13771" s="12" t="str">
        <f ca="1">IFERROR(__xludf.DUMMYFUNCTION("""COMPUTED_VALUE"""),"")</f>
        <v/>
      </c>
      <c r="D13771" s="12" t="str">
        <f ca="1">IFERROR(__xludf.DUMMYFUNCTION("""COMPUTED_VALUE"""),"")</f>
        <v/>
      </c>
    </row>
    <row r="13772" spans="2:4" ht="13">
      <c r="B13772" s="12" t="str">
        <f ca="1">IFERROR(__xludf.DUMMYFUNCTION("""COMPUTED_VALUE"""),"")</f>
        <v/>
      </c>
      <c r="C13772" s="12" t="str">
        <f ca="1">IFERROR(__xludf.DUMMYFUNCTION("""COMPUTED_VALUE"""),"")</f>
        <v/>
      </c>
      <c r="D13772" s="12" t="str">
        <f ca="1">IFERROR(__xludf.DUMMYFUNCTION("""COMPUTED_VALUE"""),"")</f>
        <v/>
      </c>
    </row>
    <row r="13773" spans="2:4" ht="13">
      <c r="B13773" s="12" t="str">
        <f ca="1">IFERROR(__xludf.DUMMYFUNCTION("""COMPUTED_VALUE"""),"")</f>
        <v/>
      </c>
      <c r="C13773" s="12" t="str">
        <f ca="1">IFERROR(__xludf.DUMMYFUNCTION("""COMPUTED_VALUE"""),"")</f>
        <v/>
      </c>
      <c r="D13773" s="12" t="str">
        <f ca="1">IFERROR(__xludf.DUMMYFUNCTION("""COMPUTED_VALUE"""),"")</f>
        <v/>
      </c>
    </row>
    <row r="13774" spans="2:4" ht="13">
      <c r="B13774" s="12" t="str">
        <f ca="1">IFERROR(__xludf.DUMMYFUNCTION("""COMPUTED_VALUE"""),"")</f>
        <v/>
      </c>
      <c r="C13774" s="12" t="str">
        <f ca="1">IFERROR(__xludf.DUMMYFUNCTION("""COMPUTED_VALUE"""),"")</f>
        <v/>
      </c>
      <c r="D13774" s="12" t="str">
        <f ca="1">IFERROR(__xludf.DUMMYFUNCTION("""COMPUTED_VALUE"""),"")</f>
        <v/>
      </c>
    </row>
    <row r="13775" spans="2:4" ht="13">
      <c r="B13775" s="12" t="str">
        <f ca="1">IFERROR(__xludf.DUMMYFUNCTION("""COMPUTED_VALUE"""),"")</f>
        <v/>
      </c>
      <c r="C13775" s="12" t="str">
        <f ca="1">IFERROR(__xludf.DUMMYFUNCTION("""COMPUTED_VALUE"""),"")</f>
        <v/>
      </c>
      <c r="D13775" s="12" t="str">
        <f ca="1">IFERROR(__xludf.DUMMYFUNCTION("""COMPUTED_VALUE"""),"")</f>
        <v/>
      </c>
    </row>
    <row r="13776" spans="2:4" ht="13">
      <c r="B13776" s="12" t="str">
        <f ca="1">IFERROR(__xludf.DUMMYFUNCTION("""COMPUTED_VALUE"""),"")</f>
        <v/>
      </c>
      <c r="C13776" s="12" t="str">
        <f ca="1">IFERROR(__xludf.DUMMYFUNCTION("""COMPUTED_VALUE"""),"")</f>
        <v/>
      </c>
      <c r="D13776" s="12" t="str">
        <f ca="1">IFERROR(__xludf.DUMMYFUNCTION("""COMPUTED_VALUE"""),"")</f>
        <v/>
      </c>
    </row>
    <row r="13777" spans="2:4" ht="13">
      <c r="B13777" s="12" t="str">
        <f ca="1">IFERROR(__xludf.DUMMYFUNCTION("""COMPUTED_VALUE"""),"")</f>
        <v/>
      </c>
      <c r="C13777" s="12" t="str">
        <f ca="1">IFERROR(__xludf.DUMMYFUNCTION("""COMPUTED_VALUE"""),"")</f>
        <v/>
      </c>
      <c r="D13777" s="12" t="str">
        <f ca="1">IFERROR(__xludf.DUMMYFUNCTION("""COMPUTED_VALUE"""),"")</f>
        <v/>
      </c>
    </row>
    <row r="13778" spans="2:4" ht="13">
      <c r="B13778" s="12" t="str">
        <f ca="1">IFERROR(__xludf.DUMMYFUNCTION("""COMPUTED_VALUE"""),"")</f>
        <v/>
      </c>
      <c r="C13778" s="12" t="str">
        <f ca="1">IFERROR(__xludf.DUMMYFUNCTION("""COMPUTED_VALUE"""),"")</f>
        <v/>
      </c>
      <c r="D13778" s="12" t="str">
        <f ca="1">IFERROR(__xludf.DUMMYFUNCTION("""COMPUTED_VALUE"""),"")</f>
        <v/>
      </c>
    </row>
    <row r="13779" spans="2:4" ht="13">
      <c r="B13779" s="12" t="str">
        <f ca="1">IFERROR(__xludf.DUMMYFUNCTION("""COMPUTED_VALUE"""),"")</f>
        <v/>
      </c>
      <c r="C13779" s="12" t="str">
        <f ca="1">IFERROR(__xludf.DUMMYFUNCTION("""COMPUTED_VALUE"""),"")</f>
        <v/>
      </c>
      <c r="D13779" s="12" t="str">
        <f ca="1">IFERROR(__xludf.DUMMYFUNCTION("""COMPUTED_VALUE"""),"")</f>
        <v/>
      </c>
    </row>
    <row r="13780" spans="2:4" ht="13">
      <c r="B13780" s="12" t="str">
        <f ca="1">IFERROR(__xludf.DUMMYFUNCTION("""COMPUTED_VALUE"""),"")</f>
        <v/>
      </c>
      <c r="C13780" s="12" t="str">
        <f ca="1">IFERROR(__xludf.DUMMYFUNCTION("""COMPUTED_VALUE"""),"")</f>
        <v/>
      </c>
      <c r="D13780" s="12" t="str">
        <f ca="1">IFERROR(__xludf.DUMMYFUNCTION("""COMPUTED_VALUE"""),"")</f>
        <v/>
      </c>
    </row>
    <row r="13781" spans="2:4" ht="13">
      <c r="B13781" s="12" t="str">
        <f ca="1">IFERROR(__xludf.DUMMYFUNCTION("""COMPUTED_VALUE"""),"")</f>
        <v/>
      </c>
      <c r="C13781" s="12" t="str">
        <f ca="1">IFERROR(__xludf.DUMMYFUNCTION("""COMPUTED_VALUE"""),"")</f>
        <v/>
      </c>
      <c r="D13781" s="12" t="str">
        <f ca="1">IFERROR(__xludf.DUMMYFUNCTION("""COMPUTED_VALUE"""),"")</f>
        <v/>
      </c>
    </row>
    <row r="13782" spans="2:4" ht="13">
      <c r="B13782" s="12" t="str">
        <f ca="1">IFERROR(__xludf.DUMMYFUNCTION("""COMPUTED_VALUE"""),"")</f>
        <v/>
      </c>
      <c r="C13782" s="12" t="str">
        <f ca="1">IFERROR(__xludf.DUMMYFUNCTION("""COMPUTED_VALUE"""),"")</f>
        <v/>
      </c>
      <c r="D13782" s="12" t="str">
        <f ca="1">IFERROR(__xludf.DUMMYFUNCTION("""COMPUTED_VALUE"""),"")</f>
        <v/>
      </c>
    </row>
    <row r="13783" spans="2:4" ht="13">
      <c r="B13783" s="12" t="str">
        <f ca="1">IFERROR(__xludf.DUMMYFUNCTION("""COMPUTED_VALUE"""),"")</f>
        <v/>
      </c>
      <c r="C13783" s="12" t="str">
        <f ca="1">IFERROR(__xludf.DUMMYFUNCTION("""COMPUTED_VALUE"""),"")</f>
        <v/>
      </c>
      <c r="D13783" s="12" t="str">
        <f ca="1">IFERROR(__xludf.DUMMYFUNCTION("""COMPUTED_VALUE"""),"")</f>
        <v/>
      </c>
    </row>
    <row r="13784" spans="2:4" ht="13">
      <c r="B13784" s="12" t="str">
        <f ca="1">IFERROR(__xludf.DUMMYFUNCTION("""COMPUTED_VALUE"""),"")</f>
        <v/>
      </c>
      <c r="C13784" s="12" t="str">
        <f ca="1">IFERROR(__xludf.DUMMYFUNCTION("""COMPUTED_VALUE"""),"")</f>
        <v/>
      </c>
      <c r="D13784" s="12" t="str">
        <f ca="1">IFERROR(__xludf.DUMMYFUNCTION("""COMPUTED_VALUE"""),"")</f>
        <v/>
      </c>
    </row>
    <row r="13785" spans="2:4" ht="13">
      <c r="B13785" s="12" t="str">
        <f ca="1">IFERROR(__xludf.DUMMYFUNCTION("""COMPUTED_VALUE"""),"")</f>
        <v/>
      </c>
      <c r="C13785" s="12" t="str">
        <f ca="1">IFERROR(__xludf.DUMMYFUNCTION("""COMPUTED_VALUE"""),"")</f>
        <v/>
      </c>
      <c r="D13785" s="12" t="str">
        <f ca="1">IFERROR(__xludf.DUMMYFUNCTION("""COMPUTED_VALUE"""),"")</f>
        <v/>
      </c>
    </row>
    <row r="13786" spans="2:4" ht="13">
      <c r="B13786" s="12" t="str">
        <f ca="1">IFERROR(__xludf.DUMMYFUNCTION("""COMPUTED_VALUE"""),"")</f>
        <v/>
      </c>
      <c r="C13786" s="12" t="str">
        <f ca="1">IFERROR(__xludf.DUMMYFUNCTION("""COMPUTED_VALUE"""),"")</f>
        <v/>
      </c>
      <c r="D13786" s="12" t="str">
        <f ca="1">IFERROR(__xludf.DUMMYFUNCTION("""COMPUTED_VALUE"""),"")</f>
        <v/>
      </c>
    </row>
    <row r="13787" spans="2:4" ht="13">
      <c r="B13787" s="12" t="str">
        <f ca="1">IFERROR(__xludf.DUMMYFUNCTION("""COMPUTED_VALUE"""),"")</f>
        <v/>
      </c>
      <c r="C13787" s="12" t="str">
        <f ca="1">IFERROR(__xludf.DUMMYFUNCTION("""COMPUTED_VALUE"""),"")</f>
        <v/>
      </c>
      <c r="D13787" s="12" t="str">
        <f ca="1">IFERROR(__xludf.DUMMYFUNCTION("""COMPUTED_VALUE"""),"")</f>
        <v/>
      </c>
    </row>
    <row r="13788" spans="2:4" ht="13">
      <c r="B13788" s="12" t="str">
        <f ca="1">IFERROR(__xludf.DUMMYFUNCTION("""COMPUTED_VALUE"""),"")</f>
        <v/>
      </c>
      <c r="C13788" s="12" t="str">
        <f ca="1">IFERROR(__xludf.DUMMYFUNCTION("""COMPUTED_VALUE"""),"")</f>
        <v/>
      </c>
      <c r="D13788" s="12" t="str">
        <f ca="1">IFERROR(__xludf.DUMMYFUNCTION("""COMPUTED_VALUE"""),"")</f>
        <v/>
      </c>
    </row>
    <row r="13789" spans="2:4" ht="13">
      <c r="B13789" s="12" t="str">
        <f ca="1">IFERROR(__xludf.DUMMYFUNCTION("""COMPUTED_VALUE"""),"")</f>
        <v/>
      </c>
      <c r="C13789" s="12" t="str">
        <f ca="1">IFERROR(__xludf.DUMMYFUNCTION("""COMPUTED_VALUE"""),"")</f>
        <v/>
      </c>
      <c r="D13789" s="12" t="str">
        <f ca="1">IFERROR(__xludf.DUMMYFUNCTION("""COMPUTED_VALUE"""),"")</f>
        <v/>
      </c>
    </row>
    <row r="13790" spans="2:4" ht="13">
      <c r="B13790" s="12" t="str">
        <f ca="1">IFERROR(__xludf.DUMMYFUNCTION("""COMPUTED_VALUE"""),"")</f>
        <v/>
      </c>
      <c r="C13790" s="12" t="str">
        <f ca="1">IFERROR(__xludf.DUMMYFUNCTION("""COMPUTED_VALUE"""),"")</f>
        <v/>
      </c>
      <c r="D13790" s="12" t="str">
        <f ca="1">IFERROR(__xludf.DUMMYFUNCTION("""COMPUTED_VALUE"""),"")</f>
        <v/>
      </c>
    </row>
    <row r="13791" spans="2:4" ht="13">
      <c r="B13791" s="12" t="str">
        <f ca="1">IFERROR(__xludf.DUMMYFUNCTION("""COMPUTED_VALUE"""),"")</f>
        <v/>
      </c>
      <c r="C13791" s="12" t="str">
        <f ca="1">IFERROR(__xludf.DUMMYFUNCTION("""COMPUTED_VALUE"""),"")</f>
        <v/>
      </c>
      <c r="D13791" s="12" t="str">
        <f ca="1">IFERROR(__xludf.DUMMYFUNCTION("""COMPUTED_VALUE"""),"")</f>
        <v/>
      </c>
    </row>
    <row r="13792" spans="2:4" ht="13">
      <c r="B13792" s="12" t="str">
        <f ca="1">IFERROR(__xludf.DUMMYFUNCTION("""COMPUTED_VALUE"""),"")</f>
        <v/>
      </c>
      <c r="C13792" s="12" t="str">
        <f ca="1">IFERROR(__xludf.DUMMYFUNCTION("""COMPUTED_VALUE"""),"")</f>
        <v/>
      </c>
      <c r="D13792" s="12" t="str">
        <f ca="1">IFERROR(__xludf.DUMMYFUNCTION("""COMPUTED_VALUE"""),"")</f>
        <v/>
      </c>
    </row>
    <row r="13793" spans="2:4" ht="13">
      <c r="B13793" s="12" t="str">
        <f ca="1">IFERROR(__xludf.DUMMYFUNCTION("""COMPUTED_VALUE"""),"")</f>
        <v/>
      </c>
      <c r="C13793" s="12" t="str">
        <f ca="1">IFERROR(__xludf.DUMMYFUNCTION("""COMPUTED_VALUE"""),"")</f>
        <v/>
      </c>
      <c r="D13793" s="12" t="str">
        <f ca="1">IFERROR(__xludf.DUMMYFUNCTION("""COMPUTED_VALUE"""),"")</f>
        <v/>
      </c>
    </row>
    <row r="13794" spans="2:4" ht="13">
      <c r="B13794" s="12" t="str">
        <f ca="1">IFERROR(__xludf.DUMMYFUNCTION("""COMPUTED_VALUE"""),"")</f>
        <v/>
      </c>
      <c r="C13794" s="12" t="str">
        <f ca="1">IFERROR(__xludf.DUMMYFUNCTION("""COMPUTED_VALUE"""),"")</f>
        <v/>
      </c>
      <c r="D13794" s="12" t="str">
        <f ca="1">IFERROR(__xludf.DUMMYFUNCTION("""COMPUTED_VALUE"""),"")</f>
        <v/>
      </c>
    </row>
    <row r="13795" spans="2:4" ht="13">
      <c r="B13795" s="12" t="str">
        <f ca="1">IFERROR(__xludf.DUMMYFUNCTION("""COMPUTED_VALUE"""),"")</f>
        <v/>
      </c>
      <c r="C13795" s="12" t="str">
        <f ca="1">IFERROR(__xludf.DUMMYFUNCTION("""COMPUTED_VALUE"""),"")</f>
        <v/>
      </c>
      <c r="D13795" s="12" t="str">
        <f ca="1">IFERROR(__xludf.DUMMYFUNCTION("""COMPUTED_VALUE"""),"")</f>
        <v/>
      </c>
    </row>
    <row r="13796" spans="2:4" ht="13">
      <c r="B13796" s="12" t="str">
        <f ca="1">IFERROR(__xludf.DUMMYFUNCTION("""COMPUTED_VALUE"""),"")</f>
        <v/>
      </c>
      <c r="C13796" s="12" t="str">
        <f ca="1">IFERROR(__xludf.DUMMYFUNCTION("""COMPUTED_VALUE"""),"")</f>
        <v/>
      </c>
      <c r="D13796" s="12" t="str">
        <f ca="1">IFERROR(__xludf.DUMMYFUNCTION("""COMPUTED_VALUE"""),"")</f>
        <v/>
      </c>
    </row>
    <row r="13797" spans="2:4" ht="13">
      <c r="B13797" s="12" t="str">
        <f ca="1">IFERROR(__xludf.DUMMYFUNCTION("""COMPUTED_VALUE"""),"")</f>
        <v/>
      </c>
      <c r="C13797" s="12" t="str">
        <f ca="1">IFERROR(__xludf.DUMMYFUNCTION("""COMPUTED_VALUE"""),"")</f>
        <v/>
      </c>
      <c r="D13797" s="12" t="str">
        <f ca="1">IFERROR(__xludf.DUMMYFUNCTION("""COMPUTED_VALUE"""),"")</f>
        <v/>
      </c>
    </row>
    <row r="13798" spans="2:4" ht="13">
      <c r="B13798" s="12" t="str">
        <f ca="1">IFERROR(__xludf.DUMMYFUNCTION("""COMPUTED_VALUE"""),"")</f>
        <v/>
      </c>
      <c r="C13798" s="12" t="str">
        <f ca="1">IFERROR(__xludf.DUMMYFUNCTION("""COMPUTED_VALUE"""),"")</f>
        <v/>
      </c>
      <c r="D13798" s="12" t="str">
        <f ca="1">IFERROR(__xludf.DUMMYFUNCTION("""COMPUTED_VALUE"""),"")</f>
        <v/>
      </c>
    </row>
    <row r="13799" spans="2:4" ht="13">
      <c r="B13799" s="12" t="str">
        <f ca="1">IFERROR(__xludf.DUMMYFUNCTION("""COMPUTED_VALUE"""),"")</f>
        <v/>
      </c>
      <c r="C13799" s="12" t="str">
        <f ca="1">IFERROR(__xludf.DUMMYFUNCTION("""COMPUTED_VALUE"""),"")</f>
        <v/>
      </c>
      <c r="D13799" s="12" t="str">
        <f ca="1">IFERROR(__xludf.DUMMYFUNCTION("""COMPUTED_VALUE"""),"")</f>
        <v/>
      </c>
    </row>
    <row r="13800" spans="2:4" ht="13">
      <c r="B13800" s="12" t="str">
        <f ca="1">IFERROR(__xludf.DUMMYFUNCTION("""COMPUTED_VALUE"""),"")</f>
        <v/>
      </c>
      <c r="C13800" s="12" t="str">
        <f ca="1">IFERROR(__xludf.DUMMYFUNCTION("""COMPUTED_VALUE"""),"")</f>
        <v/>
      </c>
      <c r="D13800" s="12" t="str">
        <f ca="1">IFERROR(__xludf.DUMMYFUNCTION("""COMPUTED_VALUE"""),"")</f>
        <v/>
      </c>
    </row>
    <row r="13801" spans="2:4" ht="13">
      <c r="B13801" s="12" t="str">
        <f ca="1">IFERROR(__xludf.DUMMYFUNCTION("""COMPUTED_VALUE"""),"")</f>
        <v/>
      </c>
      <c r="C13801" s="12" t="str">
        <f ca="1">IFERROR(__xludf.DUMMYFUNCTION("""COMPUTED_VALUE"""),"")</f>
        <v/>
      </c>
      <c r="D13801" s="12" t="str">
        <f ca="1">IFERROR(__xludf.DUMMYFUNCTION("""COMPUTED_VALUE"""),"")</f>
        <v/>
      </c>
    </row>
    <row r="13802" spans="2:4" ht="13">
      <c r="B13802" s="12" t="str">
        <f ca="1">IFERROR(__xludf.DUMMYFUNCTION("""COMPUTED_VALUE"""),"")</f>
        <v/>
      </c>
      <c r="C13802" s="12" t="str">
        <f ca="1">IFERROR(__xludf.DUMMYFUNCTION("""COMPUTED_VALUE"""),"")</f>
        <v/>
      </c>
      <c r="D13802" s="12" t="str">
        <f ca="1">IFERROR(__xludf.DUMMYFUNCTION("""COMPUTED_VALUE"""),"")</f>
        <v/>
      </c>
    </row>
    <row r="13803" spans="2:4" ht="13">
      <c r="B13803" s="12" t="str">
        <f ca="1">IFERROR(__xludf.DUMMYFUNCTION("""COMPUTED_VALUE"""),"")</f>
        <v/>
      </c>
      <c r="C13803" s="12" t="str">
        <f ca="1">IFERROR(__xludf.DUMMYFUNCTION("""COMPUTED_VALUE"""),"")</f>
        <v/>
      </c>
      <c r="D13803" s="12" t="str">
        <f ca="1">IFERROR(__xludf.DUMMYFUNCTION("""COMPUTED_VALUE"""),"")</f>
        <v/>
      </c>
    </row>
    <row r="13804" spans="2:4" ht="13">
      <c r="B13804" s="12" t="str">
        <f ca="1">IFERROR(__xludf.DUMMYFUNCTION("""COMPUTED_VALUE"""),"")</f>
        <v/>
      </c>
      <c r="C13804" s="12" t="str">
        <f ca="1">IFERROR(__xludf.DUMMYFUNCTION("""COMPUTED_VALUE"""),"")</f>
        <v/>
      </c>
      <c r="D13804" s="12" t="str">
        <f ca="1">IFERROR(__xludf.DUMMYFUNCTION("""COMPUTED_VALUE"""),"")</f>
        <v/>
      </c>
    </row>
    <row r="13805" spans="2:4" ht="13">
      <c r="B13805" s="12" t="str">
        <f ca="1">IFERROR(__xludf.DUMMYFUNCTION("""COMPUTED_VALUE"""),"")</f>
        <v/>
      </c>
      <c r="C13805" s="12" t="str">
        <f ca="1">IFERROR(__xludf.DUMMYFUNCTION("""COMPUTED_VALUE"""),"")</f>
        <v/>
      </c>
      <c r="D13805" s="12" t="str">
        <f ca="1">IFERROR(__xludf.DUMMYFUNCTION("""COMPUTED_VALUE"""),"")</f>
        <v/>
      </c>
    </row>
    <row r="13806" spans="2:4" ht="13">
      <c r="B13806" s="12" t="str">
        <f ca="1">IFERROR(__xludf.DUMMYFUNCTION("""COMPUTED_VALUE"""),"")</f>
        <v/>
      </c>
      <c r="C13806" s="12" t="str">
        <f ca="1">IFERROR(__xludf.DUMMYFUNCTION("""COMPUTED_VALUE"""),"")</f>
        <v/>
      </c>
      <c r="D13806" s="12" t="str">
        <f ca="1">IFERROR(__xludf.DUMMYFUNCTION("""COMPUTED_VALUE"""),"")</f>
        <v/>
      </c>
    </row>
    <row r="13807" spans="2:4" ht="13">
      <c r="B13807" s="12" t="str">
        <f ca="1">IFERROR(__xludf.DUMMYFUNCTION("""COMPUTED_VALUE"""),"")</f>
        <v/>
      </c>
      <c r="C13807" s="12" t="str">
        <f ca="1">IFERROR(__xludf.DUMMYFUNCTION("""COMPUTED_VALUE"""),"")</f>
        <v/>
      </c>
      <c r="D13807" s="12" t="str">
        <f ca="1">IFERROR(__xludf.DUMMYFUNCTION("""COMPUTED_VALUE"""),"")</f>
        <v/>
      </c>
    </row>
    <row r="13808" spans="2:4" ht="13">
      <c r="B13808" s="12" t="str">
        <f ca="1">IFERROR(__xludf.DUMMYFUNCTION("""COMPUTED_VALUE"""),"")</f>
        <v/>
      </c>
      <c r="C13808" s="12" t="str">
        <f ca="1">IFERROR(__xludf.DUMMYFUNCTION("""COMPUTED_VALUE"""),"")</f>
        <v/>
      </c>
      <c r="D13808" s="12" t="str">
        <f ca="1">IFERROR(__xludf.DUMMYFUNCTION("""COMPUTED_VALUE"""),"")</f>
        <v/>
      </c>
    </row>
    <row r="13809" spans="2:4" ht="13">
      <c r="B13809" s="12" t="str">
        <f ca="1">IFERROR(__xludf.DUMMYFUNCTION("""COMPUTED_VALUE"""),"")</f>
        <v/>
      </c>
      <c r="C13809" s="12" t="str">
        <f ca="1">IFERROR(__xludf.DUMMYFUNCTION("""COMPUTED_VALUE"""),"")</f>
        <v/>
      </c>
      <c r="D13809" s="12" t="str">
        <f ca="1">IFERROR(__xludf.DUMMYFUNCTION("""COMPUTED_VALUE"""),"")</f>
        <v/>
      </c>
    </row>
    <row r="13810" spans="2:4" ht="13">
      <c r="B13810" s="12" t="str">
        <f ca="1">IFERROR(__xludf.DUMMYFUNCTION("""COMPUTED_VALUE"""),"")</f>
        <v/>
      </c>
      <c r="C13810" s="12" t="str">
        <f ca="1">IFERROR(__xludf.DUMMYFUNCTION("""COMPUTED_VALUE"""),"")</f>
        <v/>
      </c>
      <c r="D13810" s="12" t="str">
        <f ca="1">IFERROR(__xludf.DUMMYFUNCTION("""COMPUTED_VALUE"""),"")</f>
        <v/>
      </c>
    </row>
    <row r="13811" spans="2:4" ht="13">
      <c r="B13811" s="12" t="str">
        <f ca="1">IFERROR(__xludf.DUMMYFUNCTION("""COMPUTED_VALUE"""),"")</f>
        <v/>
      </c>
      <c r="C13811" s="12" t="str">
        <f ca="1">IFERROR(__xludf.DUMMYFUNCTION("""COMPUTED_VALUE"""),"")</f>
        <v/>
      </c>
      <c r="D13811" s="12" t="str">
        <f ca="1">IFERROR(__xludf.DUMMYFUNCTION("""COMPUTED_VALUE"""),"")</f>
        <v/>
      </c>
    </row>
    <row r="13812" spans="2:4" ht="13">
      <c r="B13812" s="12" t="str">
        <f ca="1">IFERROR(__xludf.DUMMYFUNCTION("""COMPUTED_VALUE"""),"")</f>
        <v/>
      </c>
      <c r="C13812" s="12" t="str">
        <f ca="1">IFERROR(__xludf.DUMMYFUNCTION("""COMPUTED_VALUE"""),"")</f>
        <v/>
      </c>
      <c r="D13812" s="12" t="str">
        <f ca="1">IFERROR(__xludf.DUMMYFUNCTION("""COMPUTED_VALUE"""),"")</f>
        <v/>
      </c>
    </row>
    <row r="13813" spans="2:4" ht="13">
      <c r="B13813" s="12" t="str">
        <f ca="1">IFERROR(__xludf.DUMMYFUNCTION("""COMPUTED_VALUE"""),"")</f>
        <v/>
      </c>
      <c r="C13813" s="12" t="str">
        <f ca="1">IFERROR(__xludf.DUMMYFUNCTION("""COMPUTED_VALUE"""),"")</f>
        <v/>
      </c>
      <c r="D13813" s="12" t="str">
        <f ca="1">IFERROR(__xludf.DUMMYFUNCTION("""COMPUTED_VALUE"""),"")</f>
        <v/>
      </c>
    </row>
    <row r="13814" spans="2:4" ht="13">
      <c r="B13814" s="12" t="str">
        <f ca="1">IFERROR(__xludf.DUMMYFUNCTION("""COMPUTED_VALUE"""),"")</f>
        <v/>
      </c>
      <c r="C13814" s="12" t="str">
        <f ca="1">IFERROR(__xludf.DUMMYFUNCTION("""COMPUTED_VALUE"""),"")</f>
        <v/>
      </c>
      <c r="D13814" s="12" t="str">
        <f ca="1">IFERROR(__xludf.DUMMYFUNCTION("""COMPUTED_VALUE"""),"")</f>
        <v/>
      </c>
    </row>
    <row r="13815" spans="2:4" ht="13">
      <c r="B13815" s="12" t="str">
        <f ca="1">IFERROR(__xludf.DUMMYFUNCTION("""COMPUTED_VALUE"""),"")</f>
        <v/>
      </c>
      <c r="C13815" s="12" t="str">
        <f ca="1">IFERROR(__xludf.DUMMYFUNCTION("""COMPUTED_VALUE"""),"")</f>
        <v/>
      </c>
      <c r="D13815" s="12" t="str">
        <f ca="1">IFERROR(__xludf.DUMMYFUNCTION("""COMPUTED_VALUE"""),"")</f>
        <v/>
      </c>
    </row>
    <row r="13816" spans="2:4" ht="13">
      <c r="B13816" s="12" t="str">
        <f ca="1">IFERROR(__xludf.DUMMYFUNCTION("""COMPUTED_VALUE"""),"")</f>
        <v/>
      </c>
      <c r="C13816" s="12" t="str">
        <f ca="1">IFERROR(__xludf.DUMMYFUNCTION("""COMPUTED_VALUE"""),"")</f>
        <v/>
      </c>
      <c r="D13816" s="12" t="str">
        <f ca="1">IFERROR(__xludf.DUMMYFUNCTION("""COMPUTED_VALUE"""),"")</f>
        <v/>
      </c>
    </row>
    <row r="13817" spans="2:4" ht="13">
      <c r="B13817" s="12" t="str">
        <f ca="1">IFERROR(__xludf.DUMMYFUNCTION("""COMPUTED_VALUE"""),"")</f>
        <v/>
      </c>
      <c r="C13817" s="12" t="str">
        <f ca="1">IFERROR(__xludf.DUMMYFUNCTION("""COMPUTED_VALUE"""),"")</f>
        <v/>
      </c>
      <c r="D13817" s="12" t="str">
        <f ca="1">IFERROR(__xludf.DUMMYFUNCTION("""COMPUTED_VALUE"""),"")</f>
        <v/>
      </c>
    </row>
    <row r="13818" spans="2:4" ht="13">
      <c r="B13818" s="12" t="str">
        <f ca="1">IFERROR(__xludf.DUMMYFUNCTION("""COMPUTED_VALUE"""),"")</f>
        <v/>
      </c>
      <c r="C13818" s="12" t="str">
        <f ca="1">IFERROR(__xludf.DUMMYFUNCTION("""COMPUTED_VALUE"""),"")</f>
        <v/>
      </c>
      <c r="D13818" s="12" t="str">
        <f ca="1">IFERROR(__xludf.DUMMYFUNCTION("""COMPUTED_VALUE"""),"")</f>
        <v/>
      </c>
    </row>
    <row r="13819" spans="2:4" ht="13">
      <c r="B13819" s="12" t="str">
        <f ca="1">IFERROR(__xludf.DUMMYFUNCTION("""COMPUTED_VALUE"""),"")</f>
        <v/>
      </c>
      <c r="C13819" s="12" t="str">
        <f ca="1">IFERROR(__xludf.DUMMYFUNCTION("""COMPUTED_VALUE"""),"")</f>
        <v/>
      </c>
      <c r="D13819" s="12" t="str">
        <f ca="1">IFERROR(__xludf.DUMMYFUNCTION("""COMPUTED_VALUE"""),"")</f>
        <v/>
      </c>
    </row>
    <row r="13820" spans="2:4" ht="13">
      <c r="B13820" s="12" t="str">
        <f ca="1">IFERROR(__xludf.DUMMYFUNCTION("""COMPUTED_VALUE"""),"")</f>
        <v/>
      </c>
      <c r="C13820" s="12" t="str">
        <f ca="1">IFERROR(__xludf.DUMMYFUNCTION("""COMPUTED_VALUE"""),"")</f>
        <v/>
      </c>
      <c r="D13820" s="12" t="str">
        <f ca="1">IFERROR(__xludf.DUMMYFUNCTION("""COMPUTED_VALUE"""),"")</f>
        <v/>
      </c>
    </row>
    <row r="13821" spans="2:4" ht="13">
      <c r="B13821" s="12" t="str">
        <f ca="1">IFERROR(__xludf.DUMMYFUNCTION("""COMPUTED_VALUE"""),"")</f>
        <v/>
      </c>
      <c r="C13821" s="12" t="str">
        <f ca="1">IFERROR(__xludf.DUMMYFUNCTION("""COMPUTED_VALUE"""),"")</f>
        <v/>
      </c>
      <c r="D13821" s="12" t="str">
        <f ca="1">IFERROR(__xludf.DUMMYFUNCTION("""COMPUTED_VALUE"""),"")</f>
        <v/>
      </c>
    </row>
    <row r="13822" spans="2:4" ht="13">
      <c r="B13822" s="12" t="str">
        <f ca="1">IFERROR(__xludf.DUMMYFUNCTION("""COMPUTED_VALUE"""),"")</f>
        <v/>
      </c>
      <c r="C13822" s="12" t="str">
        <f ca="1">IFERROR(__xludf.DUMMYFUNCTION("""COMPUTED_VALUE"""),"")</f>
        <v/>
      </c>
      <c r="D13822" s="12" t="str">
        <f ca="1">IFERROR(__xludf.DUMMYFUNCTION("""COMPUTED_VALUE"""),"")</f>
        <v/>
      </c>
    </row>
    <row r="13823" spans="2:4" ht="13">
      <c r="B13823" s="12" t="str">
        <f ca="1">IFERROR(__xludf.DUMMYFUNCTION("""COMPUTED_VALUE"""),"")</f>
        <v/>
      </c>
      <c r="C13823" s="12" t="str">
        <f ca="1">IFERROR(__xludf.DUMMYFUNCTION("""COMPUTED_VALUE"""),"")</f>
        <v/>
      </c>
      <c r="D13823" s="12" t="str">
        <f ca="1">IFERROR(__xludf.DUMMYFUNCTION("""COMPUTED_VALUE"""),"")</f>
        <v/>
      </c>
    </row>
    <row r="13824" spans="2:4" ht="13">
      <c r="B13824" s="12" t="str">
        <f ca="1">IFERROR(__xludf.DUMMYFUNCTION("""COMPUTED_VALUE"""),"")</f>
        <v/>
      </c>
      <c r="C13824" s="12" t="str">
        <f ca="1">IFERROR(__xludf.DUMMYFUNCTION("""COMPUTED_VALUE"""),"")</f>
        <v/>
      </c>
      <c r="D13824" s="12" t="str">
        <f ca="1">IFERROR(__xludf.DUMMYFUNCTION("""COMPUTED_VALUE"""),"")</f>
        <v/>
      </c>
    </row>
    <row r="13825" spans="2:4" ht="13">
      <c r="B13825" s="12" t="str">
        <f ca="1">IFERROR(__xludf.DUMMYFUNCTION("""COMPUTED_VALUE"""),"")</f>
        <v/>
      </c>
      <c r="C13825" s="12" t="str">
        <f ca="1">IFERROR(__xludf.DUMMYFUNCTION("""COMPUTED_VALUE"""),"")</f>
        <v/>
      </c>
      <c r="D13825" s="12" t="str">
        <f ca="1">IFERROR(__xludf.DUMMYFUNCTION("""COMPUTED_VALUE"""),"")</f>
        <v/>
      </c>
    </row>
    <row r="13826" spans="2:4" ht="13">
      <c r="B13826" s="12" t="str">
        <f ca="1">IFERROR(__xludf.DUMMYFUNCTION("""COMPUTED_VALUE"""),"")</f>
        <v/>
      </c>
      <c r="C13826" s="12" t="str">
        <f ca="1">IFERROR(__xludf.DUMMYFUNCTION("""COMPUTED_VALUE"""),"")</f>
        <v/>
      </c>
      <c r="D13826" s="12" t="str">
        <f ca="1">IFERROR(__xludf.DUMMYFUNCTION("""COMPUTED_VALUE"""),"")</f>
        <v/>
      </c>
    </row>
    <row r="13827" spans="2:4" ht="13">
      <c r="B13827" s="12" t="str">
        <f ca="1">IFERROR(__xludf.DUMMYFUNCTION("""COMPUTED_VALUE"""),"")</f>
        <v/>
      </c>
      <c r="C13827" s="12" t="str">
        <f ca="1">IFERROR(__xludf.DUMMYFUNCTION("""COMPUTED_VALUE"""),"")</f>
        <v/>
      </c>
      <c r="D13827" s="12" t="str">
        <f ca="1">IFERROR(__xludf.DUMMYFUNCTION("""COMPUTED_VALUE"""),"")</f>
        <v/>
      </c>
    </row>
    <row r="13828" spans="2:4" ht="13">
      <c r="B13828" s="12" t="str">
        <f ca="1">IFERROR(__xludf.DUMMYFUNCTION("""COMPUTED_VALUE"""),"")</f>
        <v/>
      </c>
      <c r="C13828" s="12" t="str">
        <f ca="1">IFERROR(__xludf.DUMMYFUNCTION("""COMPUTED_VALUE"""),"")</f>
        <v/>
      </c>
      <c r="D13828" s="12" t="str">
        <f ca="1">IFERROR(__xludf.DUMMYFUNCTION("""COMPUTED_VALUE"""),"")</f>
        <v/>
      </c>
    </row>
    <row r="13829" spans="2:4" ht="13">
      <c r="B13829" s="12" t="str">
        <f ca="1">IFERROR(__xludf.DUMMYFUNCTION("""COMPUTED_VALUE"""),"")</f>
        <v/>
      </c>
      <c r="C13829" s="12" t="str">
        <f ca="1">IFERROR(__xludf.DUMMYFUNCTION("""COMPUTED_VALUE"""),"")</f>
        <v/>
      </c>
      <c r="D13829" s="12" t="str">
        <f ca="1">IFERROR(__xludf.DUMMYFUNCTION("""COMPUTED_VALUE"""),"")</f>
        <v/>
      </c>
    </row>
    <row r="13830" spans="2:4" ht="13">
      <c r="B13830" s="12" t="str">
        <f ca="1">IFERROR(__xludf.DUMMYFUNCTION("""COMPUTED_VALUE"""),"")</f>
        <v/>
      </c>
      <c r="C13830" s="12" t="str">
        <f ca="1">IFERROR(__xludf.DUMMYFUNCTION("""COMPUTED_VALUE"""),"")</f>
        <v/>
      </c>
      <c r="D13830" s="12" t="str">
        <f ca="1">IFERROR(__xludf.DUMMYFUNCTION("""COMPUTED_VALUE"""),"")</f>
        <v/>
      </c>
    </row>
    <row r="13831" spans="2:4" ht="13">
      <c r="B13831" s="12" t="str">
        <f ca="1">IFERROR(__xludf.DUMMYFUNCTION("""COMPUTED_VALUE"""),"")</f>
        <v/>
      </c>
      <c r="C13831" s="12" t="str">
        <f ca="1">IFERROR(__xludf.DUMMYFUNCTION("""COMPUTED_VALUE"""),"")</f>
        <v/>
      </c>
      <c r="D13831" s="12" t="str">
        <f ca="1">IFERROR(__xludf.DUMMYFUNCTION("""COMPUTED_VALUE"""),"")</f>
        <v/>
      </c>
    </row>
    <row r="13832" spans="2:4" ht="13">
      <c r="B13832" s="12" t="str">
        <f ca="1">IFERROR(__xludf.DUMMYFUNCTION("""COMPUTED_VALUE"""),"")</f>
        <v/>
      </c>
      <c r="C13832" s="12" t="str">
        <f ca="1">IFERROR(__xludf.DUMMYFUNCTION("""COMPUTED_VALUE"""),"")</f>
        <v/>
      </c>
      <c r="D13832" s="12" t="str">
        <f ca="1">IFERROR(__xludf.DUMMYFUNCTION("""COMPUTED_VALUE"""),"")</f>
        <v/>
      </c>
    </row>
    <row r="13833" spans="2:4" ht="13">
      <c r="B13833" s="12" t="str">
        <f ca="1">IFERROR(__xludf.DUMMYFUNCTION("""COMPUTED_VALUE"""),"")</f>
        <v/>
      </c>
      <c r="C13833" s="12" t="str">
        <f ca="1">IFERROR(__xludf.DUMMYFUNCTION("""COMPUTED_VALUE"""),"")</f>
        <v/>
      </c>
      <c r="D13833" s="12" t="str">
        <f ca="1">IFERROR(__xludf.DUMMYFUNCTION("""COMPUTED_VALUE"""),"")</f>
        <v/>
      </c>
    </row>
    <row r="13834" spans="2:4" ht="13">
      <c r="B13834" s="12" t="str">
        <f ca="1">IFERROR(__xludf.DUMMYFUNCTION("""COMPUTED_VALUE"""),"")</f>
        <v/>
      </c>
      <c r="C13834" s="12" t="str">
        <f ca="1">IFERROR(__xludf.DUMMYFUNCTION("""COMPUTED_VALUE"""),"")</f>
        <v/>
      </c>
      <c r="D13834" s="12" t="str">
        <f ca="1">IFERROR(__xludf.DUMMYFUNCTION("""COMPUTED_VALUE"""),"")</f>
        <v/>
      </c>
    </row>
    <row r="13835" spans="2:4" ht="13">
      <c r="B13835" s="12" t="str">
        <f ca="1">IFERROR(__xludf.DUMMYFUNCTION("""COMPUTED_VALUE"""),"")</f>
        <v/>
      </c>
      <c r="C13835" s="12" t="str">
        <f ca="1">IFERROR(__xludf.DUMMYFUNCTION("""COMPUTED_VALUE"""),"")</f>
        <v/>
      </c>
      <c r="D13835" s="12" t="str">
        <f ca="1">IFERROR(__xludf.DUMMYFUNCTION("""COMPUTED_VALUE"""),"")</f>
        <v/>
      </c>
    </row>
    <row r="13836" spans="2:4" ht="13">
      <c r="B13836" s="12" t="str">
        <f ca="1">IFERROR(__xludf.DUMMYFUNCTION("""COMPUTED_VALUE"""),"")</f>
        <v/>
      </c>
      <c r="C13836" s="12" t="str">
        <f ca="1">IFERROR(__xludf.DUMMYFUNCTION("""COMPUTED_VALUE"""),"")</f>
        <v/>
      </c>
      <c r="D13836" s="12" t="str">
        <f ca="1">IFERROR(__xludf.DUMMYFUNCTION("""COMPUTED_VALUE"""),"")</f>
        <v/>
      </c>
    </row>
    <row r="13837" spans="2:4" ht="13">
      <c r="B13837" s="12" t="str">
        <f ca="1">IFERROR(__xludf.DUMMYFUNCTION("""COMPUTED_VALUE"""),"")</f>
        <v/>
      </c>
      <c r="C13837" s="12" t="str">
        <f ca="1">IFERROR(__xludf.DUMMYFUNCTION("""COMPUTED_VALUE"""),"")</f>
        <v/>
      </c>
      <c r="D13837" s="12" t="str">
        <f ca="1">IFERROR(__xludf.DUMMYFUNCTION("""COMPUTED_VALUE"""),"")</f>
        <v/>
      </c>
    </row>
    <row r="13838" spans="2:4" ht="13">
      <c r="B13838" s="12" t="str">
        <f ca="1">IFERROR(__xludf.DUMMYFUNCTION("""COMPUTED_VALUE"""),"")</f>
        <v/>
      </c>
      <c r="C13838" s="12" t="str">
        <f ca="1">IFERROR(__xludf.DUMMYFUNCTION("""COMPUTED_VALUE"""),"")</f>
        <v/>
      </c>
      <c r="D13838" s="12" t="str">
        <f ca="1">IFERROR(__xludf.DUMMYFUNCTION("""COMPUTED_VALUE"""),"")</f>
        <v/>
      </c>
    </row>
    <row r="13839" spans="2:4" ht="13">
      <c r="B13839" s="12" t="str">
        <f ca="1">IFERROR(__xludf.DUMMYFUNCTION("""COMPUTED_VALUE"""),"")</f>
        <v/>
      </c>
      <c r="C13839" s="12" t="str">
        <f ca="1">IFERROR(__xludf.DUMMYFUNCTION("""COMPUTED_VALUE"""),"")</f>
        <v/>
      </c>
      <c r="D13839" s="12" t="str">
        <f ca="1">IFERROR(__xludf.DUMMYFUNCTION("""COMPUTED_VALUE"""),"")</f>
        <v/>
      </c>
    </row>
    <row r="13840" spans="2:4" ht="13">
      <c r="B13840" s="12" t="str">
        <f ca="1">IFERROR(__xludf.DUMMYFUNCTION("""COMPUTED_VALUE"""),"")</f>
        <v/>
      </c>
      <c r="C13840" s="12" t="str">
        <f ca="1">IFERROR(__xludf.DUMMYFUNCTION("""COMPUTED_VALUE"""),"")</f>
        <v/>
      </c>
      <c r="D13840" s="12" t="str">
        <f ca="1">IFERROR(__xludf.DUMMYFUNCTION("""COMPUTED_VALUE"""),"")</f>
        <v/>
      </c>
    </row>
    <row r="13841" spans="2:4" ht="13">
      <c r="B13841" s="12" t="str">
        <f ca="1">IFERROR(__xludf.DUMMYFUNCTION("""COMPUTED_VALUE"""),"")</f>
        <v/>
      </c>
      <c r="C13841" s="12" t="str">
        <f ca="1">IFERROR(__xludf.DUMMYFUNCTION("""COMPUTED_VALUE"""),"")</f>
        <v/>
      </c>
      <c r="D13841" s="12" t="str">
        <f ca="1">IFERROR(__xludf.DUMMYFUNCTION("""COMPUTED_VALUE"""),"")</f>
        <v/>
      </c>
    </row>
    <row r="13842" spans="2:4" ht="13">
      <c r="B13842" s="12" t="str">
        <f ca="1">IFERROR(__xludf.DUMMYFUNCTION("""COMPUTED_VALUE"""),"")</f>
        <v/>
      </c>
      <c r="C13842" s="12" t="str">
        <f ca="1">IFERROR(__xludf.DUMMYFUNCTION("""COMPUTED_VALUE"""),"")</f>
        <v/>
      </c>
      <c r="D13842" s="12" t="str">
        <f ca="1">IFERROR(__xludf.DUMMYFUNCTION("""COMPUTED_VALUE"""),"")</f>
        <v/>
      </c>
    </row>
    <row r="13843" spans="2:4" ht="13">
      <c r="B13843" s="12" t="str">
        <f ca="1">IFERROR(__xludf.DUMMYFUNCTION("""COMPUTED_VALUE"""),"")</f>
        <v/>
      </c>
      <c r="C13843" s="12" t="str">
        <f ca="1">IFERROR(__xludf.DUMMYFUNCTION("""COMPUTED_VALUE"""),"")</f>
        <v/>
      </c>
      <c r="D13843" s="12" t="str">
        <f ca="1">IFERROR(__xludf.DUMMYFUNCTION("""COMPUTED_VALUE"""),"")</f>
        <v/>
      </c>
    </row>
    <row r="13844" spans="2:4" ht="13">
      <c r="B13844" s="12" t="str">
        <f ca="1">IFERROR(__xludf.DUMMYFUNCTION("""COMPUTED_VALUE"""),"")</f>
        <v/>
      </c>
      <c r="C13844" s="12" t="str">
        <f ca="1">IFERROR(__xludf.DUMMYFUNCTION("""COMPUTED_VALUE"""),"")</f>
        <v/>
      </c>
      <c r="D13844" s="12" t="str">
        <f ca="1">IFERROR(__xludf.DUMMYFUNCTION("""COMPUTED_VALUE"""),"")</f>
        <v/>
      </c>
    </row>
    <row r="13845" spans="2:4" ht="13">
      <c r="B13845" s="12" t="str">
        <f ca="1">IFERROR(__xludf.DUMMYFUNCTION("""COMPUTED_VALUE"""),"")</f>
        <v/>
      </c>
      <c r="C13845" s="12" t="str">
        <f ca="1">IFERROR(__xludf.DUMMYFUNCTION("""COMPUTED_VALUE"""),"")</f>
        <v/>
      </c>
      <c r="D13845" s="12" t="str">
        <f ca="1">IFERROR(__xludf.DUMMYFUNCTION("""COMPUTED_VALUE"""),"")</f>
        <v/>
      </c>
    </row>
    <row r="13846" spans="2:4" ht="13">
      <c r="B13846" s="12" t="str">
        <f ca="1">IFERROR(__xludf.DUMMYFUNCTION("""COMPUTED_VALUE"""),"")</f>
        <v/>
      </c>
      <c r="C13846" s="12" t="str">
        <f ca="1">IFERROR(__xludf.DUMMYFUNCTION("""COMPUTED_VALUE"""),"")</f>
        <v/>
      </c>
      <c r="D13846" s="12" t="str">
        <f ca="1">IFERROR(__xludf.DUMMYFUNCTION("""COMPUTED_VALUE"""),"")</f>
        <v/>
      </c>
    </row>
    <row r="13847" spans="2:4" ht="13">
      <c r="B13847" s="12" t="str">
        <f ca="1">IFERROR(__xludf.DUMMYFUNCTION("""COMPUTED_VALUE"""),"")</f>
        <v/>
      </c>
      <c r="C13847" s="12" t="str">
        <f ca="1">IFERROR(__xludf.DUMMYFUNCTION("""COMPUTED_VALUE"""),"")</f>
        <v/>
      </c>
      <c r="D13847" s="12" t="str">
        <f ca="1">IFERROR(__xludf.DUMMYFUNCTION("""COMPUTED_VALUE"""),"")</f>
        <v/>
      </c>
    </row>
    <row r="13848" spans="2:4" ht="13">
      <c r="B13848" s="12" t="str">
        <f ca="1">IFERROR(__xludf.DUMMYFUNCTION("""COMPUTED_VALUE"""),"")</f>
        <v/>
      </c>
      <c r="C13848" s="12" t="str">
        <f ca="1">IFERROR(__xludf.DUMMYFUNCTION("""COMPUTED_VALUE"""),"")</f>
        <v/>
      </c>
      <c r="D13848" s="12" t="str">
        <f ca="1">IFERROR(__xludf.DUMMYFUNCTION("""COMPUTED_VALUE"""),"")</f>
        <v/>
      </c>
    </row>
    <row r="13849" spans="2:4" ht="13">
      <c r="B13849" s="12" t="str">
        <f ca="1">IFERROR(__xludf.DUMMYFUNCTION("""COMPUTED_VALUE"""),"")</f>
        <v/>
      </c>
      <c r="C13849" s="12" t="str">
        <f ca="1">IFERROR(__xludf.DUMMYFUNCTION("""COMPUTED_VALUE"""),"")</f>
        <v/>
      </c>
      <c r="D13849" s="12" t="str">
        <f ca="1">IFERROR(__xludf.DUMMYFUNCTION("""COMPUTED_VALUE"""),"")</f>
        <v/>
      </c>
    </row>
    <row r="13850" spans="2:4" ht="13">
      <c r="B13850" s="12" t="str">
        <f ca="1">IFERROR(__xludf.DUMMYFUNCTION("""COMPUTED_VALUE"""),"")</f>
        <v/>
      </c>
      <c r="C13850" s="12" t="str">
        <f ca="1">IFERROR(__xludf.DUMMYFUNCTION("""COMPUTED_VALUE"""),"")</f>
        <v/>
      </c>
      <c r="D13850" s="12" t="str">
        <f ca="1">IFERROR(__xludf.DUMMYFUNCTION("""COMPUTED_VALUE"""),"")</f>
        <v/>
      </c>
    </row>
    <row r="13851" spans="2:4" ht="13">
      <c r="B13851" s="12" t="str">
        <f ca="1">IFERROR(__xludf.DUMMYFUNCTION("""COMPUTED_VALUE"""),"")</f>
        <v/>
      </c>
      <c r="C13851" s="12" t="str">
        <f ca="1">IFERROR(__xludf.DUMMYFUNCTION("""COMPUTED_VALUE"""),"")</f>
        <v/>
      </c>
      <c r="D13851" s="12" t="str">
        <f ca="1">IFERROR(__xludf.DUMMYFUNCTION("""COMPUTED_VALUE"""),"")</f>
        <v/>
      </c>
    </row>
    <row r="13852" spans="2:4" ht="13">
      <c r="B13852" s="12" t="str">
        <f ca="1">IFERROR(__xludf.DUMMYFUNCTION("""COMPUTED_VALUE"""),"")</f>
        <v/>
      </c>
      <c r="C13852" s="12" t="str">
        <f ca="1">IFERROR(__xludf.DUMMYFUNCTION("""COMPUTED_VALUE"""),"")</f>
        <v/>
      </c>
      <c r="D13852" s="12" t="str">
        <f ca="1">IFERROR(__xludf.DUMMYFUNCTION("""COMPUTED_VALUE"""),"")</f>
        <v/>
      </c>
    </row>
    <row r="13853" spans="2:4" ht="13">
      <c r="B13853" s="12" t="str">
        <f ca="1">IFERROR(__xludf.DUMMYFUNCTION("""COMPUTED_VALUE"""),"")</f>
        <v/>
      </c>
      <c r="C13853" s="12" t="str">
        <f ca="1">IFERROR(__xludf.DUMMYFUNCTION("""COMPUTED_VALUE"""),"")</f>
        <v/>
      </c>
      <c r="D13853" s="12" t="str">
        <f ca="1">IFERROR(__xludf.DUMMYFUNCTION("""COMPUTED_VALUE"""),"")</f>
        <v/>
      </c>
    </row>
    <row r="13854" spans="2:4" ht="13">
      <c r="B13854" s="12" t="str">
        <f ca="1">IFERROR(__xludf.DUMMYFUNCTION("""COMPUTED_VALUE"""),"")</f>
        <v/>
      </c>
      <c r="C13854" s="12" t="str">
        <f ca="1">IFERROR(__xludf.DUMMYFUNCTION("""COMPUTED_VALUE"""),"")</f>
        <v/>
      </c>
      <c r="D13854" s="12" t="str">
        <f ca="1">IFERROR(__xludf.DUMMYFUNCTION("""COMPUTED_VALUE"""),"")</f>
        <v/>
      </c>
    </row>
    <row r="13855" spans="2:4" ht="13">
      <c r="B13855" s="12" t="str">
        <f ca="1">IFERROR(__xludf.DUMMYFUNCTION("""COMPUTED_VALUE"""),"")</f>
        <v/>
      </c>
      <c r="C13855" s="12" t="str">
        <f ca="1">IFERROR(__xludf.DUMMYFUNCTION("""COMPUTED_VALUE"""),"")</f>
        <v/>
      </c>
      <c r="D13855" s="12" t="str">
        <f ca="1">IFERROR(__xludf.DUMMYFUNCTION("""COMPUTED_VALUE"""),"")</f>
        <v/>
      </c>
    </row>
    <row r="13856" spans="2:4" ht="13">
      <c r="B13856" s="12" t="str">
        <f ca="1">IFERROR(__xludf.DUMMYFUNCTION("""COMPUTED_VALUE"""),"")</f>
        <v/>
      </c>
      <c r="C13856" s="12" t="str">
        <f ca="1">IFERROR(__xludf.DUMMYFUNCTION("""COMPUTED_VALUE"""),"")</f>
        <v/>
      </c>
      <c r="D13856" s="12" t="str">
        <f ca="1">IFERROR(__xludf.DUMMYFUNCTION("""COMPUTED_VALUE"""),"")</f>
        <v/>
      </c>
    </row>
    <row r="13857" spans="2:4" ht="13">
      <c r="B13857" s="12" t="str">
        <f ca="1">IFERROR(__xludf.DUMMYFUNCTION("""COMPUTED_VALUE"""),"")</f>
        <v/>
      </c>
      <c r="C13857" s="12" t="str">
        <f ca="1">IFERROR(__xludf.DUMMYFUNCTION("""COMPUTED_VALUE"""),"")</f>
        <v/>
      </c>
      <c r="D13857" s="12" t="str">
        <f ca="1">IFERROR(__xludf.DUMMYFUNCTION("""COMPUTED_VALUE"""),"")</f>
        <v/>
      </c>
    </row>
    <row r="13858" spans="2:4" ht="13">
      <c r="B13858" s="12" t="str">
        <f ca="1">IFERROR(__xludf.DUMMYFUNCTION("""COMPUTED_VALUE"""),"")</f>
        <v/>
      </c>
      <c r="C13858" s="12" t="str">
        <f ca="1">IFERROR(__xludf.DUMMYFUNCTION("""COMPUTED_VALUE"""),"")</f>
        <v/>
      </c>
      <c r="D13858" s="12" t="str">
        <f ca="1">IFERROR(__xludf.DUMMYFUNCTION("""COMPUTED_VALUE"""),"")</f>
        <v/>
      </c>
    </row>
    <row r="13859" spans="2:4" ht="13">
      <c r="B13859" s="12" t="str">
        <f ca="1">IFERROR(__xludf.DUMMYFUNCTION("""COMPUTED_VALUE"""),"")</f>
        <v/>
      </c>
      <c r="C13859" s="12" t="str">
        <f ca="1">IFERROR(__xludf.DUMMYFUNCTION("""COMPUTED_VALUE"""),"")</f>
        <v/>
      </c>
      <c r="D13859" s="12" t="str">
        <f ca="1">IFERROR(__xludf.DUMMYFUNCTION("""COMPUTED_VALUE"""),"")</f>
        <v/>
      </c>
    </row>
    <row r="13860" spans="2:4" ht="13">
      <c r="B13860" s="12" t="str">
        <f ca="1">IFERROR(__xludf.DUMMYFUNCTION("""COMPUTED_VALUE"""),"")</f>
        <v/>
      </c>
      <c r="C13860" s="12" t="str">
        <f ca="1">IFERROR(__xludf.DUMMYFUNCTION("""COMPUTED_VALUE"""),"")</f>
        <v/>
      </c>
      <c r="D13860" s="12" t="str">
        <f ca="1">IFERROR(__xludf.DUMMYFUNCTION("""COMPUTED_VALUE"""),"")</f>
        <v/>
      </c>
    </row>
    <row r="13861" spans="2:4" ht="13">
      <c r="B13861" s="12" t="str">
        <f ca="1">IFERROR(__xludf.DUMMYFUNCTION("""COMPUTED_VALUE"""),"")</f>
        <v/>
      </c>
      <c r="C13861" s="12" t="str">
        <f ca="1">IFERROR(__xludf.DUMMYFUNCTION("""COMPUTED_VALUE"""),"")</f>
        <v/>
      </c>
      <c r="D13861" s="12" t="str">
        <f ca="1">IFERROR(__xludf.DUMMYFUNCTION("""COMPUTED_VALUE"""),"")</f>
        <v/>
      </c>
    </row>
    <row r="13862" spans="2:4" ht="13">
      <c r="B13862" s="12" t="str">
        <f ca="1">IFERROR(__xludf.DUMMYFUNCTION("""COMPUTED_VALUE"""),"")</f>
        <v/>
      </c>
      <c r="C13862" s="12" t="str">
        <f ca="1">IFERROR(__xludf.DUMMYFUNCTION("""COMPUTED_VALUE"""),"")</f>
        <v/>
      </c>
      <c r="D13862" s="12" t="str">
        <f ca="1">IFERROR(__xludf.DUMMYFUNCTION("""COMPUTED_VALUE"""),"")</f>
        <v/>
      </c>
    </row>
    <row r="13863" spans="2:4" ht="13">
      <c r="B13863" s="12" t="str">
        <f ca="1">IFERROR(__xludf.DUMMYFUNCTION("""COMPUTED_VALUE"""),"")</f>
        <v/>
      </c>
      <c r="C13863" s="12" t="str">
        <f ca="1">IFERROR(__xludf.DUMMYFUNCTION("""COMPUTED_VALUE"""),"")</f>
        <v/>
      </c>
      <c r="D13863" s="12" t="str">
        <f ca="1">IFERROR(__xludf.DUMMYFUNCTION("""COMPUTED_VALUE"""),"")</f>
        <v/>
      </c>
    </row>
    <row r="13864" spans="2:4" ht="13">
      <c r="B13864" s="12" t="str">
        <f ca="1">IFERROR(__xludf.DUMMYFUNCTION("""COMPUTED_VALUE"""),"")</f>
        <v/>
      </c>
      <c r="C13864" s="12" t="str">
        <f ca="1">IFERROR(__xludf.DUMMYFUNCTION("""COMPUTED_VALUE"""),"")</f>
        <v/>
      </c>
      <c r="D13864" s="12" t="str">
        <f ca="1">IFERROR(__xludf.DUMMYFUNCTION("""COMPUTED_VALUE"""),"")</f>
        <v/>
      </c>
    </row>
    <row r="13865" spans="2:4" ht="13">
      <c r="B13865" s="12" t="str">
        <f ca="1">IFERROR(__xludf.DUMMYFUNCTION("""COMPUTED_VALUE"""),"")</f>
        <v/>
      </c>
      <c r="C13865" s="12" t="str">
        <f ca="1">IFERROR(__xludf.DUMMYFUNCTION("""COMPUTED_VALUE"""),"")</f>
        <v/>
      </c>
      <c r="D13865" s="12" t="str">
        <f ca="1">IFERROR(__xludf.DUMMYFUNCTION("""COMPUTED_VALUE"""),"")</f>
        <v/>
      </c>
    </row>
    <row r="13866" spans="2:4" ht="13">
      <c r="B13866" s="12" t="str">
        <f ca="1">IFERROR(__xludf.DUMMYFUNCTION("""COMPUTED_VALUE"""),"")</f>
        <v/>
      </c>
      <c r="C13866" s="12" t="str">
        <f ca="1">IFERROR(__xludf.DUMMYFUNCTION("""COMPUTED_VALUE"""),"")</f>
        <v/>
      </c>
      <c r="D13866" s="12" t="str">
        <f ca="1">IFERROR(__xludf.DUMMYFUNCTION("""COMPUTED_VALUE"""),"")</f>
        <v/>
      </c>
    </row>
    <row r="13867" spans="2:4" ht="13">
      <c r="B13867" s="12" t="str">
        <f ca="1">IFERROR(__xludf.DUMMYFUNCTION("""COMPUTED_VALUE"""),"")</f>
        <v/>
      </c>
      <c r="C13867" s="12" t="str">
        <f ca="1">IFERROR(__xludf.DUMMYFUNCTION("""COMPUTED_VALUE"""),"")</f>
        <v/>
      </c>
      <c r="D13867" s="12" t="str">
        <f ca="1">IFERROR(__xludf.DUMMYFUNCTION("""COMPUTED_VALUE"""),"")</f>
        <v/>
      </c>
    </row>
    <row r="13868" spans="2:4" ht="13">
      <c r="B13868" s="12" t="str">
        <f ca="1">IFERROR(__xludf.DUMMYFUNCTION("""COMPUTED_VALUE"""),"")</f>
        <v/>
      </c>
      <c r="C13868" s="12" t="str">
        <f ca="1">IFERROR(__xludf.DUMMYFUNCTION("""COMPUTED_VALUE"""),"")</f>
        <v/>
      </c>
      <c r="D13868" s="12" t="str">
        <f ca="1">IFERROR(__xludf.DUMMYFUNCTION("""COMPUTED_VALUE"""),"")</f>
        <v/>
      </c>
    </row>
    <row r="13869" spans="2:4" ht="13">
      <c r="B13869" s="12" t="str">
        <f ca="1">IFERROR(__xludf.DUMMYFUNCTION("""COMPUTED_VALUE"""),"")</f>
        <v/>
      </c>
      <c r="C13869" s="12" t="str">
        <f ca="1">IFERROR(__xludf.DUMMYFUNCTION("""COMPUTED_VALUE"""),"")</f>
        <v/>
      </c>
      <c r="D13869" s="12" t="str">
        <f ca="1">IFERROR(__xludf.DUMMYFUNCTION("""COMPUTED_VALUE"""),"")</f>
        <v/>
      </c>
    </row>
    <row r="13870" spans="2:4" ht="13">
      <c r="B13870" s="12" t="str">
        <f ca="1">IFERROR(__xludf.DUMMYFUNCTION("""COMPUTED_VALUE"""),"")</f>
        <v/>
      </c>
      <c r="C13870" s="12" t="str">
        <f ca="1">IFERROR(__xludf.DUMMYFUNCTION("""COMPUTED_VALUE"""),"")</f>
        <v/>
      </c>
      <c r="D13870" s="12" t="str">
        <f ca="1">IFERROR(__xludf.DUMMYFUNCTION("""COMPUTED_VALUE"""),"")</f>
        <v/>
      </c>
    </row>
    <row r="13871" spans="2:4" ht="13">
      <c r="B13871" s="12" t="str">
        <f ca="1">IFERROR(__xludf.DUMMYFUNCTION("""COMPUTED_VALUE"""),"")</f>
        <v/>
      </c>
      <c r="C13871" s="12" t="str">
        <f ca="1">IFERROR(__xludf.DUMMYFUNCTION("""COMPUTED_VALUE"""),"")</f>
        <v/>
      </c>
      <c r="D13871" s="12" t="str">
        <f ca="1">IFERROR(__xludf.DUMMYFUNCTION("""COMPUTED_VALUE"""),"")</f>
        <v/>
      </c>
    </row>
    <row r="13872" spans="2:4" ht="13">
      <c r="B13872" s="12" t="str">
        <f ca="1">IFERROR(__xludf.DUMMYFUNCTION("""COMPUTED_VALUE"""),"")</f>
        <v/>
      </c>
      <c r="C13872" s="12" t="str">
        <f ca="1">IFERROR(__xludf.DUMMYFUNCTION("""COMPUTED_VALUE"""),"")</f>
        <v/>
      </c>
      <c r="D13872" s="12" t="str">
        <f ca="1">IFERROR(__xludf.DUMMYFUNCTION("""COMPUTED_VALUE"""),"")</f>
        <v/>
      </c>
    </row>
    <row r="13873" spans="2:4" ht="13">
      <c r="B13873" s="12" t="str">
        <f ca="1">IFERROR(__xludf.DUMMYFUNCTION("""COMPUTED_VALUE"""),"")</f>
        <v/>
      </c>
      <c r="C13873" s="12" t="str">
        <f ca="1">IFERROR(__xludf.DUMMYFUNCTION("""COMPUTED_VALUE"""),"")</f>
        <v/>
      </c>
      <c r="D13873" s="12" t="str">
        <f ca="1">IFERROR(__xludf.DUMMYFUNCTION("""COMPUTED_VALUE"""),"")</f>
        <v/>
      </c>
    </row>
    <row r="13874" spans="2:4" ht="13">
      <c r="B13874" s="12" t="str">
        <f ca="1">IFERROR(__xludf.DUMMYFUNCTION("""COMPUTED_VALUE"""),"")</f>
        <v/>
      </c>
      <c r="C13874" s="12" t="str">
        <f ca="1">IFERROR(__xludf.DUMMYFUNCTION("""COMPUTED_VALUE"""),"")</f>
        <v/>
      </c>
      <c r="D13874" s="12" t="str">
        <f ca="1">IFERROR(__xludf.DUMMYFUNCTION("""COMPUTED_VALUE"""),"")</f>
        <v/>
      </c>
    </row>
    <row r="13875" spans="2:4" ht="13">
      <c r="B13875" s="12" t="str">
        <f ca="1">IFERROR(__xludf.DUMMYFUNCTION("""COMPUTED_VALUE"""),"")</f>
        <v/>
      </c>
      <c r="C13875" s="12" t="str">
        <f ca="1">IFERROR(__xludf.DUMMYFUNCTION("""COMPUTED_VALUE"""),"")</f>
        <v/>
      </c>
      <c r="D13875" s="12" t="str">
        <f ca="1">IFERROR(__xludf.DUMMYFUNCTION("""COMPUTED_VALUE"""),"")</f>
        <v/>
      </c>
    </row>
    <row r="13876" spans="2:4" ht="13">
      <c r="B13876" s="12" t="str">
        <f ca="1">IFERROR(__xludf.DUMMYFUNCTION("""COMPUTED_VALUE"""),"")</f>
        <v/>
      </c>
      <c r="C13876" s="12" t="str">
        <f ca="1">IFERROR(__xludf.DUMMYFUNCTION("""COMPUTED_VALUE"""),"")</f>
        <v/>
      </c>
      <c r="D13876" s="12" t="str">
        <f ca="1">IFERROR(__xludf.DUMMYFUNCTION("""COMPUTED_VALUE"""),"")</f>
        <v/>
      </c>
    </row>
    <row r="13877" spans="2:4" ht="13">
      <c r="B13877" s="12" t="str">
        <f ca="1">IFERROR(__xludf.DUMMYFUNCTION("""COMPUTED_VALUE"""),"")</f>
        <v/>
      </c>
      <c r="C13877" s="12" t="str">
        <f ca="1">IFERROR(__xludf.DUMMYFUNCTION("""COMPUTED_VALUE"""),"")</f>
        <v/>
      </c>
      <c r="D13877" s="12" t="str">
        <f ca="1">IFERROR(__xludf.DUMMYFUNCTION("""COMPUTED_VALUE"""),"")</f>
        <v/>
      </c>
    </row>
    <row r="13878" spans="2:4" ht="13">
      <c r="B13878" s="12" t="str">
        <f ca="1">IFERROR(__xludf.DUMMYFUNCTION("""COMPUTED_VALUE"""),"")</f>
        <v/>
      </c>
      <c r="C13878" s="12" t="str">
        <f ca="1">IFERROR(__xludf.DUMMYFUNCTION("""COMPUTED_VALUE"""),"")</f>
        <v/>
      </c>
      <c r="D13878" s="12" t="str">
        <f ca="1">IFERROR(__xludf.DUMMYFUNCTION("""COMPUTED_VALUE"""),"")</f>
        <v/>
      </c>
    </row>
    <row r="13879" spans="2:4" ht="13">
      <c r="B13879" s="12" t="str">
        <f ca="1">IFERROR(__xludf.DUMMYFUNCTION("""COMPUTED_VALUE"""),"")</f>
        <v/>
      </c>
      <c r="C13879" s="12" t="str">
        <f ca="1">IFERROR(__xludf.DUMMYFUNCTION("""COMPUTED_VALUE"""),"")</f>
        <v/>
      </c>
      <c r="D13879" s="12" t="str">
        <f ca="1">IFERROR(__xludf.DUMMYFUNCTION("""COMPUTED_VALUE"""),"")</f>
        <v/>
      </c>
    </row>
    <row r="13880" spans="2:4" ht="13">
      <c r="B13880" s="12" t="str">
        <f ca="1">IFERROR(__xludf.DUMMYFUNCTION("""COMPUTED_VALUE"""),"")</f>
        <v/>
      </c>
      <c r="C13880" s="12" t="str">
        <f ca="1">IFERROR(__xludf.DUMMYFUNCTION("""COMPUTED_VALUE"""),"")</f>
        <v/>
      </c>
      <c r="D13880" s="12" t="str">
        <f ca="1">IFERROR(__xludf.DUMMYFUNCTION("""COMPUTED_VALUE"""),"")</f>
        <v/>
      </c>
    </row>
    <row r="13881" spans="2:4" ht="13">
      <c r="B13881" s="12" t="str">
        <f ca="1">IFERROR(__xludf.DUMMYFUNCTION("""COMPUTED_VALUE"""),"")</f>
        <v/>
      </c>
      <c r="C13881" s="12" t="str">
        <f ca="1">IFERROR(__xludf.DUMMYFUNCTION("""COMPUTED_VALUE"""),"")</f>
        <v/>
      </c>
      <c r="D13881" s="12" t="str">
        <f ca="1">IFERROR(__xludf.DUMMYFUNCTION("""COMPUTED_VALUE"""),"")</f>
        <v/>
      </c>
    </row>
    <row r="13882" spans="2:4" ht="13">
      <c r="B13882" s="12" t="str">
        <f ca="1">IFERROR(__xludf.DUMMYFUNCTION("""COMPUTED_VALUE"""),"")</f>
        <v/>
      </c>
      <c r="C13882" s="12" t="str">
        <f ca="1">IFERROR(__xludf.DUMMYFUNCTION("""COMPUTED_VALUE"""),"")</f>
        <v/>
      </c>
      <c r="D13882" s="12" t="str">
        <f ca="1">IFERROR(__xludf.DUMMYFUNCTION("""COMPUTED_VALUE"""),"")</f>
        <v/>
      </c>
    </row>
    <row r="13883" spans="2:4" ht="13">
      <c r="B13883" s="12" t="str">
        <f ca="1">IFERROR(__xludf.DUMMYFUNCTION("""COMPUTED_VALUE"""),"")</f>
        <v/>
      </c>
      <c r="C13883" s="12" t="str">
        <f ca="1">IFERROR(__xludf.DUMMYFUNCTION("""COMPUTED_VALUE"""),"")</f>
        <v/>
      </c>
      <c r="D13883" s="12" t="str">
        <f ca="1">IFERROR(__xludf.DUMMYFUNCTION("""COMPUTED_VALUE"""),"")</f>
        <v/>
      </c>
    </row>
    <row r="13884" spans="2:4" ht="13">
      <c r="B13884" s="12" t="str">
        <f ca="1">IFERROR(__xludf.DUMMYFUNCTION("""COMPUTED_VALUE"""),"")</f>
        <v/>
      </c>
      <c r="C13884" s="12" t="str">
        <f ca="1">IFERROR(__xludf.DUMMYFUNCTION("""COMPUTED_VALUE"""),"")</f>
        <v/>
      </c>
      <c r="D13884" s="12" t="str">
        <f ca="1">IFERROR(__xludf.DUMMYFUNCTION("""COMPUTED_VALUE"""),"")</f>
        <v/>
      </c>
    </row>
    <row r="13885" spans="2:4" ht="13">
      <c r="B13885" s="12" t="str">
        <f ca="1">IFERROR(__xludf.DUMMYFUNCTION("""COMPUTED_VALUE"""),"")</f>
        <v/>
      </c>
      <c r="C13885" s="12" t="str">
        <f ca="1">IFERROR(__xludf.DUMMYFUNCTION("""COMPUTED_VALUE"""),"")</f>
        <v/>
      </c>
      <c r="D13885" s="12" t="str">
        <f ca="1">IFERROR(__xludf.DUMMYFUNCTION("""COMPUTED_VALUE"""),"")</f>
        <v/>
      </c>
    </row>
    <row r="13886" spans="2:4" ht="13">
      <c r="B13886" s="12" t="str">
        <f ca="1">IFERROR(__xludf.DUMMYFUNCTION("""COMPUTED_VALUE"""),"")</f>
        <v/>
      </c>
      <c r="C13886" s="12" t="str">
        <f ca="1">IFERROR(__xludf.DUMMYFUNCTION("""COMPUTED_VALUE"""),"")</f>
        <v/>
      </c>
      <c r="D13886" s="12" t="str">
        <f ca="1">IFERROR(__xludf.DUMMYFUNCTION("""COMPUTED_VALUE"""),"")</f>
        <v/>
      </c>
    </row>
    <row r="13887" spans="2:4" ht="13">
      <c r="B13887" s="12" t="str">
        <f ca="1">IFERROR(__xludf.DUMMYFUNCTION("""COMPUTED_VALUE"""),"")</f>
        <v/>
      </c>
      <c r="C13887" s="12" t="str">
        <f ca="1">IFERROR(__xludf.DUMMYFUNCTION("""COMPUTED_VALUE"""),"")</f>
        <v/>
      </c>
      <c r="D13887" s="12" t="str">
        <f ca="1">IFERROR(__xludf.DUMMYFUNCTION("""COMPUTED_VALUE"""),"")</f>
        <v/>
      </c>
    </row>
    <row r="13888" spans="2:4" ht="13">
      <c r="B13888" s="12" t="str">
        <f ca="1">IFERROR(__xludf.DUMMYFUNCTION("""COMPUTED_VALUE"""),"")</f>
        <v/>
      </c>
      <c r="C13888" s="12" t="str">
        <f ca="1">IFERROR(__xludf.DUMMYFUNCTION("""COMPUTED_VALUE"""),"")</f>
        <v/>
      </c>
      <c r="D13888" s="12" t="str">
        <f ca="1">IFERROR(__xludf.DUMMYFUNCTION("""COMPUTED_VALUE"""),"")</f>
        <v/>
      </c>
    </row>
    <row r="13889" spans="2:4" ht="13">
      <c r="B13889" s="12" t="str">
        <f ca="1">IFERROR(__xludf.DUMMYFUNCTION("""COMPUTED_VALUE"""),"")</f>
        <v/>
      </c>
      <c r="C13889" s="12" t="str">
        <f ca="1">IFERROR(__xludf.DUMMYFUNCTION("""COMPUTED_VALUE"""),"")</f>
        <v/>
      </c>
      <c r="D13889" s="12" t="str">
        <f ca="1">IFERROR(__xludf.DUMMYFUNCTION("""COMPUTED_VALUE"""),"")</f>
        <v/>
      </c>
    </row>
    <row r="13890" spans="2:4" ht="13">
      <c r="B13890" s="12" t="str">
        <f ca="1">IFERROR(__xludf.DUMMYFUNCTION("""COMPUTED_VALUE"""),"")</f>
        <v/>
      </c>
      <c r="C13890" s="12" t="str">
        <f ca="1">IFERROR(__xludf.DUMMYFUNCTION("""COMPUTED_VALUE"""),"")</f>
        <v/>
      </c>
      <c r="D13890" s="12" t="str">
        <f ca="1">IFERROR(__xludf.DUMMYFUNCTION("""COMPUTED_VALUE"""),"")</f>
        <v/>
      </c>
    </row>
    <row r="13891" spans="2:4" ht="13">
      <c r="B13891" s="12" t="str">
        <f ca="1">IFERROR(__xludf.DUMMYFUNCTION("""COMPUTED_VALUE"""),"")</f>
        <v/>
      </c>
      <c r="C13891" s="12" t="str">
        <f ca="1">IFERROR(__xludf.DUMMYFUNCTION("""COMPUTED_VALUE"""),"")</f>
        <v/>
      </c>
      <c r="D13891" s="12" t="str">
        <f ca="1">IFERROR(__xludf.DUMMYFUNCTION("""COMPUTED_VALUE"""),"")</f>
        <v/>
      </c>
    </row>
    <row r="13892" spans="2:4" ht="13">
      <c r="B13892" s="12" t="str">
        <f ca="1">IFERROR(__xludf.DUMMYFUNCTION("""COMPUTED_VALUE"""),"")</f>
        <v/>
      </c>
      <c r="C13892" s="12" t="str">
        <f ca="1">IFERROR(__xludf.DUMMYFUNCTION("""COMPUTED_VALUE"""),"")</f>
        <v/>
      </c>
      <c r="D13892" s="12" t="str">
        <f ca="1">IFERROR(__xludf.DUMMYFUNCTION("""COMPUTED_VALUE"""),"")</f>
        <v/>
      </c>
    </row>
    <row r="13893" spans="2:4" ht="13">
      <c r="B13893" s="12" t="str">
        <f ca="1">IFERROR(__xludf.DUMMYFUNCTION("""COMPUTED_VALUE"""),"")</f>
        <v/>
      </c>
      <c r="C13893" s="12" t="str">
        <f ca="1">IFERROR(__xludf.DUMMYFUNCTION("""COMPUTED_VALUE"""),"")</f>
        <v/>
      </c>
      <c r="D13893" s="12" t="str">
        <f ca="1">IFERROR(__xludf.DUMMYFUNCTION("""COMPUTED_VALUE"""),"")</f>
        <v/>
      </c>
    </row>
    <row r="13894" spans="2:4" ht="13">
      <c r="B13894" s="12" t="str">
        <f ca="1">IFERROR(__xludf.DUMMYFUNCTION("""COMPUTED_VALUE"""),"")</f>
        <v/>
      </c>
      <c r="C13894" s="12" t="str">
        <f ca="1">IFERROR(__xludf.DUMMYFUNCTION("""COMPUTED_VALUE"""),"")</f>
        <v/>
      </c>
      <c r="D13894" s="12" t="str">
        <f ca="1">IFERROR(__xludf.DUMMYFUNCTION("""COMPUTED_VALUE"""),"")</f>
        <v/>
      </c>
    </row>
    <row r="13895" spans="2:4" ht="13">
      <c r="B13895" s="12" t="str">
        <f ca="1">IFERROR(__xludf.DUMMYFUNCTION("""COMPUTED_VALUE"""),"")</f>
        <v/>
      </c>
      <c r="C13895" s="12" t="str">
        <f ca="1">IFERROR(__xludf.DUMMYFUNCTION("""COMPUTED_VALUE"""),"")</f>
        <v/>
      </c>
      <c r="D13895" s="12" t="str">
        <f ca="1">IFERROR(__xludf.DUMMYFUNCTION("""COMPUTED_VALUE"""),"")</f>
        <v/>
      </c>
    </row>
    <row r="13896" spans="2:4" ht="13">
      <c r="B13896" s="12" t="str">
        <f ca="1">IFERROR(__xludf.DUMMYFUNCTION("""COMPUTED_VALUE"""),"")</f>
        <v/>
      </c>
      <c r="C13896" s="12" t="str">
        <f ca="1">IFERROR(__xludf.DUMMYFUNCTION("""COMPUTED_VALUE"""),"")</f>
        <v/>
      </c>
      <c r="D13896" s="12" t="str">
        <f ca="1">IFERROR(__xludf.DUMMYFUNCTION("""COMPUTED_VALUE"""),"")</f>
        <v/>
      </c>
    </row>
    <row r="13897" spans="2:4" ht="13">
      <c r="B13897" s="12" t="str">
        <f ca="1">IFERROR(__xludf.DUMMYFUNCTION("""COMPUTED_VALUE"""),"")</f>
        <v/>
      </c>
      <c r="C13897" s="12" t="str">
        <f ca="1">IFERROR(__xludf.DUMMYFUNCTION("""COMPUTED_VALUE"""),"")</f>
        <v/>
      </c>
      <c r="D13897" s="12" t="str">
        <f ca="1">IFERROR(__xludf.DUMMYFUNCTION("""COMPUTED_VALUE"""),"")</f>
        <v/>
      </c>
    </row>
    <row r="13898" spans="2:4" ht="13">
      <c r="B13898" s="12" t="str">
        <f ca="1">IFERROR(__xludf.DUMMYFUNCTION("""COMPUTED_VALUE"""),"")</f>
        <v/>
      </c>
      <c r="C13898" s="12" t="str">
        <f ca="1">IFERROR(__xludf.DUMMYFUNCTION("""COMPUTED_VALUE"""),"")</f>
        <v/>
      </c>
      <c r="D13898" s="12" t="str">
        <f ca="1">IFERROR(__xludf.DUMMYFUNCTION("""COMPUTED_VALUE"""),"")</f>
        <v/>
      </c>
    </row>
    <row r="13899" spans="2:4" ht="13">
      <c r="B13899" s="12" t="str">
        <f ca="1">IFERROR(__xludf.DUMMYFUNCTION("""COMPUTED_VALUE"""),"")</f>
        <v/>
      </c>
      <c r="C13899" s="12" t="str">
        <f ca="1">IFERROR(__xludf.DUMMYFUNCTION("""COMPUTED_VALUE"""),"")</f>
        <v/>
      </c>
      <c r="D13899" s="12" t="str">
        <f ca="1">IFERROR(__xludf.DUMMYFUNCTION("""COMPUTED_VALUE"""),"")</f>
        <v/>
      </c>
    </row>
    <row r="13900" spans="2:4" ht="13">
      <c r="B13900" s="12" t="str">
        <f ca="1">IFERROR(__xludf.DUMMYFUNCTION("""COMPUTED_VALUE"""),"")</f>
        <v/>
      </c>
      <c r="C13900" s="12" t="str">
        <f ca="1">IFERROR(__xludf.DUMMYFUNCTION("""COMPUTED_VALUE"""),"")</f>
        <v/>
      </c>
      <c r="D13900" s="12" t="str">
        <f ca="1">IFERROR(__xludf.DUMMYFUNCTION("""COMPUTED_VALUE"""),"")</f>
        <v/>
      </c>
    </row>
    <row r="13901" spans="2:4" ht="13">
      <c r="B13901" s="12" t="str">
        <f ca="1">IFERROR(__xludf.DUMMYFUNCTION("""COMPUTED_VALUE"""),"")</f>
        <v/>
      </c>
      <c r="C13901" s="12" t="str">
        <f ca="1">IFERROR(__xludf.DUMMYFUNCTION("""COMPUTED_VALUE"""),"")</f>
        <v/>
      </c>
      <c r="D13901" s="12" t="str">
        <f ca="1">IFERROR(__xludf.DUMMYFUNCTION("""COMPUTED_VALUE"""),"")</f>
        <v/>
      </c>
    </row>
    <row r="13902" spans="2:4" ht="13">
      <c r="B13902" s="12" t="str">
        <f ca="1">IFERROR(__xludf.DUMMYFUNCTION("""COMPUTED_VALUE"""),"")</f>
        <v/>
      </c>
      <c r="C13902" s="12" t="str">
        <f ca="1">IFERROR(__xludf.DUMMYFUNCTION("""COMPUTED_VALUE"""),"")</f>
        <v/>
      </c>
      <c r="D13902" s="12" t="str">
        <f ca="1">IFERROR(__xludf.DUMMYFUNCTION("""COMPUTED_VALUE"""),"")</f>
        <v/>
      </c>
    </row>
    <row r="13903" spans="2:4" ht="13">
      <c r="B13903" s="12" t="str">
        <f ca="1">IFERROR(__xludf.DUMMYFUNCTION("""COMPUTED_VALUE"""),"")</f>
        <v/>
      </c>
      <c r="C13903" s="12" t="str">
        <f ca="1">IFERROR(__xludf.DUMMYFUNCTION("""COMPUTED_VALUE"""),"")</f>
        <v/>
      </c>
      <c r="D13903" s="12" t="str">
        <f ca="1">IFERROR(__xludf.DUMMYFUNCTION("""COMPUTED_VALUE"""),"")</f>
        <v/>
      </c>
    </row>
    <row r="13904" spans="2:4" ht="13">
      <c r="B13904" s="12" t="str">
        <f ca="1">IFERROR(__xludf.DUMMYFUNCTION("""COMPUTED_VALUE"""),"")</f>
        <v/>
      </c>
      <c r="C13904" s="12" t="str">
        <f ca="1">IFERROR(__xludf.DUMMYFUNCTION("""COMPUTED_VALUE"""),"")</f>
        <v/>
      </c>
      <c r="D13904" s="12" t="str">
        <f ca="1">IFERROR(__xludf.DUMMYFUNCTION("""COMPUTED_VALUE"""),"")</f>
        <v/>
      </c>
    </row>
    <row r="13905" spans="2:4" ht="13">
      <c r="B13905" s="12" t="str">
        <f ca="1">IFERROR(__xludf.DUMMYFUNCTION("""COMPUTED_VALUE"""),"")</f>
        <v/>
      </c>
      <c r="C13905" s="12" t="str">
        <f ca="1">IFERROR(__xludf.DUMMYFUNCTION("""COMPUTED_VALUE"""),"")</f>
        <v/>
      </c>
      <c r="D13905" s="12" t="str">
        <f ca="1">IFERROR(__xludf.DUMMYFUNCTION("""COMPUTED_VALUE"""),"")</f>
        <v/>
      </c>
    </row>
    <row r="13906" spans="2:4" ht="13">
      <c r="B13906" s="12" t="str">
        <f ca="1">IFERROR(__xludf.DUMMYFUNCTION("""COMPUTED_VALUE"""),"")</f>
        <v/>
      </c>
      <c r="C13906" s="12" t="str">
        <f ca="1">IFERROR(__xludf.DUMMYFUNCTION("""COMPUTED_VALUE"""),"")</f>
        <v/>
      </c>
      <c r="D13906" s="12" t="str">
        <f ca="1">IFERROR(__xludf.DUMMYFUNCTION("""COMPUTED_VALUE"""),"")</f>
        <v/>
      </c>
    </row>
    <row r="13907" spans="2:4" ht="13">
      <c r="B13907" s="12" t="str">
        <f ca="1">IFERROR(__xludf.DUMMYFUNCTION("""COMPUTED_VALUE"""),"")</f>
        <v/>
      </c>
      <c r="C13907" s="12" t="str">
        <f ca="1">IFERROR(__xludf.DUMMYFUNCTION("""COMPUTED_VALUE"""),"")</f>
        <v/>
      </c>
      <c r="D13907" s="12" t="str">
        <f ca="1">IFERROR(__xludf.DUMMYFUNCTION("""COMPUTED_VALUE"""),"")</f>
        <v/>
      </c>
    </row>
    <row r="13908" spans="2:4" ht="13">
      <c r="B13908" s="12" t="str">
        <f ca="1">IFERROR(__xludf.DUMMYFUNCTION("""COMPUTED_VALUE"""),"")</f>
        <v/>
      </c>
      <c r="C13908" s="12" t="str">
        <f ca="1">IFERROR(__xludf.DUMMYFUNCTION("""COMPUTED_VALUE"""),"")</f>
        <v/>
      </c>
      <c r="D13908" s="12" t="str">
        <f ca="1">IFERROR(__xludf.DUMMYFUNCTION("""COMPUTED_VALUE"""),"")</f>
        <v/>
      </c>
    </row>
    <row r="13909" spans="2:4" ht="13">
      <c r="B13909" s="12" t="str">
        <f ca="1">IFERROR(__xludf.DUMMYFUNCTION("""COMPUTED_VALUE"""),"")</f>
        <v/>
      </c>
      <c r="C13909" s="12" t="str">
        <f ca="1">IFERROR(__xludf.DUMMYFUNCTION("""COMPUTED_VALUE"""),"")</f>
        <v/>
      </c>
      <c r="D13909" s="12" t="str">
        <f ca="1">IFERROR(__xludf.DUMMYFUNCTION("""COMPUTED_VALUE"""),"")</f>
        <v/>
      </c>
    </row>
    <row r="13910" spans="2:4" ht="13">
      <c r="B13910" s="12" t="str">
        <f ca="1">IFERROR(__xludf.DUMMYFUNCTION("""COMPUTED_VALUE"""),"")</f>
        <v/>
      </c>
      <c r="C13910" s="12" t="str">
        <f ca="1">IFERROR(__xludf.DUMMYFUNCTION("""COMPUTED_VALUE"""),"")</f>
        <v/>
      </c>
      <c r="D13910" s="12" t="str">
        <f ca="1">IFERROR(__xludf.DUMMYFUNCTION("""COMPUTED_VALUE"""),"")</f>
        <v/>
      </c>
    </row>
    <row r="13911" spans="2:4" ht="13">
      <c r="B13911" s="12" t="str">
        <f ca="1">IFERROR(__xludf.DUMMYFUNCTION("""COMPUTED_VALUE"""),"")</f>
        <v/>
      </c>
      <c r="C13911" s="12" t="str">
        <f ca="1">IFERROR(__xludf.DUMMYFUNCTION("""COMPUTED_VALUE"""),"")</f>
        <v/>
      </c>
      <c r="D13911" s="12" t="str">
        <f ca="1">IFERROR(__xludf.DUMMYFUNCTION("""COMPUTED_VALUE"""),"")</f>
        <v/>
      </c>
    </row>
    <row r="13912" spans="2:4" ht="13">
      <c r="B13912" s="12" t="str">
        <f ca="1">IFERROR(__xludf.DUMMYFUNCTION("""COMPUTED_VALUE"""),"")</f>
        <v/>
      </c>
      <c r="C13912" s="12" t="str">
        <f ca="1">IFERROR(__xludf.DUMMYFUNCTION("""COMPUTED_VALUE"""),"")</f>
        <v/>
      </c>
      <c r="D13912" s="12" t="str">
        <f ca="1">IFERROR(__xludf.DUMMYFUNCTION("""COMPUTED_VALUE"""),"")</f>
        <v/>
      </c>
    </row>
    <row r="13913" spans="2:4" ht="13">
      <c r="B13913" s="12" t="str">
        <f ca="1">IFERROR(__xludf.DUMMYFUNCTION("""COMPUTED_VALUE"""),"")</f>
        <v/>
      </c>
      <c r="C13913" s="12" t="str">
        <f ca="1">IFERROR(__xludf.DUMMYFUNCTION("""COMPUTED_VALUE"""),"")</f>
        <v/>
      </c>
      <c r="D13913" s="12" t="str">
        <f ca="1">IFERROR(__xludf.DUMMYFUNCTION("""COMPUTED_VALUE"""),"")</f>
        <v/>
      </c>
    </row>
    <row r="13914" spans="2:4" ht="13">
      <c r="B13914" s="12" t="str">
        <f ca="1">IFERROR(__xludf.DUMMYFUNCTION("""COMPUTED_VALUE"""),"")</f>
        <v/>
      </c>
      <c r="C13914" s="12" t="str">
        <f ca="1">IFERROR(__xludf.DUMMYFUNCTION("""COMPUTED_VALUE"""),"")</f>
        <v/>
      </c>
      <c r="D13914" s="12" t="str">
        <f ca="1">IFERROR(__xludf.DUMMYFUNCTION("""COMPUTED_VALUE"""),"")</f>
        <v/>
      </c>
    </row>
    <row r="13915" spans="2:4" ht="13">
      <c r="B13915" s="12" t="str">
        <f ca="1">IFERROR(__xludf.DUMMYFUNCTION("""COMPUTED_VALUE"""),"")</f>
        <v/>
      </c>
      <c r="C13915" s="12" t="str">
        <f ca="1">IFERROR(__xludf.DUMMYFUNCTION("""COMPUTED_VALUE"""),"")</f>
        <v/>
      </c>
      <c r="D13915" s="12" t="str">
        <f ca="1">IFERROR(__xludf.DUMMYFUNCTION("""COMPUTED_VALUE"""),"")</f>
        <v/>
      </c>
    </row>
    <row r="13916" spans="2:4" ht="13">
      <c r="B13916" s="12" t="str">
        <f ca="1">IFERROR(__xludf.DUMMYFUNCTION("""COMPUTED_VALUE"""),"")</f>
        <v/>
      </c>
      <c r="C13916" s="12" t="str">
        <f ca="1">IFERROR(__xludf.DUMMYFUNCTION("""COMPUTED_VALUE"""),"")</f>
        <v/>
      </c>
      <c r="D13916" s="12" t="str">
        <f ca="1">IFERROR(__xludf.DUMMYFUNCTION("""COMPUTED_VALUE"""),"")</f>
        <v/>
      </c>
    </row>
    <row r="13917" spans="2:4" ht="13">
      <c r="B13917" s="12" t="str">
        <f ca="1">IFERROR(__xludf.DUMMYFUNCTION("""COMPUTED_VALUE"""),"")</f>
        <v/>
      </c>
      <c r="C13917" s="12" t="str">
        <f ca="1">IFERROR(__xludf.DUMMYFUNCTION("""COMPUTED_VALUE"""),"")</f>
        <v/>
      </c>
      <c r="D13917" s="12" t="str">
        <f ca="1">IFERROR(__xludf.DUMMYFUNCTION("""COMPUTED_VALUE"""),"")</f>
        <v/>
      </c>
    </row>
    <row r="13918" spans="2:4" ht="13">
      <c r="B13918" s="12" t="str">
        <f ca="1">IFERROR(__xludf.DUMMYFUNCTION("""COMPUTED_VALUE"""),"")</f>
        <v/>
      </c>
      <c r="C13918" s="12" t="str">
        <f ca="1">IFERROR(__xludf.DUMMYFUNCTION("""COMPUTED_VALUE"""),"")</f>
        <v/>
      </c>
      <c r="D13918" s="12" t="str">
        <f ca="1">IFERROR(__xludf.DUMMYFUNCTION("""COMPUTED_VALUE"""),"")</f>
        <v/>
      </c>
    </row>
    <row r="13919" spans="2:4" ht="13">
      <c r="B13919" s="12" t="str">
        <f ca="1">IFERROR(__xludf.DUMMYFUNCTION("""COMPUTED_VALUE"""),"")</f>
        <v/>
      </c>
      <c r="C13919" s="12" t="str">
        <f ca="1">IFERROR(__xludf.DUMMYFUNCTION("""COMPUTED_VALUE"""),"")</f>
        <v/>
      </c>
      <c r="D13919" s="12" t="str">
        <f ca="1">IFERROR(__xludf.DUMMYFUNCTION("""COMPUTED_VALUE"""),"")</f>
        <v/>
      </c>
    </row>
    <row r="13920" spans="2:4" ht="13">
      <c r="B13920" s="12" t="str">
        <f ca="1">IFERROR(__xludf.DUMMYFUNCTION("""COMPUTED_VALUE"""),"")</f>
        <v/>
      </c>
      <c r="C13920" s="12" t="str">
        <f ca="1">IFERROR(__xludf.DUMMYFUNCTION("""COMPUTED_VALUE"""),"")</f>
        <v/>
      </c>
      <c r="D13920" s="12" t="str">
        <f ca="1">IFERROR(__xludf.DUMMYFUNCTION("""COMPUTED_VALUE"""),"")</f>
        <v/>
      </c>
    </row>
    <row r="13921" spans="2:4" ht="13">
      <c r="B13921" s="12" t="str">
        <f ca="1">IFERROR(__xludf.DUMMYFUNCTION("""COMPUTED_VALUE"""),"")</f>
        <v/>
      </c>
      <c r="C13921" s="12" t="str">
        <f ca="1">IFERROR(__xludf.DUMMYFUNCTION("""COMPUTED_VALUE"""),"")</f>
        <v/>
      </c>
      <c r="D13921" s="12" t="str">
        <f ca="1">IFERROR(__xludf.DUMMYFUNCTION("""COMPUTED_VALUE"""),"")</f>
        <v/>
      </c>
    </row>
    <row r="13922" spans="2:4" ht="13">
      <c r="B13922" s="12" t="str">
        <f ca="1">IFERROR(__xludf.DUMMYFUNCTION("""COMPUTED_VALUE"""),"")</f>
        <v/>
      </c>
      <c r="C13922" s="12" t="str">
        <f ca="1">IFERROR(__xludf.DUMMYFUNCTION("""COMPUTED_VALUE"""),"")</f>
        <v/>
      </c>
      <c r="D13922" s="12" t="str">
        <f ca="1">IFERROR(__xludf.DUMMYFUNCTION("""COMPUTED_VALUE"""),"")</f>
        <v/>
      </c>
    </row>
    <row r="13923" spans="2:4" ht="13">
      <c r="B13923" s="12" t="str">
        <f ca="1">IFERROR(__xludf.DUMMYFUNCTION("""COMPUTED_VALUE"""),"")</f>
        <v/>
      </c>
      <c r="C13923" s="12" t="str">
        <f ca="1">IFERROR(__xludf.DUMMYFUNCTION("""COMPUTED_VALUE"""),"")</f>
        <v/>
      </c>
      <c r="D13923" s="12" t="str">
        <f ca="1">IFERROR(__xludf.DUMMYFUNCTION("""COMPUTED_VALUE"""),"")</f>
        <v/>
      </c>
    </row>
    <row r="13924" spans="2:4" ht="13">
      <c r="B13924" s="12" t="str">
        <f ca="1">IFERROR(__xludf.DUMMYFUNCTION("""COMPUTED_VALUE"""),"")</f>
        <v/>
      </c>
      <c r="C13924" s="12" t="str">
        <f ca="1">IFERROR(__xludf.DUMMYFUNCTION("""COMPUTED_VALUE"""),"")</f>
        <v/>
      </c>
      <c r="D13924" s="12" t="str">
        <f ca="1">IFERROR(__xludf.DUMMYFUNCTION("""COMPUTED_VALUE"""),"")</f>
        <v/>
      </c>
    </row>
    <row r="13925" spans="2:4" ht="13">
      <c r="B13925" s="12" t="str">
        <f ca="1">IFERROR(__xludf.DUMMYFUNCTION("""COMPUTED_VALUE"""),"")</f>
        <v/>
      </c>
      <c r="C13925" s="12" t="str">
        <f ca="1">IFERROR(__xludf.DUMMYFUNCTION("""COMPUTED_VALUE"""),"")</f>
        <v/>
      </c>
      <c r="D13925" s="12" t="str">
        <f ca="1">IFERROR(__xludf.DUMMYFUNCTION("""COMPUTED_VALUE"""),"")</f>
        <v/>
      </c>
    </row>
    <row r="13926" spans="2:4" ht="13">
      <c r="B13926" s="12" t="str">
        <f ca="1">IFERROR(__xludf.DUMMYFUNCTION("""COMPUTED_VALUE"""),"")</f>
        <v/>
      </c>
      <c r="C13926" s="12" t="str">
        <f ca="1">IFERROR(__xludf.DUMMYFUNCTION("""COMPUTED_VALUE"""),"")</f>
        <v/>
      </c>
      <c r="D13926" s="12" t="str">
        <f ca="1">IFERROR(__xludf.DUMMYFUNCTION("""COMPUTED_VALUE"""),"")</f>
        <v/>
      </c>
    </row>
    <row r="13927" spans="2:4" ht="13">
      <c r="B13927" s="12" t="str">
        <f ca="1">IFERROR(__xludf.DUMMYFUNCTION("""COMPUTED_VALUE"""),"")</f>
        <v/>
      </c>
      <c r="C13927" s="12" t="str">
        <f ca="1">IFERROR(__xludf.DUMMYFUNCTION("""COMPUTED_VALUE"""),"")</f>
        <v/>
      </c>
      <c r="D13927" s="12" t="str">
        <f ca="1">IFERROR(__xludf.DUMMYFUNCTION("""COMPUTED_VALUE"""),"")</f>
        <v/>
      </c>
    </row>
    <row r="13928" spans="2:4" ht="13">
      <c r="B13928" s="12" t="str">
        <f ca="1">IFERROR(__xludf.DUMMYFUNCTION("""COMPUTED_VALUE"""),"")</f>
        <v/>
      </c>
      <c r="C13928" s="12" t="str">
        <f ca="1">IFERROR(__xludf.DUMMYFUNCTION("""COMPUTED_VALUE"""),"")</f>
        <v/>
      </c>
      <c r="D13928" s="12" t="str">
        <f ca="1">IFERROR(__xludf.DUMMYFUNCTION("""COMPUTED_VALUE"""),"")</f>
        <v/>
      </c>
    </row>
    <row r="13929" spans="2:4" ht="13">
      <c r="B13929" s="12" t="str">
        <f ca="1">IFERROR(__xludf.DUMMYFUNCTION("""COMPUTED_VALUE"""),"")</f>
        <v/>
      </c>
      <c r="C13929" s="12" t="str">
        <f ca="1">IFERROR(__xludf.DUMMYFUNCTION("""COMPUTED_VALUE"""),"")</f>
        <v/>
      </c>
      <c r="D13929" s="12" t="str">
        <f ca="1">IFERROR(__xludf.DUMMYFUNCTION("""COMPUTED_VALUE"""),"")</f>
        <v/>
      </c>
    </row>
    <row r="13930" spans="2:4" ht="13">
      <c r="B13930" s="12" t="str">
        <f ca="1">IFERROR(__xludf.DUMMYFUNCTION("""COMPUTED_VALUE"""),"")</f>
        <v/>
      </c>
      <c r="C13930" s="12" t="str">
        <f ca="1">IFERROR(__xludf.DUMMYFUNCTION("""COMPUTED_VALUE"""),"")</f>
        <v/>
      </c>
      <c r="D13930" s="12" t="str">
        <f ca="1">IFERROR(__xludf.DUMMYFUNCTION("""COMPUTED_VALUE"""),"")</f>
        <v/>
      </c>
    </row>
    <row r="13931" spans="2:4" ht="13">
      <c r="B13931" s="12" t="str">
        <f ca="1">IFERROR(__xludf.DUMMYFUNCTION("""COMPUTED_VALUE"""),"")</f>
        <v/>
      </c>
      <c r="C13931" s="12" t="str">
        <f ca="1">IFERROR(__xludf.DUMMYFUNCTION("""COMPUTED_VALUE"""),"")</f>
        <v/>
      </c>
      <c r="D13931" s="12" t="str">
        <f ca="1">IFERROR(__xludf.DUMMYFUNCTION("""COMPUTED_VALUE"""),"")</f>
        <v/>
      </c>
    </row>
    <row r="13932" spans="2:4" ht="13">
      <c r="B13932" s="12" t="str">
        <f ca="1">IFERROR(__xludf.DUMMYFUNCTION("""COMPUTED_VALUE"""),"")</f>
        <v/>
      </c>
      <c r="C13932" s="12" t="str">
        <f ca="1">IFERROR(__xludf.DUMMYFUNCTION("""COMPUTED_VALUE"""),"")</f>
        <v/>
      </c>
      <c r="D13932" s="12" t="str">
        <f ca="1">IFERROR(__xludf.DUMMYFUNCTION("""COMPUTED_VALUE"""),"")</f>
        <v/>
      </c>
    </row>
    <row r="13933" spans="2:4" ht="13">
      <c r="B13933" s="12" t="str">
        <f ca="1">IFERROR(__xludf.DUMMYFUNCTION("""COMPUTED_VALUE"""),"")</f>
        <v/>
      </c>
      <c r="C13933" s="12" t="str">
        <f ca="1">IFERROR(__xludf.DUMMYFUNCTION("""COMPUTED_VALUE"""),"")</f>
        <v/>
      </c>
      <c r="D13933" s="12" t="str">
        <f ca="1">IFERROR(__xludf.DUMMYFUNCTION("""COMPUTED_VALUE"""),"")</f>
        <v/>
      </c>
    </row>
    <row r="13934" spans="2:4" ht="13">
      <c r="B13934" s="12" t="str">
        <f ca="1">IFERROR(__xludf.DUMMYFUNCTION("""COMPUTED_VALUE"""),"")</f>
        <v/>
      </c>
      <c r="C13934" s="12" t="str">
        <f ca="1">IFERROR(__xludf.DUMMYFUNCTION("""COMPUTED_VALUE"""),"")</f>
        <v/>
      </c>
      <c r="D13934" s="12" t="str">
        <f ca="1">IFERROR(__xludf.DUMMYFUNCTION("""COMPUTED_VALUE"""),"")</f>
        <v/>
      </c>
    </row>
    <row r="13935" spans="2:4" ht="13">
      <c r="B13935" s="12" t="str">
        <f ca="1">IFERROR(__xludf.DUMMYFUNCTION("""COMPUTED_VALUE"""),"")</f>
        <v/>
      </c>
      <c r="C13935" s="12" t="str">
        <f ca="1">IFERROR(__xludf.DUMMYFUNCTION("""COMPUTED_VALUE"""),"")</f>
        <v/>
      </c>
      <c r="D13935" s="12" t="str">
        <f ca="1">IFERROR(__xludf.DUMMYFUNCTION("""COMPUTED_VALUE"""),"")</f>
        <v/>
      </c>
    </row>
    <row r="13936" spans="2:4" ht="13">
      <c r="B13936" s="12" t="str">
        <f ca="1">IFERROR(__xludf.DUMMYFUNCTION("""COMPUTED_VALUE"""),"")</f>
        <v/>
      </c>
      <c r="C13936" s="12" t="str">
        <f ca="1">IFERROR(__xludf.DUMMYFUNCTION("""COMPUTED_VALUE"""),"")</f>
        <v/>
      </c>
      <c r="D13936" s="12" t="str">
        <f ca="1">IFERROR(__xludf.DUMMYFUNCTION("""COMPUTED_VALUE"""),"")</f>
        <v/>
      </c>
    </row>
    <row r="13937" spans="2:4" ht="13">
      <c r="B13937" s="12" t="str">
        <f ca="1">IFERROR(__xludf.DUMMYFUNCTION("""COMPUTED_VALUE"""),"")</f>
        <v/>
      </c>
      <c r="C13937" s="12" t="str">
        <f ca="1">IFERROR(__xludf.DUMMYFUNCTION("""COMPUTED_VALUE"""),"")</f>
        <v/>
      </c>
      <c r="D13937" s="12" t="str">
        <f ca="1">IFERROR(__xludf.DUMMYFUNCTION("""COMPUTED_VALUE"""),"")</f>
        <v/>
      </c>
    </row>
    <row r="13938" spans="2:4" ht="13">
      <c r="B13938" s="12" t="str">
        <f ca="1">IFERROR(__xludf.DUMMYFUNCTION("""COMPUTED_VALUE"""),"")</f>
        <v/>
      </c>
      <c r="C13938" s="12" t="str">
        <f ca="1">IFERROR(__xludf.DUMMYFUNCTION("""COMPUTED_VALUE"""),"")</f>
        <v/>
      </c>
      <c r="D13938" s="12" t="str">
        <f ca="1">IFERROR(__xludf.DUMMYFUNCTION("""COMPUTED_VALUE"""),"")</f>
        <v/>
      </c>
    </row>
    <row r="13939" spans="2:4" ht="13">
      <c r="B13939" s="12" t="str">
        <f ca="1">IFERROR(__xludf.DUMMYFUNCTION("""COMPUTED_VALUE"""),"")</f>
        <v/>
      </c>
      <c r="C13939" s="12" t="str">
        <f ca="1">IFERROR(__xludf.DUMMYFUNCTION("""COMPUTED_VALUE"""),"")</f>
        <v/>
      </c>
      <c r="D13939" s="12" t="str">
        <f ca="1">IFERROR(__xludf.DUMMYFUNCTION("""COMPUTED_VALUE"""),"")</f>
        <v/>
      </c>
    </row>
    <row r="13940" spans="2:4" ht="13">
      <c r="B13940" s="12" t="str">
        <f ca="1">IFERROR(__xludf.DUMMYFUNCTION("""COMPUTED_VALUE"""),"")</f>
        <v/>
      </c>
      <c r="C13940" s="12" t="str">
        <f ca="1">IFERROR(__xludf.DUMMYFUNCTION("""COMPUTED_VALUE"""),"")</f>
        <v/>
      </c>
      <c r="D13940" s="12" t="str">
        <f ca="1">IFERROR(__xludf.DUMMYFUNCTION("""COMPUTED_VALUE"""),"")</f>
        <v/>
      </c>
    </row>
    <row r="13941" spans="2:4" ht="13">
      <c r="B13941" s="12" t="str">
        <f ca="1">IFERROR(__xludf.DUMMYFUNCTION("""COMPUTED_VALUE"""),"")</f>
        <v/>
      </c>
      <c r="C13941" s="12" t="str">
        <f ca="1">IFERROR(__xludf.DUMMYFUNCTION("""COMPUTED_VALUE"""),"")</f>
        <v/>
      </c>
      <c r="D13941" s="12" t="str">
        <f ca="1">IFERROR(__xludf.DUMMYFUNCTION("""COMPUTED_VALUE"""),"")</f>
        <v/>
      </c>
    </row>
    <row r="13942" spans="2:4" ht="13">
      <c r="B13942" s="12" t="str">
        <f ca="1">IFERROR(__xludf.DUMMYFUNCTION("""COMPUTED_VALUE"""),"")</f>
        <v/>
      </c>
      <c r="C13942" s="12" t="str">
        <f ca="1">IFERROR(__xludf.DUMMYFUNCTION("""COMPUTED_VALUE"""),"")</f>
        <v/>
      </c>
      <c r="D13942" s="12" t="str">
        <f ca="1">IFERROR(__xludf.DUMMYFUNCTION("""COMPUTED_VALUE"""),"")</f>
        <v/>
      </c>
    </row>
    <row r="13943" spans="2:4" ht="13">
      <c r="B13943" s="12" t="str">
        <f ca="1">IFERROR(__xludf.DUMMYFUNCTION("""COMPUTED_VALUE"""),"")</f>
        <v/>
      </c>
      <c r="C13943" s="12" t="str">
        <f ca="1">IFERROR(__xludf.DUMMYFUNCTION("""COMPUTED_VALUE"""),"")</f>
        <v/>
      </c>
      <c r="D13943" s="12" t="str">
        <f ca="1">IFERROR(__xludf.DUMMYFUNCTION("""COMPUTED_VALUE"""),"")</f>
        <v/>
      </c>
    </row>
    <row r="13944" spans="2:4" ht="13">
      <c r="B13944" s="12" t="str">
        <f ca="1">IFERROR(__xludf.DUMMYFUNCTION("""COMPUTED_VALUE"""),"")</f>
        <v/>
      </c>
      <c r="C13944" s="12" t="str">
        <f ca="1">IFERROR(__xludf.DUMMYFUNCTION("""COMPUTED_VALUE"""),"")</f>
        <v/>
      </c>
      <c r="D13944" s="12" t="str">
        <f ca="1">IFERROR(__xludf.DUMMYFUNCTION("""COMPUTED_VALUE"""),"")</f>
        <v/>
      </c>
    </row>
    <row r="13945" spans="2:4" ht="13">
      <c r="B13945" s="12" t="str">
        <f ca="1">IFERROR(__xludf.DUMMYFUNCTION("""COMPUTED_VALUE"""),"")</f>
        <v/>
      </c>
      <c r="C13945" s="12" t="str">
        <f ca="1">IFERROR(__xludf.DUMMYFUNCTION("""COMPUTED_VALUE"""),"")</f>
        <v/>
      </c>
      <c r="D13945" s="12" t="str">
        <f ca="1">IFERROR(__xludf.DUMMYFUNCTION("""COMPUTED_VALUE"""),"")</f>
        <v/>
      </c>
    </row>
    <row r="13946" spans="2:4" ht="13">
      <c r="B13946" s="12" t="str">
        <f ca="1">IFERROR(__xludf.DUMMYFUNCTION("""COMPUTED_VALUE"""),"")</f>
        <v/>
      </c>
      <c r="C13946" s="12" t="str">
        <f ca="1">IFERROR(__xludf.DUMMYFUNCTION("""COMPUTED_VALUE"""),"")</f>
        <v/>
      </c>
      <c r="D13946" s="12" t="str">
        <f ca="1">IFERROR(__xludf.DUMMYFUNCTION("""COMPUTED_VALUE"""),"")</f>
        <v/>
      </c>
    </row>
    <row r="13947" spans="2:4" ht="13">
      <c r="B13947" s="12" t="str">
        <f ca="1">IFERROR(__xludf.DUMMYFUNCTION("""COMPUTED_VALUE"""),"")</f>
        <v/>
      </c>
      <c r="C13947" s="12" t="str">
        <f ca="1">IFERROR(__xludf.DUMMYFUNCTION("""COMPUTED_VALUE"""),"")</f>
        <v/>
      </c>
      <c r="D13947" s="12" t="str">
        <f ca="1">IFERROR(__xludf.DUMMYFUNCTION("""COMPUTED_VALUE"""),"")</f>
        <v/>
      </c>
    </row>
    <row r="13948" spans="2:4" ht="13">
      <c r="B13948" s="12" t="str">
        <f ca="1">IFERROR(__xludf.DUMMYFUNCTION("""COMPUTED_VALUE"""),"")</f>
        <v/>
      </c>
      <c r="C13948" s="12" t="str">
        <f ca="1">IFERROR(__xludf.DUMMYFUNCTION("""COMPUTED_VALUE"""),"")</f>
        <v/>
      </c>
      <c r="D13948" s="12" t="str">
        <f ca="1">IFERROR(__xludf.DUMMYFUNCTION("""COMPUTED_VALUE"""),"")</f>
        <v/>
      </c>
    </row>
    <row r="13949" spans="2:4" ht="13">
      <c r="B13949" s="12" t="str">
        <f ca="1">IFERROR(__xludf.DUMMYFUNCTION("""COMPUTED_VALUE"""),"")</f>
        <v/>
      </c>
      <c r="C13949" s="12" t="str">
        <f ca="1">IFERROR(__xludf.DUMMYFUNCTION("""COMPUTED_VALUE"""),"")</f>
        <v/>
      </c>
      <c r="D13949" s="12" t="str">
        <f ca="1">IFERROR(__xludf.DUMMYFUNCTION("""COMPUTED_VALUE"""),"")</f>
        <v/>
      </c>
    </row>
    <row r="13950" spans="2:4" ht="13">
      <c r="B13950" s="12" t="str">
        <f ca="1">IFERROR(__xludf.DUMMYFUNCTION("""COMPUTED_VALUE"""),"")</f>
        <v/>
      </c>
      <c r="C13950" s="12" t="str">
        <f ca="1">IFERROR(__xludf.DUMMYFUNCTION("""COMPUTED_VALUE"""),"")</f>
        <v/>
      </c>
      <c r="D13950" s="12" t="str">
        <f ca="1">IFERROR(__xludf.DUMMYFUNCTION("""COMPUTED_VALUE"""),"")</f>
        <v/>
      </c>
    </row>
    <row r="13951" spans="2:4" ht="13">
      <c r="B13951" s="12" t="str">
        <f ca="1">IFERROR(__xludf.DUMMYFUNCTION("""COMPUTED_VALUE"""),"")</f>
        <v/>
      </c>
      <c r="C13951" s="12" t="str">
        <f ca="1">IFERROR(__xludf.DUMMYFUNCTION("""COMPUTED_VALUE"""),"")</f>
        <v/>
      </c>
      <c r="D13951" s="12" t="str">
        <f ca="1">IFERROR(__xludf.DUMMYFUNCTION("""COMPUTED_VALUE"""),"")</f>
        <v/>
      </c>
    </row>
    <row r="13952" spans="2:4" ht="13">
      <c r="B13952" s="12" t="str">
        <f ca="1">IFERROR(__xludf.DUMMYFUNCTION("""COMPUTED_VALUE"""),"")</f>
        <v/>
      </c>
      <c r="C13952" s="12" t="str">
        <f ca="1">IFERROR(__xludf.DUMMYFUNCTION("""COMPUTED_VALUE"""),"")</f>
        <v/>
      </c>
      <c r="D13952" s="12" t="str">
        <f ca="1">IFERROR(__xludf.DUMMYFUNCTION("""COMPUTED_VALUE"""),"")</f>
        <v/>
      </c>
    </row>
    <row r="13953" spans="2:4" ht="13">
      <c r="B13953" s="12" t="str">
        <f ca="1">IFERROR(__xludf.DUMMYFUNCTION("""COMPUTED_VALUE"""),"")</f>
        <v/>
      </c>
      <c r="C13953" s="12" t="str">
        <f ca="1">IFERROR(__xludf.DUMMYFUNCTION("""COMPUTED_VALUE"""),"")</f>
        <v/>
      </c>
      <c r="D13953" s="12" t="str">
        <f ca="1">IFERROR(__xludf.DUMMYFUNCTION("""COMPUTED_VALUE"""),"")</f>
        <v/>
      </c>
    </row>
    <row r="13954" spans="2:4" ht="13">
      <c r="B13954" s="12" t="str">
        <f ca="1">IFERROR(__xludf.DUMMYFUNCTION("""COMPUTED_VALUE"""),"")</f>
        <v/>
      </c>
      <c r="C13954" s="12" t="str">
        <f ca="1">IFERROR(__xludf.DUMMYFUNCTION("""COMPUTED_VALUE"""),"")</f>
        <v/>
      </c>
      <c r="D13954" s="12" t="str">
        <f ca="1">IFERROR(__xludf.DUMMYFUNCTION("""COMPUTED_VALUE"""),"")</f>
        <v/>
      </c>
    </row>
    <row r="13955" spans="2:4" ht="13">
      <c r="B13955" s="12" t="str">
        <f ca="1">IFERROR(__xludf.DUMMYFUNCTION("""COMPUTED_VALUE"""),"")</f>
        <v/>
      </c>
      <c r="C13955" s="12" t="str">
        <f ca="1">IFERROR(__xludf.DUMMYFUNCTION("""COMPUTED_VALUE"""),"")</f>
        <v/>
      </c>
      <c r="D13955" s="12" t="str">
        <f ca="1">IFERROR(__xludf.DUMMYFUNCTION("""COMPUTED_VALUE"""),"")</f>
        <v/>
      </c>
    </row>
    <row r="13956" spans="2:4" ht="13">
      <c r="B13956" s="12" t="str">
        <f ca="1">IFERROR(__xludf.DUMMYFUNCTION("""COMPUTED_VALUE"""),"")</f>
        <v/>
      </c>
      <c r="C13956" s="12" t="str">
        <f ca="1">IFERROR(__xludf.DUMMYFUNCTION("""COMPUTED_VALUE"""),"")</f>
        <v/>
      </c>
      <c r="D13956" s="12" t="str">
        <f ca="1">IFERROR(__xludf.DUMMYFUNCTION("""COMPUTED_VALUE"""),"")</f>
        <v/>
      </c>
    </row>
    <row r="13957" spans="2:4" ht="13">
      <c r="B13957" s="12" t="str">
        <f ca="1">IFERROR(__xludf.DUMMYFUNCTION("""COMPUTED_VALUE"""),"")</f>
        <v/>
      </c>
      <c r="C13957" s="12" t="str">
        <f ca="1">IFERROR(__xludf.DUMMYFUNCTION("""COMPUTED_VALUE"""),"")</f>
        <v/>
      </c>
      <c r="D13957" s="12" t="str">
        <f ca="1">IFERROR(__xludf.DUMMYFUNCTION("""COMPUTED_VALUE"""),"")</f>
        <v/>
      </c>
    </row>
    <row r="13958" spans="2:4" ht="13">
      <c r="B13958" s="12" t="str">
        <f ca="1">IFERROR(__xludf.DUMMYFUNCTION("""COMPUTED_VALUE"""),"")</f>
        <v/>
      </c>
      <c r="C13958" s="12" t="str">
        <f ca="1">IFERROR(__xludf.DUMMYFUNCTION("""COMPUTED_VALUE"""),"")</f>
        <v/>
      </c>
      <c r="D13958" s="12" t="str">
        <f ca="1">IFERROR(__xludf.DUMMYFUNCTION("""COMPUTED_VALUE"""),"")</f>
        <v/>
      </c>
    </row>
    <row r="13959" spans="2:4" ht="13">
      <c r="B13959" s="12" t="str">
        <f ca="1">IFERROR(__xludf.DUMMYFUNCTION("""COMPUTED_VALUE"""),"")</f>
        <v/>
      </c>
      <c r="C13959" s="12" t="str">
        <f ca="1">IFERROR(__xludf.DUMMYFUNCTION("""COMPUTED_VALUE"""),"")</f>
        <v/>
      </c>
      <c r="D13959" s="12" t="str">
        <f ca="1">IFERROR(__xludf.DUMMYFUNCTION("""COMPUTED_VALUE"""),"")</f>
        <v/>
      </c>
    </row>
    <row r="13960" spans="2:4" ht="13">
      <c r="B13960" s="12" t="str">
        <f ca="1">IFERROR(__xludf.DUMMYFUNCTION("""COMPUTED_VALUE"""),"")</f>
        <v/>
      </c>
      <c r="C13960" s="12" t="str">
        <f ca="1">IFERROR(__xludf.DUMMYFUNCTION("""COMPUTED_VALUE"""),"")</f>
        <v/>
      </c>
      <c r="D13960" s="12" t="str">
        <f ca="1">IFERROR(__xludf.DUMMYFUNCTION("""COMPUTED_VALUE"""),"")</f>
        <v/>
      </c>
    </row>
    <row r="13961" spans="2:4" ht="13">
      <c r="B13961" s="12" t="str">
        <f ca="1">IFERROR(__xludf.DUMMYFUNCTION("""COMPUTED_VALUE"""),"")</f>
        <v/>
      </c>
      <c r="C13961" s="12" t="str">
        <f ca="1">IFERROR(__xludf.DUMMYFUNCTION("""COMPUTED_VALUE"""),"")</f>
        <v/>
      </c>
      <c r="D13961" s="12" t="str">
        <f ca="1">IFERROR(__xludf.DUMMYFUNCTION("""COMPUTED_VALUE"""),"")</f>
        <v/>
      </c>
    </row>
    <row r="13962" spans="2:4" ht="13">
      <c r="B13962" s="12" t="str">
        <f ca="1">IFERROR(__xludf.DUMMYFUNCTION("""COMPUTED_VALUE"""),"")</f>
        <v/>
      </c>
      <c r="C13962" s="12" t="str">
        <f ca="1">IFERROR(__xludf.DUMMYFUNCTION("""COMPUTED_VALUE"""),"")</f>
        <v/>
      </c>
      <c r="D13962" s="12" t="str">
        <f ca="1">IFERROR(__xludf.DUMMYFUNCTION("""COMPUTED_VALUE"""),"")</f>
        <v/>
      </c>
    </row>
    <row r="13963" spans="2:4" ht="13">
      <c r="B13963" s="12" t="str">
        <f ca="1">IFERROR(__xludf.DUMMYFUNCTION("""COMPUTED_VALUE"""),"")</f>
        <v/>
      </c>
      <c r="C13963" s="12" t="str">
        <f ca="1">IFERROR(__xludf.DUMMYFUNCTION("""COMPUTED_VALUE"""),"")</f>
        <v/>
      </c>
      <c r="D13963" s="12" t="str">
        <f ca="1">IFERROR(__xludf.DUMMYFUNCTION("""COMPUTED_VALUE"""),"")</f>
        <v/>
      </c>
    </row>
    <row r="13964" spans="2:4" ht="13">
      <c r="B13964" s="12" t="str">
        <f ca="1">IFERROR(__xludf.DUMMYFUNCTION("""COMPUTED_VALUE"""),"")</f>
        <v/>
      </c>
      <c r="C13964" s="12" t="str">
        <f ca="1">IFERROR(__xludf.DUMMYFUNCTION("""COMPUTED_VALUE"""),"")</f>
        <v/>
      </c>
      <c r="D13964" s="12" t="str">
        <f ca="1">IFERROR(__xludf.DUMMYFUNCTION("""COMPUTED_VALUE"""),"")</f>
        <v/>
      </c>
    </row>
    <row r="13965" spans="2:4" ht="13">
      <c r="B13965" s="12" t="str">
        <f ca="1">IFERROR(__xludf.DUMMYFUNCTION("""COMPUTED_VALUE"""),"")</f>
        <v/>
      </c>
      <c r="C13965" s="12" t="str">
        <f ca="1">IFERROR(__xludf.DUMMYFUNCTION("""COMPUTED_VALUE"""),"")</f>
        <v/>
      </c>
      <c r="D13965" s="12" t="str">
        <f ca="1">IFERROR(__xludf.DUMMYFUNCTION("""COMPUTED_VALUE"""),"")</f>
        <v/>
      </c>
    </row>
    <row r="13966" spans="2:4" ht="13">
      <c r="B13966" s="12" t="str">
        <f ca="1">IFERROR(__xludf.DUMMYFUNCTION("""COMPUTED_VALUE"""),"")</f>
        <v/>
      </c>
      <c r="C13966" s="12" t="str">
        <f ca="1">IFERROR(__xludf.DUMMYFUNCTION("""COMPUTED_VALUE"""),"")</f>
        <v/>
      </c>
      <c r="D13966" s="12" t="str">
        <f ca="1">IFERROR(__xludf.DUMMYFUNCTION("""COMPUTED_VALUE"""),"")</f>
        <v/>
      </c>
    </row>
    <row r="13967" spans="2:4" ht="13">
      <c r="B13967" s="12" t="str">
        <f ca="1">IFERROR(__xludf.DUMMYFUNCTION("""COMPUTED_VALUE"""),"")</f>
        <v/>
      </c>
      <c r="C13967" s="12" t="str">
        <f ca="1">IFERROR(__xludf.DUMMYFUNCTION("""COMPUTED_VALUE"""),"")</f>
        <v/>
      </c>
      <c r="D13967" s="12" t="str">
        <f ca="1">IFERROR(__xludf.DUMMYFUNCTION("""COMPUTED_VALUE"""),"")</f>
        <v/>
      </c>
    </row>
    <row r="13968" spans="2:4" ht="13">
      <c r="B13968" s="12" t="str">
        <f ca="1">IFERROR(__xludf.DUMMYFUNCTION("""COMPUTED_VALUE"""),"")</f>
        <v/>
      </c>
      <c r="C13968" s="12" t="str">
        <f ca="1">IFERROR(__xludf.DUMMYFUNCTION("""COMPUTED_VALUE"""),"")</f>
        <v/>
      </c>
      <c r="D13968" s="12" t="str">
        <f ca="1">IFERROR(__xludf.DUMMYFUNCTION("""COMPUTED_VALUE"""),"")</f>
        <v/>
      </c>
    </row>
    <row r="13969" spans="2:4" ht="13">
      <c r="B13969" s="12" t="str">
        <f ca="1">IFERROR(__xludf.DUMMYFUNCTION("""COMPUTED_VALUE"""),"")</f>
        <v/>
      </c>
      <c r="C13969" s="12" t="str">
        <f ca="1">IFERROR(__xludf.DUMMYFUNCTION("""COMPUTED_VALUE"""),"")</f>
        <v/>
      </c>
      <c r="D13969" s="12" t="str">
        <f ca="1">IFERROR(__xludf.DUMMYFUNCTION("""COMPUTED_VALUE"""),"")</f>
        <v/>
      </c>
    </row>
    <row r="13970" spans="2:4" ht="13">
      <c r="B13970" s="12" t="str">
        <f ca="1">IFERROR(__xludf.DUMMYFUNCTION("""COMPUTED_VALUE"""),"")</f>
        <v/>
      </c>
      <c r="C13970" s="12" t="str">
        <f ca="1">IFERROR(__xludf.DUMMYFUNCTION("""COMPUTED_VALUE"""),"")</f>
        <v/>
      </c>
      <c r="D13970" s="12" t="str">
        <f ca="1">IFERROR(__xludf.DUMMYFUNCTION("""COMPUTED_VALUE"""),"")</f>
        <v/>
      </c>
    </row>
    <row r="13971" spans="2:4" ht="13">
      <c r="B13971" s="12" t="str">
        <f ca="1">IFERROR(__xludf.DUMMYFUNCTION("""COMPUTED_VALUE"""),"")</f>
        <v/>
      </c>
      <c r="C13971" s="12" t="str">
        <f ca="1">IFERROR(__xludf.DUMMYFUNCTION("""COMPUTED_VALUE"""),"")</f>
        <v/>
      </c>
      <c r="D13971" s="12" t="str">
        <f ca="1">IFERROR(__xludf.DUMMYFUNCTION("""COMPUTED_VALUE"""),"")</f>
        <v/>
      </c>
    </row>
    <row r="13972" spans="2:4" ht="13">
      <c r="B13972" s="12" t="str">
        <f ca="1">IFERROR(__xludf.DUMMYFUNCTION("""COMPUTED_VALUE"""),"")</f>
        <v/>
      </c>
      <c r="C13972" s="12" t="str">
        <f ca="1">IFERROR(__xludf.DUMMYFUNCTION("""COMPUTED_VALUE"""),"")</f>
        <v/>
      </c>
      <c r="D13972" s="12" t="str">
        <f ca="1">IFERROR(__xludf.DUMMYFUNCTION("""COMPUTED_VALUE"""),"")</f>
        <v/>
      </c>
    </row>
    <row r="13973" spans="2:4" ht="13">
      <c r="B13973" s="12" t="str">
        <f ca="1">IFERROR(__xludf.DUMMYFUNCTION("""COMPUTED_VALUE"""),"")</f>
        <v/>
      </c>
      <c r="C13973" s="12" t="str">
        <f ca="1">IFERROR(__xludf.DUMMYFUNCTION("""COMPUTED_VALUE"""),"")</f>
        <v/>
      </c>
      <c r="D13973" s="12" t="str">
        <f ca="1">IFERROR(__xludf.DUMMYFUNCTION("""COMPUTED_VALUE"""),"")</f>
        <v/>
      </c>
    </row>
    <row r="13974" spans="2:4" ht="13">
      <c r="B13974" s="12" t="str">
        <f ca="1">IFERROR(__xludf.DUMMYFUNCTION("""COMPUTED_VALUE"""),"")</f>
        <v/>
      </c>
      <c r="C13974" s="12" t="str">
        <f ca="1">IFERROR(__xludf.DUMMYFUNCTION("""COMPUTED_VALUE"""),"")</f>
        <v/>
      </c>
      <c r="D13974" s="12" t="str">
        <f ca="1">IFERROR(__xludf.DUMMYFUNCTION("""COMPUTED_VALUE"""),"")</f>
        <v/>
      </c>
    </row>
    <row r="13975" spans="2:4" ht="13">
      <c r="B13975" s="12" t="str">
        <f ca="1">IFERROR(__xludf.DUMMYFUNCTION("""COMPUTED_VALUE"""),"")</f>
        <v/>
      </c>
      <c r="C13975" s="12" t="str">
        <f ca="1">IFERROR(__xludf.DUMMYFUNCTION("""COMPUTED_VALUE"""),"")</f>
        <v/>
      </c>
      <c r="D13975" s="12" t="str">
        <f ca="1">IFERROR(__xludf.DUMMYFUNCTION("""COMPUTED_VALUE"""),"")</f>
        <v/>
      </c>
    </row>
    <row r="13976" spans="2:4" ht="13">
      <c r="B13976" s="12" t="str">
        <f ca="1">IFERROR(__xludf.DUMMYFUNCTION("""COMPUTED_VALUE"""),"")</f>
        <v/>
      </c>
      <c r="C13976" s="12" t="str">
        <f ca="1">IFERROR(__xludf.DUMMYFUNCTION("""COMPUTED_VALUE"""),"")</f>
        <v/>
      </c>
      <c r="D13976" s="12" t="str">
        <f ca="1">IFERROR(__xludf.DUMMYFUNCTION("""COMPUTED_VALUE"""),"")</f>
        <v/>
      </c>
    </row>
    <row r="13977" spans="2:4" ht="13">
      <c r="B13977" s="12" t="str">
        <f ca="1">IFERROR(__xludf.DUMMYFUNCTION("""COMPUTED_VALUE"""),"")</f>
        <v/>
      </c>
      <c r="C13977" s="12" t="str">
        <f ca="1">IFERROR(__xludf.DUMMYFUNCTION("""COMPUTED_VALUE"""),"")</f>
        <v/>
      </c>
      <c r="D13977" s="12" t="str">
        <f ca="1">IFERROR(__xludf.DUMMYFUNCTION("""COMPUTED_VALUE"""),"")</f>
        <v/>
      </c>
    </row>
    <row r="13978" spans="2:4" ht="13">
      <c r="B13978" s="12" t="str">
        <f ca="1">IFERROR(__xludf.DUMMYFUNCTION("""COMPUTED_VALUE"""),"")</f>
        <v/>
      </c>
      <c r="C13978" s="12" t="str">
        <f ca="1">IFERROR(__xludf.DUMMYFUNCTION("""COMPUTED_VALUE"""),"")</f>
        <v/>
      </c>
      <c r="D13978" s="12" t="str">
        <f ca="1">IFERROR(__xludf.DUMMYFUNCTION("""COMPUTED_VALUE"""),"")</f>
        <v/>
      </c>
    </row>
    <row r="13979" spans="2:4" ht="13">
      <c r="B13979" s="12" t="str">
        <f ca="1">IFERROR(__xludf.DUMMYFUNCTION("""COMPUTED_VALUE"""),"")</f>
        <v/>
      </c>
      <c r="C13979" s="12" t="str">
        <f ca="1">IFERROR(__xludf.DUMMYFUNCTION("""COMPUTED_VALUE"""),"")</f>
        <v/>
      </c>
      <c r="D13979" s="12" t="str">
        <f ca="1">IFERROR(__xludf.DUMMYFUNCTION("""COMPUTED_VALUE"""),"")</f>
        <v/>
      </c>
    </row>
    <row r="13980" spans="2:4" ht="13">
      <c r="B13980" s="12" t="str">
        <f ca="1">IFERROR(__xludf.DUMMYFUNCTION("""COMPUTED_VALUE"""),"")</f>
        <v/>
      </c>
      <c r="C13980" s="12" t="str">
        <f ca="1">IFERROR(__xludf.DUMMYFUNCTION("""COMPUTED_VALUE"""),"")</f>
        <v/>
      </c>
      <c r="D13980" s="12" t="str">
        <f ca="1">IFERROR(__xludf.DUMMYFUNCTION("""COMPUTED_VALUE"""),"")</f>
        <v/>
      </c>
    </row>
    <row r="13981" spans="2:4" ht="13">
      <c r="B13981" s="12" t="str">
        <f ca="1">IFERROR(__xludf.DUMMYFUNCTION("""COMPUTED_VALUE"""),"")</f>
        <v/>
      </c>
      <c r="C13981" s="12" t="str">
        <f ca="1">IFERROR(__xludf.DUMMYFUNCTION("""COMPUTED_VALUE"""),"")</f>
        <v/>
      </c>
      <c r="D13981" s="12" t="str">
        <f ca="1">IFERROR(__xludf.DUMMYFUNCTION("""COMPUTED_VALUE"""),"")</f>
        <v/>
      </c>
    </row>
    <row r="13982" spans="2:4" ht="13">
      <c r="B13982" s="12" t="str">
        <f ca="1">IFERROR(__xludf.DUMMYFUNCTION("""COMPUTED_VALUE"""),"")</f>
        <v/>
      </c>
      <c r="C13982" s="12" t="str">
        <f ca="1">IFERROR(__xludf.DUMMYFUNCTION("""COMPUTED_VALUE"""),"")</f>
        <v/>
      </c>
      <c r="D13982" s="12" t="str">
        <f ca="1">IFERROR(__xludf.DUMMYFUNCTION("""COMPUTED_VALUE"""),"")</f>
        <v/>
      </c>
    </row>
    <row r="13983" spans="2:4" ht="13">
      <c r="B13983" s="12" t="str">
        <f ca="1">IFERROR(__xludf.DUMMYFUNCTION("""COMPUTED_VALUE"""),"")</f>
        <v/>
      </c>
      <c r="C13983" s="12" t="str">
        <f ca="1">IFERROR(__xludf.DUMMYFUNCTION("""COMPUTED_VALUE"""),"")</f>
        <v/>
      </c>
      <c r="D13983" s="12" t="str">
        <f ca="1">IFERROR(__xludf.DUMMYFUNCTION("""COMPUTED_VALUE"""),"")</f>
        <v/>
      </c>
    </row>
    <row r="13984" spans="2:4" ht="13">
      <c r="B13984" s="12" t="str">
        <f ca="1">IFERROR(__xludf.DUMMYFUNCTION("""COMPUTED_VALUE"""),"")</f>
        <v/>
      </c>
      <c r="C13984" s="12" t="str">
        <f ca="1">IFERROR(__xludf.DUMMYFUNCTION("""COMPUTED_VALUE"""),"")</f>
        <v/>
      </c>
      <c r="D13984" s="12" t="str">
        <f ca="1">IFERROR(__xludf.DUMMYFUNCTION("""COMPUTED_VALUE"""),"")</f>
        <v/>
      </c>
    </row>
    <row r="13985" spans="2:4" ht="13">
      <c r="B13985" s="12" t="str">
        <f ca="1">IFERROR(__xludf.DUMMYFUNCTION("""COMPUTED_VALUE"""),"")</f>
        <v/>
      </c>
      <c r="C13985" s="12" t="str">
        <f ca="1">IFERROR(__xludf.DUMMYFUNCTION("""COMPUTED_VALUE"""),"")</f>
        <v/>
      </c>
      <c r="D13985" s="12" t="str">
        <f ca="1">IFERROR(__xludf.DUMMYFUNCTION("""COMPUTED_VALUE"""),"")</f>
        <v/>
      </c>
    </row>
    <row r="13986" spans="2:4" ht="13">
      <c r="B13986" s="12" t="str">
        <f ca="1">IFERROR(__xludf.DUMMYFUNCTION("""COMPUTED_VALUE"""),"")</f>
        <v/>
      </c>
      <c r="C13986" s="12" t="str">
        <f ca="1">IFERROR(__xludf.DUMMYFUNCTION("""COMPUTED_VALUE"""),"")</f>
        <v/>
      </c>
      <c r="D13986" s="12" t="str">
        <f ca="1">IFERROR(__xludf.DUMMYFUNCTION("""COMPUTED_VALUE"""),"")</f>
        <v/>
      </c>
    </row>
    <row r="13987" spans="2:4" ht="13">
      <c r="B13987" s="12" t="str">
        <f ca="1">IFERROR(__xludf.DUMMYFUNCTION("""COMPUTED_VALUE"""),"")</f>
        <v/>
      </c>
      <c r="C13987" s="12" t="str">
        <f ca="1">IFERROR(__xludf.DUMMYFUNCTION("""COMPUTED_VALUE"""),"")</f>
        <v/>
      </c>
      <c r="D13987" s="12" t="str">
        <f ca="1">IFERROR(__xludf.DUMMYFUNCTION("""COMPUTED_VALUE"""),"")</f>
        <v/>
      </c>
    </row>
    <row r="13988" spans="2:4" ht="13">
      <c r="B13988" s="12" t="str">
        <f ca="1">IFERROR(__xludf.DUMMYFUNCTION("""COMPUTED_VALUE"""),"")</f>
        <v/>
      </c>
      <c r="C13988" s="12" t="str">
        <f ca="1">IFERROR(__xludf.DUMMYFUNCTION("""COMPUTED_VALUE"""),"")</f>
        <v/>
      </c>
      <c r="D13988" s="12" t="str">
        <f ca="1">IFERROR(__xludf.DUMMYFUNCTION("""COMPUTED_VALUE"""),"")</f>
        <v/>
      </c>
    </row>
    <row r="13989" spans="2:4" ht="13">
      <c r="B13989" s="12" t="str">
        <f ca="1">IFERROR(__xludf.DUMMYFUNCTION("""COMPUTED_VALUE"""),"")</f>
        <v/>
      </c>
      <c r="C13989" s="12" t="str">
        <f ca="1">IFERROR(__xludf.DUMMYFUNCTION("""COMPUTED_VALUE"""),"")</f>
        <v/>
      </c>
      <c r="D13989" s="12" t="str">
        <f ca="1">IFERROR(__xludf.DUMMYFUNCTION("""COMPUTED_VALUE"""),"")</f>
        <v/>
      </c>
    </row>
    <row r="13990" spans="2:4" ht="13">
      <c r="B13990" s="12" t="str">
        <f ca="1">IFERROR(__xludf.DUMMYFUNCTION("""COMPUTED_VALUE"""),"")</f>
        <v/>
      </c>
      <c r="C13990" s="12" t="str">
        <f ca="1">IFERROR(__xludf.DUMMYFUNCTION("""COMPUTED_VALUE"""),"")</f>
        <v/>
      </c>
      <c r="D13990" s="12" t="str">
        <f ca="1">IFERROR(__xludf.DUMMYFUNCTION("""COMPUTED_VALUE"""),"")</f>
        <v/>
      </c>
    </row>
    <row r="13991" spans="2:4" ht="13">
      <c r="B13991" s="12" t="str">
        <f ca="1">IFERROR(__xludf.DUMMYFUNCTION("""COMPUTED_VALUE"""),"")</f>
        <v/>
      </c>
      <c r="C13991" s="12" t="str">
        <f ca="1">IFERROR(__xludf.DUMMYFUNCTION("""COMPUTED_VALUE"""),"")</f>
        <v/>
      </c>
      <c r="D13991" s="12" t="str">
        <f ca="1">IFERROR(__xludf.DUMMYFUNCTION("""COMPUTED_VALUE"""),"")</f>
        <v/>
      </c>
    </row>
    <row r="13992" spans="2:4" ht="13">
      <c r="B13992" s="12" t="str">
        <f ca="1">IFERROR(__xludf.DUMMYFUNCTION("""COMPUTED_VALUE"""),"")</f>
        <v/>
      </c>
      <c r="C13992" s="12" t="str">
        <f ca="1">IFERROR(__xludf.DUMMYFUNCTION("""COMPUTED_VALUE"""),"")</f>
        <v/>
      </c>
      <c r="D13992" s="12" t="str">
        <f ca="1">IFERROR(__xludf.DUMMYFUNCTION("""COMPUTED_VALUE"""),"")</f>
        <v/>
      </c>
    </row>
    <row r="13993" spans="2:4" ht="13">
      <c r="B13993" s="12" t="str">
        <f ca="1">IFERROR(__xludf.DUMMYFUNCTION("""COMPUTED_VALUE"""),"")</f>
        <v/>
      </c>
      <c r="C13993" s="12" t="str">
        <f ca="1">IFERROR(__xludf.DUMMYFUNCTION("""COMPUTED_VALUE"""),"")</f>
        <v/>
      </c>
      <c r="D13993" s="12" t="str">
        <f ca="1">IFERROR(__xludf.DUMMYFUNCTION("""COMPUTED_VALUE"""),"")</f>
        <v/>
      </c>
    </row>
    <row r="13994" spans="2:4" ht="13">
      <c r="B13994" s="12" t="str">
        <f ca="1">IFERROR(__xludf.DUMMYFUNCTION("""COMPUTED_VALUE"""),"")</f>
        <v/>
      </c>
      <c r="C13994" s="12" t="str">
        <f ca="1">IFERROR(__xludf.DUMMYFUNCTION("""COMPUTED_VALUE"""),"")</f>
        <v/>
      </c>
      <c r="D13994" s="12" t="str">
        <f ca="1">IFERROR(__xludf.DUMMYFUNCTION("""COMPUTED_VALUE"""),"")</f>
        <v/>
      </c>
    </row>
    <row r="13995" spans="2:4" ht="13">
      <c r="B13995" s="12" t="str">
        <f ca="1">IFERROR(__xludf.DUMMYFUNCTION("""COMPUTED_VALUE"""),"")</f>
        <v/>
      </c>
      <c r="C13995" s="12" t="str">
        <f ca="1">IFERROR(__xludf.DUMMYFUNCTION("""COMPUTED_VALUE"""),"")</f>
        <v/>
      </c>
      <c r="D13995" s="12" t="str">
        <f ca="1">IFERROR(__xludf.DUMMYFUNCTION("""COMPUTED_VALUE"""),"")</f>
        <v/>
      </c>
    </row>
    <row r="13996" spans="2:4" ht="13">
      <c r="B13996" s="12" t="str">
        <f ca="1">IFERROR(__xludf.DUMMYFUNCTION("""COMPUTED_VALUE"""),"")</f>
        <v/>
      </c>
      <c r="C13996" s="12" t="str">
        <f ca="1">IFERROR(__xludf.DUMMYFUNCTION("""COMPUTED_VALUE"""),"")</f>
        <v/>
      </c>
      <c r="D13996" s="12" t="str">
        <f ca="1">IFERROR(__xludf.DUMMYFUNCTION("""COMPUTED_VALUE"""),"")</f>
        <v/>
      </c>
    </row>
    <row r="13997" spans="2:4" ht="13">
      <c r="B13997" s="12" t="str">
        <f ca="1">IFERROR(__xludf.DUMMYFUNCTION("""COMPUTED_VALUE"""),"")</f>
        <v/>
      </c>
      <c r="C13997" s="12" t="str">
        <f ca="1">IFERROR(__xludf.DUMMYFUNCTION("""COMPUTED_VALUE"""),"")</f>
        <v/>
      </c>
      <c r="D13997" s="12" t="str">
        <f ca="1">IFERROR(__xludf.DUMMYFUNCTION("""COMPUTED_VALUE"""),"")</f>
        <v/>
      </c>
    </row>
    <row r="13998" spans="2:4" ht="13">
      <c r="B13998" s="12" t="str">
        <f ca="1">IFERROR(__xludf.DUMMYFUNCTION("""COMPUTED_VALUE"""),"")</f>
        <v/>
      </c>
      <c r="C13998" s="12" t="str">
        <f ca="1">IFERROR(__xludf.DUMMYFUNCTION("""COMPUTED_VALUE"""),"")</f>
        <v/>
      </c>
      <c r="D13998" s="12" t="str">
        <f ca="1">IFERROR(__xludf.DUMMYFUNCTION("""COMPUTED_VALUE"""),"")</f>
        <v/>
      </c>
    </row>
    <row r="13999" spans="2:4" ht="13">
      <c r="B13999" s="12" t="str">
        <f ca="1">IFERROR(__xludf.DUMMYFUNCTION("""COMPUTED_VALUE"""),"")</f>
        <v/>
      </c>
      <c r="C13999" s="12" t="str">
        <f ca="1">IFERROR(__xludf.DUMMYFUNCTION("""COMPUTED_VALUE"""),"")</f>
        <v/>
      </c>
      <c r="D13999" s="12" t="str">
        <f ca="1">IFERROR(__xludf.DUMMYFUNCTION("""COMPUTED_VALUE"""),"")</f>
        <v/>
      </c>
    </row>
    <row r="14000" spans="2:4" ht="13">
      <c r="B14000" s="12" t="str">
        <f ca="1">IFERROR(__xludf.DUMMYFUNCTION("""COMPUTED_VALUE"""),"")</f>
        <v/>
      </c>
      <c r="C14000" s="12" t="str">
        <f ca="1">IFERROR(__xludf.DUMMYFUNCTION("""COMPUTED_VALUE"""),"")</f>
        <v/>
      </c>
      <c r="D14000" s="12" t="str">
        <f ca="1">IFERROR(__xludf.DUMMYFUNCTION("""COMPUTED_VALUE"""),"")</f>
        <v/>
      </c>
    </row>
    <row r="14001" spans="2:4" ht="13">
      <c r="B14001" s="12" t="str">
        <f ca="1">IFERROR(__xludf.DUMMYFUNCTION("""COMPUTED_VALUE"""),"")</f>
        <v/>
      </c>
      <c r="C14001" s="12" t="str">
        <f ca="1">IFERROR(__xludf.DUMMYFUNCTION("""COMPUTED_VALUE"""),"")</f>
        <v/>
      </c>
      <c r="D14001" s="12" t="str">
        <f ca="1">IFERROR(__xludf.DUMMYFUNCTION("""COMPUTED_VALUE"""),"")</f>
        <v/>
      </c>
    </row>
    <row r="14002" spans="2:4" ht="13">
      <c r="B14002" s="12" t="str">
        <f ca="1">IFERROR(__xludf.DUMMYFUNCTION("""COMPUTED_VALUE"""),"")</f>
        <v/>
      </c>
      <c r="C14002" s="12" t="str">
        <f ca="1">IFERROR(__xludf.DUMMYFUNCTION("""COMPUTED_VALUE"""),"")</f>
        <v/>
      </c>
      <c r="D14002" s="12" t="str">
        <f ca="1">IFERROR(__xludf.DUMMYFUNCTION("""COMPUTED_VALUE"""),"")</f>
        <v/>
      </c>
    </row>
    <row r="14003" spans="2:4" ht="13">
      <c r="B14003" s="12" t="str">
        <f ca="1">IFERROR(__xludf.DUMMYFUNCTION("""COMPUTED_VALUE"""),"")</f>
        <v/>
      </c>
      <c r="C14003" s="12" t="str">
        <f ca="1">IFERROR(__xludf.DUMMYFUNCTION("""COMPUTED_VALUE"""),"")</f>
        <v/>
      </c>
      <c r="D14003" s="12" t="str">
        <f ca="1">IFERROR(__xludf.DUMMYFUNCTION("""COMPUTED_VALUE"""),"")</f>
        <v/>
      </c>
    </row>
    <row r="14004" spans="2:4" ht="13">
      <c r="B14004" s="12" t="str">
        <f ca="1">IFERROR(__xludf.DUMMYFUNCTION("""COMPUTED_VALUE"""),"")</f>
        <v/>
      </c>
      <c r="C14004" s="12" t="str">
        <f ca="1">IFERROR(__xludf.DUMMYFUNCTION("""COMPUTED_VALUE"""),"")</f>
        <v/>
      </c>
      <c r="D14004" s="12" t="str">
        <f ca="1">IFERROR(__xludf.DUMMYFUNCTION("""COMPUTED_VALUE"""),"")</f>
        <v/>
      </c>
    </row>
    <row r="14005" spans="2:4" ht="13">
      <c r="B14005" s="12" t="str">
        <f ca="1">IFERROR(__xludf.DUMMYFUNCTION("""COMPUTED_VALUE"""),"")</f>
        <v/>
      </c>
      <c r="C14005" s="12" t="str">
        <f ca="1">IFERROR(__xludf.DUMMYFUNCTION("""COMPUTED_VALUE"""),"")</f>
        <v/>
      </c>
      <c r="D14005" s="12" t="str">
        <f ca="1">IFERROR(__xludf.DUMMYFUNCTION("""COMPUTED_VALUE"""),"")</f>
        <v/>
      </c>
    </row>
    <row r="14006" spans="2:4" ht="13">
      <c r="B14006" s="12" t="str">
        <f ca="1">IFERROR(__xludf.DUMMYFUNCTION("""COMPUTED_VALUE"""),"")</f>
        <v/>
      </c>
      <c r="C14006" s="12" t="str">
        <f ca="1">IFERROR(__xludf.DUMMYFUNCTION("""COMPUTED_VALUE"""),"")</f>
        <v/>
      </c>
      <c r="D14006" s="12" t="str">
        <f ca="1">IFERROR(__xludf.DUMMYFUNCTION("""COMPUTED_VALUE"""),"")</f>
        <v/>
      </c>
    </row>
    <row r="14007" spans="2:4" ht="13">
      <c r="B14007" s="12" t="str">
        <f ca="1">IFERROR(__xludf.DUMMYFUNCTION("""COMPUTED_VALUE"""),"")</f>
        <v/>
      </c>
      <c r="C14007" s="12" t="str">
        <f ca="1">IFERROR(__xludf.DUMMYFUNCTION("""COMPUTED_VALUE"""),"")</f>
        <v/>
      </c>
      <c r="D14007" s="12" t="str">
        <f ca="1">IFERROR(__xludf.DUMMYFUNCTION("""COMPUTED_VALUE"""),"")</f>
        <v/>
      </c>
    </row>
    <row r="14008" spans="2:4" ht="13">
      <c r="B14008" s="12" t="str">
        <f ca="1">IFERROR(__xludf.DUMMYFUNCTION("""COMPUTED_VALUE"""),"")</f>
        <v/>
      </c>
      <c r="C14008" s="12" t="str">
        <f ca="1">IFERROR(__xludf.DUMMYFUNCTION("""COMPUTED_VALUE"""),"")</f>
        <v/>
      </c>
      <c r="D14008" s="12" t="str">
        <f ca="1">IFERROR(__xludf.DUMMYFUNCTION("""COMPUTED_VALUE"""),"")</f>
        <v/>
      </c>
    </row>
    <row r="14009" spans="2:4" ht="13">
      <c r="B14009" s="12" t="str">
        <f ca="1">IFERROR(__xludf.DUMMYFUNCTION("""COMPUTED_VALUE"""),"")</f>
        <v/>
      </c>
      <c r="C14009" s="12" t="str">
        <f ca="1">IFERROR(__xludf.DUMMYFUNCTION("""COMPUTED_VALUE"""),"")</f>
        <v/>
      </c>
      <c r="D14009" s="12" t="str">
        <f ca="1">IFERROR(__xludf.DUMMYFUNCTION("""COMPUTED_VALUE"""),"")</f>
        <v/>
      </c>
    </row>
    <row r="14010" spans="2:4" ht="13">
      <c r="B14010" s="12" t="str">
        <f ca="1">IFERROR(__xludf.DUMMYFUNCTION("""COMPUTED_VALUE"""),"")</f>
        <v/>
      </c>
      <c r="C14010" s="12" t="str">
        <f ca="1">IFERROR(__xludf.DUMMYFUNCTION("""COMPUTED_VALUE"""),"")</f>
        <v/>
      </c>
      <c r="D14010" s="12" t="str">
        <f ca="1">IFERROR(__xludf.DUMMYFUNCTION("""COMPUTED_VALUE"""),"")</f>
        <v/>
      </c>
    </row>
    <row r="14011" spans="2:4" ht="13">
      <c r="B14011" s="12" t="str">
        <f ca="1">IFERROR(__xludf.DUMMYFUNCTION("""COMPUTED_VALUE"""),"")</f>
        <v/>
      </c>
      <c r="C14011" s="12" t="str">
        <f ca="1">IFERROR(__xludf.DUMMYFUNCTION("""COMPUTED_VALUE"""),"")</f>
        <v/>
      </c>
      <c r="D14011" s="12" t="str">
        <f ca="1">IFERROR(__xludf.DUMMYFUNCTION("""COMPUTED_VALUE"""),"")</f>
        <v/>
      </c>
    </row>
    <row r="14012" spans="2:4" ht="13">
      <c r="B14012" s="12" t="str">
        <f ca="1">IFERROR(__xludf.DUMMYFUNCTION("""COMPUTED_VALUE"""),"")</f>
        <v/>
      </c>
      <c r="C14012" s="12" t="str">
        <f ca="1">IFERROR(__xludf.DUMMYFUNCTION("""COMPUTED_VALUE"""),"")</f>
        <v/>
      </c>
      <c r="D14012" s="12" t="str">
        <f ca="1">IFERROR(__xludf.DUMMYFUNCTION("""COMPUTED_VALUE"""),"")</f>
        <v/>
      </c>
    </row>
    <row r="14013" spans="2:4" ht="13">
      <c r="B14013" s="12" t="str">
        <f ca="1">IFERROR(__xludf.DUMMYFUNCTION("""COMPUTED_VALUE"""),"")</f>
        <v/>
      </c>
      <c r="C14013" s="12" t="str">
        <f ca="1">IFERROR(__xludf.DUMMYFUNCTION("""COMPUTED_VALUE"""),"")</f>
        <v/>
      </c>
      <c r="D14013" s="12" t="str">
        <f ca="1">IFERROR(__xludf.DUMMYFUNCTION("""COMPUTED_VALUE"""),"")</f>
        <v/>
      </c>
    </row>
    <row r="14014" spans="2:4" ht="13">
      <c r="B14014" s="12" t="str">
        <f ca="1">IFERROR(__xludf.DUMMYFUNCTION("""COMPUTED_VALUE"""),"")</f>
        <v/>
      </c>
      <c r="C14014" s="12" t="str">
        <f ca="1">IFERROR(__xludf.DUMMYFUNCTION("""COMPUTED_VALUE"""),"")</f>
        <v/>
      </c>
      <c r="D14014" s="12" t="str">
        <f ca="1">IFERROR(__xludf.DUMMYFUNCTION("""COMPUTED_VALUE"""),"")</f>
        <v/>
      </c>
    </row>
    <row r="14015" spans="2:4" ht="13">
      <c r="B14015" s="12" t="str">
        <f ca="1">IFERROR(__xludf.DUMMYFUNCTION("""COMPUTED_VALUE"""),"")</f>
        <v/>
      </c>
      <c r="C14015" s="12" t="str">
        <f ca="1">IFERROR(__xludf.DUMMYFUNCTION("""COMPUTED_VALUE"""),"")</f>
        <v/>
      </c>
      <c r="D14015" s="12" t="str">
        <f ca="1">IFERROR(__xludf.DUMMYFUNCTION("""COMPUTED_VALUE"""),"")</f>
        <v/>
      </c>
    </row>
    <row r="14016" spans="2:4" ht="13">
      <c r="B14016" s="12" t="str">
        <f ca="1">IFERROR(__xludf.DUMMYFUNCTION("""COMPUTED_VALUE"""),"")</f>
        <v/>
      </c>
      <c r="C14016" s="12" t="str">
        <f ca="1">IFERROR(__xludf.DUMMYFUNCTION("""COMPUTED_VALUE"""),"")</f>
        <v/>
      </c>
      <c r="D14016" s="12" t="str">
        <f ca="1">IFERROR(__xludf.DUMMYFUNCTION("""COMPUTED_VALUE"""),"")</f>
        <v/>
      </c>
    </row>
    <row r="14017" spans="2:4" ht="13">
      <c r="B14017" s="12" t="str">
        <f ca="1">IFERROR(__xludf.DUMMYFUNCTION("""COMPUTED_VALUE"""),"")</f>
        <v/>
      </c>
      <c r="C14017" s="12" t="str">
        <f ca="1">IFERROR(__xludf.DUMMYFUNCTION("""COMPUTED_VALUE"""),"")</f>
        <v/>
      </c>
      <c r="D14017" s="12" t="str">
        <f ca="1">IFERROR(__xludf.DUMMYFUNCTION("""COMPUTED_VALUE"""),"")</f>
        <v/>
      </c>
    </row>
    <row r="14018" spans="2:4" ht="13">
      <c r="B14018" s="12" t="str">
        <f ca="1">IFERROR(__xludf.DUMMYFUNCTION("""COMPUTED_VALUE"""),"")</f>
        <v/>
      </c>
      <c r="C14018" s="12" t="str">
        <f ca="1">IFERROR(__xludf.DUMMYFUNCTION("""COMPUTED_VALUE"""),"")</f>
        <v/>
      </c>
      <c r="D14018" s="12" t="str">
        <f ca="1">IFERROR(__xludf.DUMMYFUNCTION("""COMPUTED_VALUE"""),"")</f>
        <v/>
      </c>
    </row>
    <row r="14019" spans="2:4" ht="13">
      <c r="B14019" s="12" t="str">
        <f ca="1">IFERROR(__xludf.DUMMYFUNCTION("""COMPUTED_VALUE"""),"")</f>
        <v/>
      </c>
      <c r="C14019" s="12" t="str">
        <f ca="1">IFERROR(__xludf.DUMMYFUNCTION("""COMPUTED_VALUE"""),"")</f>
        <v/>
      </c>
      <c r="D14019" s="12" t="str">
        <f ca="1">IFERROR(__xludf.DUMMYFUNCTION("""COMPUTED_VALUE"""),"")</f>
        <v/>
      </c>
    </row>
    <row r="14020" spans="2:4" ht="13">
      <c r="B14020" s="12" t="str">
        <f ca="1">IFERROR(__xludf.DUMMYFUNCTION("""COMPUTED_VALUE"""),"")</f>
        <v/>
      </c>
      <c r="C14020" s="12" t="str">
        <f ca="1">IFERROR(__xludf.DUMMYFUNCTION("""COMPUTED_VALUE"""),"")</f>
        <v/>
      </c>
      <c r="D14020" s="12" t="str">
        <f ca="1">IFERROR(__xludf.DUMMYFUNCTION("""COMPUTED_VALUE"""),"")</f>
        <v/>
      </c>
    </row>
    <row r="14021" spans="2:4" ht="13">
      <c r="B14021" s="12" t="str">
        <f ca="1">IFERROR(__xludf.DUMMYFUNCTION("""COMPUTED_VALUE"""),"")</f>
        <v/>
      </c>
      <c r="C14021" s="12" t="str">
        <f ca="1">IFERROR(__xludf.DUMMYFUNCTION("""COMPUTED_VALUE"""),"")</f>
        <v/>
      </c>
      <c r="D14021" s="12" t="str">
        <f ca="1">IFERROR(__xludf.DUMMYFUNCTION("""COMPUTED_VALUE"""),"")</f>
        <v/>
      </c>
    </row>
    <row r="14022" spans="2:4" ht="13">
      <c r="B14022" s="12" t="str">
        <f ca="1">IFERROR(__xludf.DUMMYFUNCTION("""COMPUTED_VALUE"""),"")</f>
        <v/>
      </c>
      <c r="C14022" s="12" t="str">
        <f ca="1">IFERROR(__xludf.DUMMYFUNCTION("""COMPUTED_VALUE"""),"")</f>
        <v/>
      </c>
      <c r="D14022" s="12" t="str">
        <f ca="1">IFERROR(__xludf.DUMMYFUNCTION("""COMPUTED_VALUE"""),"")</f>
        <v/>
      </c>
    </row>
    <row r="14023" spans="2:4" ht="13">
      <c r="B14023" s="12" t="str">
        <f ca="1">IFERROR(__xludf.DUMMYFUNCTION("""COMPUTED_VALUE"""),"")</f>
        <v/>
      </c>
      <c r="C14023" s="12" t="str">
        <f ca="1">IFERROR(__xludf.DUMMYFUNCTION("""COMPUTED_VALUE"""),"")</f>
        <v/>
      </c>
      <c r="D14023" s="12" t="str">
        <f ca="1">IFERROR(__xludf.DUMMYFUNCTION("""COMPUTED_VALUE"""),"")</f>
        <v/>
      </c>
    </row>
    <row r="14024" spans="2:4" ht="13">
      <c r="B14024" s="12" t="str">
        <f ca="1">IFERROR(__xludf.DUMMYFUNCTION("""COMPUTED_VALUE"""),"")</f>
        <v/>
      </c>
      <c r="C14024" s="12" t="str">
        <f ca="1">IFERROR(__xludf.DUMMYFUNCTION("""COMPUTED_VALUE"""),"")</f>
        <v/>
      </c>
      <c r="D14024" s="12" t="str">
        <f ca="1">IFERROR(__xludf.DUMMYFUNCTION("""COMPUTED_VALUE"""),"")</f>
        <v/>
      </c>
    </row>
    <row r="14025" spans="2:4" ht="13">
      <c r="B14025" s="12" t="str">
        <f ca="1">IFERROR(__xludf.DUMMYFUNCTION("""COMPUTED_VALUE"""),"")</f>
        <v/>
      </c>
      <c r="C14025" s="12" t="str">
        <f ca="1">IFERROR(__xludf.DUMMYFUNCTION("""COMPUTED_VALUE"""),"")</f>
        <v/>
      </c>
      <c r="D14025" s="12" t="str">
        <f ca="1">IFERROR(__xludf.DUMMYFUNCTION("""COMPUTED_VALUE"""),"")</f>
        <v/>
      </c>
    </row>
    <row r="14026" spans="2:4" ht="13">
      <c r="B14026" s="12" t="str">
        <f ca="1">IFERROR(__xludf.DUMMYFUNCTION("""COMPUTED_VALUE"""),"")</f>
        <v/>
      </c>
      <c r="C14026" s="12" t="str">
        <f ca="1">IFERROR(__xludf.DUMMYFUNCTION("""COMPUTED_VALUE"""),"")</f>
        <v/>
      </c>
      <c r="D14026" s="12" t="str">
        <f ca="1">IFERROR(__xludf.DUMMYFUNCTION("""COMPUTED_VALUE"""),"")</f>
        <v/>
      </c>
    </row>
    <row r="14027" spans="2:4" ht="13">
      <c r="B14027" s="12" t="str">
        <f ca="1">IFERROR(__xludf.DUMMYFUNCTION("""COMPUTED_VALUE"""),"")</f>
        <v/>
      </c>
      <c r="C14027" s="12" t="str">
        <f ca="1">IFERROR(__xludf.DUMMYFUNCTION("""COMPUTED_VALUE"""),"")</f>
        <v/>
      </c>
      <c r="D14027" s="12" t="str">
        <f ca="1">IFERROR(__xludf.DUMMYFUNCTION("""COMPUTED_VALUE"""),"")</f>
        <v/>
      </c>
    </row>
    <row r="14028" spans="2:4" ht="13">
      <c r="B14028" s="12" t="str">
        <f ca="1">IFERROR(__xludf.DUMMYFUNCTION("""COMPUTED_VALUE"""),"")</f>
        <v/>
      </c>
      <c r="C14028" s="12" t="str">
        <f ca="1">IFERROR(__xludf.DUMMYFUNCTION("""COMPUTED_VALUE"""),"")</f>
        <v/>
      </c>
      <c r="D14028" s="12" t="str">
        <f ca="1">IFERROR(__xludf.DUMMYFUNCTION("""COMPUTED_VALUE"""),"")</f>
        <v/>
      </c>
    </row>
    <row r="14029" spans="2:4" ht="13">
      <c r="B14029" s="12" t="str">
        <f ca="1">IFERROR(__xludf.DUMMYFUNCTION("""COMPUTED_VALUE"""),"")</f>
        <v/>
      </c>
      <c r="C14029" s="12" t="str">
        <f ca="1">IFERROR(__xludf.DUMMYFUNCTION("""COMPUTED_VALUE"""),"")</f>
        <v/>
      </c>
      <c r="D14029" s="12" t="str">
        <f ca="1">IFERROR(__xludf.DUMMYFUNCTION("""COMPUTED_VALUE"""),"")</f>
        <v/>
      </c>
    </row>
    <row r="14030" spans="2:4" ht="13">
      <c r="B14030" s="12" t="str">
        <f ca="1">IFERROR(__xludf.DUMMYFUNCTION("""COMPUTED_VALUE"""),"")</f>
        <v/>
      </c>
      <c r="C14030" s="12" t="str">
        <f ca="1">IFERROR(__xludf.DUMMYFUNCTION("""COMPUTED_VALUE"""),"")</f>
        <v/>
      </c>
      <c r="D14030" s="12" t="str">
        <f ca="1">IFERROR(__xludf.DUMMYFUNCTION("""COMPUTED_VALUE"""),"")</f>
        <v/>
      </c>
    </row>
    <row r="14031" spans="2:4" ht="13">
      <c r="B14031" s="12" t="str">
        <f ca="1">IFERROR(__xludf.DUMMYFUNCTION("""COMPUTED_VALUE"""),"")</f>
        <v/>
      </c>
      <c r="C14031" s="12" t="str">
        <f ca="1">IFERROR(__xludf.DUMMYFUNCTION("""COMPUTED_VALUE"""),"")</f>
        <v/>
      </c>
      <c r="D14031" s="12" t="str">
        <f ca="1">IFERROR(__xludf.DUMMYFUNCTION("""COMPUTED_VALUE"""),"")</f>
        <v/>
      </c>
    </row>
    <row r="14032" spans="2:4" ht="13">
      <c r="B14032" s="12" t="str">
        <f ca="1">IFERROR(__xludf.DUMMYFUNCTION("""COMPUTED_VALUE"""),"")</f>
        <v/>
      </c>
      <c r="C14032" s="12" t="str">
        <f ca="1">IFERROR(__xludf.DUMMYFUNCTION("""COMPUTED_VALUE"""),"")</f>
        <v/>
      </c>
      <c r="D14032" s="12" t="str">
        <f ca="1">IFERROR(__xludf.DUMMYFUNCTION("""COMPUTED_VALUE"""),"")</f>
        <v/>
      </c>
    </row>
    <row r="14033" spans="2:4" ht="13">
      <c r="B14033" s="12" t="str">
        <f ca="1">IFERROR(__xludf.DUMMYFUNCTION("""COMPUTED_VALUE"""),"")</f>
        <v/>
      </c>
      <c r="C14033" s="12" t="str">
        <f ca="1">IFERROR(__xludf.DUMMYFUNCTION("""COMPUTED_VALUE"""),"")</f>
        <v/>
      </c>
      <c r="D14033" s="12" t="str">
        <f ca="1">IFERROR(__xludf.DUMMYFUNCTION("""COMPUTED_VALUE"""),"")</f>
        <v/>
      </c>
    </row>
    <row r="14034" spans="2:4" ht="13">
      <c r="B14034" s="12" t="str">
        <f ca="1">IFERROR(__xludf.DUMMYFUNCTION("""COMPUTED_VALUE"""),"")</f>
        <v/>
      </c>
      <c r="C14034" s="12" t="str">
        <f ca="1">IFERROR(__xludf.DUMMYFUNCTION("""COMPUTED_VALUE"""),"")</f>
        <v/>
      </c>
      <c r="D14034" s="12" t="str">
        <f ca="1">IFERROR(__xludf.DUMMYFUNCTION("""COMPUTED_VALUE"""),"")</f>
        <v/>
      </c>
    </row>
    <row r="14035" spans="2:4" ht="13">
      <c r="B14035" s="12" t="str">
        <f ca="1">IFERROR(__xludf.DUMMYFUNCTION("""COMPUTED_VALUE"""),"")</f>
        <v/>
      </c>
      <c r="C14035" s="12" t="str">
        <f ca="1">IFERROR(__xludf.DUMMYFUNCTION("""COMPUTED_VALUE"""),"")</f>
        <v/>
      </c>
      <c r="D14035" s="12" t="str">
        <f ca="1">IFERROR(__xludf.DUMMYFUNCTION("""COMPUTED_VALUE"""),"")</f>
        <v/>
      </c>
    </row>
    <row r="14036" spans="2:4" ht="13">
      <c r="B14036" s="12" t="str">
        <f ca="1">IFERROR(__xludf.DUMMYFUNCTION("""COMPUTED_VALUE"""),"")</f>
        <v/>
      </c>
      <c r="C14036" s="12" t="str">
        <f ca="1">IFERROR(__xludf.DUMMYFUNCTION("""COMPUTED_VALUE"""),"")</f>
        <v/>
      </c>
      <c r="D14036" s="12" t="str">
        <f ca="1">IFERROR(__xludf.DUMMYFUNCTION("""COMPUTED_VALUE"""),"")</f>
        <v/>
      </c>
    </row>
    <row r="14037" spans="2:4" ht="13">
      <c r="B14037" s="12" t="str">
        <f ca="1">IFERROR(__xludf.DUMMYFUNCTION("""COMPUTED_VALUE"""),"")</f>
        <v/>
      </c>
      <c r="C14037" s="12" t="str">
        <f ca="1">IFERROR(__xludf.DUMMYFUNCTION("""COMPUTED_VALUE"""),"")</f>
        <v/>
      </c>
      <c r="D14037" s="12" t="str">
        <f ca="1">IFERROR(__xludf.DUMMYFUNCTION("""COMPUTED_VALUE"""),"")</f>
        <v/>
      </c>
    </row>
    <row r="14038" spans="2:4" ht="13">
      <c r="B14038" s="12" t="str">
        <f ca="1">IFERROR(__xludf.DUMMYFUNCTION("""COMPUTED_VALUE"""),"")</f>
        <v/>
      </c>
      <c r="C14038" s="12" t="str">
        <f ca="1">IFERROR(__xludf.DUMMYFUNCTION("""COMPUTED_VALUE"""),"")</f>
        <v/>
      </c>
      <c r="D14038" s="12" t="str">
        <f ca="1">IFERROR(__xludf.DUMMYFUNCTION("""COMPUTED_VALUE"""),"")</f>
        <v/>
      </c>
    </row>
    <row r="14039" spans="2:4" ht="13">
      <c r="B14039" s="12" t="str">
        <f ca="1">IFERROR(__xludf.DUMMYFUNCTION("""COMPUTED_VALUE"""),"")</f>
        <v/>
      </c>
      <c r="C14039" s="12" t="str">
        <f ca="1">IFERROR(__xludf.DUMMYFUNCTION("""COMPUTED_VALUE"""),"")</f>
        <v/>
      </c>
      <c r="D14039" s="12" t="str">
        <f ca="1">IFERROR(__xludf.DUMMYFUNCTION("""COMPUTED_VALUE"""),"")</f>
        <v/>
      </c>
    </row>
    <row r="14040" spans="2:4" ht="13">
      <c r="B14040" s="12" t="str">
        <f ca="1">IFERROR(__xludf.DUMMYFUNCTION("""COMPUTED_VALUE"""),"")</f>
        <v/>
      </c>
      <c r="C14040" s="12" t="str">
        <f ca="1">IFERROR(__xludf.DUMMYFUNCTION("""COMPUTED_VALUE"""),"")</f>
        <v/>
      </c>
      <c r="D14040" s="12" t="str">
        <f ca="1">IFERROR(__xludf.DUMMYFUNCTION("""COMPUTED_VALUE"""),"")</f>
        <v/>
      </c>
    </row>
    <row r="14041" spans="2:4" ht="13">
      <c r="B14041" s="12" t="str">
        <f ca="1">IFERROR(__xludf.DUMMYFUNCTION("""COMPUTED_VALUE"""),"")</f>
        <v/>
      </c>
      <c r="C14041" s="12" t="str">
        <f ca="1">IFERROR(__xludf.DUMMYFUNCTION("""COMPUTED_VALUE"""),"")</f>
        <v/>
      </c>
      <c r="D14041" s="12" t="str">
        <f ca="1">IFERROR(__xludf.DUMMYFUNCTION("""COMPUTED_VALUE"""),"")</f>
        <v/>
      </c>
    </row>
    <row r="14042" spans="2:4" ht="13">
      <c r="B14042" s="12" t="str">
        <f ca="1">IFERROR(__xludf.DUMMYFUNCTION("""COMPUTED_VALUE"""),"")</f>
        <v/>
      </c>
      <c r="C14042" s="12" t="str">
        <f ca="1">IFERROR(__xludf.DUMMYFUNCTION("""COMPUTED_VALUE"""),"")</f>
        <v/>
      </c>
      <c r="D14042" s="12" t="str">
        <f ca="1">IFERROR(__xludf.DUMMYFUNCTION("""COMPUTED_VALUE"""),"")</f>
        <v/>
      </c>
    </row>
    <row r="14043" spans="2:4" ht="13">
      <c r="B14043" s="12" t="str">
        <f ca="1">IFERROR(__xludf.DUMMYFUNCTION("""COMPUTED_VALUE"""),"")</f>
        <v/>
      </c>
      <c r="C14043" s="12" t="str">
        <f ca="1">IFERROR(__xludf.DUMMYFUNCTION("""COMPUTED_VALUE"""),"")</f>
        <v/>
      </c>
      <c r="D14043" s="12" t="str">
        <f ca="1">IFERROR(__xludf.DUMMYFUNCTION("""COMPUTED_VALUE"""),"")</f>
        <v/>
      </c>
    </row>
    <row r="14044" spans="2:4" ht="13">
      <c r="B14044" s="12" t="str">
        <f ca="1">IFERROR(__xludf.DUMMYFUNCTION("""COMPUTED_VALUE"""),"")</f>
        <v/>
      </c>
      <c r="C14044" s="12" t="str">
        <f ca="1">IFERROR(__xludf.DUMMYFUNCTION("""COMPUTED_VALUE"""),"")</f>
        <v/>
      </c>
      <c r="D14044" s="12" t="str">
        <f ca="1">IFERROR(__xludf.DUMMYFUNCTION("""COMPUTED_VALUE"""),"")</f>
        <v/>
      </c>
    </row>
    <row r="14045" spans="2:4" ht="13">
      <c r="B14045" s="12" t="str">
        <f ca="1">IFERROR(__xludf.DUMMYFUNCTION("""COMPUTED_VALUE"""),"")</f>
        <v/>
      </c>
      <c r="C14045" s="12" t="str">
        <f ca="1">IFERROR(__xludf.DUMMYFUNCTION("""COMPUTED_VALUE"""),"")</f>
        <v/>
      </c>
      <c r="D14045" s="12" t="str">
        <f ca="1">IFERROR(__xludf.DUMMYFUNCTION("""COMPUTED_VALUE"""),"")</f>
        <v/>
      </c>
    </row>
    <row r="14046" spans="2:4" ht="13">
      <c r="B14046" s="12" t="str">
        <f ca="1">IFERROR(__xludf.DUMMYFUNCTION("""COMPUTED_VALUE"""),"")</f>
        <v/>
      </c>
      <c r="C14046" s="12" t="str">
        <f ca="1">IFERROR(__xludf.DUMMYFUNCTION("""COMPUTED_VALUE"""),"")</f>
        <v/>
      </c>
      <c r="D14046" s="12" t="str">
        <f ca="1">IFERROR(__xludf.DUMMYFUNCTION("""COMPUTED_VALUE"""),"")</f>
        <v/>
      </c>
    </row>
    <row r="14047" spans="2:4" ht="13">
      <c r="B14047" s="12" t="str">
        <f ca="1">IFERROR(__xludf.DUMMYFUNCTION("""COMPUTED_VALUE"""),"")</f>
        <v/>
      </c>
      <c r="C14047" s="12" t="str">
        <f ca="1">IFERROR(__xludf.DUMMYFUNCTION("""COMPUTED_VALUE"""),"")</f>
        <v/>
      </c>
      <c r="D14047" s="12" t="str">
        <f ca="1">IFERROR(__xludf.DUMMYFUNCTION("""COMPUTED_VALUE"""),"")</f>
        <v/>
      </c>
    </row>
    <row r="14048" spans="2:4" ht="13">
      <c r="B14048" s="12" t="str">
        <f ca="1">IFERROR(__xludf.DUMMYFUNCTION("""COMPUTED_VALUE"""),"")</f>
        <v/>
      </c>
      <c r="C14048" s="12" t="str">
        <f ca="1">IFERROR(__xludf.DUMMYFUNCTION("""COMPUTED_VALUE"""),"")</f>
        <v/>
      </c>
      <c r="D14048" s="12" t="str">
        <f ca="1">IFERROR(__xludf.DUMMYFUNCTION("""COMPUTED_VALUE"""),"")</f>
        <v/>
      </c>
    </row>
    <row r="14049" spans="2:4" ht="13">
      <c r="B14049" s="12" t="str">
        <f ca="1">IFERROR(__xludf.DUMMYFUNCTION("""COMPUTED_VALUE"""),"")</f>
        <v/>
      </c>
      <c r="C14049" s="12" t="str">
        <f ca="1">IFERROR(__xludf.DUMMYFUNCTION("""COMPUTED_VALUE"""),"")</f>
        <v/>
      </c>
      <c r="D14049" s="12" t="str">
        <f ca="1">IFERROR(__xludf.DUMMYFUNCTION("""COMPUTED_VALUE"""),"")</f>
        <v/>
      </c>
    </row>
    <row r="14050" spans="2:4" ht="13">
      <c r="B14050" s="12" t="str">
        <f ca="1">IFERROR(__xludf.DUMMYFUNCTION("""COMPUTED_VALUE"""),"")</f>
        <v/>
      </c>
      <c r="C14050" s="12" t="str">
        <f ca="1">IFERROR(__xludf.DUMMYFUNCTION("""COMPUTED_VALUE"""),"")</f>
        <v/>
      </c>
      <c r="D14050" s="12" t="str">
        <f ca="1">IFERROR(__xludf.DUMMYFUNCTION("""COMPUTED_VALUE"""),"")</f>
        <v/>
      </c>
    </row>
    <row r="14051" spans="2:4" ht="13">
      <c r="B14051" s="12" t="str">
        <f ca="1">IFERROR(__xludf.DUMMYFUNCTION("""COMPUTED_VALUE"""),"")</f>
        <v/>
      </c>
      <c r="C14051" s="12" t="str">
        <f ca="1">IFERROR(__xludf.DUMMYFUNCTION("""COMPUTED_VALUE"""),"")</f>
        <v/>
      </c>
      <c r="D14051" s="12" t="str">
        <f ca="1">IFERROR(__xludf.DUMMYFUNCTION("""COMPUTED_VALUE"""),"")</f>
        <v/>
      </c>
    </row>
    <row r="14052" spans="2:4" ht="13">
      <c r="B14052" s="12" t="str">
        <f ca="1">IFERROR(__xludf.DUMMYFUNCTION("""COMPUTED_VALUE"""),"")</f>
        <v/>
      </c>
      <c r="C14052" s="12" t="str">
        <f ca="1">IFERROR(__xludf.DUMMYFUNCTION("""COMPUTED_VALUE"""),"")</f>
        <v/>
      </c>
      <c r="D14052" s="12" t="str">
        <f ca="1">IFERROR(__xludf.DUMMYFUNCTION("""COMPUTED_VALUE"""),"")</f>
        <v/>
      </c>
    </row>
    <row r="14053" spans="2:4" ht="13">
      <c r="B14053" s="12" t="str">
        <f ca="1">IFERROR(__xludf.DUMMYFUNCTION("""COMPUTED_VALUE"""),"")</f>
        <v/>
      </c>
      <c r="C14053" s="12" t="str">
        <f ca="1">IFERROR(__xludf.DUMMYFUNCTION("""COMPUTED_VALUE"""),"")</f>
        <v/>
      </c>
      <c r="D14053" s="12" t="str">
        <f ca="1">IFERROR(__xludf.DUMMYFUNCTION("""COMPUTED_VALUE"""),"")</f>
        <v/>
      </c>
    </row>
    <row r="14054" spans="2:4" ht="13">
      <c r="B14054" s="12" t="str">
        <f ca="1">IFERROR(__xludf.DUMMYFUNCTION("""COMPUTED_VALUE"""),"")</f>
        <v/>
      </c>
      <c r="C14054" s="12" t="str">
        <f ca="1">IFERROR(__xludf.DUMMYFUNCTION("""COMPUTED_VALUE"""),"")</f>
        <v/>
      </c>
      <c r="D14054" s="12" t="str">
        <f ca="1">IFERROR(__xludf.DUMMYFUNCTION("""COMPUTED_VALUE"""),"")</f>
        <v/>
      </c>
    </row>
    <row r="14055" spans="2:4" ht="13">
      <c r="B14055" s="12" t="str">
        <f ca="1">IFERROR(__xludf.DUMMYFUNCTION("""COMPUTED_VALUE"""),"")</f>
        <v/>
      </c>
      <c r="C14055" s="12" t="str">
        <f ca="1">IFERROR(__xludf.DUMMYFUNCTION("""COMPUTED_VALUE"""),"")</f>
        <v/>
      </c>
      <c r="D14055" s="12" t="str">
        <f ca="1">IFERROR(__xludf.DUMMYFUNCTION("""COMPUTED_VALUE"""),"")</f>
        <v/>
      </c>
    </row>
    <row r="14056" spans="2:4" ht="13">
      <c r="B14056" s="12" t="str">
        <f ca="1">IFERROR(__xludf.DUMMYFUNCTION("""COMPUTED_VALUE"""),"")</f>
        <v/>
      </c>
      <c r="C14056" s="12" t="str">
        <f ca="1">IFERROR(__xludf.DUMMYFUNCTION("""COMPUTED_VALUE"""),"")</f>
        <v/>
      </c>
      <c r="D14056" s="12" t="str">
        <f ca="1">IFERROR(__xludf.DUMMYFUNCTION("""COMPUTED_VALUE"""),"")</f>
        <v/>
      </c>
    </row>
    <row r="14057" spans="2:4" ht="13">
      <c r="B14057" s="12" t="str">
        <f ca="1">IFERROR(__xludf.DUMMYFUNCTION("""COMPUTED_VALUE"""),"")</f>
        <v/>
      </c>
      <c r="C14057" s="12" t="str">
        <f ca="1">IFERROR(__xludf.DUMMYFUNCTION("""COMPUTED_VALUE"""),"")</f>
        <v/>
      </c>
      <c r="D14057" s="12" t="str">
        <f ca="1">IFERROR(__xludf.DUMMYFUNCTION("""COMPUTED_VALUE"""),"")</f>
        <v/>
      </c>
    </row>
    <row r="14058" spans="2:4" ht="13">
      <c r="B14058" s="12" t="str">
        <f ca="1">IFERROR(__xludf.DUMMYFUNCTION("""COMPUTED_VALUE"""),"")</f>
        <v/>
      </c>
      <c r="C14058" s="12" t="str">
        <f ca="1">IFERROR(__xludf.DUMMYFUNCTION("""COMPUTED_VALUE"""),"")</f>
        <v/>
      </c>
      <c r="D14058" s="12" t="str">
        <f ca="1">IFERROR(__xludf.DUMMYFUNCTION("""COMPUTED_VALUE"""),"")</f>
        <v/>
      </c>
    </row>
    <row r="14059" spans="2:4" ht="13">
      <c r="B14059" s="12" t="str">
        <f ca="1">IFERROR(__xludf.DUMMYFUNCTION("""COMPUTED_VALUE"""),"")</f>
        <v/>
      </c>
      <c r="C14059" s="12" t="str">
        <f ca="1">IFERROR(__xludf.DUMMYFUNCTION("""COMPUTED_VALUE"""),"")</f>
        <v/>
      </c>
      <c r="D14059" s="12" t="str">
        <f ca="1">IFERROR(__xludf.DUMMYFUNCTION("""COMPUTED_VALUE"""),"")</f>
        <v/>
      </c>
    </row>
    <row r="14060" spans="2:4" ht="13">
      <c r="B14060" s="12" t="str">
        <f ca="1">IFERROR(__xludf.DUMMYFUNCTION("""COMPUTED_VALUE"""),"")</f>
        <v/>
      </c>
      <c r="C14060" s="12" t="str">
        <f ca="1">IFERROR(__xludf.DUMMYFUNCTION("""COMPUTED_VALUE"""),"")</f>
        <v/>
      </c>
      <c r="D14060" s="12" t="str">
        <f ca="1">IFERROR(__xludf.DUMMYFUNCTION("""COMPUTED_VALUE"""),"")</f>
        <v/>
      </c>
    </row>
    <row r="14061" spans="2:4" ht="13">
      <c r="B14061" s="12" t="str">
        <f ca="1">IFERROR(__xludf.DUMMYFUNCTION("""COMPUTED_VALUE"""),"")</f>
        <v/>
      </c>
      <c r="C14061" s="12" t="str">
        <f ca="1">IFERROR(__xludf.DUMMYFUNCTION("""COMPUTED_VALUE"""),"")</f>
        <v/>
      </c>
      <c r="D14061" s="12" t="str">
        <f ca="1">IFERROR(__xludf.DUMMYFUNCTION("""COMPUTED_VALUE"""),"")</f>
        <v/>
      </c>
    </row>
    <row r="14062" spans="2:4" ht="13">
      <c r="B14062" s="12" t="str">
        <f ca="1">IFERROR(__xludf.DUMMYFUNCTION("""COMPUTED_VALUE"""),"")</f>
        <v/>
      </c>
      <c r="C14062" s="12" t="str">
        <f ca="1">IFERROR(__xludf.DUMMYFUNCTION("""COMPUTED_VALUE"""),"")</f>
        <v/>
      </c>
      <c r="D14062" s="12" t="str">
        <f ca="1">IFERROR(__xludf.DUMMYFUNCTION("""COMPUTED_VALUE"""),"")</f>
        <v/>
      </c>
    </row>
    <row r="14063" spans="2:4" ht="13">
      <c r="B14063" s="12" t="str">
        <f ca="1">IFERROR(__xludf.DUMMYFUNCTION("""COMPUTED_VALUE"""),"")</f>
        <v/>
      </c>
      <c r="C14063" s="12" t="str">
        <f ca="1">IFERROR(__xludf.DUMMYFUNCTION("""COMPUTED_VALUE"""),"")</f>
        <v/>
      </c>
      <c r="D14063" s="12" t="str">
        <f ca="1">IFERROR(__xludf.DUMMYFUNCTION("""COMPUTED_VALUE"""),"")</f>
        <v/>
      </c>
    </row>
    <row r="14064" spans="2:4" ht="13">
      <c r="B14064" s="12" t="str">
        <f ca="1">IFERROR(__xludf.DUMMYFUNCTION("""COMPUTED_VALUE"""),"")</f>
        <v/>
      </c>
      <c r="C14064" s="12" t="str">
        <f ca="1">IFERROR(__xludf.DUMMYFUNCTION("""COMPUTED_VALUE"""),"")</f>
        <v/>
      </c>
      <c r="D14064" s="12" t="str">
        <f ca="1">IFERROR(__xludf.DUMMYFUNCTION("""COMPUTED_VALUE"""),"")</f>
        <v/>
      </c>
    </row>
    <row r="14065" spans="2:4" ht="13">
      <c r="B14065" s="12" t="str">
        <f ca="1">IFERROR(__xludf.DUMMYFUNCTION("""COMPUTED_VALUE"""),"")</f>
        <v/>
      </c>
      <c r="C14065" s="12" t="str">
        <f ca="1">IFERROR(__xludf.DUMMYFUNCTION("""COMPUTED_VALUE"""),"")</f>
        <v/>
      </c>
      <c r="D14065" s="12" t="str">
        <f ca="1">IFERROR(__xludf.DUMMYFUNCTION("""COMPUTED_VALUE"""),"")</f>
        <v/>
      </c>
    </row>
    <row r="14066" spans="2:4" ht="13">
      <c r="B14066" s="12" t="str">
        <f ca="1">IFERROR(__xludf.DUMMYFUNCTION("""COMPUTED_VALUE"""),"")</f>
        <v/>
      </c>
      <c r="C14066" s="12" t="str">
        <f ca="1">IFERROR(__xludf.DUMMYFUNCTION("""COMPUTED_VALUE"""),"")</f>
        <v/>
      </c>
      <c r="D14066" s="12" t="str">
        <f ca="1">IFERROR(__xludf.DUMMYFUNCTION("""COMPUTED_VALUE"""),"")</f>
        <v/>
      </c>
    </row>
    <row r="14067" spans="2:4" ht="13">
      <c r="B14067" s="12" t="str">
        <f ca="1">IFERROR(__xludf.DUMMYFUNCTION("""COMPUTED_VALUE"""),"")</f>
        <v/>
      </c>
      <c r="C14067" s="12" t="str">
        <f ca="1">IFERROR(__xludf.DUMMYFUNCTION("""COMPUTED_VALUE"""),"")</f>
        <v/>
      </c>
      <c r="D14067" s="12" t="str">
        <f ca="1">IFERROR(__xludf.DUMMYFUNCTION("""COMPUTED_VALUE"""),"")</f>
        <v/>
      </c>
    </row>
    <row r="14068" spans="2:4" ht="13">
      <c r="B14068" s="12" t="str">
        <f ca="1">IFERROR(__xludf.DUMMYFUNCTION("""COMPUTED_VALUE"""),"")</f>
        <v/>
      </c>
      <c r="C14068" s="12" t="str">
        <f ca="1">IFERROR(__xludf.DUMMYFUNCTION("""COMPUTED_VALUE"""),"")</f>
        <v/>
      </c>
      <c r="D14068" s="12" t="str">
        <f ca="1">IFERROR(__xludf.DUMMYFUNCTION("""COMPUTED_VALUE"""),"")</f>
        <v/>
      </c>
    </row>
    <row r="14069" spans="2:4" ht="13">
      <c r="B14069" s="12" t="str">
        <f ca="1">IFERROR(__xludf.DUMMYFUNCTION("""COMPUTED_VALUE"""),"")</f>
        <v/>
      </c>
      <c r="C14069" s="12" t="str">
        <f ca="1">IFERROR(__xludf.DUMMYFUNCTION("""COMPUTED_VALUE"""),"")</f>
        <v/>
      </c>
      <c r="D14069" s="12" t="str">
        <f ca="1">IFERROR(__xludf.DUMMYFUNCTION("""COMPUTED_VALUE"""),"")</f>
        <v/>
      </c>
    </row>
    <row r="14070" spans="2:4" ht="13">
      <c r="B14070" s="12" t="str">
        <f ca="1">IFERROR(__xludf.DUMMYFUNCTION("""COMPUTED_VALUE"""),"")</f>
        <v/>
      </c>
      <c r="C14070" s="12" t="str">
        <f ca="1">IFERROR(__xludf.DUMMYFUNCTION("""COMPUTED_VALUE"""),"")</f>
        <v/>
      </c>
      <c r="D14070" s="12" t="str">
        <f ca="1">IFERROR(__xludf.DUMMYFUNCTION("""COMPUTED_VALUE"""),"")</f>
        <v/>
      </c>
    </row>
    <row r="14071" spans="2:4" ht="13">
      <c r="B14071" s="12" t="str">
        <f ca="1">IFERROR(__xludf.DUMMYFUNCTION("""COMPUTED_VALUE"""),"")</f>
        <v/>
      </c>
      <c r="C14071" s="12" t="str">
        <f ca="1">IFERROR(__xludf.DUMMYFUNCTION("""COMPUTED_VALUE"""),"")</f>
        <v/>
      </c>
      <c r="D14071" s="12" t="str">
        <f ca="1">IFERROR(__xludf.DUMMYFUNCTION("""COMPUTED_VALUE"""),"")</f>
        <v/>
      </c>
    </row>
    <row r="14072" spans="2:4" ht="13">
      <c r="B14072" s="12" t="str">
        <f ca="1">IFERROR(__xludf.DUMMYFUNCTION("""COMPUTED_VALUE"""),"")</f>
        <v/>
      </c>
      <c r="C14072" s="12" t="str">
        <f ca="1">IFERROR(__xludf.DUMMYFUNCTION("""COMPUTED_VALUE"""),"")</f>
        <v/>
      </c>
      <c r="D14072" s="12" t="str">
        <f ca="1">IFERROR(__xludf.DUMMYFUNCTION("""COMPUTED_VALUE"""),"")</f>
        <v/>
      </c>
    </row>
    <row r="14073" spans="2:4" ht="13">
      <c r="B14073" s="12" t="str">
        <f ca="1">IFERROR(__xludf.DUMMYFUNCTION("""COMPUTED_VALUE"""),"")</f>
        <v/>
      </c>
      <c r="C14073" s="12" t="str">
        <f ca="1">IFERROR(__xludf.DUMMYFUNCTION("""COMPUTED_VALUE"""),"")</f>
        <v/>
      </c>
      <c r="D14073" s="12" t="str">
        <f ca="1">IFERROR(__xludf.DUMMYFUNCTION("""COMPUTED_VALUE"""),"")</f>
        <v/>
      </c>
    </row>
    <row r="14074" spans="2:4" ht="13">
      <c r="B14074" s="12" t="str">
        <f ca="1">IFERROR(__xludf.DUMMYFUNCTION("""COMPUTED_VALUE"""),"")</f>
        <v/>
      </c>
      <c r="C14074" s="12" t="str">
        <f ca="1">IFERROR(__xludf.DUMMYFUNCTION("""COMPUTED_VALUE"""),"")</f>
        <v/>
      </c>
      <c r="D14074" s="12" t="str">
        <f ca="1">IFERROR(__xludf.DUMMYFUNCTION("""COMPUTED_VALUE"""),"")</f>
        <v/>
      </c>
    </row>
    <row r="14075" spans="2:4" ht="13">
      <c r="B14075" s="12" t="str">
        <f ca="1">IFERROR(__xludf.DUMMYFUNCTION("""COMPUTED_VALUE"""),"")</f>
        <v/>
      </c>
      <c r="C14075" s="12" t="str">
        <f ca="1">IFERROR(__xludf.DUMMYFUNCTION("""COMPUTED_VALUE"""),"")</f>
        <v/>
      </c>
      <c r="D14075" s="12" t="str">
        <f ca="1">IFERROR(__xludf.DUMMYFUNCTION("""COMPUTED_VALUE"""),"")</f>
        <v/>
      </c>
    </row>
    <row r="14076" spans="2:4" ht="13">
      <c r="B14076" s="12" t="str">
        <f ca="1">IFERROR(__xludf.DUMMYFUNCTION("""COMPUTED_VALUE"""),"")</f>
        <v/>
      </c>
      <c r="C14076" s="12" t="str">
        <f ca="1">IFERROR(__xludf.DUMMYFUNCTION("""COMPUTED_VALUE"""),"")</f>
        <v/>
      </c>
      <c r="D14076" s="12" t="str">
        <f ca="1">IFERROR(__xludf.DUMMYFUNCTION("""COMPUTED_VALUE"""),"")</f>
        <v/>
      </c>
    </row>
    <row r="14077" spans="2:4" ht="13">
      <c r="B14077" s="12" t="str">
        <f ca="1">IFERROR(__xludf.DUMMYFUNCTION("""COMPUTED_VALUE"""),"")</f>
        <v/>
      </c>
      <c r="C14077" s="12" t="str">
        <f ca="1">IFERROR(__xludf.DUMMYFUNCTION("""COMPUTED_VALUE"""),"")</f>
        <v/>
      </c>
      <c r="D14077" s="12" t="str">
        <f ca="1">IFERROR(__xludf.DUMMYFUNCTION("""COMPUTED_VALUE"""),"")</f>
        <v/>
      </c>
    </row>
    <row r="14078" spans="2:4" ht="13">
      <c r="B14078" s="12" t="str">
        <f ca="1">IFERROR(__xludf.DUMMYFUNCTION("""COMPUTED_VALUE"""),"")</f>
        <v/>
      </c>
      <c r="C14078" s="12" t="str">
        <f ca="1">IFERROR(__xludf.DUMMYFUNCTION("""COMPUTED_VALUE"""),"")</f>
        <v/>
      </c>
      <c r="D14078" s="12" t="str">
        <f ca="1">IFERROR(__xludf.DUMMYFUNCTION("""COMPUTED_VALUE"""),"")</f>
        <v/>
      </c>
    </row>
    <row r="14079" spans="2:4" ht="13">
      <c r="B14079" s="12" t="str">
        <f ca="1">IFERROR(__xludf.DUMMYFUNCTION("""COMPUTED_VALUE"""),"")</f>
        <v/>
      </c>
      <c r="C14079" s="12" t="str">
        <f ca="1">IFERROR(__xludf.DUMMYFUNCTION("""COMPUTED_VALUE"""),"")</f>
        <v/>
      </c>
      <c r="D14079" s="12" t="str">
        <f ca="1">IFERROR(__xludf.DUMMYFUNCTION("""COMPUTED_VALUE"""),"")</f>
        <v/>
      </c>
    </row>
    <row r="14080" spans="2:4" ht="13">
      <c r="B14080" s="12" t="str">
        <f ca="1">IFERROR(__xludf.DUMMYFUNCTION("""COMPUTED_VALUE"""),"")</f>
        <v/>
      </c>
      <c r="C14080" s="12" t="str">
        <f ca="1">IFERROR(__xludf.DUMMYFUNCTION("""COMPUTED_VALUE"""),"")</f>
        <v/>
      </c>
      <c r="D14080" s="12" t="str">
        <f ca="1">IFERROR(__xludf.DUMMYFUNCTION("""COMPUTED_VALUE"""),"")</f>
        <v/>
      </c>
    </row>
    <row r="14081" spans="2:4" ht="13">
      <c r="B14081" s="12" t="str">
        <f ca="1">IFERROR(__xludf.DUMMYFUNCTION("""COMPUTED_VALUE"""),"")</f>
        <v/>
      </c>
      <c r="C14081" s="12" t="str">
        <f ca="1">IFERROR(__xludf.DUMMYFUNCTION("""COMPUTED_VALUE"""),"")</f>
        <v/>
      </c>
      <c r="D14081" s="12" t="str">
        <f ca="1">IFERROR(__xludf.DUMMYFUNCTION("""COMPUTED_VALUE"""),"")</f>
        <v/>
      </c>
    </row>
    <row r="14082" spans="2:4" ht="13">
      <c r="B14082" s="12" t="str">
        <f ca="1">IFERROR(__xludf.DUMMYFUNCTION("""COMPUTED_VALUE"""),"")</f>
        <v/>
      </c>
      <c r="C14082" s="12" t="str">
        <f ca="1">IFERROR(__xludf.DUMMYFUNCTION("""COMPUTED_VALUE"""),"")</f>
        <v/>
      </c>
      <c r="D14082" s="12" t="str">
        <f ca="1">IFERROR(__xludf.DUMMYFUNCTION("""COMPUTED_VALUE"""),"")</f>
        <v/>
      </c>
    </row>
    <row r="14083" spans="2:4" ht="13">
      <c r="B14083" s="12" t="str">
        <f ca="1">IFERROR(__xludf.DUMMYFUNCTION("""COMPUTED_VALUE"""),"")</f>
        <v/>
      </c>
      <c r="C14083" s="12" t="str">
        <f ca="1">IFERROR(__xludf.DUMMYFUNCTION("""COMPUTED_VALUE"""),"")</f>
        <v/>
      </c>
      <c r="D14083" s="12" t="str">
        <f ca="1">IFERROR(__xludf.DUMMYFUNCTION("""COMPUTED_VALUE"""),"")</f>
        <v/>
      </c>
    </row>
    <row r="14084" spans="2:4" ht="13">
      <c r="B14084" s="12" t="str">
        <f ca="1">IFERROR(__xludf.DUMMYFUNCTION("""COMPUTED_VALUE"""),"")</f>
        <v/>
      </c>
      <c r="C14084" s="12" t="str">
        <f ca="1">IFERROR(__xludf.DUMMYFUNCTION("""COMPUTED_VALUE"""),"")</f>
        <v/>
      </c>
      <c r="D14084" s="12" t="str">
        <f ca="1">IFERROR(__xludf.DUMMYFUNCTION("""COMPUTED_VALUE"""),"")</f>
        <v/>
      </c>
    </row>
    <row r="14085" spans="2:4" ht="13">
      <c r="B14085" s="12" t="str">
        <f ca="1">IFERROR(__xludf.DUMMYFUNCTION("""COMPUTED_VALUE"""),"")</f>
        <v/>
      </c>
      <c r="C14085" s="12" t="str">
        <f ca="1">IFERROR(__xludf.DUMMYFUNCTION("""COMPUTED_VALUE"""),"")</f>
        <v/>
      </c>
      <c r="D14085" s="12" t="str">
        <f ca="1">IFERROR(__xludf.DUMMYFUNCTION("""COMPUTED_VALUE"""),"")</f>
        <v/>
      </c>
    </row>
    <row r="14086" spans="2:4" ht="13">
      <c r="B14086" s="12" t="str">
        <f ca="1">IFERROR(__xludf.DUMMYFUNCTION("""COMPUTED_VALUE"""),"")</f>
        <v/>
      </c>
      <c r="C14086" s="12" t="str">
        <f ca="1">IFERROR(__xludf.DUMMYFUNCTION("""COMPUTED_VALUE"""),"")</f>
        <v/>
      </c>
      <c r="D14086" s="12" t="str">
        <f ca="1">IFERROR(__xludf.DUMMYFUNCTION("""COMPUTED_VALUE"""),"")</f>
        <v/>
      </c>
    </row>
    <row r="14087" spans="2:4" ht="13">
      <c r="B14087" s="12" t="str">
        <f ca="1">IFERROR(__xludf.DUMMYFUNCTION("""COMPUTED_VALUE"""),"")</f>
        <v/>
      </c>
      <c r="C14087" s="12" t="str">
        <f ca="1">IFERROR(__xludf.DUMMYFUNCTION("""COMPUTED_VALUE"""),"")</f>
        <v/>
      </c>
      <c r="D14087" s="12" t="str">
        <f ca="1">IFERROR(__xludf.DUMMYFUNCTION("""COMPUTED_VALUE"""),"")</f>
        <v/>
      </c>
    </row>
    <row r="14088" spans="2:4" ht="13">
      <c r="B14088" s="12" t="str">
        <f ca="1">IFERROR(__xludf.DUMMYFUNCTION("""COMPUTED_VALUE"""),"")</f>
        <v/>
      </c>
      <c r="C14088" s="12" t="str">
        <f ca="1">IFERROR(__xludf.DUMMYFUNCTION("""COMPUTED_VALUE"""),"")</f>
        <v/>
      </c>
      <c r="D14088" s="12" t="str">
        <f ca="1">IFERROR(__xludf.DUMMYFUNCTION("""COMPUTED_VALUE"""),"")</f>
        <v/>
      </c>
    </row>
    <row r="14089" spans="2:4" ht="13">
      <c r="B14089" s="12" t="str">
        <f ca="1">IFERROR(__xludf.DUMMYFUNCTION("""COMPUTED_VALUE"""),"")</f>
        <v/>
      </c>
      <c r="C14089" s="12" t="str">
        <f ca="1">IFERROR(__xludf.DUMMYFUNCTION("""COMPUTED_VALUE"""),"")</f>
        <v/>
      </c>
      <c r="D14089" s="12" t="str">
        <f ca="1">IFERROR(__xludf.DUMMYFUNCTION("""COMPUTED_VALUE"""),"")</f>
        <v/>
      </c>
    </row>
    <row r="14090" spans="2:4" ht="13">
      <c r="B14090" s="12" t="str">
        <f ca="1">IFERROR(__xludf.DUMMYFUNCTION("""COMPUTED_VALUE"""),"")</f>
        <v/>
      </c>
      <c r="C14090" s="12" t="str">
        <f ca="1">IFERROR(__xludf.DUMMYFUNCTION("""COMPUTED_VALUE"""),"")</f>
        <v/>
      </c>
      <c r="D14090" s="12" t="str">
        <f ca="1">IFERROR(__xludf.DUMMYFUNCTION("""COMPUTED_VALUE"""),"")</f>
        <v/>
      </c>
    </row>
    <row r="14091" spans="2:4" ht="13">
      <c r="B14091" s="12" t="str">
        <f ca="1">IFERROR(__xludf.DUMMYFUNCTION("""COMPUTED_VALUE"""),"")</f>
        <v/>
      </c>
      <c r="C14091" s="12" t="str">
        <f ca="1">IFERROR(__xludf.DUMMYFUNCTION("""COMPUTED_VALUE"""),"")</f>
        <v/>
      </c>
      <c r="D14091" s="12" t="str">
        <f ca="1">IFERROR(__xludf.DUMMYFUNCTION("""COMPUTED_VALUE"""),"")</f>
        <v/>
      </c>
    </row>
    <row r="14092" spans="2:4" ht="13">
      <c r="B14092" s="12" t="str">
        <f ca="1">IFERROR(__xludf.DUMMYFUNCTION("""COMPUTED_VALUE"""),"")</f>
        <v/>
      </c>
      <c r="C14092" s="12" t="str">
        <f ca="1">IFERROR(__xludf.DUMMYFUNCTION("""COMPUTED_VALUE"""),"")</f>
        <v/>
      </c>
      <c r="D14092" s="12" t="str">
        <f ca="1">IFERROR(__xludf.DUMMYFUNCTION("""COMPUTED_VALUE"""),"")</f>
        <v/>
      </c>
    </row>
    <row r="14093" spans="2:4" ht="13">
      <c r="B14093" s="12" t="str">
        <f ca="1">IFERROR(__xludf.DUMMYFUNCTION("""COMPUTED_VALUE"""),"")</f>
        <v/>
      </c>
      <c r="C14093" s="12" t="str">
        <f ca="1">IFERROR(__xludf.DUMMYFUNCTION("""COMPUTED_VALUE"""),"")</f>
        <v/>
      </c>
      <c r="D14093" s="12" t="str">
        <f ca="1">IFERROR(__xludf.DUMMYFUNCTION("""COMPUTED_VALUE"""),"")</f>
        <v/>
      </c>
    </row>
    <row r="14094" spans="2:4" ht="13">
      <c r="B14094" s="12" t="str">
        <f ca="1">IFERROR(__xludf.DUMMYFUNCTION("""COMPUTED_VALUE"""),"")</f>
        <v/>
      </c>
      <c r="C14094" s="12" t="str">
        <f ca="1">IFERROR(__xludf.DUMMYFUNCTION("""COMPUTED_VALUE"""),"")</f>
        <v/>
      </c>
      <c r="D14094" s="12" t="str">
        <f ca="1">IFERROR(__xludf.DUMMYFUNCTION("""COMPUTED_VALUE"""),"")</f>
        <v/>
      </c>
    </row>
    <row r="14095" spans="2:4" ht="13">
      <c r="B14095" s="12" t="str">
        <f ca="1">IFERROR(__xludf.DUMMYFUNCTION("""COMPUTED_VALUE"""),"")</f>
        <v/>
      </c>
      <c r="C14095" s="12" t="str">
        <f ca="1">IFERROR(__xludf.DUMMYFUNCTION("""COMPUTED_VALUE"""),"")</f>
        <v/>
      </c>
      <c r="D14095" s="12" t="str">
        <f ca="1">IFERROR(__xludf.DUMMYFUNCTION("""COMPUTED_VALUE"""),"")</f>
        <v/>
      </c>
    </row>
    <row r="14096" spans="2:4" ht="13">
      <c r="B14096" s="12" t="str">
        <f ca="1">IFERROR(__xludf.DUMMYFUNCTION("""COMPUTED_VALUE"""),"")</f>
        <v/>
      </c>
      <c r="C14096" s="12" t="str">
        <f ca="1">IFERROR(__xludf.DUMMYFUNCTION("""COMPUTED_VALUE"""),"")</f>
        <v/>
      </c>
      <c r="D14096" s="12" t="str">
        <f ca="1">IFERROR(__xludf.DUMMYFUNCTION("""COMPUTED_VALUE"""),"")</f>
        <v/>
      </c>
    </row>
    <row r="14097" spans="2:4" ht="13">
      <c r="B14097" s="12" t="str">
        <f ca="1">IFERROR(__xludf.DUMMYFUNCTION("""COMPUTED_VALUE"""),"")</f>
        <v/>
      </c>
      <c r="C14097" s="12" t="str">
        <f ca="1">IFERROR(__xludf.DUMMYFUNCTION("""COMPUTED_VALUE"""),"")</f>
        <v/>
      </c>
      <c r="D14097" s="12" t="str">
        <f ca="1">IFERROR(__xludf.DUMMYFUNCTION("""COMPUTED_VALUE"""),"")</f>
        <v/>
      </c>
    </row>
    <row r="14098" spans="2:4" ht="13">
      <c r="B14098" s="12" t="str">
        <f ca="1">IFERROR(__xludf.DUMMYFUNCTION("""COMPUTED_VALUE"""),"")</f>
        <v/>
      </c>
      <c r="C14098" s="12" t="str">
        <f ca="1">IFERROR(__xludf.DUMMYFUNCTION("""COMPUTED_VALUE"""),"")</f>
        <v/>
      </c>
      <c r="D14098" s="12" t="str">
        <f ca="1">IFERROR(__xludf.DUMMYFUNCTION("""COMPUTED_VALUE"""),"")</f>
        <v/>
      </c>
    </row>
    <row r="14099" spans="2:4" ht="13">
      <c r="B14099" s="12" t="str">
        <f ca="1">IFERROR(__xludf.DUMMYFUNCTION("""COMPUTED_VALUE"""),"")</f>
        <v/>
      </c>
      <c r="C14099" s="12" t="str">
        <f ca="1">IFERROR(__xludf.DUMMYFUNCTION("""COMPUTED_VALUE"""),"")</f>
        <v/>
      </c>
      <c r="D14099" s="12" t="str">
        <f ca="1">IFERROR(__xludf.DUMMYFUNCTION("""COMPUTED_VALUE"""),"")</f>
        <v/>
      </c>
    </row>
    <row r="14100" spans="2:4" ht="13">
      <c r="B14100" s="12" t="str">
        <f ca="1">IFERROR(__xludf.DUMMYFUNCTION("""COMPUTED_VALUE"""),"")</f>
        <v/>
      </c>
      <c r="C14100" s="12" t="str">
        <f ca="1">IFERROR(__xludf.DUMMYFUNCTION("""COMPUTED_VALUE"""),"")</f>
        <v/>
      </c>
      <c r="D14100" s="12" t="str">
        <f ca="1">IFERROR(__xludf.DUMMYFUNCTION("""COMPUTED_VALUE"""),"")</f>
        <v/>
      </c>
    </row>
    <row r="14101" spans="2:4" ht="13">
      <c r="B14101" s="12" t="str">
        <f ca="1">IFERROR(__xludf.DUMMYFUNCTION("""COMPUTED_VALUE"""),"")</f>
        <v/>
      </c>
      <c r="C14101" s="12" t="str">
        <f ca="1">IFERROR(__xludf.DUMMYFUNCTION("""COMPUTED_VALUE"""),"")</f>
        <v/>
      </c>
      <c r="D14101" s="12" t="str">
        <f ca="1">IFERROR(__xludf.DUMMYFUNCTION("""COMPUTED_VALUE"""),"")</f>
        <v/>
      </c>
    </row>
    <row r="14102" spans="2:4" ht="13">
      <c r="B14102" s="12" t="str">
        <f ca="1">IFERROR(__xludf.DUMMYFUNCTION("""COMPUTED_VALUE"""),"")</f>
        <v/>
      </c>
      <c r="C14102" s="12" t="str">
        <f ca="1">IFERROR(__xludf.DUMMYFUNCTION("""COMPUTED_VALUE"""),"")</f>
        <v/>
      </c>
      <c r="D14102" s="12" t="str">
        <f ca="1">IFERROR(__xludf.DUMMYFUNCTION("""COMPUTED_VALUE"""),"")</f>
        <v/>
      </c>
    </row>
    <row r="14103" spans="2:4" ht="13">
      <c r="B14103" s="12" t="str">
        <f ca="1">IFERROR(__xludf.DUMMYFUNCTION("""COMPUTED_VALUE"""),"")</f>
        <v/>
      </c>
      <c r="C14103" s="12" t="str">
        <f ca="1">IFERROR(__xludf.DUMMYFUNCTION("""COMPUTED_VALUE"""),"")</f>
        <v/>
      </c>
      <c r="D14103" s="12" t="str">
        <f ca="1">IFERROR(__xludf.DUMMYFUNCTION("""COMPUTED_VALUE"""),"")</f>
        <v/>
      </c>
    </row>
    <row r="14104" spans="2:4" ht="13">
      <c r="B14104" s="12" t="str">
        <f ca="1">IFERROR(__xludf.DUMMYFUNCTION("""COMPUTED_VALUE"""),"")</f>
        <v/>
      </c>
      <c r="C14104" s="12" t="str">
        <f ca="1">IFERROR(__xludf.DUMMYFUNCTION("""COMPUTED_VALUE"""),"")</f>
        <v/>
      </c>
      <c r="D14104" s="12" t="str">
        <f ca="1">IFERROR(__xludf.DUMMYFUNCTION("""COMPUTED_VALUE"""),"")</f>
        <v/>
      </c>
    </row>
    <row r="14105" spans="2:4" ht="13">
      <c r="B14105" s="12" t="str">
        <f ca="1">IFERROR(__xludf.DUMMYFUNCTION("""COMPUTED_VALUE"""),"")</f>
        <v/>
      </c>
      <c r="C14105" s="12" t="str">
        <f ca="1">IFERROR(__xludf.DUMMYFUNCTION("""COMPUTED_VALUE"""),"")</f>
        <v/>
      </c>
      <c r="D14105" s="12" t="str">
        <f ca="1">IFERROR(__xludf.DUMMYFUNCTION("""COMPUTED_VALUE"""),"")</f>
        <v/>
      </c>
    </row>
    <row r="14106" spans="2:4" ht="13">
      <c r="B14106" s="12" t="str">
        <f ca="1">IFERROR(__xludf.DUMMYFUNCTION("""COMPUTED_VALUE"""),"")</f>
        <v/>
      </c>
      <c r="C14106" s="12" t="str">
        <f ca="1">IFERROR(__xludf.DUMMYFUNCTION("""COMPUTED_VALUE"""),"")</f>
        <v/>
      </c>
      <c r="D14106" s="12" t="str">
        <f ca="1">IFERROR(__xludf.DUMMYFUNCTION("""COMPUTED_VALUE"""),"")</f>
        <v/>
      </c>
    </row>
    <row r="14107" spans="2:4" ht="13">
      <c r="B14107" s="12" t="str">
        <f ca="1">IFERROR(__xludf.DUMMYFUNCTION("""COMPUTED_VALUE"""),"")</f>
        <v/>
      </c>
      <c r="C14107" s="12" t="str">
        <f ca="1">IFERROR(__xludf.DUMMYFUNCTION("""COMPUTED_VALUE"""),"")</f>
        <v/>
      </c>
      <c r="D14107" s="12" t="str">
        <f ca="1">IFERROR(__xludf.DUMMYFUNCTION("""COMPUTED_VALUE"""),"")</f>
        <v/>
      </c>
    </row>
    <row r="14108" spans="2:4" ht="13">
      <c r="B14108" s="12" t="str">
        <f ca="1">IFERROR(__xludf.DUMMYFUNCTION("""COMPUTED_VALUE"""),"")</f>
        <v/>
      </c>
      <c r="C14108" s="12" t="str">
        <f ca="1">IFERROR(__xludf.DUMMYFUNCTION("""COMPUTED_VALUE"""),"")</f>
        <v/>
      </c>
      <c r="D14108" s="12" t="str">
        <f ca="1">IFERROR(__xludf.DUMMYFUNCTION("""COMPUTED_VALUE"""),"")</f>
        <v/>
      </c>
    </row>
    <row r="14109" spans="2:4" ht="13">
      <c r="B14109" s="12" t="str">
        <f ca="1">IFERROR(__xludf.DUMMYFUNCTION("""COMPUTED_VALUE"""),"")</f>
        <v/>
      </c>
      <c r="C14109" s="12" t="str">
        <f ca="1">IFERROR(__xludf.DUMMYFUNCTION("""COMPUTED_VALUE"""),"")</f>
        <v/>
      </c>
      <c r="D14109" s="12" t="str">
        <f ca="1">IFERROR(__xludf.DUMMYFUNCTION("""COMPUTED_VALUE"""),"")</f>
        <v/>
      </c>
    </row>
    <row r="14110" spans="2:4" ht="13">
      <c r="B14110" s="12" t="str">
        <f ca="1">IFERROR(__xludf.DUMMYFUNCTION("""COMPUTED_VALUE"""),"")</f>
        <v/>
      </c>
      <c r="C14110" s="12" t="str">
        <f ca="1">IFERROR(__xludf.DUMMYFUNCTION("""COMPUTED_VALUE"""),"")</f>
        <v/>
      </c>
      <c r="D14110" s="12" t="str">
        <f ca="1">IFERROR(__xludf.DUMMYFUNCTION("""COMPUTED_VALUE"""),"")</f>
        <v/>
      </c>
    </row>
    <row r="14111" spans="2:4" ht="13">
      <c r="B14111" s="12" t="str">
        <f ca="1">IFERROR(__xludf.DUMMYFUNCTION("""COMPUTED_VALUE"""),"")</f>
        <v/>
      </c>
      <c r="C14111" s="12" t="str">
        <f ca="1">IFERROR(__xludf.DUMMYFUNCTION("""COMPUTED_VALUE"""),"")</f>
        <v/>
      </c>
      <c r="D14111" s="12" t="str">
        <f ca="1">IFERROR(__xludf.DUMMYFUNCTION("""COMPUTED_VALUE"""),"")</f>
        <v/>
      </c>
    </row>
    <row r="14112" spans="2:4" ht="13">
      <c r="B14112" s="12" t="str">
        <f ca="1">IFERROR(__xludf.DUMMYFUNCTION("""COMPUTED_VALUE"""),"")</f>
        <v/>
      </c>
      <c r="C14112" s="12" t="str">
        <f ca="1">IFERROR(__xludf.DUMMYFUNCTION("""COMPUTED_VALUE"""),"")</f>
        <v/>
      </c>
      <c r="D14112" s="12" t="str">
        <f ca="1">IFERROR(__xludf.DUMMYFUNCTION("""COMPUTED_VALUE"""),"")</f>
        <v/>
      </c>
    </row>
    <row r="14113" spans="2:4" ht="13">
      <c r="B14113" s="12" t="str">
        <f ca="1">IFERROR(__xludf.DUMMYFUNCTION("""COMPUTED_VALUE"""),"")</f>
        <v/>
      </c>
      <c r="C14113" s="12" t="str">
        <f ca="1">IFERROR(__xludf.DUMMYFUNCTION("""COMPUTED_VALUE"""),"")</f>
        <v/>
      </c>
      <c r="D14113" s="12" t="str">
        <f ca="1">IFERROR(__xludf.DUMMYFUNCTION("""COMPUTED_VALUE"""),"")</f>
        <v/>
      </c>
    </row>
    <row r="14114" spans="2:4" ht="13">
      <c r="B14114" s="12" t="str">
        <f ca="1">IFERROR(__xludf.DUMMYFUNCTION("""COMPUTED_VALUE"""),"")</f>
        <v/>
      </c>
      <c r="C14114" s="12" t="str">
        <f ca="1">IFERROR(__xludf.DUMMYFUNCTION("""COMPUTED_VALUE"""),"")</f>
        <v/>
      </c>
      <c r="D14114" s="12" t="str">
        <f ca="1">IFERROR(__xludf.DUMMYFUNCTION("""COMPUTED_VALUE"""),"")</f>
        <v/>
      </c>
    </row>
    <row r="14115" spans="2:4" ht="13">
      <c r="B14115" s="12" t="str">
        <f ca="1">IFERROR(__xludf.DUMMYFUNCTION("""COMPUTED_VALUE"""),"")</f>
        <v/>
      </c>
      <c r="C14115" s="12" t="str">
        <f ca="1">IFERROR(__xludf.DUMMYFUNCTION("""COMPUTED_VALUE"""),"")</f>
        <v/>
      </c>
      <c r="D14115" s="12" t="str">
        <f ca="1">IFERROR(__xludf.DUMMYFUNCTION("""COMPUTED_VALUE"""),"")</f>
        <v/>
      </c>
    </row>
    <row r="14116" spans="2:4" ht="13">
      <c r="B14116" s="12" t="str">
        <f ca="1">IFERROR(__xludf.DUMMYFUNCTION("""COMPUTED_VALUE"""),"")</f>
        <v/>
      </c>
      <c r="C14116" s="12" t="str">
        <f ca="1">IFERROR(__xludf.DUMMYFUNCTION("""COMPUTED_VALUE"""),"")</f>
        <v/>
      </c>
      <c r="D14116" s="12" t="str">
        <f ca="1">IFERROR(__xludf.DUMMYFUNCTION("""COMPUTED_VALUE"""),"")</f>
        <v/>
      </c>
    </row>
    <row r="14117" spans="2:4" ht="13">
      <c r="B14117" s="12" t="str">
        <f ca="1">IFERROR(__xludf.DUMMYFUNCTION("""COMPUTED_VALUE"""),"")</f>
        <v/>
      </c>
      <c r="C14117" s="12" t="str">
        <f ca="1">IFERROR(__xludf.DUMMYFUNCTION("""COMPUTED_VALUE"""),"")</f>
        <v/>
      </c>
      <c r="D14117" s="12" t="str">
        <f ca="1">IFERROR(__xludf.DUMMYFUNCTION("""COMPUTED_VALUE"""),"")</f>
        <v/>
      </c>
    </row>
    <row r="14118" spans="2:4" ht="13">
      <c r="B14118" s="12" t="str">
        <f ca="1">IFERROR(__xludf.DUMMYFUNCTION("""COMPUTED_VALUE"""),"")</f>
        <v/>
      </c>
      <c r="C14118" s="12" t="str">
        <f ca="1">IFERROR(__xludf.DUMMYFUNCTION("""COMPUTED_VALUE"""),"")</f>
        <v/>
      </c>
      <c r="D14118" s="12" t="str">
        <f ca="1">IFERROR(__xludf.DUMMYFUNCTION("""COMPUTED_VALUE"""),"")</f>
        <v/>
      </c>
    </row>
    <row r="14119" spans="2:4" ht="13">
      <c r="B14119" s="12" t="str">
        <f ca="1">IFERROR(__xludf.DUMMYFUNCTION("""COMPUTED_VALUE"""),"")</f>
        <v/>
      </c>
      <c r="C14119" s="12" t="str">
        <f ca="1">IFERROR(__xludf.DUMMYFUNCTION("""COMPUTED_VALUE"""),"")</f>
        <v/>
      </c>
      <c r="D14119" s="12" t="str">
        <f ca="1">IFERROR(__xludf.DUMMYFUNCTION("""COMPUTED_VALUE"""),"")</f>
        <v/>
      </c>
    </row>
    <row r="14120" spans="2:4" ht="13">
      <c r="B14120" s="12" t="str">
        <f ca="1">IFERROR(__xludf.DUMMYFUNCTION("""COMPUTED_VALUE"""),"")</f>
        <v/>
      </c>
      <c r="C14120" s="12" t="str">
        <f ca="1">IFERROR(__xludf.DUMMYFUNCTION("""COMPUTED_VALUE"""),"")</f>
        <v/>
      </c>
      <c r="D14120" s="12" t="str">
        <f ca="1">IFERROR(__xludf.DUMMYFUNCTION("""COMPUTED_VALUE"""),"")</f>
        <v/>
      </c>
    </row>
    <row r="14121" spans="2:4" ht="13">
      <c r="B14121" s="12" t="str">
        <f ca="1">IFERROR(__xludf.DUMMYFUNCTION("""COMPUTED_VALUE"""),"")</f>
        <v/>
      </c>
      <c r="C14121" s="12" t="str">
        <f ca="1">IFERROR(__xludf.DUMMYFUNCTION("""COMPUTED_VALUE"""),"")</f>
        <v/>
      </c>
      <c r="D14121" s="12" t="str">
        <f ca="1">IFERROR(__xludf.DUMMYFUNCTION("""COMPUTED_VALUE"""),"")</f>
        <v/>
      </c>
    </row>
    <row r="14122" spans="2:4" ht="13">
      <c r="B14122" s="12" t="str">
        <f ca="1">IFERROR(__xludf.DUMMYFUNCTION("""COMPUTED_VALUE"""),"")</f>
        <v/>
      </c>
      <c r="C14122" s="12" t="str">
        <f ca="1">IFERROR(__xludf.DUMMYFUNCTION("""COMPUTED_VALUE"""),"")</f>
        <v/>
      </c>
      <c r="D14122" s="12" t="str">
        <f ca="1">IFERROR(__xludf.DUMMYFUNCTION("""COMPUTED_VALUE"""),"")</f>
        <v/>
      </c>
    </row>
    <row r="14123" spans="2:4" ht="13">
      <c r="B14123" s="12" t="str">
        <f ca="1">IFERROR(__xludf.DUMMYFUNCTION("""COMPUTED_VALUE"""),"")</f>
        <v/>
      </c>
      <c r="C14123" s="12" t="str">
        <f ca="1">IFERROR(__xludf.DUMMYFUNCTION("""COMPUTED_VALUE"""),"")</f>
        <v/>
      </c>
      <c r="D14123" s="12" t="str">
        <f ca="1">IFERROR(__xludf.DUMMYFUNCTION("""COMPUTED_VALUE"""),"")</f>
        <v/>
      </c>
    </row>
    <row r="14124" spans="2:4" ht="13">
      <c r="B14124" s="12" t="str">
        <f ca="1">IFERROR(__xludf.DUMMYFUNCTION("""COMPUTED_VALUE"""),"")</f>
        <v/>
      </c>
      <c r="C14124" s="12" t="str">
        <f ca="1">IFERROR(__xludf.DUMMYFUNCTION("""COMPUTED_VALUE"""),"")</f>
        <v/>
      </c>
      <c r="D14124" s="12" t="str">
        <f ca="1">IFERROR(__xludf.DUMMYFUNCTION("""COMPUTED_VALUE"""),"")</f>
        <v/>
      </c>
    </row>
    <row r="14125" spans="2:4" ht="13">
      <c r="B14125" s="12" t="str">
        <f ca="1">IFERROR(__xludf.DUMMYFUNCTION("""COMPUTED_VALUE"""),"")</f>
        <v/>
      </c>
      <c r="C14125" s="12" t="str">
        <f ca="1">IFERROR(__xludf.DUMMYFUNCTION("""COMPUTED_VALUE"""),"")</f>
        <v/>
      </c>
      <c r="D14125" s="12" t="str">
        <f ca="1">IFERROR(__xludf.DUMMYFUNCTION("""COMPUTED_VALUE"""),"")</f>
        <v/>
      </c>
    </row>
    <row r="14126" spans="2:4" ht="13">
      <c r="B14126" s="12" t="str">
        <f ca="1">IFERROR(__xludf.DUMMYFUNCTION("""COMPUTED_VALUE"""),"")</f>
        <v/>
      </c>
      <c r="C14126" s="12" t="str">
        <f ca="1">IFERROR(__xludf.DUMMYFUNCTION("""COMPUTED_VALUE"""),"")</f>
        <v/>
      </c>
      <c r="D14126" s="12" t="str">
        <f ca="1">IFERROR(__xludf.DUMMYFUNCTION("""COMPUTED_VALUE"""),"")</f>
        <v/>
      </c>
    </row>
    <row r="14127" spans="2:4" ht="13">
      <c r="B14127" s="12" t="str">
        <f ca="1">IFERROR(__xludf.DUMMYFUNCTION("""COMPUTED_VALUE"""),"")</f>
        <v/>
      </c>
      <c r="C14127" s="12" t="str">
        <f ca="1">IFERROR(__xludf.DUMMYFUNCTION("""COMPUTED_VALUE"""),"")</f>
        <v/>
      </c>
      <c r="D14127" s="12" t="str">
        <f ca="1">IFERROR(__xludf.DUMMYFUNCTION("""COMPUTED_VALUE"""),"")</f>
        <v/>
      </c>
    </row>
    <row r="14128" spans="2:4" ht="13">
      <c r="B14128" s="12" t="str">
        <f ca="1">IFERROR(__xludf.DUMMYFUNCTION("""COMPUTED_VALUE"""),"")</f>
        <v/>
      </c>
      <c r="C14128" s="12" t="str">
        <f ca="1">IFERROR(__xludf.DUMMYFUNCTION("""COMPUTED_VALUE"""),"")</f>
        <v/>
      </c>
      <c r="D14128" s="12" t="str">
        <f ca="1">IFERROR(__xludf.DUMMYFUNCTION("""COMPUTED_VALUE"""),"")</f>
        <v/>
      </c>
    </row>
    <row r="14129" spans="2:4" ht="13">
      <c r="B14129" s="12" t="str">
        <f ca="1">IFERROR(__xludf.DUMMYFUNCTION("""COMPUTED_VALUE"""),"")</f>
        <v/>
      </c>
      <c r="C14129" s="12" t="str">
        <f ca="1">IFERROR(__xludf.DUMMYFUNCTION("""COMPUTED_VALUE"""),"")</f>
        <v/>
      </c>
      <c r="D14129" s="12" t="str">
        <f ca="1">IFERROR(__xludf.DUMMYFUNCTION("""COMPUTED_VALUE"""),"")</f>
        <v/>
      </c>
    </row>
    <row r="14130" spans="2:4" ht="13">
      <c r="B14130" s="12" t="str">
        <f ca="1">IFERROR(__xludf.DUMMYFUNCTION("""COMPUTED_VALUE"""),"")</f>
        <v/>
      </c>
      <c r="C14130" s="12" t="str">
        <f ca="1">IFERROR(__xludf.DUMMYFUNCTION("""COMPUTED_VALUE"""),"")</f>
        <v/>
      </c>
      <c r="D14130" s="12" t="str">
        <f ca="1">IFERROR(__xludf.DUMMYFUNCTION("""COMPUTED_VALUE"""),"")</f>
        <v/>
      </c>
    </row>
    <row r="14131" spans="2:4" ht="13">
      <c r="B14131" s="12" t="str">
        <f ca="1">IFERROR(__xludf.DUMMYFUNCTION("""COMPUTED_VALUE"""),"")</f>
        <v/>
      </c>
      <c r="C14131" s="12" t="str">
        <f ca="1">IFERROR(__xludf.DUMMYFUNCTION("""COMPUTED_VALUE"""),"")</f>
        <v/>
      </c>
      <c r="D14131" s="12" t="str">
        <f ca="1">IFERROR(__xludf.DUMMYFUNCTION("""COMPUTED_VALUE"""),"")</f>
        <v/>
      </c>
    </row>
    <row r="14132" spans="2:4" ht="13">
      <c r="B14132" s="12" t="str">
        <f ca="1">IFERROR(__xludf.DUMMYFUNCTION("""COMPUTED_VALUE"""),"")</f>
        <v/>
      </c>
      <c r="C14132" s="12" t="str">
        <f ca="1">IFERROR(__xludf.DUMMYFUNCTION("""COMPUTED_VALUE"""),"")</f>
        <v/>
      </c>
      <c r="D14132" s="12" t="str">
        <f ca="1">IFERROR(__xludf.DUMMYFUNCTION("""COMPUTED_VALUE"""),"")</f>
        <v/>
      </c>
    </row>
    <row r="14133" spans="2:4" ht="13">
      <c r="B14133" s="12" t="str">
        <f ca="1">IFERROR(__xludf.DUMMYFUNCTION("""COMPUTED_VALUE"""),"")</f>
        <v/>
      </c>
      <c r="C14133" s="12" t="str">
        <f ca="1">IFERROR(__xludf.DUMMYFUNCTION("""COMPUTED_VALUE"""),"")</f>
        <v/>
      </c>
      <c r="D14133" s="12" t="str">
        <f ca="1">IFERROR(__xludf.DUMMYFUNCTION("""COMPUTED_VALUE"""),"")</f>
        <v/>
      </c>
    </row>
    <row r="14134" spans="2:4" ht="13">
      <c r="B14134" s="12" t="str">
        <f ca="1">IFERROR(__xludf.DUMMYFUNCTION("""COMPUTED_VALUE"""),"")</f>
        <v/>
      </c>
      <c r="C14134" s="12" t="str">
        <f ca="1">IFERROR(__xludf.DUMMYFUNCTION("""COMPUTED_VALUE"""),"")</f>
        <v/>
      </c>
      <c r="D14134" s="12" t="str">
        <f ca="1">IFERROR(__xludf.DUMMYFUNCTION("""COMPUTED_VALUE"""),"")</f>
        <v/>
      </c>
    </row>
    <row r="14135" spans="2:4" ht="13">
      <c r="B14135" s="12" t="str">
        <f ca="1">IFERROR(__xludf.DUMMYFUNCTION("""COMPUTED_VALUE"""),"")</f>
        <v/>
      </c>
      <c r="C14135" s="12" t="str">
        <f ca="1">IFERROR(__xludf.DUMMYFUNCTION("""COMPUTED_VALUE"""),"")</f>
        <v/>
      </c>
      <c r="D14135" s="12" t="str">
        <f ca="1">IFERROR(__xludf.DUMMYFUNCTION("""COMPUTED_VALUE"""),"")</f>
        <v/>
      </c>
    </row>
    <row r="14136" spans="2:4" ht="13">
      <c r="B14136" s="12" t="str">
        <f ca="1">IFERROR(__xludf.DUMMYFUNCTION("""COMPUTED_VALUE"""),"")</f>
        <v/>
      </c>
      <c r="C14136" s="12" t="str">
        <f ca="1">IFERROR(__xludf.DUMMYFUNCTION("""COMPUTED_VALUE"""),"")</f>
        <v/>
      </c>
      <c r="D14136" s="12" t="str">
        <f ca="1">IFERROR(__xludf.DUMMYFUNCTION("""COMPUTED_VALUE"""),"")</f>
        <v/>
      </c>
    </row>
    <row r="14137" spans="2:4" ht="13">
      <c r="B14137" s="12" t="str">
        <f ca="1">IFERROR(__xludf.DUMMYFUNCTION("""COMPUTED_VALUE"""),"")</f>
        <v/>
      </c>
      <c r="C14137" s="12" t="str">
        <f ca="1">IFERROR(__xludf.DUMMYFUNCTION("""COMPUTED_VALUE"""),"")</f>
        <v/>
      </c>
      <c r="D14137" s="12" t="str">
        <f ca="1">IFERROR(__xludf.DUMMYFUNCTION("""COMPUTED_VALUE"""),"")</f>
        <v/>
      </c>
    </row>
    <row r="14138" spans="2:4" ht="13">
      <c r="B14138" s="12" t="str">
        <f ca="1">IFERROR(__xludf.DUMMYFUNCTION("""COMPUTED_VALUE"""),"")</f>
        <v/>
      </c>
      <c r="C14138" s="12" t="str">
        <f ca="1">IFERROR(__xludf.DUMMYFUNCTION("""COMPUTED_VALUE"""),"")</f>
        <v/>
      </c>
      <c r="D14138" s="12" t="str">
        <f ca="1">IFERROR(__xludf.DUMMYFUNCTION("""COMPUTED_VALUE"""),"")</f>
        <v/>
      </c>
    </row>
    <row r="14139" spans="2:4" ht="13">
      <c r="B14139" s="12" t="str">
        <f ca="1">IFERROR(__xludf.DUMMYFUNCTION("""COMPUTED_VALUE"""),"")</f>
        <v/>
      </c>
      <c r="C14139" s="12" t="str">
        <f ca="1">IFERROR(__xludf.DUMMYFUNCTION("""COMPUTED_VALUE"""),"")</f>
        <v/>
      </c>
      <c r="D14139" s="12" t="str">
        <f ca="1">IFERROR(__xludf.DUMMYFUNCTION("""COMPUTED_VALUE"""),"")</f>
        <v/>
      </c>
    </row>
    <row r="14140" spans="2:4" ht="13">
      <c r="B14140" s="12" t="str">
        <f ca="1">IFERROR(__xludf.DUMMYFUNCTION("""COMPUTED_VALUE"""),"")</f>
        <v/>
      </c>
      <c r="C14140" s="12" t="str">
        <f ca="1">IFERROR(__xludf.DUMMYFUNCTION("""COMPUTED_VALUE"""),"")</f>
        <v/>
      </c>
      <c r="D14140" s="12" t="str">
        <f ca="1">IFERROR(__xludf.DUMMYFUNCTION("""COMPUTED_VALUE"""),"")</f>
        <v/>
      </c>
    </row>
    <row r="14141" spans="2:4" ht="13">
      <c r="B14141" s="12" t="str">
        <f ca="1">IFERROR(__xludf.DUMMYFUNCTION("""COMPUTED_VALUE"""),"")</f>
        <v/>
      </c>
      <c r="C14141" s="12" t="str">
        <f ca="1">IFERROR(__xludf.DUMMYFUNCTION("""COMPUTED_VALUE"""),"")</f>
        <v/>
      </c>
      <c r="D14141" s="12" t="str">
        <f ca="1">IFERROR(__xludf.DUMMYFUNCTION("""COMPUTED_VALUE"""),"")</f>
        <v/>
      </c>
    </row>
    <row r="14142" spans="2:4" ht="13">
      <c r="B14142" s="12" t="str">
        <f ca="1">IFERROR(__xludf.DUMMYFUNCTION("""COMPUTED_VALUE"""),"")</f>
        <v/>
      </c>
      <c r="C14142" s="12" t="str">
        <f ca="1">IFERROR(__xludf.DUMMYFUNCTION("""COMPUTED_VALUE"""),"")</f>
        <v/>
      </c>
      <c r="D14142" s="12" t="str">
        <f ca="1">IFERROR(__xludf.DUMMYFUNCTION("""COMPUTED_VALUE"""),"")</f>
        <v/>
      </c>
    </row>
    <row r="14143" spans="2:4" ht="13">
      <c r="B14143" s="12" t="str">
        <f ca="1">IFERROR(__xludf.DUMMYFUNCTION("""COMPUTED_VALUE"""),"")</f>
        <v/>
      </c>
      <c r="C14143" s="12" t="str">
        <f ca="1">IFERROR(__xludf.DUMMYFUNCTION("""COMPUTED_VALUE"""),"")</f>
        <v/>
      </c>
      <c r="D14143" s="12" t="str">
        <f ca="1">IFERROR(__xludf.DUMMYFUNCTION("""COMPUTED_VALUE"""),"")</f>
        <v/>
      </c>
    </row>
    <row r="14144" spans="2:4" ht="13">
      <c r="B14144" s="12" t="str">
        <f ca="1">IFERROR(__xludf.DUMMYFUNCTION("""COMPUTED_VALUE"""),"")</f>
        <v/>
      </c>
      <c r="C14144" s="12" t="str">
        <f ca="1">IFERROR(__xludf.DUMMYFUNCTION("""COMPUTED_VALUE"""),"")</f>
        <v/>
      </c>
      <c r="D14144" s="12" t="str">
        <f ca="1">IFERROR(__xludf.DUMMYFUNCTION("""COMPUTED_VALUE"""),"")</f>
        <v/>
      </c>
    </row>
    <row r="14145" spans="2:4" ht="13">
      <c r="B14145" s="12" t="str">
        <f ca="1">IFERROR(__xludf.DUMMYFUNCTION("""COMPUTED_VALUE"""),"")</f>
        <v/>
      </c>
      <c r="C14145" s="12" t="str">
        <f ca="1">IFERROR(__xludf.DUMMYFUNCTION("""COMPUTED_VALUE"""),"")</f>
        <v/>
      </c>
      <c r="D14145" s="12" t="str">
        <f ca="1">IFERROR(__xludf.DUMMYFUNCTION("""COMPUTED_VALUE"""),"")</f>
        <v/>
      </c>
    </row>
    <row r="14146" spans="2:4" ht="13">
      <c r="B14146" s="12" t="str">
        <f ca="1">IFERROR(__xludf.DUMMYFUNCTION("""COMPUTED_VALUE"""),"")</f>
        <v/>
      </c>
      <c r="C14146" s="12" t="str">
        <f ca="1">IFERROR(__xludf.DUMMYFUNCTION("""COMPUTED_VALUE"""),"")</f>
        <v/>
      </c>
      <c r="D14146" s="12" t="str">
        <f ca="1">IFERROR(__xludf.DUMMYFUNCTION("""COMPUTED_VALUE"""),"")</f>
        <v/>
      </c>
    </row>
    <row r="14147" spans="2:4" ht="13">
      <c r="B14147" s="12" t="str">
        <f ca="1">IFERROR(__xludf.DUMMYFUNCTION("""COMPUTED_VALUE"""),"")</f>
        <v/>
      </c>
      <c r="C14147" s="12" t="str">
        <f ca="1">IFERROR(__xludf.DUMMYFUNCTION("""COMPUTED_VALUE"""),"")</f>
        <v/>
      </c>
      <c r="D14147" s="12" t="str">
        <f ca="1">IFERROR(__xludf.DUMMYFUNCTION("""COMPUTED_VALUE"""),"")</f>
        <v/>
      </c>
    </row>
    <row r="14148" spans="2:4" ht="13">
      <c r="B14148" s="12" t="str">
        <f ca="1">IFERROR(__xludf.DUMMYFUNCTION("""COMPUTED_VALUE"""),"")</f>
        <v/>
      </c>
      <c r="C14148" s="12" t="str">
        <f ca="1">IFERROR(__xludf.DUMMYFUNCTION("""COMPUTED_VALUE"""),"")</f>
        <v/>
      </c>
      <c r="D14148" s="12" t="str">
        <f ca="1">IFERROR(__xludf.DUMMYFUNCTION("""COMPUTED_VALUE"""),"")</f>
        <v/>
      </c>
    </row>
    <row r="14149" spans="2:4" ht="13">
      <c r="B14149" s="12" t="str">
        <f ca="1">IFERROR(__xludf.DUMMYFUNCTION("""COMPUTED_VALUE"""),"")</f>
        <v/>
      </c>
      <c r="C14149" s="12" t="str">
        <f ca="1">IFERROR(__xludf.DUMMYFUNCTION("""COMPUTED_VALUE"""),"")</f>
        <v/>
      </c>
      <c r="D14149" s="12" t="str">
        <f ca="1">IFERROR(__xludf.DUMMYFUNCTION("""COMPUTED_VALUE"""),"")</f>
        <v/>
      </c>
    </row>
    <row r="14150" spans="2:4" ht="13">
      <c r="B14150" s="12" t="str">
        <f ca="1">IFERROR(__xludf.DUMMYFUNCTION("""COMPUTED_VALUE"""),"")</f>
        <v/>
      </c>
      <c r="C14150" s="12" t="str">
        <f ca="1">IFERROR(__xludf.DUMMYFUNCTION("""COMPUTED_VALUE"""),"")</f>
        <v/>
      </c>
      <c r="D14150" s="12" t="str">
        <f ca="1">IFERROR(__xludf.DUMMYFUNCTION("""COMPUTED_VALUE"""),"")</f>
        <v/>
      </c>
    </row>
    <row r="14151" spans="2:4" ht="13">
      <c r="B14151" s="12" t="str">
        <f ca="1">IFERROR(__xludf.DUMMYFUNCTION("""COMPUTED_VALUE"""),"")</f>
        <v/>
      </c>
      <c r="C14151" s="12" t="str">
        <f ca="1">IFERROR(__xludf.DUMMYFUNCTION("""COMPUTED_VALUE"""),"")</f>
        <v/>
      </c>
      <c r="D14151" s="12" t="str">
        <f ca="1">IFERROR(__xludf.DUMMYFUNCTION("""COMPUTED_VALUE"""),"")</f>
        <v/>
      </c>
    </row>
    <row r="14152" spans="2:4" ht="13">
      <c r="B14152" s="12" t="str">
        <f ca="1">IFERROR(__xludf.DUMMYFUNCTION("""COMPUTED_VALUE"""),"")</f>
        <v/>
      </c>
      <c r="C14152" s="12" t="str">
        <f ca="1">IFERROR(__xludf.DUMMYFUNCTION("""COMPUTED_VALUE"""),"")</f>
        <v/>
      </c>
      <c r="D14152" s="12" t="str">
        <f ca="1">IFERROR(__xludf.DUMMYFUNCTION("""COMPUTED_VALUE"""),"")</f>
        <v/>
      </c>
    </row>
    <row r="14153" spans="2:4" ht="13">
      <c r="B14153" s="12" t="str">
        <f ca="1">IFERROR(__xludf.DUMMYFUNCTION("""COMPUTED_VALUE"""),"")</f>
        <v/>
      </c>
      <c r="C14153" s="12" t="str">
        <f ca="1">IFERROR(__xludf.DUMMYFUNCTION("""COMPUTED_VALUE"""),"")</f>
        <v/>
      </c>
      <c r="D14153" s="12" t="str">
        <f ca="1">IFERROR(__xludf.DUMMYFUNCTION("""COMPUTED_VALUE"""),"")</f>
        <v/>
      </c>
    </row>
    <row r="14154" spans="2:4" ht="13">
      <c r="B14154" s="12" t="str">
        <f ca="1">IFERROR(__xludf.DUMMYFUNCTION("""COMPUTED_VALUE"""),"")</f>
        <v/>
      </c>
      <c r="C14154" s="12" t="str">
        <f ca="1">IFERROR(__xludf.DUMMYFUNCTION("""COMPUTED_VALUE"""),"")</f>
        <v/>
      </c>
      <c r="D14154" s="12" t="str">
        <f ca="1">IFERROR(__xludf.DUMMYFUNCTION("""COMPUTED_VALUE"""),"")</f>
        <v/>
      </c>
    </row>
    <row r="14155" spans="2:4" ht="13">
      <c r="B14155" s="12" t="str">
        <f ca="1">IFERROR(__xludf.DUMMYFUNCTION("""COMPUTED_VALUE"""),"")</f>
        <v/>
      </c>
      <c r="C14155" s="12" t="str">
        <f ca="1">IFERROR(__xludf.DUMMYFUNCTION("""COMPUTED_VALUE"""),"")</f>
        <v/>
      </c>
      <c r="D14155" s="12" t="str">
        <f ca="1">IFERROR(__xludf.DUMMYFUNCTION("""COMPUTED_VALUE"""),"")</f>
        <v/>
      </c>
    </row>
    <row r="14156" spans="2:4" ht="13">
      <c r="B14156" s="12" t="str">
        <f ca="1">IFERROR(__xludf.DUMMYFUNCTION("""COMPUTED_VALUE"""),"")</f>
        <v/>
      </c>
      <c r="C14156" s="12" t="str">
        <f ca="1">IFERROR(__xludf.DUMMYFUNCTION("""COMPUTED_VALUE"""),"")</f>
        <v/>
      </c>
      <c r="D14156" s="12" t="str">
        <f ca="1">IFERROR(__xludf.DUMMYFUNCTION("""COMPUTED_VALUE"""),"")</f>
        <v/>
      </c>
    </row>
    <row r="14157" spans="2:4" ht="13">
      <c r="B14157" s="12" t="str">
        <f ca="1">IFERROR(__xludf.DUMMYFUNCTION("""COMPUTED_VALUE"""),"")</f>
        <v/>
      </c>
      <c r="C14157" s="12" t="str">
        <f ca="1">IFERROR(__xludf.DUMMYFUNCTION("""COMPUTED_VALUE"""),"")</f>
        <v/>
      </c>
      <c r="D14157" s="12" t="str">
        <f ca="1">IFERROR(__xludf.DUMMYFUNCTION("""COMPUTED_VALUE"""),"")</f>
        <v/>
      </c>
    </row>
    <row r="14158" spans="2:4" ht="13">
      <c r="B14158" s="12" t="str">
        <f ca="1">IFERROR(__xludf.DUMMYFUNCTION("""COMPUTED_VALUE"""),"")</f>
        <v/>
      </c>
      <c r="C14158" s="12" t="str">
        <f ca="1">IFERROR(__xludf.DUMMYFUNCTION("""COMPUTED_VALUE"""),"")</f>
        <v/>
      </c>
      <c r="D14158" s="12" t="str">
        <f ca="1">IFERROR(__xludf.DUMMYFUNCTION("""COMPUTED_VALUE"""),"")</f>
        <v/>
      </c>
    </row>
    <row r="14159" spans="2:4" ht="13">
      <c r="B14159" s="12" t="str">
        <f ca="1">IFERROR(__xludf.DUMMYFUNCTION("""COMPUTED_VALUE"""),"")</f>
        <v/>
      </c>
      <c r="C14159" s="12" t="str">
        <f ca="1">IFERROR(__xludf.DUMMYFUNCTION("""COMPUTED_VALUE"""),"")</f>
        <v/>
      </c>
      <c r="D14159" s="12" t="str">
        <f ca="1">IFERROR(__xludf.DUMMYFUNCTION("""COMPUTED_VALUE"""),"")</f>
        <v/>
      </c>
    </row>
    <row r="14160" spans="2:4" ht="13">
      <c r="B14160" s="12" t="str">
        <f ca="1">IFERROR(__xludf.DUMMYFUNCTION("""COMPUTED_VALUE"""),"")</f>
        <v/>
      </c>
      <c r="C14160" s="12" t="str">
        <f ca="1">IFERROR(__xludf.DUMMYFUNCTION("""COMPUTED_VALUE"""),"")</f>
        <v/>
      </c>
      <c r="D14160" s="12" t="str">
        <f ca="1">IFERROR(__xludf.DUMMYFUNCTION("""COMPUTED_VALUE"""),"")</f>
        <v/>
      </c>
    </row>
    <row r="14161" spans="2:4" ht="13">
      <c r="B14161" s="12" t="str">
        <f ca="1">IFERROR(__xludf.DUMMYFUNCTION("""COMPUTED_VALUE"""),"")</f>
        <v/>
      </c>
      <c r="C14161" s="12" t="str">
        <f ca="1">IFERROR(__xludf.DUMMYFUNCTION("""COMPUTED_VALUE"""),"")</f>
        <v/>
      </c>
      <c r="D14161" s="12" t="str">
        <f ca="1">IFERROR(__xludf.DUMMYFUNCTION("""COMPUTED_VALUE"""),"")</f>
        <v/>
      </c>
    </row>
    <row r="14162" spans="2:4" ht="13">
      <c r="B14162" s="12" t="str">
        <f ca="1">IFERROR(__xludf.DUMMYFUNCTION("""COMPUTED_VALUE"""),"")</f>
        <v/>
      </c>
      <c r="C14162" s="12" t="str">
        <f ca="1">IFERROR(__xludf.DUMMYFUNCTION("""COMPUTED_VALUE"""),"")</f>
        <v/>
      </c>
      <c r="D14162" s="12" t="str">
        <f ca="1">IFERROR(__xludf.DUMMYFUNCTION("""COMPUTED_VALUE"""),"")</f>
        <v/>
      </c>
    </row>
    <row r="14163" spans="2:4" ht="13">
      <c r="B14163" s="12" t="str">
        <f ca="1">IFERROR(__xludf.DUMMYFUNCTION("""COMPUTED_VALUE"""),"")</f>
        <v/>
      </c>
      <c r="C14163" s="12" t="str">
        <f ca="1">IFERROR(__xludf.DUMMYFUNCTION("""COMPUTED_VALUE"""),"")</f>
        <v/>
      </c>
      <c r="D14163" s="12" t="str">
        <f ca="1">IFERROR(__xludf.DUMMYFUNCTION("""COMPUTED_VALUE"""),"")</f>
        <v/>
      </c>
    </row>
    <row r="14164" spans="2:4" ht="13">
      <c r="B14164" s="12" t="str">
        <f ca="1">IFERROR(__xludf.DUMMYFUNCTION("""COMPUTED_VALUE"""),"")</f>
        <v/>
      </c>
      <c r="C14164" s="12" t="str">
        <f ca="1">IFERROR(__xludf.DUMMYFUNCTION("""COMPUTED_VALUE"""),"")</f>
        <v/>
      </c>
      <c r="D14164" s="12" t="str">
        <f ca="1">IFERROR(__xludf.DUMMYFUNCTION("""COMPUTED_VALUE"""),"")</f>
        <v/>
      </c>
    </row>
    <row r="14165" spans="2:4" ht="13">
      <c r="B14165" s="12" t="str">
        <f ca="1">IFERROR(__xludf.DUMMYFUNCTION("""COMPUTED_VALUE"""),"")</f>
        <v/>
      </c>
      <c r="C14165" s="12" t="str">
        <f ca="1">IFERROR(__xludf.DUMMYFUNCTION("""COMPUTED_VALUE"""),"")</f>
        <v/>
      </c>
      <c r="D14165" s="12" t="str">
        <f ca="1">IFERROR(__xludf.DUMMYFUNCTION("""COMPUTED_VALUE"""),"")</f>
        <v/>
      </c>
    </row>
    <row r="14166" spans="2:4" ht="13">
      <c r="B14166" s="12" t="str">
        <f ca="1">IFERROR(__xludf.DUMMYFUNCTION("""COMPUTED_VALUE"""),"")</f>
        <v/>
      </c>
      <c r="C14166" s="12" t="str">
        <f ca="1">IFERROR(__xludf.DUMMYFUNCTION("""COMPUTED_VALUE"""),"")</f>
        <v/>
      </c>
      <c r="D14166" s="12" t="str">
        <f ca="1">IFERROR(__xludf.DUMMYFUNCTION("""COMPUTED_VALUE"""),"")</f>
        <v/>
      </c>
    </row>
    <row r="14167" spans="2:4" ht="13">
      <c r="B14167" s="12" t="str">
        <f ca="1">IFERROR(__xludf.DUMMYFUNCTION("""COMPUTED_VALUE"""),"")</f>
        <v/>
      </c>
      <c r="C14167" s="12" t="str">
        <f ca="1">IFERROR(__xludf.DUMMYFUNCTION("""COMPUTED_VALUE"""),"")</f>
        <v/>
      </c>
      <c r="D14167" s="12" t="str">
        <f ca="1">IFERROR(__xludf.DUMMYFUNCTION("""COMPUTED_VALUE"""),"")</f>
        <v/>
      </c>
    </row>
    <row r="14168" spans="2:4" ht="13">
      <c r="B14168" s="12" t="str">
        <f ca="1">IFERROR(__xludf.DUMMYFUNCTION("""COMPUTED_VALUE"""),"")</f>
        <v/>
      </c>
      <c r="C14168" s="12" t="str">
        <f ca="1">IFERROR(__xludf.DUMMYFUNCTION("""COMPUTED_VALUE"""),"")</f>
        <v/>
      </c>
      <c r="D14168" s="12" t="str">
        <f ca="1">IFERROR(__xludf.DUMMYFUNCTION("""COMPUTED_VALUE"""),"")</f>
        <v/>
      </c>
    </row>
    <row r="14169" spans="2:4" ht="13">
      <c r="B14169" s="12" t="str">
        <f ca="1">IFERROR(__xludf.DUMMYFUNCTION("""COMPUTED_VALUE"""),"")</f>
        <v/>
      </c>
      <c r="C14169" s="12" t="str">
        <f ca="1">IFERROR(__xludf.DUMMYFUNCTION("""COMPUTED_VALUE"""),"")</f>
        <v/>
      </c>
      <c r="D14169" s="12" t="str">
        <f ca="1">IFERROR(__xludf.DUMMYFUNCTION("""COMPUTED_VALUE"""),"")</f>
        <v/>
      </c>
    </row>
    <row r="14170" spans="2:4" ht="13">
      <c r="B14170" s="12" t="str">
        <f ca="1">IFERROR(__xludf.DUMMYFUNCTION("""COMPUTED_VALUE"""),"")</f>
        <v/>
      </c>
      <c r="C14170" s="12" t="str">
        <f ca="1">IFERROR(__xludf.DUMMYFUNCTION("""COMPUTED_VALUE"""),"")</f>
        <v/>
      </c>
      <c r="D14170" s="12" t="str">
        <f ca="1">IFERROR(__xludf.DUMMYFUNCTION("""COMPUTED_VALUE"""),"")</f>
        <v/>
      </c>
    </row>
    <row r="14171" spans="2:4" ht="13">
      <c r="B14171" s="12" t="str">
        <f ca="1">IFERROR(__xludf.DUMMYFUNCTION("""COMPUTED_VALUE"""),"")</f>
        <v/>
      </c>
      <c r="C14171" s="12" t="str">
        <f ca="1">IFERROR(__xludf.DUMMYFUNCTION("""COMPUTED_VALUE"""),"")</f>
        <v/>
      </c>
      <c r="D14171" s="12" t="str">
        <f ca="1">IFERROR(__xludf.DUMMYFUNCTION("""COMPUTED_VALUE"""),"")</f>
        <v/>
      </c>
    </row>
    <row r="14172" spans="2:4" ht="13">
      <c r="B14172" s="12" t="str">
        <f ca="1">IFERROR(__xludf.DUMMYFUNCTION("""COMPUTED_VALUE"""),"")</f>
        <v/>
      </c>
      <c r="C14172" s="12" t="str">
        <f ca="1">IFERROR(__xludf.DUMMYFUNCTION("""COMPUTED_VALUE"""),"")</f>
        <v/>
      </c>
      <c r="D14172" s="12" t="str">
        <f ca="1">IFERROR(__xludf.DUMMYFUNCTION("""COMPUTED_VALUE"""),"")</f>
        <v/>
      </c>
    </row>
    <row r="14173" spans="2:4" ht="13">
      <c r="B14173" s="12" t="str">
        <f ca="1">IFERROR(__xludf.DUMMYFUNCTION("""COMPUTED_VALUE"""),"")</f>
        <v/>
      </c>
      <c r="C14173" s="12" t="str">
        <f ca="1">IFERROR(__xludf.DUMMYFUNCTION("""COMPUTED_VALUE"""),"")</f>
        <v/>
      </c>
      <c r="D14173" s="12" t="str">
        <f ca="1">IFERROR(__xludf.DUMMYFUNCTION("""COMPUTED_VALUE"""),"")</f>
        <v/>
      </c>
    </row>
    <row r="14174" spans="2:4" ht="13">
      <c r="B14174" s="12" t="str">
        <f ca="1">IFERROR(__xludf.DUMMYFUNCTION("""COMPUTED_VALUE"""),"")</f>
        <v/>
      </c>
      <c r="C14174" s="12" t="str">
        <f ca="1">IFERROR(__xludf.DUMMYFUNCTION("""COMPUTED_VALUE"""),"")</f>
        <v/>
      </c>
      <c r="D14174" s="12" t="str">
        <f ca="1">IFERROR(__xludf.DUMMYFUNCTION("""COMPUTED_VALUE"""),"")</f>
        <v/>
      </c>
    </row>
    <row r="14175" spans="2:4" ht="13">
      <c r="B14175" s="12" t="str">
        <f ca="1">IFERROR(__xludf.DUMMYFUNCTION("""COMPUTED_VALUE"""),"")</f>
        <v/>
      </c>
      <c r="C14175" s="12" t="str">
        <f ca="1">IFERROR(__xludf.DUMMYFUNCTION("""COMPUTED_VALUE"""),"")</f>
        <v/>
      </c>
      <c r="D14175" s="12" t="str">
        <f ca="1">IFERROR(__xludf.DUMMYFUNCTION("""COMPUTED_VALUE"""),"")</f>
        <v/>
      </c>
    </row>
    <row r="14176" spans="2:4" ht="13">
      <c r="B14176" s="12" t="str">
        <f ca="1">IFERROR(__xludf.DUMMYFUNCTION("""COMPUTED_VALUE"""),"")</f>
        <v/>
      </c>
      <c r="C14176" s="12" t="str">
        <f ca="1">IFERROR(__xludf.DUMMYFUNCTION("""COMPUTED_VALUE"""),"")</f>
        <v/>
      </c>
      <c r="D14176" s="12" t="str">
        <f ca="1">IFERROR(__xludf.DUMMYFUNCTION("""COMPUTED_VALUE"""),"")</f>
        <v/>
      </c>
    </row>
    <row r="14177" spans="2:4" ht="13">
      <c r="B14177" s="12" t="str">
        <f ca="1">IFERROR(__xludf.DUMMYFUNCTION("""COMPUTED_VALUE"""),"")</f>
        <v/>
      </c>
      <c r="C14177" s="12" t="str">
        <f ca="1">IFERROR(__xludf.DUMMYFUNCTION("""COMPUTED_VALUE"""),"")</f>
        <v/>
      </c>
      <c r="D14177" s="12" t="str">
        <f ca="1">IFERROR(__xludf.DUMMYFUNCTION("""COMPUTED_VALUE"""),"")</f>
        <v/>
      </c>
    </row>
    <row r="14178" spans="2:4" ht="13">
      <c r="B14178" s="12" t="str">
        <f ca="1">IFERROR(__xludf.DUMMYFUNCTION("""COMPUTED_VALUE"""),"")</f>
        <v/>
      </c>
      <c r="C14178" s="12" t="str">
        <f ca="1">IFERROR(__xludf.DUMMYFUNCTION("""COMPUTED_VALUE"""),"")</f>
        <v/>
      </c>
      <c r="D14178" s="12" t="str">
        <f ca="1">IFERROR(__xludf.DUMMYFUNCTION("""COMPUTED_VALUE"""),"")</f>
        <v/>
      </c>
    </row>
    <row r="14179" spans="2:4" ht="13">
      <c r="B14179" s="12" t="str">
        <f ca="1">IFERROR(__xludf.DUMMYFUNCTION("""COMPUTED_VALUE"""),"")</f>
        <v/>
      </c>
      <c r="C14179" s="12" t="str">
        <f ca="1">IFERROR(__xludf.DUMMYFUNCTION("""COMPUTED_VALUE"""),"")</f>
        <v/>
      </c>
      <c r="D14179" s="12" t="str">
        <f ca="1">IFERROR(__xludf.DUMMYFUNCTION("""COMPUTED_VALUE"""),"")</f>
        <v/>
      </c>
    </row>
    <row r="14180" spans="2:4" ht="13">
      <c r="B14180" s="12" t="str">
        <f ca="1">IFERROR(__xludf.DUMMYFUNCTION("""COMPUTED_VALUE"""),"")</f>
        <v/>
      </c>
      <c r="C14180" s="12" t="str">
        <f ca="1">IFERROR(__xludf.DUMMYFUNCTION("""COMPUTED_VALUE"""),"")</f>
        <v/>
      </c>
      <c r="D14180" s="12" t="str">
        <f ca="1">IFERROR(__xludf.DUMMYFUNCTION("""COMPUTED_VALUE"""),"")</f>
        <v/>
      </c>
    </row>
    <row r="14181" spans="2:4" ht="13">
      <c r="B14181" s="12" t="str">
        <f ca="1">IFERROR(__xludf.DUMMYFUNCTION("""COMPUTED_VALUE"""),"")</f>
        <v/>
      </c>
      <c r="C14181" s="12" t="str">
        <f ca="1">IFERROR(__xludf.DUMMYFUNCTION("""COMPUTED_VALUE"""),"")</f>
        <v/>
      </c>
      <c r="D14181" s="12" t="str">
        <f ca="1">IFERROR(__xludf.DUMMYFUNCTION("""COMPUTED_VALUE"""),"")</f>
        <v/>
      </c>
    </row>
    <row r="14182" spans="2:4" ht="13">
      <c r="B14182" s="12" t="str">
        <f ca="1">IFERROR(__xludf.DUMMYFUNCTION("""COMPUTED_VALUE"""),"")</f>
        <v/>
      </c>
      <c r="C14182" s="12" t="str">
        <f ca="1">IFERROR(__xludf.DUMMYFUNCTION("""COMPUTED_VALUE"""),"")</f>
        <v/>
      </c>
      <c r="D14182" s="12" t="str">
        <f ca="1">IFERROR(__xludf.DUMMYFUNCTION("""COMPUTED_VALUE"""),"")</f>
        <v/>
      </c>
    </row>
    <row r="14183" spans="2:4" ht="13">
      <c r="B14183" s="12" t="str">
        <f ca="1">IFERROR(__xludf.DUMMYFUNCTION("""COMPUTED_VALUE"""),"")</f>
        <v/>
      </c>
      <c r="C14183" s="12" t="str">
        <f ca="1">IFERROR(__xludf.DUMMYFUNCTION("""COMPUTED_VALUE"""),"")</f>
        <v/>
      </c>
      <c r="D14183" s="12" t="str">
        <f ca="1">IFERROR(__xludf.DUMMYFUNCTION("""COMPUTED_VALUE"""),"")</f>
        <v/>
      </c>
    </row>
    <row r="14184" spans="2:4" ht="13">
      <c r="B14184" s="12" t="str">
        <f ca="1">IFERROR(__xludf.DUMMYFUNCTION("""COMPUTED_VALUE"""),"")</f>
        <v/>
      </c>
      <c r="C14184" s="12" t="str">
        <f ca="1">IFERROR(__xludf.DUMMYFUNCTION("""COMPUTED_VALUE"""),"")</f>
        <v/>
      </c>
      <c r="D14184" s="12" t="str">
        <f ca="1">IFERROR(__xludf.DUMMYFUNCTION("""COMPUTED_VALUE"""),"")</f>
        <v/>
      </c>
    </row>
    <row r="14185" spans="2:4" ht="13">
      <c r="B14185" s="12" t="str">
        <f ca="1">IFERROR(__xludf.DUMMYFUNCTION("""COMPUTED_VALUE"""),"")</f>
        <v/>
      </c>
      <c r="C14185" s="12" t="str">
        <f ca="1">IFERROR(__xludf.DUMMYFUNCTION("""COMPUTED_VALUE"""),"")</f>
        <v/>
      </c>
      <c r="D14185" s="12" t="str">
        <f ca="1">IFERROR(__xludf.DUMMYFUNCTION("""COMPUTED_VALUE"""),"")</f>
        <v/>
      </c>
    </row>
    <row r="14186" spans="2:4" ht="13">
      <c r="B14186" s="12" t="str">
        <f ca="1">IFERROR(__xludf.DUMMYFUNCTION("""COMPUTED_VALUE"""),"")</f>
        <v/>
      </c>
      <c r="C14186" s="12" t="str">
        <f ca="1">IFERROR(__xludf.DUMMYFUNCTION("""COMPUTED_VALUE"""),"")</f>
        <v/>
      </c>
      <c r="D14186" s="12" t="str">
        <f ca="1">IFERROR(__xludf.DUMMYFUNCTION("""COMPUTED_VALUE"""),"")</f>
        <v/>
      </c>
    </row>
    <row r="14187" spans="2:4" ht="13">
      <c r="B14187" s="12" t="str">
        <f ca="1">IFERROR(__xludf.DUMMYFUNCTION("""COMPUTED_VALUE"""),"")</f>
        <v/>
      </c>
      <c r="C14187" s="12" t="str">
        <f ca="1">IFERROR(__xludf.DUMMYFUNCTION("""COMPUTED_VALUE"""),"")</f>
        <v/>
      </c>
      <c r="D14187" s="12" t="str">
        <f ca="1">IFERROR(__xludf.DUMMYFUNCTION("""COMPUTED_VALUE"""),"")</f>
        <v/>
      </c>
    </row>
    <row r="14188" spans="2:4" ht="13">
      <c r="B14188" s="12" t="str">
        <f ca="1">IFERROR(__xludf.DUMMYFUNCTION("""COMPUTED_VALUE"""),"")</f>
        <v/>
      </c>
      <c r="C14188" s="12" t="str">
        <f ca="1">IFERROR(__xludf.DUMMYFUNCTION("""COMPUTED_VALUE"""),"")</f>
        <v/>
      </c>
      <c r="D14188" s="12" t="str">
        <f ca="1">IFERROR(__xludf.DUMMYFUNCTION("""COMPUTED_VALUE"""),"")</f>
        <v/>
      </c>
    </row>
    <row r="14189" spans="2:4" ht="13">
      <c r="B14189" s="12" t="str">
        <f ca="1">IFERROR(__xludf.DUMMYFUNCTION("""COMPUTED_VALUE"""),"")</f>
        <v/>
      </c>
      <c r="C14189" s="12" t="str">
        <f ca="1">IFERROR(__xludf.DUMMYFUNCTION("""COMPUTED_VALUE"""),"")</f>
        <v/>
      </c>
      <c r="D14189" s="12" t="str">
        <f ca="1">IFERROR(__xludf.DUMMYFUNCTION("""COMPUTED_VALUE"""),"")</f>
        <v/>
      </c>
    </row>
    <row r="14190" spans="2:4" ht="13">
      <c r="B14190" s="12" t="str">
        <f ca="1">IFERROR(__xludf.DUMMYFUNCTION("""COMPUTED_VALUE"""),"")</f>
        <v/>
      </c>
      <c r="C14190" s="12" t="str">
        <f ca="1">IFERROR(__xludf.DUMMYFUNCTION("""COMPUTED_VALUE"""),"")</f>
        <v/>
      </c>
      <c r="D14190" s="12" t="str">
        <f ca="1">IFERROR(__xludf.DUMMYFUNCTION("""COMPUTED_VALUE"""),"")</f>
        <v/>
      </c>
    </row>
    <row r="14191" spans="2:4" ht="13">
      <c r="B14191" s="12" t="str">
        <f ca="1">IFERROR(__xludf.DUMMYFUNCTION("""COMPUTED_VALUE"""),"")</f>
        <v/>
      </c>
      <c r="C14191" s="12" t="str">
        <f ca="1">IFERROR(__xludf.DUMMYFUNCTION("""COMPUTED_VALUE"""),"")</f>
        <v/>
      </c>
      <c r="D14191" s="12" t="str">
        <f ca="1">IFERROR(__xludf.DUMMYFUNCTION("""COMPUTED_VALUE"""),"")</f>
        <v/>
      </c>
    </row>
    <row r="14192" spans="2:4" ht="13">
      <c r="B14192" s="12" t="str">
        <f ca="1">IFERROR(__xludf.DUMMYFUNCTION("""COMPUTED_VALUE"""),"")</f>
        <v/>
      </c>
      <c r="C14192" s="12" t="str">
        <f ca="1">IFERROR(__xludf.DUMMYFUNCTION("""COMPUTED_VALUE"""),"")</f>
        <v/>
      </c>
      <c r="D14192" s="12" t="str">
        <f ca="1">IFERROR(__xludf.DUMMYFUNCTION("""COMPUTED_VALUE"""),"")</f>
        <v/>
      </c>
    </row>
    <row r="14193" spans="2:4" ht="13">
      <c r="B14193" s="12" t="str">
        <f ca="1">IFERROR(__xludf.DUMMYFUNCTION("""COMPUTED_VALUE"""),"")</f>
        <v/>
      </c>
      <c r="C14193" s="12" t="str">
        <f ca="1">IFERROR(__xludf.DUMMYFUNCTION("""COMPUTED_VALUE"""),"")</f>
        <v/>
      </c>
      <c r="D14193" s="12" t="str">
        <f ca="1">IFERROR(__xludf.DUMMYFUNCTION("""COMPUTED_VALUE"""),"")</f>
        <v/>
      </c>
    </row>
    <row r="14194" spans="2:4" ht="13">
      <c r="B14194" s="12" t="str">
        <f ca="1">IFERROR(__xludf.DUMMYFUNCTION("""COMPUTED_VALUE"""),"")</f>
        <v/>
      </c>
      <c r="C14194" s="12" t="str">
        <f ca="1">IFERROR(__xludf.DUMMYFUNCTION("""COMPUTED_VALUE"""),"")</f>
        <v/>
      </c>
      <c r="D14194" s="12" t="str">
        <f ca="1">IFERROR(__xludf.DUMMYFUNCTION("""COMPUTED_VALUE"""),"")</f>
        <v/>
      </c>
    </row>
    <row r="14195" spans="2:4" ht="13">
      <c r="B14195" s="12" t="str">
        <f ca="1">IFERROR(__xludf.DUMMYFUNCTION("""COMPUTED_VALUE"""),"")</f>
        <v/>
      </c>
      <c r="C14195" s="12" t="str">
        <f ca="1">IFERROR(__xludf.DUMMYFUNCTION("""COMPUTED_VALUE"""),"")</f>
        <v/>
      </c>
      <c r="D14195" s="12" t="str">
        <f ca="1">IFERROR(__xludf.DUMMYFUNCTION("""COMPUTED_VALUE"""),"")</f>
        <v/>
      </c>
    </row>
    <row r="14196" spans="2:4" ht="13">
      <c r="B14196" s="12" t="str">
        <f ca="1">IFERROR(__xludf.DUMMYFUNCTION("""COMPUTED_VALUE"""),"")</f>
        <v/>
      </c>
      <c r="C14196" s="12" t="str">
        <f ca="1">IFERROR(__xludf.DUMMYFUNCTION("""COMPUTED_VALUE"""),"")</f>
        <v/>
      </c>
      <c r="D14196" s="12" t="str">
        <f ca="1">IFERROR(__xludf.DUMMYFUNCTION("""COMPUTED_VALUE"""),"")</f>
        <v/>
      </c>
    </row>
    <row r="14197" spans="2:4" ht="13">
      <c r="B14197" s="12" t="str">
        <f ca="1">IFERROR(__xludf.DUMMYFUNCTION("""COMPUTED_VALUE"""),"")</f>
        <v/>
      </c>
      <c r="C14197" s="12" t="str">
        <f ca="1">IFERROR(__xludf.DUMMYFUNCTION("""COMPUTED_VALUE"""),"")</f>
        <v/>
      </c>
      <c r="D14197" s="12" t="str">
        <f ca="1">IFERROR(__xludf.DUMMYFUNCTION("""COMPUTED_VALUE"""),"")</f>
        <v/>
      </c>
    </row>
    <row r="14198" spans="2:4" ht="13">
      <c r="B14198" s="12" t="str">
        <f ca="1">IFERROR(__xludf.DUMMYFUNCTION("""COMPUTED_VALUE"""),"")</f>
        <v/>
      </c>
      <c r="C14198" s="12" t="str">
        <f ca="1">IFERROR(__xludf.DUMMYFUNCTION("""COMPUTED_VALUE"""),"")</f>
        <v/>
      </c>
      <c r="D14198" s="12" t="str">
        <f ca="1">IFERROR(__xludf.DUMMYFUNCTION("""COMPUTED_VALUE"""),"")</f>
        <v/>
      </c>
    </row>
    <row r="14199" spans="2:4" ht="13">
      <c r="B14199" s="12" t="str">
        <f ca="1">IFERROR(__xludf.DUMMYFUNCTION("""COMPUTED_VALUE"""),"")</f>
        <v/>
      </c>
      <c r="C14199" s="12" t="str">
        <f ca="1">IFERROR(__xludf.DUMMYFUNCTION("""COMPUTED_VALUE"""),"")</f>
        <v/>
      </c>
      <c r="D14199" s="12" t="str">
        <f ca="1">IFERROR(__xludf.DUMMYFUNCTION("""COMPUTED_VALUE"""),"")</f>
        <v/>
      </c>
    </row>
    <row r="14200" spans="2:4" ht="13">
      <c r="B14200" s="12" t="str">
        <f ca="1">IFERROR(__xludf.DUMMYFUNCTION("""COMPUTED_VALUE"""),"")</f>
        <v/>
      </c>
      <c r="C14200" s="12" t="str">
        <f ca="1">IFERROR(__xludf.DUMMYFUNCTION("""COMPUTED_VALUE"""),"")</f>
        <v/>
      </c>
      <c r="D14200" s="12" t="str">
        <f ca="1">IFERROR(__xludf.DUMMYFUNCTION("""COMPUTED_VALUE"""),"")</f>
        <v/>
      </c>
    </row>
    <row r="14201" spans="2:4" ht="13">
      <c r="B14201" s="12" t="str">
        <f ca="1">IFERROR(__xludf.DUMMYFUNCTION("""COMPUTED_VALUE"""),"")</f>
        <v/>
      </c>
      <c r="C14201" s="12" t="str">
        <f ca="1">IFERROR(__xludf.DUMMYFUNCTION("""COMPUTED_VALUE"""),"")</f>
        <v/>
      </c>
      <c r="D14201" s="12" t="str">
        <f ca="1">IFERROR(__xludf.DUMMYFUNCTION("""COMPUTED_VALUE"""),"")</f>
        <v/>
      </c>
    </row>
    <row r="14202" spans="2:4" ht="13">
      <c r="B14202" s="12" t="str">
        <f ca="1">IFERROR(__xludf.DUMMYFUNCTION("""COMPUTED_VALUE"""),"")</f>
        <v/>
      </c>
      <c r="C14202" s="12" t="str">
        <f ca="1">IFERROR(__xludf.DUMMYFUNCTION("""COMPUTED_VALUE"""),"")</f>
        <v/>
      </c>
      <c r="D14202" s="12" t="str">
        <f ca="1">IFERROR(__xludf.DUMMYFUNCTION("""COMPUTED_VALUE"""),"")</f>
        <v/>
      </c>
    </row>
    <row r="14203" spans="2:4" ht="13">
      <c r="B14203" s="12" t="str">
        <f ca="1">IFERROR(__xludf.DUMMYFUNCTION("""COMPUTED_VALUE"""),"")</f>
        <v/>
      </c>
      <c r="C14203" s="12" t="str">
        <f ca="1">IFERROR(__xludf.DUMMYFUNCTION("""COMPUTED_VALUE"""),"")</f>
        <v/>
      </c>
      <c r="D14203" s="12" t="str">
        <f ca="1">IFERROR(__xludf.DUMMYFUNCTION("""COMPUTED_VALUE"""),"")</f>
        <v/>
      </c>
    </row>
    <row r="14204" spans="2:4" ht="13">
      <c r="B14204" s="12" t="str">
        <f ca="1">IFERROR(__xludf.DUMMYFUNCTION("""COMPUTED_VALUE"""),"")</f>
        <v/>
      </c>
      <c r="C14204" s="12" t="str">
        <f ca="1">IFERROR(__xludf.DUMMYFUNCTION("""COMPUTED_VALUE"""),"")</f>
        <v/>
      </c>
      <c r="D14204" s="12" t="str">
        <f ca="1">IFERROR(__xludf.DUMMYFUNCTION("""COMPUTED_VALUE"""),"")</f>
        <v/>
      </c>
    </row>
    <row r="14205" spans="2:4" ht="13">
      <c r="B14205" s="12" t="str">
        <f ca="1">IFERROR(__xludf.DUMMYFUNCTION("""COMPUTED_VALUE"""),"")</f>
        <v/>
      </c>
      <c r="C14205" s="12" t="str">
        <f ca="1">IFERROR(__xludf.DUMMYFUNCTION("""COMPUTED_VALUE"""),"")</f>
        <v/>
      </c>
      <c r="D14205" s="12" t="str">
        <f ca="1">IFERROR(__xludf.DUMMYFUNCTION("""COMPUTED_VALUE"""),"")</f>
        <v/>
      </c>
    </row>
    <row r="14206" spans="2:4" ht="13">
      <c r="B14206" s="12" t="str">
        <f ca="1">IFERROR(__xludf.DUMMYFUNCTION("""COMPUTED_VALUE"""),"")</f>
        <v/>
      </c>
      <c r="C14206" s="12" t="str">
        <f ca="1">IFERROR(__xludf.DUMMYFUNCTION("""COMPUTED_VALUE"""),"")</f>
        <v/>
      </c>
      <c r="D14206" s="12" t="str">
        <f ca="1">IFERROR(__xludf.DUMMYFUNCTION("""COMPUTED_VALUE"""),"")</f>
        <v/>
      </c>
    </row>
    <row r="14207" spans="2:4" ht="13">
      <c r="B14207" s="12" t="str">
        <f ca="1">IFERROR(__xludf.DUMMYFUNCTION("""COMPUTED_VALUE"""),"")</f>
        <v/>
      </c>
      <c r="C14207" s="12" t="str">
        <f ca="1">IFERROR(__xludf.DUMMYFUNCTION("""COMPUTED_VALUE"""),"")</f>
        <v/>
      </c>
      <c r="D14207" s="12" t="str">
        <f ca="1">IFERROR(__xludf.DUMMYFUNCTION("""COMPUTED_VALUE"""),"")</f>
        <v/>
      </c>
    </row>
    <row r="14208" spans="2:4" ht="13">
      <c r="B14208" s="12" t="str">
        <f ca="1">IFERROR(__xludf.DUMMYFUNCTION("""COMPUTED_VALUE"""),"")</f>
        <v/>
      </c>
      <c r="C14208" s="12" t="str">
        <f ca="1">IFERROR(__xludf.DUMMYFUNCTION("""COMPUTED_VALUE"""),"")</f>
        <v/>
      </c>
      <c r="D14208" s="12" t="str">
        <f ca="1">IFERROR(__xludf.DUMMYFUNCTION("""COMPUTED_VALUE"""),"")</f>
        <v/>
      </c>
    </row>
    <row r="14209" spans="2:4" ht="13">
      <c r="B14209" s="12" t="str">
        <f ca="1">IFERROR(__xludf.DUMMYFUNCTION("""COMPUTED_VALUE"""),"")</f>
        <v/>
      </c>
      <c r="C14209" s="12" t="str">
        <f ca="1">IFERROR(__xludf.DUMMYFUNCTION("""COMPUTED_VALUE"""),"")</f>
        <v/>
      </c>
      <c r="D14209" s="12" t="str">
        <f ca="1">IFERROR(__xludf.DUMMYFUNCTION("""COMPUTED_VALUE"""),"")</f>
        <v/>
      </c>
    </row>
    <row r="14210" spans="2:4" ht="13">
      <c r="B14210" s="12" t="str">
        <f ca="1">IFERROR(__xludf.DUMMYFUNCTION("""COMPUTED_VALUE"""),"")</f>
        <v/>
      </c>
      <c r="C14210" s="12" t="str">
        <f ca="1">IFERROR(__xludf.DUMMYFUNCTION("""COMPUTED_VALUE"""),"")</f>
        <v/>
      </c>
      <c r="D14210" s="12" t="str">
        <f ca="1">IFERROR(__xludf.DUMMYFUNCTION("""COMPUTED_VALUE"""),"")</f>
        <v/>
      </c>
    </row>
    <row r="14211" spans="2:4" ht="13">
      <c r="B14211" s="12" t="str">
        <f ca="1">IFERROR(__xludf.DUMMYFUNCTION("""COMPUTED_VALUE"""),"")</f>
        <v/>
      </c>
      <c r="C14211" s="12" t="str">
        <f ca="1">IFERROR(__xludf.DUMMYFUNCTION("""COMPUTED_VALUE"""),"")</f>
        <v/>
      </c>
      <c r="D14211" s="12" t="str">
        <f ca="1">IFERROR(__xludf.DUMMYFUNCTION("""COMPUTED_VALUE"""),"")</f>
        <v/>
      </c>
    </row>
    <row r="14212" spans="2:4" ht="13">
      <c r="B14212" s="12" t="str">
        <f ca="1">IFERROR(__xludf.DUMMYFUNCTION("""COMPUTED_VALUE"""),"")</f>
        <v/>
      </c>
      <c r="C14212" s="12" t="str">
        <f ca="1">IFERROR(__xludf.DUMMYFUNCTION("""COMPUTED_VALUE"""),"")</f>
        <v/>
      </c>
      <c r="D14212" s="12" t="str">
        <f ca="1">IFERROR(__xludf.DUMMYFUNCTION("""COMPUTED_VALUE"""),"")</f>
        <v/>
      </c>
    </row>
    <row r="14213" spans="2:4" ht="13">
      <c r="B14213" s="12" t="str">
        <f ca="1">IFERROR(__xludf.DUMMYFUNCTION("""COMPUTED_VALUE"""),"")</f>
        <v/>
      </c>
      <c r="C14213" s="12" t="str">
        <f ca="1">IFERROR(__xludf.DUMMYFUNCTION("""COMPUTED_VALUE"""),"")</f>
        <v/>
      </c>
      <c r="D14213" s="12" t="str">
        <f ca="1">IFERROR(__xludf.DUMMYFUNCTION("""COMPUTED_VALUE"""),"")</f>
        <v/>
      </c>
    </row>
    <row r="14214" spans="2:4" ht="13">
      <c r="B14214" s="12" t="str">
        <f ca="1">IFERROR(__xludf.DUMMYFUNCTION("""COMPUTED_VALUE"""),"")</f>
        <v/>
      </c>
      <c r="C14214" s="12" t="str">
        <f ca="1">IFERROR(__xludf.DUMMYFUNCTION("""COMPUTED_VALUE"""),"")</f>
        <v/>
      </c>
      <c r="D14214" s="12" t="str">
        <f ca="1">IFERROR(__xludf.DUMMYFUNCTION("""COMPUTED_VALUE"""),"")</f>
        <v/>
      </c>
    </row>
    <row r="14215" spans="2:4" ht="13">
      <c r="B14215" s="12" t="str">
        <f ca="1">IFERROR(__xludf.DUMMYFUNCTION("""COMPUTED_VALUE"""),"")</f>
        <v/>
      </c>
      <c r="C14215" s="12" t="str">
        <f ca="1">IFERROR(__xludf.DUMMYFUNCTION("""COMPUTED_VALUE"""),"")</f>
        <v/>
      </c>
      <c r="D14215" s="12" t="str">
        <f ca="1">IFERROR(__xludf.DUMMYFUNCTION("""COMPUTED_VALUE"""),"")</f>
        <v/>
      </c>
    </row>
    <row r="14216" spans="2:4" ht="13">
      <c r="B14216" s="12" t="str">
        <f ca="1">IFERROR(__xludf.DUMMYFUNCTION("""COMPUTED_VALUE"""),"")</f>
        <v/>
      </c>
      <c r="C14216" s="12" t="str">
        <f ca="1">IFERROR(__xludf.DUMMYFUNCTION("""COMPUTED_VALUE"""),"")</f>
        <v/>
      </c>
      <c r="D14216" s="12" t="str">
        <f ca="1">IFERROR(__xludf.DUMMYFUNCTION("""COMPUTED_VALUE"""),"")</f>
        <v/>
      </c>
    </row>
    <row r="14217" spans="2:4" ht="13">
      <c r="B14217" s="12" t="str">
        <f ca="1">IFERROR(__xludf.DUMMYFUNCTION("""COMPUTED_VALUE"""),"")</f>
        <v/>
      </c>
      <c r="C14217" s="12" t="str">
        <f ca="1">IFERROR(__xludf.DUMMYFUNCTION("""COMPUTED_VALUE"""),"")</f>
        <v/>
      </c>
      <c r="D14217" s="12" t="str">
        <f ca="1">IFERROR(__xludf.DUMMYFUNCTION("""COMPUTED_VALUE"""),"")</f>
        <v/>
      </c>
    </row>
    <row r="14218" spans="2:4" ht="13">
      <c r="B14218" s="12" t="str">
        <f ca="1">IFERROR(__xludf.DUMMYFUNCTION("""COMPUTED_VALUE"""),"")</f>
        <v/>
      </c>
      <c r="C14218" s="12" t="str">
        <f ca="1">IFERROR(__xludf.DUMMYFUNCTION("""COMPUTED_VALUE"""),"")</f>
        <v/>
      </c>
      <c r="D14218" s="12" t="str">
        <f ca="1">IFERROR(__xludf.DUMMYFUNCTION("""COMPUTED_VALUE"""),"")</f>
        <v/>
      </c>
    </row>
    <row r="14219" spans="2:4" ht="13">
      <c r="B14219" s="12" t="str">
        <f ca="1">IFERROR(__xludf.DUMMYFUNCTION("""COMPUTED_VALUE"""),"")</f>
        <v/>
      </c>
      <c r="C14219" s="12" t="str">
        <f ca="1">IFERROR(__xludf.DUMMYFUNCTION("""COMPUTED_VALUE"""),"")</f>
        <v/>
      </c>
      <c r="D14219" s="12" t="str">
        <f ca="1">IFERROR(__xludf.DUMMYFUNCTION("""COMPUTED_VALUE"""),"")</f>
        <v/>
      </c>
    </row>
    <row r="14220" spans="2:4" ht="13">
      <c r="B14220" s="12" t="str">
        <f ca="1">IFERROR(__xludf.DUMMYFUNCTION("""COMPUTED_VALUE"""),"")</f>
        <v/>
      </c>
      <c r="C14220" s="12" t="str">
        <f ca="1">IFERROR(__xludf.DUMMYFUNCTION("""COMPUTED_VALUE"""),"")</f>
        <v/>
      </c>
      <c r="D14220" s="12" t="str">
        <f ca="1">IFERROR(__xludf.DUMMYFUNCTION("""COMPUTED_VALUE"""),"")</f>
        <v/>
      </c>
    </row>
    <row r="14221" spans="2:4" ht="13">
      <c r="B14221" s="12" t="str">
        <f ca="1">IFERROR(__xludf.DUMMYFUNCTION("""COMPUTED_VALUE"""),"")</f>
        <v/>
      </c>
      <c r="C14221" s="12" t="str">
        <f ca="1">IFERROR(__xludf.DUMMYFUNCTION("""COMPUTED_VALUE"""),"")</f>
        <v/>
      </c>
      <c r="D14221" s="12" t="str">
        <f ca="1">IFERROR(__xludf.DUMMYFUNCTION("""COMPUTED_VALUE"""),"")</f>
        <v/>
      </c>
    </row>
    <row r="14222" spans="2:4" ht="13">
      <c r="B14222" s="12" t="str">
        <f ca="1">IFERROR(__xludf.DUMMYFUNCTION("""COMPUTED_VALUE"""),"")</f>
        <v/>
      </c>
      <c r="C14222" s="12" t="str">
        <f ca="1">IFERROR(__xludf.DUMMYFUNCTION("""COMPUTED_VALUE"""),"")</f>
        <v/>
      </c>
      <c r="D14222" s="12" t="str">
        <f ca="1">IFERROR(__xludf.DUMMYFUNCTION("""COMPUTED_VALUE"""),"")</f>
        <v/>
      </c>
    </row>
    <row r="14223" spans="2:4" ht="13">
      <c r="B14223" s="12" t="str">
        <f ca="1">IFERROR(__xludf.DUMMYFUNCTION("""COMPUTED_VALUE"""),"")</f>
        <v/>
      </c>
      <c r="C14223" s="12" t="str">
        <f ca="1">IFERROR(__xludf.DUMMYFUNCTION("""COMPUTED_VALUE"""),"")</f>
        <v/>
      </c>
      <c r="D14223" s="12" t="str">
        <f ca="1">IFERROR(__xludf.DUMMYFUNCTION("""COMPUTED_VALUE"""),"")</f>
        <v/>
      </c>
    </row>
    <row r="14224" spans="2:4" ht="13">
      <c r="B14224" s="12" t="str">
        <f ca="1">IFERROR(__xludf.DUMMYFUNCTION("""COMPUTED_VALUE"""),"")</f>
        <v/>
      </c>
      <c r="C14224" s="12" t="str">
        <f ca="1">IFERROR(__xludf.DUMMYFUNCTION("""COMPUTED_VALUE"""),"")</f>
        <v/>
      </c>
      <c r="D14224" s="12" t="str">
        <f ca="1">IFERROR(__xludf.DUMMYFUNCTION("""COMPUTED_VALUE"""),"")</f>
        <v/>
      </c>
    </row>
    <row r="14225" spans="2:4" ht="13">
      <c r="B14225" s="12" t="str">
        <f ca="1">IFERROR(__xludf.DUMMYFUNCTION("""COMPUTED_VALUE"""),"")</f>
        <v/>
      </c>
      <c r="C14225" s="12" t="str">
        <f ca="1">IFERROR(__xludf.DUMMYFUNCTION("""COMPUTED_VALUE"""),"")</f>
        <v/>
      </c>
      <c r="D14225" s="12" t="str">
        <f ca="1">IFERROR(__xludf.DUMMYFUNCTION("""COMPUTED_VALUE"""),"")</f>
        <v/>
      </c>
    </row>
    <row r="14226" spans="2:4" ht="13">
      <c r="B14226" s="12" t="str">
        <f ca="1">IFERROR(__xludf.DUMMYFUNCTION("""COMPUTED_VALUE"""),"")</f>
        <v/>
      </c>
      <c r="C14226" s="12" t="str">
        <f ca="1">IFERROR(__xludf.DUMMYFUNCTION("""COMPUTED_VALUE"""),"")</f>
        <v/>
      </c>
      <c r="D14226" s="12" t="str">
        <f ca="1">IFERROR(__xludf.DUMMYFUNCTION("""COMPUTED_VALUE"""),"")</f>
        <v/>
      </c>
    </row>
    <row r="14227" spans="2:4" ht="13">
      <c r="B14227" s="12" t="str">
        <f ca="1">IFERROR(__xludf.DUMMYFUNCTION("""COMPUTED_VALUE"""),"")</f>
        <v/>
      </c>
      <c r="C14227" s="12" t="str">
        <f ca="1">IFERROR(__xludf.DUMMYFUNCTION("""COMPUTED_VALUE"""),"")</f>
        <v/>
      </c>
      <c r="D14227" s="12" t="str">
        <f ca="1">IFERROR(__xludf.DUMMYFUNCTION("""COMPUTED_VALUE"""),"")</f>
        <v/>
      </c>
    </row>
    <row r="14228" spans="2:4" ht="13">
      <c r="B14228" s="12" t="str">
        <f ca="1">IFERROR(__xludf.DUMMYFUNCTION("""COMPUTED_VALUE"""),"")</f>
        <v/>
      </c>
      <c r="C14228" s="12" t="str">
        <f ca="1">IFERROR(__xludf.DUMMYFUNCTION("""COMPUTED_VALUE"""),"")</f>
        <v/>
      </c>
      <c r="D14228" s="12" t="str">
        <f ca="1">IFERROR(__xludf.DUMMYFUNCTION("""COMPUTED_VALUE"""),"")</f>
        <v/>
      </c>
    </row>
    <row r="14229" spans="2:4" ht="13">
      <c r="B14229" s="12" t="str">
        <f ca="1">IFERROR(__xludf.DUMMYFUNCTION("""COMPUTED_VALUE"""),"")</f>
        <v/>
      </c>
      <c r="C14229" s="12" t="str">
        <f ca="1">IFERROR(__xludf.DUMMYFUNCTION("""COMPUTED_VALUE"""),"")</f>
        <v/>
      </c>
      <c r="D14229" s="12" t="str">
        <f ca="1">IFERROR(__xludf.DUMMYFUNCTION("""COMPUTED_VALUE"""),"")</f>
        <v/>
      </c>
    </row>
    <row r="14230" spans="2:4" ht="13">
      <c r="B14230" s="12" t="str">
        <f ca="1">IFERROR(__xludf.DUMMYFUNCTION("""COMPUTED_VALUE"""),"")</f>
        <v/>
      </c>
      <c r="C14230" s="12" t="str">
        <f ca="1">IFERROR(__xludf.DUMMYFUNCTION("""COMPUTED_VALUE"""),"")</f>
        <v/>
      </c>
      <c r="D14230" s="12" t="str">
        <f ca="1">IFERROR(__xludf.DUMMYFUNCTION("""COMPUTED_VALUE"""),"")</f>
        <v/>
      </c>
    </row>
    <row r="14231" spans="2:4" ht="13">
      <c r="B14231" s="12" t="str">
        <f ca="1">IFERROR(__xludf.DUMMYFUNCTION("""COMPUTED_VALUE"""),"")</f>
        <v/>
      </c>
      <c r="C14231" s="12" t="str">
        <f ca="1">IFERROR(__xludf.DUMMYFUNCTION("""COMPUTED_VALUE"""),"")</f>
        <v/>
      </c>
      <c r="D14231" s="12" t="str">
        <f ca="1">IFERROR(__xludf.DUMMYFUNCTION("""COMPUTED_VALUE"""),"")</f>
        <v/>
      </c>
    </row>
    <row r="14232" spans="2:4" ht="13">
      <c r="B14232" s="12" t="str">
        <f ca="1">IFERROR(__xludf.DUMMYFUNCTION("""COMPUTED_VALUE"""),"")</f>
        <v/>
      </c>
      <c r="C14232" s="12" t="str">
        <f ca="1">IFERROR(__xludf.DUMMYFUNCTION("""COMPUTED_VALUE"""),"")</f>
        <v/>
      </c>
      <c r="D14232" s="12" t="str">
        <f ca="1">IFERROR(__xludf.DUMMYFUNCTION("""COMPUTED_VALUE"""),"")</f>
        <v/>
      </c>
    </row>
    <row r="14233" spans="2:4" ht="13">
      <c r="B14233" s="12" t="str">
        <f ca="1">IFERROR(__xludf.DUMMYFUNCTION("""COMPUTED_VALUE"""),"")</f>
        <v/>
      </c>
      <c r="C14233" s="12" t="str">
        <f ca="1">IFERROR(__xludf.DUMMYFUNCTION("""COMPUTED_VALUE"""),"")</f>
        <v/>
      </c>
      <c r="D14233" s="12" t="str">
        <f ca="1">IFERROR(__xludf.DUMMYFUNCTION("""COMPUTED_VALUE"""),"")</f>
        <v/>
      </c>
    </row>
    <row r="14234" spans="2:4" ht="13">
      <c r="B14234" s="12" t="str">
        <f ca="1">IFERROR(__xludf.DUMMYFUNCTION("""COMPUTED_VALUE"""),"")</f>
        <v/>
      </c>
      <c r="C14234" s="12" t="str">
        <f ca="1">IFERROR(__xludf.DUMMYFUNCTION("""COMPUTED_VALUE"""),"")</f>
        <v/>
      </c>
      <c r="D14234" s="12" t="str">
        <f ca="1">IFERROR(__xludf.DUMMYFUNCTION("""COMPUTED_VALUE"""),"")</f>
        <v/>
      </c>
    </row>
    <row r="14235" spans="2:4" ht="13">
      <c r="B14235" s="12" t="str">
        <f ca="1">IFERROR(__xludf.DUMMYFUNCTION("""COMPUTED_VALUE"""),"")</f>
        <v/>
      </c>
      <c r="C14235" s="12" t="str">
        <f ca="1">IFERROR(__xludf.DUMMYFUNCTION("""COMPUTED_VALUE"""),"")</f>
        <v/>
      </c>
      <c r="D14235" s="12" t="str">
        <f ca="1">IFERROR(__xludf.DUMMYFUNCTION("""COMPUTED_VALUE"""),"")</f>
        <v/>
      </c>
    </row>
    <row r="14236" spans="2:4" ht="13">
      <c r="B14236" s="12" t="str">
        <f ca="1">IFERROR(__xludf.DUMMYFUNCTION("""COMPUTED_VALUE"""),"")</f>
        <v/>
      </c>
      <c r="C14236" s="12" t="str">
        <f ca="1">IFERROR(__xludf.DUMMYFUNCTION("""COMPUTED_VALUE"""),"")</f>
        <v/>
      </c>
      <c r="D14236" s="12" t="str">
        <f ca="1">IFERROR(__xludf.DUMMYFUNCTION("""COMPUTED_VALUE"""),"")</f>
        <v/>
      </c>
    </row>
    <row r="14237" spans="2:4" ht="13">
      <c r="B14237" s="12" t="str">
        <f ca="1">IFERROR(__xludf.DUMMYFUNCTION("""COMPUTED_VALUE"""),"")</f>
        <v/>
      </c>
      <c r="C14237" s="12" t="str">
        <f ca="1">IFERROR(__xludf.DUMMYFUNCTION("""COMPUTED_VALUE"""),"")</f>
        <v/>
      </c>
      <c r="D14237" s="12" t="str">
        <f ca="1">IFERROR(__xludf.DUMMYFUNCTION("""COMPUTED_VALUE"""),"")</f>
        <v/>
      </c>
    </row>
    <row r="14238" spans="2:4" ht="13">
      <c r="B14238" s="12" t="str">
        <f ca="1">IFERROR(__xludf.DUMMYFUNCTION("""COMPUTED_VALUE"""),"")</f>
        <v/>
      </c>
      <c r="C14238" s="12" t="str">
        <f ca="1">IFERROR(__xludf.DUMMYFUNCTION("""COMPUTED_VALUE"""),"")</f>
        <v/>
      </c>
      <c r="D14238" s="12" t="str">
        <f ca="1">IFERROR(__xludf.DUMMYFUNCTION("""COMPUTED_VALUE"""),"")</f>
        <v/>
      </c>
    </row>
    <row r="14239" spans="2:4" ht="13">
      <c r="B14239" s="12" t="str">
        <f ca="1">IFERROR(__xludf.DUMMYFUNCTION("""COMPUTED_VALUE"""),"")</f>
        <v/>
      </c>
      <c r="C14239" s="12" t="str">
        <f ca="1">IFERROR(__xludf.DUMMYFUNCTION("""COMPUTED_VALUE"""),"")</f>
        <v/>
      </c>
      <c r="D14239" s="12" t="str">
        <f ca="1">IFERROR(__xludf.DUMMYFUNCTION("""COMPUTED_VALUE"""),"")</f>
        <v/>
      </c>
    </row>
    <row r="14240" spans="2:4" ht="13">
      <c r="B14240" s="12" t="str">
        <f ca="1">IFERROR(__xludf.DUMMYFUNCTION("""COMPUTED_VALUE"""),"")</f>
        <v/>
      </c>
      <c r="C14240" s="12" t="str">
        <f ca="1">IFERROR(__xludf.DUMMYFUNCTION("""COMPUTED_VALUE"""),"")</f>
        <v/>
      </c>
      <c r="D14240" s="12" t="str">
        <f ca="1">IFERROR(__xludf.DUMMYFUNCTION("""COMPUTED_VALUE"""),"")</f>
        <v/>
      </c>
    </row>
    <row r="14241" spans="2:4" ht="13">
      <c r="B14241" s="12" t="str">
        <f ca="1">IFERROR(__xludf.DUMMYFUNCTION("""COMPUTED_VALUE"""),"")</f>
        <v/>
      </c>
      <c r="C14241" s="12" t="str">
        <f ca="1">IFERROR(__xludf.DUMMYFUNCTION("""COMPUTED_VALUE"""),"")</f>
        <v/>
      </c>
      <c r="D14241" s="12" t="str">
        <f ca="1">IFERROR(__xludf.DUMMYFUNCTION("""COMPUTED_VALUE"""),"")</f>
        <v/>
      </c>
    </row>
    <row r="14242" spans="2:4" ht="13">
      <c r="B14242" s="12" t="str">
        <f ca="1">IFERROR(__xludf.DUMMYFUNCTION("""COMPUTED_VALUE"""),"")</f>
        <v/>
      </c>
      <c r="C14242" s="12" t="str">
        <f ca="1">IFERROR(__xludf.DUMMYFUNCTION("""COMPUTED_VALUE"""),"")</f>
        <v/>
      </c>
      <c r="D14242" s="12" t="str">
        <f ca="1">IFERROR(__xludf.DUMMYFUNCTION("""COMPUTED_VALUE"""),"")</f>
        <v/>
      </c>
    </row>
    <row r="14243" spans="2:4" ht="13">
      <c r="B14243" s="12" t="str">
        <f ca="1">IFERROR(__xludf.DUMMYFUNCTION("""COMPUTED_VALUE"""),"")</f>
        <v/>
      </c>
      <c r="C14243" s="12" t="str">
        <f ca="1">IFERROR(__xludf.DUMMYFUNCTION("""COMPUTED_VALUE"""),"")</f>
        <v/>
      </c>
      <c r="D14243" s="12" t="str">
        <f ca="1">IFERROR(__xludf.DUMMYFUNCTION("""COMPUTED_VALUE"""),"")</f>
        <v/>
      </c>
    </row>
    <row r="14244" spans="2:4" ht="13">
      <c r="B14244" s="12" t="str">
        <f ca="1">IFERROR(__xludf.DUMMYFUNCTION("""COMPUTED_VALUE"""),"")</f>
        <v/>
      </c>
      <c r="C14244" s="12" t="str">
        <f ca="1">IFERROR(__xludf.DUMMYFUNCTION("""COMPUTED_VALUE"""),"")</f>
        <v/>
      </c>
      <c r="D14244" s="12" t="str">
        <f ca="1">IFERROR(__xludf.DUMMYFUNCTION("""COMPUTED_VALUE"""),"")</f>
        <v/>
      </c>
    </row>
    <row r="14245" spans="2:4" ht="13">
      <c r="B14245" s="12" t="str">
        <f ca="1">IFERROR(__xludf.DUMMYFUNCTION("""COMPUTED_VALUE"""),"")</f>
        <v/>
      </c>
      <c r="C14245" s="12" t="str">
        <f ca="1">IFERROR(__xludf.DUMMYFUNCTION("""COMPUTED_VALUE"""),"")</f>
        <v/>
      </c>
      <c r="D14245" s="12" t="str">
        <f ca="1">IFERROR(__xludf.DUMMYFUNCTION("""COMPUTED_VALUE"""),"")</f>
        <v/>
      </c>
    </row>
    <row r="14246" spans="2:4" ht="13">
      <c r="B14246" s="12" t="str">
        <f ca="1">IFERROR(__xludf.DUMMYFUNCTION("""COMPUTED_VALUE"""),"")</f>
        <v/>
      </c>
      <c r="C14246" s="12" t="str">
        <f ca="1">IFERROR(__xludf.DUMMYFUNCTION("""COMPUTED_VALUE"""),"")</f>
        <v/>
      </c>
      <c r="D14246" s="12" t="str">
        <f ca="1">IFERROR(__xludf.DUMMYFUNCTION("""COMPUTED_VALUE"""),"")</f>
        <v/>
      </c>
    </row>
    <row r="14247" spans="2:4" ht="13">
      <c r="B14247" s="12" t="str">
        <f ca="1">IFERROR(__xludf.DUMMYFUNCTION("""COMPUTED_VALUE"""),"")</f>
        <v/>
      </c>
      <c r="C14247" s="12" t="str">
        <f ca="1">IFERROR(__xludf.DUMMYFUNCTION("""COMPUTED_VALUE"""),"")</f>
        <v/>
      </c>
      <c r="D14247" s="12" t="str">
        <f ca="1">IFERROR(__xludf.DUMMYFUNCTION("""COMPUTED_VALUE"""),"")</f>
        <v/>
      </c>
    </row>
    <row r="14248" spans="2:4" ht="13">
      <c r="B14248" s="12" t="str">
        <f ca="1">IFERROR(__xludf.DUMMYFUNCTION("""COMPUTED_VALUE"""),"")</f>
        <v/>
      </c>
      <c r="C14248" s="12" t="str">
        <f ca="1">IFERROR(__xludf.DUMMYFUNCTION("""COMPUTED_VALUE"""),"")</f>
        <v/>
      </c>
      <c r="D14248" s="12" t="str">
        <f ca="1">IFERROR(__xludf.DUMMYFUNCTION("""COMPUTED_VALUE"""),"")</f>
        <v/>
      </c>
    </row>
    <row r="14249" spans="2:4" ht="13">
      <c r="B14249" s="12" t="str">
        <f ca="1">IFERROR(__xludf.DUMMYFUNCTION("""COMPUTED_VALUE"""),"")</f>
        <v/>
      </c>
      <c r="C14249" s="12" t="str">
        <f ca="1">IFERROR(__xludf.DUMMYFUNCTION("""COMPUTED_VALUE"""),"")</f>
        <v/>
      </c>
      <c r="D14249" s="12" t="str">
        <f ca="1">IFERROR(__xludf.DUMMYFUNCTION("""COMPUTED_VALUE"""),"")</f>
        <v/>
      </c>
    </row>
    <row r="14250" spans="2:4" ht="13">
      <c r="B14250" s="12" t="str">
        <f ca="1">IFERROR(__xludf.DUMMYFUNCTION("""COMPUTED_VALUE"""),"")</f>
        <v/>
      </c>
      <c r="C14250" s="12" t="str">
        <f ca="1">IFERROR(__xludf.DUMMYFUNCTION("""COMPUTED_VALUE"""),"")</f>
        <v/>
      </c>
      <c r="D14250" s="12" t="str">
        <f ca="1">IFERROR(__xludf.DUMMYFUNCTION("""COMPUTED_VALUE"""),"")</f>
        <v/>
      </c>
    </row>
    <row r="14251" spans="2:4" ht="13">
      <c r="B14251" s="12" t="str">
        <f ca="1">IFERROR(__xludf.DUMMYFUNCTION("""COMPUTED_VALUE"""),"")</f>
        <v/>
      </c>
      <c r="C14251" s="12" t="str">
        <f ca="1">IFERROR(__xludf.DUMMYFUNCTION("""COMPUTED_VALUE"""),"")</f>
        <v/>
      </c>
      <c r="D14251" s="12" t="str">
        <f ca="1">IFERROR(__xludf.DUMMYFUNCTION("""COMPUTED_VALUE"""),"")</f>
        <v/>
      </c>
    </row>
    <row r="14252" spans="2:4" ht="13">
      <c r="B14252" s="12" t="str">
        <f ca="1">IFERROR(__xludf.DUMMYFUNCTION("""COMPUTED_VALUE"""),"")</f>
        <v/>
      </c>
      <c r="C14252" s="12" t="str">
        <f ca="1">IFERROR(__xludf.DUMMYFUNCTION("""COMPUTED_VALUE"""),"")</f>
        <v/>
      </c>
      <c r="D14252" s="12" t="str">
        <f ca="1">IFERROR(__xludf.DUMMYFUNCTION("""COMPUTED_VALUE"""),"")</f>
        <v/>
      </c>
    </row>
    <row r="14253" spans="2:4" ht="13">
      <c r="B14253" s="12" t="str">
        <f ca="1">IFERROR(__xludf.DUMMYFUNCTION("""COMPUTED_VALUE"""),"")</f>
        <v/>
      </c>
      <c r="C14253" s="12" t="str">
        <f ca="1">IFERROR(__xludf.DUMMYFUNCTION("""COMPUTED_VALUE"""),"")</f>
        <v/>
      </c>
      <c r="D14253" s="12" t="str">
        <f ca="1">IFERROR(__xludf.DUMMYFUNCTION("""COMPUTED_VALUE"""),"")</f>
        <v/>
      </c>
    </row>
    <row r="14254" spans="2:4" ht="13">
      <c r="B14254" s="12" t="str">
        <f ca="1">IFERROR(__xludf.DUMMYFUNCTION("""COMPUTED_VALUE"""),"")</f>
        <v/>
      </c>
      <c r="C14254" s="12" t="str">
        <f ca="1">IFERROR(__xludf.DUMMYFUNCTION("""COMPUTED_VALUE"""),"")</f>
        <v/>
      </c>
      <c r="D14254" s="12" t="str">
        <f ca="1">IFERROR(__xludf.DUMMYFUNCTION("""COMPUTED_VALUE"""),"")</f>
        <v/>
      </c>
    </row>
    <row r="14255" spans="2:4" ht="13">
      <c r="B14255" s="12" t="str">
        <f ca="1">IFERROR(__xludf.DUMMYFUNCTION("""COMPUTED_VALUE"""),"")</f>
        <v/>
      </c>
      <c r="C14255" s="12" t="str">
        <f ca="1">IFERROR(__xludf.DUMMYFUNCTION("""COMPUTED_VALUE"""),"")</f>
        <v/>
      </c>
      <c r="D14255" s="12" t="str">
        <f ca="1">IFERROR(__xludf.DUMMYFUNCTION("""COMPUTED_VALUE"""),"")</f>
        <v/>
      </c>
    </row>
    <row r="14256" spans="2:4" ht="13">
      <c r="B14256" s="12" t="str">
        <f ca="1">IFERROR(__xludf.DUMMYFUNCTION("""COMPUTED_VALUE"""),"")</f>
        <v/>
      </c>
      <c r="C14256" s="12" t="str">
        <f ca="1">IFERROR(__xludf.DUMMYFUNCTION("""COMPUTED_VALUE"""),"")</f>
        <v/>
      </c>
      <c r="D14256" s="12" t="str">
        <f ca="1">IFERROR(__xludf.DUMMYFUNCTION("""COMPUTED_VALUE"""),"")</f>
        <v/>
      </c>
    </row>
    <row r="14257" spans="2:4" ht="13">
      <c r="B14257" s="12" t="str">
        <f ca="1">IFERROR(__xludf.DUMMYFUNCTION("""COMPUTED_VALUE"""),"")</f>
        <v/>
      </c>
      <c r="C14257" s="12" t="str">
        <f ca="1">IFERROR(__xludf.DUMMYFUNCTION("""COMPUTED_VALUE"""),"")</f>
        <v/>
      </c>
      <c r="D14257" s="12" t="str">
        <f ca="1">IFERROR(__xludf.DUMMYFUNCTION("""COMPUTED_VALUE"""),"")</f>
        <v/>
      </c>
    </row>
    <row r="14258" spans="2:4" ht="13">
      <c r="B14258" s="12" t="str">
        <f ca="1">IFERROR(__xludf.DUMMYFUNCTION("""COMPUTED_VALUE"""),"")</f>
        <v/>
      </c>
      <c r="C14258" s="12" t="str">
        <f ca="1">IFERROR(__xludf.DUMMYFUNCTION("""COMPUTED_VALUE"""),"")</f>
        <v/>
      </c>
      <c r="D14258" s="12" t="str">
        <f ca="1">IFERROR(__xludf.DUMMYFUNCTION("""COMPUTED_VALUE"""),"")</f>
        <v/>
      </c>
    </row>
    <row r="14259" spans="2:4" ht="13">
      <c r="B14259" s="12" t="str">
        <f ca="1">IFERROR(__xludf.DUMMYFUNCTION("""COMPUTED_VALUE"""),"")</f>
        <v/>
      </c>
      <c r="C14259" s="12" t="str">
        <f ca="1">IFERROR(__xludf.DUMMYFUNCTION("""COMPUTED_VALUE"""),"")</f>
        <v/>
      </c>
      <c r="D14259" s="12" t="str">
        <f ca="1">IFERROR(__xludf.DUMMYFUNCTION("""COMPUTED_VALUE"""),"")</f>
        <v/>
      </c>
    </row>
    <row r="14260" spans="2:4" ht="13">
      <c r="B14260" s="12" t="str">
        <f ca="1">IFERROR(__xludf.DUMMYFUNCTION("""COMPUTED_VALUE"""),"")</f>
        <v/>
      </c>
      <c r="C14260" s="12" t="str">
        <f ca="1">IFERROR(__xludf.DUMMYFUNCTION("""COMPUTED_VALUE"""),"")</f>
        <v/>
      </c>
      <c r="D14260" s="12" t="str">
        <f ca="1">IFERROR(__xludf.DUMMYFUNCTION("""COMPUTED_VALUE"""),"")</f>
        <v/>
      </c>
    </row>
    <row r="14261" spans="2:4" ht="13">
      <c r="B14261" s="12" t="str">
        <f ca="1">IFERROR(__xludf.DUMMYFUNCTION("""COMPUTED_VALUE"""),"")</f>
        <v/>
      </c>
      <c r="C14261" s="12" t="str">
        <f ca="1">IFERROR(__xludf.DUMMYFUNCTION("""COMPUTED_VALUE"""),"")</f>
        <v/>
      </c>
      <c r="D14261" s="12" t="str">
        <f ca="1">IFERROR(__xludf.DUMMYFUNCTION("""COMPUTED_VALUE"""),"")</f>
        <v/>
      </c>
    </row>
    <row r="14262" spans="2:4" ht="13">
      <c r="B14262" s="12" t="str">
        <f ca="1">IFERROR(__xludf.DUMMYFUNCTION("""COMPUTED_VALUE"""),"")</f>
        <v/>
      </c>
      <c r="C14262" s="12" t="str">
        <f ca="1">IFERROR(__xludf.DUMMYFUNCTION("""COMPUTED_VALUE"""),"")</f>
        <v/>
      </c>
      <c r="D14262" s="12" t="str">
        <f ca="1">IFERROR(__xludf.DUMMYFUNCTION("""COMPUTED_VALUE"""),"")</f>
        <v/>
      </c>
    </row>
    <row r="14263" spans="2:4" ht="13">
      <c r="B14263" s="12" t="str">
        <f ca="1">IFERROR(__xludf.DUMMYFUNCTION("""COMPUTED_VALUE"""),"")</f>
        <v/>
      </c>
      <c r="C14263" s="12" t="str">
        <f ca="1">IFERROR(__xludf.DUMMYFUNCTION("""COMPUTED_VALUE"""),"")</f>
        <v/>
      </c>
      <c r="D14263" s="12" t="str">
        <f ca="1">IFERROR(__xludf.DUMMYFUNCTION("""COMPUTED_VALUE"""),"")</f>
        <v/>
      </c>
    </row>
    <row r="14264" spans="2:4" ht="13">
      <c r="B14264" s="12" t="str">
        <f ca="1">IFERROR(__xludf.DUMMYFUNCTION("""COMPUTED_VALUE"""),"")</f>
        <v/>
      </c>
      <c r="C14264" s="12" t="str">
        <f ca="1">IFERROR(__xludf.DUMMYFUNCTION("""COMPUTED_VALUE"""),"")</f>
        <v/>
      </c>
      <c r="D14264" s="12" t="str">
        <f ca="1">IFERROR(__xludf.DUMMYFUNCTION("""COMPUTED_VALUE"""),"")</f>
        <v/>
      </c>
    </row>
    <row r="14265" spans="2:4" ht="13">
      <c r="B14265" s="12" t="str">
        <f ca="1">IFERROR(__xludf.DUMMYFUNCTION("""COMPUTED_VALUE"""),"")</f>
        <v/>
      </c>
      <c r="C14265" s="12" t="str">
        <f ca="1">IFERROR(__xludf.DUMMYFUNCTION("""COMPUTED_VALUE"""),"")</f>
        <v/>
      </c>
      <c r="D14265" s="12" t="str">
        <f ca="1">IFERROR(__xludf.DUMMYFUNCTION("""COMPUTED_VALUE"""),"")</f>
        <v/>
      </c>
    </row>
    <row r="14266" spans="2:4" ht="13">
      <c r="B14266" s="12" t="str">
        <f ca="1">IFERROR(__xludf.DUMMYFUNCTION("""COMPUTED_VALUE"""),"")</f>
        <v/>
      </c>
      <c r="C14266" s="12" t="str">
        <f ca="1">IFERROR(__xludf.DUMMYFUNCTION("""COMPUTED_VALUE"""),"")</f>
        <v/>
      </c>
      <c r="D14266" s="12" t="str">
        <f ca="1">IFERROR(__xludf.DUMMYFUNCTION("""COMPUTED_VALUE"""),"")</f>
        <v/>
      </c>
    </row>
    <row r="14267" spans="2:4" ht="13">
      <c r="B14267" s="12" t="str">
        <f ca="1">IFERROR(__xludf.DUMMYFUNCTION("""COMPUTED_VALUE"""),"")</f>
        <v/>
      </c>
      <c r="C14267" s="12" t="str">
        <f ca="1">IFERROR(__xludf.DUMMYFUNCTION("""COMPUTED_VALUE"""),"")</f>
        <v/>
      </c>
      <c r="D14267" s="12" t="str">
        <f ca="1">IFERROR(__xludf.DUMMYFUNCTION("""COMPUTED_VALUE"""),"")</f>
        <v/>
      </c>
    </row>
    <row r="14268" spans="2:4" ht="13">
      <c r="B14268" s="12" t="str">
        <f ca="1">IFERROR(__xludf.DUMMYFUNCTION("""COMPUTED_VALUE"""),"")</f>
        <v/>
      </c>
      <c r="C14268" s="12" t="str">
        <f ca="1">IFERROR(__xludf.DUMMYFUNCTION("""COMPUTED_VALUE"""),"")</f>
        <v/>
      </c>
      <c r="D14268" s="12" t="str">
        <f ca="1">IFERROR(__xludf.DUMMYFUNCTION("""COMPUTED_VALUE"""),"")</f>
        <v/>
      </c>
    </row>
    <row r="14269" spans="2:4" ht="13">
      <c r="B14269" s="12" t="str">
        <f ca="1">IFERROR(__xludf.DUMMYFUNCTION("""COMPUTED_VALUE"""),"")</f>
        <v/>
      </c>
      <c r="C14269" s="12" t="str">
        <f ca="1">IFERROR(__xludf.DUMMYFUNCTION("""COMPUTED_VALUE"""),"")</f>
        <v/>
      </c>
      <c r="D14269" s="12" t="str">
        <f ca="1">IFERROR(__xludf.DUMMYFUNCTION("""COMPUTED_VALUE"""),"")</f>
        <v/>
      </c>
    </row>
    <row r="14270" spans="2:4" ht="13">
      <c r="B14270" s="12" t="str">
        <f ca="1">IFERROR(__xludf.DUMMYFUNCTION("""COMPUTED_VALUE"""),"")</f>
        <v/>
      </c>
      <c r="C14270" s="12" t="str">
        <f ca="1">IFERROR(__xludf.DUMMYFUNCTION("""COMPUTED_VALUE"""),"")</f>
        <v/>
      </c>
      <c r="D14270" s="12" t="str">
        <f ca="1">IFERROR(__xludf.DUMMYFUNCTION("""COMPUTED_VALUE"""),"")</f>
        <v/>
      </c>
    </row>
    <row r="14271" spans="2:4" ht="13">
      <c r="B14271" s="12" t="str">
        <f ca="1">IFERROR(__xludf.DUMMYFUNCTION("""COMPUTED_VALUE"""),"")</f>
        <v/>
      </c>
      <c r="C14271" s="12" t="str">
        <f ca="1">IFERROR(__xludf.DUMMYFUNCTION("""COMPUTED_VALUE"""),"")</f>
        <v/>
      </c>
      <c r="D14271" s="12" t="str">
        <f ca="1">IFERROR(__xludf.DUMMYFUNCTION("""COMPUTED_VALUE"""),"")</f>
        <v/>
      </c>
    </row>
    <row r="14272" spans="2:4" ht="13">
      <c r="B14272" s="12" t="str">
        <f ca="1">IFERROR(__xludf.DUMMYFUNCTION("""COMPUTED_VALUE"""),"")</f>
        <v/>
      </c>
      <c r="C14272" s="12" t="str">
        <f ca="1">IFERROR(__xludf.DUMMYFUNCTION("""COMPUTED_VALUE"""),"")</f>
        <v/>
      </c>
      <c r="D14272" s="12" t="str">
        <f ca="1">IFERROR(__xludf.DUMMYFUNCTION("""COMPUTED_VALUE"""),"")</f>
        <v/>
      </c>
    </row>
    <row r="14273" spans="2:4" ht="13">
      <c r="B14273" s="12" t="str">
        <f ca="1">IFERROR(__xludf.DUMMYFUNCTION("""COMPUTED_VALUE"""),"")</f>
        <v/>
      </c>
      <c r="C14273" s="12" t="str">
        <f ca="1">IFERROR(__xludf.DUMMYFUNCTION("""COMPUTED_VALUE"""),"")</f>
        <v/>
      </c>
      <c r="D14273" s="12" t="str">
        <f ca="1">IFERROR(__xludf.DUMMYFUNCTION("""COMPUTED_VALUE"""),"")</f>
        <v/>
      </c>
    </row>
    <row r="14274" spans="2:4" ht="13">
      <c r="B14274" s="12" t="str">
        <f ca="1">IFERROR(__xludf.DUMMYFUNCTION("""COMPUTED_VALUE"""),"")</f>
        <v/>
      </c>
      <c r="C14274" s="12" t="str">
        <f ca="1">IFERROR(__xludf.DUMMYFUNCTION("""COMPUTED_VALUE"""),"")</f>
        <v/>
      </c>
      <c r="D14274" s="12" t="str">
        <f ca="1">IFERROR(__xludf.DUMMYFUNCTION("""COMPUTED_VALUE"""),"")</f>
        <v/>
      </c>
    </row>
    <row r="14275" spans="2:4" ht="13">
      <c r="B14275" s="12" t="str">
        <f ca="1">IFERROR(__xludf.DUMMYFUNCTION("""COMPUTED_VALUE"""),"")</f>
        <v/>
      </c>
      <c r="C14275" s="12" t="str">
        <f ca="1">IFERROR(__xludf.DUMMYFUNCTION("""COMPUTED_VALUE"""),"")</f>
        <v/>
      </c>
      <c r="D14275" s="12" t="str">
        <f ca="1">IFERROR(__xludf.DUMMYFUNCTION("""COMPUTED_VALUE"""),"")</f>
        <v/>
      </c>
    </row>
    <row r="14276" spans="2:4" ht="13">
      <c r="B14276" s="12" t="str">
        <f ca="1">IFERROR(__xludf.DUMMYFUNCTION("""COMPUTED_VALUE"""),"")</f>
        <v/>
      </c>
      <c r="C14276" s="12" t="str">
        <f ca="1">IFERROR(__xludf.DUMMYFUNCTION("""COMPUTED_VALUE"""),"")</f>
        <v/>
      </c>
      <c r="D14276" s="12" t="str">
        <f ca="1">IFERROR(__xludf.DUMMYFUNCTION("""COMPUTED_VALUE"""),"")</f>
        <v/>
      </c>
    </row>
    <row r="14277" spans="2:4" ht="13">
      <c r="B14277" s="12" t="str">
        <f ca="1">IFERROR(__xludf.DUMMYFUNCTION("""COMPUTED_VALUE"""),"")</f>
        <v/>
      </c>
      <c r="C14277" s="12" t="str">
        <f ca="1">IFERROR(__xludf.DUMMYFUNCTION("""COMPUTED_VALUE"""),"")</f>
        <v/>
      </c>
      <c r="D14277" s="12" t="str">
        <f ca="1">IFERROR(__xludf.DUMMYFUNCTION("""COMPUTED_VALUE"""),"")</f>
        <v/>
      </c>
    </row>
    <row r="14278" spans="2:4" ht="13">
      <c r="B14278" s="12" t="str">
        <f ca="1">IFERROR(__xludf.DUMMYFUNCTION("""COMPUTED_VALUE"""),"")</f>
        <v/>
      </c>
      <c r="C14278" s="12" t="str">
        <f ca="1">IFERROR(__xludf.DUMMYFUNCTION("""COMPUTED_VALUE"""),"")</f>
        <v/>
      </c>
      <c r="D14278" s="12" t="str">
        <f ca="1">IFERROR(__xludf.DUMMYFUNCTION("""COMPUTED_VALUE"""),"")</f>
        <v/>
      </c>
    </row>
    <row r="14279" spans="2:4" ht="13">
      <c r="B14279" s="12" t="str">
        <f ca="1">IFERROR(__xludf.DUMMYFUNCTION("""COMPUTED_VALUE"""),"")</f>
        <v/>
      </c>
      <c r="C14279" s="12" t="str">
        <f ca="1">IFERROR(__xludf.DUMMYFUNCTION("""COMPUTED_VALUE"""),"")</f>
        <v/>
      </c>
      <c r="D14279" s="12" t="str">
        <f ca="1">IFERROR(__xludf.DUMMYFUNCTION("""COMPUTED_VALUE"""),"")</f>
        <v/>
      </c>
    </row>
    <row r="14280" spans="2:4" ht="13">
      <c r="B14280" s="12" t="str">
        <f ca="1">IFERROR(__xludf.DUMMYFUNCTION("""COMPUTED_VALUE"""),"")</f>
        <v/>
      </c>
      <c r="C14280" s="12" t="str">
        <f ca="1">IFERROR(__xludf.DUMMYFUNCTION("""COMPUTED_VALUE"""),"")</f>
        <v/>
      </c>
      <c r="D14280" s="12" t="str">
        <f ca="1">IFERROR(__xludf.DUMMYFUNCTION("""COMPUTED_VALUE"""),"")</f>
        <v/>
      </c>
    </row>
    <row r="14281" spans="2:4" ht="13">
      <c r="B14281" s="12" t="str">
        <f ca="1">IFERROR(__xludf.DUMMYFUNCTION("""COMPUTED_VALUE"""),"")</f>
        <v/>
      </c>
      <c r="C14281" s="12" t="str">
        <f ca="1">IFERROR(__xludf.DUMMYFUNCTION("""COMPUTED_VALUE"""),"")</f>
        <v/>
      </c>
      <c r="D14281" s="12" t="str">
        <f ca="1">IFERROR(__xludf.DUMMYFUNCTION("""COMPUTED_VALUE"""),"")</f>
        <v/>
      </c>
    </row>
    <row r="14282" spans="2:4" ht="13">
      <c r="B14282" s="12" t="str">
        <f ca="1">IFERROR(__xludf.DUMMYFUNCTION("""COMPUTED_VALUE"""),"")</f>
        <v/>
      </c>
      <c r="C14282" s="12" t="str">
        <f ca="1">IFERROR(__xludf.DUMMYFUNCTION("""COMPUTED_VALUE"""),"")</f>
        <v/>
      </c>
      <c r="D14282" s="12" t="str">
        <f ca="1">IFERROR(__xludf.DUMMYFUNCTION("""COMPUTED_VALUE"""),"")</f>
        <v/>
      </c>
    </row>
    <row r="14283" spans="2:4" ht="13">
      <c r="B14283" s="12" t="str">
        <f ca="1">IFERROR(__xludf.DUMMYFUNCTION("""COMPUTED_VALUE"""),"")</f>
        <v/>
      </c>
      <c r="C14283" s="12" t="str">
        <f ca="1">IFERROR(__xludf.DUMMYFUNCTION("""COMPUTED_VALUE"""),"")</f>
        <v/>
      </c>
      <c r="D14283" s="12" t="str">
        <f ca="1">IFERROR(__xludf.DUMMYFUNCTION("""COMPUTED_VALUE"""),"")</f>
        <v/>
      </c>
    </row>
    <row r="14284" spans="2:4" ht="13">
      <c r="B14284" s="12" t="str">
        <f ca="1">IFERROR(__xludf.DUMMYFUNCTION("""COMPUTED_VALUE"""),"")</f>
        <v/>
      </c>
      <c r="C14284" s="12" t="str">
        <f ca="1">IFERROR(__xludf.DUMMYFUNCTION("""COMPUTED_VALUE"""),"")</f>
        <v/>
      </c>
      <c r="D14284" s="12" t="str">
        <f ca="1">IFERROR(__xludf.DUMMYFUNCTION("""COMPUTED_VALUE"""),"")</f>
        <v/>
      </c>
    </row>
    <row r="14285" spans="2:4" ht="13">
      <c r="B14285" s="12" t="str">
        <f ca="1">IFERROR(__xludf.DUMMYFUNCTION("""COMPUTED_VALUE"""),"")</f>
        <v/>
      </c>
      <c r="C14285" s="12" t="str">
        <f ca="1">IFERROR(__xludf.DUMMYFUNCTION("""COMPUTED_VALUE"""),"")</f>
        <v/>
      </c>
      <c r="D14285" s="12" t="str">
        <f ca="1">IFERROR(__xludf.DUMMYFUNCTION("""COMPUTED_VALUE"""),"")</f>
        <v/>
      </c>
    </row>
    <row r="14286" spans="2:4" ht="13">
      <c r="B14286" s="12" t="str">
        <f ca="1">IFERROR(__xludf.DUMMYFUNCTION("""COMPUTED_VALUE"""),"")</f>
        <v/>
      </c>
      <c r="C14286" s="12" t="str">
        <f ca="1">IFERROR(__xludf.DUMMYFUNCTION("""COMPUTED_VALUE"""),"")</f>
        <v/>
      </c>
      <c r="D14286" s="12" t="str">
        <f ca="1">IFERROR(__xludf.DUMMYFUNCTION("""COMPUTED_VALUE"""),"")</f>
        <v/>
      </c>
    </row>
    <row r="14287" spans="2:4" ht="13">
      <c r="B14287" s="12" t="str">
        <f ca="1">IFERROR(__xludf.DUMMYFUNCTION("""COMPUTED_VALUE"""),"")</f>
        <v/>
      </c>
      <c r="C14287" s="12" t="str">
        <f ca="1">IFERROR(__xludf.DUMMYFUNCTION("""COMPUTED_VALUE"""),"")</f>
        <v/>
      </c>
      <c r="D14287" s="12" t="str">
        <f ca="1">IFERROR(__xludf.DUMMYFUNCTION("""COMPUTED_VALUE"""),"")</f>
        <v/>
      </c>
    </row>
    <row r="14288" spans="2:4" ht="13">
      <c r="B14288" s="12" t="str">
        <f ca="1">IFERROR(__xludf.DUMMYFUNCTION("""COMPUTED_VALUE"""),"")</f>
        <v/>
      </c>
      <c r="C14288" s="12" t="str">
        <f ca="1">IFERROR(__xludf.DUMMYFUNCTION("""COMPUTED_VALUE"""),"")</f>
        <v/>
      </c>
      <c r="D14288" s="12" t="str">
        <f ca="1">IFERROR(__xludf.DUMMYFUNCTION("""COMPUTED_VALUE"""),"")</f>
        <v/>
      </c>
    </row>
    <row r="14289" spans="2:4" ht="13">
      <c r="B14289" s="12" t="str">
        <f ca="1">IFERROR(__xludf.DUMMYFUNCTION("""COMPUTED_VALUE"""),"")</f>
        <v/>
      </c>
      <c r="C14289" s="12" t="str">
        <f ca="1">IFERROR(__xludf.DUMMYFUNCTION("""COMPUTED_VALUE"""),"")</f>
        <v/>
      </c>
      <c r="D14289" s="12" t="str">
        <f ca="1">IFERROR(__xludf.DUMMYFUNCTION("""COMPUTED_VALUE"""),"")</f>
        <v/>
      </c>
    </row>
    <row r="14290" spans="2:4" ht="13">
      <c r="B14290" s="12" t="str">
        <f ca="1">IFERROR(__xludf.DUMMYFUNCTION("""COMPUTED_VALUE"""),"")</f>
        <v/>
      </c>
      <c r="C14290" s="12" t="str">
        <f ca="1">IFERROR(__xludf.DUMMYFUNCTION("""COMPUTED_VALUE"""),"")</f>
        <v/>
      </c>
      <c r="D14290" s="12" t="str">
        <f ca="1">IFERROR(__xludf.DUMMYFUNCTION("""COMPUTED_VALUE"""),"")</f>
        <v/>
      </c>
    </row>
    <row r="14291" spans="2:4" ht="13">
      <c r="B14291" s="12" t="str">
        <f ca="1">IFERROR(__xludf.DUMMYFUNCTION("""COMPUTED_VALUE"""),"")</f>
        <v/>
      </c>
      <c r="C14291" s="12" t="str">
        <f ca="1">IFERROR(__xludf.DUMMYFUNCTION("""COMPUTED_VALUE"""),"")</f>
        <v/>
      </c>
      <c r="D14291" s="12" t="str">
        <f ca="1">IFERROR(__xludf.DUMMYFUNCTION("""COMPUTED_VALUE"""),"")</f>
        <v/>
      </c>
    </row>
    <row r="14292" spans="2:4" ht="13">
      <c r="B14292" s="12" t="str">
        <f ca="1">IFERROR(__xludf.DUMMYFUNCTION("""COMPUTED_VALUE"""),"")</f>
        <v/>
      </c>
      <c r="C14292" s="12" t="str">
        <f ca="1">IFERROR(__xludf.DUMMYFUNCTION("""COMPUTED_VALUE"""),"")</f>
        <v/>
      </c>
      <c r="D14292" s="12" t="str">
        <f ca="1">IFERROR(__xludf.DUMMYFUNCTION("""COMPUTED_VALUE"""),"")</f>
        <v/>
      </c>
    </row>
    <row r="14293" spans="2:4" ht="13">
      <c r="B14293" s="12" t="str">
        <f ca="1">IFERROR(__xludf.DUMMYFUNCTION("""COMPUTED_VALUE"""),"")</f>
        <v/>
      </c>
      <c r="C14293" s="12" t="str">
        <f ca="1">IFERROR(__xludf.DUMMYFUNCTION("""COMPUTED_VALUE"""),"")</f>
        <v/>
      </c>
      <c r="D14293" s="12" t="str">
        <f ca="1">IFERROR(__xludf.DUMMYFUNCTION("""COMPUTED_VALUE"""),"")</f>
        <v/>
      </c>
    </row>
    <row r="14294" spans="2:4" ht="13">
      <c r="B14294" s="12" t="str">
        <f ca="1">IFERROR(__xludf.DUMMYFUNCTION("""COMPUTED_VALUE"""),"")</f>
        <v/>
      </c>
      <c r="C14294" s="12" t="str">
        <f ca="1">IFERROR(__xludf.DUMMYFUNCTION("""COMPUTED_VALUE"""),"")</f>
        <v/>
      </c>
      <c r="D14294" s="12" t="str">
        <f ca="1">IFERROR(__xludf.DUMMYFUNCTION("""COMPUTED_VALUE"""),"")</f>
        <v/>
      </c>
    </row>
    <row r="14295" spans="2:4" ht="13">
      <c r="B14295" s="12" t="str">
        <f ca="1">IFERROR(__xludf.DUMMYFUNCTION("""COMPUTED_VALUE"""),"")</f>
        <v/>
      </c>
      <c r="C14295" s="12" t="str">
        <f ca="1">IFERROR(__xludf.DUMMYFUNCTION("""COMPUTED_VALUE"""),"")</f>
        <v/>
      </c>
      <c r="D14295" s="12" t="str">
        <f ca="1">IFERROR(__xludf.DUMMYFUNCTION("""COMPUTED_VALUE"""),"")</f>
        <v/>
      </c>
    </row>
    <row r="14296" spans="2:4" ht="13">
      <c r="B14296" s="12" t="str">
        <f ca="1">IFERROR(__xludf.DUMMYFUNCTION("""COMPUTED_VALUE"""),"")</f>
        <v/>
      </c>
      <c r="C14296" s="12" t="str">
        <f ca="1">IFERROR(__xludf.DUMMYFUNCTION("""COMPUTED_VALUE"""),"")</f>
        <v/>
      </c>
      <c r="D14296" s="12" t="str">
        <f ca="1">IFERROR(__xludf.DUMMYFUNCTION("""COMPUTED_VALUE"""),"")</f>
        <v/>
      </c>
    </row>
    <row r="14297" spans="2:4" ht="13">
      <c r="B14297" s="12" t="str">
        <f ca="1">IFERROR(__xludf.DUMMYFUNCTION("""COMPUTED_VALUE"""),"")</f>
        <v/>
      </c>
      <c r="C14297" s="12" t="str">
        <f ca="1">IFERROR(__xludf.DUMMYFUNCTION("""COMPUTED_VALUE"""),"")</f>
        <v/>
      </c>
      <c r="D14297" s="12" t="str">
        <f ca="1">IFERROR(__xludf.DUMMYFUNCTION("""COMPUTED_VALUE"""),"")</f>
        <v/>
      </c>
    </row>
    <row r="14298" spans="2:4" ht="13">
      <c r="B14298" s="12" t="str">
        <f ca="1">IFERROR(__xludf.DUMMYFUNCTION("""COMPUTED_VALUE"""),"")</f>
        <v/>
      </c>
      <c r="C14298" s="12" t="str">
        <f ca="1">IFERROR(__xludf.DUMMYFUNCTION("""COMPUTED_VALUE"""),"")</f>
        <v/>
      </c>
      <c r="D14298" s="12" t="str">
        <f ca="1">IFERROR(__xludf.DUMMYFUNCTION("""COMPUTED_VALUE"""),"")</f>
        <v/>
      </c>
    </row>
    <row r="14299" spans="2:4" ht="13">
      <c r="B14299" s="12" t="str">
        <f ca="1">IFERROR(__xludf.DUMMYFUNCTION("""COMPUTED_VALUE"""),"")</f>
        <v/>
      </c>
      <c r="C14299" s="12" t="str">
        <f ca="1">IFERROR(__xludf.DUMMYFUNCTION("""COMPUTED_VALUE"""),"")</f>
        <v/>
      </c>
      <c r="D14299" s="12" t="str">
        <f ca="1">IFERROR(__xludf.DUMMYFUNCTION("""COMPUTED_VALUE"""),"")</f>
        <v/>
      </c>
    </row>
    <row r="14300" spans="2:4" ht="13">
      <c r="B14300" s="12" t="str">
        <f ca="1">IFERROR(__xludf.DUMMYFUNCTION("""COMPUTED_VALUE"""),"")</f>
        <v/>
      </c>
      <c r="C14300" s="12" t="str">
        <f ca="1">IFERROR(__xludf.DUMMYFUNCTION("""COMPUTED_VALUE"""),"")</f>
        <v/>
      </c>
      <c r="D14300" s="12" t="str">
        <f ca="1">IFERROR(__xludf.DUMMYFUNCTION("""COMPUTED_VALUE"""),"")</f>
        <v/>
      </c>
    </row>
    <row r="14301" spans="2:4" ht="13">
      <c r="B14301" s="12" t="str">
        <f ca="1">IFERROR(__xludf.DUMMYFUNCTION("""COMPUTED_VALUE"""),"")</f>
        <v/>
      </c>
      <c r="C14301" s="12" t="str">
        <f ca="1">IFERROR(__xludf.DUMMYFUNCTION("""COMPUTED_VALUE"""),"")</f>
        <v/>
      </c>
      <c r="D14301" s="12" t="str">
        <f ca="1">IFERROR(__xludf.DUMMYFUNCTION("""COMPUTED_VALUE"""),"")</f>
        <v/>
      </c>
    </row>
    <row r="14302" spans="2:4" ht="13">
      <c r="B14302" s="12" t="str">
        <f ca="1">IFERROR(__xludf.DUMMYFUNCTION("""COMPUTED_VALUE"""),"")</f>
        <v/>
      </c>
      <c r="C14302" s="12" t="str">
        <f ca="1">IFERROR(__xludf.DUMMYFUNCTION("""COMPUTED_VALUE"""),"")</f>
        <v/>
      </c>
      <c r="D14302" s="12" t="str">
        <f ca="1">IFERROR(__xludf.DUMMYFUNCTION("""COMPUTED_VALUE"""),"")</f>
        <v/>
      </c>
    </row>
    <row r="14303" spans="2:4" ht="13">
      <c r="B14303" s="12" t="str">
        <f ca="1">IFERROR(__xludf.DUMMYFUNCTION("""COMPUTED_VALUE"""),"")</f>
        <v/>
      </c>
      <c r="C14303" s="12" t="str">
        <f ca="1">IFERROR(__xludf.DUMMYFUNCTION("""COMPUTED_VALUE"""),"")</f>
        <v/>
      </c>
      <c r="D14303" s="12" t="str">
        <f ca="1">IFERROR(__xludf.DUMMYFUNCTION("""COMPUTED_VALUE"""),"")</f>
        <v/>
      </c>
    </row>
    <row r="14304" spans="2:4" ht="13">
      <c r="B14304" s="12" t="str">
        <f ca="1">IFERROR(__xludf.DUMMYFUNCTION("""COMPUTED_VALUE"""),"")</f>
        <v/>
      </c>
      <c r="C14304" s="12" t="str">
        <f ca="1">IFERROR(__xludf.DUMMYFUNCTION("""COMPUTED_VALUE"""),"")</f>
        <v/>
      </c>
      <c r="D14304" s="12" t="str">
        <f ca="1">IFERROR(__xludf.DUMMYFUNCTION("""COMPUTED_VALUE"""),"")</f>
        <v/>
      </c>
    </row>
    <row r="14305" spans="2:4" ht="13">
      <c r="B14305" s="12" t="str">
        <f ca="1">IFERROR(__xludf.DUMMYFUNCTION("""COMPUTED_VALUE"""),"")</f>
        <v/>
      </c>
      <c r="C14305" s="12" t="str">
        <f ca="1">IFERROR(__xludf.DUMMYFUNCTION("""COMPUTED_VALUE"""),"")</f>
        <v/>
      </c>
      <c r="D14305" s="12" t="str">
        <f ca="1">IFERROR(__xludf.DUMMYFUNCTION("""COMPUTED_VALUE"""),"")</f>
        <v/>
      </c>
    </row>
    <row r="14306" spans="2:4" ht="13">
      <c r="B14306" s="12" t="str">
        <f ca="1">IFERROR(__xludf.DUMMYFUNCTION("""COMPUTED_VALUE"""),"")</f>
        <v/>
      </c>
      <c r="C14306" s="12" t="str">
        <f ca="1">IFERROR(__xludf.DUMMYFUNCTION("""COMPUTED_VALUE"""),"")</f>
        <v/>
      </c>
      <c r="D14306" s="12" t="str">
        <f ca="1">IFERROR(__xludf.DUMMYFUNCTION("""COMPUTED_VALUE"""),"")</f>
        <v/>
      </c>
    </row>
    <row r="14307" spans="2:4" ht="13">
      <c r="B14307" s="12" t="str">
        <f ca="1">IFERROR(__xludf.DUMMYFUNCTION("""COMPUTED_VALUE"""),"")</f>
        <v/>
      </c>
      <c r="C14307" s="12" t="str">
        <f ca="1">IFERROR(__xludf.DUMMYFUNCTION("""COMPUTED_VALUE"""),"")</f>
        <v/>
      </c>
      <c r="D14307" s="12" t="str">
        <f ca="1">IFERROR(__xludf.DUMMYFUNCTION("""COMPUTED_VALUE"""),"")</f>
        <v/>
      </c>
    </row>
    <row r="14308" spans="2:4" ht="13">
      <c r="B14308" s="12" t="str">
        <f ca="1">IFERROR(__xludf.DUMMYFUNCTION("""COMPUTED_VALUE"""),"")</f>
        <v/>
      </c>
      <c r="C14308" s="12" t="str">
        <f ca="1">IFERROR(__xludf.DUMMYFUNCTION("""COMPUTED_VALUE"""),"")</f>
        <v/>
      </c>
      <c r="D14308" s="12" t="str">
        <f ca="1">IFERROR(__xludf.DUMMYFUNCTION("""COMPUTED_VALUE"""),"")</f>
        <v/>
      </c>
    </row>
    <row r="14309" spans="2:4" ht="13">
      <c r="B14309" s="12" t="str">
        <f ca="1">IFERROR(__xludf.DUMMYFUNCTION("""COMPUTED_VALUE"""),"")</f>
        <v/>
      </c>
      <c r="C14309" s="12" t="str">
        <f ca="1">IFERROR(__xludf.DUMMYFUNCTION("""COMPUTED_VALUE"""),"")</f>
        <v/>
      </c>
      <c r="D14309" s="12" t="str">
        <f ca="1">IFERROR(__xludf.DUMMYFUNCTION("""COMPUTED_VALUE"""),"")</f>
        <v/>
      </c>
    </row>
    <row r="14310" spans="2:4" ht="13">
      <c r="B14310" s="12" t="str">
        <f ca="1">IFERROR(__xludf.DUMMYFUNCTION("""COMPUTED_VALUE"""),"")</f>
        <v/>
      </c>
      <c r="C14310" s="12" t="str">
        <f ca="1">IFERROR(__xludf.DUMMYFUNCTION("""COMPUTED_VALUE"""),"")</f>
        <v/>
      </c>
      <c r="D14310" s="12" t="str">
        <f ca="1">IFERROR(__xludf.DUMMYFUNCTION("""COMPUTED_VALUE"""),"")</f>
        <v/>
      </c>
    </row>
    <row r="14311" spans="2:4" ht="13">
      <c r="B14311" s="12" t="str">
        <f ca="1">IFERROR(__xludf.DUMMYFUNCTION("""COMPUTED_VALUE"""),"")</f>
        <v/>
      </c>
      <c r="C14311" s="12" t="str">
        <f ca="1">IFERROR(__xludf.DUMMYFUNCTION("""COMPUTED_VALUE"""),"")</f>
        <v/>
      </c>
      <c r="D14311" s="12" t="str">
        <f ca="1">IFERROR(__xludf.DUMMYFUNCTION("""COMPUTED_VALUE"""),"")</f>
        <v/>
      </c>
    </row>
    <row r="14312" spans="2:4" ht="13">
      <c r="B14312" s="12" t="str">
        <f ca="1">IFERROR(__xludf.DUMMYFUNCTION("""COMPUTED_VALUE"""),"")</f>
        <v/>
      </c>
      <c r="C14312" s="12" t="str">
        <f ca="1">IFERROR(__xludf.DUMMYFUNCTION("""COMPUTED_VALUE"""),"")</f>
        <v/>
      </c>
      <c r="D14312" s="12" t="str">
        <f ca="1">IFERROR(__xludf.DUMMYFUNCTION("""COMPUTED_VALUE"""),"")</f>
        <v/>
      </c>
    </row>
    <row r="14313" spans="2:4" ht="13">
      <c r="B14313" s="12" t="str">
        <f ca="1">IFERROR(__xludf.DUMMYFUNCTION("""COMPUTED_VALUE"""),"")</f>
        <v/>
      </c>
      <c r="C14313" s="12" t="str">
        <f ca="1">IFERROR(__xludf.DUMMYFUNCTION("""COMPUTED_VALUE"""),"")</f>
        <v/>
      </c>
      <c r="D14313" s="12" t="str">
        <f ca="1">IFERROR(__xludf.DUMMYFUNCTION("""COMPUTED_VALUE"""),"")</f>
        <v/>
      </c>
    </row>
    <row r="14314" spans="2:4" ht="13">
      <c r="B14314" s="12" t="str">
        <f ca="1">IFERROR(__xludf.DUMMYFUNCTION("""COMPUTED_VALUE"""),"")</f>
        <v/>
      </c>
      <c r="C14314" s="12" t="str">
        <f ca="1">IFERROR(__xludf.DUMMYFUNCTION("""COMPUTED_VALUE"""),"")</f>
        <v/>
      </c>
      <c r="D14314" s="12" t="str">
        <f ca="1">IFERROR(__xludf.DUMMYFUNCTION("""COMPUTED_VALUE"""),"")</f>
        <v/>
      </c>
    </row>
    <row r="14315" spans="2:4" ht="13">
      <c r="B14315" s="12" t="str">
        <f ca="1">IFERROR(__xludf.DUMMYFUNCTION("""COMPUTED_VALUE"""),"")</f>
        <v/>
      </c>
      <c r="C14315" s="12" t="str">
        <f ca="1">IFERROR(__xludf.DUMMYFUNCTION("""COMPUTED_VALUE"""),"")</f>
        <v/>
      </c>
      <c r="D14315" s="12" t="str">
        <f ca="1">IFERROR(__xludf.DUMMYFUNCTION("""COMPUTED_VALUE"""),"")</f>
        <v/>
      </c>
    </row>
    <row r="14316" spans="2:4" ht="13">
      <c r="B14316" s="12" t="str">
        <f ca="1">IFERROR(__xludf.DUMMYFUNCTION("""COMPUTED_VALUE"""),"")</f>
        <v/>
      </c>
      <c r="C14316" s="12" t="str">
        <f ca="1">IFERROR(__xludf.DUMMYFUNCTION("""COMPUTED_VALUE"""),"")</f>
        <v/>
      </c>
      <c r="D14316" s="12" t="str">
        <f ca="1">IFERROR(__xludf.DUMMYFUNCTION("""COMPUTED_VALUE"""),"")</f>
        <v/>
      </c>
    </row>
    <row r="14317" spans="2:4" ht="13">
      <c r="B14317" s="12" t="str">
        <f ca="1">IFERROR(__xludf.DUMMYFUNCTION("""COMPUTED_VALUE"""),"")</f>
        <v/>
      </c>
      <c r="C14317" s="12" t="str">
        <f ca="1">IFERROR(__xludf.DUMMYFUNCTION("""COMPUTED_VALUE"""),"")</f>
        <v/>
      </c>
      <c r="D14317" s="12" t="str">
        <f ca="1">IFERROR(__xludf.DUMMYFUNCTION("""COMPUTED_VALUE"""),"")</f>
        <v/>
      </c>
    </row>
    <row r="14318" spans="2:4" ht="13">
      <c r="B14318" s="12" t="str">
        <f ca="1">IFERROR(__xludf.DUMMYFUNCTION("""COMPUTED_VALUE"""),"")</f>
        <v/>
      </c>
      <c r="C14318" s="12" t="str">
        <f ca="1">IFERROR(__xludf.DUMMYFUNCTION("""COMPUTED_VALUE"""),"")</f>
        <v/>
      </c>
      <c r="D14318" s="12" t="str">
        <f ca="1">IFERROR(__xludf.DUMMYFUNCTION("""COMPUTED_VALUE"""),"")</f>
        <v/>
      </c>
    </row>
    <row r="14319" spans="2:4" ht="13">
      <c r="B14319" s="12" t="str">
        <f ca="1">IFERROR(__xludf.DUMMYFUNCTION("""COMPUTED_VALUE"""),"")</f>
        <v/>
      </c>
      <c r="C14319" s="12" t="str">
        <f ca="1">IFERROR(__xludf.DUMMYFUNCTION("""COMPUTED_VALUE"""),"")</f>
        <v/>
      </c>
      <c r="D14319" s="12" t="str">
        <f ca="1">IFERROR(__xludf.DUMMYFUNCTION("""COMPUTED_VALUE"""),"")</f>
        <v/>
      </c>
    </row>
    <row r="14320" spans="2:4" ht="13">
      <c r="B14320" s="12" t="str">
        <f ca="1">IFERROR(__xludf.DUMMYFUNCTION("""COMPUTED_VALUE"""),"")</f>
        <v/>
      </c>
      <c r="C14320" s="12" t="str">
        <f ca="1">IFERROR(__xludf.DUMMYFUNCTION("""COMPUTED_VALUE"""),"")</f>
        <v/>
      </c>
      <c r="D14320" s="12" t="str">
        <f ca="1">IFERROR(__xludf.DUMMYFUNCTION("""COMPUTED_VALUE"""),"")</f>
        <v/>
      </c>
    </row>
    <row r="14321" spans="2:4" ht="13">
      <c r="B14321" s="12" t="str">
        <f ca="1">IFERROR(__xludf.DUMMYFUNCTION("""COMPUTED_VALUE"""),"")</f>
        <v/>
      </c>
      <c r="C14321" s="12" t="str">
        <f ca="1">IFERROR(__xludf.DUMMYFUNCTION("""COMPUTED_VALUE"""),"")</f>
        <v/>
      </c>
      <c r="D14321" s="12" t="str">
        <f ca="1">IFERROR(__xludf.DUMMYFUNCTION("""COMPUTED_VALUE"""),"")</f>
        <v/>
      </c>
    </row>
    <row r="14322" spans="2:4" ht="13">
      <c r="B14322" s="12" t="str">
        <f ca="1">IFERROR(__xludf.DUMMYFUNCTION("""COMPUTED_VALUE"""),"")</f>
        <v/>
      </c>
      <c r="C14322" s="12" t="str">
        <f ca="1">IFERROR(__xludf.DUMMYFUNCTION("""COMPUTED_VALUE"""),"")</f>
        <v/>
      </c>
      <c r="D14322" s="12" t="str">
        <f ca="1">IFERROR(__xludf.DUMMYFUNCTION("""COMPUTED_VALUE"""),"")</f>
        <v/>
      </c>
    </row>
    <row r="14323" spans="2:4" ht="13">
      <c r="B14323" s="12" t="str">
        <f ca="1">IFERROR(__xludf.DUMMYFUNCTION("""COMPUTED_VALUE"""),"")</f>
        <v/>
      </c>
      <c r="C14323" s="12" t="str">
        <f ca="1">IFERROR(__xludf.DUMMYFUNCTION("""COMPUTED_VALUE"""),"")</f>
        <v/>
      </c>
      <c r="D14323" s="12" t="str">
        <f ca="1">IFERROR(__xludf.DUMMYFUNCTION("""COMPUTED_VALUE"""),"")</f>
        <v/>
      </c>
    </row>
    <row r="14324" spans="2:4" ht="13">
      <c r="B14324" s="12" t="str">
        <f ca="1">IFERROR(__xludf.DUMMYFUNCTION("""COMPUTED_VALUE"""),"")</f>
        <v/>
      </c>
      <c r="C14324" s="12" t="str">
        <f ca="1">IFERROR(__xludf.DUMMYFUNCTION("""COMPUTED_VALUE"""),"")</f>
        <v/>
      </c>
      <c r="D14324" s="12" t="str">
        <f ca="1">IFERROR(__xludf.DUMMYFUNCTION("""COMPUTED_VALUE"""),"")</f>
        <v/>
      </c>
    </row>
    <row r="14325" spans="2:4" ht="13">
      <c r="B14325" s="12" t="str">
        <f ca="1">IFERROR(__xludf.DUMMYFUNCTION("""COMPUTED_VALUE"""),"")</f>
        <v/>
      </c>
      <c r="C14325" s="12" t="str">
        <f ca="1">IFERROR(__xludf.DUMMYFUNCTION("""COMPUTED_VALUE"""),"")</f>
        <v/>
      </c>
      <c r="D14325" s="12" t="str">
        <f ca="1">IFERROR(__xludf.DUMMYFUNCTION("""COMPUTED_VALUE"""),"")</f>
        <v/>
      </c>
    </row>
    <row r="14326" spans="2:4" ht="13">
      <c r="B14326" s="12" t="str">
        <f ca="1">IFERROR(__xludf.DUMMYFUNCTION("""COMPUTED_VALUE"""),"")</f>
        <v/>
      </c>
      <c r="C14326" s="12" t="str">
        <f ca="1">IFERROR(__xludf.DUMMYFUNCTION("""COMPUTED_VALUE"""),"")</f>
        <v/>
      </c>
      <c r="D14326" s="12" t="str">
        <f ca="1">IFERROR(__xludf.DUMMYFUNCTION("""COMPUTED_VALUE"""),"")</f>
        <v/>
      </c>
    </row>
    <row r="14327" spans="2:4" ht="13">
      <c r="B14327" s="12" t="str">
        <f ca="1">IFERROR(__xludf.DUMMYFUNCTION("""COMPUTED_VALUE"""),"")</f>
        <v/>
      </c>
      <c r="C14327" s="12" t="str">
        <f ca="1">IFERROR(__xludf.DUMMYFUNCTION("""COMPUTED_VALUE"""),"")</f>
        <v/>
      </c>
      <c r="D14327" s="12" t="str">
        <f ca="1">IFERROR(__xludf.DUMMYFUNCTION("""COMPUTED_VALUE"""),"")</f>
        <v/>
      </c>
    </row>
    <row r="14328" spans="2:4" ht="13">
      <c r="B14328" s="12" t="str">
        <f ca="1">IFERROR(__xludf.DUMMYFUNCTION("""COMPUTED_VALUE"""),"")</f>
        <v/>
      </c>
      <c r="C14328" s="12" t="str">
        <f ca="1">IFERROR(__xludf.DUMMYFUNCTION("""COMPUTED_VALUE"""),"")</f>
        <v/>
      </c>
      <c r="D14328" s="12" t="str">
        <f ca="1">IFERROR(__xludf.DUMMYFUNCTION("""COMPUTED_VALUE"""),"")</f>
        <v/>
      </c>
    </row>
    <row r="14329" spans="2:4" ht="13">
      <c r="B14329" s="12" t="str">
        <f ca="1">IFERROR(__xludf.DUMMYFUNCTION("""COMPUTED_VALUE"""),"")</f>
        <v/>
      </c>
      <c r="C14329" s="12" t="str">
        <f ca="1">IFERROR(__xludf.DUMMYFUNCTION("""COMPUTED_VALUE"""),"")</f>
        <v/>
      </c>
      <c r="D14329" s="12" t="str">
        <f ca="1">IFERROR(__xludf.DUMMYFUNCTION("""COMPUTED_VALUE"""),"")</f>
        <v/>
      </c>
    </row>
    <row r="14330" spans="2:4" ht="13">
      <c r="B14330" s="12" t="str">
        <f ca="1">IFERROR(__xludf.DUMMYFUNCTION("""COMPUTED_VALUE"""),"")</f>
        <v/>
      </c>
      <c r="C14330" s="12" t="str">
        <f ca="1">IFERROR(__xludf.DUMMYFUNCTION("""COMPUTED_VALUE"""),"")</f>
        <v/>
      </c>
      <c r="D14330" s="12" t="str">
        <f ca="1">IFERROR(__xludf.DUMMYFUNCTION("""COMPUTED_VALUE"""),"")</f>
        <v/>
      </c>
    </row>
    <row r="14331" spans="2:4" ht="13">
      <c r="B14331" s="12" t="str">
        <f ca="1">IFERROR(__xludf.DUMMYFUNCTION("""COMPUTED_VALUE"""),"")</f>
        <v/>
      </c>
      <c r="C14331" s="12" t="str">
        <f ca="1">IFERROR(__xludf.DUMMYFUNCTION("""COMPUTED_VALUE"""),"")</f>
        <v/>
      </c>
      <c r="D14331" s="12" t="str">
        <f ca="1">IFERROR(__xludf.DUMMYFUNCTION("""COMPUTED_VALUE"""),"")</f>
        <v/>
      </c>
    </row>
    <row r="14332" spans="2:4" ht="13">
      <c r="B14332" s="12" t="str">
        <f ca="1">IFERROR(__xludf.DUMMYFUNCTION("""COMPUTED_VALUE"""),"")</f>
        <v/>
      </c>
      <c r="C14332" s="12" t="str">
        <f ca="1">IFERROR(__xludf.DUMMYFUNCTION("""COMPUTED_VALUE"""),"")</f>
        <v/>
      </c>
      <c r="D14332" s="12" t="str">
        <f ca="1">IFERROR(__xludf.DUMMYFUNCTION("""COMPUTED_VALUE"""),"")</f>
        <v/>
      </c>
    </row>
    <row r="14333" spans="2:4" ht="13">
      <c r="B14333" s="12" t="str">
        <f ca="1">IFERROR(__xludf.DUMMYFUNCTION("""COMPUTED_VALUE"""),"")</f>
        <v/>
      </c>
      <c r="C14333" s="12" t="str">
        <f ca="1">IFERROR(__xludf.DUMMYFUNCTION("""COMPUTED_VALUE"""),"")</f>
        <v/>
      </c>
      <c r="D14333" s="12" t="str">
        <f ca="1">IFERROR(__xludf.DUMMYFUNCTION("""COMPUTED_VALUE"""),"")</f>
        <v/>
      </c>
    </row>
    <row r="14334" spans="2:4" ht="13">
      <c r="B14334" s="12" t="str">
        <f ca="1">IFERROR(__xludf.DUMMYFUNCTION("""COMPUTED_VALUE"""),"")</f>
        <v/>
      </c>
      <c r="C14334" s="12" t="str">
        <f ca="1">IFERROR(__xludf.DUMMYFUNCTION("""COMPUTED_VALUE"""),"")</f>
        <v/>
      </c>
      <c r="D14334" s="12" t="str">
        <f ca="1">IFERROR(__xludf.DUMMYFUNCTION("""COMPUTED_VALUE"""),"")</f>
        <v/>
      </c>
    </row>
    <row r="14335" spans="2:4" ht="13">
      <c r="B14335" s="12" t="str">
        <f ca="1">IFERROR(__xludf.DUMMYFUNCTION("""COMPUTED_VALUE"""),"")</f>
        <v/>
      </c>
      <c r="C14335" s="12" t="str">
        <f ca="1">IFERROR(__xludf.DUMMYFUNCTION("""COMPUTED_VALUE"""),"")</f>
        <v/>
      </c>
      <c r="D14335" s="12" t="str">
        <f ca="1">IFERROR(__xludf.DUMMYFUNCTION("""COMPUTED_VALUE"""),"")</f>
        <v/>
      </c>
    </row>
    <row r="14336" spans="2:4" ht="13">
      <c r="B14336" s="12" t="str">
        <f ca="1">IFERROR(__xludf.DUMMYFUNCTION("""COMPUTED_VALUE"""),"")</f>
        <v/>
      </c>
      <c r="C14336" s="12" t="str">
        <f ca="1">IFERROR(__xludf.DUMMYFUNCTION("""COMPUTED_VALUE"""),"")</f>
        <v/>
      </c>
      <c r="D14336" s="12" t="str">
        <f ca="1">IFERROR(__xludf.DUMMYFUNCTION("""COMPUTED_VALUE"""),"")</f>
        <v/>
      </c>
    </row>
    <row r="14337" spans="2:4" ht="13">
      <c r="B14337" s="12" t="str">
        <f ca="1">IFERROR(__xludf.DUMMYFUNCTION("""COMPUTED_VALUE"""),"")</f>
        <v/>
      </c>
      <c r="C14337" s="12" t="str">
        <f ca="1">IFERROR(__xludf.DUMMYFUNCTION("""COMPUTED_VALUE"""),"")</f>
        <v/>
      </c>
      <c r="D14337" s="12" t="str">
        <f ca="1">IFERROR(__xludf.DUMMYFUNCTION("""COMPUTED_VALUE"""),"")</f>
        <v/>
      </c>
    </row>
    <row r="14338" spans="2:4" ht="13">
      <c r="B14338" s="12" t="str">
        <f ca="1">IFERROR(__xludf.DUMMYFUNCTION("""COMPUTED_VALUE"""),"")</f>
        <v/>
      </c>
      <c r="C14338" s="12" t="str">
        <f ca="1">IFERROR(__xludf.DUMMYFUNCTION("""COMPUTED_VALUE"""),"")</f>
        <v/>
      </c>
      <c r="D14338" s="12" t="str">
        <f ca="1">IFERROR(__xludf.DUMMYFUNCTION("""COMPUTED_VALUE"""),"")</f>
        <v/>
      </c>
    </row>
    <row r="14339" spans="2:4" ht="13">
      <c r="B14339" s="12" t="str">
        <f ca="1">IFERROR(__xludf.DUMMYFUNCTION("""COMPUTED_VALUE"""),"")</f>
        <v/>
      </c>
      <c r="C14339" s="12" t="str">
        <f ca="1">IFERROR(__xludf.DUMMYFUNCTION("""COMPUTED_VALUE"""),"")</f>
        <v/>
      </c>
      <c r="D14339" s="12" t="str">
        <f ca="1">IFERROR(__xludf.DUMMYFUNCTION("""COMPUTED_VALUE"""),"")</f>
        <v/>
      </c>
    </row>
    <row r="14340" spans="2:4" ht="13">
      <c r="B14340" s="12" t="str">
        <f ca="1">IFERROR(__xludf.DUMMYFUNCTION("""COMPUTED_VALUE"""),"")</f>
        <v/>
      </c>
      <c r="C14340" s="12" t="str">
        <f ca="1">IFERROR(__xludf.DUMMYFUNCTION("""COMPUTED_VALUE"""),"")</f>
        <v/>
      </c>
      <c r="D14340" s="12" t="str">
        <f ca="1">IFERROR(__xludf.DUMMYFUNCTION("""COMPUTED_VALUE"""),"")</f>
        <v/>
      </c>
    </row>
    <row r="14341" spans="2:4" ht="13">
      <c r="B14341" s="12" t="str">
        <f ca="1">IFERROR(__xludf.DUMMYFUNCTION("""COMPUTED_VALUE"""),"")</f>
        <v/>
      </c>
      <c r="C14341" s="12" t="str">
        <f ca="1">IFERROR(__xludf.DUMMYFUNCTION("""COMPUTED_VALUE"""),"")</f>
        <v/>
      </c>
      <c r="D14341" s="12" t="str">
        <f ca="1">IFERROR(__xludf.DUMMYFUNCTION("""COMPUTED_VALUE"""),"")</f>
        <v/>
      </c>
    </row>
    <row r="14342" spans="2:4" ht="13">
      <c r="B14342" s="12" t="str">
        <f ca="1">IFERROR(__xludf.DUMMYFUNCTION("""COMPUTED_VALUE"""),"")</f>
        <v/>
      </c>
      <c r="C14342" s="12" t="str">
        <f ca="1">IFERROR(__xludf.DUMMYFUNCTION("""COMPUTED_VALUE"""),"")</f>
        <v/>
      </c>
      <c r="D14342" s="12" t="str">
        <f ca="1">IFERROR(__xludf.DUMMYFUNCTION("""COMPUTED_VALUE"""),"")</f>
        <v/>
      </c>
    </row>
    <row r="14343" spans="2:4" ht="13">
      <c r="B14343" s="12" t="str">
        <f ca="1">IFERROR(__xludf.DUMMYFUNCTION("""COMPUTED_VALUE"""),"")</f>
        <v/>
      </c>
      <c r="C14343" s="12" t="str">
        <f ca="1">IFERROR(__xludf.DUMMYFUNCTION("""COMPUTED_VALUE"""),"")</f>
        <v/>
      </c>
      <c r="D14343" s="12" t="str">
        <f ca="1">IFERROR(__xludf.DUMMYFUNCTION("""COMPUTED_VALUE"""),"")</f>
        <v/>
      </c>
    </row>
    <row r="14344" spans="2:4" ht="13">
      <c r="B14344" s="12" t="str">
        <f ca="1">IFERROR(__xludf.DUMMYFUNCTION("""COMPUTED_VALUE"""),"")</f>
        <v/>
      </c>
      <c r="C14344" s="12" t="str">
        <f ca="1">IFERROR(__xludf.DUMMYFUNCTION("""COMPUTED_VALUE"""),"")</f>
        <v/>
      </c>
      <c r="D14344" s="12" t="str">
        <f ca="1">IFERROR(__xludf.DUMMYFUNCTION("""COMPUTED_VALUE"""),"")</f>
        <v/>
      </c>
    </row>
    <row r="14345" spans="2:4" ht="13">
      <c r="B14345" s="12" t="str">
        <f ca="1">IFERROR(__xludf.DUMMYFUNCTION("""COMPUTED_VALUE"""),"")</f>
        <v/>
      </c>
      <c r="C14345" s="12" t="str">
        <f ca="1">IFERROR(__xludf.DUMMYFUNCTION("""COMPUTED_VALUE"""),"")</f>
        <v/>
      </c>
      <c r="D14345" s="12" t="str">
        <f ca="1">IFERROR(__xludf.DUMMYFUNCTION("""COMPUTED_VALUE"""),"")</f>
        <v/>
      </c>
    </row>
    <row r="14346" spans="2:4" ht="13">
      <c r="B14346" s="12" t="str">
        <f ca="1">IFERROR(__xludf.DUMMYFUNCTION("""COMPUTED_VALUE"""),"")</f>
        <v/>
      </c>
      <c r="C14346" s="12" t="str">
        <f ca="1">IFERROR(__xludf.DUMMYFUNCTION("""COMPUTED_VALUE"""),"")</f>
        <v/>
      </c>
      <c r="D14346" s="12" t="str">
        <f ca="1">IFERROR(__xludf.DUMMYFUNCTION("""COMPUTED_VALUE"""),"")</f>
        <v/>
      </c>
    </row>
    <row r="14347" spans="2:4" ht="13">
      <c r="B14347" s="12" t="str">
        <f ca="1">IFERROR(__xludf.DUMMYFUNCTION("""COMPUTED_VALUE"""),"")</f>
        <v/>
      </c>
      <c r="C14347" s="12" t="str">
        <f ca="1">IFERROR(__xludf.DUMMYFUNCTION("""COMPUTED_VALUE"""),"")</f>
        <v/>
      </c>
      <c r="D14347" s="12" t="str">
        <f ca="1">IFERROR(__xludf.DUMMYFUNCTION("""COMPUTED_VALUE"""),"")</f>
        <v/>
      </c>
    </row>
    <row r="14348" spans="2:4" ht="13">
      <c r="B14348" s="12" t="str">
        <f ca="1">IFERROR(__xludf.DUMMYFUNCTION("""COMPUTED_VALUE"""),"")</f>
        <v/>
      </c>
      <c r="C14348" s="12" t="str">
        <f ca="1">IFERROR(__xludf.DUMMYFUNCTION("""COMPUTED_VALUE"""),"")</f>
        <v/>
      </c>
      <c r="D14348" s="12" t="str">
        <f ca="1">IFERROR(__xludf.DUMMYFUNCTION("""COMPUTED_VALUE"""),"")</f>
        <v/>
      </c>
    </row>
    <row r="14349" spans="2:4" ht="13">
      <c r="B14349" s="12" t="str">
        <f ca="1">IFERROR(__xludf.DUMMYFUNCTION("""COMPUTED_VALUE"""),"")</f>
        <v/>
      </c>
      <c r="C14349" s="12" t="str">
        <f ca="1">IFERROR(__xludf.DUMMYFUNCTION("""COMPUTED_VALUE"""),"")</f>
        <v/>
      </c>
      <c r="D14349" s="12" t="str">
        <f ca="1">IFERROR(__xludf.DUMMYFUNCTION("""COMPUTED_VALUE"""),"")</f>
        <v/>
      </c>
    </row>
    <row r="14350" spans="2:4" ht="13">
      <c r="B14350" s="12" t="str">
        <f ca="1">IFERROR(__xludf.DUMMYFUNCTION("""COMPUTED_VALUE"""),"")</f>
        <v/>
      </c>
      <c r="C14350" s="12" t="str">
        <f ca="1">IFERROR(__xludf.DUMMYFUNCTION("""COMPUTED_VALUE"""),"")</f>
        <v/>
      </c>
      <c r="D14350" s="12" t="str">
        <f ca="1">IFERROR(__xludf.DUMMYFUNCTION("""COMPUTED_VALUE"""),"")</f>
        <v/>
      </c>
    </row>
    <row r="14351" spans="2:4" ht="13">
      <c r="B14351" s="12" t="str">
        <f ca="1">IFERROR(__xludf.DUMMYFUNCTION("""COMPUTED_VALUE"""),"")</f>
        <v/>
      </c>
      <c r="C14351" s="12" t="str">
        <f ca="1">IFERROR(__xludf.DUMMYFUNCTION("""COMPUTED_VALUE"""),"")</f>
        <v/>
      </c>
      <c r="D14351" s="12" t="str">
        <f ca="1">IFERROR(__xludf.DUMMYFUNCTION("""COMPUTED_VALUE"""),"")</f>
        <v/>
      </c>
    </row>
    <row r="14352" spans="2:4" ht="13">
      <c r="B14352" s="12" t="str">
        <f ca="1">IFERROR(__xludf.DUMMYFUNCTION("""COMPUTED_VALUE"""),"")</f>
        <v/>
      </c>
      <c r="C14352" s="12" t="str">
        <f ca="1">IFERROR(__xludf.DUMMYFUNCTION("""COMPUTED_VALUE"""),"")</f>
        <v/>
      </c>
      <c r="D14352" s="12" t="str">
        <f ca="1">IFERROR(__xludf.DUMMYFUNCTION("""COMPUTED_VALUE"""),"")</f>
        <v/>
      </c>
    </row>
    <row r="14353" spans="2:4" ht="13">
      <c r="B14353" s="12" t="str">
        <f ca="1">IFERROR(__xludf.DUMMYFUNCTION("""COMPUTED_VALUE"""),"")</f>
        <v/>
      </c>
      <c r="C14353" s="12" t="str">
        <f ca="1">IFERROR(__xludf.DUMMYFUNCTION("""COMPUTED_VALUE"""),"")</f>
        <v/>
      </c>
      <c r="D14353" s="12" t="str">
        <f ca="1">IFERROR(__xludf.DUMMYFUNCTION("""COMPUTED_VALUE"""),"")</f>
        <v/>
      </c>
    </row>
    <row r="14354" spans="2:4" ht="13">
      <c r="B14354" s="12" t="str">
        <f ca="1">IFERROR(__xludf.DUMMYFUNCTION("""COMPUTED_VALUE"""),"")</f>
        <v/>
      </c>
      <c r="C14354" s="12" t="str">
        <f ca="1">IFERROR(__xludf.DUMMYFUNCTION("""COMPUTED_VALUE"""),"")</f>
        <v/>
      </c>
      <c r="D14354" s="12" t="str">
        <f ca="1">IFERROR(__xludf.DUMMYFUNCTION("""COMPUTED_VALUE"""),"")</f>
        <v/>
      </c>
    </row>
    <row r="14355" spans="2:4" ht="13">
      <c r="B14355" s="12" t="str">
        <f ca="1">IFERROR(__xludf.DUMMYFUNCTION("""COMPUTED_VALUE"""),"")</f>
        <v/>
      </c>
      <c r="C14355" s="12" t="str">
        <f ca="1">IFERROR(__xludf.DUMMYFUNCTION("""COMPUTED_VALUE"""),"")</f>
        <v/>
      </c>
      <c r="D14355" s="12" t="str">
        <f ca="1">IFERROR(__xludf.DUMMYFUNCTION("""COMPUTED_VALUE"""),"")</f>
        <v/>
      </c>
    </row>
    <row r="14356" spans="2:4" ht="13">
      <c r="B14356" s="12" t="str">
        <f ca="1">IFERROR(__xludf.DUMMYFUNCTION("""COMPUTED_VALUE"""),"")</f>
        <v/>
      </c>
      <c r="C14356" s="12" t="str">
        <f ca="1">IFERROR(__xludf.DUMMYFUNCTION("""COMPUTED_VALUE"""),"")</f>
        <v/>
      </c>
      <c r="D14356" s="12" t="str">
        <f ca="1">IFERROR(__xludf.DUMMYFUNCTION("""COMPUTED_VALUE"""),"")</f>
        <v/>
      </c>
    </row>
    <row r="14357" spans="2:4" ht="13">
      <c r="B14357" s="12" t="str">
        <f ca="1">IFERROR(__xludf.DUMMYFUNCTION("""COMPUTED_VALUE"""),"")</f>
        <v/>
      </c>
      <c r="C14357" s="12" t="str">
        <f ca="1">IFERROR(__xludf.DUMMYFUNCTION("""COMPUTED_VALUE"""),"")</f>
        <v/>
      </c>
      <c r="D14357" s="12" t="str">
        <f ca="1">IFERROR(__xludf.DUMMYFUNCTION("""COMPUTED_VALUE"""),"")</f>
        <v/>
      </c>
    </row>
    <row r="14358" spans="2:4" ht="13">
      <c r="B14358" s="12" t="str">
        <f ca="1">IFERROR(__xludf.DUMMYFUNCTION("""COMPUTED_VALUE"""),"")</f>
        <v/>
      </c>
      <c r="C14358" s="12" t="str">
        <f ca="1">IFERROR(__xludf.DUMMYFUNCTION("""COMPUTED_VALUE"""),"")</f>
        <v/>
      </c>
      <c r="D14358" s="12" t="str">
        <f ca="1">IFERROR(__xludf.DUMMYFUNCTION("""COMPUTED_VALUE"""),"")</f>
        <v/>
      </c>
    </row>
    <row r="14359" spans="2:4" ht="13">
      <c r="B14359" s="12" t="str">
        <f ca="1">IFERROR(__xludf.DUMMYFUNCTION("""COMPUTED_VALUE"""),"")</f>
        <v/>
      </c>
      <c r="C14359" s="12" t="str">
        <f ca="1">IFERROR(__xludf.DUMMYFUNCTION("""COMPUTED_VALUE"""),"")</f>
        <v/>
      </c>
      <c r="D14359" s="12" t="str">
        <f ca="1">IFERROR(__xludf.DUMMYFUNCTION("""COMPUTED_VALUE"""),"")</f>
        <v/>
      </c>
    </row>
    <row r="14360" spans="2:4" ht="13">
      <c r="B14360" s="12" t="str">
        <f ca="1">IFERROR(__xludf.DUMMYFUNCTION("""COMPUTED_VALUE"""),"")</f>
        <v/>
      </c>
      <c r="C14360" s="12" t="str">
        <f ca="1">IFERROR(__xludf.DUMMYFUNCTION("""COMPUTED_VALUE"""),"")</f>
        <v/>
      </c>
      <c r="D14360" s="12" t="str">
        <f ca="1">IFERROR(__xludf.DUMMYFUNCTION("""COMPUTED_VALUE"""),"")</f>
        <v/>
      </c>
    </row>
    <row r="14361" spans="2:4" ht="13">
      <c r="B14361" s="12" t="str">
        <f ca="1">IFERROR(__xludf.DUMMYFUNCTION("""COMPUTED_VALUE"""),"")</f>
        <v/>
      </c>
      <c r="C14361" s="12" t="str">
        <f ca="1">IFERROR(__xludf.DUMMYFUNCTION("""COMPUTED_VALUE"""),"")</f>
        <v/>
      </c>
      <c r="D14361" s="12" t="str">
        <f ca="1">IFERROR(__xludf.DUMMYFUNCTION("""COMPUTED_VALUE"""),"")</f>
        <v/>
      </c>
    </row>
    <row r="14362" spans="2:4" ht="13">
      <c r="B14362" s="12" t="str">
        <f ca="1">IFERROR(__xludf.DUMMYFUNCTION("""COMPUTED_VALUE"""),"")</f>
        <v/>
      </c>
      <c r="C14362" s="12" t="str">
        <f ca="1">IFERROR(__xludf.DUMMYFUNCTION("""COMPUTED_VALUE"""),"")</f>
        <v/>
      </c>
      <c r="D14362" s="12" t="str">
        <f ca="1">IFERROR(__xludf.DUMMYFUNCTION("""COMPUTED_VALUE"""),"")</f>
        <v/>
      </c>
    </row>
    <row r="14363" spans="2:4" ht="13">
      <c r="B14363" s="12" t="str">
        <f ca="1">IFERROR(__xludf.DUMMYFUNCTION("""COMPUTED_VALUE"""),"")</f>
        <v/>
      </c>
      <c r="C14363" s="12" t="str">
        <f ca="1">IFERROR(__xludf.DUMMYFUNCTION("""COMPUTED_VALUE"""),"")</f>
        <v/>
      </c>
      <c r="D14363" s="12" t="str">
        <f ca="1">IFERROR(__xludf.DUMMYFUNCTION("""COMPUTED_VALUE"""),"")</f>
        <v/>
      </c>
    </row>
    <row r="14364" spans="2:4" ht="13">
      <c r="B14364" s="12" t="str">
        <f ca="1">IFERROR(__xludf.DUMMYFUNCTION("""COMPUTED_VALUE"""),"")</f>
        <v/>
      </c>
      <c r="C14364" s="12" t="str">
        <f ca="1">IFERROR(__xludf.DUMMYFUNCTION("""COMPUTED_VALUE"""),"")</f>
        <v/>
      </c>
      <c r="D14364" s="12" t="str">
        <f ca="1">IFERROR(__xludf.DUMMYFUNCTION("""COMPUTED_VALUE"""),"")</f>
        <v/>
      </c>
    </row>
    <row r="14365" spans="2:4" ht="13">
      <c r="B14365" s="12" t="str">
        <f ca="1">IFERROR(__xludf.DUMMYFUNCTION("""COMPUTED_VALUE"""),"")</f>
        <v/>
      </c>
      <c r="C14365" s="12" t="str">
        <f ca="1">IFERROR(__xludf.DUMMYFUNCTION("""COMPUTED_VALUE"""),"")</f>
        <v/>
      </c>
      <c r="D14365" s="12" t="str">
        <f ca="1">IFERROR(__xludf.DUMMYFUNCTION("""COMPUTED_VALUE"""),"")</f>
        <v/>
      </c>
    </row>
    <row r="14366" spans="2:4" ht="13">
      <c r="B14366" s="12" t="str">
        <f ca="1">IFERROR(__xludf.DUMMYFUNCTION("""COMPUTED_VALUE"""),"")</f>
        <v/>
      </c>
      <c r="C14366" s="12" t="str">
        <f ca="1">IFERROR(__xludf.DUMMYFUNCTION("""COMPUTED_VALUE"""),"")</f>
        <v/>
      </c>
      <c r="D14366" s="12" t="str">
        <f ca="1">IFERROR(__xludf.DUMMYFUNCTION("""COMPUTED_VALUE"""),"")</f>
        <v/>
      </c>
    </row>
    <row r="14367" spans="2:4" ht="13">
      <c r="B14367" s="12" t="str">
        <f ca="1">IFERROR(__xludf.DUMMYFUNCTION("""COMPUTED_VALUE"""),"")</f>
        <v/>
      </c>
      <c r="C14367" s="12" t="str">
        <f ca="1">IFERROR(__xludf.DUMMYFUNCTION("""COMPUTED_VALUE"""),"")</f>
        <v/>
      </c>
      <c r="D14367" s="12" t="str">
        <f ca="1">IFERROR(__xludf.DUMMYFUNCTION("""COMPUTED_VALUE"""),"")</f>
        <v/>
      </c>
    </row>
    <row r="14368" spans="2:4" ht="13">
      <c r="B14368" s="12" t="str">
        <f ca="1">IFERROR(__xludf.DUMMYFUNCTION("""COMPUTED_VALUE"""),"")</f>
        <v/>
      </c>
      <c r="C14368" s="12" t="str">
        <f ca="1">IFERROR(__xludf.DUMMYFUNCTION("""COMPUTED_VALUE"""),"")</f>
        <v/>
      </c>
      <c r="D14368" s="12" t="str">
        <f ca="1">IFERROR(__xludf.DUMMYFUNCTION("""COMPUTED_VALUE"""),"")</f>
        <v/>
      </c>
    </row>
    <row r="14369" spans="2:4" ht="13">
      <c r="B14369" s="12" t="str">
        <f ca="1">IFERROR(__xludf.DUMMYFUNCTION("""COMPUTED_VALUE"""),"")</f>
        <v/>
      </c>
      <c r="C14369" s="12" t="str">
        <f ca="1">IFERROR(__xludf.DUMMYFUNCTION("""COMPUTED_VALUE"""),"")</f>
        <v/>
      </c>
      <c r="D14369" s="12" t="str">
        <f ca="1">IFERROR(__xludf.DUMMYFUNCTION("""COMPUTED_VALUE"""),"")</f>
        <v/>
      </c>
    </row>
    <row r="14370" spans="2:4" ht="13">
      <c r="B14370" s="12" t="str">
        <f ca="1">IFERROR(__xludf.DUMMYFUNCTION("""COMPUTED_VALUE"""),"")</f>
        <v/>
      </c>
      <c r="C14370" s="12" t="str">
        <f ca="1">IFERROR(__xludf.DUMMYFUNCTION("""COMPUTED_VALUE"""),"")</f>
        <v/>
      </c>
      <c r="D14370" s="12" t="str">
        <f ca="1">IFERROR(__xludf.DUMMYFUNCTION("""COMPUTED_VALUE"""),"")</f>
        <v/>
      </c>
    </row>
    <row r="14371" spans="2:4" ht="13">
      <c r="B14371" s="12" t="str">
        <f ca="1">IFERROR(__xludf.DUMMYFUNCTION("""COMPUTED_VALUE"""),"")</f>
        <v/>
      </c>
      <c r="C14371" s="12" t="str">
        <f ca="1">IFERROR(__xludf.DUMMYFUNCTION("""COMPUTED_VALUE"""),"")</f>
        <v/>
      </c>
      <c r="D14371" s="12" t="str">
        <f ca="1">IFERROR(__xludf.DUMMYFUNCTION("""COMPUTED_VALUE"""),"")</f>
        <v/>
      </c>
    </row>
    <row r="14372" spans="2:4" ht="13">
      <c r="B14372" s="12" t="str">
        <f ca="1">IFERROR(__xludf.DUMMYFUNCTION("""COMPUTED_VALUE"""),"")</f>
        <v/>
      </c>
      <c r="C14372" s="12" t="str">
        <f ca="1">IFERROR(__xludf.DUMMYFUNCTION("""COMPUTED_VALUE"""),"")</f>
        <v/>
      </c>
      <c r="D14372" s="12" t="str">
        <f ca="1">IFERROR(__xludf.DUMMYFUNCTION("""COMPUTED_VALUE"""),"")</f>
        <v/>
      </c>
    </row>
    <row r="14373" spans="2:4" ht="13">
      <c r="B14373" s="12" t="str">
        <f ca="1">IFERROR(__xludf.DUMMYFUNCTION("""COMPUTED_VALUE"""),"")</f>
        <v/>
      </c>
      <c r="C14373" s="12" t="str">
        <f ca="1">IFERROR(__xludf.DUMMYFUNCTION("""COMPUTED_VALUE"""),"")</f>
        <v/>
      </c>
      <c r="D14373" s="12" t="str">
        <f ca="1">IFERROR(__xludf.DUMMYFUNCTION("""COMPUTED_VALUE"""),"")</f>
        <v/>
      </c>
    </row>
    <row r="14374" spans="2:4" ht="13">
      <c r="B14374" s="12" t="str">
        <f ca="1">IFERROR(__xludf.DUMMYFUNCTION("""COMPUTED_VALUE"""),"")</f>
        <v/>
      </c>
      <c r="C14374" s="12" t="str">
        <f ca="1">IFERROR(__xludf.DUMMYFUNCTION("""COMPUTED_VALUE"""),"")</f>
        <v/>
      </c>
      <c r="D14374" s="12" t="str">
        <f ca="1">IFERROR(__xludf.DUMMYFUNCTION("""COMPUTED_VALUE"""),"")</f>
        <v/>
      </c>
    </row>
    <row r="14375" spans="2:4" ht="13">
      <c r="B14375" s="12" t="str">
        <f ca="1">IFERROR(__xludf.DUMMYFUNCTION("""COMPUTED_VALUE"""),"")</f>
        <v/>
      </c>
      <c r="C14375" s="12" t="str">
        <f ca="1">IFERROR(__xludf.DUMMYFUNCTION("""COMPUTED_VALUE"""),"")</f>
        <v/>
      </c>
      <c r="D14375" s="12" t="str">
        <f ca="1">IFERROR(__xludf.DUMMYFUNCTION("""COMPUTED_VALUE"""),"")</f>
        <v/>
      </c>
    </row>
    <row r="14376" spans="2:4" ht="13">
      <c r="B14376" s="12" t="str">
        <f ca="1">IFERROR(__xludf.DUMMYFUNCTION("""COMPUTED_VALUE"""),"")</f>
        <v/>
      </c>
      <c r="C14376" s="12" t="str">
        <f ca="1">IFERROR(__xludf.DUMMYFUNCTION("""COMPUTED_VALUE"""),"")</f>
        <v/>
      </c>
      <c r="D14376" s="12" t="str">
        <f ca="1">IFERROR(__xludf.DUMMYFUNCTION("""COMPUTED_VALUE"""),"")</f>
        <v/>
      </c>
    </row>
    <row r="14377" spans="2:4" ht="13">
      <c r="B14377" s="12" t="str">
        <f ca="1">IFERROR(__xludf.DUMMYFUNCTION("""COMPUTED_VALUE"""),"")</f>
        <v/>
      </c>
      <c r="C14377" s="12" t="str">
        <f ca="1">IFERROR(__xludf.DUMMYFUNCTION("""COMPUTED_VALUE"""),"")</f>
        <v/>
      </c>
      <c r="D14377" s="12" t="str">
        <f ca="1">IFERROR(__xludf.DUMMYFUNCTION("""COMPUTED_VALUE"""),"")</f>
        <v/>
      </c>
    </row>
    <row r="14378" spans="2:4" ht="13">
      <c r="B14378" s="12" t="str">
        <f ca="1">IFERROR(__xludf.DUMMYFUNCTION("""COMPUTED_VALUE"""),"")</f>
        <v/>
      </c>
      <c r="C14378" s="12" t="str">
        <f ca="1">IFERROR(__xludf.DUMMYFUNCTION("""COMPUTED_VALUE"""),"")</f>
        <v/>
      </c>
      <c r="D14378" s="12" t="str">
        <f ca="1">IFERROR(__xludf.DUMMYFUNCTION("""COMPUTED_VALUE"""),"")</f>
        <v/>
      </c>
    </row>
    <row r="14379" spans="2:4" ht="13">
      <c r="B14379" s="12" t="str">
        <f ca="1">IFERROR(__xludf.DUMMYFUNCTION("""COMPUTED_VALUE"""),"")</f>
        <v/>
      </c>
      <c r="C14379" s="12" t="str">
        <f ca="1">IFERROR(__xludf.DUMMYFUNCTION("""COMPUTED_VALUE"""),"")</f>
        <v/>
      </c>
      <c r="D14379" s="12" t="str">
        <f ca="1">IFERROR(__xludf.DUMMYFUNCTION("""COMPUTED_VALUE"""),"")</f>
        <v/>
      </c>
    </row>
    <row r="14380" spans="2:4" ht="13">
      <c r="B14380" s="12" t="str">
        <f ca="1">IFERROR(__xludf.DUMMYFUNCTION("""COMPUTED_VALUE"""),"")</f>
        <v/>
      </c>
      <c r="C14380" s="12" t="str">
        <f ca="1">IFERROR(__xludf.DUMMYFUNCTION("""COMPUTED_VALUE"""),"")</f>
        <v/>
      </c>
      <c r="D14380" s="12" t="str">
        <f ca="1">IFERROR(__xludf.DUMMYFUNCTION("""COMPUTED_VALUE"""),"")</f>
        <v/>
      </c>
    </row>
    <row r="14381" spans="2:4" ht="13">
      <c r="B14381" s="12" t="str">
        <f ca="1">IFERROR(__xludf.DUMMYFUNCTION("""COMPUTED_VALUE"""),"")</f>
        <v/>
      </c>
      <c r="C14381" s="12" t="str">
        <f ca="1">IFERROR(__xludf.DUMMYFUNCTION("""COMPUTED_VALUE"""),"")</f>
        <v/>
      </c>
      <c r="D14381" s="12" t="str">
        <f ca="1">IFERROR(__xludf.DUMMYFUNCTION("""COMPUTED_VALUE"""),"")</f>
        <v/>
      </c>
    </row>
    <row r="14382" spans="2:4" ht="13">
      <c r="B14382" s="12" t="str">
        <f ca="1">IFERROR(__xludf.DUMMYFUNCTION("""COMPUTED_VALUE"""),"")</f>
        <v/>
      </c>
      <c r="C14382" s="12" t="str">
        <f ca="1">IFERROR(__xludf.DUMMYFUNCTION("""COMPUTED_VALUE"""),"")</f>
        <v/>
      </c>
      <c r="D14382" s="12" t="str">
        <f ca="1">IFERROR(__xludf.DUMMYFUNCTION("""COMPUTED_VALUE"""),"")</f>
        <v/>
      </c>
    </row>
    <row r="14383" spans="2:4" ht="13">
      <c r="B14383" s="12" t="str">
        <f ca="1">IFERROR(__xludf.DUMMYFUNCTION("""COMPUTED_VALUE"""),"")</f>
        <v/>
      </c>
      <c r="C14383" s="12" t="str">
        <f ca="1">IFERROR(__xludf.DUMMYFUNCTION("""COMPUTED_VALUE"""),"")</f>
        <v/>
      </c>
      <c r="D14383" s="12" t="str">
        <f ca="1">IFERROR(__xludf.DUMMYFUNCTION("""COMPUTED_VALUE"""),"")</f>
        <v/>
      </c>
    </row>
    <row r="14384" spans="2:4" ht="13">
      <c r="B14384" s="12" t="str">
        <f ca="1">IFERROR(__xludf.DUMMYFUNCTION("""COMPUTED_VALUE"""),"")</f>
        <v/>
      </c>
      <c r="C14384" s="12" t="str">
        <f ca="1">IFERROR(__xludf.DUMMYFUNCTION("""COMPUTED_VALUE"""),"")</f>
        <v/>
      </c>
      <c r="D14384" s="12" t="str">
        <f ca="1">IFERROR(__xludf.DUMMYFUNCTION("""COMPUTED_VALUE"""),"")</f>
        <v/>
      </c>
    </row>
    <row r="14385" spans="2:4" ht="13">
      <c r="B14385" s="12" t="str">
        <f ca="1">IFERROR(__xludf.DUMMYFUNCTION("""COMPUTED_VALUE"""),"")</f>
        <v/>
      </c>
      <c r="C14385" s="12" t="str">
        <f ca="1">IFERROR(__xludf.DUMMYFUNCTION("""COMPUTED_VALUE"""),"")</f>
        <v/>
      </c>
      <c r="D14385" s="12" t="str">
        <f ca="1">IFERROR(__xludf.DUMMYFUNCTION("""COMPUTED_VALUE"""),"")</f>
        <v/>
      </c>
    </row>
    <row r="14386" spans="2:4" ht="13">
      <c r="B14386" s="12" t="str">
        <f ca="1">IFERROR(__xludf.DUMMYFUNCTION("""COMPUTED_VALUE"""),"")</f>
        <v/>
      </c>
      <c r="C14386" s="12" t="str">
        <f ca="1">IFERROR(__xludf.DUMMYFUNCTION("""COMPUTED_VALUE"""),"")</f>
        <v/>
      </c>
      <c r="D14386" s="12" t="str">
        <f ca="1">IFERROR(__xludf.DUMMYFUNCTION("""COMPUTED_VALUE"""),"")</f>
        <v/>
      </c>
    </row>
    <row r="14387" spans="2:4" ht="13">
      <c r="B14387" s="12" t="str">
        <f ca="1">IFERROR(__xludf.DUMMYFUNCTION("""COMPUTED_VALUE"""),"")</f>
        <v/>
      </c>
      <c r="C14387" s="12" t="str">
        <f ca="1">IFERROR(__xludf.DUMMYFUNCTION("""COMPUTED_VALUE"""),"")</f>
        <v/>
      </c>
      <c r="D14387" s="12" t="str">
        <f ca="1">IFERROR(__xludf.DUMMYFUNCTION("""COMPUTED_VALUE"""),"")</f>
        <v/>
      </c>
    </row>
    <row r="14388" spans="2:4" ht="13">
      <c r="B14388" s="12" t="str">
        <f ca="1">IFERROR(__xludf.DUMMYFUNCTION("""COMPUTED_VALUE"""),"")</f>
        <v/>
      </c>
      <c r="C14388" s="12" t="str">
        <f ca="1">IFERROR(__xludf.DUMMYFUNCTION("""COMPUTED_VALUE"""),"")</f>
        <v/>
      </c>
      <c r="D14388" s="12" t="str">
        <f ca="1">IFERROR(__xludf.DUMMYFUNCTION("""COMPUTED_VALUE"""),"")</f>
        <v/>
      </c>
    </row>
    <row r="14389" spans="2:4" ht="13">
      <c r="B14389" s="12" t="str">
        <f ca="1">IFERROR(__xludf.DUMMYFUNCTION("""COMPUTED_VALUE"""),"")</f>
        <v/>
      </c>
      <c r="C14389" s="12" t="str">
        <f ca="1">IFERROR(__xludf.DUMMYFUNCTION("""COMPUTED_VALUE"""),"")</f>
        <v/>
      </c>
      <c r="D14389" s="12" t="str">
        <f ca="1">IFERROR(__xludf.DUMMYFUNCTION("""COMPUTED_VALUE"""),"")</f>
        <v/>
      </c>
    </row>
    <row r="14390" spans="2:4" ht="13">
      <c r="B14390" s="12" t="str">
        <f ca="1">IFERROR(__xludf.DUMMYFUNCTION("""COMPUTED_VALUE"""),"")</f>
        <v/>
      </c>
      <c r="C14390" s="12" t="str">
        <f ca="1">IFERROR(__xludf.DUMMYFUNCTION("""COMPUTED_VALUE"""),"")</f>
        <v/>
      </c>
      <c r="D14390" s="12" t="str">
        <f ca="1">IFERROR(__xludf.DUMMYFUNCTION("""COMPUTED_VALUE"""),"")</f>
        <v/>
      </c>
    </row>
    <row r="14391" spans="2:4" ht="13">
      <c r="B14391" s="12" t="str">
        <f ca="1">IFERROR(__xludf.DUMMYFUNCTION("""COMPUTED_VALUE"""),"")</f>
        <v/>
      </c>
      <c r="C14391" s="12" t="str">
        <f ca="1">IFERROR(__xludf.DUMMYFUNCTION("""COMPUTED_VALUE"""),"")</f>
        <v/>
      </c>
      <c r="D14391" s="12" t="str">
        <f ca="1">IFERROR(__xludf.DUMMYFUNCTION("""COMPUTED_VALUE"""),"")</f>
        <v/>
      </c>
    </row>
    <row r="14392" spans="2:4" ht="13">
      <c r="B14392" s="12" t="str">
        <f ca="1">IFERROR(__xludf.DUMMYFUNCTION("""COMPUTED_VALUE"""),"")</f>
        <v/>
      </c>
      <c r="C14392" s="12" t="str">
        <f ca="1">IFERROR(__xludf.DUMMYFUNCTION("""COMPUTED_VALUE"""),"")</f>
        <v/>
      </c>
      <c r="D14392" s="12" t="str">
        <f ca="1">IFERROR(__xludf.DUMMYFUNCTION("""COMPUTED_VALUE"""),"")</f>
        <v/>
      </c>
    </row>
    <row r="14393" spans="2:4" ht="13">
      <c r="B14393" s="12" t="str">
        <f ca="1">IFERROR(__xludf.DUMMYFUNCTION("""COMPUTED_VALUE"""),"")</f>
        <v/>
      </c>
      <c r="C14393" s="12" t="str">
        <f ca="1">IFERROR(__xludf.DUMMYFUNCTION("""COMPUTED_VALUE"""),"")</f>
        <v/>
      </c>
      <c r="D14393" s="12" t="str">
        <f ca="1">IFERROR(__xludf.DUMMYFUNCTION("""COMPUTED_VALUE"""),"")</f>
        <v/>
      </c>
    </row>
    <row r="14394" spans="2:4" ht="13">
      <c r="B14394" s="12" t="str">
        <f ca="1">IFERROR(__xludf.DUMMYFUNCTION("""COMPUTED_VALUE"""),"")</f>
        <v/>
      </c>
      <c r="C14394" s="12" t="str">
        <f ca="1">IFERROR(__xludf.DUMMYFUNCTION("""COMPUTED_VALUE"""),"")</f>
        <v/>
      </c>
      <c r="D14394" s="12" t="str">
        <f ca="1">IFERROR(__xludf.DUMMYFUNCTION("""COMPUTED_VALUE"""),"")</f>
        <v/>
      </c>
    </row>
    <row r="14395" spans="2:4" ht="13">
      <c r="B14395" s="12" t="str">
        <f ca="1">IFERROR(__xludf.DUMMYFUNCTION("""COMPUTED_VALUE"""),"")</f>
        <v/>
      </c>
      <c r="C14395" s="12" t="str">
        <f ca="1">IFERROR(__xludf.DUMMYFUNCTION("""COMPUTED_VALUE"""),"")</f>
        <v/>
      </c>
      <c r="D14395" s="12" t="str">
        <f ca="1">IFERROR(__xludf.DUMMYFUNCTION("""COMPUTED_VALUE"""),"")</f>
        <v/>
      </c>
    </row>
    <row r="14396" spans="2:4" ht="13">
      <c r="B14396" s="12" t="str">
        <f ca="1">IFERROR(__xludf.DUMMYFUNCTION("""COMPUTED_VALUE"""),"")</f>
        <v/>
      </c>
      <c r="C14396" s="12" t="str">
        <f ca="1">IFERROR(__xludf.DUMMYFUNCTION("""COMPUTED_VALUE"""),"")</f>
        <v/>
      </c>
      <c r="D14396" s="12" t="str">
        <f ca="1">IFERROR(__xludf.DUMMYFUNCTION("""COMPUTED_VALUE"""),"")</f>
        <v/>
      </c>
    </row>
    <row r="14397" spans="2:4" ht="13">
      <c r="B14397" s="12" t="str">
        <f ca="1">IFERROR(__xludf.DUMMYFUNCTION("""COMPUTED_VALUE"""),"")</f>
        <v/>
      </c>
      <c r="C14397" s="12" t="str">
        <f ca="1">IFERROR(__xludf.DUMMYFUNCTION("""COMPUTED_VALUE"""),"")</f>
        <v/>
      </c>
      <c r="D14397" s="12" t="str">
        <f ca="1">IFERROR(__xludf.DUMMYFUNCTION("""COMPUTED_VALUE"""),"")</f>
        <v/>
      </c>
    </row>
    <row r="14398" spans="2:4" ht="13">
      <c r="B14398" s="12" t="str">
        <f ca="1">IFERROR(__xludf.DUMMYFUNCTION("""COMPUTED_VALUE"""),"")</f>
        <v/>
      </c>
      <c r="C14398" s="12" t="str">
        <f ca="1">IFERROR(__xludf.DUMMYFUNCTION("""COMPUTED_VALUE"""),"")</f>
        <v/>
      </c>
      <c r="D14398" s="12" t="str">
        <f ca="1">IFERROR(__xludf.DUMMYFUNCTION("""COMPUTED_VALUE"""),"")</f>
        <v/>
      </c>
    </row>
    <row r="14399" spans="2:4" ht="13">
      <c r="B14399" s="12" t="str">
        <f ca="1">IFERROR(__xludf.DUMMYFUNCTION("""COMPUTED_VALUE"""),"")</f>
        <v/>
      </c>
      <c r="C14399" s="12" t="str">
        <f ca="1">IFERROR(__xludf.DUMMYFUNCTION("""COMPUTED_VALUE"""),"")</f>
        <v/>
      </c>
      <c r="D14399" s="12" t="str">
        <f ca="1">IFERROR(__xludf.DUMMYFUNCTION("""COMPUTED_VALUE"""),"")</f>
        <v/>
      </c>
    </row>
    <row r="14400" spans="2:4" ht="13">
      <c r="B14400" s="12" t="str">
        <f ca="1">IFERROR(__xludf.DUMMYFUNCTION("""COMPUTED_VALUE"""),"")</f>
        <v/>
      </c>
      <c r="C14400" s="12" t="str">
        <f ca="1">IFERROR(__xludf.DUMMYFUNCTION("""COMPUTED_VALUE"""),"")</f>
        <v/>
      </c>
      <c r="D14400" s="12" t="str">
        <f ca="1">IFERROR(__xludf.DUMMYFUNCTION("""COMPUTED_VALUE"""),"")</f>
        <v/>
      </c>
    </row>
    <row r="14401" spans="2:4" ht="13">
      <c r="B14401" s="12" t="str">
        <f ca="1">IFERROR(__xludf.DUMMYFUNCTION("""COMPUTED_VALUE"""),"")</f>
        <v/>
      </c>
      <c r="C14401" s="12" t="str">
        <f ca="1">IFERROR(__xludf.DUMMYFUNCTION("""COMPUTED_VALUE"""),"")</f>
        <v/>
      </c>
      <c r="D14401" s="12" t="str">
        <f ca="1">IFERROR(__xludf.DUMMYFUNCTION("""COMPUTED_VALUE"""),"")</f>
        <v/>
      </c>
    </row>
    <row r="14402" spans="2:4" ht="13">
      <c r="B14402" s="12" t="str">
        <f ca="1">IFERROR(__xludf.DUMMYFUNCTION("""COMPUTED_VALUE"""),"")</f>
        <v/>
      </c>
      <c r="C14402" s="12" t="str">
        <f ca="1">IFERROR(__xludf.DUMMYFUNCTION("""COMPUTED_VALUE"""),"")</f>
        <v/>
      </c>
      <c r="D14402" s="12" t="str">
        <f ca="1">IFERROR(__xludf.DUMMYFUNCTION("""COMPUTED_VALUE"""),"")</f>
        <v/>
      </c>
    </row>
    <row r="14403" spans="2:4" ht="13">
      <c r="B14403" s="12" t="str">
        <f ca="1">IFERROR(__xludf.DUMMYFUNCTION("""COMPUTED_VALUE"""),"")</f>
        <v/>
      </c>
      <c r="C14403" s="12" t="str">
        <f ca="1">IFERROR(__xludf.DUMMYFUNCTION("""COMPUTED_VALUE"""),"")</f>
        <v/>
      </c>
      <c r="D14403" s="12" t="str">
        <f ca="1">IFERROR(__xludf.DUMMYFUNCTION("""COMPUTED_VALUE"""),"")</f>
        <v/>
      </c>
    </row>
    <row r="14404" spans="2:4" ht="13">
      <c r="B14404" s="12" t="str">
        <f ca="1">IFERROR(__xludf.DUMMYFUNCTION("""COMPUTED_VALUE"""),"")</f>
        <v/>
      </c>
      <c r="C14404" s="12" t="str">
        <f ca="1">IFERROR(__xludf.DUMMYFUNCTION("""COMPUTED_VALUE"""),"")</f>
        <v/>
      </c>
      <c r="D14404" s="12" t="str">
        <f ca="1">IFERROR(__xludf.DUMMYFUNCTION("""COMPUTED_VALUE"""),"")</f>
        <v/>
      </c>
    </row>
    <row r="14405" spans="2:4" ht="13">
      <c r="B14405" s="12" t="str">
        <f ca="1">IFERROR(__xludf.DUMMYFUNCTION("""COMPUTED_VALUE"""),"")</f>
        <v/>
      </c>
      <c r="C14405" s="12" t="str">
        <f ca="1">IFERROR(__xludf.DUMMYFUNCTION("""COMPUTED_VALUE"""),"")</f>
        <v/>
      </c>
      <c r="D14405" s="12" t="str">
        <f ca="1">IFERROR(__xludf.DUMMYFUNCTION("""COMPUTED_VALUE"""),"")</f>
        <v/>
      </c>
    </row>
    <row r="14406" spans="2:4" ht="13">
      <c r="B14406" s="12" t="str">
        <f ca="1">IFERROR(__xludf.DUMMYFUNCTION("""COMPUTED_VALUE"""),"")</f>
        <v/>
      </c>
      <c r="C14406" s="12" t="str">
        <f ca="1">IFERROR(__xludf.DUMMYFUNCTION("""COMPUTED_VALUE"""),"")</f>
        <v/>
      </c>
      <c r="D14406" s="12" t="str">
        <f ca="1">IFERROR(__xludf.DUMMYFUNCTION("""COMPUTED_VALUE"""),"")</f>
        <v/>
      </c>
    </row>
    <row r="14407" spans="2:4" ht="13">
      <c r="B14407" s="12" t="str">
        <f ca="1">IFERROR(__xludf.DUMMYFUNCTION("""COMPUTED_VALUE"""),"")</f>
        <v/>
      </c>
      <c r="C14407" s="12" t="str">
        <f ca="1">IFERROR(__xludf.DUMMYFUNCTION("""COMPUTED_VALUE"""),"")</f>
        <v/>
      </c>
      <c r="D14407" s="12" t="str">
        <f ca="1">IFERROR(__xludf.DUMMYFUNCTION("""COMPUTED_VALUE"""),"")</f>
        <v/>
      </c>
    </row>
    <row r="14408" spans="2:4" ht="13">
      <c r="B14408" s="12" t="str">
        <f ca="1">IFERROR(__xludf.DUMMYFUNCTION("""COMPUTED_VALUE"""),"")</f>
        <v/>
      </c>
      <c r="C14408" s="12" t="str">
        <f ca="1">IFERROR(__xludf.DUMMYFUNCTION("""COMPUTED_VALUE"""),"")</f>
        <v/>
      </c>
      <c r="D14408" s="12" t="str">
        <f ca="1">IFERROR(__xludf.DUMMYFUNCTION("""COMPUTED_VALUE"""),"")</f>
        <v/>
      </c>
    </row>
    <row r="14409" spans="2:4" ht="13">
      <c r="B14409" s="12" t="str">
        <f ca="1">IFERROR(__xludf.DUMMYFUNCTION("""COMPUTED_VALUE"""),"")</f>
        <v/>
      </c>
      <c r="C14409" s="12" t="str">
        <f ca="1">IFERROR(__xludf.DUMMYFUNCTION("""COMPUTED_VALUE"""),"")</f>
        <v/>
      </c>
      <c r="D14409" s="12" t="str">
        <f ca="1">IFERROR(__xludf.DUMMYFUNCTION("""COMPUTED_VALUE"""),"")</f>
        <v/>
      </c>
    </row>
    <row r="14410" spans="2:4" ht="13">
      <c r="B14410" s="12" t="str">
        <f ca="1">IFERROR(__xludf.DUMMYFUNCTION("""COMPUTED_VALUE"""),"")</f>
        <v/>
      </c>
      <c r="C14410" s="12" t="str">
        <f ca="1">IFERROR(__xludf.DUMMYFUNCTION("""COMPUTED_VALUE"""),"")</f>
        <v/>
      </c>
      <c r="D14410" s="12" t="str">
        <f ca="1">IFERROR(__xludf.DUMMYFUNCTION("""COMPUTED_VALUE"""),"")</f>
        <v/>
      </c>
    </row>
    <row r="14411" spans="2:4" ht="13">
      <c r="B14411" s="12" t="str">
        <f ca="1">IFERROR(__xludf.DUMMYFUNCTION("""COMPUTED_VALUE"""),"")</f>
        <v/>
      </c>
      <c r="C14411" s="12" t="str">
        <f ca="1">IFERROR(__xludf.DUMMYFUNCTION("""COMPUTED_VALUE"""),"")</f>
        <v/>
      </c>
      <c r="D14411" s="12" t="str">
        <f ca="1">IFERROR(__xludf.DUMMYFUNCTION("""COMPUTED_VALUE"""),"")</f>
        <v/>
      </c>
    </row>
    <row r="14412" spans="2:4" ht="13">
      <c r="B14412" s="12" t="str">
        <f ca="1">IFERROR(__xludf.DUMMYFUNCTION("""COMPUTED_VALUE"""),"")</f>
        <v/>
      </c>
      <c r="C14412" s="12" t="str">
        <f ca="1">IFERROR(__xludf.DUMMYFUNCTION("""COMPUTED_VALUE"""),"")</f>
        <v/>
      </c>
      <c r="D14412" s="12" t="str">
        <f ca="1">IFERROR(__xludf.DUMMYFUNCTION("""COMPUTED_VALUE"""),"")</f>
        <v/>
      </c>
    </row>
    <row r="14413" spans="2:4" ht="13">
      <c r="B14413" s="12" t="str">
        <f ca="1">IFERROR(__xludf.DUMMYFUNCTION("""COMPUTED_VALUE"""),"")</f>
        <v/>
      </c>
      <c r="C14413" s="12" t="str">
        <f ca="1">IFERROR(__xludf.DUMMYFUNCTION("""COMPUTED_VALUE"""),"")</f>
        <v/>
      </c>
      <c r="D14413" s="12" t="str">
        <f ca="1">IFERROR(__xludf.DUMMYFUNCTION("""COMPUTED_VALUE"""),"")</f>
        <v/>
      </c>
    </row>
    <row r="14414" spans="2:4" ht="13">
      <c r="B14414" s="12" t="str">
        <f ca="1">IFERROR(__xludf.DUMMYFUNCTION("""COMPUTED_VALUE"""),"")</f>
        <v/>
      </c>
      <c r="C14414" s="12" t="str">
        <f ca="1">IFERROR(__xludf.DUMMYFUNCTION("""COMPUTED_VALUE"""),"")</f>
        <v/>
      </c>
      <c r="D14414" s="12" t="str">
        <f ca="1">IFERROR(__xludf.DUMMYFUNCTION("""COMPUTED_VALUE"""),"")</f>
        <v/>
      </c>
    </row>
    <row r="14415" spans="2:4" ht="13">
      <c r="B14415" s="12" t="str">
        <f ca="1">IFERROR(__xludf.DUMMYFUNCTION("""COMPUTED_VALUE"""),"")</f>
        <v/>
      </c>
      <c r="C14415" s="12" t="str">
        <f ca="1">IFERROR(__xludf.DUMMYFUNCTION("""COMPUTED_VALUE"""),"")</f>
        <v/>
      </c>
      <c r="D14415" s="12" t="str">
        <f ca="1">IFERROR(__xludf.DUMMYFUNCTION("""COMPUTED_VALUE"""),"")</f>
        <v/>
      </c>
    </row>
    <row r="14416" spans="2:4" ht="13">
      <c r="B14416" s="12" t="str">
        <f ca="1">IFERROR(__xludf.DUMMYFUNCTION("""COMPUTED_VALUE"""),"")</f>
        <v/>
      </c>
      <c r="C14416" s="12" t="str">
        <f ca="1">IFERROR(__xludf.DUMMYFUNCTION("""COMPUTED_VALUE"""),"")</f>
        <v/>
      </c>
      <c r="D14416" s="12" t="str">
        <f ca="1">IFERROR(__xludf.DUMMYFUNCTION("""COMPUTED_VALUE"""),"")</f>
        <v/>
      </c>
    </row>
    <row r="14417" spans="2:4" ht="13">
      <c r="B14417" s="12" t="str">
        <f ca="1">IFERROR(__xludf.DUMMYFUNCTION("""COMPUTED_VALUE"""),"")</f>
        <v/>
      </c>
      <c r="C14417" s="12" t="str">
        <f ca="1">IFERROR(__xludf.DUMMYFUNCTION("""COMPUTED_VALUE"""),"")</f>
        <v/>
      </c>
      <c r="D14417" s="12" t="str">
        <f ca="1">IFERROR(__xludf.DUMMYFUNCTION("""COMPUTED_VALUE"""),"")</f>
        <v/>
      </c>
    </row>
    <row r="14418" spans="2:4" ht="13">
      <c r="B14418" s="12" t="str">
        <f ca="1">IFERROR(__xludf.DUMMYFUNCTION("""COMPUTED_VALUE"""),"")</f>
        <v/>
      </c>
      <c r="C14418" s="12" t="str">
        <f ca="1">IFERROR(__xludf.DUMMYFUNCTION("""COMPUTED_VALUE"""),"")</f>
        <v/>
      </c>
      <c r="D14418" s="12" t="str">
        <f ca="1">IFERROR(__xludf.DUMMYFUNCTION("""COMPUTED_VALUE"""),"")</f>
        <v/>
      </c>
    </row>
    <row r="14419" spans="2:4" ht="13">
      <c r="B14419" s="12" t="str">
        <f ca="1">IFERROR(__xludf.DUMMYFUNCTION("""COMPUTED_VALUE"""),"")</f>
        <v/>
      </c>
      <c r="C14419" s="12" t="str">
        <f ca="1">IFERROR(__xludf.DUMMYFUNCTION("""COMPUTED_VALUE"""),"")</f>
        <v/>
      </c>
      <c r="D14419" s="12" t="str">
        <f ca="1">IFERROR(__xludf.DUMMYFUNCTION("""COMPUTED_VALUE"""),"")</f>
        <v/>
      </c>
    </row>
    <row r="14420" spans="2:4" ht="13">
      <c r="B14420" s="12" t="str">
        <f ca="1">IFERROR(__xludf.DUMMYFUNCTION("""COMPUTED_VALUE"""),"")</f>
        <v/>
      </c>
      <c r="C14420" s="12" t="str">
        <f ca="1">IFERROR(__xludf.DUMMYFUNCTION("""COMPUTED_VALUE"""),"")</f>
        <v/>
      </c>
      <c r="D14420" s="12" t="str">
        <f ca="1">IFERROR(__xludf.DUMMYFUNCTION("""COMPUTED_VALUE"""),"")</f>
        <v/>
      </c>
    </row>
    <row r="14421" spans="2:4" ht="13">
      <c r="B14421" s="12" t="str">
        <f ca="1">IFERROR(__xludf.DUMMYFUNCTION("""COMPUTED_VALUE"""),"")</f>
        <v/>
      </c>
      <c r="C14421" s="12" t="str">
        <f ca="1">IFERROR(__xludf.DUMMYFUNCTION("""COMPUTED_VALUE"""),"")</f>
        <v/>
      </c>
      <c r="D14421" s="12" t="str">
        <f ca="1">IFERROR(__xludf.DUMMYFUNCTION("""COMPUTED_VALUE"""),"")</f>
        <v/>
      </c>
    </row>
    <row r="14422" spans="2:4" ht="13">
      <c r="B14422" s="12" t="str">
        <f ca="1">IFERROR(__xludf.DUMMYFUNCTION("""COMPUTED_VALUE"""),"")</f>
        <v/>
      </c>
      <c r="C14422" s="12" t="str">
        <f ca="1">IFERROR(__xludf.DUMMYFUNCTION("""COMPUTED_VALUE"""),"")</f>
        <v/>
      </c>
      <c r="D14422" s="12" t="str">
        <f ca="1">IFERROR(__xludf.DUMMYFUNCTION("""COMPUTED_VALUE"""),"")</f>
        <v/>
      </c>
    </row>
    <row r="14423" spans="2:4" ht="13">
      <c r="B14423" s="12" t="str">
        <f ca="1">IFERROR(__xludf.DUMMYFUNCTION("""COMPUTED_VALUE"""),"")</f>
        <v/>
      </c>
      <c r="C14423" s="12" t="str">
        <f ca="1">IFERROR(__xludf.DUMMYFUNCTION("""COMPUTED_VALUE"""),"")</f>
        <v/>
      </c>
      <c r="D14423" s="12" t="str">
        <f ca="1">IFERROR(__xludf.DUMMYFUNCTION("""COMPUTED_VALUE"""),"")</f>
        <v/>
      </c>
    </row>
    <row r="14424" spans="2:4" ht="13">
      <c r="B14424" s="12" t="str">
        <f ca="1">IFERROR(__xludf.DUMMYFUNCTION("""COMPUTED_VALUE"""),"")</f>
        <v/>
      </c>
      <c r="C14424" s="12" t="str">
        <f ca="1">IFERROR(__xludf.DUMMYFUNCTION("""COMPUTED_VALUE"""),"")</f>
        <v/>
      </c>
      <c r="D14424" s="12" t="str">
        <f ca="1">IFERROR(__xludf.DUMMYFUNCTION("""COMPUTED_VALUE"""),"")</f>
        <v/>
      </c>
    </row>
    <row r="14425" spans="2:4" ht="13">
      <c r="B14425" s="12" t="str">
        <f ca="1">IFERROR(__xludf.DUMMYFUNCTION("""COMPUTED_VALUE"""),"")</f>
        <v/>
      </c>
      <c r="C14425" s="12" t="str">
        <f ca="1">IFERROR(__xludf.DUMMYFUNCTION("""COMPUTED_VALUE"""),"")</f>
        <v/>
      </c>
      <c r="D14425" s="12" t="str">
        <f ca="1">IFERROR(__xludf.DUMMYFUNCTION("""COMPUTED_VALUE"""),"")</f>
        <v/>
      </c>
    </row>
    <row r="14426" spans="2:4" ht="13">
      <c r="B14426" s="12" t="str">
        <f ca="1">IFERROR(__xludf.DUMMYFUNCTION("""COMPUTED_VALUE"""),"")</f>
        <v/>
      </c>
      <c r="C14426" s="12" t="str">
        <f ca="1">IFERROR(__xludf.DUMMYFUNCTION("""COMPUTED_VALUE"""),"")</f>
        <v/>
      </c>
      <c r="D14426" s="12" t="str">
        <f ca="1">IFERROR(__xludf.DUMMYFUNCTION("""COMPUTED_VALUE"""),"")</f>
        <v/>
      </c>
    </row>
    <row r="14427" spans="2:4" ht="13">
      <c r="B14427" s="12" t="str">
        <f ca="1">IFERROR(__xludf.DUMMYFUNCTION("""COMPUTED_VALUE"""),"")</f>
        <v/>
      </c>
      <c r="C14427" s="12" t="str">
        <f ca="1">IFERROR(__xludf.DUMMYFUNCTION("""COMPUTED_VALUE"""),"")</f>
        <v/>
      </c>
      <c r="D14427" s="12" t="str">
        <f ca="1">IFERROR(__xludf.DUMMYFUNCTION("""COMPUTED_VALUE"""),"")</f>
        <v/>
      </c>
    </row>
    <row r="14428" spans="2:4" ht="13">
      <c r="B14428" s="12" t="str">
        <f ca="1">IFERROR(__xludf.DUMMYFUNCTION("""COMPUTED_VALUE"""),"")</f>
        <v/>
      </c>
      <c r="C14428" s="12" t="str">
        <f ca="1">IFERROR(__xludf.DUMMYFUNCTION("""COMPUTED_VALUE"""),"")</f>
        <v/>
      </c>
      <c r="D14428" s="12" t="str">
        <f ca="1">IFERROR(__xludf.DUMMYFUNCTION("""COMPUTED_VALUE"""),"")</f>
        <v/>
      </c>
    </row>
    <row r="14429" spans="2:4" ht="13">
      <c r="B14429" s="12" t="str">
        <f ca="1">IFERROR(__xludf.DUMMYFUNCTION("""COMPUTED_VALUE"""),"")</f>
        <v/>
      </c>
      <c r="C14429" s="12" t="str">
        <f ca="1">IFERROR(__xludf.DUMMYFUNCTION("""COMPUTED_VALUE"""),"")</f>
        <v/>
      </c>
      <c r="D14429" s="12" t="str">
        <f ca="1">IFERROR(__xludf.DUMMYFUNCTION("""COMPUTED_VALUE"""),"")</f>
        <v/>
      </c>
    </row>
    <row r="14430" spans="2:4" ht="13">
      <c r="B14430" s="12" t="str">
        <f ca="1">IFERROR(__xludf.DUMMYFUNCTION("""COMPUTED_VALUE"""),"")</f>
        <v/>
      </c>
      <c r="C14430" s="12" t="str">
        <f ca="1">IFERROR(__xludf.DUMMYFUNCTION("""COMPUTED_VALUE"""),"")</f>
        <v/>
      </c>
      <c r="D14430" s="12" t="str">
        <f ca="1">IFERROR(__xludf.DUMMYFUNCTION("""COMPUTED_VALUE"""),"")</f>
        <v/>
      </c>
    </row>
    <row r="14431" spans="2:4" ht="13">
      <c r="B14431" s="12" t="str">
        <f ca="1">IFERROR(__xludf.DUMMYFUNCTION("""COMPUTED_VALUE"""),"")</f>
        <v/>
      </c>
      <c r="C14431" s="12" t="str">
        <f ca="1">IFERROR(__xludf.DUMMYFUNCTION("""COMPUTED_VALUE"""),"")</f>
        <v/>
      </c>
      <c r="D14431" s="12" t="str">
        <f ca="1">IFERROR(__xludf.DUMMYFUNCTION("""COMPUTED_VALUE"""),"")</f>
        <v/>
      </c>
    </row>
    <row r="14432" spans="2:4" ht="13">
      <c r="B14432" s="12" t="str">
        <f ca="1">IFERROR(__xludf.DUMMYFUNCTION("""COMPUTED_VALUE"""),"")</f>
        <v/>
      </c>
      <c r="C14432" s="12" t="str">
        <f ca="1">IFERROR(__xludf.DUMMYFUNCTION("""COMPUTED_VALUE"""),"")</f>
        <v/>
      </c>
      <c r="D14432" s="12" t="str">
        <f ca="1">IFERROR(__xludf.DUMMYFUNCTION("""COMPUTED_VALUE"""),"")</f>
        <v/>
      </c>
    </row>
    <row r="14433" spans="2:4" ht="13">
      <c r="B14433" s="12" t="str">
        <f ca="1">IFERROR(__xludf.DUMMYFUNCTION("""COMPUTED_VALUE"""),"")</f>
        <v/>
      </c>
      <c r="C14433" s="12" t="str">
        <f ca="1">IFERROR(__xludf.DUMMYFUNCTION("""COMPUTED_VALUE"""),"")</f>
        <v/>
      </c>
      <c r="D14433" s="12" t="str">
        <f ca="1">IFERROR(__xludf.DUMMYFUNCTION("""COMPUTED_VALUE"""),"")</f>
        <v/>
      </c>
    </row>
    <row r="14434" spans="2:4" ht="13">
      <c r="B14434" s="12" t="str">
        <f ca="1">IFERROR(__xludf.DUMMYFUNCTION("""COMPUTED_VALUE"""),"")</f>
        <v/>
      </c>
      <c r="C14434" s="12" t="str">
        <f ca="1">IFERROR(__xludf.DUMMYFUNCTION("""COMPUTED_VALUE"""),"")</f>
        <v/>
      </c>
      <c r="D14434" s="12" t="str">
        <f ca="1">IFERROR(__xludf.DUMMYFUNCTION("""COMPUTED_VALUE"""),"")</f>
        <v/>
      </c>
    </row>
    <row r="14435" spans="2:4" ht="13">
      <c r="B14435" s="12" t="str">
        <f ca="1">IFERROR(__xludf.DUMMYFUNCTION("""COMPUTED_VALUE"""),"")</f>
        <v/>
      </c>
      <c r="C14435" s="12" t="str">
        <f ca="1">IFERROR(__xludf.DUMMYFUNCTION("""COMPUTED_VALUE"""),"")</f>
        <v/>
      </c>
      <c r="D14435" s="12" t="str">
        <f ca="1">IFERROR(__xludf.DUMMYFUNCTION("""COMPUTED_VALUE"""),"")</f>
        <v/>
      </c>
    </row>
    <row r="14436" spans="2:4" ht="13">
      <c r="B14436" s="12" t="str">
        <f ca="1">IFERROR(__xludf.DUMMYFUNCTION("""COMPUTED_VALUE"""),"")</f>
        <v/>
      </c>
      <c r="C14436" s="12" t="str">
        <f ca="1">IFERROR(__xludf.DUMMYFUNCTION("""COMPUTED_VALUE"""),"")</f>
        <v/>
      </c>
      <c r="D14436" s="12" t="str">
        <f ca="1">IFERROR(__xludf.DUMMYFUNCTION("""COMPUTED_VALUE"""),"")</f>
        <v/>
      </c>
    </row>
    <row r="14437" spans="2:4" ht="13">
      <c r="B14437" s="12" t="str">
        <f ca="1">IFERROR(__xludf.DUMMYFUNCTION("""COMPUTED_VALUE"""),"")</f>
        <v/>
      </c>
      <c r="C14437" s="12" t="str">
        <f ca="1">IFERROR(__xludf.DUMMYFUNCTION("""COMPUTED_VALUE"""),"")</f>
        <v/>
      </c>
      <c r="D14437" s="12" t="str">
        <f ca="1">IFERROR(__xludf.DUMMYFUNCTION("""COMPUTED_VALUE"""),"")</f>
        <v/>
      </c>
    </row>
    <row r="14438" spans="2:4" ht="13">
      <c r="B14438" s="12" t="str">
        <f ca="1">IFERROR(__xludf.DUMMYFUNCTION("""COMPUTED_VALUE"""),"")</f>
        <v/>
      </c>
      <c r="C14438" s="12" t="str">
        <f ca="1">IFERROR(__xludf.DUMMYFUNCTION("""COMPUTED_VALUE"""),"")</f>
        <v/>
      </c>
      <c r="D14438" s="12" t="str">
        <f ca="1">IFERROR(__xludf.DUMMYFUNCTION("""COMPUTED_VALUE"""),"")</f>
        <v/>
      </c>
    </row>
    <row r="14439" spans="2:4" ht="13">
      <c r="B14439" s="12" t="str">
        <f ca="1">IFERROR(__xludf.DUMMYFUNCTION("""COMPUTED_VALUE"""),"")</f>
        <v/>
      </c>
      <c r="C14439" s="12" t="str">
        <f ca="1">IFERROR(__xludf.DUMMYFUNCTION("""COMPUTED_VALUE"""),"")</f>
        <v/>
      </c>
      <c r="D14439" s="12" t="str">
        <f ca="1">IFERROR(__xludf.DUMMYFUNCTION("""COMPUTED_VALUE"""),"")</f>
        <v/>
      </c>
    </row>
    <row r="14440" spans="2:4" ht="13">
      <c r="B14440" s="12" t="str">
        <f ca="1">IFERROR(__xludf.DUMMYFUNCTION("""COMPUTED_VALUE"""),"")</f>
        <v/>
      </c>
      <c r="C14440" s="12" t="str">
        <f ca="1">IFERROR(__xludf.DUMMYFUNCTION("""COMPUTED_VALUE"""),"")</f>
        <v/>
      </c>
      <c r="D14440" s="12" t="str">
        <f ca="1">IFERROR(__xludf.DUMMYFUNCTION("""COMPUTED_VALUE"""),"")</f>
        <v/>
      </c>
    </row>
    <row r="14441" spans="2:4" ht="13">
      <c r="B14441" s="12" t="str">
        <f ca="1">IFERROR(__xludf.DUMMYFUNCTION("""COMPUTED_VALUE"""),"")</f>
        <v/>
      </c>
      <c r="C14441" s="12" t="str">
        <f ca="1">IFERROR(__xludf.DUMMYFUNCTION("""COMPUTED_VALUE"""),"")</f>
        <v/>
      </c>
      <c r="D14441" s="12" t="str">
        <f ca="1">IFERROR(__xludf.DUMMYFUNCTION("""COMPUTED_VALUE"""),"")</f>
        <v/>
      </c>
    </row>
    <row r="14442" spans="2:4" ht="13">
      <c r="B14442" s="12" t="str">
        <f ca="1">IFERROR(__xludf.DUMMYFUNCTION("""COMPUTED_VALUE"""),"")</f>
        <v/>
      </c>
      <c r="C14442" s="12" t="str">
        <f ca="1">IFERROR(__xludf.DUMMYFUNCTION("""COMPUTED_VALUE"""),"")</f>
        <v/>
      </c>
      <c r="D14442" s="12" t="str">
        <f ca="1">IFERROR(__xludf.DUMMYFUNCTION("""COMPUTED_VALUE"""),"")</f>
        <v/>
      </c>
    </row>
    <row r="14443" spans="2:4" ht="13">
      <c r="B14443" s="12" t="str">
        <f ca="1">IFERROR(__xludf.DUMMYFUNCTION("""COMPUTED_VALUE"""),"")</f>
        <v/>
      </c>
      <c r="C14443" s="12" t="str">
        <f ca="1">IFERROR(__xludf.DUMMYFUNCTION("""COMPUTED_VALUE"""),"")</f>
        <v/>
      </c>
      <c r="D14443" s="12" t="str">
        <f ca="1">IFERROR(__xludf.DUMMYFUNCTION("""COMPUTED_VALUE"""),"")</f>
        <v/>
      </c>
    </row>
    <row r="14444" spans="2:4" ht="13">
      <c r="B14444" s="12" t="str">
        <f ca="1">IFERROR(__xludf.DUMMYFUNCTION("""COMPUTED_VALUE"""),"")</f>
        <v/>
      </c>
      <c r="C14444" s="12" t="str">
        <f ca="1">IFERROR(__xludf.DUMMYFUNCTION("""COMPUTED_VALUE"""),"")</f>
        <v/>
      </c>
      <c r="D14444" s="12" t="str">
        <f ca="1">IFERROR(__xludf.DUMMYFUNCTION("""COMPUTED_VALUE"""),"")</f>
        <v/>
      </c>
    </row>
    <row r="14445" spans="2:4" ht="13">
      <c r="B14445" s="12" t="str">
        <f ca="1">IFERROR(__xludf.DUMMYFUNCTION("""COMPUTED_VALUE"""),"")</f>
        <v/>
      </c>
      <c r="C14445" s="12" t="str">
        <f ca="1">IFERROR(__xludf.DUMMYFUNCTION("""COMPUTED_VALUE"""),"")</f>
        <v/>
      </c>
      <c r="D14445" s="12" t="str">
        <f ca="1">IFERROR(__xludf.DUMMYFUNCTION("""COMPUTED_VALUE"""),"")</f>
        <v/>
      </c>
    </row>
    <row r="14446" spans="2:4" ht="13">
      <c r="B14446" s="12" t="str">
        <f ca="1">IFERROR(__xludf.DUMMYFUNCTION("""COMPUTED_VALUE"""),"")</f>
        <v/>
      </c>
      <c r="C14446" s="12" t="str">
        <f ca="1">IFERROR(__xludf.DUMMYFUNCTION("""COMPUTED_VALUE"""),"")</f>
        <v/>
      </c>
      <c r="D14446" s="12" t="str">
        <f ca="1">IFERROR(__xludf.DUMMYFUNCTION("""COMPUTED_VALUE"""),"")</f>
        <v/>
      </c>
    </row>
    <row r="14447" spans="2:4" ht="13">
      <c r="B14447" s="12" t="str">
        <f ca="1">IFERROR(__xludf.DUMMYFUNCTION("""COMPUTED_VALUE"""),"")</f>
        <v/>
      </c>
      <c r="C14447" s="12" t="str">
        <f ca="1">IFERROR(__xludf.DUMMYFUNCTION("""COMPUTED_VALUE"""),"")</f>
        <v/>
      </c>
      <c r="D14447" s="12" t="str">
        <f ca="1">IFERROR(__xludf.DUMMYFUNCTION("""COMPUTED_VALUE"""),"")</f>
        <v/>
      </c>
    </row>
    <row r="14448" spans="2:4" ht="13">
      <c r="B14448" s="12" t="str">
        <f ca="1">IFERROR(__xludf.DUMMYFUNCTION("""COMPUTED_VALUE"""),"")</f>
        <v/>
      </c>
      <c r="C14448" s="12" t="str">
        <f ca="1">IFERROR(__xludf.DUMMYFUNCTION("""COMPUTED_VALUE"""),"")</f>
        <v/>
      </c>
      <c r="D14448" s="12" t="str">
        <f ca="1">IFERROR(__xludf.DUMMYFUNCTION("""COMPUTED_VALUE"""),"")</f>
        <v/>
      </c>
    </row>
    <row r="14449" spans="2:4" ht="13">
      <c r="B14449" s="12" t="str">
        <f ca="1">IFERROR(__xludf.DUMMYFUNCTION("""COMPUTED_VALUE"""),"")</f>
        <v/>
      </c>
      <c r="C14449" s="12" t="str">
        <f ca="1">IFERROR(__xludf.DUMMYFUNCTION("""COMPUTED_VALUE"""),"")</f>
        <v/>
      </c>
      <c r="D14449" s="12" t="str">
        <f ca="1">IFERROR(__xludf.DUMMYFUNCTION("""COMPUTED_VALUE"""),"")</f>
        <v/>
      </c>
    </row>
    <row r="14450" spans="2:4" ht="13">
      <c r="B14450" s="12" t="str">
        <f ca="1">IFERROR(__xludf.DUMMYFUNCTION("""COMPUTED_VALUE"""),"")</f>
        <v/>
      </c>
      <c r="C14450" s="12" t="str">
        <f ca="1">IFERROR(__xludf.DUMMYFUNCTION("""COMPUTED_VALUE"""),"")</f>
        <v/>
      </c>
      <c r="D14450" s="12" t="str">
        <f ca="1">IFERROR(__xludf.DUMMYFUNCTION("""COMPUTED_VALUE"""),"")</f>
        <v/>
      </c>
    </row>
    <row r="14451" spans="2:4" ht="13">
      <c r="B14451" s="12" t="str">
        <f ca="1">IFERROR(__xludf.DUMMYFUNCTION("""COMPUTED_VALUE"""),"")</f>
        <v/>
      </c>
      <c r="C14451" s="12" t="str">
        <f ca="1">IFERROR(__xludf.DUMMYFUNCTION("""COMPUTED_VALUE"""),"")</f>
        <v/>
      </c>
      <c r="D14451" s="12" t="str">
        <f ca="1">IFERROR(__xludf.DUMMYFUNCTION("""COMPUTED_VALUE"""),"")</f>
        <v/>
      </c>
    </row>
    <row r="14452" spans="2:4" ht="13">
      <c r="B14452" s="12" t="str">
        <f ca="1">IFERROR(__xludf.DUMMYFUNCTION("""COMPUTED_VALUE"""),"")</f>
        <v/>
      </c>
      <c r="C14452" s="12" t="str">
        <f ca="1">IFERROR(__xludf.DUMMYFUNCTION("""COMPUTED_VALUE"""),"")</f>
        <v/>
      </c>
      <c r="D14452" s="12" t="str">
        <f ca="1">IFERROR(__xludf.DUMMYFUNCTION("""COMPUTED_VALUE"""),"")</f>
        <v/>
      </c>
    </row>
    <row r="14453" spans="2:4" ht="13">
      <c r="B14453" s="12" t="str">
        <f ca="1">IFERROR(__xludf.DUMMYFUNCTION("""COMPUTED_VALUE"""),"")</f>
        <v/>
      </c>
      <c r="C14453" s="12" t="str">
        <f ca="1">IFERROR(__xludf.DUMMYFUNCTION("""COMPUTED_VALUE"""),"")</f>
        <v/>
      </c>
      <c r="D14453" s="12" t="str">
        <f ca="1">IFERROR(__xludf.DUMMYFUNCTION("""COMPUTED_VALUE"""),"")</f>
        <v/>
      </c>
    </row>
    <row r="14454" spans="2:4" ht="13">
      <c r="B14454" s="12" t="str">
        <f ca="1">IFERROR(__xludf.DUMMYFUNCTION("""COMPUTED_VALUE"""),"")</f>
        <v/>
      </c>
      <c r="C14454" s="12" t="str">
        <f ca="1">IFERROR(__xludf.DUMMYFUNCTION("""COMPUTED_VALUE"""),"")</f>
        <v/>
      </c>
      <c r="D14454" s="12" t="str">
        <f ca="1">IFERROR(__xludf.DUMMYFUNCTION("""COMPUTED_VALUE"""),"")</f>
        <v/>
      </c>
    </row>
    <row r="14455" spans="2:4" ht="13">
      <c r="B14455" s="12" t="str">
        <f ca="1">IFERROR(__xludf.DUMMYFUNCTION("""COMPUTED_VALUE"""),"")</f>
        <v/>
      </c>
      <c r="C14455" s="12" t="str">
        <f ca="1">IFERROR(__xludf.DUMMYFUNCTION("""COMPUTED_VALUE"""),"")</f>
        <v/>
      </c>
      <c r="D14455" s="12" t="str">
        <f ca="1">IFERROR(__xludf.DUMMYFUNCTION("""COMPUTED_VALUE"""),"")</f>
        <v/>
      </c>
    </row>
    <row r="14456" spans="2:4" ht="13">
      <c r="B14456" s="12" t="str">
        <f ca="1">IFERROR(__xludf.DUMMYFUNCTION("""COMPUTED_VALUE"""),"")</f>
        <v/>
      </c>
      <c r="C14456" s="12" t="str">
        <f ca="1">IFERROR(__xludf.DUMMYFUNCTION("""COMPUTED_VALUE"""),"")</f>
        <v/>
      </c>
      <c r="D14456" s="12" t="str">
        <f ca="1">IFERROR(__xludf.DUMMYFUNCTION("""COMPUTED_VALUE"""),"")</f>
        <v/>
      </c>
    </row>
    <row r="14457" spans="2:4" ht="13">
      <c r="B14457" s="12" t="str">
        <f ca="1">IFERROR(__xludf.DUMMYFUNCTION("""COMPUTED_VALUE"""),"")</f>
        <v/>
      </c>
      <c r="C14457" s="12" t="str">
        <f ca="1">IFERROR(__xludf.DUMMYFUNCTION("""COMPUTED_VALUE"""),"")</f>
        <v/>
      </c>
      <c r="D14457" s="12" t="str">
        <f ca="1">IFERROR(__xludf.DUMMYFUNCTION("""COMPUTED_VALUE"""),"")</f>
        <v/>
      </c>
    </row>
    <row r="14458" spans="2:4" ht="13">
      <c r="B14458" s="12" t="str">
        <f ca="1">IFERROR(__xludf.DUMMYFUNCTION("""COMPUTED_VALUE"""),"")</f>
        <v/>
      </c>
      <c r="C14458" s="12" t="str">
        <f ca="1">IFERROR(__xludf.DUMMYFUNCTION("""COMPUTED_VALUE"""),"")</f>
        <v/>
      </c>
      <c r="D14458" s="12" t="str">
        <f ca="1">IFERROR(__xludf.DUMMYFUNCTION("""COMPUTED_VALUE"""),"")</f>
        <v/>
      </c>
    </row>
    <row r="14459" spans="2:4" ht="13">
      <c r="B14459" s="12" t="str">
        <f ca="1">IFERROR(__xludf.DUMMYFUNCTION("""COMPUTED_VALUE"""),"")</f>
        <v/>
      </c>
      <c r="C14459" s="12" t="str">
        <f ca="1">IFERROR(__xludf.DUMMYFUNCTION("""COMPUTED_VALUE"""),"")</f>
        <v/>
      </c>
      <c r="D14459" s="12" t="str">
        <f ca="1">IFERROR(__xludf.DUMMYFUNCTION("""COMPUTED_VALUE"""),"")</f>
        <v/>
      </c>
    </row>
    <row r="14460" spans="2:4" ht="13">
      <c r="B14460" s="12" t="str">
        <f ca="1">IFERROR(__xludf.DUMMYFUNCTION("""COMPUTED_VALUE"""),"")</f>
        <v/>
      </c>
      <c r="C14460" s="12" t="str">
        <f ca="1">IFERROR(__xludf.DUMMYFUNCTION("""COMPUTED_VALUE"""),"")</f>
        <v/>
      </c>
      <c r="D14460" s="12" t="str">
        <f ca="1">IFERROR(__xludf.DUMMYFUNCTION("""COMPUTED_VALUE"""),"")</f>
        <v/>
      </c>
    </row>
    <row r="14461" spans="2:4" ht="13">
      <c r="B14461" s="12" t="str">
        <f ca="1">IFERROR(__xludf.DUMMYFUNCTION("""COMPUTED_VALUE"""),"")</f>
        <v/>
      </c>
      <c r="C14461" s="12" t="str">
        <f ca="1">IFERROR(__xludf.DUMMYFUNCTION("""COMPUTED_VALUE"""),"")</f>
        <v/>
      </c>
      <c r="D14461" s="12" t="str">
        <f ca="1">IFERROR(__xludf.DUMMYFUNCTION("""COMPUTED_VALUE"""),"")</f>
        <v/>
      </c>
    </row>
    <row r="14462" spans="2:4" ht="13">
      <c r="B14462" s="12" t="str">
        <f ca="1">IFERROR(__xludf.DUMMYFUNCTION("""COMPUTED_VALUE"""),"")</f>
        <v/>
      </c>
      <c r="C14462" s="12" t="str">
        <f ca="1">IFERROR(__xludf.DUMMYFUNCTION("""COMPUTED_VALUE"""),"")</f>
        <v/>
      </c>
      <c r="D14462" s="12" t="str">
        <f ca="1">IFERROR(__xludf.DUMMYFUNCTION("""COMPUTED_VALUE"""),"")</f>
        <v/>
      </c>
    </row>
    <row r="14463" spans="2:4" ht="13">
      <c r="B14463" s="12" t="str">
        <f ca="1">IFERROR(__xludf.DUMMYFUNCTION("""COMPUTED_VALUE"""),"")</f>
        <v/>
      </c>
      <c r="C14463" s="12" t="str">
        <f ca="1">IFERROR(__xludf.DUMMYFUNCTION("""COMPUTED_VALUE"""),"")</f>
        <v/>
      </c>
      <c r="D14463" s="12" t="str">
        <f ca="1">IFERROR(__xludf.DUMMYFUNCTION("""COMPUTED_VALUE"""),"")</f>
        <v/>
      </c>
    </row>
    <row r="14464" spans="2:4" ht="13">
      <c r="B14464" s="12" t="str">
        <f ca="1">IFERROR(__xludf.DUMMYFUNCTION("""COMPUTED_VALUE"""),"")</f>
        <v/>
      </c>
      <c r="C14464" s="12" t="str">
        <f ca="1">IFERROR(__xludf.DUMMYFUNCTION("""COMPUTED_VALUE"""),"")</f>
        <v/>
      </c>
      <c r="D14464" s="12" t="str">
        <f ca="1">IFERROR(__xludf.DUMMYFUNCTION("""COMPUTED_VALUE"""),"")</f>
        <v/>
      </c>
    </row>
    <row r="14465" spans="2:4" ht="13">
      <c r="B14465" s="12" t="str">
        <f ca="1">IFERROR(__xludf.DUMMYFUNCTION("""COMPUTED_VALUE"""),"")</f>
        <v/>
      </c>
      <c r="C14465" s="12" t="str">
        <f ca="1">IFERROR(__xludf.DUMMYFUNCTION("""COMPUTED_VALUE"""),"")</f>
        <v/>
      </c>
      <c r="D14465" s="12" t="str">
        <f ca="1">IFERROR(__xludf.DUMMYFUNCTION("""COMPUTED_VALUE"""),"")</f>
        <v/>
      </c>
    </row>
    <row r="14466" spans="2:4" ht="13">
      <c r="B14466" s="12" t="str">
        <f ca="1">IFERROR(__xludf.DUMMYFUNCTION("""COMPUTED_VALUE"""),"")</f>
        <v/>
      </c>
      <c r="C14466" s="12" t="str">
        <f ca="1">IFERROR(__xludf.DUMMYFUNCTION("""COMPUTED_VALUE"""),"")</f>
        <v/>
      </c>
      <c r="D14466" s="12" t="str">
        <f ca="1">IFERROR(__xludf.DUMMYFUNCTION("""COMPUTED_VALUE"""),"")</f>
        <v/>
      </c>
    </row>
    <row r="14467" spans="2:4" ht="13">
      <c r="B14467" s="12" t="str">
        <f ca="1">IFERROR(__xludf.DUMMYFUNCTION("""COMPUTED_VALUE"""),"")</f>
        <v/>
      </c>
      <c r="C14467" s="12" t="str">
        <f ca="1">IFERROR(__xludf.DUMMYFUNCTION("""COMPUTED_VALUE"""),"")</f>
        <v/>
      </c>
      <c r="D14467" s="12" t="str">
        <f ca="1">IFERROR(__xludf.DUMMYFUNCTION("""COMPUTED_VALUE"""),"")</f>
        <v/>
      </c>
    </row>
    <row r="14468" spans="2:4" ht="13">
      <c r="B14468" s="12" t="str">
        <f ca="1">IFERROR(__xludf.DUMMYFUNCTION("""COMPUTED_VALUE"""),"")</f>
        <v/>
      </c>
      <c r="C14468" s="12" t="str">
        <f ca="1">IFERROR(__xludf.DUMMYFUNCTION("""COMPUTED_VALUE"""),"")</f>
        <v/>
      </c>
      <c r="D14468" s="12" t="str">
        <f ca="1">IFERROR(__xludf.DUMMYFUNCTION("""COMPUTED_VALUE"""),"")</f>
        <v/>
      </c>
    </row>
    <row r="14469" spans="2:4" ht="13">
      <c r="B14469" s="12" t="str">
        <f ca="1">IFERROR(__xludf.DUMMYFUNCTION("""COMPUTED_VALUE"""),"")</f>
        <v/>
      </c>
      <c r="C14469" s="12" t="str">
        <f ca="1">IFERROR(__xludf.DUMMYFUNCTION("""COMPUTED_VALUE"""),"")</f>
        <v/>
      </c>
      <c r="D14469" s="12" t="str">
        <f ca="1">IFERROR(__xludf.DUMMYFUNCTION("""COMPUTED_VALUE"""),"")</f>
        <v/>
      </c>
    </row>
    <row r="14470" spans="2:4" ht="13">
      <c r="B14470" s="12" t="str">
        <f ca="1">IFERROR(__xludf.DUMMYFUNCTION("""COMPUTED_VALUE"""),"")</f>
        <v/>
      </c>
      <c r="C14470" s="12" t="str">
        <f ca="1">IFERROR(__xludf.DUMMYFUNCTION("""COMPUTED_VALUE"""),"")</f>
        <v/>
      </c>
      <c r="D14470" s="12" t="str">
        <f ca="1">IFERROR(__xludf.DUMMYFUNCTION("""COMPUTED_VALUE"""),"")</f>
        <v/>
      </c>
    </row>
    <row r="14471" spans="2:4" ht="13">
      <c r="B14471" s="12" t="str">
        <f ca="1">IFERROR(__xludf.DUMMYFUNCTION("""COMPUTED_VALUE"""),"")</f>
        <v/>
      </c>
      <c r="C14471" s="12" t="str">
        <f ca="1">IFERROR(__xludf.DUMMYFUNCTION("""COMPUTED_VALUE"""),"")</f>
        <v/>
      </c>
      <c r="D14471" s="12" t="str">
        <f ca="1">IFERROR(__xludf.DUMMYFUNCTION("""COMPUTED_VALUE"""),"")</f>
        <v/>
      </c>
    </row>
    <row r="14472" spans="2:4" ht="13">
      <c r="B14472" s="12" t="str">
        <f ca="1">IFERROR(__xludf.DUMMYFUNCTION("""COMPUTED_VALUE"""),"")</f>
        <v/>
      </c>
      <c r="C14472" s="12" t="str">
        <f ca="1">IFERROR(__xludf.DUMMYFUNCTION("""COMPUTED_VALUE"""),"")</f>
        <v/>
      </c>
      <c r="D14472" s="12" t="str">
        <f ca="1">IFERROR(__xludf.DUMMYFUNCTION("""COMPUTED_VALUE"""),"")</f>
        <v/>
      </c>
    </row>
    <row r="14473" spans="2:4" ht="13">
      <c r="B14473" s="12" t="str">
        <f ca="1">IFERROR(__xludf.DUMMYFUNCTION("""COMPUTED_VALUE"""),"")</f>
        <v/>
      </c>
      <c r="C14473" s="12" t="str">
        <f ca="1">IFERROR(__xludf.DUMMYFUNCTION("""COMPUTED_VALUE"""),"")</f>
        <v/>
      </c>
      <c r="D14473" s="12" t="str">
        <f ca="1">IFERROR(__xludf.DUMMYFUNCTION("""COMPUTED_VALUE"""),"")</f>
        <v/>
      </c>
    </row>
    <row r="14474" spans="2:4" ht="13">
      <c r="B14474" s="12" t="str">
        <f ca="1">IFERROR(__xludf.DUMMYFUNCTION("""COMPUTED_VALUE"""),"")</f>
        <v/>
      </c>
      <c r="C14474" s="12" t="str">
        <f ca="1">IFERROR(__xludf.DUMMYFUNCTION("""COMPUTED_VALUE"""),"")</f>
        <v/>
      </c>
      <c r="D14474" s="12" t="str">
        <f ca="1">IFERROR(__xludf.DUMMYFUNCTION("""COMPUTED_VALUE"""),"")</f>
        <v/>
      </c>
    </row>
    <row r="14475" spans="2:4" ht="13">
      <c r="B14475" s="12" t="str">
        <f ca="1">IFERROR(__xludf.DUMMYFUNCTION("""COMPUTED_VALUE"""),"")</f>
        <v/>
      </c>
      <c r="C14475" s="12" t="str">
        <f ca="1">IFERROR(__xludf.DUMMYFUNCTION("""COMPUTED_VALUE"""),"")</f>
        <v/>
      </c>
      <c r="D14475" s="12" t="str">
        <f ca="1">IFERROR(__xludf.DUMMYFUNCTION("""COMPUTED_VALUE"""),"")</f>
        <v/>
      </c>
    </row>
    <row r="14476" spans="2:4" ht="13">
      <c r="B14476" s="12" t="str">
        <f ca="1">IFERROR(__xludf.DUMMYFUNCTION("""COMPUTED_VALUE"""),"")</f>
        <v/>
      </c>
      <c r="C14476" s="12" t="str">
        <f ca="1">IFERROR(__xludf.DUMMYFUNCTION("""COMPUTED_VALUE"""),"")</f>
        <v/>
      </c>
      <c r="D14476" s="12" t="str">
        <f ca="1">IFERROR(__xludf.DUMMYFUNCTION("""COMPUTED_VALUE"""),"")</f>
        <v/>
      </c>
    </row>
    <row r="14477" spans="2:4" ht="13">
      <c r="B14477" s="12" t="str">
        <f ca="1">IFERROR(__xludf.DUMMYFUNCTION("""COMPUTED_VALUE"""),"")</f>
        <v/>
      </c>
      <c r="C14477" s="12" t="str">
        <f ca="1">IFERROR(__xludf.DUMMYFUNCTION("""COMPUTED_VALUE"""),"")</f>
        <v/>
      </c>
      <c r="D14477" s="12" t="str">
        <f ca="1">IFERROR(__xludf.DUMMYFUNCTION("""COMPUTED_VALUE"""),"")</f>
        <v/>
      </c>
    </row>
    <row r="14478" spans="2:4" ht="13">
      <c r="B14478" s="12" t="str">
        <f ca="1">IFERROR(__xludf.DUMMYFUNCTION("""COMPUTED_VALUE"""),"")</f>
        <v/>
      </c>
      <c r="C14478" s="12" t="str">
        <f ca="1">IFERROR(__xludf.DUMMYFUNCTION("""COMPUTED_VALUE"""),"")</f>
        <v/>
      </c>
      <c r="D14478" s="12" t="str">
        <f ca="1">IFERROR(__xludf.DUMMYFUNCTION("""COMPUTED_VALUE"""),"")</f>
        <v/>
      </c>
    </row>
    <row r="14479" spans="2:4" ht="13">
      <c r="B14479" s="12" t="str">
        <f ca="1">IFERROR(__xludf.DUMMYFUNCTION("""COMPUTED_VALUE"""),"")</f>
        <v/>
      </c>
      <c r="C14479" s="12" t="str">
        <f ca="1">IFERROR(__xludf.DUMMYFUNCTION("""COMPUTED_VALUE"""),"")</f>
        <v/>
      </c>
      <c r="D14479" s="12" t="str">
        <f ca="1">IFERROR(__xludf.DUMMYFUNCTION("""COMPUTED_VALUE"""),"")</f>
        <v/>
      </c>
    </row>
    <row r="14480" spans="2:4" ht="13">
      <c r="B14480" s="12" t="str">
        <f ca="1">IFERROR(__xludf.DUMMYFUNCTION("""COMPUTED_VALUE"""),"")</f>
        <v/>
      </c>
      <c r="C14480" s="12" t="str">
        <f ca="1">IFERROR(__xludf.DUMMYFUNCTION("""COMPUTED_VALUE"""),"")</f>
        <v/>
      </c>
      <c r="D14480" s="12" t="str">
        <f ca="1">IFERROR(__xludf.DUMMYFUNCTION("""COMPUTED_VALUE"""),"")</f>
        <v/>
      </c>
    </row>
    <row r="14481" spans="2:4" ht="13">
      <c r="B14481" s="12" t="str">
        <f ca="1">IFERROR(__xludf.DUMMYFUNCTION("""COMPUTED_VALUE"""),"")</f>
        <v/>
      </c>
      <c r="C14481" s="12" t="str">
        <f ca="1">IFERROR(__xludf.DUMMYFUNCTION("""COMPUTED_VALUE"""),"")</f>
        <v/>
      </c>
      <c r="D14481" s="12" t="str">
        <f ca="1">IFERROR(__xludf.DUMMYFUNCTION("""COMPUTED_VALUE"""),"")</f>
        <v/>
      </c>
    </row>
    <row r="14482" spans="2:4" ht="13">
      <c r="B14482" s="12" t="str">
        <f ca="1">IFERROR(__xludf.DUMMYFUNCTION("""COMPUTED_VALUE"""),"")</f>
        <v/>
      </c>
      <c r="C14482" s="12" t="str">
        <f ca="1">IFERROR(__xludf.DUMMYFUNCTION("""COMPUTED_VALUE"""),"")</f>
        <v/>
      </c>
      <c r="D14482" s="12" t="str">
        <f ca="1">IFERROR(__xludf.DUMMYFUNCTION("""COMPUTED_VALUE"""),"")</f>
        <v/>
      </c>
    </row>
    <row r="14483" spans="2:4" ht="13">
      <c r="B14483" s="12" t="str">
        <f ca="1">IFERROR(__xludf.DUMMYFUNCTION("""COMPUTED_VALUE"""),"")</f>
        <v/>
      </c>
      <c r="C14483" s="12" t="str">
        <f ca="1">IFERROR(__xludf.DUMMYFUNCTION("""COMPUTED_VALUE"""),"")</f>
        <v/>
      </c>
      <c r="D14483" s="12" t="str">
        <f ca="1">IFERROR(__xludf.DUMMYFUNCTION("""COMPUTED_VALUE"""),"")</f>
        <v/>
      </c>
    </row>
    <row r="14484" spans="2:4" ht="13">
      <c r="B14484" s="12" t="str">
        <f ca="1">IFERROR(__xludf.DUMMYFUNCTION("""COMPUTED_VALUE"""),"")</f>
        <v/>
      </c>
      <c r="C14484" s="12" t="str">
        <f ca="1">IFERROR(__xludf.DUMMYFUNCTION("""COMPUTED_VALUE"""),"")</f>
        <v/>
      </c>
      <c r="D14484" s="12" t="str">
        <f ca="1">IFERROR(__xludf.DUMMYFUNCTION("""COMPUTED_VALUE"""),"")</f>
        <v/>
      </c>
    </row>
    <row r="14485" spans="2:4" ht="13">
      <c r="B14485" s="12" t="str">
        <f ca="1">IFERROR(__xludf.DUMMYFUNCTION("""COMPUTED_VALUE"""),"")</f>
        <v/>
      </c>
      <c r="C14485" s="12" t="str">
        <f ca="1">IFERROR(__xludf.DUMMYFUNCTION("""COMPUTED_VALUE"""),"")</f>
        <v/>
      </c>
      <c r="D14485" s="12" t="str">
        <f ca="1">IFERROR(__xludf.DUMMYFUNCTION("""COMPUTED_VALUE"""),"")</f>
        <v/>
      </c>
    </row>
    <row r="14486" spans="2:4" ht="13">
      <c r="B14486" s="12" t="str">
        <f ca="1">IFERROR(__xludf.DUMMYFUNCTION("""COMPUTED_VALUE"""),"")</f>
        <v/>
      </c>
      <c r="C14486" s="12" t="str">
        <f ca="1">IFERROR(__xludf.DUMMYFUNCTION("""COMPUTED_VALUE"""),"")</f>
        <v/>
      </c>
      <c r="D14486" s="12" t="str">
        <f ca="1">IFERROR(__xludf.DUMMYFUNCTION("""COMPUTED_VALUE"""),"")</f>
        <v/>
      </c>
    </row>
    <row r="14487" spans="2:4" ht="13">
      <c r="B14487" s="12" t="str">
        <f ca="1">IFERROR(__xludf.DUMMYFUNCTION("""COMPUTED_VALUE"""),"")</f>
        <v/>
      </c>
      <c r="C14487" s="12" t="str">
        <f ca="1">IFERROR(__xludf.DUMMYFUNCTION("""COMPUTED_VALUE"""),"")</f>
        <v/>
      </c>
      <c r="D14487" s="12" t="str">
        <f ca="1">IFERROR(__xludf.DUMMYFUNCTION("""COMPUTED_VALUE"""),"")</f>
        <v/>
      </c>
    </row>
    <row r="14488" spans="2:4" ht="13">
      <c r="B14488" s="12" t="str">
        <f ca="1">IFERROR(__xludf.DUMMYFUNCTION("""COMPUTED_VALUE"""),"")</f>
        <v/>
      </c>
      <c r="C14488" s="12" t="str">
        <f ca="1">IFERROR(__xludf.DUMMYFUNCTION("""COMPUTED_VALUE"""),"")</f>
        <v/>
      </c>
      <c r="D14488" s="12" t="str">
        <f ca="1">IFERROR(__xludf.DUMMYFUNCTION("""COMPUTED_VALUE"""),"")</f>
        <v/>
      </c>
    </row>
    <row r="14489" spans="2:4" ht="13">
      <c r="B14489" s="12" t="str">
        <f ca="1">IFERROR(__xludf.DUMMYFUNCTION("""COMPUTED_VALUE"""),"")</f>
        <v/>
      </c>
      <c r="C14489" s="12" t="str">
        <f ca="1">IFERROR(__xludf.DUMMYFUNCTION("""COMPUTED_VALUE"""),"")</f>
        <v/>
      </c>
      <c r="D14489" s="12" t="str">
        <f ca="1">IFERROR(__xludf.DUMMYFUNCTION("""COMPUTED_VALUE"""),"")</f>
        <v/>
      </c>
    </row>
    <row r="14490" spans="2:4" ht="13">
      <c r="B14490" s="12" t="str">
        <f ca="1">IFERROR(__xludf.DUMMYFUNCTION("""COMPUTED_VALUE"""),"")</f>
        <v/>
      </c>
      <c r="C14490" s="12" t="str">
        <f ca="1">IFERROR(__xludf.DUMMYFUNCTION("""COMPUTED_VALUE"""),"")</f>
        <v/>
      </c>
      <c r="D14490" s="12" t="str">
        <f ca="1">IFERROR(__xludf.DUMMYFUNCTION("""COMPUTED_VALUE"""),"")</f>
        <v/>
      </c>
    </row>
    <row r="14491" spans="2:4" ht="13">
      <c r="B14491" s="12" t="str">
        <f ca="1">IFERROR(__xludf.DUMMYFUNCTION("""COMPUTED_VALUE"""),"")</f>
        <v/>
      </c>
      <c r="C14491" s="12" t="str">
        <f ca="1">IFERROR(__xludf.DUMMYFUNCTION("""COMPUTED_VALUE"""),"")</f>
        <v/>
      </c>
      <c r="D14491" s="12" t="str">
        <f ca="1">IFERROR(__xludf.DUMMYFUNCTION("""COMPUTED_VALUE"""),"")</f>
        <v/>
      </c>
    </row>
    <row r="14492" spans="2:4" ht="13">
      <c r="B14492" s="12" t="str">
        <f ca="1">IFERROR(__xludf.DUMMYFUNCTION("""COMPUTED_VALUE"""),"")</f>
        <v/>
      </c>
      <c r="C14492" s="12" t="str">
        <f ca="1">IFERROR(__xludf.DUMMYFUNCTION("""COMPUTED_VALUE"""),"")</f>
        <v/>
      </c>
      <c r="D14492" s="12" t="str">
        <f ca="1">IFERROR(__xludf.DUMMYFUNCTION("""COMPUTED_VALUE"""),"")</f>
        <v/>
      </c>
    </row>
    <row r="14493" spans="2:4" ht="13">
      <c r="B14493" s="12" t="str">
        <f ca="1">IFERROR(__xludf.DUMMYFUNCTION("""COMPUTED_VALUE"""),"")</f>
        <v/>
      </c>
      <c r="C14493" s="12" t="str">
        <f ca="1">IFERROR(__xludf.DUMMYFUNCTION("""COMPUTED_VALUE"""),"")</f>
        <v/>
      </c>
      <c r="D14493" s="12" t="str">
        <f ca="1">IFERROR(__xludf.DUMMYFUNCTION("""COMPUTED_VALUE"""),"")</f>
        <v/>
      </c>
    </row>
    <row r="14494" spans="2:4" ht="13">
      <c r="B14494" s="12" t="str">
        <f ca="1">IFERROR(__xludf.DUMMYFUNCTION("""COMPUTED_VALUE"""),"")</f>
        <v/>
      </c>
      <c r="C14494" s="12" t="str">
        <f ca="1">IFERROR(__xludf.DUMMYFUNCTION("""COMPUTED_VALUE"""),"")</f>
        <v/>
      </c>
      <c r="D14494" s="12" t="str">
        <f ca="1">IFERROR(__xludf.DUMMYFUNCTION("""COMPUTED_VALUE"""),"")</f>
        <v/>
      </c>
    </row>
    <row r="14495" spans="2:4" ht="13">
      <c r="B14495" s="12" t="str">
        <f ca="1">IFERROR(__xludf.DUMMYFUNCTION("""COMPUTED_VALUE"""),"")</f>
        <v/>
      </c>
      <c r="C14495" s="12" t="str">
        <f ca="1">IFERROR(__xludf.DUMMYFUNCTION("""COMPUTED_VALUE"""),"")</f>
        <v/>
      </c>
      <c r="D14495" s="12" t="str">
        <f ca="1">IFERROR(__xludf.DUMMYFUNCTION("""COMPUTED_VALUE"""),"")</f>
        <v/>
      </c>
    </row>
    <row r="14496" spans="2:4" ht="13">
      <c r="B14496" s="12" t="str">
        <f ca="1">IFERROR(__xludf.DUMMYFUNCTION("""COMPUTED_VALUE"""),"")</f>
        <v/>
      </c>
      <c r="C14496" s="12" t="str">
        <f ca="1">IFERROR(__xludf.DUMMYFUNCTION("""COMPUTED_VALUE"""),"")</f>
        <v/>
      </c>
      <c r="D14496" s="12" t="str">
        <f ca="1">IFERROR(__xludf.DUMMYFUNCTION("""COMPUTED_VALUE"""),"")</f>
        <v/>
      </c>
    </row>
    <row r="14497" spans="2:4" ht="13">
      <c r="B14497" s="12" t="str">
        <f ca="1">IFERROR(__xludf.DUMMYFUNCTION("""COMPUTED_VALUE"""),"")</f>
        <v/>
      </c>
      <c r="C14497" s="12" t="str">
        <f ca="1">IFERROR(__xludf.DUMMYFUNCTION("""COMPUTED_VALUE"""),"")</f>
        <v/>
      </c>
      <c r="D14497" s="12" t="str">
        <f ca="1">IFERROR(__xludf.DUMMYFUNCTION("""COMPUTED_VALUE"""),"")</f>
        <v/>
      </c>
    </row>
    <row r="14498" spans="2:4" ht="13">
      <c r="B14498" s="12" t="str">
        <f ca="1">IFERROR(__xludf.DUMMYFUNCTION("""COMPUTED_VALUE"""),"")</f>
        <v/>
      </c>
      <c r="C14498" s="12" t="str">
        <f ca="1">IFERROR(__xludf.DUMMYFUNCTION("""COMPUTED_VALUE"""),"")</f>
        <v/>
      </c>
      <c r="D14498" s="12" t="str">
        <f ca="1">IFERROR(__xludf.DUMMYFUNCTION("""COMPUTED_VALUE"""),"")</f>
        <v/>
      </c>
    </row>
    <row r="14499" spans="2:4" ht="13">
      <c r="B14499" s="12" t="str">
        <f ca="1">IFERROR(__xludf.DUMMYFUNCTION("""COMPUTED_VALUE"""),"")</f>
        <v/>
      </c>
      <c r="C14499" s="12" t="str">
        <f ca="1">IFERROR(__xludf.DUMMYFUNCTION("""COMPUTED_VALUE"""),"")</f>
        <v/>
      </c>
      <c r="D14499" s="12" t="str">
        <f ca="1">IFERROR(__xludf.DUMMYFUNCTION("""COMPUTED_VALUE"""),"")</f>
        <v/>
      </c>
    </row>
    <row r="14500" spans="2:4" ht="13">
      <c r="B14500" s="12" t="str">
        <f ca="1">IFERROR(__xludf.DUMMYFUNCTION("""COMPUTED_VALUE"""),"")</f>
        <v/>
      </c>
      <c r="C14500" s="12" t="str">
        <f ca="1">IFERROR(__xludf.DUMMYFUNCTION("""COMPUTED_VALUE"""),"")</f>
        <v/>
      </c>
      <c r="D14500" s="12" t="str">
        <f ca="1">IFERROR(__xludf.DUMMYFUNCTION("""COMPUTED_VALUE"""),"")</f>
        <v/>
      </c>
    </row>
    <row r="14501" spans="2:4" ht="13">
      <c r="B14501" s="12" t="str">
        <f ca="1">IFERROR(__xludf.DUMMYFUNCTION("""COMPUTED_VALUE"""),"")</f>
        <v/>
      </c>
      <c r="C14501" s="12" t="str">
        <f ca="1">IFERROR(__xludf.DUMMYFUNCTION("""COMPUTED_VALUE"""),"")</f>
        <v/>
      </c>
      <c r="D14501" s="12" t="str">
        <f ca="1">IFERROR(__xludf.DUMMYFUNCTION("""COMPUTED_VALUE"""),"")</f>
        <v/>
      </c>
    </row>
    <row r="14502" spans="2:4" ht="13">
      <c r="B14502" s="12" t="str">
        <f ca="1">IFERROR(__xludf.DUMMYFUNCTION("""COMPUTED_VALUE"""),"")</f>
        <v/>
      </c>
      <c r="C14502" s="12" t="str">
        <f ca="1">IFERROR(__xludf.DUMMYFUNCTION("""COMPUTED_VALUE"""),"")</f>
        <v/>
      </c>
      <c r="D14502" s="12" t="str">
        <f ca="1">IFERROR(__xludf.DUMMYFUNCTION("""COMPUTED_VALUE"""),"")</f>
        <v/>
      </c>
    </row>
    <row r="14503" spans="2:4" ht="13">
      <c r="B14503" s="12" t="str">
        <f ca="1">IFERROR(__xludf.DUMMYFUNCTION("""COMPUTED_VALUE"""),"")</f>
        <v/>
      </c>
      <c r="C14503" s="12" t="str">
        <f ca="1">IFERROR(__xludf.DUMMYFUNCTION("""COMPUTED_VALUE"""),"")</f>
        <v/>
      </c>
      <c r="D14503" s="12" t="str">
        <f ca="1">IFERROR(__xludf.DUMMYFUNCTION("""COMPUTED_VALUE"""),"")</f>
        <v/>
      </c>
    </row>
    <row r="14504" spans="2:4" ht="13">
      <c r="B14504" s="12" t="str">
        <f ca="1">IFERROR(__xludf.DUMMYFUNCTION("""COMPUTED_VALUE"""),"")</f>
        <v/>
      </c>
      <c r="C14504" s="12" t="str">
        <f ca="1">IFERROR(__xludf.DUMMYFUNCTION("""COMPUTED_VALUE"""),"")</f>
        <v/>
      </c>
      <c r="D14504" s="12" t="str">
        <f ca="1">IFERROR(__xludf.DUMMYFUNCTION("""COMPUTED_VALUE"""),"")</f>
        <v/>
      </c>
    </row>
    <row r="14505" spans="2:4" ht="13">
      <c r="B14505" s="12" t="str">
        <f ca="1">IFERROR(__xludf.DUMMYFUNCTION("""COMPUTED_VALUE"""),"")</f>
        <v/>
      </c>
      <c r="C14505" s="12" t="str">
        <f ca="1">IFERROR(__xludf.DUMMYFUNCTION("""COMPUTED_VALUE"""),"")</f>
        <v/>
      </c>
      <c r="D14505" s="12" t="str">
        <f ca="1">IFERROR(__xludf.DUMMYFUNCTION("""COMPUTED_VALUE"""),"")</f>
        <v/>
      </c>
    </row>
    <row r="14506" spans="2:4" ht="13">
      <c r="B14506" s="12" t="str">
        <f ca="1">IFERROR(__xludf.DUMMYFUNCTION("""COMPUTED_VALUE"""),"")</f>
        <v/>
      </c>
      <c r="C14506" s="12" t="str">
        <f ca="1">IFERROR(__xludf.DUMMYFUNCTION("""COMPUTED_VALUE"""),"")</f>
        <v/>
      </c>
      <c r="D14506" s="12" t="str">
        <f ca="1">IFERROR(__xludf.DUMMYFUNCTION("""COMPUTED_VALUE"""),"")</f>
        <v/>
      </c>
    </row>
    <row r="14507" spans="2:4" ht="13">
      <c r="B14507" s="12" t="str">
        <f ca="1">IFERROR(__xludf.DUMMYFUNCTION("""COMPUTED_VALUE"""),"")</f>
        <v/>
      </c>
      <c r="C14507" s="12" t="str">
        <f ca="1">IFERROR(__xludf.DUMMYFUNCTION("""COMPUTED_VALUE"""),"")</f>
        <v/>
      </c>
      <c r="D14507" s="12" t="str">
        <f ca="1">IFERROR(__xludf.DUMMYFUNCTION("""COMPUTED_VALUE"""),"")</f>
        <v/>
      </c>
    </row>
    <row r="14508" spans="2:4" ht="13">
      <c r="B14508" s="12" t="str">
        <f ca="1">IFERROR(__xludf.DUMMYFUNCTION("""COMPUTED_VALUE"""),"")</f>
        <v/>
      </c>
      <c r="C14508" s="12" t="str">
        <f ca="1">IFERROR(__xludf.DUMMYFUNCTION("""COMPUTED_VALUE"""),"")</f>
        <v/>
      </c>
      <c r="D14508" s="12" t="str">
        <f ca="1">IFERROR(__xludf.DUMMYFUNCTION("""COMPUTED_VALUE"""),"")</f>
        <v/>
      </c>
    </row>
    <row r="14509" spans="2:4" ht="13">
      <c r="B14509" s="12" t="str">
        <f ca="1">IFERROR(__xludf.DUMMYFUNCTION("""COMPUTED_VALUE"""),"")</f>
        <v/>
      </c>
      <c r="C14509" s="12" t="str">
        <f ca="1">IFERROR(__xludf.DUMMYFUNCTION("""COMPUTED_VALUE"""),"")</f>
        <v/>
      </c>
      <c r="D14509" s="12" t="str">
        <f ca="1">IFERROR(__xludf.DUMMYFUNCTION("""COMPUTED_VALUE"""),"")</f>
        <v/>
      </c>
    </row>
    <row r="14510" spans="2:4" ht="13">
      <c r="B14510" s="12" t="str">
        <f ca="1">IFERROR(__xludf.DUMMYFUNCTION("""COMPUTED_VALUE"""),"")</f>
        <v/>
      </c>
      <c r="C14510" s="12" t="str">
        <f ca="1">IFERROR(__xludf.DUMMYFUNCTION("""COMPUTED_VALUE"""),"")</f>
        <v/>
      </c>
      <c r="D14510" s="12" t="str">
        <f ca="1">IFERROR(__xludf.DUMMYFUNCTION("""COMPUTED_VALUE"""),"")</f>
        <v/>
      </c>
    </row>
    <row r="14511" spans="2:4" ht="13">
      <c r="B14511" s="12" t="str">
        <f ca="1">IFERROR(__xludf.DUMMYFUNCTION("""COMPUTED_VALUE"""),"")</f>
        <v/>
      </c>
      <c r="C14511" s="12" t="str">
        <f ca="1">IFERROR(__xludf.DUMMYFUNCTION("""COMPUTED_VALUE"""),"")</f>
        <v/>
      </c>
      <c r="D14511" s="12" t="str">
        <f ca="1">IFERROR(__xludf.DUMMYFUNCTION("""COMPUTED_VALUE"""),"")</f>
        <v/>
      </c>
    </row>
    <row r="14512" spans="2:4" ht="13">
      <c r="B14512" s="12" t="str">
        <f ca="1">IFERROR(__xludf.DUMMYFUNCTION("""COMPUTED_VALUE"""),"")</f>
        <v/>
      </c>
      <c r="C14512" s="12" t="str">
        <f ca="1">IFERROR(__xludf.DUMMYFUNCTION("""COMPUTED_VALUE"""),"")</f>
        <v/>
      </c>
      <c r="D14512" s="12" t="str">
        <f ca="1">IFERROR(__xludf.DUMMYFUNCTION("""COMPUTED_VALUE"""),"")</f>
        <v/>
      </c>
    </row>
    <row r="14513" spans="2:4" ht="13">
      <c r="B14513" s="12" t="str">
        <f ca="1">IFERROR(__xludf.DUMMYFUNCTION("""COMPUTED_VALUE"""),"")</f>
        <v/>
      </c>
      <c r="C14513" s="12" t="str">
        <f ca="1">IFERROR(__xludf.DUMMYFUNCTION("""COMPUTED_VALUE"""),"")</f>
        <v/>
      </c>
      <c r="D14513" s="12" t="str">
        <f ca="1">IFERROR(__xludf.DUMMYFUNCTION("""COMPUTED_VALUE"""),"")</f>
        <v/>
      </c>
    </row>
    <row r="14514" spans="2:4" ht="13">
      <c r="B14514" s="12" t="str">
        <f ca="1">IFERROR(__xludf.DUMMYFUNCTION("""COMPUTED_VALUE"""),"")</f>
        <v/>
      </c>
      <c r="C14514" s="12" t="str">
        <f ca="1">IFERROR(__xludf.DUMMYFUNCTION("""COMPUTED_VALUE"""),"")</f>
        <v/>
      </c>
      <c r="D14514" s="12" t="str">
        <f ca="1">IFERROR(__xludf.DUMMYFUNCTION("""COMPUTED_VALUE"""),"")</f>
        <v/>
      </c>
    </row>
    <row r="14515" spans="2:4" ht="13">
      <c r="B14515" s="12" t="str">
        <f ca="1">IFERROR(__xludf.DUMMYFUNCTION("""COMPUTED_VALUE"""),"")</f>
        <v/>
      </c>
      <c r="C14515" s="12" t="str">
        <f ca="1">IFERROR(__xludf.DUMMYFUNCTION("""COMPUTED_VALUE"""),"")</f>
        <v/>
      </c>
      <c r="D14515" s="12" t="str">
        <f ca="1">IFERROR(__xludf.DUMMYFUNCTION("""COMPUTED_VALUE"""),"")</f>
        <v/>
      </c>
    </row>
    <row r="14516" spans="2:4" ht="13">
      <c r="B14516" s="12" t="str">
        <f ca="1">IFERROR(__xludf.DUMMYFUNCTION("""COMPUTED_VALUE"""),"")</f>
        <v/>
      </c>
      <c r="C14516" s="12" t="str">
        <f ca="1">IFERROR(__xludf.DUMMYFUNCTION("""COMPUTED_VALUE"""),"")</f>
        <v/>
      </c>
      <c r="D14516" s="12" t="str">
        <f ca="1">IFERROR(__xludf.DUMMYFUNCTION("""COMPUTED_VALUE"""),"")</f>
        <v/>
      </c>
    </row>
    <row r="14517" spans="2:4" ht="13">
      <c r="B14517" s="12" t="str">
        <f ca="1">IFERROR(__xludf.DUMMYFUNCTION("""COMPUTED_VALUE"""),"")</f>
        <v/>
      </c>
      <c r="C14517" s="12" t="str">
        <f ca="1">IFERROR(__xludf.DUMMYFUNCTION("""COMPUTED_VALUE"""),"")</f>
        <v/>
      </c>
      <c r="D14517" s="12" t="str">
        <f ca="1">IFERROR(__xludf.DUMMYFUNCTION("""COMPUTED_VALUE"""),"")</f>
        <v/>
      </c>
    </row>
    <row r="14518" spans="2:4" ht="13">
      <c r="B14518" s="12" t="str">
        <f ca="1">IFERROR(__xludf.DUMMYFUNCTION("""COMPUTED_VALUE"""),"")</f>
        <v/>
      </c>
      <c r="C14518" s="12" t="str">
        <f ca="1">IFERROR(__xludf.DUMMYFUNCTION("""COMPUTED_VALUE"""),"")</f>
        <v/>
      </c>
      <c r="D14518" s="12" t="str">
        <f ca="1">IFERROR(__xludf.DUMMYFUNCTION("""COMPUTED_VALUE"""),"")</f>
        <v/>
      </c>
    </row>
    <row r="14519" spans="2:4" ht="13">
      <c r="B14519" s="12" t="str">
        <f ca="1">IFERROR(__xludf.DUMMYFUNCTION("""COMPUTED_VALUE"""),"")</f>
        <v/>
      </c>
      <c r="C14519" s="12" t="str">
        <f ca="1">IFERROR(__xludf.DUMMYFUNCTION("""COMPUTED_VALUE"""),"")</f>
        <v/>
      </c>
      <c r="D14519" s="12" t="str">
        <f ca="1">IFERROR(__xludf.DUMMYFUNCTION("""COMPUTED_VALUE"""),"")</f>
        <v/>
      </c>
    </row>
    <row r="14520" spans="2:4" ht="13">
      <c r="B14520" s="12" t="str">
        <f ca="1">IFERROR(__xludf.DUMMYFUNCTION("""COMPUTED_VALUE"""),"")</f>
        <v/>
      </c>
      <c r="C14520" s="12" t="str">
        <f ca="1">IFERROR(__xludf.DUMMYFUNCTION("""COMPUTED_VALUE"""),"")</f>
        <v/>
      </c>
      <c r="D14520" s="12" t="str">
        <f ca="1">IFERROR(__xludf.DUMMYFUNCTION("""COMPUTED_VALUE"""),"")</f>
        <v/>
      </c>
    </row>
    <row r="14521" spans="2:4" ht="13">
      <c r="B14521" s="12" t="str">
        <f ca="1">IFERROR(__xludf.DUMMYFUNCTION("""COMPUTED_VALUE"""),"")</f>
        <v/>
      </c>
      <c r="C14521" s="12" t="str">
        <f ca="1">IFERROR(__xludf.DUMMYFUNCTION("""COMPUTED_VALUE"""),"")</f>
        <v/>
      </c>
      <c r="D14521" s="12" t="str">
        <f ca="1">IFERROR(__xludf.DUMMYFUNCTION("""COMPUTED_VALUE"""),"")</f>
        <v/>
      </c>
    </row>
    <row r="14522" spans="2:4" ht="13">
      <c r="B14522" s="12" t="str">
        <f ca="1">IFERROR(__xludf.DUMMYFUNCTION("""COMPUTED_VALUE"""),"")</f>
        <v/>
      </c>
      <c r="C14522" s="12" t="str">
        <f ca="1">IFERROR(__xludf.DUMMYFUNCTION("""COMPUTED_VALUE"""),"")</f>
        <v/>
      </c>
      <c r="D14522" s="12" t="str">
        <f ca="1">IFERROR(__xludf.DUMMYFUNCTION("""COMPUTED_VALUE"""),"")</f>
        <v/>
      </c>
    </row>
    <row r="14523" spans="2:4" ht="13">
      <c r="B14523" s="12" t="str">
        <f ca="1">IFERROR(__xludf.DUMMYFUNCTION("""COMPUTED_VALUE"""),"")</f>
        <v/>
      </c>
      <c r="C14523" s="12" t="str">
        <f ca="1">IFERROR(__xludf.DUMMYFUNCTION("""COMPUTED_VALUE"""),"")</f>
        <v/>
      </c>
      <c r="D14523" s="12" t="str">
        <f ca="1">IFERROR(__xludf.DUMMYFUNCTION("""COMPUTED_VALUE"""),"")</f>
        <v/>
      </c>
    </row>
    <row r="14524" spans="2:4" ht="13">
      <c r="B14524" s="12" t="str">
        <f ca="1">IFERROR(__xludf.DUMMYFUNCTION("""COMPUTED_VALUE"""),"")</f>
        <v/>
      </c>
      <c r="C14524" s="12" t="str">
        <f ca="1">IFERROR(__xludf.DUMMYFUNCTION("""COMPUTED_VALUE"""),"")</f>
        <v/>
      </c>
      <c r="D14524" s="12" t="str">
        <f ca="1">IFERROR(__xludf.DUMMYFUNCTION("""COMPUTED_VALUE"""),"")</f>
        <v/>
      </c>
    </row>
    <row r="14525" spans="2:4" ht="13">
      <c r="B14525" s="12" t="str">
        <f ca="1">IFERROR(__xludf.DUMMYFUNCTION("""COMPUTED_VALUE"""),"")</f>
        <v/>
      </c>
      <c r="C14525" s="12" t="str">
        <f ca="1">IFERROR(__xludf.DUMMYFUNCTION("""COMPUTED_VALUE"""),"")</f>
        <v/>
      </c>
      <c r="D14525" s="12" t="str">
        <f ca="1">IFERROR(__xludf.DUMMYFUNCTION("""COMPUTED_VALUE"""),"")</f>
        <v/>
      </c>
    </row>
    <row r="14526" spans="2:4" ht="13">
      <c r="B14526" s="12" t="str">
        <f ca="1">IFERROR(__xludf.DUMMYFUNCTION("""COMPUTED_VALUE"""),"")</f>
        <v/>
      </c>
      <c r="C14526" s="12" t="str">
        <f ca="1">IFERROR(__xludf.DUMMYFUNCTION("""COMPUTED_VALUE"""),"")</f>
        <v/>
      </c>
      <c r="D14526" s="12" t="str">
        <f ca="1">IFERROR(__xludf.DUMMYFUNCTION("""COMPUTED_VALUE"""),"")</f>
        <v/>
      </c>
    </row>
    <row r="14527" spans="2:4" ht="13">
      <c r="B14527" s="12" t="str">
        <f ca="1">IFERROR(__xludf.DUMMYFUNCTION("""COMPUTED_VALUE"""),"")</f>
        <v/>
      </c>
      <c r="C14527" s="12" t="str">
        <f ca="1">IFERROR(__xludf.DUMMYFUNCTION("""COMPUTED_VALUE"""),"")</f>
        <v/>
      </c>
      <c r="D14527" s="12" t="str">
        <f ca="1">IFERROR(__xludf.DUMMYFUNCTION("""COMPUTED_VALUE"""),"")</f>
        <v/>
      </c>
    </row>
    <row r="14528" spans="2:4" ht="13">
      <c r="B14528" s="12" t="str">
        <f ca="1">IFERROR(__xludf.DUMMYFUNCTION("""COMPUTED_VALUE"""),"")</f>
        <v/>
      </c>
      <c r="C14528" s="12" t="str">
        <f ca="1">IFERROR(__xludf.DUMMYFUNCTION("""COMPUTED_VALUE"""),"")</f>
        <v/>
      </c>
      <c r="D14528" s="12" t="str">
        <f ca="1">IFERROR(__xludf.DUMMYFUNCTION("""COMPUTED_VALUE"""),"")</f>
        <v/>
      </c>
    </row>
    <row r="14529" spans="2:4" ht="13">
      <c r="B14529" s="12" t="str">
        <f ca="1">IFERROR(__xludf.DUMMYFUNCTION("""COMPUTED_VALUE"""),"")</f>
        <v/>
      </c>
      <c r="C14529" s="12" t="str">
        <f ca="1">IFERROR(__xludf.DUMMYFUNCTION("""COMPUTED_VALUE"""),"")</f>
        <v/>
      </c>
      <c r="D14529" s="12" t="str">
        <f ca="1">IFERROR(__xludf.DUMMYFUNCTION("""COMPUTED_VALUE"""),"")</f>
        <v/>
      </c>
    </row>
    <row r="14530" spans="2:4" ht="13">
      <c r="B14530" s="12" t="str">
        <f ca="1">IFERROR(__xludf.DUMMYFUNCTION("""COMPUTED_VALUE"""),"")</f>
        <v/>
      </c>
      <c r="C14530" s="12" t="str">
        <f ca="1">IFERROR(__xludf.DUMMYFUNCTION("""COMPUTED_VALUE"""),"")</f>
        <v/>
      </c>
      <c r="D14530" s="12" t="str">
        <f ca="1">IFERROR(__xludf.DUMMYFUNCTION("""COMPUTED_VALUE"""),"")</f>
        <v/>
      </c>
    </row>
    <row r="14531" spans="2:4" ht="13">
      <c r="B14531" s="12" t="str">
        <f ca="1">IFERROR(__xludf.DUMMYFUNCTION("""COMPUTED_VALUE"""),"")</f>
        <v/>
      </c>
      <c r="C14531" s="12" t="str">
        <f ca="1">IFERROR(__xludf.DUMMYFUNCTION("""COMPUTED_VALUE"""),"")</f>
        <v/>
      </c>
      <c r="D14531" s="12" t="str">
        <f ca="1">IFERROR(__xludf.DUMMYFUNCTION("""COMPUTED_VALUE"""),"")</f>
        <v/>
      </c>
    </row>
    <row r="14532" spans="2:4" ht="13">
      <c r="B14532" s="12" t="str">
        <f ca="1">IFERROR(__xludf.DUMMYFUNCTION("""COMPUTED_VALUE"""),"")</f>
        <v/>
      </c>
      <c r="C14532" s="12" t="str">
        <f ca="1">IFERROR(__xludf.DUMMYFUNCTION("""COMPUTED_VALUE"""),"")</f>
        <v/>
      </c>
      <c r="D14532" s="12" t="str">
        <f ca="1">IFERROR(__xludf.DUMMYFUNCTION("""COMPUTED_VALUE"""),"")</f>
        <v/>
      </c>
    </row>
    <row r="14533" spans="2:4" ht="13">
      <c r="B14533" s="12" t="str">
        <f ca="1">IFERROR(__xludf.DUMMYFUNCTION("""COMPUTED_VALUE"""),"")</f>
        <v/>
      </c>
      <c r="C14533" s="12" t="str">
        <f ca="1">IFERROR(__xludf.DUMMYFUNCTION("""COMPUTED_VALUE"""),"")</f>
        <v/>
      </c>
      <c r="D14533" s="12" t="str">
        <f ca="1">IFERROR(__xludf.DUMMYFUNCTION("""COMPUTED_VALUE"""),"")</f>
        <v/>
      </c>
    </row>
    <row r="14534" spans="2:4" ht="13">
      <c r="B14534" s="12" t="str">
        <f ca="1">IFERROR(__xludf.DUMMYFUNCTION("""COMPUTED_VALUE"""),"")</f>
        <v/>
      </c>
      <c r="C14534" s="12" t="str">
        <f ca="1">IFERROR(__xludf.DUMMYFUNCTION("""COMPUTED_VALUE"""),"")</f>
        <v/>
      </c>
      <c r="D14534" s="12" t="str">
        <f ca="1">IFERROR(__xludf.DUMMYFUNCTION("""COMPUTED_VALUE"""),"")</f>
        <v/>
      </c>
    </row>
    <row r="14535" spans="2:4" ht="13">
      <c r="B14535" s="12" t="str">
        <f ca="1">IFERROR(__xludf.DUMMYFUNCTION("""COMPUTED_VALUE"""),"")</f>
        <v/>
      </c>
      <c r="C14535" s="12" t="str">
        <f ca="1">IFERROR(__xludf.DUMMYFUNCTION("""COMPUTED_VALUE"""),"")</f>
        <v/>
      </c>
      <c r="D14535" s="12" t="str">
        <f ca="1">IFERROR(__xludf.DUMMYFUNCTION("""COMPUTED_VALUE"""),"")</f>
        <v/>
      </c>
    </row>
    <row r="14536" spans="2:4" ht="13">
      <c r="B14536" s="12" t="str">
        <f ca="1">IFERROR(__xludf.DUMMYFUNCTION("""COMPUTED_VALUE"""),"")</f>
        <v/>
      </c>
      <c r="C14536" s="12" t="str">
        <f ca="1">IFERROR(__xludf.DUMMYFUNCTION("""COMPUTED_VALUE"""),"")</f>
        <v/>
      </c>
      <c r="D14536" s="12" t="str">
        <f ca="1">IFERROR(__xludf.DUMMYFUNCTION("""COMPUTED_VALUE"""),"")</f>
        <v/>
      </c>
    </row>
    <row r="14537" spans="2:4" ht="13">
      <c r="B14537" s="12" t="str">
        <f ca="1">IFERROR(__xludf.DUMMYFUNCTION("""COMPUTED_VALUE"""),"")</f>
        <v/>
      </c>
      <c r="C14537" s="12" t="str">
        <f ca="1">IFERROR(__xludf.DUMMYFUNCTION("""COMPUTED_VALUE"""),"")</f>
        <v/>
      </c>
      <c r="D14537" s="12" t="str">
        <f ca="1">IFERROR(__xludf.DUMMYFUNCTION("""COMPUTED_VALUE"""),"")</f>
        <v/>
      </c>
    </row>
    <row r="14538" spans="2:4" ht="13">
      <c r="B14538" s="12" t="str">
        <f ca="1">IFERROR(__xludf.DUMMYFUNCTION("""COMPUTED_VALUE"""),"")</f>
        <v/>
      </c>
      <c r="C14538" s="12" t="str">
        <f ca="1">IFERROR(__xludf.DUMMYFUNCTION("""COMPUTED_VALUE"""),"")</f>
        <v/>
      </c>
      <c r="D14538" s="12" t="str">
        <f ca="1">IFERROR(__xludf.DUMMYFUNCTION("""COMPUTED_VALUE"""),"")</f>
        <v/>
      </c>
    </row>
    <row r="14539" spans="2:4" ht="13">
      <c r="B14539" s="12" t="str">
        <f ca="1">IFERROR(__xludf.DUMMYFUNCTION("""COMPUTED_VALUE"""),"")</f>
        <v/>
      </c>
      <c r="C14539" s="12" t="str">
        <f ca="1">IFERROR(__xludf.DUMMYFUNCTION("""COMPUTED_VALUE"""),"")</f>
        <v/>
      </c>
      <c r="D14539" s="12" t="str">
        <f ca="1">IFERROR(__xludf.DUMMYFUNCTION("""COMPUTED_VALUE"""),"")</f>
        <v/>
      </c>
    </row>
    <row r="14540" spans="2:4" ht="13">
      <c r="B14540" s="12" t="str">
        <f ca="1">IFERROR(__xludf.DUMMYFUNCTION("""COMPUTED_VALUE"""),"")</f>
        <v/>
      </c>
      <c r="C14540" s="12" t="str">
        <f ca="1">IFERROR(__xludf.DUMMYFUNCTION("""COMPUTED_VALUE"""),"")</f>
        <v/>
      </c>
      <c r="D14540" s="12" t="str">
        <f ca="1">IFERROR(__xludf.DUMMYFUNCTION("""COMPUTED_VALUE"""),"")</f>
        <v/>
      </c>
    </row>
    <row r="14541" spans="2:4" ht="13">
      <c r="B14541" s="12" t="str">
        <f ca="1">IFERROR(__xludf.DUMMYFUNCTION("""COMPUTED_VALUE"""),"")</f>
        <v/>
      </c>
      <c r="C14541" s="12" t="str">
        <f ca="1">IFERROR(__xludf.DUMMYFUNCTION("""COMPUTED_VALUE"""),"")</f>
        <v/>
      </c>
      <c r="D14541" s="12" t="str">
        <f ca="1">IFERROR(__xludf.DUMMYFUNCTION("""COMPUTED_VALUE"""),"")</f>
        <v/>
      </c>
    </row>
    <row r="14542" spans="2:4" ht="13">
      <c r="B14542" s="12" t="str">
        <f ca="1">IFERROR(__xludf.DUMMYFUNCTION("""COMPUTED_VALUE"""),"")</f>
        <v/>
      </c>
      <c r="C14542" s="12" t="str">
        <f ca="1">IFERROR(__xludf.DUMMYFUNCTION("""COMPUTED_VALUE"""),"")</f>
        <v/>
      </c>
      <c r="D14542" s="12" t="str">
        <f ca="1">IFERROR(__xludf.DUMMYFUNCTION("""COMPUTED_VALUE"""),"")</f>
        <v/>
      </c>
    </row>
    <row r="14543" spans="2:4" ht="13">
      <c r="B14543" s="12" t="str">
        <f ca="1">IFERROR(__xludf.DUMMYFUNCTION("""COMPUTED_VALUE"""),"")</f>
        <v/>
      </c>
      <c r="C14543" s="12" t="str">
        <f ca="1">IFERROR(__xludf.DUMMYFUNCTION("""COMPUTED_VALUE"""),"")</f>
        <v/>
      </c>
      <c r="D14543" s="12" t="str">
        <f ca="1">IFERROR(__xludf.DUMMYFUNCTION("""COMPUTED_VALUE"""),"")</f>
        <v/>
      </c>
    </row>
    <row r="14544" spans="2:4" ht="13">
      <c r="B14544" s="12" t="str">
        <f ca="1">IFERROR(__xludf.DUMMYFUNCTION("""COMPUTED_VALUE"""),"")</f>
        <v/>
      </c>
      <c r="C14544" s="12" t="str">
        <f ca="1">IFERROR(__xludf.DUMMYFUNCTION("""COMPUTED_VALUE"""),"")</f>
        <v/>
      </c>
      <c r="D14544" s="12" t="str">
        <f ca="1">IFERROR(__xludf.DUMMYFUNCTION("""COMPUTED_VALUE"""),"")</f>
        <v/>
      </c>
    </row>
    <row r="14545" spans="2:4" ht="13">
      <c r="B14545" s="12" t="str">
        <f ca="1">IFERROR(__xludf.DUMMYFUNCTION("""COMPUTED_VALUE"""),"")</f>
        <v/>
      </c>
      <c r="C14545" s="12" t="str">
        <f ca="1">IFERROR(__xludf.DUMMYFUNCTION("""COMPUTED_VALUE"""),"")</f>
        <v/>
      </c>
      <c r="D14545" s="12" t="str">
        <f ca="1">IFERROR(__xludf.DUMMYFUNCTION("""COMPUTED_VALUE"""),"")</f>
        <v/>
      </c>
    </row>
    <row r="14546" spans="2:4" ht="13">
      <c r="B14546" s="12" t="str">
        <f ca="1">IFERROR(__xludf.DUMMYFUNCTION("""COMPUTED_VALUE"""),"")</f>
        <v/>
      </c>
      <c r="C14546" s="12" t="str">
        <f ca="1">IFERROR(__xludf.DUMMYFUNCTION("""COMPUTED_VALUE"""),"")</f>
        <v/>
      </c>
      <c r="D14546" s="12" t="str">
        <f ca="1">IFERROR(__xludf.DUMMYFUNCTION("""COMPUTED_VALUE"""),"")</f>
        <v/>
      </c>
    </row>
    <row r="14547" spans="2:4" ht="13">
      <c r="B14547" s="12" t="str">
        <f ca="1">IFERROR(__xludf.DUMMYFUNCTION("""COMPUTED_VALUE"""),"")</f>
        <v/>
      </c>
      <c r="C14547" s="12" t="str">
        <f ca="1">IFERROR(__xludf.DUMMYFUNCTION("""COMPUTED_VALUE"""),"")</f>
        <v/>
      </c>
      <c r="D14547" s="12" t="str">
        <f ca="1">IFERROR(__xludf.DUMMYFUNCTION("""COMPUTED_VALUE"""),"")</f>
        <v/>
      </c>
    </row>
    <row r="14548" spans="2:4" ht="13">
      <c r="B14548" s="12" t="str">
        <f ca="1">IFERROR(__xludf.DUMMYFUNCTION("""COMPUTED_VALUE"""),"")</f>
        <v/>
      </c>
      <c r="C14548" s="12" t="str">
        <f ca="1">IFERROR(__xludf.DUMMYFUNCTION("""COMPUTED_VALUE"""),"")</f>
        <v/>
      </c>
      <c r="D14548" s="12" t="str">
        <f ca="1">IFERROR(__xludf.DUMMYFUNCTION("""COMPUTED_VALUE"""),"")</f>
        <v/>
      </c>
    </row>
    <row r="14549" spans="2:4" ht="13">
      <c r="B14549" s="12" t="str">
        <f ca="1">IFERROR(__xludf.DUMMYFUNCTION("""COMPUTED_VALUE"""),"")</f>
        <v/>
      </c>
      <c r="C14549" s="12" t="str">
        <f ca="1">IFERROR(__xludf.DUMMYFUNCTION("""COMPUTED_VALUE"""),"")</f>
        <v/>
      </c>
      <c r="D14549" s="12" t="str">
        <f ca="1">IFERROR(__xludf.DUMMYFUNCTION("""COMPUTED_VALUE"""),"")</f>
        <v/>
      </c>
    </row>
    <row r="14550" spans="2:4" ht="13">
      <c r="B14550" s="12" t="str">
        <f ca="1">IFERROR(__xludf.DUMMYFUNCTION("""COMPUTED_VALUE"""),"")</f>
        <v/>
      </c>
      <c r="C14550" s="12" t="str">
        <f ca="1">IFERROR(__xludf.DUMMYFUNCTION("""COMPUTED_VALUE"""),"")</f>
        <v/>
      </c>
      <c r="D14550" s="12" t="str">
        <f ca="1">IFERROR(__xludf.DUMMYFUNCTION("""COMPUTED_VALUE"""),"")</f>
        <v/>
      </c>
    </row>
    <row r="14551" spans="2:4" ht="13">
      <c r="B14551" s="12" t="str">
        <f ca="1">IFERROR(__xludf.DUMMYFUNCTION("""COMPUTED_VALUE"""),"")</f>
        <v/>
      </c>
      <c r="C14551" s="12" t="str">
        <f ca="1">IFERROR(__xludf.DUMMYFUNCTION("""COMPUTED_VALUE"""),"")</f>
        <v/>
      </c>
      <c r="D14551" s="12" t="str">
        <f ca="1">IFERROR(__xludf.DUMMYFUNCTION("""COMPUTED_VALUE"""),"")</f>
        <v/>
      </c>
    </row>
    <row r="14552" spans="2:4" ht="13">
      <c r="B14552" s="12" t="str">
        <f ca="1">IFERROR(__xludf.DUMMYFUNCTION("""COMPUTED_VALUE"""),"")</f>
        <v/>
      </c>
      <c r="C14552" s="12" t="str">
        <f ca="1">IFERROR(__xludf.DUMMYFUNCTION("""COMPUTED_VALUE"""),"")</f>
        <v/>
      </c>
      <c r="D14552" s="12" t="str">
        <f ca="1">IFERROR(__xludf.DUMMYFUNCTION("""COMPUTED_VALUE"""),"")</f>
        <v/>
      </c>
    </row>
    <row r="14553" spans="2:4" ht="13">
      <c r="B14553" s="12" t="str">
        <f ca="1">IFERROR(__xludf.DUMMYFUNCTION("""COMPUTED_VALUE"""),"")</f>
        <v/>
      </c>
      <c r="C14553" s="12" t="str">
        <f ca="1">IFERROR(__xludf.DUMMYFUNCTION("""COMPUTED_VALUE"""),"")</f>
        <v/>
      </c>
      <c r="D14553" s="12" t="str">
        <f ca="1">IFERROR(__xludf.DUMMYFUNCTION("""COMPUTED_VALUE"""),"")</f>
        <v/>
      </c>
    </row>
    <row r="14554" spans="2:4" ht="13">
      <c r="B14554" s="12" t="str">
        <f ca="1">IFERROR(__xludf.DUMMYFUNCTION("""COMPUTED_VALUE"""),"")</f>
        <v/>
      </c>
      <c r="C14554" s="12" t="str">
        <f ca="1">IFERROR(__xludf.DUMMYFUNCTION("""COMPUTED_VALUE"""),"")</f>
        <v/>
      </c>
      <c r="D14554" s="12" t="str">
        <f ca="1">IFERROR(__xludf.DUMMYFUNCTION("""COMPUTED_VALUE"""),"")</f>
        <v/>
      </c>
    </row>
    <row r="14555" spans="2:4" ht="13">
      <c r="B14555" s="12" t="str">
        <f ca="1">IFERROR(__xludf.DUMMYFUNCTION("""COMPUTED_VALUE"""),"")</f>
        <v/>
      </c>
      <c r="C14555" s="12" t="str">
        <f ca="1">IFERROR(__xludf.DUMMYFUNCTION("""COMPUTED_VALUE"""),"")</f>
        <v/>
      </c>
      <c r="D14555" s="12" t="str">
        <f ca="1">IFERROR(__xludf.DUMMYFUNCTION("""COMPUTED_VALUE"""),"")</f>
        <v/>
      </c>
    </row>
    <row r="14556" spans="2:4" ht="13">
      <c r="B14556" s="12" t="str">
        <f ca="1">IFERROR(__xludf.DUMMYFUNCTION("""COMPUTED_VALUE"""),"")</f>
        <v/>
      </c>
      <c r="C14556" s="12" t="str">
        <f ca="1">IFERROR(__xludf.DUMMYFUNCTION("""COMPUTED_VALUE"""),"")</f>
        <v/>
      </c>
      <c r="D14556" s="12" t="str">
        <f ca="1">IFERROR(__xludf.DUMMYFUNCTION("""COMPUTED_VALUE"""),"")</f>
        <v/>
      </c>
    </row>
    <row r="14557" spans="2:4" ht="13">
      <c r="B14557" s="12" t="str">
        <f ca="1">IFERROR(__xludf.DUMMYFUNCTION("""COMPUTED_VALUE"""),"")</f>
        <v/>
      </c>
      <c r="C14557" s="12" t="str">
        <f ca="1">IFERROR(__xludf.DUMMYFUNCTION("""COMPUTED_VALUE"""),"")</f>
        <v/>
      </c>
      <c r="D14557" s="12" t="str">
        <f ca="1">IFERROR(__xludf.DUMMYFUNCTION("""COMPUTED_VALUE"""),"")</f>
        <v/>
      </c>
    </row>
    <row r="14558" spans="2:4" ht="13">
      <c r="B14558" s="12" t="str">
        <f ca="1">IFERROR(__xludf.DUMMYFUNCTION("""COMPUTED_VALUE"""),"")</f>
        <v/>
      </c>
      <c r="C14558" s="12" t="str">
        <f ca="1">IFERROR(__xludf.DUMMYFUNCTION("""COMPUTED_VALUE"""),"")</f>
        <v/>
      </c>
      <c r="D14558" s="12" t="str">
        <f ca="1">IFERROR(__xludf.DUMMYFUNCTION("""COMPUTED_VALUE"""),"")</f>
        <v/>
      </c>
    </row>
    <row r="14559" spans="2:4" ht="13">
      <c r="B14559" s="12" t="str">
        <f ca="1">IFERROR(__xludf.DUMMYFUNCTION("""COMPUTED_VALUE"""),"")</f>
        <v/>
      </c>
      <c r="C14559" s="12" t="str">
        <f ca="1">IFERROR(__xludf.DUMMYFUNCTION("""COMPUTED_VALUE"""),"")</f>
        <v/>
      </c>
      <c r="D14559" s="12" t="str">
        <f ca="1">IFERROR(__xludf.DUMMYFUNCTION("""COMPUTED_VALUE"""),"")</f>
        <v/>
      </c>
    </row>
    <row r="14560" spans="2:4" ht="13">
      <c r="B14560" s="12" t="str">
        <f ca="1">IFERROR(__xludf.DUMMYFUNCTION("""COMPUTED_VALUE"""),"")</f>
        <v/>
      </c>
      <c r="C14560" s="12" t="str">
        <f ca="1">IFERROR(__xludf.DUMMYFUNCTION("""COMPUTED_VALUE"""),"")</f>
        <v/>
      </c>
      <c r="D14560" s="12" t="str">
        <f ca="1">IFERROR(__xludf.DUMMYFUNCTION("""COMPUTED_VALUE"""),"")</f>
        <v/>
      </c>
    </row>
    <row r="14561" spans="2:4" ht="13">
      <c r="B14561" s="12" t="str">
        <f ca="1">IFERROR(__xludf.DUMMYFUNCTION("""COMPUTED_VALUE"""),"")</f>
        <v/>
      </c>
      <c r="C14561" s="12" t="str">
        <f ca="1">IFERROR(__xludf.DUMMYFUNCTION("""COMPUTED_VALUE"""),"")</f>
        <v/>
      </c>
      <c r="D14561" s="12" t="str">
        <f ca="1">IFERROR(__xludf.DUMMYFUNCTION("""COMPUTED_VALUE"""),"")</f>
        <v/>
      </c>
    </row>
    <row r="14562" spans="2:4" ht="13">
      <c r="B14562" s="12" t="str">
        <f ca="1">IFERROR(__xludf.DUMMYFUNCTION("""COMPUTED_VALUE"""),"")</f>
        <v/>
      </c>
      <c r="C14562" s="12" t="str">
        <f ca="1">IFERROR(__xludf.DUMMYFUNCTION("""COMPUTED_VALUE"""),"")</f>
        <v/>
      </c>
      <c r="D14562" s="12" t="str">
        <f ca="1">IFERROR(__xludf.DUMMYFUNCTION("""COMPUTED_VALUE"""),"")</f>
        <v/>
      </c>
    </row>
    <row r="14563" spans="2:4" ht="13">
      <c r="B14563" s="12" t="str">
        <f ca="1">IFERROR(__xludf.DUMMYFUNCTION("""COMPUTED_VALUE"""),"")</f>
        <v/>
      </c>
      <c r="C14563" s="12" t="str">
        <f ca="1">IFERROR(__xludf.DUMMYFUNCTION("""COMPUTED_VALUE"""),"")</f>
        <v/>
      </c>
      <c r="D14563" s="12" t="str">
        <f ca="1">IFERROR(__xludf.DUMMYFUNCTION("""COMPUTED_VALUE"""),"")</f>
        <v/>
      </c>
    </row>
    <row r="14564" spans="2:4" ht="13">
      <c r="B14564" s="12" t="str">
        <f ca="1">IFERROR(__xludf.DUMMYFUNCTION("""COMPUTED_VALUE"""),"")</f>
        <v/>
      </c>
      <c r="C14564" s="12" t="str">
        <f ca="1">IFERROR(__xludf.DUMMYFUNCTION("""COMPUTED_VALUE"""),"")</f>
        <v/>
      </c>
      <c r="D14564" s="12" t="str">
        <f ca="1">IFERROR(__xludf.DUMMYFUNCTION("""COMPUTED_VALUE"""),"")</f>
        <v/>
      </c>
    </row>
    <row r="14565" spans="2:4" ht="13">
      <c r="B14565" s="12" t="str">
        <f ca="1">IFERROR(__xludf.DUMMYFUNCTION("""COMPUTED_VALUE"""),"")</f>
        <v/>
      </c>
      <c r="C14565" s="12" t="str">
        <f ca="1">IFERROR(__xludf.DUMMYFUNCTION("""COMPUTED_VALUE"""),"")</f>
        <v/>
      </c>
      <c r="D14565" s="12" t="str">
        <f ca="1">IFERROR(__xludf.DUMMYFUNCTION("""COMPUTED_VALUE"""),"")</f>
        <v/>
      </c>
    </row>
    <row r="14566" spans="2:4" ht="13">
      <c r="B14566" s="12" t="str">
        <f ca="1">IFERROR(__xludf.DUMMYFUNCTION("""COMPUTED_VALUE"""),"")</f>
        <v/>
      </c>
      <c r="C14566" s="12" t="str">
        <f ca="1">IFERROR(__xludf.DUMMYFUNCTION("""COMPUTED_VALUE"""),"")</f>
        <v/>
      </c>
      <c r="D14566" s="12" t="str">
        <f ca="1">IFERROR(__xludf.DUMMYFUNCTION("""COMPUTED_VALUE"""),"")</f>
        <v/>
      </c>
    </row>
    <row r="14567" spans="2:4" ht="13">
      <c r="B14567" s="12" t="str">
        <f ca="1">IFERROR(__xludf.DUMMYFUNCTION("""COMPUTED_VALUE"""),"")</f>
        <v/>
      </c>
      <c r="C14567" s="12" t="str">
        <f ca="1">IFERROR(__xludf.DUMMYFUNCTION("""COMPUTED_VALUE"""),"")</f>
        <v/>
      </c>
      <c r="D14567" s="12" t="str">
        <f ca="1">IFERROR(__xludf.DUMMYFUNCTION("""COMPUTED_VALUE"""),"")</f>
        <v/>
      </c>
    </row>
    <row r="14568" spans="2:4" ht="13">
      <c r="B14568" s="12" t="str">
        <f ca="1">IFERROR(__xludf.DUMMYFUNCTION("""COMPUTED_VALUE"""),"")</f>
        <v/>
      </c>
      <c r="C14568" s="12" t="str">
        <f ca="1">IFERROR(__xludf.DUMMYFUNCTION("""COMPUTED_VALUE"""),"")</f>
        <v/>
      </c>
      <c r="D14568" s="12" t="str">
        <f ca="1">IFERROR(__xludf.DUMMYFUNCTION("""COMPUTED_VALUE"""),"")</f>
        <v/>
      </c>
    </row>
    <row r="14569" spans="2:4" ht="13">
      <c r="B14569" s="12" t="str">
        <f ca="1">IFERROR(__xludf.DUMMYFUNCTION("""COMPUTED_VALUE"""),"")</f>
        <v/>
      </c>
      <c r="C14569" s="12" t="str">
        <f ca="1">IFERROR(__xludf.DUMMYFUNCTION("""COMPUTED_VALUE"""),"")</f>
        <v/>
      </c>
      <c r="D14569" s="12" t="str">
        <f ca="1">IFERROR(__xludf.DUMMYFUNCTION("""COMPUTED_VALUE"""),"")</f>
        <v/>
      </c>
    </row>
    <row r="14570" spans="2:4" ht="13">
      <c r="B14570" s="12" t="str">
        <f ca="1">IFERROR(__xludf.DUMMYFUNCTION("""COMPUTED_VALUE"""),"")</f>
        <v/>
      </c>
      <c r="C14570" s="12" t="str">
        <f ca="1">IFERROR(__xludf.DUMMYFUNCTION("""COMPUTED_VALUE"""),"")</f>
        <v/>
      </c>
      <c r="D14570" s="12" t="str">
        <f ca="1">IFERROR(__xludf.DUMMYFUNCTION("""COMPUTED_VALUE"""),"")</f>
        <v/>
      </c>
    </row>
    <row r="14571" spans="2:4" ht="13">
      <c r="B14571" s="12" t="str">
        <f ca="1">IFERROR(__xludf.DUMMYFUNCTION("""COMPUTED_VALUE"""),"")</f>
        <v/>
      </c>
      <c r="C14571" s="12" t="str">
        <f ca="1">IFERROR(__xludf.DUMMYFUNCTION("""COMPUTED_VALUE"""),"")</f>
        <v/>
      </c>
      <c r="D14571" s="12" t="str">
        <f ca="1">IFERROR(__xludf.DUMMYFUNCTION("""COMPUTED_VALUE"""),"")</f>
        <v/>
      </c>
    </row>
    <row r="14572" spans="2:4" ht="13">
      <c r="B14572" s="12" t="str">
        <f ca="1">IFERROR(__xludf.DUMMYFUNCTION("""COMPUTED_VALUE"""),"")</f>
        <v/>
      </c>
      <c r="C14572" s="12" t="str">
        <f ca="1">IFERROR(__xludf.DUMMYFUNCTION("""COMPUTED_VALUE"""),"")</f>
        <v/>
      </c>
      <c r="D14572" s="12" t="str">
        <f ca="1">IFERROR(__xludf.DUMMYFUNCTION("""COMPUTED_VALUE"""),"")</f>
        <v/>
      </c>
    </row>
    <row r="14573" spans="2:4" ht="13">
      <c r="B14573" s="12" t="str">
        <f ca="1">IFERROR(__xludf.DUMMYFUNCTION("""COMPUTED_VALUE"""),"")</f>
        <v/>
      </c>
      <c r="C14573" s="12" t="str">
        <f ca="1">IFERROR(__xludf.DUMMYFUNCTION("""COMPUTED_VALUE"""),"")</f>
        <v/>
      </c>
      <c r="D14573" s="12" t="str">
        <f ca="1">IFERROR(__xludf.DUMMYFUNCTION("""COMPUTED_VALUE"""),"")</f>
        <v/>
      </c>
    </row>
    <row r="14574" spans="2:4" ht="13">
      <c r="B14574" s="12" t="str">
        <f ca="1">IFERROR(__xludf.DUMMYFUNCTION("""COMPUTED_VALUE"""),"")</f>
        <v/>
      </c>
      <c r="C14574" s="12" t="str">
        <f ca="1">IFERROR(__xludf.DUMMYFUNCTION("""COMPUTED_VALUE"""),"")</f>
        <v/>
      </c>
      <c r="D14574" s="12" t="str">
        <f ca="1">IFERROR(__xludf.DUMMYFUNCTION("""COMPUTED_VALUE"""),"")</f>
        <v/>
      </c>
    </row>
    <row r="14575" spans="2:4" ht="13">
      <c r="B14575" s="12" t="str">
        <f ca="1">IFERROR(__xludf.DUMMYFUNCTION("""COMPUTED_VALUE"""),"")</f>
        <v/>
      </c>
      <c r="C14575" s="12" t="str">
        <f ca="1">IFERROR(__xludf.DUMMYFUNCTION("""COMPUTED_VALUE"""),"")</f>
        <v/>
      </c>
      <c r="D14575" s="12" t="str">
        <f ca="1">IFERROR(__xludf.DUMMYFUNCTION("""COMPUTED_VALUE"""),"")</f>
        <v/>
      </c>
    </row>
    <row r="14576" spans="2:4" ht="13">
      <c r="B14576" s="12" t="str">
        <f ca="1">IFERROR(__xludf.DUMMYFUNCTION("""COMPUTED_VALUE"""),"")</f>
        <v/>
      </c>
      <c r="C14576" s="12" t="str">
        <f ca="1">IFERROR(__xludf.DUMMYFUNCTION("""COMPUTED_VALUE"""),"")</f>
        <v/>
      </c>
      <c r="D14576" s="12" t="str">
        <f ca="1">IFERROR(__xludf.DUMMYFUNCTION("""COMPUTED_VALUE"""),"")</f>
        <v/>
      </c>
    </row>
    <row r="14577" spans="2:4" ht="13">
      <c r="B14577" s="12" t="str">
        <f ca="1">IFERROR(__xludf.DUMMYFUNCTION("""COMPUTED_VALUE"""),"")</f>
        <v/>
      </c>
      <c r="C14577" s="12" t="str">
        <f ca="1">IFERROR(__xludf.DUMMYFUNCTION("""COMPUTED_VALUE"""),"")</f>
        <v/>
      </c>
      <c r="D14577" s="12" t="str">
        <f ca="1">IFERROR(__xludf.DUMMYFUNCTION("""COMPUTED_VALUE"""),"")</f>
        <v/>
      </c>
    </row>
    <row r="14578" spans="2:4" ht="13">
      <c r="B14578" s="12" t="str">
        <f ca="1">IFERROR(__xludf.DUMMYFUNCTION("""COMPUTED_VALUE"""),"")</f>
        <v/>
      </c>
      <c r="C14578" s="12" t="str">
        <f ca="1">IFERROR(__xludf.DUMMYFUNCTION("""COMPUTED_VALUE"""),"")</f>
        <v/>
      </c>
      <c r="D14578" s="12" t="str">
        <f ca="1">IFERROR(__xludf.DUMMYFUNCTION("""COMPUTED_VALUE"""),"")</f>
        <v/>
      </c>
    </row>
    <row r="14579" spans="2:4" ht="13">
      <c r="B14579" s="12" t="str">
        <f ca="1">IFERROR(__xludf.DUMMYFUNCTION("""COMPUTED_VALUE"""),"")</f>
        <v/>
      </c>
      <c r="C14579" s="12" t="str">
        <f ca="1">IFERROR(__xludf.DUMMYFUNCTION("""COMPUTED_VALUE"""),"")</f>
        <v/>
      </c>
      <c r="D14579" s="12" t="str">
        <f ca="1">IFERROR(__xludf.DUMMYFUNCTION("""COMPUTED_VALUE"""),"")</f>
        <v/>
      </c>
    </row>
    <row r="14580" spans="2:4" ht="13">
      <c r="B14580" s="12" t="str">
        <f ca="1">IFERROR(__xludf.DUMMYFUNCTION("""COMPUTED_VALUE"""),"")</f>
        <v/>
      </c>
      <c r="C14580" s="12" t="str">
        <f ca="1">IFERROR(__xludf.DUMMYFUNCTION("""COMPUTED_VALUE"""),"")</f>
        <v/>
      </c>
      <c r="D14580" s="12" t="str">
        <f ca="1">IFERROR(__xludf.DUMMYFUNCTION("""COMPUTED_VALUE"""),"")</f>
        <v/>
      </c>
    </row>
    <row r="14581" spans="2:4" ht="13">
      <c r="B14581" s="12" t="str">
        <f ca="1">IFERROR(__xludf.DUMMYFUNCTION("""COMPUTED_VALUE"""),"")</f>
        <v/>
      </c>
      <c r="C14581" s="12" t="str">
        <f ca="1">IFERROR(__xludf.DUMMYFUNCTION("""COMPUTED_VALUE"""),"")</f>
        <v/>
      </c>
      <c r="D14581" s="12" t="str">
        <f ca="1">IFERROR(__xludf.DUMMYFUNCTION("""COMPUTED_VALUE"""),"")</f>
        <v/>
      </c>
    </row>
    <row r="14582" spans="2:4" ht="13">
      <c r="B14582" s="12" t="str">
        <f ca="1">IFERROR(__xludf.DUMMYFUNCTION("""COMPUTED_VALUE"""),"")</f>
        <v/>
      </c>
      <c r="C14582" s="12" t="str">
        <f ca="1">IFERROR(__xludf.DUMMYFUNCTION("""COMPUTED_VALUE"""),"")</f>
        <v/>
      </c>
      <c r="D14582" s="12" t="str">
        <f ca="1">IFERROR(__xludf.DUMMYFUNCTION("""COMPUTED_VALUE"""),"")</f>
        <v/>
      </c>
    </row>
    <row r="14583" spans="2:4" ht="13">
      <c r="B14583" s="12" t="str">
        <f ca="1">IFERROR(__xludf.DUMMYFUNCTION("""COMPUTED_VALUE"""),"")</f>
        <v/>
      </c>
      <c r="C14583" s="12" t="str">
        <f ca="1">IFERROR(__xludf.DUMMYFUNCTION("""COMPUTED_VALUE"""),"")</f>
        <v/>
      </c>
      <c r="D14583" s="12" t="str">
        <f ca="1">IFERROR(__xludf.DUMMYFUNCTION("""COMPUTED_VALUE"""),"")</f>
        <v/>
      </c>
    </row>
    <row r="14584" spans="2:4" ht="13">
      <c r="B14584" s="12" t="str">
        <f ca="1">IFERROR(__xludf.DUMMYFUNCTION("""COMPUTED_VALUE"""),"")</f>
        <v/>
      </c>
      <c r="C14584" s="12" t="str">
        <f ca="1">IFERROR(__xludf.DUMMYFUNCTION("""COMPUTED_VALUE"""),"")</f>
        <v/>
      </c>
      <c r="D14584" s="12" t="str">
        <f ca="1">IFERROR(__xludf.DUMMYFUNCTION("""COMPUTED_VALUE"""),"")</f>
        <v/>
      </c>
    </row>
    <row r="14585" spans="2:4" ht="13">
      <c r="B14585" s="12" t="str">
        <f ca="1">IFERROR(__xludf.DUMMYFUNCTION("""COMPUTED_VALUE"""),"")</f>
        <v/>
      </c>
      <c r="C14585" s="12" t="str">
        <f ca="1">IFERROR(__xludf.DUMMYFUNCTION("""COMPUTED_VALUE"""),"")</f>
        <v/>
      </c>
      <c r="D14585" s="12" t="str">
        <f ca="1">IFERROR(__xludf.DUMMYFUNCTION("""COMPUTED_VALUE"""),"")</f>
        <v/>
      </c>
    </row>
    <row r="14586" spans="2:4" ht="13">
      <c r="B14586" s="12" t="str">
        <f ca="1">IFERROR(__xludf.DUMMYFUNCTION("""COMPUTED_VALUE"""),"")</f>
        <v/>
      </c>
      <c r="C14586" s="12" t="str">
        <f ca="1">IFERROR(__xludf.DUMMYFUNCTION("""COMPUTED_VALUE"""),"")</f>
        <v/>
      </c>
      <c r="D14586" s="12" t="str">
        <f ca="1">IFERROR(__xludf.DUMMYFUNCTION("""COMPUTED_VALUE"""),"")</f>
        <v/>
      </c>
    </row>
    <row r="14587" spans="2:4" ht="13">
      <c r="B14587" s="12" t="str">
        <f ca="1">IFERROR(__xludf.DUMMYFUNCTION("""COMPUTED_VALUE"""),"")</f>
        <v/>
      </c>
      <c r="C14587" s="12" t="str">
        <f ca="1">IFERROR(__xludf.DUMMYFUNCTION("""COMPUTED_VALUE"""),"")</f>
        <v/>
      </c>
      <c r="D14587" s="12" t="str">
        <f ca="1">IFERROR(__xludf.DUMMYFUNCTION("""COMPUTED_VALUE"""),"")</f>
        <v/>
      </c>
    </row>
    <row r="14588" spans="2:4" ht="13">
      <c r="B14588" s="12" t="str">
        <f ca="1">IFERROR(__xludf.DUMMYFUNCTION("""COMPUTED_VALUE"""),"")</f>
        <v/>
      </c>
      <c r="C14588" s="12" t="str">
        <f ca="1">IFERROR(__xludf.DUMMYFUNCTION("""COMPUTED_VALUE"""),"")</f>
        <v/>
      </c>
      <c r="D14588" s="12" t="str">
        <f ca="1">IFERROR(__xludf.DUMMYFUNCTION("""COMPUTED_VALUE"""),"")</f>
        <v/>
      </c>
    </row>
    <row r="14589" spans="2:4" ht="13">
      <c r="B14589" s="12" t="str">
        <f ca="1">IFERROR(__xludf.DUMMYFUNCTION("""COMPUTED_VALUE"""),"")</f>
        <v/>
      </c>
      <c r="C14589" s="12" t="str">
        <f ca="1">IFERROR(__xludf.DUMMYFUNCTION("""COMPUTED_VALUE"""),"")</f>
        <v/>
      </c>
      <c r="D14589" s="12" t="str">
        <f ca="1">IFERROR(__xludf.DUMMYFUNCTION("""COMPUTED_VALUE"""),"")</f>
        <v/>
      </c>
    </row>
    <row r="14590" spans="2:4" ht="13">
      <c r="B14590" s="12" t="str">
        <f ca="1">IFERROR(__xludf.DUMMYFUNCTION("""COMPUTED_VALUE"""),"")</f>
        <v/>
      </c>
      <c r="C14590" s="12" t="str">
        <f ca="1">IFERROR(__xludf.DUMMYFUNCTION("""COMPUTED_VALUE"""),"")</f>
        <v/>
      </c>
      <c r="D14590" s="12" t="str">
        <f ca="1">IFERROR(__xludf.DUMMYFUNCTION("""COMPUTED_VALUE"""),"")</f>
        <v/>
      </c>
    </row>
    <row r="14591" spans="2:4" ht="13">
      <c r="B14591" s="12" t="str">
        <f ca="1">IFERROR(__xludf.DUMMYFUNCTION("""COMPUTED_VALUE"""),"")</f>
        <v/>
      </c>
      <c r="C14591" s="12" t="str">
        <f ca="1">IFERROR(__xludf.DUMMYFUNCTION("""COMPUTED_VALUE"""),"")</f>
        <v/>
      </c>
      <c r="D14591" s="12" t="str">
        <f ca="1">IFERROR(__xludf.DUMMYFUNCTION("""COMPUTED_VALUE"""),"")</f>
        <v/>
      </c>
    </row>
    <row r="14592" spans="2:4" ht="13">
      <c r="B14592" s="12" t="str">
        <f ca="1">IFERROR(__xludf.DUMMYFUNCTION("""COMPUTED_VALUE"""),"")</f>
        <v/>
      </c>
      <c r="C14592" s="12" t="str">
        <f ca="1">IFERROR(__xludf.DUMMYFUNCTION("""COMPUTED_VALUE"""),"")</f>
        <v/>
      </c>
      <c r="D14592" s="12" t="str">
        <f ca="1">IFERROR(__xludf.DUMMYFUNCTION("""COMPUTED_VALUE"""),"")</f>
        <v/>
      </c>
    </row>
    <row r="14593" spans="2:4" ht="13">
      <c r="B14593" s="12" t="str">
        <f ca="1">IFERROR(__xludf.DUMMYFUNCTION("""COMPUTED_VALUE"""),"")</f>
        <v/>
      </c>
      <c r="C14593" s="12" t="str">
        <f ca="1">IFERROR(__xludf.DUMMYFUNCTION("""COMPUTED_VALUE"""),"")</f>
        <v/>
      </c>
      <c r="D14593" s="12" t="str">
        <f ca="1">IFERROR(__xludf.DUMMYFUNCTION("""COMPUTED_VALUE"""),"")</f>
        <v/>
      </c>
    </row>
    <row r="14594" spans="2:4" ht="13">
      <c r="B14594" s="12" t="str">
        <f ca="1">IFERROR(__xludf.DUMMYFUNCTION("""COMPUTED_VALUE"""),"")</f>
        <v/>
      </c>
      <c r="C14594" s="12" t="str">
        <f ca="1">IFERROR(__xludf.DUMMYFUNCTION("""COMPUTED_VALUE"""),"")</f>
        <v/>
      </c>
      <c r="D14594" s="12" t="str">
        <f ca="1">IFERROR(__xludf.DUMMYFUNCTION("""COMPUTED_VALUE"""),"")</f>
        <v/>
      </c>
    </row>
    <row r="14595" spans="2:4" ht="13">
      <c r="B14595" s="12" t="str">
        <f ca="1">IFERROR(__xludf.DUMMYFUNCTION("""COMPUTED_VALUE"""),"")</f>
        <v/>
      </c>
      <c r="C14595" s="12" t="str">
        <f ca="1">IFERROR(__xludf.DUMMYFUNCTION("""COMPUTED_VALUE"""),"")</f>
        <v/>
      </c>
      <c r="D14595" s="12" t="str">
        <f ca="1">IFERROR(__xludf.DUMMYFUNCTION("""COMPUTED_VALUE"""),"")</f>
        <v/>
      </c>
    </row>
    <row r="14596" spans="2:4" ht="13">
      <c r="B14596" s="12" t="str">
        <f ca="1">IFERROR(__xludf.DUMMYFUNCTION("""COMPUTED_VALUE"""),"")</f>
        <v/>
      </c>
      <c r="C14596" s="12" t="str">
        <f ca="1">IFERROR(__xludf.DUMMYFUNCTION("""COMPUTED_VALUE"""),"")</f>
        <v/>
      </c>
      <c r="D14596" s="12" t="str">
        <f ca="1">IFERROR(__xludf.DUMMYFUNCTION("""COMPUTED_VALUE"""),"")</f>
        <v/>
      </c>
    </row>
    <row r="14597" spans="2:4" ht="13">
      <c r="B14597" s="12" t="str">
        <f ca="1">IFERROR(__xludf.DUMMYFUNCTION("""COMPUTED_VALUE"""),"")</f>
        <v/>
      </c>
      <c r="C14597" s="12" t="str">
        <f ca="1">IFERROR(__xludf.DUMMYFUNCTION("""COMPUTED_VALUE"""),"")</f>
        <v/>
      </c>
      <c r="D14597" s="12" t="str">
        <f ca="1">IFERROR(__xludf.DUMMYFUNCTION("""COMPUTED_VALUE"""),"")</f>
        <v/>
      </c>
    </row>
    <row r="14598" spans="2:4" ht="13">
      <c r="B14598" s="12" t="str">
        <f ca="1">IFERROR(__xludf.DUMMYFUNCTION("""COMPUTED_VALUE"""),"")</f>
        <v/>
      </c>
      <c r="C14598" s="12" t="str">
        <f ca="1">IFERROR(__xludf.DUMMYFUNCTION("""COMPUTED_VALUE"""),"")</f>
        <v/>
      </c>
      <c r="D14598" s="12" t="str">
        <f ca="1">IFERROR(__xludf.DUMMYFUNCTION("""COMPUTED_VALUE"""),"")</f>
        <v/>
      </c>
    </row>
    <row r="14599" spans="2:4" ht="13">
      <c r="B14599" s="12" t="str">
        <f ca="1">IFERROR(__xludf.DUMMYFUNCTION("""COMPUTED_VALUE"""),"")</f>
        <v/>
      </c>
      <c r="C14599" s="12" t="str">
        <f ca="1">IFERROR(__xludf.DUMMYFUNCTION("""COMPUTED_VALUE"""),"")</f>
        <v/>
      </c>
      <c r="D14599" s="12" t="str">
        <f ca="1">IFERROR(__xludf.DUMMYFUNCTION("""COMPUTED_VALUE"""),"")</f>
        <v/>
      </c>
    </row>
    <row r="14600" spans="2:4" ht="13">
      <c r="B14600" s="12" t="str">
        <f ca="1">IFERROR(__xludf.DUMMYFUNCTION("""COMPUTED_VALUE"""),"")</f>
        <v/>
      </c>
      <c r="C14600" s="12" t="str">
        <f ca="1">IFERROR(__xludf.DUMMYFUNCTION("""COMPUTED_VALUE"""),"")</f>
        <v/>
      </c>
      <c r="D14600" s="12" t="str">
        <f ca="1">IFERROR(__xludf.DUMMYFUNCTION("""COMPUTED_VALUE"""),"")</f>
        <v/>
      </c>
    </row>
    <row r="14601" spans="2:4" ht="13">
      <c r="B14601" s="12" t="str">
        <f ca="1">IFERROR(__xludf.DUMMYFUNCTION("""COMPUTED_VALUE"""),"")</f>
        <v/>
      </c>
      <c r="C14601" s="12" t="str">
        <f ca="1">IFERROR(__xludf.DUMMYFUNCTION("""COMPUTED_VALUE"""),"")</f>
        <v/>
      </c>
      <c r="D14601" s="12" t="str">
        <f ca="1">IFERROR(__xludf.DUMMYFUNCTION("""COMPUTED_VALUE"""),"")</f>
        <v/>
      </c>
    </row>
    <row r="14602" spans="2:4" ht="13">
      <c r="B14602" s="12" t="str">
        <f ca="1">IFERROR(__xludf.DUMMYFUNCTION("""COMPUTED_VALUE"""),"")</f>
        <v/>
      </c>
      <c r="C14602" s="12" t="str">
        <f ca="1">IFERROR(__xludf.DUMMYFUNCTION("""COMPUTED_VALUE"""),"")</f>
        <v/>
      </c>
      <c r="D14602" s="12" t="str">
        <f ca="1">IFERROR(__xludf.DUMMYFUNCTION("""COMPUTED_VALUE"""),"")</f>
        <v/>
      </c>
    </row>
    <row r="14603" spans="2:4" ht="13">
      <c r="B14603" s="12" t="str">
        <f ca="1">IFERROR(__xludf.DUMMYFUNCTION("""COMPUTED_VALUE"""),"")</f>
        <v/>
      </c>
      <c r="C14603" s="12" t="str">
        <f ca="1">IFERROR(__xludf.DUMMYFUNCTION("""COMPUTED_VALUE"""),"")</f>
        <v/>
      </c>
      <c r="D14603" s="12" t="str">
        <f ca="1">IFERROR(__xludf.DUMMYFUNCTION("""COMPUTED_VALUE"""),"")</f>
        <v/>
      </c>
    </row>
    <row r="14604" spans="2:4" ht="13">
      <c r="B14604" s="12" t="str">
        <f ca="1">IFERROR(__xludf.DUMMYFUNCTION("""COMPUTED_VALUE"""),"")</f>
        <v/>
      </c>
      <c r="C14604" s="12" t="str">
        <f ca="1">IFERROR(__xludf.DUMMYFUNCTION("""COMPUTED_VALUE"""),"")</f>
        <v/>
      </c>
      <c r="D14604" s="12" t="str">
        <f ca="1">IFERROR(__xludf.DUMMYFUNCTION("""COMPUTED_VALUE"""),"")</f>
        <v/>
      </c>
    </row>
    <row r="14605" spans="2:4" ht="13">
      <c r="B14605" s="12" t="str">
        <f ca="1">IFERROR(__xludf.DUMMYFUNCTION("""COMPUTED_VALUE"""),"")</f>
        <v/>
      </c>
      <c r="C14605" s="12" t="str">
        <f ca="1">IFERROR(__xludf.DUMMYFUNCTION("""COMPUTED_VALUE"""),"")</f>
        <v/>
      </c>
      <c r="D14605" s="12" t="str">
        <f ca="1">IFERROR(__xludf.DUMMYFUNCTION("""COMPUTED_VALUE"""),"")</f>
        <v/>
      </c>
    </row>
    <row r="14606" spans="2:4" ht="13">
      <c r="B14606" s="12" t="str">
        <f ca="1">IFERROR(__xludf.DUMMYFUNCTION("""COMPUTED_VALUE"""),"")</f>
        <v/>
      </c>
      <c r="C14606" s="12" t="str">
        <f ca="1">IFERROR(__xludf.DUMMYFUNCTION("""COMPUTED_VALUE"""),"")</f>
        <v/>
      </c>
      <c r="D14606" s="12" t="str">
        <f ca="1">IFERROR(__xludf.DUMMYFUNCTION("""COMPUTED_VALUE"""),"")</f>
        <v/>
      </c>
    </row>
    <row r="14607" spans="2:4" ht="13">
      <c r="B14607" s="12" t="str">
        <f ca="1">IFERROR(__xludf.DUMMYFUNCTION("""COMPUTED_VALUE"""),"")</f>
        <v/>
      </c>
      <c r="C14607" s="12" t="str">
        <f ca="1">IFERROR(__xludf.DUMMYFUNCTION("""COMPUTED_VALUE"""),"")</f>
        <v/>
      </c>
      <c r="D14607" s="12" t="str">
        <f ca="1">IFERROR(__xludf.DUMMYFUNCTION("""COMPUTED_VALUE"""),"")</f>
        <v/>
      </c>
    </row>
    <row r="14608" spans="2:4" ht="13">
      <c r="B14608" s="12" t="str">
        <f ca="1">IFERROR(__xludf.DUMMYFUNCTION("""COMPUTED_VALUE"""),"")</f>
        <v/>
      </c>
      <c r="C14608" s="12" t="str">
        <f ca="1">IFERROR(__xludf.DUMMYFUNCTION("""COMPUTED_VALUE"""),"")</f>
        <v/>
      </c>
      <c r="D14608" s="12" t="str">
        <f ca="1">IFERROR(__xludf.DUMMYFUNCTION("""COMPUTED_VALUE"""),"")</f>
        <v/>
      </c>
    </row>
    <row r="14609" spans="2:4" ht="13">
      <c r="B14609" s="12" t="str">
        <f ca="1">IFERROR(__xludf.DUMMYFUNCTION("""COMPUTED_VALUE"""),"")</f>
        <v/>
      </c>
      <c r="C14609" s="12" t="str">
        <f ca="1">IFERROR(__xludf.DUMMYFUNCTION("""COMPUTED_VALUE"""),"")</f>
        <v/>
      </c>
      <c r="D14609" s="12" t="str">
        <f ca="1">IFERROR(__xludf.DUMMYFUNCTION("""COMPUTED_VALUE"""),"")</f>
        <v/>
      </c>
    </row>
    <row r="14610" spans="2:4" ht="13">
      <c r="B14610" s="12" t="str">
        <f ca="1">IFERROR(__xludf.DUMMYFUNCTION("""COMPUTED_VALUE"""),"")</f>
        <v/>
      </c>
      <c r="C14610" s="12" t="str">
        <f ca="1">IFERROR(__xludf.DUMMYFUNCTION("""COMPUTED_VALUE"""),"")</f>
        <v/>
      </c>
      <c r="D14610" s="12" t="str">
        <f ca="1">IFERROR(__xludf.DUMMYFUNCTION("""COMPUTED_VALUE"""),"")</f>
        <v/>
      </c>
    </row>
    <row r="14611" spans="2:4" ht="13">
      <c r="B14611" s="12" t="str">
        <f ca="1">IFERROR(__xludf.DUMMYFUNCTION("""COMPUTED_VALUE"""),"")</f>
        <v/>
      </c>
      <c r="C14611" s="12" t="str">
        <f ca="1">IFERROR(__xludf.DUMMYFUNCTION("""COMPUTED_VALUE"""),"")</f>
        <v/>
      </c>
      <c r="D14611" s="12" t="str">
        <f ca="1">IFERROR(__xludf.DUMMYFUNCTION("""COMPUTED_VALUE"""),"")</f>
        <v/>
      </c>
    </row>
    <row r="14612" spans="2:4" ht="13">
      <c r="B14612" s="12" t="str">
        <f ca="1">IFERROR(__xludf.DUMMYFUNCTION("""COMPUTED_VALUE"""),"")</f>
        <v/>
      </c>
      <c r="C14612" s="12" t="str">
        <f ca="1">IFERROR(__xludf.DUMMYFUNCTION("""COMPUTED_VALUE"""),"")</f>
        <v/>
      </c>
      <c r="D14612" s="12" t="str">
        <f ca="1">IFERROR(__xludf.DUMMYFUNCTION("""COMPUTED_VALUE"""),"")</f>
        <v/>
      </c>
    </row>
    <row r="14613" spans="2:4" ht="13">
      <c r="B14613" s="12" t="str">
        <f ca="1">IFERROR(__xludf.DUMMYFUNCTION("""COMPUTED_VALUE"""),"")</f>
        <v/>
      </c>
      <c r="C14613" s="12" t="str">
        <f ca="1">IFERROR(__xludf.DUMMYFUNCTION("""COMPUTED_VALUE"""),"")</f>
        <v/>
      </c>
      <c r="D14613" s="12" t="str">
        <f ca="1">IFERROR(__xludf.DUMMYFUNCTION("""COMPUTED_VALUE"""),"")</f>
        <v/>
      </c>
    </row>
    <row r="14614" spans="2:4" ht="13">
      <c r="B14614" s="12" t="str">
        <f ca="1">IFERROR(__xludf.DUMMYFUNCTION("""COMPUTED_VALUE"""),"")</f>
        <v/>
      </c>
      <c r="C14614" s="12" t="str">
        <f ca="1">IFERROR(__xludf.DUMMYFUNCTION("""COMPUTED_VALUE"""),"")</f>
        <v/>
      </c>
      <c r="D14614" s="12" t="str">
        <f ca="1">IFERROR(__xludf.DUMMYFUNCTION("""COMPUTED_VALUE"""),"")</f>
        <v/>
      </c>
    </row>
    <row r="14615" spans="2:4" ht="13">
      <c r="B14615" s="12" t="str">
        <f ca="1">IFERROR(__xludf.DUMMYFUNCTION("""COMPUTED_VALUE"""),"")</f>
        <v/>
      </c>
      <c r="C14615" s="12" t="str">
        <f ca="1">IFERROR(__xludf.DUMMYFUNCTION("""COMPUTED_VALUE"""),"")</f>
        <v/>
      </c>
      <c r="D14615" s="12" t="str">
        <f ca="1">IFERROR(__xludf.DUMMYFUNCTION("""COMPUTED_VALUE"""),"")</f>
        <v/>
      </c>
    </row>
    <row r="14616" spans="2:4" ht="13">
      <c r="B14616" s="12" t="str">
        <f ca="1">IFERROR(__xludf.DUMMYFUNCTION("""COMPUTED_VALUE"""),"")</f>
        <v/>
      </c>
      <c r="C14616" s="12" t="str">
        <f ca="1">IFERROR(__xludf.DUMMYFUNCTION("""COMPUTED_VALUE"""),"")</f>
        <v/>
      </c>
      <c r="D14616" s="12" t="str">
        <f ca="1">IFERROR(__xludf.DUMMYFUNCTION("""COMPUTED_VALUE"""),"")</f>
        <v/>
      </c>
    </row>
    <row r="14617" spans="2:4" ht="13">
      <c r="B14617" s="12" t="str">
        <f ca="1">IFERROR(__xludf.DUMMYFUNCTION("""COMPUTED_VALUE"""),"")</f>
        <v/>
      </c>
      <c r="C14617" s="12" t="str">
        <f ca="1">IFERROR(__xludf.DUMMYFUNCTION("""COMPUTED_VALUE"""),"")</f>
        <v/>
      </c>
      <c r="D14617" s="12" t="str">
        <f ca="1">IFERROR(__xludf.DUMMYFUNCTION("""COMPUTED_VALUE"""),"")</f>
        <v/>
      </c>
    </row>
    <row r="14618" spans="2:4" ht="13">
      <c r="B14618" s="12" t="str">
        <f ca="1">IFERROR(__xludf.DUMMYFUNCTION("""COMPUTED_VALUE"""),"")</f>
        <v/>
      </c>
      <c r="C14618" s="12" t="str">
        <f ca="1">IFERROR(__xludf.DUMMYFUNCTION("""COMPUTED_VALUE"""),"")</f>
        <v/>
      </c>
      <c r="D14618" s="12" t="str">
        <f ca="1">IFERROR(__xludf.DUMMYFUNCTION("""COMPUTED_VALUE"""),"")</f>
        <v/>
      </c>
    </row>
    <row r="14619" spans="2:4" ht="13">
      <c r="B14619" s="12" t="str">
        <f ca="1">IFERROR(__xludf.DUMMYFUNCTION("""COMPUTED_VALUE"""),"")</f>
        <v/>
      </c>
      <c r="C14619" s="12" t="str">
        <f ca="1">IFERROR(__xludf.DUMMYFUNCTION("""COMPUTED_VALUE"""),"")</f>
        <v/>
      </c>
      <c r="D14619" s="12" t="str">
        <f ca="1">IFERROR(__xludf.DUMMYFUNCTION("""COMPUTED_VALUE"""),"")</f>
        <v/>
      </c>
    </row>
    <row r="14620" spans="2:4" ht="13">
      <c r="B14620" s="12" t="str">
        <f ca="1">IFERROR(__xludf.DUMMYFUNCTION("""COMPUTED_VALUE"""),"")</f>
        <v/>
      </c>
      <c r="C14620" s="12" t="str">
        <f ca="1">IFERROR(__xludf.DUMMYFUNCTION("""COMPUTED_VALUE"""),"")</f>
        <v/>
      </c>
      <c r="D14620" s="12" t="str">
        <f ca="1">IFERROR(__xludf.DUMMYFUNCTION("""COMPUTED_VALUE"""),"")</f>
        <v/>
      </c>
    </row>
    <row r="14621" spans="2:4" ht="13">
      <c r="B14621" s="12" t="str">
        <f ca="1">IFERROR(__xludf.DUMMYFUNCTION("""COMPUTED_VALUE"""),"")</f>
        <v/>
      </c>
      <c r="C14621" s="12" t="str">
        <f ca="1">IFERROR(__xludf.DUMMYFUNCTION("""COMPUTED_VALUE"""),"")</f>
        <v/>
      </c>
      <c r="D14621" s="12" t="str">
        <f ca="1">IFERROR(__xludf.DUMMYFUNCTION("""COMPUTED_VALUE"""),"")</f>
        <v/>
      </c>
    </row>
    <row r="14622" spans="2:4" ht="13">
      <c r="B14622" s="12" t="str">
        <f ca="1">IFERROR(__xludf.DUMMYFUNCTION("""COMPUTED_VALUE"""),"")</f>
        <v/>
      </c>
      <c r="C14622" s="12" t="str">
        <f ca="1">IFERROR(__xludf.DUMMYFUNCTION("""COMPUTED_VALUE"""),"")</f>
        <v/>
      </c>
      <c r="D14622" s="12" t="str">
        <f ca="1">IFERROR(__xludf.DUMMYFUNCTION("""COMPUTED_VALUE"""),"")</f>
        <v/>
      </c>
    </row>
    <row r="14623" spans="2:4" ht="13">
      <c r="B14623" s="12" t="str">
        <f ca="1">IFERROR(__xludf.DUMMYFUNCTION("""COMPUTED_VALUE"""),"")</f>
        <v/>
      </c>
      <c r="C14623" s="12" t="str">
        <f ca="1">IFERROR(__xludf.DUMMYFUNCTION("""COMPUTED_VALUE"""),"")</f>
        <v/>
      </c>
      <c r="D14623" s="12" t="str">
        <f ca="1">IFERROR(__xludf.DUMMYFUNCTION("""COMPUTED_VALUE"""),"")</f>
        <v/>
      </c>
    </row>
    <row r="14624" spans="2:4" ht="13">
      <c r="B14624" s="12" t="str">
        <f ca="1">IFERROR(__xludf.DUMMYFUNCTION("""COMPUTED_VALUE"""),"")</f>
        <v/>
      </c>
      <c r="C14624" s="12" t="str">
        <f ca="1">IFERROR(__xludf.DUMMYFUNCTION("""COMPUTED_VALUE"""),"")</f>
        <v/>
      </c>
      <c r="D14624" s="12" t="str">
        <f ca="1">IFERROR(__xludf.DUMMYFUNCTION("""COMPUTED_VALUE"""),"")</f>
        <v/>
      </c>
    </row>
    <row r="14625" spans="2:4" ht="13">
      <c r="B14625" s="12" t="str">
        <f ca="1">IFERROR(__xludf.DUMMYFUNCTION("""COMPUTED_VALUE"""),"")</f>
        <v/>
      </c>
      <c r="C14625" s="12" t="str">
        <f ca="1">IFERROR(__xludf.DUMMYFUNCTION("""COMPUTED_VALUE"""),"")</f>
        <v/>
      </c>
      <c r="D14625" s="12" t="str">
        <f ca="1">IFERROR(__xludf.DUMMYFUNCTION("""COMPUTED_VALUE"""),"")</f>
        <v/>
      </c>
    </row>
    <row r="14626" spans="2:4" ht="13">
      <c r="B14626" s="12" t="str">
        <f ca="1">IFERROR(__xludf.DUMMYFUNCTION("""COMPUTED_VALUE"""),"")</f>
        <v/>
      </c>
      <c r="C14626" s="12" t="str">
        <f ca="1">IFERROR(__xludf.DUMMYFUNCTION("""COMPUTED_VALUE"""),"")</f>
        <v/>
      </c>
      <c r="D14626" s="12" t="str">
        <f ca="1">IFERROR(__xludf.DUMMYFUNCTION("""COMPUTED_VALUE"""),"")</f>
        <v/>
      </c>
    </row>
    <row r="14627" spans="2:4" ht="13">
      <c r="B14627" s="12" t="str">
        <f ca="1">IFERROR(__xludf.DUMMYFUNCTION("""COMPUTED_VALUE"""),"")</f>
        <v/>
      </c>
      <c r="C14627" s="12" t="str">
        <f ca="1">IFERROR(__xludf.DUMMYFUNCTION("""COMPUTED_VALUE"""),"")</f>
        <v/>
      </c>
      <c r="D14627" s="12" t="str">
        <f ca="1">IFERROR(__xludf.DUMMYFUNCTION("""COMPUTED_VALUE"""),"")</f>
        <v/>
      </c>
    </row>
    <row r="14628" spans="2:4" ht="13">
      <c r="B14628" s="12" t="str">
        <f ca="1">IFERROR(__xludf.DUMMYFUNCTION("""COMPUTED_VALUE"""),"")</f>
        <v/>
      </c>
      <c r="C14628" s="12" t="str">
        <f ca="1">IFERROR(__xludf.DUMMYFUNCTION("""COMPUTED_VALUE"""),"")</f>
        <v/>
      </c>
      <c r="D14628" s="12" t="str">
        <f ca="1">IFERROR(__xludf.DUMMYFUNCTION("""COMPUTED_VALUE"""),"")</f>
        <v/>
      </c>
    </row>
    <row r="14629" spans="2:4" ht="13">
      <c r="B14629" s="12" t="str">
        <f ca="1">IFERROR(__xludf.DUMMYFUNCTION("""COMPUTED_VALUE"""),"")</f>
        <v/>
      </c>
      <c r="C14629" s="12" t="str">
        <f ca="1">IFERROR(__xludf.DUMMYFUNCTION("""COMPUTED_VALUE"""),"")</f>
        <v/>
      </c>
      <c r="D14629" s="12" t="str">
        <f ca="1">IFERROR(__xludf.DUMMYFUNCTION("""COMPUTED_VALUE"""),"")</f>
        <v/>
      </c>
    </row>
    <row r="14630" spans="2:4" ht="13">
      <c r="B14630" s="12" t="str">
        <f ca="1">IFERROR(__xludf.DUMMYFUNCTION("""COMPUTED_VALUE"""),"")</f>
        <v/>
      </c>
      <c r="C14630" s="12" t="str">
        <f ca="1">IFERROR(__xludf.DUMMYFUNCTION("""COMPUTED_VALUE"""),"")</f>
        <v/>
      </c>
      <c r="D14630" s="12" t="str">
        <f ca="1">IFERROR(__xludf.DUMMYFUNCTION("""COMPUTED_VALUE"""),"")</f>
        <v/>
      </c>
    </row>
    <row r="14631" spans="2:4" ht="13">
      <c r="B14631" s="12" t="str">
        <f ca="1">IFERROR(__xludf.DUMMYFUNCTION("""COMPUTED_VALUE"""),"")</f>
        <v/>
      </c>
      <c r="C14631" s="12" t="str">
        <f ca="1">IFERROR(__xludf.DUMMYFUNCTION("""COMPUTED_VALUE"""),"")</f>
        <v/>
      </c>
      <c r="D14631" s="12" t="str">
        <f ca="1">IFERROR(__xludf.DUMMYFUNCTION("""COMPUTED_VALUE"""),"")</f>
        <v/>
      </c>
    </row>
    <row r="14632" spans="2:4" ht="13">
      <c r="B14632" s="12" t="str">
        <f ca="1">IFERROR(__xludf.DUMMYFUNCTION("""COMPUTED_VALUE"""),"")</f>
        <v/>
      </c>
      <c r="C14632" s="12" t="str">
        <f ca="1">IFERROR(__xludf.DUMMYFUNCTION("""COMPUTED_VALUE"""),"")</f>
        <v/>
      </c>
      <c r="D14632" s="12" t="str">
        <f ca="1">IFERROR(__xludf.DUMMYFUNCTION("""COMPUTED_VALUE"""),"")</f>
        <v/>
      </c>
    </row>
    <row r="14633" spans="2:4" ht="13">
      <c r="B14633" s="12" t="str">
        <f ca="1">IFERROR(__xludf.DUMMYFUNCTION("""COMPUTED_VALUE"""),"")</f>
        <v/>
      </c>
      <c r="C14633" s="12" t="str">
        <f ca="1">IFERROR(__xludf.DUMMYFUNCTION("""COMPUTED_VALUE"""),"")</f>
        <v/>
      </c>
      <c r="D14633" s="12" t="str">
        <f ca="1">IFERROR(__xludf.DUMMYFUNCTION("""COMPUTED_VALUE"""),"")</f>
        <v/>
      </c>
    </row>
    <row r="14634" spans="2:4" ht="13">
      <c r="B14634" s="12" t="str">
        <f ca="1">IFERROR(__xludf.DUMMYFUNCTION("""COMPUTED_VALUE"""),"")</f>
        <v/>
      </c>
      <c r="C14634" s="12" t="str">
        <f ca="1">IFERROR(__xludf.DUMMYFUNCTION("""COMPUTED_VALUE"""),"")</f>
        <v/>
      </c>
      <c r="D14634" s="12" t="str">
        <f ca="1">IFERROR(__xludf.DUMMYFUNCTION("""COMPUTED_VALUE"""),"")</f>
        <v/>
      </c>
    </row>
    <row r="14635" spans="2:4" ht="13">
      <c r="B14635" s="12" t="str">
        <f ca="1">IFERROR(__xludf.DUMMYFUNCTION("""COMPUTED_VALUE"""),"")</f>
        <v/>
      </c>
      <c r="C14635" s="12" t="str">
        <f ca="1">IFERROR(__xludf.DUMMYFUNCTION("""COMPUTED_VALUE"""),"")</f>
        <v/>
      </c>
      <c r="D14635" s="12" t="str">
        <f ca="1">IFERROR(__xludf.DUMMYFUNCTION("""COMPUTED_VALUE"""),"")</f>
        <v/>
      </c>
    </row>
    <row r="14636" spans="2:4" ht="13">
      <c r="B14636" s="12" t="str">
        <f ca="1">IFERROR(__xludf.DUMMYFUNCTION("""COMPUTED_VALUE"""),"")</f>
        <v/>
      </c>
      <c r="C14636" s="12" t="str">
        <f ca="1">IFERROR(__xludf.DUMMYFUNCTION("""COMPUTED_VALUE"""),"")</f>
        <v/>
      </c>
      <c r="D14636" s="12" t="str">
        <f ca="1">IFERROR(__xludf.DUMMYFUNCTION("""COMPUTED_VALUE"""),"")</f>
        <v/>
      </c>
    </row>
    <row r="14637" spans="2:4" ht="13">
      <c r="B14637" s="12" t="str">
        <f ca="1">IFERROR(__xludf.DUMMYFUNCTION("""COMPUTED_VALUE"""),"")</f>
        <v/>
      </c>
      <c r="C14637" s="12" t="str">
        <f ca="1">IFERROR(__xludf.DUMMYFUNCTION("""COMPUTED_VALUE"""),"")</f>
        <v/>
      </c>
      <c r="D14637" s="12" t="str">
        <f ca="1">IFERROR(__xludf.DUMMYFUNCTION("""COMPUTED_VALUE"""),"")</f>
        <v/>
      </c>
    </row>
    <row r="14638" spans="2:4" ht="13">
      <c r="B14638" s="12" t="str">
        <f ca="1">IFERROR(__xludf.DUMMYFUNCTION("""COMPUTED_VALUE"""),"")</f>
        <v/>
      </c>
      <c r="C14638" s="12" t="str">
        <f ca="1">IFERROR(__xludf.DUMMYFUNCTION("""COMPUTED_VALUE"""),"")</f>
        <v/>
      </c>
      <c r="D14638" s="12" t="str">
        <f ca="1">IFERROR(__xludf.DUMMYFUNCTION("""COMPUTED_VALUE"""),"")</f>
        <v/>
      </c>
    </row>
    <row r="14639" spans="2:4" ht="13">
      <c r="B14639" s="12" t="str">
        <f ca="1">IFERROR(__xludf.DUMMYFUNCTION("""COMPUTED_VALUE"""),"")</f>
        <v/>
      </c>
      <c r="C14639" s="12" t="str">
        <f ca="1">IFERROR(__xludf.DUMMYFUNCTION("""COMPUTED_VALUE"""),"")</f>
        <v/>
      </c>
      <c r="D14639" s="12" t="str">
        <f ca="1">IFERROR(__xludf.DUMMYFUNCTION("""COMPUTED_VALUE"""),"")</f>
        <v/>
      </c>
    </row>
    <row r="14640" spans="2:4" ht="13">
      <c r="B14640" s="12" t="str">
        <f ca="1">IFERROR(__xludf.DUMMYFUNCTION("""COMPUTED_VALUE"""),"")</f>
        <v/>
      </c>
      <c r="C14640" s="12" t="str">
        <f ca="1">IFERROR(__xludf.DUMMYFUNCTION("""COMPUTED_VALUE"""),"")</f>
        <v/>
      </c>
      <c r="D14640" s="12" t="str">
        <f ca="1">IFERROR(__xludf.DUMMYFUNCTION("""COMPUTED_VALUE"""),"")</f>
        <v/>
      </c>
    </row>
    <row r="14641" spans="2:4" ht="13">
      <c r="B14641" s="12" t="str">
        <f ca="1">IFERROR(__xludf.DUMMYFUNCTION("""COMPUTED_VALUE"""),"")</f>
        <v/>
      </c>
      <c r="C14641" s="12" t="str">
        <f ca="1">IFERROR(__xludf.DUMMYFUNCTION("""COMPUTED_VALUE"""),"")</f>
        <v/>
      </c>
      <c r="D14641" s="12" t="str">
        <f ca="1">IFERROR(__xludf.DUMMYFUNCTION("""COMPUTED_VALUE"""),"")</f>
        <v/>
      </c>
    </row>
    <row r="14642" spans="2:4" ht="13">
      <c r="B14642" s="12" t="str">
        <f ca="1">IFERROR(__xludf.DUMMYFUNCTION("""COMPUTED_VALUE"""),"")</f>
        <v/>
      </c>
      <c r="C14642" s="12" t="str">
        <f ca="1">IFERROR(__xludf.DUMMYFUNCTION("""COMPUTED_VALUE"""),"")</f>
        <v/>
      </c>
      <c r="D14642" s="12" t="str">
        <f ca="1">IFERROR(__xludf.DUMMYFUNCTION("""COMPUTED_VALUE"""),"")</f>
        <v/>
      </c>
    </row>
    <row r="14643" spans="2:4" ht="13">
      <c r="B14643" s="12" t="str">
        <f ca="1">IFERROR(__xludf.DUMMYFUNCTION("""COMPUTED_VALUE"""),"")</f>
        <v/>
      </c>
      <c r="C14643" s="12" t="str">
        <f ca="1">IFERROR(__xludf.DUMMYFUNCTION("""COMPUTED_VALUE"""),"")</f>
        <v/>
      </c>
      <c r="D14643" s="12" t="str">
        <f ca="1">IFERROR(__xludf.DUMMYFUNCTION("""COMPUTED_VALUE"""),"")</f>
        <v/>
      </c>
    </row>
    <row r="14644" spans="2:4" ht="13">
      <c r="B14644" s="12" t="str">
        <f ca="1">IFERROR(__xludf.DUMMYFUNCTION("""COMPUTED_VALUE"""),"")</f>
        <v/>
      </c>
      <c r="C14644" s="12" t="str">
        <f ca="1">IFERROR(__xludf.DUMMYFUNCTION("""COMPUTED_VALUE"""),"")</f>
        <v/>
      </c>
      <c r="D14644" s="12" t="str">
        <f ca="1">IFERROR(__xludf.DUMMYFUNCTION("""COMPUTED_VALUE"""),"")</f>
        <v/>
      </c>
    </row>
    <row r="14645" spans="2:4" ht="13">
      <c r="B14645" s="12" t="str">
        <f ca="1">IFERROR(__xludf.DUMMYFUNCTION("""COMPUTED_VALUE"""),"")</f>
        <v/>
      </c>
      <c r="C14645" s="12" t="str">
        <f ca="1">IFERROR(__xludf.DUMMYFUNCTION("""COMPUTED_VALUE"""),"")</f>
        <v/>
      </c>
      <c r="D14645" s="12" t="str">
        <f ca="1">IFERROR(__xludf.DUMMYFUNCTION("""COMPUTED_VALUE"""),"")</f>
        <v/>
      </c>
    </row>
    <row r="14646" spans="2:4" ht="13">
      <c r="B14646" s="12" t="str">
        <f ca="1">IFERROR(__xludf.DUMMYFUNCTION("""COMPUTED_VALUE"""),"")</f>
        <v/>
      </c>
      <c r="C14646" s="12" t="str">
        <f ca="1">IFERROR(__xludf.DUMMYFUNCTION("""COMPUTED_VALUE"""),"")</f>
        <v/>
      </c>
      <c r="D14646" s="12" t="str">
        <f ca="1">IFERROR(__xludf.DUMMYFUNCTION("""COMPUTED_VALUE"""),"")</f>
        <v/>
      </c>
    </row>
    <row r="14647" spans="2:4" ht="13">
      <c r="B14647" s="12" t="str">
        <f ca="1">IFERROR(__xludf.DUMMYFUNCTION("""COMPUTED_VALUE"""),"")</f>
        <v/>
      </c>
      <c r="C14647" s="12" t="str">
        <f ca="1">IFERROR(__xludf.DUMMYFUNCTION("""COMPUTED_VALUE"""),"")</f>
        <v/>
      </c>
      <c r="D14647" s="12" t="str">
        <f ca="1">IFERROR(__xludf.DUMMYFUNCTION("""COMPUTED_VALUE"""),"")</f>
        <v/>
      </c>
    </row>
    <row r="14648" spans="2:4" ht="13">
      <c r="B14648" s="12" t="str">
        <f ca="1">IFERROR(__xludf.DUMMYFUNCTION("""COMPUTED_VALUE"""),"")</f>
        <v/>
      </c>
      <c r="C14648" s="12" t="str">
        <f ca="1">IFERROR(__xludf.DUMMYFUNCTION("""COMPUTED_VALUE"""),"")</f>
        <v/>
      </c>
      <c r="D14648" s="12" t="str">
        <f ca="1">IFERROR(__xludf.DUMMYFUNCTION("""COMPUTED_VALUE"""),"")</f>
        <v/>
      </c>
    </row>
    <row r="14649" spans="2:4" ht="13">
      <c r="B14649" s="12" t="str">
        <f ca="1">IFERROR(__xludf.DUMMYFUNCTION("""COMPUTED_VALUE"""),"")</f>
        <v/>
      </c>
      <c r="C14649" s="12" t="str">
        <f ca="1">IFERROR(__xludf.DUMMYFUNCTION("""COMPUTED_VALUE"""),"")</f>
        <v/>
      </c>
      <c r="D14649" s="12" t="str">
        <f ca="1">IFERROR(__xludf.DUMMYFUNCTION("""COMPUTED_VALUE"""),"")</f>
        <v/>
      </c>
    </row>
    <row r="14650" spans="2:4" ht="13">
      <c r="B14650" s="12" t="str">
        <f ca="1">IFERROR(__xludf.DUMMYFUNCTION("""COMPUTED_VALUE"""),"")</f>
        <v/>
      </c>
      <c r="C14650" s="12" t="str">
        <f ca="1">IFERROR(__xludf.DUMMYFUNCTION("""COMPUTED_VALUE"""),"")</f>
        <v/>
      </c>
      <c r="D14650" s="12" t="str">
        <f ca="1">IFERROR(__xludf.DUMMYFUNCTION("""COMPUTED_VALUE"""),"")</f>
        <v/>
      </c>
    </row>
    <row r="14651" spans="2:4" ht="13">
      <c r="B14651" s="12" t="str">
        <f ca="1">IFERROR(__xludf.DUMMYFUNCTION("""COMPUTED_VALUE"""),"")</f>
        <v/>
      </c>
      <c r="C14651" s="12" t="str">
        <f ca="1">IFERROR(__xludf.DUMMYFUNCTION("""COMPUTED_VALUE"""),"")</f>
        <v/>
      </c>
      <c r="D14651" s="12" t="str">
        <f ca="1">IFERROR(__xludf.DUMMYFUNCTION("""COMPUTED_VALUE"""),"")</f>
        <v/>
      </c>
    </row>
    <row r="14652" spans="2:4" ht="13">
      <c r="B14652" s="12" t="str">
        <f ca="1">IFERROR(__xludf.DUMMYFUNCTION("""COMPUTED_VALUE"""),"")</f>
        <v/>
      </c>
      <c r="C14652" s="12" t="str">
        <f ca="1">IFERROR(__xludf.DUMMYFUNCTION("""COMPUTED_VALUE"""),"")</f>
        <v/>
      </c>
      <c r="D14652" s="12" t="str">
        <f ca="1">IFERROR(__xludf.DUMMYFUNCTION("""COMPUTED_VALUE"""),"")</f>
        <v/>
      </c>
    </row>
    <row r="14653" spans="2:4" ht="13">
      <c r="B14653" s="12" t="str">
        <f ca="1">IFERROR(__xludf.DUMMYFUNCTION("""COMPUTED_VALUE"""),"")</f>
        <v/>
      </c>
      <c r="C14653" s="12" t="str">
        <f ca="1">IFERROR(__xludf.DUMMYFUNCTION("""COMPUTED_VALUE"""),"")</f>
        <v/>
      </c>
      <c r="D14653" s="12" t="str">
        <f ca="1">IFERROR(__xludf.DUMMYFUNCTION("""COMPUTED_VALUE"""),"")</f>
        <v/>
      </c>
    </row>
    <row r="14654" spans="2:4" ht="13">
      <c r="B14654" s="12" t="str">
        <f ca="1">IFERROR(__xludf.DUMMYFUNCTION("""COMPUTED_VALUE"""),"")</f>
        <v/>
      </c>
      <c r="C14654" s="12" t="str">
        <f ca="1">IFERROR(__xludf.DUMMYFUNCTION("""COMPUTED_VALUE"""),"")</f>
        <v/>
      </c>
      <c r="D14654" s="12" t="str">
        <f ca="1">IFERROR(__xludf.DUMMYFUNCTION("""COMPUTED_VALUE"""),"")</f>
        <v/>
      </c>
    </row>
    <row r="14655" spans="2:4" ht="13">
      <c r="B14655" s="12" t="str">
        <f ca="1">IFERROR(__xludf.DUMMYFUNCTION("""COMPUTED_VALUE"""),"")</f>
        <v/>
      </c>
      <c r="C14655" s="12" t="str">
        <f ca="1">IFERROR(__xludf.DUMMYFUNCTION("""COMPUTED_VALUE"""),"")</f>
        <v/>
      </c>
      <c r="D14655" s="12" t="str">
        <f ca="1">IFERROR(__xludf.DUMMYFUNCTION("""COMPUTED_VALUE"""),"")</f>
        <v/>
      </c>
    </row>
    <row r="14656" spans="2:4" ht="13">
      <c r="B14656" s="12" t="str">
        <f ca="1">IFERROR(__xludf.DUMMYFUNCTION("""COMPUTED_VALUE"""),"")</f>
        <v/>
      </c>
      <c r="C14656" s="12" t="str">
        <f ca="1">IFERROR(__xludf.DUMMYFUNCTION("""COMPUTED_VALUE"""),"")</f>
        <v/>
      </c>
      <c r="D14656" s="12" t="str">
        <f ca="1">IFERROR(__xludf.DUMMYFUNCTION("""COMPUTED_VALUE"""),"")</f>
        <v/>
      </c>
    </row>
    <row r="14657" spans="2:4" ht="13">
      <c r="B14657" s="12" t="str">
        <f ca="1">IFERROR(__xludf.DUMMYFUNCTION("""COMPUTED_VALUE"""),"")</f>
        <v/>
      </c>
      <c r="C14657" s="12" t="str">
        <f ca="1">IFERROR(__xludf.DUMMYFUNCTION("""COMPUTED_VALUE"""),"")</f>
        <v/>
      </c>
      <c r="D14657" s="12" t="str">
        <f ca="1">IFERROR(__xludf.DUMMYFUNCTION("""COMPUTED_VALUE"""),"")</f>
        <v/>
      </c>
    </row>
    <row r="14658" spans="2:4" ht="13">
      <c r="B14658" s="12" t="str">
        <f ca="1">IFERROR(__xludf.DUMMYFUNCTION("""COMPUTED_VALUE"""),"")</f>
        <v/>
      </c>
      <c r="C14658" s="12" t="str">
        <f ca="1">IFERROR(__xludf.DUMMYFUNCTION("""COMPUTED_VALUE"""),"")</f>
        <v/>
      </c>
      <c r="D14658" s="12" t="str">
        <f ca="1">IFERROR(__xludf.DUMMYFUNCTION("""COMPUTED_VALUE"""),"")</f>
        <v/>
      </c>
    </row>
    <row r="14659" spans="2:4" ht="13">
      <c r="B14659" s="12" t="str">
        <f ca="1">IFERROR(__xludf.DUMMYFUNCTION("""COMPUTED_VALUE"""),"")</f>
        <v/>
      </c>
      <c r="C14659" s="12" t="str">
        <f ca="1">IFERROR(__xludf.DUMMYFUNCTION("""COMPUTED_VALUE"""),"")</f>
        <v/>
      </c>
      <c r="D14659" s="12" t="str">
        <f ca="1">IFERROR(__xludf.DUMMYFUNCTION("""COMPUTED_VALUE"""),"")</f>
        <v/>
      </c>
    </row>
    <row r="14660" spans="2:4" ht="13">
      <c r="B14660" s="12" t="str">
        <f ca="1">IFERROR(__xludf.DUMMYFUNCTION("""COMPUTED_VALUE"""),"")</f>
        <v/>
      </c>
      <c r="C14660" s="12" t="str">
        <f ca="1">IFERROR(__xludf.DUMMYFUNCTION("""COMPUTED_VALUE"""),"")</f>
        <v/>
      </c>
      <c r="D14660" s="12" t="str">
        <f ca="1">IFERROR(__xludf.DUMMYFUNCTION("""COMPUTED_VALUE"""),"")</f>
        <v/>
      </c>
    </row>
    <row r="14661" spans="2:4" ht="13">
      <c r="B14661" s="12" t="str">
        <f ca="1">IFERROR(__xludf.DUMMYFUNCTION("""COMPUTED_VALUE"""),"")</f>
        <v/>
      </c>
      <c r="C14661" s="12" t="str">
        <f ca="1">IFERROR(__xludf.DUMMYFUNCTION("""COMPUTED_VALUE"""),"")</f>
        <v/>
      </c>
      <c r="D14661" s="12" t="str">
        <f ca="1">IFERROR(__xludf.DUMMYFUNCTION("""COMPUTED_VALUE"""),"")</f>
        <v/>
      </c>
    </row>
    <row r="14662" spans="2:4" ht="13">
      <c r="B14662" s="12" t="str">
        <f ca="1">IFERROR(__xludf.DUMMYFUNCTION("""COMPUTED_VALUE"""),"")</f>
        <v/>
      </c>
      <c r="C14662" s="12" t="str">
        <f ca="1">IFERROR(__xludf.DUMMYFUNCTION("""COMPUTED_VALUE"""),"")</f>
        <v/>
      </c>
      <c r="D14662" s="12" t="str">
        <f ca="1">IFERROR(__xludf.DUMMYFUNCTION("""COMPUTED_VALUE"""),"")</f>
        <v/>
      </c>
    </row>
    <row r="14663" spans="2:4" ht="13">
      <c r="B14663" s="12" t="str">
        <f ca="1">IFERROR(__xludf.DUMMYFUNCTION("""COMPUTED_VALUE"""),"")</f>
        <v/>
      </c>
      <c r="C14663" s="12" t="str">
        <f ca="1">IFERROR(__xludf.DUMMYFUNCTION("""COMPUTED_VALUE"""),"")</f>
        <v/>
      </c>
      <c r="D14663" s="12" t="str">
        <f ca="1">IFERROR(__xludf.DUMMYFUNCTION("""COMPUTED_VALUE"""),"")</f>
        <v/>
      </c>
    </row>
    <row r="14664" spans="2:4" ht="13">
      <c r="B14664" s="12" t="str">
        <f ca="1">IFERROR(__xludf.DUMMYFUNCTION("""COMPUTED_VALUE"""),"")</f>
        <v/>
      </c>
      <c r="C14664" s="12" t="str">
        <f ca="1">IFERROR(__xludf.DUMMYFUNCTION("""COMPUTED_VALUE"""),"")</f>
        <v/>
      </c>
      <c r="D14664" s="12" t="str">
        <f ca="1">IFERROR(__xludf.DUMMYFUNCTION("""COMPUTED_VALUE"""),"")</f>
        <v/>
      </c>
    </row>
    <row r="14665" spans="2:4" ht="13">
      <c r="B14665" s="12" t="str">
        <f ca="1">IFERROR(__xludf.DUMMYFUNCTION("""COMPUTED_VALUE"""),"")</f>
        <v/>
      </c>
      <c r="C14665" s="12" t="str">
        <f ca="1">IFERROR(__xludf.DUMMYFUNCTION("""COMPUTED_VALUE"""),"")</f>
        <v/>
      </c>
      <c r="D14665" s="12" t="str">
        <f ca="1">IFERROR(__xludf.DUMMYFUNCTION("""COMPUTED_VALUE"""),"")</f>
        <v/>
      </c>
    </row>
    <row r="14666" spans="2:4" ht="13">
      <c r="B14666" s="12" t="str">
        <f ca="1">IFERROR(__xludf.DUMMYFUNCTION("""COMPUTED_VALUE"""),"")</f>
        <v/>
      </c>
      <c r="C14666" s="12" t="str">
        <f ca="1">IFERROR(__xludf.DUMMYFUNCTION("""COMPUTED_VALUE"""),"")</f>
        <v/>
      </c>
      <c r="D14666" s="12" t="str">
        <f ca="1">IFERROR(__xludf.DUMMYFUNCTION("""COMPUTED_VALUE"""),"")</f>
        <v/>
      </c>
    </row>
    <row r="14667" spans="2:4" ht="13">
      <c r="B14667" s="12" t="str">
        <f ca="1">IFERROR(__xludf.DUMMYFUNCTION("""COMPUTED_VALUE"""),"")</f>
        <v/>
      </c>
      <c r="C14667" s="12" t="str">
        <f ca="1">IFERROR(__xludf.DUMMYFUNCTION("""COMPUTED_VALUE"""),"")</f>
        <v/>
      </c>
      <c r="D14667" s="12" t="str">
        <f ca="1">IFERROR(__xludf.DUMMYFUNCTION("""COMPUTED_VALUE"""),"")</f>
        <v/>
      </c>
    </row>
    <row r="14668" spans="2:4" ht="13">
      <c r="B14668" s="12" t="str">
        <f ca="1">IFERROR(__xludf.DUMMYFUNCTION("""COMPUTED_VALUE"""),"")</f>
        <v/>
      </c>
      <c r="C14668" s="12" t="str">
        <f ca="1">IFERROR(__xludf.DUMMYFUNCTION("""COMPUTED_VALUE"""),"")</f>
        <v/>
      </c>
      <c r="D14668" s="12" t="str">
        <f ca="1">IFERROR(__xludf.DUMMYFUNCTION("""COMPUTED_VALUE"""),"")</f>
        <v/>
      </c>
    </row>
    <row r="14669" spans="2:4" ht="13">
      <c r="B14669" s="12" t="str">
        <f ca="1">IFERROR(__xludf.DUMMYFUNCTION("""COMPUTED_VALUE"""),"")</f>
        <v/>
      </c>
      <c r="C14669" s="12" t="str">
        <f ca="1">IFERROR(__xludf.DUMMYFUNCTION("""COMPUTED_VALUE"""),"")</f>
        <v/>
      </c>
      <c r="D14669" s="12" t="str">
        <f ca="1">IFERROR(__xludf.DUMMYFUNCTION("""COMPUTED_VALUE"""),"")</f>
        <v/>
      </c>
    </row>
    <row r="14670" spans="2:4" ht="13">
      <c r="B14670" s="12" t="str">
        <f ca="1">IFERROR(__xludf.DUMMYFUNCTION("""COMPUTED_VALUE"""),"")</f>
        <v/>
      </c>
      <c r="C14670" s="12" t="str">
        <f ca="1">IFERROR(__xludf.DUMMYFUNCTION("""COMPUTED_VALUE"""),"")</f>
        <v/>
      </c>
      <c r="D14670" s="12" t="str">
        <f ca="1">IFERROR(__xludf.DUMMYFUNCTION("""COMPUTED_VALUE"""),"")</f>
        <v/>
      </c>
    </row>
    <row r="14671" spans="2:4" ht="13">
      <c r="B14671" s="12" t="str">
        <f ca="1">IFERROR(__xludf.DUMMYFUNCTION("""COMPUTED_VALUE"""),"")</f>
        <v/>
      </c>
      <c r="C14671" s="12" t="str">
        <f ca="1">IFERROR(__xludf.DUMMYFUNCTION("""COMPUTED_VALUE"""),"")</f>
        <v/>
      </c>
      <c r="D14671" s="12" t="str">
        <f ca="1">IFERROR(__xludf.DUMMYFUNCTION("""COMPUTED_VALUE"""),"")</f>
        <v/>
      </c>
    </row>
    <row r="14672" spans="2:4" ht="13">
      <c r="B14672" s="12" t="str">
        <f ca="1">IFERROR(__xludf.DUMMYFUNCTION("""COMPUTED_VALUE"""),"")</f>
        <v/>
      </c>
      <c r="C14672" s="12" t="str">
        <f ca="1">IFERROR(__xludf.DUMMYFUNCTION("""COMPUTED_VALUE"""),"")</f>
        <v/>
      </c>
      <c r="D14672" s="12" t="str">
        <f ca="1">IFERROR(__xludf.DUMMYFUNCTION("""COMPUTED_VALUE"""),"")</f>
        <v/>
      </c>
    </row>
    <row r="14673" spans="2:4" ht="13">
      <c r="B14673" s="12" t="str">
        <f ca="1">IFERROR(__xludf.DUMMYFUNCTION("""COMPUTED_VALUE"""),"")</f>
        <v/>
      </c>
      <c r="C14673" s="12" t="str">
        <f ca="1">IFERROR(__xludf.DUMMYFUNCTION("""COMPUTED_VALUE"""),"")</f>
        <v/>
      </c>
      <c r="D14673" s="12" t="str">
        <f ca="1">IFERROR(__xludf.DUMMYFUNCTION("""COMPUTED_VALUE"""),"")</f>
        <v/>
      </c>
    </row>
    <row r="14674" spans="2:4" ht="13">
      <c r="B14674" s="12" t="str">
        <f ca="1">IFERROR(__xludf.DUMMYFUNCTION("""COMPUTED_VALUE"""),"")</f>
        <v/>
      </c>
      <c r="C14674" s="12" t="str">
        <f ca="1">IFERROR(__xludf.DUMMYFUNCTION("""COMPUTED_VALUE"""),"")</f>
        <v/>
      </c>
      <c r="D14674" s="12" t="str">
        <f ca="1">IFERROR(__xludf.DUMMYFUNCTION("""COMPUTED_VALUE"""),"")</f>
        <v/>
      </c>
    </row>
    <row r="14675" spans="2:4" ht="13">
      <c r="B14675" s="12" t="str">
        <f ca="1">IFERROR(__xludf.DUMMYFUNCTION("""COMPUTED_VALUE"""),"")</f>
        <v/>
      </c>
      <c r="C14675" s="12" t="str">
        <f ca="1">IFERROR(__xludf.DUMMYFUNCTION("""COMPUTED_VALUE"""),"")</f>
        <v/>
      </c>
      <c r="D14675" s="12" t="str">
        <f ca="1">IFERROR(__xludf.DUMMYFUNCTION("""COMPUTED_VALUE"""),"")</f>
        <v/>
      </c>
    </row>
    <row r="14676" spans="2:4" ht="13">
      <c r="B14676" s="12" t="str">
        <f ca="1">IFERROR(__xludf.DUMMYFUNCTION("""COMPUTED_VALUE"""),"")</f>
        <v/>
      </c>
      <c r="C14676" s="12" t="str">
        <f ca="1">IFERROR(__xludf.DUMMYFUNCTION("""COMPUTED_VALUE"""),"")</f>
        <v/>
      </c>
      <c r="D14676" s="12" t="str">
        <f ca="1">IFERROR(__xludf.DUMMYFUNCTION("""COMPUTED_VALUE"""),"")</f>
        <v/>
      </c>
    </row>
    <row r="14677" spans="2:4" ht="13">
      <c r="B14677" s="12" t="str">
        <f ca="1">IFERROR(__xludf.DUMMYFUNCTION("""COMPUTED_VALUE"""),"")</f>
        <v/>
      </c>
      <c r="C14677" s="12" t="str">
        <f ca="1">IFERROR(__xludf.DUMMYFUNCTION("""COMPUTED_VALUE"""),"")</f>
        <v/>
      </c>
      <c r="D14677" s="12" t="str">
        <f ca="1">IFERROR(__xludf.DUMMYFUNCTION("""COMPUTED_VALUE"""),"")</f>
        <v/>
      </c>
    </row>
    <row r="14678" spans="2:4" ht="13">
      <c r="B14678" s="12" t="str">
        <f ca="1">IFERROR(__xludf.DUMMYFUNCTION("""COMPUTED_VALUE"""),"")</f>
        <v/>
      </c>
      <c r="C14678" s="12" t="str">
        <f ca="1">IFERROR(__xludf.DUMMYFUNCTION("""COMPUTED_VALUE"""),"")</f>
        <v/>
      </c>
      <c r="D14678" s="12" t="str">
        <f ca="1">IFERROR(__xludf.DUMMYFUNCTION("""COMPUTED_VALUE"""),"")</f>
        <v/>
      </c>
    </row>
    <row r="14679" spans="2:4" ht="13">
      <c r="B14679" s="12" t="str">
        <f ca="1">IFERROR(__xludf.DUMMYFUNCTION("""COMPUTED_VALUE"""),"")</f>
        <v/>
      </c>
      <c r="C14679" s="12" t="str">
        <f ca="1">IFERROR(__xludf.DUMMYFUNCTION("""COMPUTED_VALUE"""),"")</f>
        <v/>
      </c>
      <c r="D14679" s="12" t="str">
        <f ca="1">IFERROR(__xludf.DUMMYFUNCTION("""COMPUTED_VALUE"""),"")</f>
        <v/>
      </c>
    </row>
    <row r="14680" spans="2:4" ht="13">
      <c r="B14680" s="12" t="str">
        <f ca="1">IFERROR(__xludf.DUMMYFUNCTION("""COMPUTED_VALUE"""),"")</f>
        <v/>
      </c>
      <c r="C14680" s="12" t="str">
        <f ca="1">IFERROR(__xludf.DUMMYFUNCTION("""COMPUTED_VALUE"""),"")</f>
        <v/>
      </c>
      <c r="D14680" s="12" t="str">
        <f ca="1">IFERROR(__xludf.DUMMYFUNCTION("""COMPUTED_VALUE"""),"")</f>
        <v/>
      </c>
    </row>
    <row r="14681" spans="2:4" ht="13">
      <c r="B14681" s="12" t="str">
        <f ca="1">IFERROR(__xludf.DUMMYFUNCTION("""COMPUTED_VALUE"""),"")</f>
        <v/>
      </c>
      <c r="C14681" s="12" t="str">
        <f ca="1">IFERROR(__xludf.DUMMYFUNCTION("""COMPUTED_VALUE"""),"")</f>
        <v/>
      </c>
      <c r="D14681" s="12" t="str">
        <f ca="1">IFERROR(__xludf.DUMMYFUNCTION("""COMPUTED_VALUE"""),"")</f>
        <v/>
      </c>
    </row>
    <row r="14682" spans="2:4" ht="13">
      <c r="B14682" s="12" t="str">
        <f ca="1">IFERROR(__xludf.DUMMYFUNCTION("""COMPUTED_VALUE"""),"")</f>
        <v/>
      </c>
      <c r="C14682" s="12" t="str">
        <f ca="1">IFERROR(__xludf.DUMMYFUNCTION("""COMPUTED_VALUE"""),"")</f>
        <v/>
      </c>
      <c r="D14682" s="12" t="str">
        <f ca="1">IFERROR(__xludf.DUMMYFUNCTION("""COMPUTED_VALUE"""),"")</f>
        <v/>
      </c>
    </row>
    <row r="14683" spans="2:4" ht="13">
      <c r="B14683" s="12" t="str">
        <f ca="1">IFERROR(__xludf.DUMMYFUNCTION("""COMPUTED_VALUE"""),"")</f>
        <v/>
      </c>
      <c r="C14683" s="12" t="str">
        <f ca="1">IFERROR(__xludf.DUMMYFUNCTION("""COMPUTED_VALUE"""),"")</f>
        <v/>
      </c>
      <c r="D14683" s="12" t="str">
        <f ca="1">IFERROR(__xludf.DUMMYFUNCTION("""COMPUTED_VALUE"""),"")</f>
        <v/>
      </c>
    </row>
    <row r="14684" spans="2:4" ht="13">
      <c r="B14684" s="12" t="str">
        <f ca="1">IFERROR(__xludf.DUMMYFUNCTION("""COMPUTED_VALUE"""),"")</f>
        <v/>
      </c>
      <c r="C14684" s="12" t="str">
        <f ca="1">IFERROR(__xludf.DUMMYFUNCTION("""COMPUTED_VALUE"""),"")</f>
        <v/>
      </c>
      <c r="D14684" s="12" t="str">
        <f ca="1">IFERROR(__xludf.DUMMYFUNCTION("""COMPUTED_VALUE"""),"")</f>
        <v/>
      </c>
    </row>
    <row r="14685" spans="2:4" ht="13">
      <c r="B14685" s="12" t="str">
        <f ca="1">IFERROR(__xludf.DUMMYFUNCTION("""COMPUTED_VALUE"""),"")</f>
        <v/>
      </c>
      <c r="C14685" s="12" t="str">
        <f ca="1">IFERROR(__xludf.DUMMYFUNCTION("""COMPUTED_VALUE"""),"")</f>
        <v/>
      </c>
      <c r="D14685" s="12" t="str">
        <f ca="1">IFERROR(__xludf.DUMMYFUNCTION("""COMPUTED_VALUE"""),"")</f>
        <v/>
      </c>
    </row>
    <row r="14686" spans="2:4" ht="13">
      <c r="B14686" s="12" t="str">
        <f ca="1">IFERROR(__xludf.DUMMYFUNCTION("""COMPUTED_VALUE"""),"")</f>
        <v/>
      </c>
      <c r="C14686" s="12" t="str">
        <f ca="1">IFERROR(__xludf.DUMMYFUNCTION("""COMPUTED_VALUE"""),"")</f>
        <v/>
      </c>
      <c r="D14686" s="12" t="str">
        <f ca="1">IFERROR(__xludf.DUMMYFUNCTION("""COMPUTED_VALUE"""),"")</f>
        <v/>
      </c>
    </row>
    <row r="14687" spans="2:4" ht="13">
      <c r="B14687" s="12" t="str">
        <f ca="1">IFERROR(__xludf.DUMMYFUNCTION("""COMPUTED_VALUE"""),"")</f>
        <v/>
      </c>
      <c r="C14687" s="12" t="str">
        <f ca="1">IFERROR(__xludf.DUMMYFUNCTION("""COMPUTED_VALUE"""),"")</f>
        <v/>
      </c>
      <c r="D14687" s="12" t="str">
        <f ca="1">IFERROR(__xludf.DUMMYFUNCTION("""COMPUTED_VALUE"""),"")</f>
        <v/>
      </c>
    </row>
    <row r="14688" spans="2:4" ht="13">
      <c r="B14688" s="12" t="str">
        <f ca="1">IFERROR(__xludf.DUMMYFUNCTION("""COMPUTED_VALUE"""),"")</f>
        <v/>
      </c>
      <c r="C14688" s="12" t="str">
        <f ca="1">IFERROR(__xludf.DUMMYFUNCTION("""COMPUTED_VALUE"""),"")</f>
        <v/>
      </c>
      <c r="D14688" s="12" t="str">
        <f ca="1">IFERROR(__xludf.DUMMYFUNCTION("""COMPUTED_VALUE"""),"")</f>
        <v/>
      </c>
    </row>
    <row r="14689" spans="2:4" ht="13">
      <c r="B14689" s="12" t="str">
        <f ca="1">IFERROR(__xludf.DUMMYFUNCTION("""COMPUTED_VALUE"""),"")</f>
        <v/>
      </c>
      <c r="C14689" s="12" t="str">
        <f ca="1">IFERROR(__xludf.DUMMYFUNCTION("""COMPUTED_VALUE"""),"")</f>
        <v/>
      </c>
      <c r="D14689" s="12" t="str">
        <f ca="1">IFERROR(__xludf.DUMMYFUNCTION("""COMPUTED_VALUE"""),"")</f>
        <v/>
      </c>
    </row>
    <row r="14690" spans="2:4" ht="13">
      <c r="B14690" s="12" t="str">
        <f ca="1">IFERROR(__xludf.DUMMYFUNCTION("""COMPUTED_VALUE"""),"")</f>
        <v/>
      </c>
      <c r="C14690" s="12" t="str">
        <f ca="1">IFERROR(__xludf.DUMMYFUNCTION("""COMPUTED_VALUE"""),"")</f>
        <v/>
      </c>
      <c r="D14690" s="12" t="str">
        <f ca="1">IFERROR(__xludf.DUMMYFUNCTION("""COMPUTED_VALUE"""),"")</f>
        <v/>
      </c>
    </row>
    <row r="14691" spans="2:4" ht="13">
      <c r="B14691" s="12" t="str">
        <f ca="1">IFERROR(__xludf.DUMMYFUNCTION("""COMPUTED_VALUE"""),"")</f>
        <v/>
      </c>
      <c r="C14691" s="12" t="str">
        <f ca="1">IFERROR(__xludf.DUMMYFUNCTION("""COMPUTED_VALUE"""),"")</f>
        <v/>
      </c>
      <c r="D14691" s="12" t="str">
        <f ca="1">IFERROR(__xludf.DUMMYFUNCTION("""COMPUTED_VALUE"""),"")</f>
        <v/>
      </c>
    </row>
    <row r="14692" spans="2:4" ht="13">
      <c r="B14692" s="12" t="str">
        <f ca="1">IFERROR(__xludf.DUMMYFUNCTION("""COMPUTED_VALUE"""),"")</f>
        <v/>
      </c>
      <c r="C14692" s="12" t="str">
        <f ca="1">IFERROR(__xludf.DUMMYFUNCTION("""COMPUTED_VALUE"""),"")</f>
        <v/>
      </c>
      <c r="D14692" s="12" t="str">
        <f ca="1">IFERROR(__xludf.DUMMYFUNCTION("""COMPUTED_VALUE"""),"")</f>
        <v/>
      </c>
    </row>
    <row r="14693" spans="2:4" ht="13">
      <c r="B14693" s="12" t="str">
        <f ca="1">IFERROR(__xludf.DUMMYFUNCTION("""COMPUTED_VALUE"""),"")</f>
        <v/>
      </c>
      <c r="C14693" s="12" t="str">
        <f ca="1">IFERROR(__xludf.DUMMYFUNCTION("""COMPUTED_VALUE"""),"")</f>
        <v/>
      </c>
      <c r="D14693" s="12" t="str">
        <f ca="1">IFERROR(__xludf.DUMMYFUNCTION("""COMPUTED_VALUE"""),"")</f>
        <v/>
      </c>
    </row>
    <row r="14694" spans="2:4" ht="13">
      <c r="B14694" s="12" t="str">
        <f ca="1">IFERROR(__xludf.DUMMYFUNCTION("""COMPUTED_VALUE"""),"")</f>
        <v/>
      </c>
      <c r="C14694" s="12" t="str">
        <f ca="1">IFERROR(__xludf.DUMMYFUNCTION("""COMPUTED_VALUE"""),"")</f>
        <v/>
      </c>
      <c r="D14694" s="12" t="str">
        <f ca="1">IFERROR(__xludf.DUMMYFUNCTION("""COMPUTED_VALUE"""),"")</f>
        <v/>
      </c>
    </row>
    <row r="14695" spans="2:4" ht="13">
      <c r="B14695" s="12" t="str">
        <f ca="1">IFERROR(__xludf.DUMMYFUNCTION("""COMPUTED_VALUE"""),"")</f>
        <v/>
      </c>
      <c r="C14695" s="12" t="str">
        <f ca="1">IFERROR(__xludf.DUMMYFUNCTION("""COMPUTED_VALUE"""),"")</f>
        <v/>
      </c>
      <c r="D14695" s="12" t="str">
        <f ca="1">IFERROR(__xludf.DUMMYFUNCTION("""COMPUTED_VALUE"""),"")</f>
        <v/>
      </c>
    </row>
    <row r="14696" spans="2:4" ht="13">
      <c r="B14696" s="12" t="str">
        <f ca="1">IFERROR(__xludf.DUMMYFUNCTION("""COMPUTED_VALUE"""),"")</f>
        <v/>
      </c>
      <c r="C14696" s="12" t="str">
        <f ca="1">IFERROR(__xludf.DUMMYFUNCTION("""COMPUTED_VALUE"""),"")</f>
        <v/>
      </c>
      <c r="D14696" s="12" t="str">
        <f ca="1">IFERROR(__xludf.DUMMYFUNCTION("""COMPUTED_VALUE"""),"")</f>
        <v/>
      </c>
    </row>
    <row r="14697" spans="2:4" ht="13">
      <c r="B14697" s="12" t="str">
        <f ca="1">IFERROR(__xludf.DUMMYFUNCTION("""COMPUTED_VALUE"""),"")</f>
        <v/>
      </c>
      <c r="C14697" s="12" t="str">
        <f ca="1">IFERROR(__xludf.DUMMYFUNCTION("""COMPUTED_VALUE"""),"")</f>
        <v/>
      </c>
      <c r="D14697" s="12" t="str">
        <f ca="1">IFERROR(__xludf.DUMMYFUNCTION("""COMPUTED_VALUE"""),"")</f>
        <v/>
      </c>
    </row>
    <row r="14698" spans="2:4" ht="13">
      <c r="B14698" s="12" t="str">
        <f ca="1">IFERROR(__xludf.DUMMYFUNCTION("""COMPUTED_VALUE"""),"")</f>
        <v/>
      </c>
      <c r="C14698" s="12" t="str">
        <f ca="1">IFERROR(__xludf.DUMMYFUNCTION("""COMPUTED_VALUE"""),"")</f>
        <v/>
      </c>
      <c r="D14698" s="12" t="str">
        <f ca="1">IFERROR(__xludf.DUMMYFUNCTION("""COMPUTED_VALUE"""),"")</f>
        <v/>
      </c>
    </row>
    <row r="14699" spans="2:4" ht="13">
      <c r="B14699" s="12" t="str">
        <f ca="1">IFERROR(__xludf.DUMMYFUNCTION("""COMPUTED_VALUE"""),"")</f>
        <v/>
      </c>
      <c r="C14699" s="12" t="str">
        <f ca="1">IFERROR(__xludf.DUMMYFUNCTION("""COMPUTED_VALUE"""),"")</f>
        <v/>
      </c>
      <c r="D14699" s="12" t="str">
        <f ca="1">IFERROR(__xludf.DUMMYFUNCTION("""COMPUTED_VALUE"""),"")</f>
        <v/>
      </c>
    </row>
    <row r="14700" spans="2:4" ht="13">
      <c r="B14700" s="12" t="str">
        <f ca="1">IFERROR(__xludf.DUMMYFUNCTION("""COMPUTED_VALUE"""),"")</f>
        <v/>
      </c>
      <c r="C14700" s="12" t="str">
        <f ca="1">IFERROR(__xludf.DUMMYFUNCTION("""COMPUTED_VALUE"""),"")</f>
        <v/>
      </c>
      <c r="D14700" s="12" t="str">
        <f ca="1">IFERROR(__xludf.DUMMYFUNCTION("""COMPUTED_VALUE"""),"")</f>
        <v/>
      </c>
    </row>
    <row r="14701" spans="2:4" ht="13">
      <c r="B14701" s="12" t="str">
        <f ca="1">IFERROR(__xludf.DUMMYFUNCTION("""COMPUTED_VALUE"""),"")</f>
        <v/>
      </c>
      <c r="C14701" s="12" t="str">
        <f ca="1">IFERROR(__xludf.DUMMYFUNCTION("""COMPUTED_VALUE"""),"")</f>
        <v/>
      </c>
      <c r="D14701" s="12" t="str">
        <f ca="1">IFERROR(__xludf.DUMMYFUNCTION("""COMPUTED_VALUE"""),"")</f>
        <v/>
      </c>
    </row>
    <row r="14702" spans="2:4" ht="13">
      <c r="B14702" s="12" t="str">
        <f ca="1">IFERROR(__xludf.DUMMYFUNCTION("""COMPUTED_VALUE"""),"")</f>
        <v/>
      </c>
      <c r="C14702" s="12" t="str">
        <f ca="1">IFERROR(__xludf.DUMMYFUNCTION("""COMPUTED_VALUE"""),"")</f>
        <v/>
      </c>
      <c r="D14702" s="12" t="str">
        <f ca="1">IFERROR(__xludf.DUMMYFUNCTION("""COMPUTED_VALUE"""),"")</f>
        <v/>
      </c>
    </row>
    <row r="14703" spans="2:4" ht="13">
      <c r="B14703" s="12" t="str">
        <f ca="1">IFERROR(__xludf.DUMMYFUNCTION("""COMPUTED_VALUE"""),"")</f>
        <v/>
      </c>
      <c r="C14703" s="12" t="str">
        <f ca="1">IFERROR(__xludf.DUMMYFUNCTION("""COMPUTED_VALUE"""),"")</f>
        <v/>
      </c>
      <c r="D14703" s="12" t="str">
        <f ca="1">IFERROR(__xludf.DUMMYFUNCTION("""COMPUTED_VALUE"""),"")</f>
        <v/>
      </c>
    </row>
    <row r="14704" spans="2:4" ht="13">
      <c r="B14704" s="12" t="str">
        <f ca="1">IFERROR(__xludf.DUMMYFUNCTION("""COMPUTED_VALUE"""),"")</f>
        <v/>
      </c>
      <c r="C14704" s="12" t="str">
        <f ca="1">IFERROR(__xludf.DUMMYFUNCTION("""COMPUTED_VALUE"""),"")</f>
        <v/>
      </c>
      <c r="D14704" s="12" t="str">
        <f ca="1">IFERROR(__xludf.DUMMYFUNCTION("""COMPUTED_VALUE"""),"")</f>
        <v/>
      </c>
    </row>
    <row r="14705" spans="2:4" ht="13">
      <c r="B14705" s="12" t="str">
        <f ca="1">IFERROR(__xludf.DUMMYFUNCTION("""COMPUTED_VALUE"""),"")</f>
        <v/>
      </c>
      <c r="C14705" s="12" t="str">
        <f ca="1">IFERROR(__xludf.DUMMYFUNCTION("""COMPUTED_VALUE"""),"")</f>
        <v/>
      </c>
      <c r="D14705" s="12" t="str">
        <f ca="1">IFERROR(__xludf.DUMMYFUNCTION("""COMPUTED_VALUE"""),"")</f>
        <v/>
      </c>
    </row>
    <row r="14706" spans="2:4" ht="13">
      <c r="B14706" s="12" t="str">
        <f ca="1">IFERROR(__xludf.DUMMYFUNCTION("""COMPUTED_VALUE"""),"")</f>
        <v/>
      </c>
      <c r="C14706" s="12" t="str">
        <f ca="1">IFERROR(__xludf.DUMMYFUNCTION("""COMPUTED_VALUE"""),"")</f>
        <v/>
      </c>
      <c r="D14706" s="12" t="str">
        <f ca="1">IFERROR(__xludf.DUMMYFUNCTION("""COMPUTED_VALUE"""),"")</f>
        <v/>
      </c>
    </row>
    <row r="14707" spans="2:4" ht="13">
      <c r="B14707" s="12" t="str">
        <f ca="1">IFERROR(__xludf.DUMMYFUNCTION("""COMPUTED_VALUE"""),"")</f>
        <v/>
      </c>
      <c r="C14707" s="12" t="str">
        <f ca="1">IFERROR(__xludf.DUMMYFUNCTION("""COMPUTED_VALUE"""),"")</f>
        <v/>
      </c>
      <c r="D14707" s="12" t="str">
        <f ca="1">IFERROR(__xludf.DUMMYFUNCTION("""COMPUTED_VALUE"""),"")</f>
        <v/>
      </c>
    </row>
    <row r="14708" spans="2:4" ht="13">
      <c r="B14708" s="12" t="str">
        <f ca="1">IFERROR(__xludf.DUMMYFUNCTION("""COMPUTED_VALUE"""),"")</f>
        <v/>
      </c>
      <c r="C14708" s="12" t="str">
        <f ca="1">IFERROR(__xludf.DUMMYFUNCTION("""COMPUTED_VALUE"""),"")</f>
        <v/>
      </c>
      <c r="D14708" s="12" t="str">
        <f ca="1">IFERROR(__xludf.DUMMYFUNCTION("""COMPUTED_VALUE"""),"")</f>
        <v/>
      </c>
    </row>
    <row r="14709" spans="2:4" ht="13">
      <c r="B14709" s="12" t="str">
        <f ca="1">IFERROR(__xludf.DUMMYFUNCTION("""COMPUTED_VALUE"""),"")</f>
        <v/>
      </c>
      <c r="C14709" s="12" t="str">
        <f ca="1">IFERROR(__xludf.DUMMYFUNCTION("""COMPUTED_VALUE"""),"")</f>
        <v/>
      </c>
      <c r="D14709" s="12" t="str">
        <f ca="1">IFERROR(__xludf.DUMMYFUNCTION("""COMPUTED_VALUE"""),"")</f>
        <v/>
      </c>
    </row>
    <row r="14710" spans="2:4" ht="13">
      <c r="B14710" s="12" t="str">
        <f ca="1">IFERROR(__xludf.DUMMYFUNCTION("""COMPUTED_VALUE"""),"")</f>
        <v/>
      </c>
      <c r="C14710" s="12" t="str">
        <f ca="1">IFERROR(__xludf.DUMMYFUNCTION("""COMPUTED_VALUE"""),"")</f>
        <v/>
      </c>
      <c r="D14710" s="12" t="str">
        <f ca="1">IFERROR(__xludf.DUMMYFUNCTION("""COMPUTED_VALUE"""),"")</f>
        <v/>
      </c>
    </row>
    <row r="14711" spans="2:4" ht="13">
      <c r="B14711" s="12" t="str">
        <f ca="1">IFERROR(__xludf.DUMMYFUNCTION("""COMPUTED_VALUE"""),"")</f>
        <v/>
      </c>
      <c r="C14711" s="12" t="str">
        <f ca="1">IFERROR(__xludf.DUMMYFUNCTION("""COMPUTED_VALUE"""),"")</f>
        <v/>
      </c>
      <c r="D14711" s="12" t="str">
        <f ca="1">IFERROR(__xludf.DUMMYFUNCTION("""COMPUTED_VALUE"""),"")</f>
        <v/>
      </c>
    </row>
    <row r="14712" spans="2:4" ht="13">
      <c r="B14712" s="12" t="str">
        <f ca="1">IFERROR(__xludf.DUMMYFUNCTION("""COMPUTED_VALUE"""),"")</f>
        <v/>
      </c>
      <c r="C14712" s="12" t="str">
        <f ca="1">IFERROR(__xludf.DUMMYFUNCTION("""COMPUTED_VALUE"""),"")</f>
        <v/>
      </c>
      <c r="D14712" s="12" t="str">
        <f ca="1">IFERROR(__xludf.DUMMYFUNCTION("""COMPUTED_VALUE"""),"")</f>
        <v/>
      </c>
    </row>
    <row r="14713" spans="2:4" ht="13">
      <c r="B14713" s="12" t="str">
        <f ca="1">IFERROR(__xludf.DUMMYFUNCTION("""COMPUTED_VALUE"""),"")</f>
        <v/>
      </c>
      <c r="C14713" s="12" t="str">
        <f ca="1">IFERROR(__xludf.DUMMYFUNCTION("""COMPUTED_VALUE"""),"")</f>
        <v/>
      </c>
      <c r="D14713" s="12" t="str">
        <f ca="1">IFERROR(__xludf.DUMMYFUNCTION("""COMPUTED_VALUE"""),"")</f>
        <v/>
      </c>
    </row>
    <row r="14714" spans="2:4" ht="13">
      <c r="B14714" s="12" t="str">
        <f ca="1">IFERROR(__xludf.DUMMYFUNCTION("""COMPUTED_VALUE"""),"")</f>
        <v/>
      </c>
      <c r="C14714" s="12" t="str">
        <f ca="1">IFERROR(__xludf.DUMMYFUNCTION("""COMPUTED_VALUE"""),"")</f>
        <v/>
      </c>
      <c r="D14714" s="12" t="str">
        <f ca="1">IFERROR(__xludf.DUMMYFUNCTION("""COMPUTED_VALUE"""),"")</f>
        <v/>
      </c>
    </row>
    <row r="14715" spans="2:4" ht="13">
      <c r="B14715" s="12" t="str">
        <f ca="1">IFERROR(__xludf.DUMMYFUNCTION("""COMPUTED_VALUE"""),"")</f>
        <v/>
      </c>
      <c r="C14715" s="12" t="str">
        <f ca="1">IFERROR(__xludf.DUMMYFUNCTION("""COMPUTED_VALUE"""),"")</f>
        <v/>
      </c>
      <c r="D14715" s="12" t="str">
        <f ca="1">IFERROR(__xludf.DUMMYFUNCTION("""COMPUTED_VALUE"""),"")</f>
        <v/>
      </c>
    </row>
    <row r="14716" spans="2:4" ht="13">
      <c r="B14716" s="12" t="str">
        <f ca="1">IFERROR(__xludf.DUMMYFUNCTION("""COMPUTED_VALUE"""),"")</f>
        <v/>
      </c>
      <c r="C14716" s="12" t="str">
        <f ca="1">IFERROR(__xludf.DUMMYFUNCTION("""COMPUTED_VALUE"""),"")</f>
        <v/>
      </c>
      <c r="D14716" s="12" t="str">
        <f ca="1">IFERROR(__xludf.DUMMYFUNCTION("""COMPUTED_VALUE"""),"")</f>
        <v/>
      </c>
    </row>
    <row r="14717" spans="2:4" ht="13">
      <c r="B14717" s="12" t="str">
        <f ca="1">IFERROR(__xludf.DUMMYFUNCTION("""COMPUTED_VALUE"""),"")</f>
        <v/>
      </c>
      <c r="C14717" s="12" t="str">
        <f ca="1">IFERROR(__xludf.DUMMYFUNCTION("""COMPUTED_VALUE"""),"")</f>
        <v/>
      </c>
      <c r="D14717" s="12" t="str">
        <f ca="1">IFERROR(__xludf.DUMMYFUNCTION("""COMPUTED_VALUE"""),"")</f>
        <v/>
      </c>
    </row>
    <row r="14718" spans="2:4" ht="13">
      <c r="B14718" s="12" t="str">
        <f ca="1">IFERROR(__xludf.DUMMYFUNCTION("""COMPUTED_VALUE"""),"")</f>
        <v/>
      </c>
      <c r="C14718" s="12" t="str">
        <f ca="1">IFERROR(__xludf.DUMMYFUNCTION("""COMPUTED_VALUE"""),"")</f>
        <v/>
      </c>
      <c r="D14718" s="12" t="str">
        <f ca="1">IFERROR(__xludf.DUMMYFUNCTION("""COMPUTED_VALUE"""),"")</f>
        <v/>
      </c>
    </row>
    <row r="14719" spans="2:4" ht="13">
      <c r="B14719" s="12" t="str">
        <f ca="1">IFERROR(__xludf.DUMMYFUNCTION("""COMPUTED_VALUE"""),"")</f>
        <v/>
      </c>
      <c r="C14719" s="12" t="str">
        <f ca="1">IFERROR(__xludf.DUMMYFUNCTION("""COMPUTED_VALUE"""),"")</f>
        <v/>
      </c>
      <c r="D14719" s="12" t="str">
        <f ca="1">IFERROR(__xludf.DUMMYFUNCTION("""COMPUTED_VALUE"""),"")</f>
        <v/>
      </c>
    </row>
    <row r="14720" spans="2:4" ht="13">
      <c r="B14720" s="12" t="str">
        <f ca="1">IFERROR(__xludf.DUMMYFUNCTION("""COMPUTED_VALUE"""),"")</f>
        <v/>
      </c>
      <c r="C14720" s="12" t="str">
        <f ca="1">IFERROR(__xludf.DUMMYFUNCTION("""COMPUTED_VALUE"""),"")</f>
        <v/>
      </c>
      <c r="D14720" s="12" t="str">
        <f ca="1">IFERROR(__xludf.DUMMYFUNCTION("""COMPUTED_VALUE"""),"")</f>
        <v/>
      </c>
    </row>
    <row r="14721" spans="2:4" ht="13">
      <c r="B14721" s="12" t="str">
        <f ca="1">IFERROR(__xludf.DUMMYFUNCTION("""COMPUTED_VALUE"""),"")</f>
        <v/>
      </c>
      <c r="C14721" s="12" t="str">
        <f ca="1">IFERROR(__xludf.DUMMYFUNCTION("""COMPUTED_VALUE"""),"")</f>
        <v/>
      </c>
      <c r="D14721" s="12" t="str">
        <f ca="1">IFERROR(__xludf.DUMMYFUNCTION("""COMPUTED_VALUE"""),"")</f>
        <v/>
      </c>
    </row>
    <row r="14722" spans="2:4" ht="13">
      <c r="B14722" s="12" t="str">
        <f ca="1">IFERROR(__xludf.DUMMYFUNCTION("""COMPUTED_VALUE"""),"")</f>
        <v/>
      </c>
      <c r="C14722" s="12" t="str">
        <f ca="1">IFERROR(__xludf.DUMMYFUNCTION("""COMPUTED_VALUE"""),"")</f>
        <v/>
      </c>
      <c r="D14722" s="12" t="str">
        <f ca="1">IFERROR(__xludf.DUMMYFUNCTION("""COMPUTED_VALUE"""),"")</f>
        <v/>
      </c>
    </row>
    <row r="14723" spans="2:4" ht="13">
      <c r="B14723" s="12" t="str">
        <f ca="1">IFERROR(__xludf.DUMMYFUNCTION("""COMPUTED_VALUE"""),"")</f>
        <v/>
      </c>
      <c r="C14723" s="12" t="str">
        <f ca="1">IFERROR(__xludf.DUMMYFUNCTION("""COMPUTED_VALUE"""),"")</f>
        <v/>
      </c>
      <c r="D14723" s="12" t="str">
        <f ca="1">IFERROR(__xludf.DUMMYFUNCTION("""COMPUTED_VALUE"""),"")</f>
        <v/>
      </c>
    </row>
    <row r="14724" spans="2:4" ht="13">
      <c r="B14724" s="12" t="str">
        <f ca="1">IFERROR(__xludf.DUMMYFUNCTION("""COMPUTED_VALUE"""),"")</f>
        <v/>
      </c>
      <c r="C14724" s="12" t="str">
        <f ca="1">IFERROR(__xludf.DUMMYFUNCTION("""COMPUTED_VALUE"""),"")</f>
        <v/>
      </c>
      <c r="D14724" s="12" t="str">
        <f ca="1">IFERROR(__xludf.DUMMYFUNCTION("""COMPUTED_VALUE"""),"")</f>
        <v/>
      </c>
    </row>
    <row r="14725" spans="2:4" ht="13">
      <c r="B14725" s="12" t="str">
        <f ca="1">IFERROR(__xludf.DUMMYFUNCTION("""COMPUTED_VALUE"""),"")</f>
        <v/>
      </c>
      <c r="C14725" s="12" t="str">
        <f ca="1">IFERROR(__xludf.DUMMYFUNCTION("""COMPUTED_VALUE"""),"")</f>
        <v/>
      </c>
      <c r="D14725" s="12" t="str">
        <f ca="1">IFERROR(__xludf.DUMMYFUNCTION("""COMPUTED_VALUE"""),"")</f>
        <v/>
      </c>
    </row>
    <row r="14726" spans="2:4" ht="13">
      <c r="B14726" s="12" t="str">
        <f ca="1">IFERROR(__xludf.DUMMYFUNCTION("""COMPUTED_VALUE"""),"")</f>
        <v/>
      </c>
      <c r="C14726" s="12" t="str">
        <f ca="1">IFERROR(__xludf.DUMMYFUNCTION("""COMPUTED_VALUE"""),"")</f>
        <v/>
      </c>
      <c r="D14726" s="12" t="str">
        <f ca="1">IFERROR(__xludf.DUMMYFUNCTION("""COMPUTED_VALUE"""),"")</f>
        <v/>
      </c>
    </row>
    <row r="14727" spans="2:4" ht="13">
      <c r="B14727" s="12" t="str">
        <f ca="1">IFERROR(__xludf.DUMMYFUNCTION("""COMPUTED_VALUE"""),"")</f>
        <v/>
      </c>
      <c r="C14727" s="12" t="str">
        <f ca="1">IFERROR(__xludf.DUMMYFUNCTION("""COMPUTED_VALUE"""),"")</f>
        <v/>
      </c>
      <c r="D14727" s="12" t="str">
        <f ca="1">IFERROR(__xludf.DUMMYFUNCTION("""COMPUTED_VALUE"""),"")</f>
        <v/>
      </c>
    </row>
    <row r="14728" spans="2:4" ht="13">
      <c r="B14728" s="12" t="str">
        <f ca="1">IFERROR(__xludf.DUMMYFUNCTION("""COMPUTED_VALUE"""),"")</f>
        <v/>
      </c>
      <c r="C14728" s="12" t="str">
        <f ca="1">IFERROR(__xludf.DUMMYFUNCTION("""COMPUTED_VALUE"""),"")</f>
        <v/>
      </c>
      <c r="D14728" s="12" t="str">
        <f ca="1">IFERROR(__xludf.DUMMYFUNCTION("""COMPUTED_VALUE"""),"")</f>
        <v/>
      </c>
    </row>
    <row r="14729" spans="2:4" ht="13">
      <c r="B14729" s="12" t="str">
        <f ca="1">IFERROR(__xludf.DUMMYFUNCTION("""COMPUTED_VALUE"""),"")</f>
        <v/>
      </c>
      <c r="C14729" s="12" t="str">
        <f ca="1">IFERROR(__xludf.DUMMYFUNCTION("""COMPUTED_VALUE"""),"")</f>
        <v/>
      </c>
      <c r="D14729" s="12" t="str">
        <f ca="1">IFERROR(__xludf.DUMMYFUNCTION("""COMPUTED_VALUE"""),"")</f>
        <v/>
      </c>
    </row>
    <row r="14730" spans="2:4" ht="13">
      <c r="B14730" s="12" t="str">
        <f ca="1">IFERROR(__xludf.DUMMYFUNCTION("""COMPUTED_VALUE"""),"")</f>
        <v/>
      </c>
      <c r="C14730" s="12" t="str">
        <f ca="1">IFERROR(__xludf.DUMMYFUNCTION("""COMPUTED_VALUE"""),"")</f>
        <v/>
      </c>
      <c r="D14730" s="12" t="str">
        <f ca="1">IFERROR(__xludf.DUMMYFUNCTION("""COMPUTED_VALUE"""),"")</f>
        <v/>
      </c>
    </row>
    <row r="14731" spans="2:4" ht="13">
      <c r="B14731" s="12" t="str">
        <f ca="1">IFERROR(__xludf.DUMMYFUNCTION("""COMPUTED_VALUE"""),"")</f>
        <v/>
      </c>
      <c r="C14731" s="12" t="str">
        <f ca="1">IFERROR(__xludf.DUMMYFUNCTION("""COMPUTED_VALUE"""),"")</f>
        <v/>
      </c>
      <c r="D14731" s="12" t="str">
        <f ca="1">IFERROR(__xludf.DUMMYFUNCTION("""COMPUTED_VALUE"""),"")</f>
        <v/>
      </c>
    </row>
    <row r="14732" spans="2:4" ht="13">
      <c r="B14732" s="12" t="str">
        <f ca="1">IFERROR(__xludf.DUMMYFUNCTION("""COMPUTED_VALUE"""),"")</f>
        <v/>
      </c>
      <c r="C14732" s="12" t="str">
        <f ca="1">IFERROR(__xludf.DUMMYFUNCTION("""COMPUTED_VALUE"""),"")</f>
        <v/>
      </c>
      <c r="D14732" s="12" t="str">
        <f ca="1">IFERROR(__xludf.DUMMYFUNCTION("""COMPUTED_VALUE"""),"")</f>
        <v/>
      </c>
    </row>
    <row r="14733" spans="2:4" ht="13">
      <c r="B14733" s="12" t="str">
        <f ca="1">IFERROR(__xludf.DUMMYFUNCTION("""COMPUTED_VALUE"""),"")</f>
        <v/>
      </c>
      <c r="C14733" s="12" t="str">
        <f ca="1">IFERROR(__xludf.DUMMYFUNCTION("""COMPUTED_VALUE"""),"")</f>
        <v/>
      </c>
      <c r="D14733" s="12" t="str">
        <f ca="1">IFERROR(__xludf.DUMMYFUNCTION("""COMPUTED_VALUE"""),"")</f>
        <v/>
      </c>
    </row>
    <row r="14734" spans="2:4" ht="13">
      <c r="B14734" s="12" t="str">
        <f ca="1">IFERROR(__xludf.DUMMYFUNCTION("""COMPUTED_VALUE"""),"")</f>
        <v/>
      </c>
      <c r="C14734" s="12" t="str">
        <f ca="1">IFERROR(__xludf.DUMMYFUNCTION("""COMPUTED_VALUE"""),"")</f>
        <v/>
      </c>
      <c r="D14734" s="12" t="str">
        <f ca="1">IFERROR(__xludf.DUMMYFUNCTION("""COMPUTED_VALUE"""),"")</f>
        <v/>
      </c>
    </row>
    <row r="14735" spans="2:4" ht="13">
      <c r="B14735" s="12" t="str">
        <f ca="1">IFERROR(__xludf.DUMMYFUNCTION("""COMPUTED_VALUE"""),"")</f>
        <v/>
      </c>
      <c r="C14735" s="12" t="str">
        <f ca="1">IFERROR(__xludf.DUMMYFUNCTION("""COMPUTED_VALUE"""),"")</f>
        <v/>
      </c>
      <c r="D14735" s="12" t="str">
        <f ca="1">IFERROR(__xludf.DUMMYFUNCTION("""COMPUTED_VALUE"""),"")</f>
        <v/>
      </c>
    </row>
    <row r="14736" spans="2:4" ht="13">
      <c r="B14736" s="12" t="str">
        <f ca="1">IFERROR(__xludf.DUMMYFUNCTION("""COMPUTED_VALUE"""),"")</f>
        <v/>
      </c>
      <c r="C14736" s="12" t="str">
        <f ca="1">IFERROR(__xludf.DUMMYFUNCTION("""COMPUTED_VALUE"""),"")</f>
        <v/>
      </c>
      <c r="D14736" s="12" t="str">
        <f ca="1">IFERROR(__xludf.DUMMYFUNCTION("""COMPUTED_VALUE"""),"")</f>
        <v/>
      </c>
    </row>
    <row r="14737" spans="2:4" ht="13">
      <c r="B14737" s="12" t="str">
        <f ca="1">IFERROR(__xludf.DUMMYFUNCTION("""COMPUTED_VALUE"""),"")</f>
        <v/>
      </c>
      <c r="C14737" s="12" t="str">
        <f ca="1">IFERROR(__xludf.DUMMYFUNCTION("""COMPUTED_VALUE"""),"")</f>
        <v/>
      </c>
      <c r="D14737" s="12" t="str">
        <f ca="1">IFERROR(__xludf.DUMMYFUNCTION("""COMPUTED_VALUE"""),"")</f>
        <v/>
      </c>
    </row>
    <row r="14738" spans="2:4" ht="13">
      <c r="B14738" s="12" t="str">
        <f ca="1">IFERROR(__xludf.DUMMYFUNCTION("""COMPUTED_VALUE"""),"")</f>
        <v/>
      </c>
      <c r="C14738" s="12" t="str">
        <f ca="1">IFERROR(__xludf.DUMMYFUNCTION("""COMPUTED_VALUE"""),"")</f>
        <v/>
      </c>
      <c r="D14738" s="12" t="str">
        <f ca="1">IFERROR(__xludf.DUMMYFUNCTION("""COMPUTED_VALUE"""),"")</f>
        <v/>
      </c>
    </row>
    <row r="14739" spans="2:4" ht="13">
      <c r="B14739" s="12" t="str">
        <f ca="1">IFERROR(__xludf.DUMMYFUNCTION("""COMPUTED_VALUE"""),"")</f>
        <v/>
      </c>
      <c r="C14739" s="12" t="str">
        <f ca="1">IFERROR(__xludf.DUMMYFUNCTION("""COMPUTED_VALUE"""),"")</f>
        <v/>
      </c>
      <c r="D14739" s="12" t="str">
        <f ca="1">IFERROR(__xludf.DUMMYFUNCTION("""COMPUTED_VALUE"""),"")</f>
        <v/>
      </c>
    </row>
    <row r="14740" spans="2:4" ht="13">
      <c r="B14740" s="12" t="str">
        <f ca="1">IFERROR(__xludf.DUMMYFUNCTION("""COMPUTED_VALUE"""),"")</f>
        <v/>
      </c>
      <c r="C14740" s="12" t="str">
        <f ca="1">IFERROR(__xludf.DUMMYFUNCTION("""COMPUTED_VALUE"""),"")</f>
        <v/>
      </c>
      <c r="D14740" s="12" t="str">
        <f ca="1">IFERROR(__xludf.DUMMYFUNCTION("""COMPUTED_VALUE"""),"")</f>
        <v/>
      </c>
    </row>
    <row r="14741" spans="2:4" ht="13">
      <c r="B14741" s="12" t="str">
        <f ca="1">IFERROR(__xludf.DUMMYFUNCTION("""COMPUTED_VALUE"""),"")</f>
        <v/>
      </c>
      <c r="C14741" s="12" t="str">
        <f ca="1">IFERROR(__xludf.DUMMYFUNCTION("""COMPUTED_VALUE"""),"")</f>
        <v/>
      </c>
      <c r="D14741" s="12" t="str">
        <f ca="1">IFERROR(__xludf.DUMMYFUNCTION("""COMPUTED_VALUE"""),"")</f>
        <v/>
      </c>
    </row>
    <row r="14742" spans="2:4" ht="13">
      <c r="B14742" s="12" t="str">
        <f ca="1">IFERROR(__xludf.DUMMYFUNCTION("""COMPUTED_VALUE"""),"")</f>
        <v/>
      </c>
      <c r="C14742" s="12" t="str">
        <f ca="1">IFERROR(__xludf.DUMMYFUNCTION("""COMPUTED_VALUE"""),"")</f>
        <v/>
      </c>
      <c r="D14742" s="12" t="str">
        <f ca="1">IFERROR(__xludf.DUMMYFUNCTION("""COMPUTED_VALUE"""),"")</f>
        <v/>
      </c>
    </row>
    <row r="14743" spans="2:4" ht="13">
      <c r="B14743" s="12" t="str">
        <f ca="1">IFERROR(__xludf.DUMMYFUNCTION("""COMPUTED_VALUE"""),"")</f>
        <v/>
      </c>
      <c r="C14743" s="12" t="str">
        <f ca="1">IFERROR(__xludf.DUMMYFUNCTION("""COMPUTED_VALUE"""),"")</f>
        <v/>
      </c>
      <c r="D14743" s="12" t="str">
        <f ca="1">IFERROR(__xludf.DUMMYFUNCTION("""COMPUTED_VALUE"""),"")</f>
        <v/>
      </c>
    </row>
    <row r="14744" spans="2:4" ht="13">
      <c r="B14744" s="12" t="str">
        <f ca="1">IFERROR(__xludf.DUMMYFUNCTION("""COMPUTED_VALUE"""),"")</f>
        <v/>
      </c>
      <c r="C14744" s="12" t="str">
        <f ca="1">IFERROR(__xludf.DUMMYFUNCTION("""COMPUTED_VALUE"""),"")</f>
        <v/>
      </c>
      <c r="D14744" s="12" t="str">
        <f ca="1">IFERROR(__xludf.DUMMYFUNCTION("""COMPUTED_VALUE"""),"")</f>
        <v/>
      </c>
    </row>
    <row r="14745" spans="2:4" ht="13">
      <c r="B14745" s="12" t="str">
        <f ca="1">IFERROR(__xludf.DUMMYFUNCTION("""COMPUTED_VALUE"""),"")</f>
        <v/>
      </c>
      <c r="C14745" s="12" t="str">
        <f ca="1">IFERROR(__xludf.DUMMYFUNCTION("""COMPUTED_VALUE"""),"")</f>
        <v/>
      </c>
      <c r="D14745" s="12" t="str">
        <f ca="1">IFERROR(__xludf.DUMMYFUNCTION("""COMPUTED_VALUE"""),"")</f>
        <v/>
      </c>
    </row>
    <row r="14746" spans="2:4" ht="13">
      <c r="B14746" s="12" t="str">
        <f ca="1">IFERROR(__xludf.DUMMYFUNCTION("""COMPUTED_VALUE"""),"")</f>
        <v/>
      </c>
      <c r="C14746" s="12" t="str">
        <f ca="1">IFERROR(__xludf.DUMMYFUNCTION("""COMPUTED_VALUE"""),"")</f>
        <v/>
      </c>
      <c r="D14746" s="12" t="str">
        <f ca="1">IFERROR(__xludf.DUMMYFUNCTION("""COMPUTED_VALUE"""),"")</f>
        <v/>
      </c>
    </row>
    <row r="14747" spans="2:4" ht="13">
      <c r="B14747" s="12" t="str">
        <f ca="1">IFERROR(__xludf.DUMMYFUNCTION("""COMPUTED_VALUE"""),"")</f>
        <v/>
      </c>
      <c r="C14747" s="12" t="str">
        <f ca="1">IFERROR(__xludf.DUMMYFUNCTION("""COMPUTED_VALUE"""),"")</f>
        <v/>
      </c>
      <c r="D14747" s="12" t="str">
        <f ca="1">IFERROR(__xludf.DUMMYFUNCTION("""COMPUTED_VALUE"""),"")</f>
        <v/>
      </c>
    </row>
    <row r="14748" spans="2:4" ht="13">
      <c r="B14748" s="12" t="str">
        <f ca="1">IFERROR(__xludf.DUMMYFUNCTION("""COMPUTED_VALUE"""),"")</f>
        <v/>
      </c>
      <c r="C14748" s="12" t="str">
        <f ca="1">IFERROR(__xludf.DUMMYFUNCTION("""COMPUTED_VALUE"""),"")</f>
        <v/>
      </c>
      <c r="D14748" s="12" t="str">
        <f ca="1">IFERROR(__xludf.DUMMYFUNCTION("""COMPUTED_VALUE"""),"")</f>
        <v/>
      </c>
    </row>
    <row r="14749" spans="2:4" ht="13">
      <c r="B14749" s="12" t="str">
        <f ca="1">IFERROR(__xludf.DUMMYFUNCTION("""COMPUTED_VALUE"""),"")</f>
        <v/>
      </c>
      <c r="C14749" s="12" t="str">
        <f ca="1">IFERROR(__xludf.DUMMYFUNCTION("""COMPUTED_VALUE"""),"")</f>
        <v/>
      </c>
      <c r="D14749" s="12" t="str">
        <f ca="1">IFERROR(__xludf.DUMMYFUNCTION("""COMPUTED_VALUE"""),"")</f>
        <v/>
      </c>
    </row>
    <row r="14750" spans="2:4" ht="13">
      <c r="B14750" s="12" t="str">
        <f ca="1">IFERROR(__xludf.DUMMYFUNCTION("""COMPUTED_VALUE"""),"")</f>
        <v/>
      </c>
      <c r="C14750" s="12" t="str">
        <f ca="1">IFERROR(__xludf.DUMMYFUNCTION("""COMPUTED_VALUE"""),"")</f>
        <v/>
      </c>
      <c r="D14750" s="12" t="str">
        <f ca="1">IFERROR(__xludf.DUMMYFUNCTION("""COMPUTED_VALUE"""),"")</f>
        <v/>
      </c>
    </row>
    <row r="14751" spans="2:4" ht="13">
      <c r="B14751" s="12" t="str">
        <f ca="1">IFERROR(__xludf.DUMMYFUNCTION("""COMPUTED_VALUE"""),"")</f>
        <v/>
      </c>
      <c r="C14751" s="12" t="str">
        <f ca="1">IFERROR(__xludf.DUMMYFUNCTION("""COMPUTED_VALUE"""),"")</f>
        <v/>
      </c>
      <c r="D14751" s="12" t="str">
        <f ca="1">IFERROR(__xludf.DUMMYFUNCTION("""COMPUTED_VALUE"""),"")</f>
        <v/>
      </c>
    </row>
    <row r="14752" spans="2:4" ht="13">
      <c r="B14752" s="12" t="str">
        <f ca="1">IFERROR(__xludf.DUMMYFUNCTION("""COMPUTED_VALUE"""),"")</f>
        <v/>
      </c>
      <c r="C14752" s="12" t="str">
        <f ca="1">IFERROR(__xludf.DUMMYFUNCTION("""COMPUTED_VALUE"""),"")</f>
        <v/>
      </c>
      <c r="D14752" s="12" t="str">
        <f ca="1">IFERROR(__xludf.DUMMYFUNCTION("""COMPUTED_VALUE"""),"")</f>
        <v/>
      </c>
    </row>
    <row r="14753" spans="2:4" ht="13">
      <c r="B14753" s="12" t="str">
        <f ca="1">IFERROR(__xludf.DUMMYFUNCTION("""COMPUTED_VALUE"""),"")</f>
        <v/>
      </c>
      <c r="C14753" s="12" t="str">
        <f ca="1">IFERROR(__xludf.DUMMYFUNCTION("""COMPUTED_VALUE"""),"")</f>
        <v/>
      </c>
      <c r="D14753" s="12" t="str">
        <f ca="1">IFERROR(__xludf.DUMMYFUNCTION("""COMPUTED_VALUE"""),"")</f>
        <v/>
      </c>
    </row>
    <row r="14754" spans="2:4" ht="13">
      <c r="B14754" s="12" t="str">
        <f ca="1">IFERROR(__xludf.DUMMYFUNCTION("""COMPUTED_VALUE"""),"")</f>
        <v/>
      </c>
      <c r="C14754" s="12" t="str">
        <f ca="1">IFERROR(__xludf.DUMMYFUNCTION("""COMPUTED_VALUE"""),"")</f>
        <v/>
      </c>
      <c r="D14754" s="12" t="str">
        <f ca="1">IFERROR(__xludf.DUMMYFUNCTION("""COMPUTED_VALUE"""),"")</f>
        <v/>
      </c>
    </row>
    <row r="14755" spans="2:4" ht="13">
      <c r="B14755" s="12" t="str">
        <f ca="1">IFERROR(__xludf.DUMMYFUNCTION("""COMPUTED_VALUE"""),"")</f>
        <v/>
      </c>
      <c r="C14755" s="12" t="str">
        <f ca="1">IFERROR(__xludf.DUMMYFUNCTION("""COMPUTED_VALUE"""),"")</f>
        <v/>
      </c>
      <c r="D14755" s="12" t="str">
        <f ca="1">IFERROR(__xludf.DUMMYFUNCTION("""COMPUTED_VALUE"""),"")</f>
        <v/>
      </c>
    </row>
    <row r="14756" spans="2:4" ht="13">
      <c r="B14756" s="12" t="str">
        <f ca="1">IFERROR(__xludf.DUMMYFUNCTION("""COMPUTED_VALUE"""),"")</f>
        <v/>
      </c>
      <c r="C14756" s="12" t="str">
        <f ca="1">IFERROR(__xludf.DUMMYFUNCTION("""COMPUTED_VALUE"""),"")</f>
        <v/>
      </c>
      <c r="D14756" s="12" t="str">
        <f ca="1">IFERROR(__xludf.DUMMYFUNCTION("""COMPUTED_VALUE"""),"")</f>
        <v/>
      </c>
    </row>
    <row r="14757" spans="2:4" ht="13">
      <c r="B14757" s="12" t="str">
        <f ca="1">IFERROR(__xludf.DUMMYFUNCTION("""COMPUTED_VALUE"""),"")</f>
        <v/>
      </c>
      <c r="C14757" s="12" t="str">
        <f ca="1">IFERROR(__xludf.DUMMYFUNCTION("""COMPUTED_VALUE"""),"")</f>
        <v/>
      </c>
      <c r="D14757" s="12" t="str">
        <f ca="1">IFERROR(__xludf.DUMMYFUNCTION("""COMPUTED_VALUE"""),"")</f>
        <v/>
      </c>
    </row>
    <row r="14758" spans="2:4" ht="13">
      <c r="B14758" s="12" t="str">
        <f ca="1">IFERROR(__xludf.DUMMYFUNCTION("""COMPUTED_VALUE"""),"")</f>
        <v/>
      </c>
      <c r="C14758" s="12" t="str">
        <f ca="1">IFERROR(__xludf.DUMMYFUNCTION("""COMPUTED_VALUE"""),"")</f>
        <v/>
      </c>
      <c r="D14758" s="12" t="str">
        <f ca="1">IFERROR(__xludf.DUMMYFUNCTION("""COMPUTED_VALUE"""),"")</f>
        <v/>
      </c>
    </row>
    <row r="14759" spans="2:4" ht="13">
      <c r="B14759" s="12" t="str">
        <f ca="1">IFERROR(__xludf.DUMMYFUNCTION("""COMPUTED_VALUE"""),"")</f>
        <v/>
      </c>
      <c r="C14759" s="12" t="str">
        <f ca="1">IFERROR(__xludf.DUMMYFUNCTION("""COMPUTED_VALUE"""),"")</f>
        <v/>
      </c>
      <c r="D14759" s="12" t="str">
        <f ca="1">IFERROR(__xludf.DUMMYFUNCTION("""COMPUTED_VALUE"""),"")</f>
        <v/>
      </c>
    </row>
    <row r="14760" spans="2:4" ht="13">
      <c r="B14760" s="12" t="str">
        <f ca="1">IFERROR(__xludf.DUMMYFUNCTION("""COMPUTED_VALUE"""),"")</f>
        <v/>
      </c>
      <c r="C14760" s="12" t="str">
        <f ca="1">IFERROR(__xludf.DUMMYFUNCTION("""COMPUTED_VALUE"""),"")</f>
        <v/>
      </c>
      <c r="D14760" s="12" t="str">
        <f ca="1">IFERROR(__xludf.DUMMYFUNCTION("""COMPUTED_VALUE"""),"")</f>
        <v/>
      </c>
    </row>
    <row r="14761" spans="2:4" ht="13">
      <c r="B14761" s="12" t="str">
        <f ca="1">IFERROR(__xludf.DUMMYFUNCTION("""COMPUTED_VALUE"""),"")</f>
        <v/>
      </c>
      <c r="C14761" s="12" t="str">
        <f ca="1">IFERROR(__xludf.DUMMYFUNCTION("""COMPUTED_VALUE"""),"")</f>
        <v/>
      </c>
      <c r="D14761" s="12" t="str">
        <f ca="1">IFERROR(__xludf.DUMMYFUNCTION("""COMPUTED_VALUE"""),"")</f>
        <v/>
      </c>
    </row>
    <row r="14762" spans="2:4" ht="13">
      <c r="B14762" s="12" t="str">
        <f ca="1">IFERROR(__xludf.DUMMYFUNCTION("""COMPUTED_VALUE"""),"")</f>
        <v/>
      </c>
      <c r="C14762" s="12" t="str">
        <f ca="1">IFERROR(__xludf.DUMMYFUNCTION("""COMPUTED_VALUE"""),"")</f>
        <v/>
      </c>
      <c r="D14762" s="12" t="str">
        <f ca="1">IFERROR(__xludf.DUMMYFUNCTION("""COMPUTED_VALUE"""),"")</f>
        <v/>
      </c>
    </row>
    <row r="14763" spans="2:4" ht="13">
      <c r="B14763" s="12" t="str">
        <f ca="1">IFERROR(__xludf.DUMMYFUNCTION("""COMPUTED_VALUE"""),"")</f>
        <v/>
      </c>
      <c r="C14763" s="12" t="str">
        <f ca="1">IFERROR(__xludf.DUMMYFUNCTION("""COMPUTED_VALUE"""),"")</f>
        <v/>
      </c>
      <c r="D14763" s="12" t="str">
        <f ca="1">IFERROR(__xludf.DUMMYFUNCTION("""COMPUTED_VALUE"""),"")</f>
        <v/>
      </c>
    </row>
    <row r="14764" spans="2:4" ht="13">
      <c r="B14764" s="12" t="str">
        <f ca="1">IFERROR(__xludf.DUMMYFUNCTION("""COMPUTED_VALUE"""),"")</f>
        <v/>
      </c>
      <c r="C14764" s="12" t="str">
        <f ca="1">IFERROR(__xludf.DUMMYFUNCTION("""COMPUTED_VALUE"""),"")</f>
        <v/>
      </c>
      <c r="D14764" s="12" t="str">
        <f ca="1">IFERROR(__xludf.DUMMYFUNCTION("""COMPUTED_VALUE"""),"")</f>
        <v/>
      </c>
    </row>
    <row r="14765" spans="2:4" ht="13">
      <c r="B14765" s="12" t="str">
        <f ca="1">IFERROR(__xludf.DUMMYFUNCTION("""COMPUTED_VALUE"""),"")</f>
        <v/>
      </c>
      <c r="C14765" s="12" t="str">
        <f ca="1">IFERROR(__xludf.DUMMYFUNCTION("""COMPUTED_VALUE"""),"")</f>
        <v/>
      </c>
      <c r="D14765" s="12" t="str">
        <f ca="1">IFERROR(__xludf.DUMMYFUNCTION("""COMPUTED_VALUE"""),"")</f>
        <v/>
      </c>
    </row>
    <row r="14766" spans="2:4" ht="13">
      <c r="B14766" s="12" t="str">
        <f ca="1">IFERROR(__xludf.DUMMYFUNCTION("""COMPUTED_VALUE"""),"")</f>
        <v/>
      </c>
      <c r="C14766" s="12" t="str">
        <f ca="1">IFERROR(__xludf.DUMMYFUNCTION("""COMPUTED_VALUE"""),"")</f>
        <v/>
      </c>
      <c r="D14766" s="12" t="str">
        <f ca="1">IFERROR(__xludf.DUMMYFUNCTION("""COMPUTED_VALUE"""),"")</f>
        <v/>
      </c>
    </row>
    <row r="14767" spans="2:4" ht="13">
      <c r="B14767" s="12" t="str">
        <f ca="1">IFERROR(__xludf.DUMMYFUNCTION("""COMPUTED_VALUE"""),"")</f>
        <v/>
      </c>
      <c r="C14767" s="12" t="str">
        <f ca="1">IFERROR(__xludf.DUMMYFUNCTION("""COMPUTED_VALUE"""),"")</f>
        <v/>
      </c>
      <c r="D14767" s="12" t="str">
        <f ca="1">IFERROR(__xludf.DUMMYFUNCTION("""COMPUTED_VALUE"""),"")</f>
        <v/>
      </c>
    </row>
    <row r="14768" spans="2:4" ht="13">
      <c r="B14768" s="12" t="str">
        <f ca="1">IFERROR(__xludf.DUMMYFUNCTION("""COMPUTED_VALUE"""),"")</f>
        <v/>
      </c>
      <c r="C14768" s="12" t="str">
        <f ca="1">IFERROR(__xludf.DUMMYFUNCTION("""COMPUTED_VALUE"""),"")</f>
        <v/>
      </c>
      <c r="D14768" s="12" t="str">
        <f ca="1">IFERROR(__xludf.DUMMYFUNCTION("""COMPUTED_VALUE"""),"")</f>
        <v/>
      </c>
    </row>
    <row r="14769" spans="2:4" ht="13">
      <c r="B14769" s="12" t="str">
        <f ca="1">IFERROR(__xludf.DUMMYFUNCTION("""COMPUTED_VALUE"""),"")</f>
        <v/>
      </c>
      <c r="C14769" s="12" t="str">
        <f ca="1">IFERROR(__xludf.DUMMYFUNCTION("""COMPUTED_VALUE"""),"")</f>
        <v/>
      </c>
      <c r="D14769" s="12" t="str">
        <f ca="1">IFERROR(__xludf.DUMMYFUNCTION("""COMPUTED_VALUE"""),"")</f>
        <v/>
      </c>
    </row>
    <row r="14770" spans="2:4" ht="13">
      <c r="B14770" s="12" t="str">
        <f ca="1">IFERROR(__xludf.DUMMYFUNCTION("""COMPUTED_VALUE"""),"")</f>
        <v/>
      </c>
      <c r="C14770" s="12" t="str">
        <f ca="1">IFERROR(__xludf.DUMMYFUNCTION("""COMPUTED_VALUE"""),"")</f>
        <v/>
      </c>
      <c r="D14770" s="12" t="str">
        <f ca="1">IFERROR(__xludf.DUMMYFUNCTION("""COMPUTED_VALUE"""),"")</f>
        <v/>
      </c>
    </row>
    <row r="14771" spans="2:4" ht="13">
      <c r="B14771" s="12" t="str">
        <f ca="1">IFERROR(__xludf.DUMMYFUNCTION("""COMPUTED_VALUE"""),"")</f>
        <v/>
      </c>
      <c r="C14771" s="12" t="str">
        <f ca="1">IFERROR(__xludf.DUMMYFUNCTION("""COMPUTED_VALUE"""),"")</f>
        <v/>
      </c>
      <c r="D14771" s="12" t="str">
        <f ca="1">IFERROR(__xludf.DUMMYFUNCTION("""COMPUTED_VALUE"""),"")</f>
        <v/>
      </c>
    </row>
    <row r="14772" spans="2:4" ht="13">
      <c r="B14772" s="12" t="str">
        <f ca="1">IFERROR(__xludf.DUMMYFUNCTION("""COMPUTED_VALUE"""),"")</f>
        <v/>
      </c>
      <c r="C14772" s="12" t="str">
        <f ca="1">IFERROR(__xludf.DUMMYFUNCTION("""COMPUTED_VALUE"""),"")</f>
        <v/>
      </c>
      <c r="D14772" s="12" t="str">
        <f ca="1">IFERROR(__xludf.DUMMYFUNCTION("""COMPUTED_VALUE"""),"")</f>
        <v/>
      </c>
    </row>
    <row r="14773" spans="2:4" ht="13">
      <c r="B14773" s="12" t="str">
        <f ca="1">IFERROR(__xludf.DUMMYFUNCTION("""COMPUTED_VALUE"""),"")</f>
        <v/>
      </c>
      <c r="C14773" s="12" t="str">
        <f ca="1">IFERROR(__xludf.DUMMYFUNCTION("""COMPUTED_VALUE"""),"")</f>
        <v/>
      </c>
      <c r="D14773" s="12" t="str">
        <f ca="1">IFERROR(__xludf.DUMMYFUNCTION("""COMPUTED_VALUE"""),"")</f>
        <v/>
      </c>
    </row>
    <row r="14774" spans="2:4" ht="13">
      <c r="B14774" s="12" t="str">
        <f ca="1">IFERROR(__xludf.DUMMYFUNCTION("""COMPUTED_VALUE"""),"")</f>
        <v/>
      </c>
      <c r="C14774" s="12" t="str">
        <f ca="1">IFERROR(__xludf.DUMMYFUNCTION("""COMPUTED_VALUE"""),"")</f>
        <v/>
      </c>
      <c r="D14774" s="12" t="str">
        <f ca="1">IFERROR(__xludf.DUMMYFUNCTION("""COMPUTED_VALUE"""),"")</f>
        <v/>
      </c>
    </row>
    <row r="14775" spans="2:4" ht="13">
      <c r="B14775" s="12" t="str">
        <f ca="1">IFERROR(__xludf.DUMMYFUNCTION("""COMPUTED_VALUE"""),"")</f>
        <v/>
      </c>
      <c r="C14775" s="12" t="str">
        <f ca="1">IFERROR(__xludf.DUMMYFUNCTION("""COMPUTED_VALUE"""),"")</f>
        <v/>
      </c>
      <c r="D14775" s="12" t="str">
        <f ca="1">IFERROR(__xludf.DUMMYFUNCTION("""COMPUTED_VALUE"""),"")</f>
        <v/>
      </c>
    </row>
    <row r="14776" spans="2:4" ht="13">
      <c r="B14776" s="12" t="str">
        <f ca="1">IFERROR(__xludf.DUMMYFUNCTION("""COMPUTED_VALUE"""),"")</f>
        <v/>
      </c>
      <c r="C14776" s="12" t="str">
        <f ca="1">IFERROR(__xludf.DUMMYFUNCTION("""COMPUTED_VALUE"""),"")</f>
        <v/>
      </c>
      <c r="D14776" s="12" t="str">
        <f ca="1">IFERROR(__xludf.DUMMYFUNCTION("""COMPUTED_VALUE"""),"")</f>
        <v/>
      </c>
    </row>
    <row r="14777" spans="2:4" ht="13">
      <c r="B14777" s="12" t="str">
        <f ca="1">IFERROR(__xludf.DUMMYFUNCTION("""COMPUTED_VALUE"""),"")</f>
        <v/>
      </c>
      <c r="C14777" s="12" t="str">
        <f ca="1">IFERROR(__xludf.DUMMYFUNCTION("""COMPUTED_VALUE"""),"")</f>
        <v/>
      </c>
      <c r="D14777" s="12" t="str">
        <f ca="1">IFERROR(__xludf.DUMMYFUNCTION("""COMPUTED_VALUE"""),"")</f>
        <v/>
      </c>
    </row>
    <row r="14778" spans="2:4" ht="13">
      <c r="B14778" s="12" t="str">
        <f ca="1">IFERROR(__xludf.DUMMYFUNCTION("""COMPUTED_VALUE"""),"")</f>
        <v/>
      </c>
      <c r="C14778" s="12" t="str">
        <f ca="1">IFERROR(__xludf.DUMMYFUNCTION("""COMPUTED_VALUE"""),"")</f>
        <v/>
      </c>
      <c r="D14778" s="12" t="str">
        <f ca="1">IFERROR(__xludf.DUMMYFUNCTION("""COMPUTED_VALUE"""),"")</f>
        <v/>
      </c>
    </row>
    <row r="14779" spans="2:4" ht="13">
      <c r="B14779" s="12" t="str">
        <f ca="1">IFERROR(__xludf.DUMMYFUNCTION("""COMPUTED_VALUE"""),"")</f>
        <v/>
      </c>
      <c r="C14779" s="12" t="str">
        <f ca="1">IFERROR(__xludf.DUMMYFUNCTION("""COMPUTED_VALUE"""),"")</f>
        <v/>
      </c>
      <c r="D14779" s="12" t="str">
        <f ca="1">IFERROR(__xludf.DUMMYFUNCTION("""COMPUTED_VALUE"""),"")</f>
        <v/>
      </c>
    </row>
    <row r="14780" spans="2:4" ht="13">
      <c r="B14780" s="12" t="str">
        <f ca="1">IFERROR(__xludf.DUMMYFUNCTION("""COMPUTED_VALUE"""),"")</f>
        <v/>
      </c>
      <c r="C14780" s="12" t="str">
        <f ca="1">IFERROR(__xludf.DUMMYFUNCTION("""COMPUTED_VALUE"""),"")</f>
        <v/>
      </c>
      <c r="D14780" s="12" t="str">
        <f ca="1">IFERROR(__xludf.DUMMYFUNCTION("""COMPUTED_VALUE"""),"")</f>
        <v/>
      </c>
    </row>
    <row r="14781" spans="2:4" ht="13">
      <c r="B14781" s="12" t="str">
        <f ca="1">IFERROR(__xludf.DUMMYFUNCTION("""COMPUTED_VALUE"""),"")</f>
        <v/>
      </c>
      <c r="C14781" s="12" t="str">
        <f ca="1">IFERROR(__xludf.DUMMYFUNCTION("""COMPUTED_VALUE"""),"")</f>
        <v/>
      </c>
      <c r="D14781" s="12" t="str">
        <f ca="1">IFERROR(__xludf.DUMMYFUNCTION("""COMPUTED_VALUE"""),"")</f>
        <v/>
      </c>
    </row>
    <row r="14782" spans="2:4" ht="13">
      <c r="B14782" s="12" t="str">
        <f ca="1">IFERROR(__xludf.DUMMYFUNCTION("""COMPUTED_VALUE"""),"")</f>
        <v/>
      </c>
      <c r="C14782" s="12" t="str">
        <f ca="1">IFERROR(__xludf.DUMMYFUNCTION("""COMPUTED_VALUE"""),"")</f>
        <v/>
      </c>
      <c r="D14782" s="12" t="str">
        <f ca="1">IFERROR(__xludf.DUMMYFUNCTION("""COMPUTED_VALUE"""),"")</f>
        <v/>
      </c>
    </row>
    <row r="14783" spans="2:4" ht="13">
      <c r="B14783" s="12" t="str">
        <f ca="1">IFERROR(__xludf.DUMMYFUNCTION("""COMPUTED_VALUE"""),"")</f>
        <v/>
      </c>
      <c r="C14783" s="12" t="str">
        <f ca="1">IFERROR(__xludf.DUMMYFUNCTION("""COMPUTED_VALUE"""),"")</f>
        <v/>
      </c>
      <c r="D14783" s="12" t="str">
        <f ca="1">IFERROR(__xludf.DUMMYFUNCTION("""COMPUTED_VALUE"""),"")</f>
        <v/>
      </c>
    </row>
    <row r="14784" spans="2:4" ht="13">
      <c r="B14784" s="12" t="str">
        <f ca="1">IFERROR(__xludf.DUMMYFUNCTION("""COMPUTED_VALUE"""),"")</f>
        <v/>
      </c>
      <c r="C14784" s="12" t="str">
        <f ca="1">IFERROR(__xludf.DUMMYFUNCTION("""COMPUTED_VALUE"""),"")</f>
        <v/>
      </c>
      <c r="D14784" s="12" t="str">
        <f ca="1">IFERROR(__xludf.DUMMYFUNCTION("""COMPUTED_VALUE"""),"")</f>
        <v/>
      </c>
    </row>
    <row r="14785" spans="2:4" ht="13">
      <c r="B14785" s="12" t="str">
        <f ca="1">IFERROR(__xludf.DUMMYFUNCTION("""COMPUTED_VALUE"""),"")</f>
        <v/>
      </c>
      <c r="C14785" s="12" t="str">
        <f ca="1">IFERROR(__xludf.DUMMYFUNCTION("""COMPUTED_VALUE"""),"")</f>
        <v/>
      </c>
      <c r="D14785" s="12" t="str">
        <f ca="1">IFERROR(__xludf.DUMMYFUNCTION("""COMPUTED_VALUE"""),"")</f>
        <v/>
      </c>
    </row>
    <row r="14786" spans="2:4" ht="13">
      <c r="B14786" s="12" t="str">
        <f ca="1">IFERROR(__xludf.DUMMYFUNCTION("""COMPUTED_VALUE"""),"")</f>
        <v/>
      </c>
      <c r="C14786" s="12" t="str">
        <f ca="1">IFERROR(__xludf.DUMMYFUNCTION("""COMPUTED_VALUE"""),"")</f>
        <v/>
      </c>
      <c r="D14786" s="12" t="str">
        <f ca="1">IFERROR(__xludf.DUMMYFUNCTION("""COMPUTED_VALUE"""),"")</f>
        <v/>
      </c>
    </row>
    <row r="14787" spans="2:4" ht="13">
      <c r="B14787" s="12" t="str">
        <f ca="1">IFERROR(__xludf.DUMMYFUNCTION("""COMPUTED_VALUE"""),"")</f>
        <v/>
      </c>
      <c r="C14787" s="12" t="str">
        <f ca="1">IFERROR(__xludf.DUMMYFUNCTION("""COMPUTED_VALUE"""),"")</f>
        <v/>
      </c>
      <c r="D14787" s="12" t="str">
        <f ca="1">IFERROR(__xludf.DUMMYFUNCTION("""COMPUTED_VALUE"""),"")</f>
        <v/>
      </c>
    </row>
    <row r="14788" spans="2:4" ht="13">
      <c r="B14788" s="12" t="str">
        <f ca="1">IFERROR(__xludf.DUMMYFUNCTION("""COMPUTED_VALUE"""),"")</f>
        <v/>
      </c>
      <c r="C14788" s="12" t="str">
        <f ca="1">IFERROR(__xludf.DUMMYFUNCTION("""COMPUTED_VALUE"""),"")</f>
        <v/>
      </c>
      <c r="D14788" s="12" t="str">
        <f ca="1">IFERROR(__xludf.DUMMYFUNCTION("""COMPUTED_VALUE"""),"")</f>
        <v/>
      </c>
    </row>
    <row r="14789" spans="2:4" ht="13">
      <c r="B14789" s="12" t="str">
        <f ca="1">IFERROR(__xludf.DUMMYFUNCTION("""COMPUTED_VALUE"""),"")</f>
        <v/>
      </c>
      <c r="C14789" s="12" t="str">
        <f ca="1">IFERROR(__xludf.DUMMYFUNCTION("""COMPUTED_VALUE"""),"")</f>
        <v/>
      </c>
      <c r="D14789" s="12" t="str">
        <f ca="1">IFERROR(__xludf.DUMMYFUNCTION("""COMPUTED_VALUE"""),"")</f>
        <v/>
      </c>
    </row>
    <row r="14790" spans="2:4" ht="13">
      <c r="B14790" s="12" t="str">
        <f ca="1">IFERROR(__xludf.DUMMYFUNCTION("""COMPUTED_VALUE"""),"")</f>
        <v/>
      </c>
      <c r="C14790" s="12" t="str">
        <f ca="1">IFERROR(__xludf.DUMMYFUNCTION("""COMPUTED_VALUE"""),"")</f>
        <v/>
      </c>
      <c r="D14790" s="12" t="str">
        <f ca="1">IFERROR(__xludf.DUMMYFUNCTION("""COMPUTED_VALUE"""),"")</f>
        <v/>
      </c>
    </row>
    <row r="14791" spans="2:4" ht="13">
      <c r="B14791" s="12" t="str">
        <f ca="1">IFERROR(__xludf.DUMMYFUNCTION("""COMPUTED_VALUE"""),"")</f>
        <v/>
      </c>
      <c r="C14791" s="12" t="str">
        <f ca="1">IFERROR(__xludf.DUMMYFUNCTION("""COMPUTED_VALUE"""),"")</f>
        <v/>
      </c>
      <c r="D14791" s="12" t="str">
        <f ca="1">IFERROR(__xludf.DUMMYFUNCTION("""COMPUTED_VALUE"""),"")</f>
        <v/>
      </c>
    </row>
    <row r="14792" spans="2:4" ht="13">
      <c r="B14792" s="12" t="str">
        <f ca="1">IFERROR(__xludf.DUMMYFUNCTION("""COMPUTED_VALUE"""),"")</f>
        <v/>
      </c>
      <c r="C14792" s="12" t="str">
        <f ca="1">IFERROR(__xludf.DUMMYFUNCTION("""COMPUTED_VALUE"""),"")</f>
        <v/>
      </c>
      <c r="D14792" s="12" t="str">
        <f ca="1">IFERROR(__xludf.DUMMYFUNCTION("""COMPUTED_VALUE"""),"")</f>
        <v/>
      </c>
    </row>
    <row r="14793" spans="2:4" ht="13">
      <c r="B14793" s="12" t="str">
        <f ca="1">IFERROR(__xludf.DUMMYFUNCTION("""COMPUTED_VALUE"""),"")</f>
        <v/>
      </c>
      <c r="C14793" s="12" t="str">
        <f ca="1">IFERROR(__xludf.DUMMYFUNCTION("""COMPUTED_VALUE"""),"")</f>
        <v/>
      </c>
      <c r="D14793" s="12" t="str">
        <f ca="1">IFERROR(__xludf.DUMMYFUNCTION("""COMPUTED_VALUE"""),"")</f>
        <v/>
      </c>
    </row>
    <row r="14794" spans="2:4" ht="13">
      <c r="B14794" s="12" t="str">
        <f ca="1">IFERROR(__xludf.DUMMYFUNCTION("""COMPUTED_VALUE"""),"")</f>
        <v/>
      </c>
      <c r="C14794" s="12" t="str">
        <f ca="1">IFERROR(__xludf.DUMMYFUNCTION("""COMPUTED_VALUE"""),"")</f>
        <v/>
      </c>
      <c r="D14794" s="12" t="str">
        <f ca="1">IFERROR(__xludf.DUMMYFUNCTION("""COMPUTED_VALUE"""),"")</f>
        <v/>
      </c>
    </row>
    <row r="14795" spans="2:4" ht="13">
      <c r="B14795" s="12" t="str">
        <f ca="1">IFERROR(__xludf.DUMMYFUNCTION("""COMPUTED_VALUE"""),"")</f>
        <v/>
      </c>
      <c r="C14795" s="12" t="str">
        <f ca="1">IFERROR(__xludf.DUMMYFUNCTION("""COMPUTED_VALUE"""),"")</f>
        <v/>
      </c>
      <c r="D14795" s="12" t="str">
        <f ca="1">IFERROR(__xludf.DUMMYFUNCTION("""COMPUTED_VALUE"""),"")</f>
        <v/>
      </c>
    </row>
    <row r="14796" spans="2:4" ht="13">
      <c r="B14796" s="12" t="str">
        <f ca="1">IFERROR(__xludf.DUMMYFUNCTION("""COMPUTED_VALUE"""),"")</f>
        <v/>
      </c>
      <c r="C14796" s="12" t="str">
        <f ca="1">IFERROR(__xludf.DUMMYFUNCTION("""COMPUTED_VALUE"""),"")</f>
        <v/>
      </c>
      <c r="D14796" s="12" t="str">
        <f ca="1">IFERROR(__xludf.DUMMYFUNCTION("""COMPUTED_VALUE"""),"")</f>
        <v/>
      </c>
    </row>
    <row r="14797" spans="2:4" ht="13">
      <c r="B14797" s="12" t="str">
        <f ca="1">IFERROR(__xludf.DUMMYFUNCTION("""COMPUTED_VALUE"""),"")</f>
        <v/>
      </c>
      <c r="C14797" s="12" t="str">
        <f ca="1">IFERROR(__xludf.DUMMYFUNCTION("""COMPUTED_VALUE"""),"")</f>
        <v/>
      </c>
      <c r="D14797" s="12" t="str">
        <f ca="1">IFERROR(__xludf.DUMMYFUNCTION("""COMPUTED_VALUE"""),"")</f>
        <v/>
      </c>
    </row>
    <row r="14798" spans="2:4" ht="13">
      <c r="B14798" s="12" t="str">
        <f ca="1">IFERROR(__xludf.DUMMYFUNCTION("""COMPUTED_VALUE"""),"")</f>
        <v/>
      </c>
      <c r="C14798" s="12" t="str">
        <f ca="1">IFERROR(__xludf.DUMMYFUNCTION("""COMPUTED_VALUE"""),"")</f>
        <v/>
      </c>
      <c r="D14798" s="12" t="str">
        <f ca="1">IFERROR(__xludf.DUMMYFUNCTION("""COMPUTED_VALUE"""),"")</f>
        <v/>
      </c>
    </row>
    <row r="14799" spans="2:4" ht="13">
      <c r="B14799" s="12" t="str">
        <f ca="1">IFERROR(__xludf.DUMMYFUNCTION("""COMPUTED_VALUE"""),"")</f>
        <v/>
      </c>
      <c r="C14799" s="12" t="str">
        <f ca="1">IFERROR(__xludf.DUMMYFUNCTION("""COMPUTED_VALUE"""),"")</f>
        <v/>
      </c>
      <c r="D14799" s="12" t="str">
        <f ca="1">IFERROR(__xludf.DUMMYFUNCTION("""COMPUTED_VALUE"""),"")</f>
        <v/>
      </c>
    </row>
    <row r="14800" spans="2:4" ht="13">
      <c r="B14800" s="12" t="str">
        <f ca="1">IFERROR(__xludf.DUMMYFUNCTION("""COMPUTED_VALUE"""),"")</f>
        <v/>
      </c>
      <c r="C14800" s="12" t="str">
        <f ca="1">IFERROR(__xludf.DUMMYFUNCTION("""COMPUTED_VALUE"""),"")</f>
        <v/>
      </c>
      <c r="D14800" s="12" t="str">
        <f ca="1">IFERROR(__xludf.DUMMYFUNCTION("""COMPUTED_VALUE"""),"")</f>
        <v/>
      </c>
    </row>
    <row r="14801" spans="2:4" ht="13">
      <c r="B14801" s="12" t="str">
        <f ca="1">IFERROR(__xludf.DUMMYFUNCTION("""COMPUTED_VALUE"""),"")</f>
        <v/>
      </c>
      <c r="C14801" s="12" t="str">
        <f ca="1">IFERROR(__xludf.DUMMYFUNCTION("""COMPUTED_VALUE"""),"")</f>
        <v/>
      </c>
      <c r="D14801" s="12" t="str">
        <f ca="1">IFERROR(__xludf.DUMMYFUNCTION("""COMPUTED_VALUE"""),"")</f>
        <v/>
      </c>
    </row>
    <row r="14802" spans="2:4" ht="13">
      <c r="B14802" s="12" t="str">
        <f ca="1">IFERROR(__xludf.DUMMYFUNCTION("""COMPUTED_VALUE"""),"")</f>
        <v/>
      </c>
      <c r="C14802" s="12" t="str">
        <f ca="1">IFERROR(__xludf.DUMMYFUNCTION("""COMPUTED_VALUE"""),"")</f>
        <v/>
      </c>
      <c r="D14802" s="12" t="str">
        <f ca="1">IFERROR(__xludf.DUMMYFUNCTION("""COMPUTED_VALUE"""),"")</f>
        <v/>
      </c>
    </row>
    <row r="14803" spans="2:4" ht="13">
      <c r="B14803" s="12" t="str">
        <f ca="1">IFERROR(__xludf.DUMMYFUNCTION("""COMPUTED_VALUE"""),"")</f>
        <v/>
      </c>
      <c r="C14803" s="12" t="str">
        <f ca="1">IFERROR(__xludf.DUMMYFUNCTION("""COMPUTED_VALUE"""),"")</f>
        <v/>
      </c>
      <c r="D14803" s="12" t="str">
        <f ca="1">IFERROR(__xludf.DUMMYFUNCTION("""COMPUTED_VALUE"""),"")</f>
        <v/>
      </c>
    </row>
    <row r="14804" spans="2:4" ht="13">
      <c r="B14804" s="12" t="str">
        <f ca="1">IFERROR(__xludf.DUMMYFUNCTION("""COMPUTED_VALUE"""),"")</f>
        <v/>
      </c>
      <c r="C14804" s="12" t="str">
        <f ca="1">IFERROR(__xludf.DUMMYFUNCTION("""COMPUTED_VALUE"""),"")</f>
        <v/>
      </c>
      <c r="D14804" s="12" t="str">
        <f ca="1">IFERROR(__xludf.DUMMYFUNCTION("""COMPUTED_VALUE"""),"")</f>
        <v/>
      </c>
    </row>
    <row r="14805" spans="2:4" ht="13">
      <c r="B14805" s="12" t="str">
        <f ca="1">IFERROR(__xludf.DUMMYFUNCTION("""COMPUTED_VALUE"""),"")</f>
        <v/>
      </c>
      <c r="C14805" s="12" t="str">
        <f ca="1">IFERROR(__xludf.DUMMYFUNCTION("""COMPUTED_VALUE"""),"")</f>
        <v/>
      </c>
      <c r="D14805" s="12" t="str">
        <f ca="1">IFERROR(__xludf.DUMMYFUNCTION("""COMPUTED_VALUE"""),"")</f>
        <v/>
      </c>
    </row>
    <row r="14806" spans="2:4" ht="13">
      <c r="B14806" s="12" t="str">
        <f ca="1">IFERROR(__xludf.DUMMYFUNCTION("""COMPUTED_VALUE"""),"")</f>
        <v/>
      </c>
      <c r="C14806" s="12" t="str">
        <f ca="1">IFERROR(__xludf.DUMMYFUNCTION("""COMPUTED_VALUE"""),"")</f>
        <v/>
      </c>
      <c r="D14806" s="12" t="str">
        <f ca="1">IFERROR(__xludf.DUMMYFUNCTION("""COMPUTED_VALUE"""),"")</f>
        <v/>
      </c>
    </row>
    <row r="14807" spans="2:4" ht="13">
      <c r="B14807" s="12" t="str">
        <f ca="1">IFERROR(__xludf.DUMMYFUNCTION("""COMPUTED_VALUE"""),"")</f>
        <v/>
      </c>
      <c r="C14807" s="12" t="str">
        <f ca="1">IFERROR(__xludf.DUMMYFUNCTION("""COMPUTED_VALUE"""),"")</f>
        <v/>
      </c>
      <c r="D14807" s="12" t="str">
        <f ca="1">IFERROR(__xludf.DUMMYFUNCTION("""COMPUTED_VALUE"""),"")</f>
        <v/>
      </c>
    </row>
    <row r="14808" spans="2:4" ht="13">
      <c r="B14808" s="12" t="str">
        <f ca="1">IFERROR(__xludf.DUMMYFUNCTION("""COMPUTED_VALUE"""),"")</f>
        <v/>
      </c>
      <c r="C14808" s="12" t="str">
        <f ca="1">IFERROR(__xludf.DUMMYFUNCTION("""COMPUTED_VALUE"""),"")</f>
        <v/>
      </c>
      <c r="D14808" s="12" t="str">
        <f ca="1">IFERROR(__xludf.DUMMYFUNCTION("""COMPUTED_VALUE"""),"")</f>
        <v/>
      </c>
    </row>
    <row r="14809" spans="2:4" ht="13">
      <c r="B14809" s="12" t="str">
        <f ca="1">IFERROR(__xludf.DUMMYFUNCTION("""COMPUTED_VALUE"""),"")</f>
        <v/>
      </c>
      <c r="C14809" s="12" t="str">
        <f ca="1">IFERROR(__xludf.DUMMYFUNCTION("""COMPUTED_VALUE"""),"")</f>
        <v/>
      </c>
      <c r="D14809" s="12" t="str">
        <f ca="1">IFERROR(__xludf.DUMMYFUNCTION("""COMPUTED_VALUE"""),"")</f>
        <v/>
      </c>
    </row>
    <row r="14810" spans="2:4" ht="13">
      <c r="B14810" s="12" t="str">
        <f ca="1">IFERROR(__xludf.DUMMYFUNCTION("""COMPUTED_VALUE"""),"")</f>
        <v/>
      </c>
      <c r="C14810" s="12" t="str">
        <f ca="1">IFERROR(__xludf.DUMMYFUNCTION("""COMPUTED_VALUE"""),"")</f>
        <v/>
      </c>
      <c r="D14810" s="12" t="str">
        <f ca="1">IFERROR(__xludf.DUMMYFUNCTION("""COMPUTED_VALUE"""),"")</f>
        <v/>
      </c>
    </row>
    <row r="14811" spans="2:4" ht="13">
      <c r="B14811" s="12" t="str">
        <f ca="1">IFERROR(__xludf.DUMMYFUNCTION("""COMPUTED_VALUE"""),"")</f>
        <v/>
      </c>
      <c r="C14811" s="12" t="str">
        <f ca="1">IFERROR(__xludf.DUMMYFUNCTION("""COMPUTED_VALUE"""),"")</f>
        <v/>
      </c>
      <c r="D14811" s="12" t="str">
        <f ca="1">IFERROR(__xludf.DUMMYFUNCTION("""COMPUTED_VALUE"""),"")</f>
        <v/>
      </c>
    </row>
    <row r="14812" spans="2:4" ht="13">
      <c r="B14812" s="12" t="str">
        <f ca="1">IFERROR(__xludf.DUMMYFUNCTION("""COMPUTED_VALUE"""),"")</f>
        <v/>
      </c>
      <c r="C14812" s="12" t="str">
        <f ca="1">IFERROR(__xludf.DUMMYFUNCTION("""COMPUTED_VALUE"""),"")</f>
        <v/>
      </c>
      <c r="D14812" s="12" t="str">
        <f ca="1">IFERROR(__xludf.DUMMYFUNCTION("""COMPUTED_VALUE"""),"")</f>
        <v/>
      </c>
    </row>
    <row r="14813" spans="2:4" ht="13">
      <c r="B14813" s="12" t="str">
        <f ca="1">IFERROR(__xludf.DUMMYFUNCTION("""COMPUTED_VALUE"""),"")</f>
        <v/>
      </c>
      <c r="C14813" s="12" t="str">
        <f ca="1">IFERROR(__xludf.DUMMYFUNCTION("""COMPUTED_VALUE"""),"")</f>
        <v/>
      </c>
      <c r="D14813" s="12" t="str">
        <f ca="1">IFERROR(__xludf.DUMMYFUNCTION("""COMPUTED_VALUE"""),"")</f>
        <v/>
      </c>
    </row>
    <row r="14814" spans="2:4" ht="13">
      <c r="B14814" s="12" t="str">
        <f ca="1">IFERROR(__xludf.DUMMYFUNCTION("""COMPUTED_VALUE"""),"")</f>
        <v/>
      </c>
      <c r="C14814" s="12" t="str">
        <f ca="1">IFERROR(__xludf.DUMMYFUNCTION("""COMPUTED_VALUE"""),"")</f>
        <v/>
      </c>
      <c r="D14814" s="12" t="str">
        <f ca="1">IFERROR(__xludf.DUMMYFUNCTION("""COMPUTED_VALUE"""),"")</f>
        <v/>
      </c>
    </row>
    <row r="14815" spans="2:4" ht="13">
      <c r="B14815" s="12" t="str">
        <f ca="1">IFERROR(__xludf.DUMMYFUNCTION("""COMPUTED_VALUE"""),"")</f>
        <v/>
      </c>
      <c r="C14815" s="12" t="str">
        <f ca="1">IFERROR(__xludf.DUMMYFUNCTION("""COMPUTED_VALUE"""),"")</f>
        <v/>
      </c>
      <c r="D14815" s="12" t="str">
        <f ca="1">IFERROR(__xludf.DUMMYFUNCTION("""COMPUTED_VALUE"""),"")</f>
        <v/>
      </c>
    </row>
    <row r="14816" spans="2:4" ht="13">
      <c r="B14816" s="12" t="str">
        <f ca="1">IFERROR(__xludf.DUMMYFUNCTION("""COMPUTED_VALUE"""),"")</f>
        <v/>
      </c>
      <c r="C14816" s="12" t="str">
        <f ca="1">IFERROR(__xludf.DUMMYFUNCTION("""COMPUTED_VALUE"""),"")</f>
        <v/>
      </c>
      <c r="D14816" s="12" t="str">
        <f ca="1">IFERROR(__xludf.DUMMYFUNCTION("""COMPUTED_VALUE"""),"")</f>
        <v/>
      </c>
    </row>
    <row r="14817" spans="2:4" ht="13">
      <c r="B14817" s="12" t="str">
        <f ca="1">IFERROR(__xludf.DUMMYFUNCTION("""COMPUTED_VALUE"""),"")</f>
        <v/>
      </c>
      <c r="C14817" s="12" t="str">
        <f ca="1">IFERROR(__xludf.DUMMYFUNCTION("""COMPUTED_VALUE"""),"")</f>
        <v/>
      </c>
      <c r="D14817" s="12" t="str">
        <f ca="1">IFERROR(__xludf.DUMMYFUNCTION("""COMPUTED_VALUE"""),"")</f>
        <v/>
      </c>
    </row>
    <row r="14818" spans="2:4" ht="13">
      <c r="B14818" s="12" t="str">
        <f ca="1">IFERROR(__xludf.DUMMYFUNCTION("""COMPUTED_VALUE"""),"")</f>
        <v/>
      </c>
      <c r="C14818" s="12" t="str">
        <f ca="1">IFERROR(__xludf.DUMMYFUNCTION("""COMPUTED_VALUE"""),"")</f>
        <v/>
      </c>
      <c r="D14818" s="12" t="str">
        <f ca="1">IFERROR(__xludf.DUMMYFUNCTION("""COMPUTED_VALUE"""),"")</f>
        <v/>
      </c>
    </row>
    <row r="14819" spans="2:4" ht="13">
      <c r="B14819" s="12" t="str">
        <f ca="1">IFERROR(__xludf.DUMMYFUNCTION("""COMPUTED_VALUE"""),"")</f>
        <v/>
      </c>
      <c r="C14819" s="12" t="str">
        <f ca="1">IFERROR(__xludf.DUMMYFUNCTION("""COMPUTED_VALUE"""),"")</f>
        <v/>
      </c>
      <c r="D14819" s="12" t="str">
        <f ca="1">IFERROR(__xludf.DUMMYFUNCTION("""COMPUTED_VALUE"""),"")</f>
        <v/>
      </c>
    </row>
    <row r="14820" spans="2:4" ht="13">
      <c r="B14820" s="12" t="str">
        <f ca="1">IFERROR(__xludf.DUMMYFUNCTION("""COMPUTED_VALUE"""),"")</f>
        <v/>
      </c>
      <c r="C14820" s="12" t="str">
        <f ca="1">IFERROR(__xludf.DUMMYFUNCTION("""COMPUTED_VALUE"""),"")</f>
        <v/>
      </c>
      <c r="D14820" s="12" t="str">
        <f ca="1">IFERROR(__xludf.DUMMYFUNCTION("""COMPUTED_VALUE"""),"")</f>
        <v/>
      </c>
    </row>
    <row r="14821" spans="2:4" ht="13">
      <c r="B14821" s="12" t="str">
        <f ca="1">IFERROR(__xludf.DUMMYFUNCTION("""COMPUTED_VALUE"""),"")</f>
        <v/>
      </c>
      <c r="C14821" s="12" t="str">
        <f ca="1">IFERROR(__xludf.DUMMYFUNCTION("""COMPUTED_VALUE"""),"")</f>
        <v/>
      </c>
      <c r="D14821" s="12" t="str">
        <f ca="1">IFERROR(__xludf.DUMMYFUNCTION("""COMPUTED_VALUE"""),"")</f>
        <v/>
      </c>
    </row>
    <row r="14822" spans="2:4" ht="13">
      <c r="B14822" s="12" t="str">
        <f ca="1">IFERROR(__xludf.DUMMYFUNCTION("""COMPUTED_VALUE"""),"")</f>
        <v/>
      </c>
      <c r="C14822" s="12" t="str">
        <f ca="1">IFERROR(__xludf.DUMMYFUNCTION("""COMPUTED_VALUE"""),"")</f>
        <v/>
      </c>
      <c r="D14822" s="12" t="str">
        <f ca="1">IFERROR(__xludf.DUMMYFUNCTION("""COMPUTED_VALUE"""),"")</f>
        <v/>
      </c>
    </row>
    <row r="14823" spans="2:4" ht="13">
      <c r="B14823" s="12" t="str">
        <f ca="1">IFERROR(__xludf.DUMMYFUNCTION("""COMPUTED_VALUE"""),"")</f>
        <v/>
      </c>
      <c r="C14823" s="12" t="str">
        <f ca="1">IFERROR(__xludf.DUMMYFUNCTION("""COMPUTED_VALUE"""),"")</f>
        <v/>
      </c>
      <c r="D14823" s="12" t="str">
        <f ca="1">IFERROR(__xludf.DUMMYFUNCTION("""COMPUTED_VALUE"""),"")</f>
        <v/>
      </c>
    </row>
    <row r="14824" spans="2:4" ht="13">
      <c r="B14824" s="12" t="str">
        <f ca="1">IFERROR(__xludf.DUMMYFUNCTION("""COMPUTED_VALUE"""),"")</f>
        <v/>
      </c>
      <c r="C14824" s="12" t="str">
        <f ca="1">IFERROR(__xludf.DUMMYFUNCTION("""COMPUTED_VALUE"""),"")</f>
        <v/>
      </c>
      <c r="D14824" s="12" t="str">
        <f ca="1">IFERROR(__xludf.DUMMYFUNCTION("""COMPUTED_VALUE"""),"")</f>
        <v/>
      </c>
    </row>
    <row r="14825" spans="2:4" ht="13">
      <c r="B14825" s="12" t="str">
        <f ca="1">IFERROR(__xludf.DUMMYFUNCTION("""COMPUTED_VALUE"""),"")</f>
        <v/>
      </c>
      <c r="C14825" s="12" t="str">
        <f ca="1">IFERROR(__xludf.DUMMYFUNCTION("""COMPUTED_VALUE"""),"")</f>
        <v/>
      </c>
      <c r="D14825" s="12" t="str">
        <f ca="1">IFERROR(__xludf.DUMMYFUNCTION("""COMPUTED_VALUE"""),"")</f>
        <v/>
      </c>
    </row>
    <row r="14826" spans="2:4" ht="13">
      <c r="B14826" s="12" t="str">
        <f ca="1">IFERROR(__xludf.DUMMYFUNCTION("""COMPUTED_VALUE"""),"")</f>
        <v/>
      </c>
      <c r="C14826" s="12" t="str">
        <f ca="1">IFERROR(__xludf.DUMMYFUNCTION("""COMPUTED_VALUE"""),"")</f>
        <v/>
      </c>
      <c r="D14826" s="12" t="str">
        <f ca="1">IFERROR(__xludf.DUMMYFUNCTION("""COMPUTED_VALUE"""),"")</f>
        <v/>
      </c>
    </row>
    <row r="14827" spans="2:4" ht="13">
      <c r="B14827" s="12" t="str">
        <f ca="1">IFERROR(__xludf.DUMMYFUNCTION("""COMPUTED_VALUE"""),"")</f>
        <v/>
      </c>
      <c r="C14827" s="12" t="str">
        <f ca="1">IFERROR(__xludf.DUMMYFUNCTION("""COMPUTED_VALUE"""),"")</f>
        <v/>
      </c>
      <c r="D14827" s="12" t="str">
        <f ca="1">IFERROR(__xludf.DUMMYFUNCTION("""COMPUTED_VALUE"""),"")</f>
        <v/>
      </c>
    </row>
    <row r="14828" spans="2:4" ht="13">
      <c r="B14828" s="12" t="str">
        <f ca="1">IFERROR(__xludf.DUMMYFUNCTION("""COMPUTED_VALUE"""),"")</f>
        <v/>
      </c>
      <c r="C14828" s="12" t="str">
        <f ca="1">IFERROR(__xludf.DUMMYFUNCTION("""COMPUTED_VALUE"""),"")</f>
        <v/>
      </c>
      <c r="D14828" s="12" t="str">
        <f ca="1">IFERROR(__xludf.DUMMYFUNCTION("""COMPUTED_VALUE"""),"")</f>
        <v/>
      </c>
    </row>
    <row r="14829" spans="2:4" ht="13">
      <c r="B14829" s="12" t="str">
        <f ca="1">IFERROR(__xludf.DUMMYFUNCTION("""COMPUTED_VALUE"""),"")</f>
        <v/>
      </c>
      <c r="C14829" s="12" t="str">
        <f ca="1">IFERROR(__xludf.DUMMYFUNCTION("""COMPUTED_VALUE"""),"")</f>
        <v/>
      </c>
      <c r="D14829" s="12" t="str">
        <f ca="1">IFERROR(__xludf.DUMMYFUNCTION("""COMPUTED_VALUE"""),"")</f>
        <v/>
      </c>
    </row>
    <row r="14830" spans="2:4" ht="13">
      <c r="B14830" s="12" t="str">
        <f ca="1">IFERROR(__xludf.DUMMYFUNCTION("""COMPUTED_VALUE"""),"")</f>
        <v/>
      </c>
      <c r="C14830" s="12" t="str">
        <f ca="1">IFERROR(__xludf.DUMMYFUNCTION("""COMPUTED_VALUE"""),"")</f>
        <v/>
      </c>
      <c r="D14830" s="12" t="str">
        <f ca="1">IFERROR(__xludf.DUMMYFUNCTION("""COMPUTED_VALUE"""),"")</f>
        <v/>
      </c>
    </row>
    <row r="14831" spans="2:4" ht="13">
      <c r="B14831" s="12" t="str">
        <f ca="1">IFERROR(__xludf.DUMMYFUNCTION("""COMPUTED_VALUE"""),"")</f>
        <v/>
      </c>
      <c r="C14831" s="12" t="str">
        <f ca="1">IFERROR(__xludf.DUMMYFUNCTION("""COMPUTED_VALUE"""),"")</f>
        <v/>
      </c>
      <c r="D14831" s="12" t="str">
        <f ca="1">IFERROR(__xludf.DUMMYFUNCTION("""COMPUTED_VALUE"""),"")</f>
        <v/>
      </c>
    </row>
    <row r="14832" spans="2:4" ht="13">
      <c r="B14832" s="12" t="str">
        <f ca="1">IFERROR(__xludf.DUMMYFUNCTION("""COMPUTED_VALUE"""),"")</f>
        <v/>
      </c>
      <c r="C14832" s="12" t="str">
        <f ca="1">IFERROR(__xludf.DUMMYFUNCTION("""COMPUTED_VALUE"""),"")</f>
        <v/>
      </c>
      <c r="D14832" s="12" t="str">
        <f ca="1">IFERROR(__xludf.DUMMYFUNCTION("""COMPUTED_VALUE"""),"")</f>
        <v/>
      </c>
    </row>
    <row r="14833" spans="2:4" ht="13">
      <c r="B14833" s="12" t="str">
        <f ca="1">IFERROR(__xludf.DUMMYFUNCTION("""COMPUTED_VALUE"""),"")</f>
        <v/>
      </c>
      <c r="C14833" s="12" t="str">
        <f ca="1">IFERROR(__xludf.DUMMYFUNCTION("""COMPUTED_VALUE"""),"")</f>
        <v/>
      </c>
      <c r="D14833" s="12" t="str">
        <f ca="1">IFERROR(__xludf.DUMMYFUNCTION("""COMPUTED_VALUE"""),"")</f>
        <v/>
      </c>
    </row>
    <row r="14834" spans="2:4" ht="13">
      <c r="B14834" s="12" t="str">
        <f ca="1">IFERROR(__xludf.DUMMYFUNCTION("""COMPUTED_VALUE"""),"")</f>
        <v/>
      </c>
      <c r="C14834" s="12" t="str">
        <f ca="1">IFERROR(__xludf.DUMMYFUNCTION("""COMPUTED_VALUE"""),"")</f>
        <v/>
      </c>
      <c r="D14834" s="12" t="str">
        <f ca="1">IFERROR(__xludf.DUMMYFUNCTION("""COMPUTED_VALUE"""),"")</f>
        <v/>
      </c>
    </row>
    <row r="14835" spans="2:4" ht="13">
      <c r="B14835" s="12" t="str">
        <f ca="1">IFERROR(__xludf.DUMMYFUNCTION("""COMPUTED_VALUE"""),"")</f>
        <v/>
      </c>
      <c r="C14835" s="12" t="str">
        <f ca="1">IFERROR(__xludf.DUMMYFUNCTION("""COMPUTED_VALUE"""),"")</f>
        <v/>
      </c>
      <c r="D14835" s="12" t="str">
        <f ca="1">IFERROR(__xludf.DUMMYFUNCTION("""COMPUTED_VALUE"""),"")</f>
        <v/>
      </c>
    </row>
    <row r="14836" spans="2:4" ht="13">
      <c r="B14836" s="12" t="str">
        <f ca="1">IFERROR(__xludf.DUMMYFUNCTION("""COMPUTED_VALUE"""),"")</f>
        <v/>
      </c>
      <c r="C14836" s="12" t="str">
        <f ca="1">IFERROR(__xludf.DUMMYFUNCTION("""COMPUTED_VALUE"""),"")</f>
        <v/>
      </c>
      <c r="D14836" s="12" t="str">
        <f ca="1">IFERROR(__xludf.DUMMYFUNCTION("""COMPUTED_VALUE"""),"")</f>
        <v/>
      </c>
    </row>
    <row r="14837" spans="2:4" ht="13">
      <c r="B14837" s="12" t="str">
        <f ca="1">IFERROR(__xludf.DUMMYFUNCTION("""COMPUTED_VALUE"""),"")</f>
        <v/>
      </c>
      <c r="C14837" s="12" t="str">
        <f ca="1">IFERROR(__xludf.DUMMYFUNCTION("""COMPUTED_VALUE"""),"")</f>
        <v/>
      </c>
      <c r="D14837" s="12" t="str">
        <f ca="1">IFERROR(__xludf.DUMMYFUNCTION("""COMPUTED_VALUE"""),"")</f>
        <v/>
      </c>
    </row>
    <row r="14838" spans="2:4" ht="13">
      <c r="B14838" s="12" t="str">
        <f ca="1">IFERROR(__xludf.DUMMYFUNCTION("""COMPUTED_VALUE"""),"")</f>
        <v/>
      </c>
      <c r="C14838" s="12" t="str">
        <f ca="1">IFERROR(__xludf.DUMMYFUNCTION("""COMPUTED_VALUE"""),"")</f>
        <v/>
      </c>
      <c r="D14838" s="12" t="str">
        <f ca="1">IFERROR(__xludf.DUMMYFUNCTION("""COMPUTED_VALUE"""),"")</f>
        <v/>
      </c>
    </row>
    <row r="14839" spans="2:4" ht="13">
      <c r="B14839" s="12" t="str">
        <f ca="1">IFERROR(__xludf.DUMMYFUNCTION("""COMPUTED_VALUE"""),"")</f>
        <v/>
      </c>
      <c r="C14839" s="12" t="str">
        <f ca="1">IFERROR(__xludf.DUMMYFUNCTION("""COMPUTED_VALUE"""),"")</f>
        <v/>
      </c>
      <c r="D14839" s="12" t="str">
        <f ca="1">IFERROR(__xludf.DUMMYFUNCTION("""COMPUTED_VALUE"""),"")</f>
        <v/>
      </c>
    </row>
    <row r="14840" spans="2:4" ht="13">
      <c r="B14840" s="12" t="str">
        <f ca="1">IFERROR(__xludf.DUMMYFUNCTION("""COMPUTED_VALUE"""),"")</f>
        <v/>
      </c>
      <c r="C14840" s="12" t="str">
        <f ca="1">IFERROR(__xludf.DUMMYFUNCTION("""COMPUTED_VALUE"""),"")</f>
        <v/>
      </c>
      <c r="D14840" s="12" t="str">
        <f ca="1">IFERROR(__xludf.DUMMYFUNCTION("""COMPUTED_VALUE"""),"")</f>
        <v/>
      </c>
    </row>
    <row r="14841" spans="2:4" ht="13">
      <c r="B14841" s="12" t="str">
        <f ca="1">IFERROR(__xludf.DUMMYFUNCTION("""COMPUTED_VALUE"""),"")</f>
        <v/>
      </c>
      <c r="C14841" s="12" t="str">
        <f ca="1">IFERROR(__xludf.DUMMYFUNCTION("""COMPUTED_VALUE"""),"")</f>
        <v/>
      </c>
      <c r="D14841" s="12" t="str">
        <f ca="1">IFERROR(__xludf.DUMMYFUNCTION("""COMPUTED_VALUE"""),"")</f>
        <v/>
      </c>
    </row>
    <row r="14842" spans="2:4" ht="13">
      <c r="B14842" s="12" t="str">
        <f ca="1">IFERROR(__xludf.DUMMYFUNCTION("""COMPUTED_VALUE"""),"")</f>
        <v/>
      </c>
      <c r="C14842" s="12" t="str">
        <f ca="1">IFERROR(__xludf.DUMMYFUNCTION("""COMPUTED_VALUE"""),"")</f>
        <v/>
      </c>
      <c r="D14842" s="12" t="str">
        <f ca="1">IFERROR(__xludf.DUMMYFUNCTION("""COMPUTED_VALUE"""),"")</f>
        <v/>
      </c>
    </row>
    <row r="14843" spans="2:4" ht="13">
      <c r="B14843" s="12" t="str">
        <f ca="1">IFERROR(__xludf.DUMMYFUNCTION("""COMPUTED_VALUE"""),"")</f>
        <v/>
      </c>
      <c r="C14843" s="12" t="str">
        <f ca="1">IFERROR(__xludf.DUMMYFUNCTION("""COMPUTED_VALUE"""),"")</f>
        <v/>
      </c>
      <c r="D14843" s="12" t="str">
        <f ca="1">IFERROR(__xludf.DUMMYFUNCTION("""COMPUTED_VALUE"""),"")</f>
        <v/>
      </c>
    </row>
    <row r="14844" spans="2:4" ht="13">
      <c r="B14844" s="12" t="str">
        <f ca="1">IFERROR(__xludf.DUMMYFUNCTION("""COMPUTED_VALUE"""),"")</f>
        <v/>
      </c>
      <c r="C14844" s="12" t="str">
        <f ca="1">IFERROR(__xludf.DUMMYFUNCTION("""COMPUTED_VALUE"""),"")</f>
        <v/>
      </c>
      <c r="D14844" s="12" t="str">
        <f ca="1">IFERROR(__xludf.DUMMYFUNCTION("""COMPUTED_VALUE"""),"")</f>
        <v/>
      </c>
    </row>
    <row r="14845" spans="2:4" ht="13">
      <c r="B14845" s="12" t="str">
        <f ca="1">IFERROR(__xludf.DUMMYFUNCTION("""COMPUTED_VALUE"""),"")</f>
        <v/>
      </c>
      <c r="C14845" s="12" t="str">
        <f ca="1">IFERROR(__xludf.DUMMYFUNCTION("""COMPUTED_VALUE"""),"")</f>
        <v/>
      </c>
      <c r="D14845" s="12" t="str">
        <f ca="1">IFERROR(__xludf.DUMMYFUNCTION("""COMPUTED_VALUE"""),"")</f>
        <v/>
      </c>
    </row>
    <row r="14846" spans="2:4" ht="13">
      <c r="B14846" s="12" t="str">
        <f ca="1">IFERROR(__xludf.DUMMYFUNCTION("""COMPUTED_VALUE"""),"")</f>
        <v/>
      </c>
      <c r="C14846" s="12" t="str">
        <f ca="1">IFERROR(__xludf.DUMMYFUNCTION("""COMPUTED_VALUE"""),"")</f>
        <v/>
      </c>
      <c r="D14846" s="12" t="str">
        <f ca="1">IFERROR(__xludf.DUMMYFUNCTION("""COMPUTED_VALUE"""),"")</f>
        <v/>
      </c>
    </row>
    <row r="14847" spans="2:4" ht="13">
      <c r="B14847" s="12" t="str">
        <f ca="1">IFERROR(__xludf.DUMMYFUNCTION("""COMPUTED_VALUE"""),"")</f>
        <v/>
      </c>
      <c r="C14847" s="12" t="str">
        <f ca="1">IFERROR(__xludf.DUMMYFUNCTION("""COMPUTED_VALUE"""),"")</f>
        <v/>
      </c>
      <c r="D14847" s="12" t="str">
        <f ca="1">IFERROR(__xludf.DUMMYFUNCTION("""COMPUTED_VALUE"""),"")</f>
        <v/>
      </c>
    </row>
    <row r="14848" spans="2:4" ht="13">
      <c r="B14848" s="12" t="str">
        <f ca="1">IFERROR(__xludf.DUMMYFUNCTION("""COMPUTED_VALUE"""),"")</f>
        <v/>
      </c>
      <c r="C14848" s="12" t="str">
        <f ca="1">IFERROR(__xludf.DUMMYFUNCTION("""COMPUTED_VALUE"""),"")</f>
        <v/>
      </c>
      <c r="D14848" s="12" t="str">
        <f ca="1">IFERROR(__xludf.DUMMYFUNCTION("""COMPUTED_VALUE"""),"")</f>
        <v/>
      </c>
    </row>
    <row r="14849" spans="2:4" ht="13">
      <c r="B14849" s="12" t="str">
        <f ca="1">IFERROR(__xludf.DUMMYFUNCTION("""COMPUTED_VALUE"""),"")</f>
        <v/>
      </c>
      <c r="C14849" s="12" t="str">
        <f ca="1">IFERROR(__xludf.DUMMYFUNCTION("""COMPUTED_VALUE"""),"")</f>
        <v/>
      </c>
      <c r="D14849" s="12" t="str">
        <f ca="1">IFERROR(__xludf.DUMMYFUNCTION("""COMPUTED_VALUE"""),"")</f>
        <v/>
      </c>
    </row>
    <row r="14850" spans="2:4" ht="13">
      <c r="B14850" s="12" t="str">
        <f ca="1">IFERROR(__xludf.DUMMYFUNCTION("""COMPUTED_VALUE"""),"")</f>
        <v/>
      </c>
      <c r="C14850" s="12" t="str">
        <f ca="1">IFERROR(__xludf.DUMMYFUNCTION("""COMPUTED_VALUE"""),"")</f>
        <v/>
      </c>
      <c r="D14850" s="12" t="str">
        <f ca="1">IFERROR(__xludf.DUMMYFUNCTION("""COMPUTED_VALUE"""),"")</f>
        <v/>
      </c>
    </row>
    <row r="14851" spans="2:4" ht="13">
      <c r="B14851" s="12" t="str">
        <f ca="1">IFERROR(__xludf.DUMMYFUNCTION("""COMPUTED_VALUE"""),"")</f>
        <v/>
      </c>
      <c r="C14851" s="12" t="str">
        <f ca="1">IFERROR(__xludf.DUMMYFUNCTION("""COMPUTED_VALUE"""),"")</f>
        <v/>
      </c>
      <c r="D14851" s="12" t="str">
        <f ca="1">IFERROR(__xludf.DUMMYFUNCTION("""COMPUTED_VALUE"""),"")</f>
        <v/>
      </c>
    </row>
    <row r="14852" spans="2:4" ht="13">
      <c r="B14852" s="12" t="str">
        <f ca="1">IFERROR(__xludf.DUMMYFUNCTION("""COMPUTED_VALUE"""),"")</f>
        <v/>
      </c>
      <c r="C14852" s="12" t="str">
        <f ca="1">IFERROR(__xludf.DUMMYFUNCTION("""COMPUTED_VALUE"""),"")</f>
        <v/>
      </c>
      <c r="D14852" s="12" t="str">
        <f ca="1">IFERROR(__xludf.DUMMYFUNCTION("""COMPUTED_VALUE"""),"")</f>
        <v/>
      </c>
    </row>
    <row r="14853" spans="2:4" ht="13">
      <c r="B14853" s="12" t="str">
        <f ca="1">IFERROR(__xludf.DUMMYFUNCTION("""COMPUTED_VALUE"""),"")</f>
        <v/>
      </c>
      <c r="C14853" s="12" t="str">
        <f ca="1">IFERROR(__xludf.DUMMYFUNCTION("""COMPUTED_VALUE"""),"")</f>
        <v/>
      </c>
      <c r="D14853" s="12" t="str">
        <f ca="1">IFERROR(__xludf.DUMMYFUNCTION("""COMPUTED_VALUE"""),"")</f>
        <v/>
      </c>
    </row>
    <row r="14854" spans="2:4" ht="13">
      <c r="B14854" s="12" t="str">
        <f ca="1">IFERROR(__xludf.DUMMYFUNCTION("""COMPUTED_VALUE"""),"")</f>
        <v/>
      </c>
      <c r="C14854" s="12" t="str">
        <f ca="1">IFERROR(__xludf.DUMMYFUNCTION("""COMPUTED_VALUE"""),"")</f>
        <v/>
      </c>
      <c r="D14854" s="12" t="str">
        <f ca="1">IFERROR(__xludf.DUMMYFUNCTION("""COMPUTED_VALUE"""),"")</f>
        <v/>
      </c>
    </row>
    <row r="14855" spans="2:4" ht="13">
      <c r="B14855" s="12" t="str">
        <f ca="1">IFERROR(__xludf.DUMMYFUNCTION("""COMPUTED_VALUE"""),"")</f>
        <v/>
      </c>
      <c r="C14855" s="12" t="str">
        <f ca="1">IFERROR(__xludf.DUMMYFUNCTION("""COMPUTED_VALUE"""),"")</f>
        <v/>
      </c>
      <c r="D14855" s="12" t="str">
        <f ca="1">IFERROR(__xludf.DUMMYFUNCTION("""COMPUTED_VALUE"""),"")</f>
        <v/>
      </c>
    </row>
    <row r="14856" spans="2:4" ht="13">
      <c r="B14856" s="12" t="str">
        <f ca="1">IFERROR(__xludf.DUMMYFUNCTION("""COMPUTED_VALUE"""),"")</f>
        <v/>
      </c>
      <c r="C14856" s="12" t="str">
        <f ca="1">IFERROR(__xludf.DUMMYFUNCTION("""COMPUTED_VALUE"""),"")</f>
        <v/>
      </c>
      <c r="D14856" s="12" t="str">
        <f ca="1">IFERROR(__xludf.DUMMYFUNCTION("""COMPUTED_VALUE"""),"")</f>
        <v/>
      </c>
    </row>
    <row r="14857" spans="2:4" ht="13">
      <c r="B14857" s="12" t="str">
        <f ca="1">IFERROR(__xludf.DUMMYFUNCTION("""COMPUTED_VALUE"""),"")</f>
        <v/>
      </c>
      <c r="C14857" s="12" t="str">
        <f ca="1">IFERROR(__xludf.DUMMYFUNCTION("""COMPUTED_VALUE"""),"")</f>
        <v/>
      </c>
      <c r="D14857" s="12" t="str">
        <f ca="1">IFERROR(__xludf.DUMMYFUNCTION("""COMPUTED_VALUE"""),"")</f>
        <v/>
      </c>
    </row>
    <row r="14858" spans="2:4" ht="13">
      <c r="B14858" s="12" t="str">
        <f ca="1">IFERROR(__xludf.DUMMYFUNCTION("""COMPUTED_VALUE"""),"")</f>
        <v/>
      </c>
      <c r="C14858" s="12" t="str">
        <f ca="1">IFERROR(__xludf.DUMMYFUNCTION("""COMPUTED_VALUE"""),"")</f>
        <v/>
      </c>
      <c r="D14858" s="12" t="str">
        <f ca="1">IFERROR(__xludf.DUMMYFUNCTION("""COMPUTED_VALUE"""),"")</f>
        <v/>
      </c>
    </row>
    <row r="14859" spans="2:4" ht="13">
      <c r="B14859" s="12" t="str">
        <f ca="1">IFERROR(__xludf.DUMMYFUNCTION("""COMPUTED_VALUE"""),"")</f>
        <v/>
      </c>
      <c r="C14859" s="12" t="str">
        <f ca="1">IFERROR(__xludf.DUMMYFUNCTION("""COMPUTED_VALUE"""),"")</f>
        <v/>
      </c>
      <c r="D14859" s="12" t="str">
        <f ca="1">IFERROR(__xludf.DUMMYFUNCTION("""COMPUTED_VALUE"""),"")</f>
        <v/>
      </c>
    </row>
    <row r="14860" spans="2:4" ht="13">
      <c r="B14860" s="12" t="str">
        <f ca="1">IFERROR(__xludf.DUMMYFUNCTION("""COMPUTED_VALUE"""),"")</f>
        <v/>
      </c>
      <c r="C14860" s="12" t="str">
        <f ca="1">IFERROR(__xludf.DUMMYFUNCTION("""COMPUTED_VALUE"""),"")</f>
        <v/>
      </c>
      <c r="D14860" s="12" t="str">
        <f ca="1">IFERROR(__xludf.DUMMYFUNCTION("""COMPUTED_VALUE"""),"")</f>
        <v/>
      </c>
    </row>
    <row r="14861" spans="2:4" ht="13">
      <c r="B14861" s="12" t="str">
        <f ca="1">IFERROR(__xludf.DUMMYFUNCTION("""COMPUTED_VALUE"""),"")</f>
        <v/>
      </c>
      <c r="C14861" s="12" t="str">
        <f ca="1">IFERROR(__xludf.DUMMYFUNCTION("""COMPUTED_VALUE"""),"")</f>
        <v/>
      </c>
      <c r="D14861" s="12" t="str">
        <f ca="1">IFERROR(__xludf.DUMMYFUNCTION("""COMPUTED_VALUE"""),"")</f>
        <v/>
      </c>
    </row>
    <row r="14862" spans="2:4" ht="13">
      <c r="B14862" s="12" t="str">
        <f ca="1">IFERROR(__xludf.DUMMYFUNCTION("""COMPUTED_VALUE"""),"")</f>
        <v/>
      </c>
      <c r="C14862" s="12" t="str">
        <f ca="1">IFERROR(__xludf.DUMMYFUNCTION("""COMPUTED_VALUE"""),"")</f>
        <v/>
      </c>
      <c r="D14862" s="12" t="str">
        <f ca="1">IFERROR(__xludf.DUMMYFUNCTION("""COMPUTED_VALUE"""),"")</f>
        <v/>
      </c>
    </row>
    <row r="14863" spans="2:4" ht="13">
      <c r="B14863" s="12" t="str">
        <f ca="1">IFERROR(__xludf.DUMMYFUNCTION("""COMPUTED_VALUE"""),"")</f>
        <v/>
      </c>
      <c r="C14863" s="12" t="str">
        <f ca="1">IFERROR(__xludf.DUMMYFUNCTION("""COMPUTED_VALUE"""),"")</f>
        <v/>
      </c>
      <c r="D14863" s="12" t="str">
        <f ca="1">IFERROR(__xludf.DUMMYFUNCTION("""COMPUTED_VALUE"""),"")</f>
        <v/>
      </c>
    </row>
    <row r="14864" spans="2:4" ht="13">
      <c r="B14864" s="12" t="str">
        <f ca="1">IFERROR(__xludf.DUMMYFUNCTION("""COMPUTED_VALUE"""),"")</f>
        <v/>
      </c>
      <c r="C14864" s="12" t="str">
        <f ca="1">IFERROR(__xludf.DUMMYFUNCTION("""COMPUTED_VALUE"""),"")</f>
        <v/>
      </c>
      <c r="D14864" s="12" t="str">
        <f ca="1">IFERROR(__xludf.DUMMYFUNCTION("""COMPUTED_VALUE"""),"")</f>
        <v/>
      </c>
    </row>
    <row r="14865" spans="2:4" ht="13">
      <c r="B14865" s="12" t="str">
        <f ca="1">IFERROR(__xludf.DUMMYFUNCTION("""COMPUTED_VALUE"""),"")</f>
        <v/>
      </c>
      <c r="C14865" s="12" t="str">
        <f ca="1">IFERROR(__xludf.DUMMYFUNCTION("""COMPUTED_VALUE"""),"")</f>
        <v/>
      </c>
      <c r="D14865" s="12" t="str">
        <f ca="1">IFERROR(__xludf.DUMMYFUNCTION("""COMPUTED_VALUE"""),"")</f>
        <v/>
      </c>
    </row>
    <row r="14866" spans="2:4" ht="13">
      <c r="B14866" s="12" t="str">
        <f ca="1">IFERROR(__xludf.DUMMYFUNCTION("""COMPUTED_VALUE"""),"")</f>
        <v/>
      </c>
      <c r="C14866" s="12" t="str">
        <f ca="1">IFERROR(__xludf.DUMMYFUNCTION("""COMPUTED_VALUE"""),"")</f>
        <v/>
      </c>
      <c r="D14866" s="12" t="str">
        <f ca="1">IFERROR(__xludf.DUMMYFUNCTION("""COMPUTED_VALUE"""),"")</f>
        <v/>
      </c>
    </row>
    <row r="14867" spans="2:4" ht="13">
      <c r="B14867" s="12" t="str">
        <f ca="1">IFERROR(__xludf.DUMMYFUNCTION("""COMPUTED_VALUE"""),"")</f>
        <v/>
      </c>
      <c r="C14867" s="12" t="str">
        <f ca="1">IFERROR(__xludf.DUMMYFUNCTION("""COMPUTED_VALUE"""),"")</f>
        <v/>
      </c>
      <c r="D14867" s="12" t="str">
        <f ca="1">IFERROR(__xludf.DUMMYFUNCTION("""COMPUTED_VALUE"""),"")</f>
        <v/>
      </c>
    </row>
    <row r="14868" spans="2:4" ht="13">
      <c r="B14868" s="12" t="str">
        <f ca="1">IFERROR(__xludf.DUMMYFUNCTION("""COMPUTED_VALUE"""),"")</f>
        <v/>
      </c>
      <c r="C14868" s="12" t="str">
        <f ca="1">IFERROR(__xludf.DUMMYFUNCTION("""COMPUTED_VALUE"""),"")</f>
        <v/>
      </c>
      <c r="D14868" s="12" t="str">
        <f ca="1">IFERROR(__xludf.DUMMYFUNCTION("""COMPUTED_VALUE"""),"")</f>
        <v/>
      </c>
    </row>
    <row r="14869" spans="2:4" ht="13">
      <c r="B14869" s="12" t="str">
        <f ca="1">IFERROR(__xludf.DUMMYFUNCTION("""COMPUTED_VALUE"""),"")</f>
        <v/>
      </c>
      <c r="C14869" s="12" t="str">
        <f ca="1">IFERROR(__xludf.DUMMYFUNCTION("""COMPUTED_VALUE"""),"")</f>
        <v/>
      </c>
      <c r="D14869" s="12" t="str">
        <f ca="1">IFERROR(__xludf.DUMMYFUNCTION("""COMPUTED_VALUE"""),"")</f>
        <v/>
      </c>
    </row>
    <row r="14870" spans="2:4" ht="13">
      <c r="B14870" s="12" t="str">
        <f ca="1">IFERROR(__xludf.DUMMYFUNCTION("""COMPUTED_VALUE"""),"")</f>
        <v/>
      </c>
      <c r="C14870" s="12" t="str">
        <f ca="1">IFERROR(__xludf.DUMMYFUNCTION("""COMPUTED_VALUE"""),"")</f>
        <v/>
      </c>
      <c r="D14870" s="12" t="str">
        <f ca="1">IFERROR(__xludf.DUMMYFUNCTION("""COMPUTED_VALUE"""),"")</f>
        <v/>
      </c>
    </row>
    <row r="14871" spans="2:4" ht="13">
      <c r="B14871" s="12" t="str">
        <f ca="1">IFERROR(__xludf.DUMMYFUNCTION("""COMPUTED_VALUE"""),"")</f>
        <v/>
      </c>
      <c r="C14871" s="12" t="str">
        <f ca="1">IFERROR(__xludf.DUMMYFUNCTION("""COMPUTED_VALUE"""),"")</f>
        <v/>
      </c>
      <c r="D14871" s="12" t="str">
        <f ca="1">IFERROR(__xludf.DUMMYFUNCTION("""COMPUTED_VALUE"""),"")</f>
        <v/>
      </c>
    </row>
    <row r="14872" spans="2:4" ht="13">
      <c r="B14872" s="12" t="str">
        <f ca="1">IFERROR(__xludf.DUMMYFUNCTION("""COMPUTED_VALUE"""),"")</f>
        <v/>
      </c>
      <c r="C14872" s="12" t="str">
        <f ca="1">IFERROR(__xludf.DUMMYFUNCTION("""COMPUTED_VALUE"""),"")</f>
        <v/>
      </c>
      <c r="D14872" s="12" t="str">
        <f ca="1">IFERROR(__xludf.DUMMYFUNCTION("""COMPUTED_VALUE"""),"")</f>
        <v/>
      </c>
    </row>
    <row r="14873" spans="2:4" ht="13">
      <c r="B14873" s="12" t="str">
        <f ca="1">IFERROR(__xludf.DUMMYFUNCTION("""COMPUTED_VALUE"""),"")</f>
        <v/>
      </c>
      <c r="C14873" s="12" t="str">
        <f ca="1">IFERROR(__xludf.DUMMYFUNCTION("""COMPUTED_VALUE"""),"")</f>
        <v/>
      </c>
      <c r="D14873" s="12" t="str">
        <f ca="1">IFERROR(__xludf.DUMMYFUNCTION("""COMPUTED_VALUE"""),"")</f>
        <v/>
      </c>
    </row>
    <row r="14874" spans="2:4" ht="13">
      <c r="B14874" s="12" t="str">
        <f ca="1">IFERROR(__xludf.DUMMYFUNCTION("""COMPUTED_VALUE"""),"")</f>
        <v/>
      </c>
      <c r="C14874" s="12" t="str">
        <f ca="1">IFERROR(__xludf.DUMMYFUNCTION("""COMPUTED_VALUE"""),"")</f>
        <v/>
      </c>
      <c r="D14874" s="12" t="str">
        <f ca="1">IFERROR(__xludf.DUMMYFUNCTION("""COMPUTED_VALUE"""),"")</f>
        <v/>
      </c>
    </row>
    <row r="14875" spans="2:4" ht="13">
      <c r="B14875" s="12" t="str">
        <f ca="1">IFERROR(__xludf.DUMMYFUNCTION("""COMPUTED_VALUE"""),"")</f>
        <v/>
      </c>
      <c r="C14875" s="12" t="str">
        <f ca="1">IFERROR(__xludf.DUMMYFUNCTION("""COMPUTED_VALUE"""),"")</f>
        <v/>
      </c>
      <c r="D14875" s="12" t="str">
        <f ca="1">IFERROR(__xludf.DUMMYFUNCTION("""COMPUTED_VALUE"""),"")</f>
        <v/>
      </c>
    </row>
    <row r="14876" spans="2:4" ht="13">
      <c r="B14876" s="12" t="str">
        <f ca="1">IFERROR(__xludf.DUMMYFUNCTION("""COMPUTED_VALUE"""),"")</f>
        <v/>
      </c>
      <c r="C14876" s="12" t="str">
        <f ca="1">IFERROR(__xludf.DUMMYFUNCTION("""COMPUTED_VALUE"""),"")</f>
        <v/>
      </c>
      <c r="D14876" s="12" t="str">
        <f ca="1">IFERROR(__xludf.DUMMYFUNCTION("""COMPUTED_VALUE"""),"")</f>
        <v/>
      </c>
    </row>
    <row r="14877" spans="2:4" ht="13">
      <c r="B14877" s="12" t="str">
        <f ca="1">IFERROR(__xludf.DUMMYFUNCTION("""COMPUTED_VALUE"""),"")</f>
        <v/>
      </c>
      <c r="C14877" s="12" t="str">
        <f ca="1">IFERROR(__xludf.DUMMYFUNCTION("""COMPUTED_VALUE"""),"")</f>
        <v/>
      </c>
      <c r="D14877" s="12" t="str">
        <f ca="1">IFERROR(__xludf.DUMMYFUNCTION("""COMPUTED_VALUE"""),"")</f>
        <v/>
      </c>
    </row>
    <row r="14878" spans="2:4" ht="13">
      <c r="B14878" s="12" t="str">
        <f ca="1">IFERROR(__xludf.DUMMYFUNCTION("""COMPUTED_VALUE"""),"")</f>
        <v/>
      </c>
      <c r="C14878" s="12" t="str">
        <f ca="1">IFERROR(__xludf.DUMMYFUNCTION("""COMPUTED_VALUE"""),"")</f>
        <v/>
      </c>
      <c r="D14878" s="12" t="str">
        <f ca="1">IFERROR(__xludf.DUMMYFUNCTION("""COMPUTED_VALUE"""),"")</f>
        <v/>
      </c>
    </row>
    <row r="14879" spans="2:4" ht="13">
      <c r="B14879" s="12" t="str">
        <f ca="1">IFERROR(__xludf.DUMMYFUNCTION("""COMPUTED_VALUE"""),"")</f>
        <v/>
      </c>
      <c r="C14879" s="12" t="str">
        <f ca="1">IFERROR(__xludf.DUMMYFUNCTION("""COMPUTED_VALUE"""),"")</f>
        <v/>
      </c>
      <c r="D14879" s="12" t="str">
        <f ca="1">IFERROR(__xludf.DUMMYFUNCTION("""COMPUTED_VALUE"""),"")</f>
        <v/>
      </c>
    </row>
    <row r="14880" spans="2:4" ht="13">
      <c r="B14880" s="12" t="str">
        <f ca="1">IFERROR(__xludf.DUMMYFUNCTION("""COMPUTED_VALUE"""),"")</f>
        <v/>
      </c>
      <c r="C14880" s="12" t="str">
        <f ca="1">IFERROR(__xludf.DUMMYFUNCTION("""COMPUTED_VALUE"""),"")</f>
        <v/>
      </c>
      <c r="D14880" s="12" t="str">
        <f ca="1">IFERROR(__xludf.DUMMYFUNCTION("""COMPUTED_VALUE"""),"")</f>
        <v/>
      </c>
    </row>
    <row r="14881" spans="2:4" ht="13">
      <c r="B14881" s="12" t="str">
        <f ca="1">IFERROR(__xludf.DUMMYFUNCTION("""COMPUTED_VALUE"""),"")</f>
        <v/>
      </c>
      <c r="C14881" s="12" t="str">
        <f ca="1">IFERROR(__xludf.DUMMYFUNCTION("""COMPUTED_VALUE"""),"")</f>
        <v/>
      </c>
      <c r="D14881" s="12" t="str">
        <f ca="1">IFERROR(__xludf.DUMMYFUNCTION("""COMPUTED_VALUE"""),"")</f>
        <v/>
      </c>
    </row>
    <row r="14882" spans="2:4" ht="13">
      <c r="B14882" s="12" t="str">
        <f ca="1">IFERROR(__xludf.DUMMYFUNCTION("""COMPUTED_VALUE"""),"")</f>
        <v/>
      </c>
      <c r="C14882" s="12" t="str">
        <f ca="1">IFERROR(__xludf.DUMMYFUNCTION("""COMPUTED_VALUE"""),"")</f>
        <v/>
      </c>
      <c r="D14882" s="12" t="str">
        <f ca="1">IFERROR(__xludf.DUMMYFUNCTION("""COMPUTED_VALUE"""),"")</f>
        <v/>
      </c>
    </row>
    <row r="14883" spans="2:4" ht="13">
      <c r="B14883" s="12" t="str">
        <f ca="1">IFERROR(__xludf.DUMMYFUNCTION("""COMPUTED_VALUE"""),"")</f>
        <v/>
      </c>
      <c r="C14883" s="12" t="str">
        <f ca="1">IFERROR(__xludf.DUMMYFUNCTION("""COMPUTED_VALUE"""),"")</f>
        <v/>
      </c>
      <c r="D14883" s="12" t="str">
        <f ca="1">IFERROR(__xludf.DUMMYFUNCTION("""COMPUTED_VALUE"""),"")</f>
        <v/>
      </c>
    </row>
    <row r="14884" spans="2:4" ht="13">
      <c r="B14884" s="12" t="str">
        <f ca="1">IFERROR(__xludf.DUMMYFUNCTION("""COMPUTED_VALUE"""),"")</f>
        <v/>
      </c>
      <c r="C14884" s="12" t="str">
        <f ca="1">IFERROR(__xludf.DUMMYFUNCTION("""COMPUTED_VALUE"""),"")</f>
        <v/>
      </c>
      <c r="D14884" s="12" t="str">
        <f ca="1">IFERROR(__xludf.DUMMYFUNCTION("""COMPUTED_VALUE"""),"")</f>
        <v/>
      </c>
    </row>
    <row r="14885" spans="2:4" ht="13">
      <c r="B14885" s="12" t="str">
        <f ca="1">IFERROR(__xludf.DUMMYFUNCTION("""COMPUTED_VALUE"""),"")</f>
        <v/>
      </c>
      <c r="C14885" s="12" t="str">
        <f ca="1">IFERROR(__xludf.DUMMYFUNCTION("""COMPUTED_VALUE"""),"")</f>
        <v/>
      </c>
      <c r="D14885" s="12" t="str">
        <f ca="1">IFERROR(__xludf.DUMMYFUNCTION("""COMPUTED_VALUE"""),"")</f>
        <v/>
      </c>
    </row>
    <row r="14886" spans="2:4" ht="13">
      <c r="B14886" s="12" t="str">
        <f ca="1">IFERROR(__xludf.DUMMYFUNCTION("""COMPUTED_VALUE"""),"")</f>
        <v/>
      </c>
      <c r="C14886" s="12" t="str">
        <f ca="1">IFERROR(__xludf.DUMMYFUNCTION("""COMPUTED_VALUE"""),"")</f>
        <v/>
      </c>
      <c r="D14886" s="12" t="str">
        <f ca="1">IFERROR(__xludf.DUMMYFUNCTION("""COMPUTED_VALUE"""),"")</f>
        <v/>
      </c>
    </row>
    <row r="14887" spans="2:4" ht="13">
      <c r="B14887" s="12" t="str">
        <f ca="1">IFERROR(__xludf.DUMMYFUNCTION("""COMPUTED_VALUE"""),"")</f>
        <v/>
      </c>
      <c r="C14887" s="12" t="str">
        <f ca="1">IFERROR(__xludf.DUMMYFUNCTION("""COMPUTED_VALUE"""),"")</f>
        <v/>
      </c>
      <c r="D14887" s="12" t="str">
        <f ca="1">IFERROR(__xludf.DUMMYFUNCTION("""COMPUTED_VALUE"""),"")</f>
        <v/>
      </c>
    </row>
    <row r="14888" spans="2:4" ht="13">
      <c r="B14888" s="12" t="str">
        <f ca="1">IFERROR(__xludf.DUMMYFUNCTION("""COMPUTED_VALUE"""),"")</f>
        <v/>
      </c>
      <c r="C14888" s="12" t="str">
        <f ca="1">IFERROR(__xludf.DUMMYFUNCTION("""COMPUTED_VALUE"""),"")</f>
        <v/>
      </c>
      <c r="D14888" s="12" t="str">
        <f ca="1">IFERROR(__xludf.DUMMYFUNCTION("""COMPUTED_VALUE"""),"")</f>
        <v/>
      </c>
    </row>
    <row r="14889" spans="2:4" ht="13">
      <c r="B14889" s="12" t="str">
        <f ca="1">IFERROR(__xludf.DUMMYFUNCTION("""COMPUTED_VALUE"""),"")</f>
        <v/>
      </c>
      <c r="C14889" s="12" t="str">
        <f ca="1">IFERROR(__xludf.DUMMYFUNCTION("""COMPUTED_VALUE"""),"")</f>
        <v/>
      </c>
      <c r="D14889" s="12" t="str">
        <f ca="1">IFERROR(__xludf.DUMMYFUNCTION("""COMPUTED_VALUE"""),"")</f>
        <v/>
      </c>
    </row>
    <row r="14890" spans="2:4" ht="13">
      <c r="B14890" s="12" t="str">
        <f ca="1">IFERROR(__xludf.DUMMYFUNCTION("""COMPUTED_VALUE"""),"")</f>
        <v/>
      </c>
      <c r="C14890" s="12" t="str">
        <f ca="1">IFERROR(__xludf.DUMMYFUNCTION("""COMPUTED_VALUE"""),"")</f>
        <v/>
      </c>
      <c r="D14890" s="12" t="str">
        <f ca="1">IFERROR(__xludf.DUMMYFUNCTION("""COMPUTED_VALUE"""),"")</f>
        <v/>
      </c>
    </row>
    <row r="14891" spans="2:4" ht="13">
      <c r="B14891" s="12" t="str">
        <f ca="1">IFERROR(__xludf.DUMMYFUNCTION("""COMPUTED_VALUE"""),"")</f>
        <v/>
      </c>
      <c r="C14891" s="12" t="str">
        <f ca="1">IFERROR(__xludf.DUMMYFUNCTION("""COMPUTED_VALUE"""),"")</f>
        <v/>
      </c>
      <c r="D14891" s="12" t="str">
        <f ca="1">IFERROR(__xludf.DUMMYFUNCTION("""COMPUTED_VALUE"""),"")</f>
        <v/>
      </c>
    </row>
    <row r="14892" spans="2:4" ht="13">
      <c r="B14892" s="12" t="str">
        <f ca="1">IFERROR(__xludf.DUMMYFUNCTION("""COMPUTED_VALUE"""),"")</f>
        <v/>
      </c>
      <c r="C14892" s="12" t="str">
        <f ca="1">IFERROR(__xludf.DUMMYFUNCTION("""COMPUTED_VALUE"""),"")</f>
        <v/>
      </c>
      <c r="D14892" s="12" t="str">
        <f ca="1">IFERROR(__xludf.DUMMYFUNCTION("""COMPUTED_VALUE"""),"")</f>
        <v/>
      </c>
    </row>
    <row r="14893" spans="2:4" ht="13">
      <c r="B14893" s="12" t="str">
        <f ca="1">IFERROR(__xludf.DUMMYFUNCTION("""COMPUTED_VALUE"""),"")</f>
        <v/>
      </c>
      <c r="C14893" s="12" t="str">
        <f ca="1">IFERROR(__xludf.DUMMYFUNCTION("""COMPUTED_VALUE"""),"")</f>
        <v/>
      </c>
      <c r="D14893" s="12" t="str">
        <f ca="1">IFERROR(__xludf.DUMMYFUNCTION("""COMPUTED_VALUE"""),"")</f>
        <v/>
      </c>
    </row>
    <row r="14894" spans="2:4" ht="13">
      <c r="B14894" s="12" t="str">
        <f ca="1">IFERROR(__xludf.DUMMYFUNCTION("""COMPUTED_VALUE"""),"")</f>
        <v/>
      </c>
      <c r="C14894" s="12" t="str">
        <f ca="1">IFERROR(__xludf.DUMMYFUNCTION("""COMPUTED_VALUE"""),"")</f>
        <v/>
      </c>
      <c r="D14894" s="12" t="str">
        <f ca="1">IFERROR(__xludf.DUMMYFUNCTION("""COMPUTED_VALUE"""),"")</f>
        <v/>
      </c>
    </row>
    <row r="14895" spans="2:4" ht="13">
      <c r="B14895" s="12" t="str">
        <f ca="1">IFERROR(__xludf.DUMMYFUNCTION("""COMPUTED_VALUE"""),"")</f>
        <v/>
      </c>
      <c r="C14895" s="12" t="str">
        <f ca="1">IFERROR(__xludf.DUMMYFUNCTION("""COMPUTED_VALUE"""),"")</f>
        <v/>
      </c>
      <c r="D14895" s="12" t="str">
        <f ca="1">IFERROR(__xludf.DUMMYFUNCTION("""COMPUTED_VALUE"""),"")</f>
        <v/>
      </c>
    </row>
    <row r="14896" spans="2:4" ht="13">
      <c r="B14896" s="12" t="str">
        <f ca="1">IFERROR(__xludf.DUMMYFUNCTION("""COMPUTED_VALUE"""),"")</f>
        <v/>
      </c>
      <c r="C14896" s="12" t="str">
        <f ca="1">IFERROR(__xludf.DUMMYFUNCTION("""COMPUTED_VALUE"""),"")</f>
        <v/>
      </c>
      <c r="D14896" s="12" t="str">
        <f ca="1">IFERROR(__xludf.DUMMYFUNCTION("""COMPUTED_VALUE"""),"")</f>
        <v/>
      </c>
    </row>
    <row r="14897" spans="2:4" ht="13">
      <c r="B14897" s="12" t="str">
        <f ca="1">IFERROR(__xludf.DUMMYFUNCTION("""COMPUTED_VALUE"""),"")</f>
        <v/>
      </c>
      <c r="C14897" s="12" t="str">
        <f ca="1">IFERROR(__xludf.DUMMYFUNCTION("""COMPUTED_VALUE"""),"")</f>
        <v/>
      </c>
      <c r="D14897" s="12" t="str">
        <f ca="1">IFERROR(__xludf.DUMMYFUNCTION("""COMPUTED_VALUE"""),"")</f>
        <v/>
      </c>
    </row>
    <row r="14898" spans="2:4" ht="13">
      <c r="B14898" s="12" t="str">
        <f ca="1">IFERROR(__xludf.DUMMYFUNCTION("""COMPUTED_VALUE"""),"")</f>
        <v/>
      </c>
      <c r="C14898" s="12" t="str">
        <f ca="1">IFERROR(__xludf.DUMMYFUNCTION("""COMPUTED_VALUE"""),"")</f>
        <v/>
      </c>
      <c r="D14898" s="12" t="str">
        <f ca="1">IFERROR(__xludf.DUMMYFUNCTION("""COMPUTED_VALUE"""),"")</f>
        <v/>
      </c>
    </row>
    <row r="14899" spans="2:4" ht="13">
      <c r="B14899" s="12" t="str">
        <f ca="1">IFERROR(__xludf.DUMMYFUNCTION("""COMPUTED_VALUE"""),"")</f>
        <v/>
      </c>
      <c r="C14899" s="12" t="str">
        <f ca="1">IFERROR(__xludf.DUMMYFUNCTION("""COMPUTED_VALUE"""),"")</f>
        <v/>
      </c>
      <c r="D14899" s="12" t="str">
        <f ca="1">IFERROR(__xludf.DUMMYFUNCTION("""COMPUTED_VALUE"""),"")</f>
        <v/>
      </c>
    </row>
    <row r="14900" spans="2:4" ht="13">
      <c r="B14900" s="12" t="str">
        <f ca="1">IFERROR(__xludf.DUMMYFUNCTION("""COMPUTED_VALUE"""),"")</f>
        <v/>
      </c>
      <c r="C14900" s="12" t="str">
        <f ca="1">IFERROR(__xludf.DUMMYFUNCTION("""COMPUTED_VALUE"""),"")</f>
        <v/>
      </c>
      <c r="D14900" s="12" t="str">
        <f ca="1">IFERROR(__xludf.DUMMYFUNCTION("""COMPUTED_VALUE"""),"")</f>
        <v/>
      </c>
    </row>
    <row r="14901" spans="2:4" ht="13">
      <c r="B14901" s="12" t="str">
        <f ca="1">IFERROR(__xludf.DUMMYFUNCTION("""COMPUTED_VALUE"""),"")</f>
        <v/>
      </c>
      <c r="C14901" s="12" t="str">
        <f ca="1">IFERROR(__xludf.DUMMYFUNCTION("""COMPUTED_VALUE"""),"")</f>
        <v/>
      </c>
      <c r="D14901" s="12" t="str">
        <f ca="1">IFERROR(__xludf.DUMMYFUNCTION("""COMPUTED_VALUE"""),"")</f>
        <v/>
      </c>
    </row>
    <row r="14902" spans="2:4" ht="13">
      <c r="B14902" s="12" t="str">
        <f ca="1">IFERROR(__xludf.DUMMYFUNCTION("""COMPUTED_VALUE"""),"")</f>
        <v/>
      </c>
      <c r="C14902" s="12" t="str">
        <f ca="1">IFERROR(__xludf.DUMMYFUNCTION("""COMPUTED_VALUE"""),"")</f>
        <v/>
      </c>
      <c r="D14902" s="12" t="str">
        <f ca="1">IFERROR(__xludf.DUMMYFUNCTION("""COMPUTED_VALUE"""),"")</f>
        <v/>
      </c>
    </row>
    <row r="14903" spans="2:4" ht="13">
      <c r="B14903" s="12" t="str">
        <f ca="1">IFERROR(__xludf.DUMMYFUNCTION("""COMPUTED_VALUE"""),"")</f>
        <v/>
      </c>
      <c r="C14903" s="12" t="str">
        <f ca="1">IFERROR(__xludf.DUMMYFUNCTION("""COMPUTED_VALUE"""),"")</f>
        <v/>
      </c>
      <c r="D14903" s="12" t="str">
        <f ca="1">IFERROR(__xludf.DUMMYFUNCTION("""COMPUTED_VALUE"""),"")</f>
        <v/>
      </c>
    </row>
    <row r="14904" spans="2:4" ht="13">
      <c r="B14904" s="12" t="str">
        <f ca="1">IFERROR(__xludf.DUMMYFUNCTION("""COMPUTED_VALUE"""),"")</f>
        <v/>
      </c>
      <c r="C14904" s="12" t="str">
        <f ca="1">IFERROR(__xludf.DUMMYFUNCTION("""COMPUTED_VALUE"""),"")</f>
        <v/>
      </c>
      <c r="D14904" s="12" t="str">
        <f ca="1">IFERROR(__xludf.DUMMYFUNCTION("""COMPUTED_VALUE"""),"")</f>
        <v/>
      </c>
    </row>
    <row r="14905" spans="2:4" ht="13">
      <c r="B14905" s="12" t="str">
        <f ca="1">IFERROR(__xludf.DUMMYFUNCTION("""COMPUTED_VALUE"""),"")</f>
        <v/>
      </c>
      <c r="C14905" s="12" t="str">
        <f ca="1">IFERROR(__xludf.DUMMYFUNCTION("""COMPUTED_VALUE"""),"")</f>
        <v/>
      </c>
      <c r="D14905" s="12" t="str">
        <f ca="1">IFERROR(__xludf.DUMMYFUNCTION("""COMPUTED_VALUE"""),"")</f>
        <v/>
      </c>
    </row>
    <row r="14906" spans="2:4" ht="13">
      <c r="B14906" s="12" t="str">
        <f ca="1">IFERROR(__xludf.DUMMYFUNCTION("""COMPUTED_VALUE"""),"")</f>
        <v/>
      </c>
      <c r="C14906" s="12" t="str">
        <f ca="1">IFERROR(__xludf.DUMMYFUNCTION("""COMPUTED_VALUE"""),"")</f>
        <v/>
      </c>
      <c r="D14906" s="12" t="str">
        <f ca="1">IFERROR(__xludf.DUMMYFUNCTION("""COMPUTED_VALUE"""),"")</f>
        <v/>
      </c>
    </row>
    <row r="14907" spans="2:4" ht="13">
      <c r="B14907" s="12" t="str">
        <f ca="1">IFERROR(__xludf.DUMMYFUNCTION("""COMPUTED_VALUE"""),"")</f>
        <v/>
      </c>
      <c r="C14907" s="12" t="str">
        <f ca="1">IFERROR(__xludf.DUMMYFUNCTION("""COMPUTED_VALUE"""),"")</f>
        <v/>
      </c>
      <c r="D14907" s="12" t="str">
        <f ca="1">IFERROR(__xludf.DUMMYFUNCTION("""COMPUTED_VALUE"""),"")</f>
        <v/>
      </c>
    </row>
    <row r="14908" spans="2:4" ht="13">
      <c r="B14908" s="12" t="str">
        <f ca="1">IFERROR(__xludf.DUMMYFUNCTION("""COMPUTED_VALUE"""),"")</f>
        <v/>
      </c>
      <c r="C14908" s="12" t="str">
        <f ca="1">IFERROR(__xludf.DUMMYFUNCTION("""COMPUTED_VALUE"""),"")</f>
        <v/>
      </c>
      <c r="D14908" s="12" t="str">
        <f ca="1">IFERROR(__xludf.DUMMYFUNCTION("""COMPUTED_VALUE"""),"")</f>
        <v/>
      </c>
    </row>
    <row r="14909" spans="2:4" ht="13">
      <c r="B14909" s="12" t="str">
        <f ca="1">IFERROR(__xludf.DUMMYFUNCTION("""COMPUTED_VALUE"""),"")</f>
        <v/>
      </c>
      <c r="C14909" s="12" t="str">
        <f ca="1">IFERROR(__xludf.DUMMYFUNCTION("""COMPUTED_VALUE"""),"")</f>
        <v/>
      </c>
      <c r="D14909" s="12" t="str">
        <f ca="1">IFERROR(__xludf.DUMMYFUNCTION("""COMPUTED_VALUE"""),"")</f>
        <v/>
      </c>
    </row>
    <row r="14910" spans="2:4" ht="13">
      <c r="B14910" s="12" t="str">
        <f ca="1">IFERROR(__xludf.DUMMYFUNCTION("""COMPUTED_VALUE"""),"")</f>
        <v/>
      </c>
      <c r="C14910" s="12" t="str">
        <f ca="1">IFERROR(__xludf.DUMMYFUNCTION("""COMPUTED_VALUE"""),"")</f>
        <v/>
      </c>
      <c r="D14910" s="12" t="str">
        <f ca="1">IFERROR(__xludf.DUMMYFUNCTION("""COMPUTED_VALUE"""),"")</f>
        <v/>
      </c>
    </row>
    <row r="14911" spans="2:4" ht="13">
      <c r="B14911" s="12" t="str">
        <f ca="1">IFERROR(__xludf.DUMMYFUNCTION("""COMPUTED_VALUE"""),"")</f>
        <v/>
      </c>
      <c r="C14911" s="12" t="str">
        <f ca="1">IFERROR(__xludf.DUMMYFUNCTION("""COMPUTED_VALUE"""),"")</f>
        <v/>
      </c>
      <c r="D14911" s="12" t="str">
        <f ca="1">IFERROR(__xludf.DUMMYFUNCTION("""COMPUTED_VALUE"""),"")</f>
        <v/>
      </c>
    </row>
    <row r="14912" spans="2:4" ht="13">
      <c r="B14912" s="12" t="str">
        <f ca="1">IFERROR(__xludf.DUMMYFUNCTION("""COMPUTED_VALUE"""),"")</f>
        <v/>
      </c>
      <c r="C14912" s="12" t="str">
        <f ca="1">IFERROR(__xludf.DUMMYFUNCTION("""COMPUTED_VALUE"""),"")</f>
        <v/>
      </c>
      <c r="D14912" s="12" t="str">
        <f ca="1">IFERROR(__xludf.DUMMYFUNCTION("""COMPUTED_VALUE"""),"")</f>
        <v/>
      </c>
    </row>
    <row r="14913" spans="2:4" ht="13">
      <c r="B14913" s="12" t="str">
        <f ca="1">IFERROR(__xludf.DUMMYFUNCTION("""COMPUTED_VALUE"""),"")</f>
        <v/>
      </c>
      <c r="C14913" s="12" t="str">
        <f ca="1">IFERROR(__xludf.DUMMYFUNCTION("""COMPUTED_VALUE"""),"")</f>
        <v/>
      </c>
      <c r="D14913" s="12" t="str">
        <f ca="1">IFERROR(__xludf.DUMMYFUNCTION("""COMPUTED_VALUE"""),"")</f>
        <v/>
      </c>
    </row>
    <row r="14914" spans="2:4" ht="13">
      <c r="B14914" s="12" t="str">
        <f ca="1">IFERROR(__xludf.DUMMYFUNCTION("""COMPUTED_VALUE"""),"")</f>
        <v/>
      </c>
      <c r="C14914" s="12" t="str">
        <f ca="1">IFERROR(__xludf.DUMMYFUNCTION("""COMPUTED_VALUE"""),"")</f>
        <v/>
      </c>
      <c r="D14914" s="12" t="str">
        <f ca="1">IFERROR(__xludf.DUMMYFUNCTION("""COMPUTED_VALUE"""),"")</f>
        <v/>
      </c>
    </row>
    <row r="14915" spans="2:4" ht="13">
      <c r="B14915" s="12" t="str">
        <f ca="1">IFERROR(__xludf.DUMMYFUNCTION("""COMPUTED_VALUE"""),"")</f>
        <v/>
      </c>
      <c r="C14915" s="12" t="str">
        <f ca="1">IFERROR(__xludf.DUMMYFUNCTION("""COMPUTED_VALUE"""),"")</f>
        <v/>
      </c>
      <c r="D14915" s="12" t="str">
        <f ca="1">IFERROR(__xludf.DUMMYFUNCTION("""COMPUTED_VALUE"""),"")</f>
        <v/>
      </c>
    </row>
    <row r="14916" spans="2:4" ht="13">
      <c r="B14916" s="12" t="str">
        <f ca="1">IFERROR(__xludf.DUMMYFUNCTION("""COMPUTED_VALUE"""),"")</f>
        <v/>
      </c>
      <c r="C14916" s="12" t="str">
        <f ca="1">IFERROR(__xludf.DUMMYFUNCTION("""COMPUTED_VALUE"""),"")</f>
        <v/>
      </c>
      <c r="D14916" s="12" t="str">
        <f ca="1">IFERROR(__xludf.DUMMYFUNCTION("""COMPUTED_VALUE"""),"")</f>
        <v/>
      </c>
    </row>
    <row r="14917" spans="2:4" ht="13">
      <c r="B14917" s="12" t="str">
        <f ca="1">IFERROR(__xludf.DUMMYFUNCTION("""COMPUTED_VALUE"""),"")</f>
        <v/>
      </c>
      <c r="C14917" s="12" t="str">
        <f ca="1">IFERROR(__xludf.DUMMYFUNCTION("""COMPUTED_VALUE"""),"")</f>
        <v/>
      </c>
      <c r="D14917" s="12" t="str">
        <f ca="1">IFERROR(__xludf.DUMMYFUNCTION("""COMPUTED_VALUE"""),"")</f>
        <v/>
      </c>
    </row>
    <row r="14918" spans="2:4" ht="13">
      <c r="B14918" s="12" t="str">
        <f ca="1">IFERROR(__xludf.DUMMYFUNCTION("""COMPUTED_VALUE"""),"")</f>
        <v/>
      </c>
      <c r="C14918" s="12" t="str">
        <f ca="1">IFERROR(__xludf.DUMMYFUNCTION("""COMPUTED_VALUE"""),"")</f>
        <v/>
      </c>
      <c r="D14918" s="12" t="str">
        <f ca="1">IFERROR(__xludf.DUMMYFUNCTION("""COMPUTED_VALUE"""),"")</f>
        <v/>
      </c>
    </row>
    <row r="14919" spans="2:4" ht="13">
      <c r="B14919" s="12" t="str">
        <f ca="1">IFERROR(__xludf.DUMMYFUNCTION("""COMPUTED_VALUE"""),"")</f>
        <v/>
      </c>
      <c r="C14919" s="12" t="str">
        <f ca="1">IFERROR(__xludf.DUMMYFUNCTION("""COMPUTED_VALUE"""),"")</f>
        <v/>
      </c>
      <c r="D14919" s="12" t="str">
        <f ca="1">IFERROR(__xludf.DUMMYFUNCTION("""COMPUTED_VALUE"""),"")</f>
        <v/>
      </c>
    </row>
    <row r="14920" spans="2:4" ht="13">
      <c r="B14920" s="12" t="str">
        <f ca="1">IFERROR(__xludf.DUMMYFUNCTION("""COMPUTED_VALUE"""),"")</f>
        <v/>
      </c>
      <c r="C14920" s="12" t="str">
        <f ca="1">IFERROR(__xludf.DUMMYFUNCTION("""COMPUTED_VALUE"""),"")</f>
        <v/>
      </c>
      <c r="D14920" s="12" t="str">
        <f ca="1">IFERROR(__xludf.DUMMYFUNCTION("""COMPUTED_VALUE"""),"")</f>
        <v/>
      </c>
    </row>
    <row r="14921" spans="2:4" ht="13">
      <c r="B14921" s="12" t="str">
        <f ca="1">IFERROR(__xludf.DUMMYFUNCTION("""COMPUTED_VALUE"""),"")</f>
        <v/>
      </c>
      <c r="C14921" s="12" t="str">
        <f ca="1">IFERROR(__xludf.DUMMYFUNCTION("""COMPUTED_VALUE"""),"")</f>
        <v/>
      </c>
      <c r="D14921" s="12" t="str">
        <f ca="1">IFERROR(__xludf.DUMMYFUNCTION("""COMPUTED_VALUE"""),"")</f>
        <v/>
      </c>
    </row>
    <row r="14922" spans="2:4" ht="13">
      <c r="B14922" s="12" t="str">
        <f ca="1">IFERROR(__xludf.DUMMYFUNCTION("""COMPUTED_VALUE"""),"")</f>
        <v/>
      </c>
      <c r="C14922" s="12" t="str">
        <f ca="1">IFERROR(__xludf.DUMMYFUNCTION("""COMPUTED_VALUE"""),"")</f>
        <v/>
      </c>
      <c r="D14922" s="12" t="str">
        <f ca="1">IFERROR(__xludf.DUMMYFUNCTION("""COMPUTED_VALUE"""),"")</f>
        <v/>
      </c>
    </row>
    <row r="14923" spans="2:4" ht="13">
      <c r="B14923" s="12" t="str">
        <f ca="1">IFERROR(__xludf.DUMMYFUNCTION("""COMPUTED_VALUE"""),"")</f>
        <v/>
      </c>
      <c r="C14923" s="12" t="str">
        <f ca="1">IFERROR(__xludf.DUMMYFUNCTION("""COMPUTED_VALUE"""),"")</f>
        <v/>
      </c>
      <c r="D14923" s="12" t="str">
        <f ca="1">IFERROR(__xludf.DUMMYFUNCTION("""COMPUTED_VALUE"""),"")</f>
        <v/>
      </c>
    </row>
    <row r="14924" spans="2:4" ht="13">
      <c r="B14924" s="12" t="str">
        <f ca="1">IFERROR(__xludf.DUMMYFUNCTION("""COMPUTED_VALUE"""),"")</f>
        <v/>
      </c>
      <c r="C14924" s="12" t="str">
        <f ca="1">IFERROR(__xludf.DUMMYFUNCTION("""COMPUTED_VALUE"""),"")</f>
        <v/>
      </c>
      <c r="D14924" s="12" t="str">
        <f ca="1">IFERROR(__xludf.DUMMYFUNCTION("""COMPUTED_VALUE"""),"")</f>
        <v/>
      </c>
    </row>
    <row r="14925" spans="2:4" ht="13">
      <c r="B14925" s="12" t="str">
        <f ca="1">IFERROR(__xludf.DUMMYFUNCTION("""COMPUTED_VALUE"""),"")</f>
        <v/>
      </c>
      <c r="C14925" s="12" t="str">
        <f ca="1">IFERROR(__xludf.DUMMYFUNCTION("""COMPUTED_VALUE"""),"")</f>
        <v/>
      </c>
      <c r="D14925" s="12" t="str">
        <f ca="1">IFERROR(__xludf.DUMMYFUNCTION("""COMPUTED_VALUE"""),"")</f>
        <v/>
      </c>
    </row>
    <row r="14926" spans="2:4" ht="13">
      <c r="B14926" s="12" t="str">
        <f ca="1">IFERROR(__xludf.DUMMYFUNCTION("""COMPUTED_VALUE"""),"")</f>
        <v/>
      </c>
      <c r="C14926" s="12" t="str">
        <f ca="1">IFERROR(__xludf.DUMMYFUNCTION("""COMPUTED_VALUE"""),"")</f>
        <v/>
      </c>
      <c r="D14926" s="12" t="str">
        <f ca="1">IFERROR(__xludf.DUMMYFUNCTION("""COMPUTED_VALUE"""),"")</f>
        <v/>
      </c>
    </row>
    <row r="14927" spans="2:4" ht="13">
      <c r="B14927" s="12" t="str">
        <f ca="1">IFERROR(__xludf.DUMMYFUNCTION("""COMPUTED_VALUE"""),"")</f>
        <v/>
      </c>
      <c r="C14927" s="12" t="str">
        <f ca="1">IFERROR(__xludf.DUMMYFUNCTION("""COMPUTED_VALUE"""),"")</f>
        <v/>
      </c>
      <c r="D14927" s="12" t="str">
        <f ca="1">IFERROR(__xludf.DUMMYFUNCTION("""COMPUTED_VALUE"""),"")</f>
        <v/>
      </c>
    </row>
    <row r="14928" spans="2:4" ht="13">
      <c r="B14928" s="12" t="str">
        <f ca="1">IFERROR(__xludf.DUMMYFUNCTION("""COMPUTED_VALUE"""),"")</f>
        <v/>
      </c>
      <c r="C14928" s="12" t="str">
        <f ca="1">IFERROR(__xludf.DUMMYFUNCTION("""COMPUTED_VALUE"""),"")</f>
        <v/>
      </c>
      <c r="D14928" s="12" t="str">
        <f ca="1">IFERROR(__xludf.DUMMYFUNCTION("""COMPUTED_VALUE"""),"")</f>
        <v/>
      </c>
    </row>
    <row r="14929" spans="2:4" ht="13">
      <c r="B14929" s="12" t="str">
        <f ca="1">IFERROR(__xludf.DUMMYFUNCTION("""COMPUTED_VALUE"""),"")</f>
        <v/>
      </c>
      <c r="C14929" s="12" t="str">
        <f ca="1">IFERROR(__xludf.DUMMYFUNCTION("""COMPUTED_VALUE"""),"")</f>
        <v/>
      </c>
      <c r="D14929" s="12" t="str">
        <f ca="1">IFERROR(__xludf.DUMMYFUNCTION("""COMPUTED_VALUE"""),"")</f>
        <v/>
      </c>
    </row>
    <row r="14930" spans="2:4" ht="13">
      <c r="B14930" s="12" t="str">
        <f ca="1">IFERROR(__xludf.DUMMYFUNCTION("""COMPUTED_VALUE"""),"")</f>
        <v/>
      </c>
      <c r="C14930" s="12" t="str">
        <f ca="1">IFERROR(__xludf.DUMMYFUNCTION("""COMPUTED_VALUE"""),"")</f>
        <v/>
      </c>
      <c r="D14930" s="12" t="str">
        <f ca="1">IFERROR(__xludf.DUMMYFUNCTION("""COMPUTED_VALUE"""),"")</f>
        <v/>
      </c>
    </row>
    <row r="14931" spans="2:4" ht="13">
      <c r="B14931" s="12" t="str">
        <f ca="1">IFERROR(__xludf.DUMMYFUNCTION("""COMPUTED_VALUE"""),"")</f>
        <v/>
      </c>
      <c r="C14931" s="12" t="str">
        <f ca="1">IFERROR(__xludf.DUMMYFUNCTION("""COMPUTED_VALUE"""),"")</f>
        <v/>
      </c>
      <c r="D14931" s="12" t="str">
        <f ca="1">IFERROR(__xludf.DUMMYFUNCTION("""COMPUTED_VALUE"""),"")</f>
        <v/>
      </c>
    </row>
    <row r="14932" spans="2:4" ht="13">
      <c r="B14932" s="12" t="str">
        <f ca="1">IFERROR(__xludf.DUMMYFUNCTION("""COMPUTED_VALUE"""),"")</f>
        <v/>
      </c>
      <c r="C14932" s="12" t="str">
        <f ca="1">IFERROR(__xludf.DUMMYFUNCTION("""COMPUTED_VALUE"""),"")</f>
        <v/>
      </c>
      <c r="D14932" s="12" t="str">
        <f ca="1">IFERROR(__xludf.DUMMYFUNCTION("""COMPUTED_VALUE"""),"")</f>
        <v/>
      </c>
    </row>
    <row r="14933" spans="2:4" ht="13">
      <c r="B14933" s="12" t="str">
        <f ca="1">IFERROR(__xludf.DUMMYFUNCTION("""COMPUTED_VALUE"""),"")</f>
        <v/>
      </c>
      <c r="C14933" s="12" t="str">
        <f ca="1">IFERROR(__xludf.DUMMYFUNCTION("""COMPUTED_VALUE"""),"")</f>
        <v/>
      </c>
      <c r="D14933" s="12" t="str">
        <f ca="1">IFERROR(__xludf.DUMMYFUNCTION("""COMPUTED_VALUE"""),"")</f>
        <v/>
      </c>
    </row>
    <row r="14934" spans="2:4" ht="13">
      <c r="B14934" s="12" t="str">
        <f ca="1">IFERROR(__xludf.DUMMYFUNCTION("""COMPUTED_VALUE"""),"")</f>
        <v/>
      </c>
      <c r="C14934" s="12" t="str">
        <f ca="1">IFERROR(__xludf.DUMMYFUNCTION("""COMPUTED_VALUE"""),"")</f>
        <v/>
      </c>
      <c r="D14934" s="12" t="str">
        <f ca="1">IFERROR(__xludf.DUMMYFUNCTION("""COMPUTED_VALUE"""),"")</f>
        <v/>
      </c>
    </row>
    <row r="14935" spans="2:4" ht="13">
      <c r="B14935" s="12" t="str">
        <f ca="1">IFERROR(__xludf.DUMMYFUNCTION("""COMPUTED_VALUE"""),"")</f>
        <v/>
      </c>
      <c r="C14935" s="12" t="str">
        <f ca="1">IFERROR(__xludf.DUMMYFUNCTION("""COMPUTED_VALUE"""),"")</f>
        <v/>
      </c>
      <c r="D14935" s="12" t="str">
        <f ca="1">IFERROR(__xludf.DUMMYFUNCTION("""COMPUTED_VALUE"""),"")</f>
        <v/>
      </c>
    </row>
    <row r="14936" spans="2:4" ht="13">
      <c r="B14936" s="12" t="str">
        <f ca="1">IFERROR(__xludf.DUMMYFUNCTION("""COMPUTED_VALUE"""),"")</f>
        <v/>
      </c>
      <c r="C14936" s="12" t="str">
        <f ca="1">IFERROR(__xludf.DUMMYFUNCTION("""COMPUTED_VALUE"""),"")</f>
        <v/>
      </c>
      <c r="D14936" s="12" t="str">
        <f ca="1">IFERROR(__xludf.DUMMYFUNCTION("""COMPUTED_VALUE"""),"")</f>
        <v/>
      </c>
    </row>
    <row r="14937" spans="2:4" ht="13">
      <c r="B14937" s="12" t="str">
        <f ca="1">IFERROR(__xludf.DUMMYFUNCTION("""COMPUTED_VALUE"""),"")</f>
        <v/>
      </c>
      <c r="C14937" s="12" t="str">
        <f ca="1">IFERROR(__xludf.DUMMYFUNCTION("""COMPUTED_VALUE"""),"")</f>
        <v/>
      </c>
      <c r="D14937" s="12" t="str">
        <f ca="1">IFERROR(__xludf.DUMMYFUNCTION("""COMPUTED_VALUE"""),"")</f>
        <v/>
      </c>
    </row>
    <row r="14938" spans="2:4" ht="13">
      <c r="B14938" s="12" t="str">
        <f ca="1">IFERROR(__xludf.DUMMYFUNCTION("""COMPUTED_VALUE"""),"")</f>
        <v/>
      </c>
      <c r="C14938" s="12" t="str">
        <f ca="1">IFERROR(__xludf.DUMMYFUNCTION("""COMPUTED_VALUE"""),"")</f>
        <v/>
      </c>
      <c r="D14938" s="12" t="str">
        <f ca="1">IFERROR(__xludf.DUMMYFUNCTION("""COMPUTED_VALUE"""),"")</f>
        <v/>
      </c>
    </row>
    <row r="14939" spans="2:4" ht="13">
      <c r="B14939" s="12" t="str">
        <f ca="1">IFERROR(__xludf.DUMMYFUNCTION("""COMPUTED_VALUE"""),"")</f>
        <v/>
      </c>
      <c r="C14939" s="12" t="str">
        <f ca="1">IFERROR(__xludf.DUMMYFUNCTION("""COMPUTED_VALUE"""),"")</f>
        <v/>
      </c>
      <c r="D14939" s="12" t="str">
        <f ca="1">IFERROR(__xludf.DUMMYFUNCTION("""COMPUTED_VALUE"""),"")</f>
        <v/>
      </c>
    </row>
    <row r="14940" spans="2:4" ht="13">
      <c r="B14940" s="12" t="str">
        <f ca="1">IFERROR(__xludf.DUMMYFUNCTION("""COMPUTED_VALUE"""),"")</f>
        <v/>
      </c>
      <c r="C14940" s="12" t="str">
        <f ca="1">IFERROR(__xludf.DUMMYFUNCTION("""COMPUTED_VALUE"""),"")</f>
        <v/>
      </c>
      <c r="D14940" s="12" t="str">
        <f ca="1">IFERROR(__xludf.DUMMYFUNCTION("""COMPUTED_VALUE"""),"")</f>
        <v/>
      </c>
    </row>
    <row r="14941" spans="2:4" ht="13">
      <c r="B14941" s="12" t="str">
        <f ca="1">IFERROR(__xludf.DUMMYFUNCTION("""COMPUTED_VALUE"""),"")</f>
        <v/>
      </c>
      <c r="C14941" s="12" t="str">
        <f ca="1">IFERROR(__xludf.DUMMYFUNCTION("""COMPUTED_VALUE"""),"")</f>
        <v/>
      </c>
      <c r="D14941" s="12" t="str">
        <f ca="1">IFERROR(__xludf.DUMMYFUNCTION("""COMPUTED_VALUE"""),"")</f>
        <v/>
      </c>
    </row>
    <row r="14942" spans="2:4" ht="13">
      <c r="B14942" s="12" t="str">
        <f ca="1">IFERROR(__xludf.DUMMYFUNCTION("""COMPUTED_VALUE"""),"")</f>
        <v/>
      </c>
      <c r="C14942" s="12" t="str">
        <f ca="1">IFERROR(__xludf.DUMMYFUNCTION("""COMPUTED_VALUE"""),"")</f>
        <v/>
      </c>
      <c r="D14942" s="12" t="str">
        <f ca="1">IFERROR(__xludf.DUMMYFUNCTION("""COMPUTED_VALUE"""),"")</f>
        <v/>
      </c>
    </row>
    <row r="14943" spans="2:4" ht="13">
      <c r="B14943" s="12" t="str">
        <f ca="1">IFERROR(__xludf.DUMMYFUNCTION("""COMPUTED_VALUE"""),"")</f>
        <v/>
      </c>
      <c r="C14943" s="12" t="str">
        <f ca="1">IFERROR(__xludf.DUMMYFUNCTION("""COMPUTED_VALUE"""),"")</f>
        <v/>
      </c>
      <c r="D14943" s="12" t="str">
        <f ca="1">IFERROR(__xludf.DUMMYFUNCTION("""COMPUTED_VALUE"""),"")</f>
        <v/>
      </c>
    </row>
    <row r="14944" spans="2:4" ht="13">
      <c r="B14944" s="12" t="str">
        <f ca="1">IFERROR(__xludf.DUMMYFUNCTION("""COMPUTED_VALUE"""),"")</f>
        <v/>
      </c>
      <c r="C14944" s="12" t="str">
        <f ca="1">IFERROR(__xludf.DUMMYFUNCTION("""COMPUTED_VALUE"""),"")</f>
        <v/>
      </c>
      <c r="D14944" s="12" t="str">
        <f ca="1">IFERROR(__xludf.DUMMYFUNCTION("""COMPUTED_VALUE"""),"")</f>
        <v/>
      </c>
    </row>
    <row r="14945" spans="2:4" ht="13">
      <c r="B14945" s="12" t="str">
        <f ca="1">IFERROR(__xludf.DUMMYFUNCTION("""COMPUTED_VALUE"""),"")</f>
        <v/>
      </c>
      <c r="C14945" s="12" t="str">
        <f ca="1">IFERROR(__xludf.DUMMYFUNCTION("""COMPUTED_VALUE"""),"")</f>
        <v/>
      </c>
      <c r="D14945" s="12" t="str">
        <f ca="1">IFERROR(__xludf.DUMMYFUNCTION("""COMPUTED_VALUE"""),"")</f>
        <v/>
      </c>
    </row>
    <row r="14946" spans="2:4" ht="13">
      <c r="B14946" s="12" t="str">
        <f ca="1">IFERROR(__xludf.DUMMYFUNCTION("""COMPUTED_VALUE"""),"")</f>
        <v/>
      </c>
      <c r="C14946" s="12" t="str">
        <f ca="1">IFERROR(__xludf.DUMMYFUNCTION("""COMPUTED_VALUE"""),"")</f>
        <v/>
      </c>
      <c r="D14946" s="12" t="str">
        <f ca="1">IFERROR(__xludf.DUMMYFUNCTION("""COMPUTED_VALUE"""),"")</f>
        <v/>
      </c>
    </row>
    <row r="14947" spans="2:4" ht="13">
      <c r="B14947" s="12" t="str">
        <f ca="1">IFERROR(__xludf.DUMMYFUNCTION("""COMPUTED_VALUE"""),"")</f>
        <v/>
      </c>
      <c r="C14947" s="12" t="str">
        <f ca="1">IFERROR(__xludf.DUMMYFUNCTION("""COMPUTED_VALUE"""),"")</f>
        <v/>
      </c>
      <c r="D14947" s="12" t="str">
        <f ca="1">IFERROR(__xludf.DUMMYFUNCTION("""COMPUTED_VALUE"""),"")</f>
        <v/>
      </c>
    </row>
    <row r="14948" spans="2:4" ht="13">
      <c r="B14948" s="12" t="str">
        <f ca="1">IFERROR(__xludf.DUMMYFUNCTION("""COMPUTED_VALUE"""),"")</f>
        <v/>
      </c>
      <c r="C14948" s="12" t="str">
        <f ca="1">IFERROR(__xludf.DUMMYFUNCTION("""COMPUTED_VALUE"""),"")</f>
        <v/>
      </c>
      <c r="D14948" s="12" t="str">
        <f ca="1">IFERROR(__xludf.DUMMYFUNCTION("""COMPUTED_VALUE"""),"")</f>
        <v/>
      </c>
    </row>
    <row r="14949" spans="2:4" ht="13">
      <c r="B14949" s="12" t="str">
        <f ca="1">IFERROR(__xludf.DUMMYFUNCTION("""COMPUTED_VALUE"""),"")</f>
        <v/>
      </c>
      <c r="C14949" s="12" t="str">
        <f ca="1">IFERROR(__xludf.DUMMYFUNCTION("""COMPUTED_VALUE"""),"")</f>
        <v/>
      </c>
      <c r="D14949" s="12" t="str">
        <f ca="1">IFERROR(__xludf.DUMMYFUNCTION("""COMPUTED_VALUE"""),"")</f>
        <v/>
      </c>
    </row>
    <row r="14950" spans="2:4" ht="13">
      <c r="B14950" s="12" t="str">
        <f ca="1">IFERROR(__xludf.DUMMYFUNCTION("""COMPUTED_VALUE"""),"")</f>
        <v/>
      </c>
      <c r="C14950" s="12" t="str">
        <f ca="1">IFERROR(__xludf.DUMMYFUNCTION("""COMPUTED_VALUE"""),"")</f>
        <v/>
      </c>
      <c r="D14950" s="12" t="str">
        <f ca="1">IFERROR(__xludf.DUMMYFUNCTION("""COMPUTED_VALUE"""),"")</f>
        <v/>
      </c>
    </row>
    <row r="14951" spans="2:4" ht="13">
      <c r="B14951" s="12" t="str">
        <f ca="1">IFERROR(__xludf.DUMMYFUNCTION("""COMPUTED_VALUE"""),"")</f>
        <v/>
      </c>
      <c r="C14951" s="12" t="str">
        <f ca="1">IFERROR(__xludf.DUMMYFUNCTION("""COMPUTED_VALUE"""),"")</f>
        <v/>
      </c>
      <c r="D14951" s="12" t="str">
        <f ca="1">IFERROR(__xludf.DUMMYFUNCTION("""COMPUTED_VALUE"""),"")</f>
        <v/>
      </c>
    </row>
    <row r="14952" spans="2:4" ht="13">
      <c r="B14952" s="12" t="str">
        <f ca="1">IFERROR(__xludf.DUMMYFUNCTION("""COMPUTED_VALUE"""),"")</f>
        <v/>
      </c>
      <c r="C14952" s="12" t="str">
        <f ca="1">IFERROR(__xludf.DUMMYFUNCTION("""COMPUTED_VALUE"""),"")</f>
        <v/>
      </c>
      <c r="D14952" s="12" t="str">
        <f ca="1">IFERROR(__xludf.DUMMYFUNCTION("""COMPUTED_VALUE"""),"")</f>
        <v/>
      </c>
    </row>
    <row r="14953" spans="2:4" ht="13">
      <c r="B14953" s="12" t="str">
        <f ca="1">IFERROR(__xludf.DUMMYFUNCTION("""COMPUTED_VALUE"""),"")</f>
        <v/>
      </c>
      <c r="C14953" s="12" t="str">
        <f ca="1">IFERROR(__xludf.DUMMYFUNCTION("""COMPUTED_VALUE"""),"")</f>
        <v/>
      </c>
      <c r="D14953" s="12" t="str">
        <f ca="1">IFERROR(__xludf.DUMMYFUNCTION("""COMPUTED_VALUE"""),"")</f>
        <v/>
      </c>
    </row>
    <row r="14954" spans="2:4" ht="13">
      <c r="B14954" s="12" t="str">
        <f ca="1">IFERROR(__xludf.DUMMYFUNCTION("""COMPUTED_VALUE"""),"")</f>
        <v/>
      </c>
      <c r="C14954" s="12" t="str">
        <f ca="1">IFERROR(__xludf.DUMMYFUNCTION("""COMPUTED_VALUE"""),"")</f>
        <v/>
      </c>
      <c r="D14954" s="12" t="str">
        <f ca="1">IFERROR(__xludf.DUMMYFUNCTION("""COMPUTED_VALUE"""),"")</f>
        <v/>
      </c>
    </row>
    <row r="14955" spans="2:4" ht="13">
      <c r="B14955" s="12" t="str">
        <f ca="1">IFERROR(__xludf.DUMMYFUNCTION("""COMPUTED_VALUE"""),"")</f>
        <v/>
      </c>
      <c r="C14955" s="12" t="str">
        <f ca="1">IFERROR(__xludf.DUMMYFUNCTION("""COMPUTED_VALUE"""),"")</f>
        <v/>
      </c>
      <c r="D14955" s="12" t="str">
        <f ca="1">IFERROR(__xludf.DUMMYFUNCTION("""COMPUTED_VALUE"""),"")</f>
        <v/>
      </c>
    </row>
    <row r="14956" spans="2:4" ht="13">
      <c r="B14956" s="12" t="str">
        <f ca="1">IFERROR(__xludf.DUMMYFUNCTION("""COMPUTED_VALUE"""),"")</f>
        <v/>
      </c>
      <c r="C14956" s="12" t="str">
        <f ca="1">IFERROR(__xludf.DUMMYFUNCTION("""COMPUTED_VALUE"""),"")</f>
        <v/>
      </c>
      <c r="D14956" s="12" t="str">
        <f ca="1">IFERROR(__xludf.DUMMYFUNCTION("""COMPUTED_VALUE"""),"")</f>
        <v/>
      </c>
    </row>
    <row r="14957" spans="2:4" ht="13">
      <c r="B14957" s="12" t="str">
        <f ca="1">IFERROR(__xludf.DUMMYFUNCTION("""COMPUTED_VALUE"""),"")</f>
        <v/>
      </c>
      <c r="C14957" s="12" t="str">
        <f ca="1">IFERROR(__xludf.DUMMYFUNCTION("""COMPUTED_VALUE"""),"")</f>
        <v/>
      </c>
      <c r="D14957" s="12" t="str">
        <f ca="1">IFERROR(__xludf.DUMMYFUNCTION("""COMPUTED_VALUE"""),"")</f>
        <v/>
      </c>
    </row>
    <row r="14958" spans="2:4" ht="13">
      <c r="B14958" s="12" t="str">
        <f ca="1">IFERROR(__xludf.DUMMYFUNCTION("""COMPUTED_VALUE"""),"")</f>
        <v/>
      </c>
      <c r="C14958" s="12" t="str">
        <f ca="1">IFERROR(__xludf.DUMMYFUNCTION("""COMPUTED_VALUE"""),"")</f>
        <v/>
      </c>
      <c r="D14958" s="12" t="str">
        <f ca="1">IFERROR(__xludf.DUMMYFUNCTION("""COMPUTED_VALUE"""),"")</f>
        <v/>
      </c>
    </row>
    <row r="14959" spans="2:4" ht="13">
      <c r="B14959" s="12" t="str">
        <f ca="1">IFERROR(__xludf.DUMMYFUNCTION("""COMPUTED_VALUE"""),"")</f>
        <v/>
      </c>
      <c r="C14959" s="12" t="str">
        <f ca="1">IFERROR(__xludf.DUMMYFUNCTION("""COMPUTED_VALUE"""),"")</f>
        <v/>
      </c>
      <c r="D14959" s="12" t="str">
        <f ca="1">IFERROR(__xludf.DUMMYFUNCTION("""COMPUTED_VALUE"""),"")</f>
        <v/>
      </c>
    </row>
    <row r="14960" spans="2:4" ht="13">
      <c r="B14960" s="12" t="str">
        <f ca="1">IFERROR(__xludf.DUMMYFUNCTION("""COMPUTED_VALUE"""),"")</f>
        <v/>
      </c>
      <c r="C14960" s="12" t="str">
        <f ca="1">IFERROR(__xludf.DUMMYFUNCTION("""COMPUTED_VALUE"""),"")</f>
        <v/>
      </c>
      <c r="D14960" s="12" t="str">
        <f ca="1">IFERROR(__xludf.DUMMYFUNCTION("""COMPUTED_VALUE"""),"")</f>
        <v/>
      </c>
    </row>
    <row r="14961" spans="2:4" ht="13">
      <c r="B14961" s="12" t="str">
        <f ca="1">IFERROR(__xludf.DUMMYFUNCTION("""COMPUTED_VALUE"""),"")</f>
        <v/>
      </c>
      <c r="C14961" s="12" t="str">
        <f ca="1">IFERROR(__xludf.DUMMYFUNCTION("""COMPUTED_VALUE"""),"")</f>
        <v/>
      </c>
      <c r="D14961" s="12" t="str">
        <f ca="1">IFERROR(__xludf.DUMMYFUNCTION("""COMPUTED_VALUE"""),"")</f>
        <v/>
      </c>
    </row>
    <row r="14962" spans="2:4" ht="13">
      <c r="B14962" s="12" t="str">
        <f ca="1">IFERROR(__xludf.DUMMYFUNCTION("""COMPUTED_VALUE"""),"")</f>
        <v/>
      </c>
      <c r="C14962" s="12" t="str">
        <f ca="1">IFERROR(__xludf.DUMMYFUNCTION("""COMPUTED_VALUE"""),"")</f>
        <v/>
      </c>
      <c r="D14962" s="12" t="str">
        <f ca="1">IFERROR(__xludf.DUMMYFUNCTION("""COMPUTED_VALUE"""),"")</f>
        <v/>
      </c>
    </row>
    <row r="14963" spans="2:4" ht="13">
      <c r="B14963" s="12" t="str">
        <f ca="1">IFERROR(__xludf.DUMMYFUNCTION("""COMPUTED_VALUE"""),"")</f>
        <v/>
      </c>
      <c r="C14963" s="12" t="str">
        <f ca="1">IFERROR(__xludf.DUMMYFUNCTION("""COMPUTED_VALUE"""),"")</f>
        <v/>
      </c>
      <c r="D14963" s="12" t="str">
        <f ca="1">IFERROR(__xludf.DUMMYFUNCTION("""COMPUTED_VALUE"""),"")</f>
        <v/>
      </c>
    </row>
    <row r="14964" spans="2:4" ht="13">
      <c r="B14964" s="12" t="str">
        <f ca="1">IFERROR(__xludf.DUMMYFUNCTION("""COMPUTED_VALUE"""),"")</f>
        <v/>
      </c>
      <c r="C14964" s="12" t="str">
        <f ca="1">IFERROR(__xludf.DUMMYFUNCTION("""COMPUTED_VALUE"""),"")</f>
        <v/>
      </c>
      <c r="D14964" s="12" t="str">
        <f ca="1">IFERROR(__xludf.DUMMYFUNCTION("""COMPUTED_VALUE"""),"")</f>
        <v/>
      </c>
    </row>
    <row r="14965" spans="2:4" ht="13">
      <c r="B14965" s="12" t="str">
        <f ca="1">IFERROR(__xludf.DUMMYFUNCTION("""COMPUTED_VALUE"""),"")</f>
        <v/>
      </c>
      <c r="C14965" s="12" t="str">
        <f ca="1">IFERROR(__xludf.DUMMYFUNCTION("""COMPUTED_VALUE"""),"")</f>
        <v/>
      </c>
      <c r="D14965" s="12" t="str">
        <f ca="1">IFERROR(__xludf.DUMMYFUNCTION("""COMPUTED_VALUE"""),"")</f>
        <v/>
      </c>
    </row>
    <row r="14966" spans="2:4" ht="13">
      <c r="B14966" s="12" t="str">
        <f ca="1">IFERROR(__xludf.DUMMYFUNCTION("""COMPUTED_VALUE"""),"")</f>
        <v/>
      </c>
      <c r="C14966" s="12" t="str">
        <f ca="1">IFERROR(__xludf.DUMMYFUNCTION("""COMPUTED_VALUE"""),"")</f>
        <v/>
      </c>
      <c r="D14966" s="12" t="str">
        <f ca="1">IFERROR(__xludf.DUMMYFUNCTION("""COMPUTED_VALUE"""),"")</f>
        <v/>
      </c>
    </row>
    <row r="14967" spans="2:4" ht="13">
      <c r="B14967" s="12" t="str">
        <f ca="1">IFERROR(__xludf.DUMMYFUNCTION("""COMPUTED_VALUE"""),"")</f>
        <v/>
      </c>
      <c r="C14967" s="12" t="str">
        <f ca="1">IFERROR(__xludf.DUMMYFUNCTION("""COMPUTED_VALUE"""),"")</f>
        <v/>
      </c>
      <c r="D14967" s="12" t="str">
        <f ca="1">IFERROR(__xludf.DUMMYFUNCTION("""COMPUTED_VALUE"""),"")</f>
        <v/>
      </c>
    </row>
    <row r="14968" spans="2:4" ht="13">
      <c r="B14968" s="12" t="str">
        <f ca="1">IFERROR(__xludf.DUMMYFUNCTION("""COMPUTED_VALUE"""),"")</f>
        <v/>
      </c>
      <c r="C14968" s="12" t="str">
        <f ca="1">IFERROR(__xludf.DUMMYFUNCTION("""COMPUTED_VALUE"""),"")</f>
        <v/>
      </c>
      <c r="D14968" s="12" t="str">
        <f ca="1">IFERROR(__xludf.DUMMYFUNCTION("""COMPUTED_VALUE"""),"")</f>
        <v/>
      </c>
    </row>
    <row r="14969" spans="2:4" ht="13">
      <c r="B14969" s="12" t="str">
        <f ca="1">IFERROR(__xludf.DUMMYFUNCTION("""COMPUTED_VALUE"""),"")</f>
        <v/>
      </c>
      <c r="C14969" s="12" t="str">
        <f ca="1">IFERROR(__xludf.DUMMYFUNCTION("""COMPUTED_VALUE"""),"")</f>
        <v/>
      </c>
      <c r="D14969" s="12" t="str">
        <f ca="1">IFERROR(__xludf.DUMMYFUNCTION("""COMPUTED_VALUE"""),"")</f>
        <v/>
      </c>
    </row>
    <row r="14970" spans="2:4" ht="13">
      <c r="B14970" s="12" t="str">
        <f ca="1">IFERROR(__xludf.DUMMYFUNCTION("""COMPUTED_VALUE"""),"")</f>
        <v/>
      </c>
      <c r="C14970" s="12" t="str">
        <f ca="1">IFERROR(__xludf.DUMMYFUNCTION("""COMPUTED_VALUE"""),"")</f>
        <v/>
      </c>
      <c r="D14970" s="12" t="str">
        <f ca="1">IFERROR(__xludf.DUMMYFUNCTION("""COMPUTED_VALUE"""),"")</f>
        <v/>
      </c>
    </row>
    <row r="14971" spans="2:4" ht="13">
      <c r="B14971" s="12" t="str">
        <f ca="1">IFERROR(__xludf.DUMMYFUNCTION("""COMPUTED_VALUE"""),"")</f>
        <v/>
      </c>
      <c r="C14971" s="12" t="str">
        <f ca="1">IFERROR(__xludf.DUMMYFUNCTION("""COMPUTED_VALUE"""),"")</f>
        <v/>
      </c>
      <c r="D14971" s="12" t="str">
        <f ca="1">IFERROR(__xludf.DUMMYFUNCTION("""COMPUTED_VALUE"""),"")</f>
        <v/>
      </c>
    </row>
    <row r="14972" spans="2:4" ht="13">
      <c r="B14972" s="12" t="str">
        <f ca="1">IFERROR(__xludf.DUMMYFUNCTION("""COMPUTED_VALUE"""),"")</f>
        <v/>
      </c>
      <c r="C14972" s="12" t="str">
        <f ca="1">IFERROR(__xludf.DUMMYFUNCTION("""COMPUTED_VALUE"""),"")</f>
        <v/>
      </c>
      <c r="D14972" s="12" t="str">
        <f ca="1">IFERROR(__xludf.DUMMYFUNCTION("""COMPUTED_VALUE"""),"")</f>
        <v/>
      </c>
    </row>
    <row r="14973" spans="2:4" ht="13">
      <c r="B14973" s="12" t="str">
        <f ca="1">IFERROR(__xludf.DUMMYFUNCTION("""COMPUTED_VALUE"""),"")</f>
        <v/>
      </c>
      <c r="C14973" s="12" t="str">
        <f ca="1">IFERROR(__xludf.DUMMYFUNCTION("""COMPUTED_VALUE"""),"")</f>
        <v/>
      </c>
      <c r="D14973" s="12" t="str">
        <f ca="1">IFERROR(__xludf.DUMMYFUNCTION("""COMPUTED_VALUE"""),"")</f>
        <v/>
      </c>
    </row>
    <row r="14974" spans="2:4" ht="13">
      <c r="B14974" s="12" t="str">
        <f ca="1">IFERROR(__xludf.DUMMYFUNCTION("""COMPUTED_VALUE"""),"")</f>
        <v/>
      </c>
      <c r="C14974" s="12" t="str">
        <f ca="1">IFERROR(__xludf.DUMMYFUNCTION("""COMPUTED_VALUE"""),"")</f>
        <v/>
      </c>
      <c r="D14974" s="12" t="str">
        <f ca="1">IFERROR(__xludf.DUMMYFUNCTION("""COMPUTED_VALUE"""),"")</f>
        <v/>
      </c>
    </row>
    <row r="14975" spans="2:4" ht="13">
      <c r="B14975" s="12" t="str">
        <f ca="1">IFERROR(__xludf.DUMMYFUNCTION("""COMPUTED_VALUE"""),"")</f>
        <v/>
      </c>
      <c r="C14975" s="12" t="str">
        <f ca="1">IFERROR(__xludf.DUMMYFUNCTION("""COMPUTED_VALUE"""),"")</f>
        <v/>
      </c>
      <c r="D14975" s="12" t="str">
        <f ca="1">IFERROR(__xludf.DUMMYFUNCTION("""COMPUTED_VALUE"""),"")</f>
        <v/>
      </c>
    </row>
    <row r="14976" spans="2:4" ht="13">
      <c r="B14976" s="12" t="str">
        <f ca="1">IFERROR(__xludf.DUMMYFUNCTION("""COMPUTED_VALUE"""),"")</f>
        <v/>
      </c>
      <c r="C14976" s="12" t="str">
        <f ca="1">IFERROR(__xludf.DUMMYFUNCTION("""COMPUTED_VALUE"""),"")</f>
        <v/>
      </c>
      <c r="D14976" s="12" t="str">
        <f ca="1">IFERROR(__xludf.DUMMYFUNCTION("""COMPUTED_VALUE"""),"")</f>
        <v/>
      </c>
    </row>
    <row r="14977" spans="2:4" ht="13">
      <c r="B14977" s="12" t="str">
        <f ca="1">IFERROR(__xludf.DUMMYFUNCTION("""COMPUTED_VALUE"""),"")</f>
        <v/>
      </c>
      <c r="C14977" s="12" t="str">
        <f ca="1">IFERROR(__xludf.DUMMYFUNCTION("""COMPUTED_VALUE"""),"")</f>
        <v/>
      </c>
      <c r="D14977" s="12" t="str">
        <f ca="1">IFERROR(__xludf.DUMMYFUNCTION("""COMPUTED_VALUE"""),"")</f>
        <v/>
      </c>
    </row>
    <row r="14978" spans="2:4" ht="13">
      <c r="B14978" s="12" t="str">
        <f ca="1">IFERROR(__xludf.DUMMYFUNCTION("""COMPUTED_VALUE"""),"")</f>
        <v/>
      </c>
      <c r="C14978" s="12" t="str">
        <f ca="1">IFERROR(__xludf.DUMMYFUNCTION("""COMPUTED_VALUE"""),"")</f>
        <v/>
      </c>
      <c r="D14978" s="12" t="str">
        <f ca="1">IFERROR(__xludf.DUMMYFUNCTION("""COMPUTED_VALUE"""),"")</f>
        <v/>
      </c>
    </row>
    <row r="14979" spans="2:4" ht="13">
      <c r="B14979" s="12" t="str">
        <f ca="1">IFERROR(__xludf.DUMMYFUNCTION("""COMPUTED_VALUE"""),"")</f>
        <v/>
      </c>
      <c r="C14979" s="12" t="str">
        <f ca="1">IFERROR(__xludf.DUMMYFUNCTION("""COMPUTED_VALUE"""),"")</f>
        <v/>
      </c>
      <c r="D14979" s="12" t="str">
        <f ca="1">IFERROR(__xludf.DUMMYFUNCTION("""COMPUTED_VALUE"""),"")</f>
        <v/>
      </c>
    </row>
    <row r="14980" spans="2:4" ht="13">
      <c r="B14980" s="12" t="str">
        <f ca="1">IFERROR(__xludf.DUMMYFUNCTION("""COMPUTED_VALUE"""),"")</f>
        <v/>
      </c>
      <c r="C14980" s="12" t="str">
        <f ca="1">IFERROR(__xludf.DUMMYFUNCTION("""COMPUTED_VALUE"""),"")</f>
        <v/>
      </c>
      <c r="D14980" s="12" t="str">
        <f ca="1">IFERROR(__xludf.DUMMYFUNCTION("""COMPUTED_VALUE"""),"")</f>
        <v/>
      </c>
    </row>
    <row r="14981" spans="2:4" ht="13">
      <c r="B14981" s="12" t="str">
        <f ca="1">IFERROR(__xludf.DUMMYFUNCTION("""COMPUTED_VALUE"""),"")</f>
        <v/>
      </c>
      <c r="C14981" s="12" t="str">
        <f ca="1">IFERROR(__xludf.DUMMYFUNCTION("""COMPUTED_VALUE"""),"")</f>
        <v/>
      </c>
      <c r="D14981" s="12" t="str">
        <f ca="1">IFERROR(__xludf.DUMMYFUNCTION("""COMPUTED_VALUE"""),"")</f>
        <v/>
      </c>
    </row>
    <row r="14982" spans="2:4" ht="13">
      <c r="B14982" s="12" t="str">
        <f ca="1">IFERROR(__xludf.DUMMYFUNCTION("""COMPUTED_VALUE"""),"")</f>
        <v/>
      </c>
      <c r="C14982" s="12" t="str">
        <f ca="1">IFERROR(__xludf.DUMMYFUNCTION("""COMPUTED_VALUE"""),"")</f>
        <v/>
      </c>
      <c r="D14982" s="12" t="str">
        <f ca="1">IFERROR(__xludf.DUMMYFUNCTION("""COMPUTED_VALUE"""),"")</f>
        <v/>
      </c>
    </row>
    <row r="14983" spans="2:4" ht="13">
      <c r="B14983" s="12" t="str">
        <f ca="1">IFERROR(__xludf.DUMMYFUNCTION("""COMPUTED_VALUE"""),"")</f>
        <v/>
      </c>
      <c r="C14983" s="12" t="str">
        <f ca="1">IFERROR(__xludf.DUMMYFUNCTION("""COMPUTED_VALUE"""),"")</f>
        <v/>
      </c>
      <c r="D14983" s="12" t="str">
        <f ca="1">IFERROR(__xludf.DUMMYFUNCTION("""COMPUTED_VALUE"""),"")</f>
        <v/>
      </c>
    </row>
    <row r="14984" spans="2:4" ht="13">
      <c r="B14984" s="12" t="str">
        <f ca="1">IFERROR(__xludf.DUMMYFUNCTION("""COMPUTED_VALUE"""),"")</f>
        <v/>
      </c>
      <c r="C14984" s="12" t="str">
        <f ca="1">IFERROR(__xludf.DUMMYFUNCTION("""COMPUTED_VALUE"""),"")</f>
        <v/>
      </c>
      <c r="D14984" s="12" t="str">
        <f ca="1">IFERROR(__xludf.DUMMYFUNCTION("""COMPUTED_VALUE"""),"")</f>
        <v/>
      </c>
    </row>
    <row r="14985" spans="2:4" ht="13">
      <c r="B14985" s="12" t="str">
        <f ca="1">IFERROR(__xludf.DUMMYFUNCTION("""COMPUTED_VALUE"""),"")</f>
        <v/>
      </c>
      <c r="C14985" s="12" t="str">
        <f ca="1">IFERROR(__xludf.DUMMYFUNCTION("""COMPUTED_VALUE"""),"")</f>
        <v/>
      </c>
      <c r="D14985" s="12" t="str">
        <f ca="1">IFERROR(__xludf.DUMMYFUNCTION("""COMPUTED_VALUE"""),"")</f>
        <v/>
      </c>
    </row>
    <row r="14986" spans="2:4" ht="13">
      <c r="B14986" s="12" t="str">
        <f ca="1">IFERROR(__xludf.DUMMYFUNCTION("""COMPUTED_VALUE"""),"")</f>
        <v/>
      </c>
      <c r="C14986" s="12" t="str">
        <f ca="1">IFERROR(__xludf.DUMMYFUNCTION("""COMPUTED_VALUE"""),"")</f>
        <v/>
      </c>
      <c r="D14986" s="12" t="str">
        <f ca="1">IFERROR(__xludf.DUMMYFUNCTION("""COMPUTED_VALUE"""),"")</f>
        <v/>
      </c>
    </row>
    <row r="14987" spans="2:4" ht="13">
      <c r="B14987" s="12" t="str">
        <f ca="1">IFERROR(__xludf.DUMMYFUNCTION("""COMPUTED_VALUE"""),"")</f>
        <v/>
      </c>
      <c r="C14987" s="12" t="str">
        <f ca="1">IFERROR(__xludf.DUMMYFUNCTION("""COMPUTED_VALUE"""),"")</f>
        <v/>
      </c>
      <c r="D14987" s="12" t="str">
        <f ca="1">IFERROR(__xludf.DUMMYFUNCTION("""COMPUTED_VALUE"""),"")</f>
        <v/>
      </c>
    </row>
    <row r="14988" spans="2:4" ht="13">
      <c r="B14988" s="12" t="str">
        <f ca="1">IFERROR(__xludf.DUMMYFUNCTION("""COMPUTED_VALUE"""),"")</f>
        <v/>
      </c>
      <c r="C14988" s="12" t="str">
        <f ca="1">IFERROR(__xludf.DUMMYFUNCTION("""COMPUTED_VALUE"""),"")</f>
        <v/>
      </c>
      <c r="D14988" s="12" t="str">
        <f ca="1">IFERROR(__xludf.DUMMYFUNCTION("""COMPUTED_VALUE"""),"")</f>
        <v/>
      </c>
    </row>
    <row r="14989" spans="2:4" ht="13">
      <c r="B14989" s="12" t="str">
        <f ca="1">IFERROR(__xludf.DUMMYFUNCTION("""COMPUTED_VALUE"""),"")</f>
        <v/>
      </c>
      <c r="C14989" s="12" t="str">
        <f ca="1">IFERROR(__xludf.DUMMYFUNCTION("""COMPUTED_VALUE"""),"")</f>
        <v/>
      </c>
      <c r="D14989" s="12" t="str">
        <f ca="1">IFERROR(__xludf.DUMMYFUNCTION("""COMPUTED_VALUE"""),"")</f>
        <v/>
      </c>
    </row>
    <row r="14990" spans="2:4" ht="13">
      <c r="B14990" s="12" t="str">
        <f ca="1">IFERROR(__xludf.DUMMYFUNCTION("""COMPUTED_VALUE"""),"")</f>
        <v/>
      </c>
      <c r="C14990" s="12" t="str">
        <f ca="1">IFERROR(__xludf.DUMMYFUNCTION("""COMPUTED_VALUE"""),"")</f>
        <v/>
      </c>
      <c r="D14990" s="12" t="str">
        <f ca="1">IFERROR(__xludf.DUMMYFUNCTION("""COMPUTED_VALUE"""),"")</f>
        <v/>
      </c>
    </row>
    <row r="14991" spans="2:4" ht="13">
      <c r="B14991" s="12" t="str">
        <f ca="1">IFERROR(__xludf.DUMMYFUNCTION("""COMPUTED_VALUE"""),"")</f>
        <v/>
      </c>
      <c r="C14991" s="12" t="str">
        <f ca="1">IFERROR(__xludf.DUMMYFUNCTION("""COMPUTED_VALUE"""),"")</f>
        <v/>
      </c>
      <c r="D14991" s="12" t="str">
        <f ca="1">IFERROR(__xludf.DUMMYFUNCTION("""COMPUTED_VALUE"""),"")</f>
        <v/>
      </c>
    </row>
    <row r="14992" spans="2:4" ht="13">
      <c r="B14992" s="12" t="str">
        <f ca="1">IFERROR(__xludf.DUMMYFUNCTION("""COMPUTED_VALUE"""),"")</f>
        <v/>
      </c>
      <c r="C14992" s="12" t="str">
        <f ca="1">IFERROR(__xludf.DUMMYFUNCTION("""COMPUTED_VALUE"""),"")</f>
        <v/>
      </c>
      <c r="D14992" s="12" t="str">
        <f ca="1">IFERROR(__xludf.DUMMYFUNCTION("""COMPUTED_VALUE"""),"")</f>
        <v/>
      </c>
    </row>
    <row r="14993" spans="2:4" ht="13">
      <c r="B14993" s="12" t="str">
        <f ca="1">IFERROR(__xludf.DUMMYFUNCTION("""COMPUTED_VALUE"""),"")</f>
        <v/>
      </c>
      <c r="C14993" s="12" t="str">
        <f ca="1">IFERROR(__xludf.DUMMYFUNCTION("""COMPUTED_VALUE"""),"")</f>
        <v/>
      </c>
      <c r="D14993" s="12" t="str">
        <f ca="1">IFERROR(__xludf.DUMMYFUNCTION("""COMPUTED_VALUE"""),"")</f>
        <v/>
      </c>
    </row>
    <row r="14994" spans="2:4" ht="13">
      <c r="B14994" s="12" t="str">
        <f ca="1">IFERROR(__xludf.DUMMYFUNCTION("""COMPUTED_VALUE"""),"")</f>
        <v/>
      </c>
      <c r="C14994" s="12" t="str">
        <f ca="1">IFERROR(__xludf.DUMMYFUNCTION("""COMPUTED_VALUE"""),"")</f>
        <v/>
      </c>
      <c r="D14994" s="12" t="str">
        <f ca="1">IFERROR(__xludf.DUMMYFUNCTION("""COMPUTED_VALUE"""),"")</f>
        <v/>
      </c>
    </row>
    <row r="14995" spans="2:4" ht="13">
      <c r="B14995" s="12" t="str">
        <f ca="1">IFERROR(__xludf.DUMMYFUNCTION("""COMPUTED_VALUE"""),"")</f>
        <v/>
      </c>
      <c r="C14995" s="12" t="str">
        <f ca="1">IFERROR(__xludf.DUMMYFUNCTION("""COMPUTED_VALUE"""),"")</f>
        <v/>
      </c>
      <c r="D14995" s="12" t="str">
        <f ca="1">IFERROR(__xludf.DUMMYFUNCTION("""COMPUTED_VALUE"""),"")</f>
        <v/>
      </c>
    </row>
    <row r="14996" spans="2:4" ht="13">
      <c r="B14996" s="12" t="str">
        <f ca="1">IFERROR(__xludf.DUMMYFUNCTION("""COMPUTED_VALUE"""),"")</f>
        <v/>
      </c>
      <c r="C14996" s="12" t="str">
        <f ca="1">IFERROR(__xludf.DUMMYFUNCTION("""COMPUTED_VALUE"""),"")</f>
        <v/>
      </c>
      <c r="D14996" s="12" t="str">
        <f ca="1">IFERROR(__xludf.DUMMYFUNCTION("""COMPUTED_VALUE"""),"")</f>
        <v/>
      </c>
    </row>
    <row r="14997" spans="2:4" ht="13">
      <c r="B14997" s="12" t="str">
        <f ca="1">IFERROR(__xludf.DUMMYFUNCTION("""COMPUTED_VALUE"""),"")</f>
        <v/>
      </c>
      <c r="C14997" s="12" t="str">
        <f ca="1">IFERROR(__xludf.DUMMYFUNCTION("""COMPUTED_VALUE"""),"")</f>
        <v/>
      </c>
      <c r="D14997" s="12" t="str">
        <f ca="1">IFERROR(__xludf.DUMMYFUNCTION("""COMPUTED_VALUE"""),"")</f>
        <v/>
      </c>
    </row>
    <row r="14998" spans="2:4" ht="13">
      <c r="B14998" s="12" t="str">
        <f ca="1">IFERROR(__xludf.DUMMYFUNCTION("""COMPUTED_VALUE"""),"")</f>
        <v/>
      </c>
      <c r="C14998" s="12" t="str">
        <f ca="1">IFERROR(__xludf.DUMMYFUNCTION("""COMPUTED_VALUE"""),"")</f>
        <v/>
      </c>
      <c r="D14998" s="12" t="str">
        <f ca="1">IFERROR(__xludf.DUMMYFUNCTION("""COMPUTED_VALUE"""),"")</f>
        <v/>
      </c>
    </row>
    <row r="14999" spans="2:4" ht="13">
      <c r="B14999" s="12" t="str">
        <f ca="1">IFERROR(__xludf.DUMMYFUNCTION("""COMPUTED_VALUE"""),"")</f>
        <v/>
      </c>
      <c r="C14999" s="12" t="str">
        <f ca="1">IFERROR(__xludf.DUMMYFUNCTION("""COMPUTED_VALUE"""),"")</f>
        <v/>
      </c>
      <c r="D14999" s="12" t="str">
        <f ca="1">IFERROR(__xludf.DUMMYFUNCTION("""COMPUTED_VALUE"""),"")</f>
        <v/>
      </c>
    </row>
    <row r="15000" spans="2:4" ht="13">
      <c r="B15000" s="12" t="str">
        <f ca="1">IFERROR(__xludf.DUMMYFUNCTION("""COMPUTED_VALUE"""),"")</f>
        <v/>
      </c>
      <c r="C15000" s="12" t="str">
        <f ca="1">IFERROR(__xludf.DUMMYFUNCTION("""COMPUTED_VALUE"""),"")</f>
        <v/>
      </c>
      <c r="D15000" s="12" t="str">
        <f ca="1">IFERROR(__xludf.DUMMYFUNCTION("""COMPUTED_VALUE"""),"")</f>
        <v/>
      </c>
    </row>
    <row r="15001" spans="2:4" ht="13">
      <c r="B15001" s="12" t="str">
        <f ca="1">IFERROR(__xludf.DUMMYFUNCTION("""COMPUTED_VALUE"""),"")</f>
        <v/>
      </c>
      <c r="C15001" s="12" t="str">
        <f ca="1">IFERROR(__xludf.DUMMYFUNCTION("""COMPUTED_VALUE"""),"")</f>
        <v/>
      </c>
      <c r="D15001" s="12" t="str">
        <f ca="1">IFERROR(__xludf.DUMMYFUNCTION("""COMPUTED_VALUE"""),"")</f>
        <v/>
      </c>
    </row>
    <row r="15002" spans="2:4" ht="13">
      <c r="B15002" s="12" t="str">
        <f ca="1">IFERROR(__xludf.DUMMYFUNCTION("""COMPUTED_VALUE"""),"")</f>
        <v/>
      </c>
      <c r="C15002" s="12" t="str">
        <f ca="1">IFERROR(__xludf.DUMMYFUNCTION("""COMPUTED_VALUE"""),"")</f>
        <v/>
      </c>
      <c r="D15002" s="12" t="str">
        <f ca="1">IFERROR(__xludf.DUMMYFUNCTION("""COMPUTED_VALUE"""),"")</f>
        <v/>
      </c>
    </row>
    <row r="15003" spans="2:4" ht="13">
      <c r="B15003" s="12" t="str">
        <f ca="1">IFERROR(__xludf.DUMMYFUNCTION("""COMPUTED_VALUE"""),"")</f>
        <v/>
      </c>
      <c r="C15003" s="12" t="str">
        <f ca="1">IFERROR(__xludf.DUMMYFUNCTION("""COMPUTED_VALUE"""),"")</f>
        <v/>
      </c>
      <c r="D15003" s="12" t="str">
        <f ca="1">IFERROR(__xludf.DUMMYFUNCTION("""COMPUTED_VALUE"""),"")</f>
        <v/>
      </c>
    </row>
    <row r="15004" spans="2:4" ht="13">
      <c r="B15004" s="12" t="str">
        <f ca="1">IFERROR(__xludf.DUMMYFUNCTION("""COMPUTED_VALUE"""),"")</f>
        <v/>
      </c>
      <c r="C15004" s="12" t="str">
        <f ca="1">IFERROR(__xludf.DUMMYFUNCTION("""COMPUTED_VALUE"""),"")</f>
        <v/>
      </c>
      <c r="D15004" s="12" t="str">
        <f ca="1">IFERROR(__xludf.DUMMYFUNCTION("""COMPUTED_VALUE"""),"")</f>
        <v/>
      </c>
    </row>
    <row r="15005" spans="2:4" ht="13">
      <c r="B15005" s="12" t="str">
        <f ca="1">IFERROR(__xludf.DUMMYFUNCTION("""COMPUTED_VALUE"""),"")</f>
        <v/>
      </c>
      <c r="C15005" s="12" t="str">
        <f ca="1">IFERROR(__xludf.DUMMYFUNCTION("""COMPUTED_VALUE"""),"")</f>
        <v/>
      </c>
      <c r="D15005" s="12" t="str">
        <f ca="1">IFERROR(__xludf.DUMMYFUNCTION("""COMPUTED_VALUE"""),"")</f>
        <v/>
      </c>
    </row>
    <row r="15006" spans="2:4" ht="13">
      <c r="B15006" s="12" t="str">
        <f ca="1">IFERROR(__xludf.DUMMYFUNCTION("""COMPUTED_VALUE"""),"")</f>
        <v/>
      </c>
      <c r="C15006" s="12" t="str">
        <f ca="1">IFERROR(__xludf.DUMMYFUNCTION("""COMPUTED_VALUE"""),"")</f>
        <v/>
      </c>
      <c r="D15006" s="12" t="str">
        <f ca="1">IFERROR(__xludf.DUMMYFUNCTION("""COMPUTED_VALUE"""),"")</f>
        <v/>
      </c>
    </row>
    <row r="15007" spans="2:4" ht="13">
      <c r="B15007" s="12" t="str">
        <f ca="1">IFERROR(__xludf.DUMMYFUNCTION("""COMPUTED_VALUE"""),"")</f>
        <v/>
      </c>
      <c r="C15007" s="12" t="str">
        <f ca="1">IFERROR(__xludf.DUMMYFUNCTION("""COMPUTED_VALUE"""),"")</f>
        <v/>
      </c>
      <c r="D15007" s="12" t="str">
        <f ca="1">IFERROR(__xludf.DUMMYFUNCTION("""COMPUTED_VALUE"""),"")</f>
        <v/>
      </c>
    </row>
    <row r="15008" spans="2:4" ht="13">
      <c r="B15008" s="12" t="str">
        <f ca="1">IFERROR(__xludf.DUMMYFUNCTION("""COMPUTED_VALUE"""),"")</f>
        <v/>
      </c>
      <c r="C15008" s="12" t="str">
        <f ca="1">IFERROR(__xludf.DUMMYFUNCTION("""COMPUTED_VALUE"""),"")</f>
        <v/>
      </c>
      <c r="D15008" s="12" t="str">
        <f ca="1">IFERROR(__xludf.DUMMYFUNCTION("""COMPUTED_VALUE"""),"")</f>
        <v/>
      </c>
    </row>
    <row r="15009" spans="2:4" ht="13">
      <c r="B15009" s="12" t="str">
        <f ca="1">IFERROR(__xludf.DUMMYFUNCTION("""COMPUTED_VALUE"""),"")</f>
        <v/>
      </c>
      <c r="C15009" s="12" t="str">
        <f ca="1">IFERROR(__xludf.DUMMYFUNCTION("""COMPUTED_VALUE"""),"")</f>
        <v/>
      </c>
      <c r="D15009" s="12" t="str">
        <f ca="1">IFERROR(__xludf.DUMMYFUNCTION("""COMPUTED_VALUE"""),"")</f>
        <v/>
      </c>
    </row>
    <row r="15010" spans="2:4" ht="13">
      <c r="B15010" s="12" t="str">
        <f ca="1">IFERROR(__xludf.DUMMYFUNCTION("""COMPUTED_VALUE"""),"")</f>
        <v/>
      </c>
      <c r="C15010" s="12" t="str">
        <f ca="1">IFERROR(__xludf.DUMMYFUNCTION("""COMPUTED_VALUE"""),"")</f>
        <v/>
      </c>
      <c r="D15010" s="12" t="str">
        <f ca="1">IFERROR(__xludf.DUMMYFUNCTION("""COMPUTED_VALUE"""),"")</f>
        <v/>
      </c>
    </row>
    <row r="15011" spans="2:4" ht="13">
      <c r="B15011" s="12" t="str">
        <f ca="1">IFERROR(__xludf.DUMMYFUNCTION("""COMPUTED_VALUE"""),"")</f>
        <v/>
      </c>
      <c r="C15011" s="12" t="str">
        <f ca="1">IFERROR(__xludf.DUMMYFUNCTION("""COMPUTED_VALUE"""),"")</f>
        <v/>
      </c>
      <c r="D15011" s="12" t="str">
        <f ca="1">IFERROR(__xludf.DUMMYFUNCTION("""COMPUTED_VALUE"""),"")</f>
        <v/>
      </c>
    </row>
    <row r="15012" spans="2:4" ht="13">
      <c r="B15012" s="12" t="str">
        <f ca="1">IFERROR(__xludf.DUMMYFUNCTION("""COMPUTED_VALUE"""),"")</f>
        <v/>
      </c>
      <c r="C15012" s="12" t="str">
        <f ca="1">IFERROR(__xludf.DUMMYFUNCTION("""COMPUTED_VALUE"""),"")</f>
        <v/>
      </c>
      <c r="D15012" s="12" t="str">
        <f ca="1">IFERROR(__xludf.DUMMYFUNCTION("""COMPUTED_VALUE"""),"")</f>
        <v/>
      </c>
    </row>
    <row r="15013" spans="2:4" ht="13">
      <c r="B15013" s="12" t="str">
        <f ca="1">IFERROR(__xludf.DUMMYFUNCTION("""COMPUTED_VALUE"""),"")</f>
        <v/>
      </c>
      <c r="C15013" s="12" t="str">
        <f ca="1">IFERROR(__xludf.DUMMYFUNCTION("""COMPUTED_VALUE"""),"")</f>
        <v/>
      </c>
      <c r="D15013" s="12" t="str">
        <f ca="1">IFERROR(__xludf.DUMMYFUNCTION("""COMPUTED_VALUE"""),"")</f>
        <v/>
      </c>
    </row>
    <row r="15014" spans="2:4" ht="13">
      <c r="B15014" s="12" t="str">
        <f ca="1">IFERROR(__xludf.DUMMYFUNCTION("""COMPUTED_VALUE"""),"")</f>
        <v/>
      </c>
      <c r="C15014" s="12" t="str">
        <f ca="1">IFERROR(__xludf.DUMMYFUNCTION("""COMPUTED_VALUE"""),"")</f>
        <v/>
      </c>
      <c r="D15014" s="12" t="str">
        <f ca="1">IFERROR(__xludf.DUMMYFUNCTION("""COMPUTED_VALUE"""),"")</f>
        <v/>
      </c>
    </row>
    <row r="15015" spans="2:4" ht="13">
      <c r="B15015" s="12" t="str">
        <f ca="1">IFERROR(__xludf.DUMMYFUNCTION("""COMPUTED_VALUE"""),"")</f>
        <v/>
      </c>
      <c r="C15015" s="12" t="str">
        <f ca="1">IFERROR(__xludf.DUMMYFUNCTION("""COMPUTED_VALUE"""),"")</f>
        <v/>
      </c>
      <c r="D15015" s="12" t="str">
        <f ca="1">IFERROR(__xludf.DUMMYFUNCTION("""COMPUTED_VALUE"""),"")</f>
        <v/>
      </c>
    </row>
    <row r="15016" spans="2:4" ht="13">
      <c r="B15016" s="12" t="str">
        <f ca="1">IFERROR(__xludf.DUMMYFUNCTION("""COMPUTED_VALUE"""),"")</f>
        <v/>
      </c>
      <c r="C15016" s="12" t="str">
        <f ca="1">IFERROR(__xludf.DUMMYFUNCTION("""COMPUTED_VALUE"""),"")</f>
        <v/>
      </c>
      <c r="D15016" s="12" t="str">
        <f ca="1">IFERROR(__xludf.DUMMYFUNCTION("""COMPUTED_VALUE"""),"")</f>
        <v/>
      </c>
    </row>
    <row r="15017" spans="2:4" ht="13">
      <c r="B15017" s="12" t="str">
        <f ca="1">IFERROR(__xludf.DUMMYFUNCTION("""COMPUTED_VALUE"""),"")</f>
        <v/>
      </c>
      <c r="C15017" s="12" t="str">
        <f ca="1">IFERROR(__xludf.DUMMYFUNCTION("""COMPUTED_VALUE"""),"")</f>
        <v/>
      </c>
      <c r="D15017" s="12" t="str">
        <f ca="1">IFERROR(__xludf.DUMMYFUNCTION("""COMPUTED_VALUE"""),"")</f>
        <v/>
      </c>
    </row>
    <row r="15018" spans="2:4" ht="13">
      <c r="B15018" s="12" t="str">
        <f ca="1">IFERROR(__xludf.DUMMYFUNCTION("""COMPUTED_VALUE"""),"")</f>
        <v/>
      </c>
      <c r="C15018" s="12" t="str">
        <f ca="1">IFERROR(__xludf.DUMMYFUNCTION("""COMPUTED_VALUE"""),"")</f>
        <v/>
      </c>
      <c r="D15018" s="12" t="str">
        <f ca="1">IFERROR(__xludf.DUMMYFUNCTION("""COMPUTED_VALUE"""),"")</f>
        <v/>
      </c>
    </row>
    <row r="15019" spans="2:4" ht="13">
      <c r="B15019" s="12" t="str">
        <f ca="1">IFERROR(__xludf.DUMMYFUNCTION("""COMPUTED_VALUE"""),"")</f>
        <v/>
      </c>
      <c r="C15019" s="12" t="str">
        <f ca="1">IFERROR(__xludf.DUMMYFUNCTION("""COMPUTED_VALUE"""),"")</f>
        <v/>
      </c>
      <c r="D15019" s="12" t="str">
        <f ca="1">IFERROR(__xludf.DUMMYFUNCTION("""COMPUTED_VALUE"""),"")</f>
        <v/>
      </c>
    </row>
    <row r="15020" spans="2:4" ht="13">
      <c r="B15020" s="12" t="str">
        <f ca="1">IFERROR(__xludf.DUMMYFUNCTION("""COMPUTED_VALUE"""),"")</f>
        <v/>
      </c>
      <c r="C15020" s="12" t="str">
        <f ca="1">IFERROR(__xludf.DUMMYFUNCTION("""COMPUTED_VALUE"""),"")</f>
        <v/>
      </c>
      <c r="D15020" s="12" t="str">
        <f ca="1">IFERROR(__xludf.DUMMYFUNCTION("""COMPUTED_VALUE"""),"")</f>
        <v/>
      </c>
    </row>
    <row r="15021" spans="2:4" ht="13">
      <c r="B15021" s="12" t="str">
        <f ca="1">IFERROR(__xludf.DUMMYFUNCTION("""COMPUTED_VALUE"""),"")</f>
        <v/>
      </c>
      <c r="C15021" s="12" t="str">
        <f ca="1">IFERROR(__xludf.DUMMYFUNCTION("""COMPUTED_VALUE"""),"")</f>
        <v/>
      </c>
      <c r="D15021" s="12" t="str">
        <f ca="1">IFERROR(__xludf.DUMMYFUNCTION("""COMPUTED_VALUE"""),"")</f>
        <v/>
      </c>
    </row>
    <row r="15022" spans="2:4" ht="13">
      <c r="B15022" s="12" t="str">
        <f ca="1">IFERROR(__xludf.DUMMYFUNCTION("""COMPUTED_VALUE"""),"")</f>
        <v/>
      </c>
      <c r="C15022" s="12" t="str">
        <f ca="1">IFERROR(__xludf.DUMMYFUNCTION("""COMPUTED_VALUE"""),"")</f>
        <v/>
      </c>
      <c r="D15022" s="12" t="str">
        <f ca="1">IFERROR(__xludf.DUMMYFUNCTION("""COMPUTED_VALUE"""),"")</f>
        <v/>
      </c>
    </row>
    <row r="15023" spans="2:4" ht="13">
      <c r="B15023" s="12" t="str">
        <f ca="1">IFERROR(__xludf.DUMMYFUNCTION("""COMPUTED_VALUE"""),"")</f>
        <v/>
      </c>
      <c r="C15023" s="12" t="str">
        <f ca="1">IFERROR(__xludf.DUMMYFUNCTION("""COMPUTED_VALUE"""),"")</f>
        <v/>
      </c>
      <c r="D15023" s="12" t="str">
        <f ca="1">IFERROR(__xludf.DUMMYFUNCTION("""COMPUTED_VALUE"""),"")</f>
        <v/>
      </c>
    </row>
    <row r="15024" spans="2:4" ht="13">
      <c r="B15024" s="12" t="str">
        <f ca="1">IFERROR(__xludf.DUMMYFUNCTION("""COMPUTED_VALUE"""),"")</f>
        <v/>
      </c>
      <c r="C15024" s="12" t="str">
        <f ca="1">IFERROR(__xludf.DUMMYFUNCTION("""COMPUTED_VALUE"""),"")</f>
        <v/>
      </c>
      <c r="D15024" s="12" t="str">
        <f ca="1">IFERROR(__xludf.DUMMYFUNCTION("""COMPUTED_VALUE"""),"")</f>
        <v/>
      </c>
    </row>
    <row r="15025" spans="2:4" ht="13">
      <c r="B15025" s="12" t="str">
        <f ca="1">IFERROR(__xludf.DUMMYFUNCTION("""COMPUTED_VALUE"""),"")</f>
        <v/>
      </c>
      <c r="C15025" s="12" t="str">
        <f ca="1">IFERROR(__xludf.DUMMYFUNCTION("""COMPUTED_VALUE"""),"")</f>
        <v/>
      </c>
      <c r="D15025" s="12" t="str">
        <f ca="1">IFERROR(__xludf.DUMMYFUNCTION("""COMPUTED_VALUE"""),"")</f>
        <v/>
      </c>
    </row>
    <row r="15026" spans="2:4" ht="13">
      <c r="B15026" s="12" t="str">
        <f ca="1">IFERROR(__xludf.DUMMYFUNCTION("""COMPUTED_VALUE"""),"")</f>
        <v/>
      </c>
      <c r="C15026" s="12" t="str">
        <f ca="1">IFERROR(__xludf.DUMMYFUNCTION("""COMPUTED_VALUE"""),"")</f>
        <v/>
      </c>
      <c r="D15026" s="12" t="str">
        <f ca="1">IFERROR(__xludf.DUMMYFUNCTION("""COMPUTED_VALUE"""),"")</f>
        <v/>
      </c>
    </row>
    <row r="15027" spans="2:4" ht="13">
      <c r="B15027" s="12" t="str">
        <f ca="1">IFERROR(__xludf.DUMMYFUNCTION("""COMPUTED_VALUE"""),"")</f>
        <v/>
      </c>
      <c r="C15027" s="12" t="str">
        <f ca="1">IFERROR(__xludf.DUMMYFUNCTION("""COMPUTED_VALUE"""),"")</f>
        <v/>
      </c>
      <c r="D15027" s="12" t="str">
        <f ca="1">IFERROR(__xludf.DUMMYFUNCTION("""COMPUTED_VALUE"""),"")</f>
        <v/>
      </c>
    </row>
    <row r="15028" spans="2:4" ht="13">
      <c r="B15028" s="12" t="str">
        <f ca="1">IFERROR(__xludf.DUMMYFUNCTION("""COMPUTED_VALUE"""),"")</f>
        <v/>
      </c>
      <c r="C15028" s="12" t="str">
        <f ca="1">IFERROR(__xludf.DUMMYFUNCTION("""COMPUTED_VALUE"""),"")</f>
        <v/>
      </c>
      <c r="D15028" s="12" t="str">
        <f ca="1">IFERROR(__xludf.DUMMYFUNCTION("""COMPUTED_VALUE"""),"")</f>
        <v/>
      </c>
    </row>
    <row r="15029" spans="2:4" ht="13">
      <c r="B15029" s="12" t="str">
        <f ca="1">IFERROR(__xludf.DUMMYFUNCTION("""COMPUTED_VALUE"""),"")</f>
        <v/>
      </c>
      <c r="C15029" s="12" t="str">
        <f ca="1">IFERROR(__xludf.DUMMYFUNCTION("""COMPUTED_VALUE"""),"")</f>
        <v/>
      </c>
      <c r="D15029" s="12" t="str">
        <f ca="1">IFERROR(__xludf.DUMMYFUNCTION("""COMPUTED_VALUE"""),"")</f>
        <v/>
      </c>
    </row>
    <row r="15030" spans="2:4" ht="13">
      <c r="B15030" s="12" t="str">
        <f ca="1">IFERROR(__xludf.DUMMYFUNCTION("""COMPUTED_VALUE"""),"")</f>
        <v/>
      </c>
      <c r="C15030" s="12" t="str">
        <f ca="1">IFERROR(__xludf.DUMMYFUNCTION("""COMPUTED_VALUE"""),"")</f>
        <v/>
      </c>
      <c r="D15030" s="12" t="str">
        <f ca="1">IFERROR(__xludf.DUMMYFUNCTION("""COMPUTED_VALUE"""),"")</f>
        <v/>
      </c>
    </row>
    <row r="15031" spans="2:4" ht="13">
      <c r="B15031" s="12" t="str">
        <f ca="1">IFERROR(__xludf.DUMMYFUNCTION("""COMPUTED_VALUE"""),"")</f>
        <v/>
      </c>
      <c r="C15031" s="12" t="str">
        <f ca="1">IFERROR(__xludf.DUMMYFUNCTION("""COMPUTED_VALUE"""),"")</f>
        <v/>
      </c>
      <c r="D15031" s="12" t="str">
        <f ca="1">IFERROR(__xludf.DUMMYFUNCTION("""COMPUTED_VALUE"""),"")</f>
        <v/>
      </c>
    </row>
    <row r="15032" spans="2:4" ht="13">
      <c r="B15032" s="12" t="str">
        <f ca="1">IFERROR(__xludf.DUMMYFUNCTION("""COMPUTED_VALUE"""),"")</f>
        <v/>
      </c>
      <c r="C15032" s="12" t="str">
        <f ca="1">IFERROR(__xludf.DUMMYFUNCTION("""COMPUTED_VALUE"""),"")</f>
        <v/>
      </c>
      <c r="D15032" s="12" t="str">
        <f ca="1">IFERROR(__xludf.DUMMYFUNCTION("""COMPUTED_VALUE"""),"")</f>
        <v/>
      </c>
    </row>
    <row r="15033" spans="2:4" ht="13">
      <c r="B15033" s="12" t="str">
        <f ca="1">IFERROR(__xludf.DUMMYFUNCTION("""COMPUTED_VALUE"""),"")</f>
        <v/>
      </c>
      <c r="C15033" s="12" t="str">
        <f ca="1">IFERROR(__xludf.DUMMYFUNCTION("""COMPUTED_VALUE"""),"")</f>
        <v/>
      </c>
      <c r="D15033" s="12" t="str">
        <f ca="1">IFERROR(__xludf.DUMMYFUNCTION("""COMPUTED_VALUE"""),"")</f>
        <v/>
      </c>
    </row>
    <row r="15034" spans="2:4" ht="13">
      <c r="B15034" s="12" t="str">
        <f ca="1">IFERROR(__xludf.DUMMYFUNCTION("""COMPUTED_VALUE"""),"")</f>
        <v/>
      </c>
      <c r="C15034" s="12" t="str">
        <f ca="1">IFERROR(__xludf.DUMMYFUNCTION("""COMPUTED_VALUE"""),"")</f>
        <v/>
      </c>
      <c r="D15034" s="12" t="str">
        <f ca="1">IFERROR(__xludf.DUMMYFUNCTION("""COMPUTED_VALUE"""),"")</f>
        <v/>
      </c>
    </row>
    <row r="15035" spans="2:4" ht="13">
      <c r="B15035" s="12" t="str">
        <f ca="1">IFERROR(__xludf.DUMMYFUNCTION("""COMPUTED_VALUE"""),"")</f>
        <v/>
      </c>
      <c r="C15035" s="12" t="str">
        <f ca="1">IFERROR(__xludf.DUMMYFUNCTION("""COMPUTED_VALUE"""),"")</f>
        <v/>
      </c>
      <c r="D15035" s="12" t="str">
        <f ca="1">IFERROR(__xludf.DUMMYFUNCTION("""COMPUTED_VALUE"""),"")</f>
        <v/>
      </c>
    </row>
    <row r="15036" spans="2:4" ht="13">
      <c r="B15036" s="12" t="str">
        <f ca="1">IFERROR(__xludf.DUMMYFUNCTION("""COMPUTED_VALUE"""),"")</f>
        <v/>
      </c>
      <c r="C15036" s="12" t="str">
        <f ca="1">IFERROR(__xludf.DUMMYFUNCTION("""COMPUTED_VALUE"""),"")</f>
        <v/>
      </c>
      <c r="D15036" s="12" t="str">
        <f ca="1">IFERROR(__xludf.DUMMYFUNCTION("""COMPUTED_VALUE"""),"")</f>
        <v/>
      </c>
    </row>
    <row r="15037" spans="2:4" ht="13">
      <c r="B15037" s="12" t="str">
        <f ca="1">IFERROR(__xludf.DUMMYFUNCTION("""COMPUTED_VALUE"""),"")</f>
        <v/>
      </c>
      <c r="C15037" s="12" t="str">
        <f ca="1">IFERROR(__xludf.DUMMYFUNCTION("""COMPUTED_VALUE"""),"")</f>
        <v/>
      </c>
      <c r="D15037" s="12" t="str">
        <f ca="1">IFERROR(__xludf.DUMMYFUNCTION("""COMPUTED_VALUE"""),"")</f>
        <v/>
      </c>
    </row>
    <row r="15038" spans="2:4" ht="13">
      <c r="B15038" s="12" t="str">
        <f ca="1">IFERROR(__xludf.DUMMYFUNCTION("""COMPUTED_VALUE"""),"")</f>
        <v/>
      </c>
      <c r="C15038" s="12" t="str">
        <f ca="1">IFERROR(__xludf.DUMMYFUNCTION("""COMPUTED_VALUE"""),"")</f>
        <v/>
      </c>
      <c r="D15038" s="12" t="str">
        <f ca="1">IFERROR(__xludf.DUMMYFUNCTION("""COMPUTED_VALUE"""),"")</f>
        <v/>
      </c>
    </row>
    <row r="15039" spans="2:4" ht="13">
      <c r="B15039" s="12" t="str">
        <f ca="1">IFERROR(__xludf.DUMMYFUNCTION("""COMPUTED_VALUE"""),"")</f>
        <v/>
      </c>
      <c r="C15039" s="12" t="str">
        <f ca="1">IFERROR(__xludf.DUMMYFUNCTION("""COMPUTED_VALUE"""),"")</f>
        <v/>
      </c>
      <c r="D15039" s="12" t="str">
        <f ca="1">IFERROR(__xludf.DUMMYFUNCTION("""COMPUTED_VALUE"""),"")</f>
        <v/>
      </c>
    </row>
    <row r="15040" spans="2:4" ht="13">
      <c r="B15040" s="12" t="str">
        <f ca="1">IFERROR(__xludf.DUMMYFUNCTION("""COMPUTED_VALUE"""),"")</f>
        <v/>
      </c>
      <c r="C15040" s="12" t="str">
        <f ca="1">IFERROR(__xludf.DUMMYFUNCTION("""COMPUTED_VALUE"""),"")</f>
        <v/>
      </c>
      <c r="D15040" s="12" t="str">
        <f ca="1">IFERROR(__xludf.DUMMYFUNCTION("""COMPUTED_VALUE"""),"")</f>
        <v/>
      </c>
    </row>
    <row r="15041" spans="2:4" ht="13">
      <c r="B15041" s="12" t="str">
        <f ca="1">IFERROR(__xludf.DUMMYFUNCTION("""COMPUTED_VALUE"""),"")</f>
        <v/>
      </c>
      <c r="C15041" s="12" t="str">
        <f ca="1">IFERROR(__xludf.DUMMYFUNCTION("""COMPUTED_VALUE"""),"")</f>
        <v/>
      </c>
      <c r="D15041" s="12" t="str">
        <f ca="1">IFERROR(__xludf.DUMMYFUNCTION("""COMPUTED_VALUE"""),"")</f>
        <v/>
      </c>
    </row>
    <row r="15042" spans="2:4" ht="13">
      <c r="B15042" s="12" t="str">
        <f ca="1">IFERROR(__xludf.DUMMYFUNCTION("""COMPUTED_VALUE"""),"")</f>
        <v/>
      </c>
      <c r="C15042" s="12" t="str">
        <f ca="1">IFERROR(__xludf.DUMMYFUNCTION("""COMPUTED_VALUE"""),"")</f>
        <v/>
      </c>
      <c r="D15042" s="12" t="str">
        <f ca="1">IFERROR(__xludf.DUMMYFUNCTION("""COMPUTED_VALUE"""),"")</f>
        <v/>
      </c>
    </row>
    <row r="15043" spans="2:4" ht="13">
      <c r="B15043" s="12" t="str">
        <f ca="1">IFERROR(__xludf.DUMMYFUNCTION("""COMPUTED_VALUE"""),"")</f>
        <v/>
      </c>
      <c r="C15043" s="12" t="str">
        <f ca="1">IFERROR(__xludf.DUMMYFUNCTION("""COMPUTED_VALUE"""),"")</f>
        <v/>
      </c>
      <c r="D15043" s="12" t="str">
        <f ca="1">IFERROR(__xludf.DUMMYFUNCTION("""COMPUTED_VALUE"""),"")</f>
        <v/>
      </c>
    </row>
    <row r="15044" spans="2:4" ht="13">
      <c r="B15044" s="12" t="str">
        <f ca="1">IFERROR(__xludf.DUMMYFUNCTION("""COMPUTED_VALUE"""),"")</f>
        <v/>
      </c>
      <c r="C15044" s="12" t="str">
        <f ca="1">IFERROR(__xludf.DUMMYFUNCTION("""COMPUTED_VALUE"""),"")</f>
        <v/>
      </c>
      <c r="D15044" s="12" t="str">
        <f ca="1">IFERROR(__xludf.DUMMYFUNCTION("""COMPUTED_VALUE"""),"")</f>
        <v/>
      </c>
    </row>
    <row r="15045" spans="2:4" ht="13">
      <c r="B15045" s="12" t="str">
        <f ca="1">IFERROR(__xludf.DUMMYFUNCTION("""COMPUTED_VALUE"""),"")</f>
        <v/>
      </c>
      <c r="C15045" s="12" t="str">
        <f ca="1">IFERROR(__xludf.DUMMYFUNCTION("""COMPUTED_VALUE"""),"")</f>
        <v/>
      </c>
      <c r="D15045" s="12" t="str">
        <f ca="1">IFERROR(__xludf.DUMMYFUNCTION("""COMPUTED_VALUE"""),"")</f>
        <v/>
      </c>
    </row>
    <row r="15046" spans="2:4" ht="13">
      <c r="B15046" s="12" t="str">
        <f ca="1">IFERROR(__xludf.DUMMYFUNCTION("""COMPUTED_VALUE"""),"")</f>
        <v/>
      </c>
      <c r="C15046" s="12" t="str">
        <f ca="1">IFERROR(__xludf.DUMMYFUNCTION("""COMPUTED_VALUE"""),"")</f>
        <v/>
      </c>
      <c r="D15046" s="12" t="str">
        <f ca="1">IFERROR(__xludf.DUMMYFUNCTION("""COMPUTED_VALUE"""),"")</f>
        <v/>
      </c>
    </row>
    <row r="15047" spans="2:4" ht="13">
      <c r="B15047" s="12" t="str">
        <f ca="1">IFERROR(__xludf.DUMMYFUNCTION("""COMPUTED_VALUE"""),"")</f>
        <v/>
      </c>
      <c r="C15047" s="12" t="str">
        <f ca="1">IFERROR(__xludf.DUMMYFUNCTION("""COMPUTED_VALUE"""),"")</f>
        <v/>
      </c>
      <c r="D15047" s="12" t="str">
        <f ca="1">IFERROR(__xludf.DUMMYFUNCTION("""COMPUTED_VALUE"""),"")</f>
        <v/>
      </c>
    </row>
    <row r="15048" spans="2:4" ht="13">
      <c r="B15048" s="12" t="str">
        <f ca="1">IFERROR(__xludf.DUMMYFUNCTION("""COMPUTED_VALUE"""),"")</f>
        <v/>
      </c>
      <c r="C15048" s="12" t="str">
        <f ca="1">IFERROR(__xludf.DUMMYFUNCTION("""COMPUTED_VALUE"""),"")</f>
        <v/>
      </c>
      <c r="D15048" s="12" t="str">
        <f ca="1">IFERROR(__xludf.DUMMYFUNCTION("""COMPUTED_VALUE"""),"")</f>
        <v/>
      </c>
    </row>
    <row r="15049" spans="2:4" ht="13">
      <c r="B15049" s="12" t="str">
        <f ca="1">IFERROR(__xludf.DUMMYFUNCTION("""COMPUTED_VALUE"""),"")</f>
        <v/>
      </c>
      <c r="C15049" s="12" t="str">
        <f ca="1">IFERROR(__xludf.DUMMYFUNCTION("""COMPUTED_VALUE"""),"")</f>
        <v/>
      </c>
      <c r="D15049" s="12" t="str">
        <f ca="1">IFERROR(__xludf.DUMMYFUNCTION("""COMPUTED_VALUE"""),"")</f>
        <v/>
      </c>
    </row>
    <row r="15050" spans="2:4" ht="13">
      <c r="B15050" s="12" t="str">
        <f ca="1">IFERROR(__xludf.DUMMYFUNCTION("""COMPUTED_VALUE"""),"")</f>
        <v/>
      </c>
      <c r="C15050" s="12" t="str">
        <f ca="1">IFERROR(__xludf.DUMMYFUNCTION("""COMPUTED_VALUE"""),"")</f>
        <v/>
      </c>
      <c r="D15050" s="12" t="str">
        <f ca="1">IFERROR(__xludf.DUMMYFUNCTION("""COMPUTED_VALUE"""),"")</f>
        <v/>
      </c>
    </row>
    <row r="15051" spans="2:4" ht="13">
      <c r="B15051" s="12" t="str">
        <f ca="1">IFERROR(__xludf.DUMMYFUNCTION("""COMPUTED_VALUE"""),"")</f>
        <v/>
      </c>
      <c r="C15051" s="12" t="str">
        <f ca="1">IFERROR(__xludf.DUMMYFUNCTION("""COMPUTED_VALUE"""),"")</f>
        <v/>
      </c>
      <c r="D15051" s="12" t="str">
        <f ca="1">IFERROR(__xludf.DUMMYFUNCTION("""COMPUTED_VALUE"""),"")</f>
        <v/>
      </c>
    </row>
    <row r="15052" spans="2:4" ht="13">
      <c r="B15052" s="12" t="str">
        <f ca="1">IFERROR(__xludf.DUMMYFUNCTION("""COMPUTED_VALUE"""),"")</f>
        <v/>
      </c>
      <c r="C15052" s="12" t="str">
        <f ca="1">IFERROR(__xludf.DUMMYFUNCTION("""COMPUTED_VALUE"""),"")</f>
        <v/>
      </c>
      <c r="D15052" s="12" t="str">
        <f ca="1">IFERROR(__xludf.DUMMYFUNCTION("""COMPUTED_VALUE"""),"")</f>
        <v/>
      </c>
    </row>
    <row r="15053" spans="2:4" ht="13">
      <c r="B15053" s="12" t="str">
        <f ca="1">IFERROR(__xludf.DUMMYFUNCTION("""COMPUTED_VALUE"""),"")</f>
        <v/>
      </c>
      <c r="C15053" s="12" t="str">
        <f ca="1">IFERROR(__xludf.DUMMYFUNCTION("""COMPUTED_VALUE"""),"")</f>
        <v/>
      </c>
      <c r="D15053" s="12" t="str">
        <f ca="1">IFERROR(__xludf.DUMMYFUNCTION("""COMPUTED_VALUE"""),"")</f>
        <v/>
      </c>
    </row>
    <row r="15054" spans="2:4" ht="13">
      <c r="B15054" s="12" t="str">
        <f ca="1">IFERROR(__xludf.DUMMYFUNCTION("""COMPUTED_VALUE"""),"")</f>
        <v/>
      </c>
      <c r="C15054" s="12" t="str">
        <f ca="1">IFERROR(__xludf.DUMMYFUNCTION("""COMPUTED_VALUE"""),"")</f>
        <v/>
      </c>
      <c r="D15054" s="12" t="str">
        <f ca="1">IFERROR(__xludf.DUMMYFUNCTION("""COMPUTED_VALUE"""),"")</f>
        <v/>
      </c>
    </row>
    <row r="15055" spans="2:4" ht="13">
      <c r="B15055" s="12" t="str">
        <f ca="1">IFERROR(__xludf.DUMMYFUNCTION("""COMPUTED_VALUE"""),"")</f>
        <v/>
      </c>
      <c r="C15055" s="12" t="str">
        <f ca="1">IFERROR(__xludf.DUMMYFUNCTION("""COMPUTED_VALUE"""),"")</f>
        <v/>
      </c>
      <c r="D15055" s="12" t="str">
        <f ca="1">IFERROR(__xludf.DUMMYFUNCTION("""COMPUTED_VALUE"""),"")</f>
        <v/>
      </c>
    </row>
    <row r="15056" spans="2:4" ht="13">
      <c r="B15056" s="12" t="str">
        <f ca="1">IFERROR(__xludf.DUMMYFUNCTION("""COMPUTED_VALUE"""),"")</f>
        <v/>
      </c>
      <c r="C15056" s="12" t="str">
        <f ca="1">IFERROR(__xludf.DUMMYFUNCTION("""COMPUTED_VALUE"""),"")</f>
        <v/>
      </c>
      <c r="D15056" s="12" t="str">
        <f ca="1">IFERROR(__xludf.DUMMYFUNCTION("""COMPUTED_VALUE"""),"")</f>
        <v/>
      </c>
    </row>
    <row r="15057" spans="2:4" ht="13">
      <c r="B15057" s="12" t="str">
        <f ca="1">IFERROR(__xludf.DUMMYFUNCTION("""COMPUTED_VALUE"""),"")</f>
        <v/>
      </c>
      <c r="C15057" s="12" t="str">
        <f ca="1">IFERROR(__xludf.DUMMYFUNCTION("""COMPUTED_VALUE"""),"")</f>
        <v/>
      </c>
      <c r="D15057" s="12" t="str">
        <f ca="1">IFERROR(__xludf.DUMMYFUNCTION("""COMPUTED_VALUE"""),"")</f>
        <v/>
      </c>
    </row>
    <row r="15058" spans="2:4" ht="13">
      <c r="B15058" s="12" t="str">
        <f ca="1">IFERROR(__xludf.DUMMYFUNCTION("""COMPUTED_VALUE"""),"")</f>
        <v/>
      </c>
      <c r="C15058" s="12" t="str">
        <f ca="1">IFERROR(__xludf.DUMMYFUNCTION("""COMPUTED_VALUE"""),"")</f>
        <v/>
      </c>
      <c r="D15058" s="12" t="str">
        <f ca="1">IFERROR(__xludf.DUMMYFUNCTION("""COMPUTED_VALUE"""),"")</f>
        <v/>
      </c>
    </row>
    <row r="15059" spans="2:4" ht="13">
      <c r="B15059" s="12" t="str">
        <f ca="1">IFERROR(__xludf.DUMMYFUNCTION("""COMPUTED_VALUE"""),"")</f>
        <v/>
      </c>
      <c r="C15059" s="12" t="str">
        <f ca="1">IFERROR(__xludf.DUMMYFUNCTION("""COMPUTED_VALUE"""),"")</f>
        <v/>
      </c>
      <c r="D15059" s="12" t="str">
        <f ca="1">IFERROR(__xludf.DUMMYFUNCTION("""COMPUTED_VALUE"""),"")</f>
        <v/>
      </c>
    </row>
    <row r="15060" spans="2:4" ht="13">
      <c r="B15060" s="12" t="str">
        <f ca="1">IFERROR(__xludf.DUMMYFUNCTION("""COMPUTED_VALUE"""),"")</f>
        <v/>
      </c>
      <c r="C15060" s="12" t="str">
        <f ca="1">IFERROR(__xludf.DUMMYFUNCTION("""COMPUTED_VALUE"""),"")</f>
        <v/>
      </c>
      <c r="D15060" s="12" t="str">
        <f ca="1">IFERROR(__xludf.DUMMYFUNCTION("""COMPUTED_VALUE"""),"")</f>
        <v/>
      </c>
    </row>
    <row r="15061" spans="2:4" ht="13">
      <c r="B15061" s="12" t="str">
        <f ca="1">IFERROR(__xludf.DUMMYFUNCTION("""COMPUTED_VALUE"""),"")</f>
        <v/>
      </c>
      <c r="C15061" s="12" t="str">
        <f ca="1">IFERROR(__xludf.DUMMYFUNCTION("""COMPUTED_VALUE"""),"")</f>
        <v/>
      </c>
      <c r="D15061" s="12" t="str">
        <f ca="1">IFERROR(__xludf.DUMMYFUNCTION("""COMPUTED_VALUE"""),"")</f>
        <v/>
      </c>
    </row>
    <row r="15062" spans="2:4" ht="13">
      <c r="B15062" s="12" t="str">
        <f ca="1">IFERROR(__xludf.DUMMYFUNCTION("""COMPUTED_VALUE"""),"")</f>
        <v/>
      </c>
      <c r="C15062" s="12" t="str">
        <f ca="1">IFERROR(__xludf.DUMMYFUNCTION("""COMPUTED_VALUE"""),"")</f>
        <v/>
      </c>
      <c r="D15062" s="12" t="str">
        <f ca="1">IFERROR(__xludf.DUMMYFUNCTION("""COMPUTED_VALUE"""),"")</f>
        <v/>
      </c>
    </row>
    <row r="15063" spans="2:4" ht="13">
      <c r="B15063" s="12" t="str">
        <f ca="1">IFERROR(__xludf.DUMMYFUNCTION("""COMPUTED_VALUE"""),"")</f>
        <v/>
      </c>
      <c r="C15063" s="12" t="str">
        <f ca="1">IFERROR(__xludf.DUMMYFUNCTION("""COMPUTED_VALUE"""),"")</f>
        <v/>
      </c>
      <c r="D15063" s="12" t="str">
        <f ca="1">IFERROR(__xludf.DUMMYFUNCTION("""COMPUTED_VALUE"""),"")</f>
        <v/>
      </c>
    </row>
    <row r="15064" spans="2:4" ht="13">
      <c r="B15064" s="12" t="str">
        <f ca="1">IFERROR(__xludf.DUMMYFUNCTION("""COMPUTED_VALUE"""),"")</f>
        <v/>
      </c>
      <c r="C15064" s="12" t="str">
        <f ca="1">IFERROR(__xludf.DUMMYFUNCTION("""COMPUTED_VALUE"""),"")</f>
        <v/>
      </c>
      <c r="D15064" s="12" t="str">
        <f ca="1">IFERROR(__xludf.DUMMYFUNCTION("""COMPUTED_VALUE"""),"")</f>
        <v/>
      </c>
    </row>
    <row r="15065" spans="2:4" ht="13">
      <c r="B15065" s="12" t="str">
        <f ca="1">IFERROR(__xludf.DUMMYFUNCTION("""COMPUTED_VALUE"""),"")</f>
        <v/>
      </c>
      <c r="C15065" s="12" t="str">
        <f ca="1">IFERROR(__xludf.DUMMYFUNCTION("""COMPUTED_VALUE"""),"")</f>
        <v/>
      </c>
      <c r="D15065" s="12" t="str">
        <f ca="1">IFERROR(__xludf.DUMMYFUNCTION("""COMPUTED_VALUE"""),"")</f>
        <v/>
      </c>
    </row>
    <row r="15066" spans="2:4" ht="13">
      <c r="B15066" s="12" t="str">
        <f ca="1">IFERROR(__xludf.DUMMYFUNCTION("""COMPUTED_VALUE"""),"")</f>
        <v/>
      </c>
      <c r="C15066" s="12" t="str">
        <f ca="1">IFERROR(__xludf.DUMMYFUNCTION("""COMPUTED_VALUE"""),"")</f>
        <v/>
      </c>
      <c r="D15066" s="12" t="str">
        <f ca="1">IFERROR(__xludf.DUMMYFUNCTION("""COMPUTED_VALUE"""),"")</f>
        <v/>
      </c>
    </row>
    <row r="15067" spans="2:4" ht="13">
      <c r="B15067" s="12" t="str">
        <f ca="1">IFERROR(__xludf.DUMMYFUNCTION("""COMPUTED_VALUE"""),"")</f>
        <v/>
      </c>
      <c r="C15067" s="12" t="str">
        <f ca="1">IFERROR(__xludf.DUMMYFUNCTION("""COMPUTED_VALUE"""),"")</f>
        <v/>
      </c>
      <c r="D15067" s="12" t="str">
        <f ca="1">IFERROR(__xludf.DUMMYFUNCTION("""COMPUTED_VALUE"""),"")</f>
        <v/>
      </c>
    </row>
    <row r="15068" spans="2:4" ht="13">
      <c r="B15068" s="12" t="str">
        <f ca="1">IFERROR(__xludf.DUMMYFUNCTION("""COMPUTED_VALUE"""),"")</f>
        <v/>
      </c>
      <c r="C15068" s="12" t="str">
        <f ca="1">IFERROR(__xludf.DUMMYFUNCTION("""COMPUTED_VALUE"""),"")</f>
        <v/>
      </c>
      <c r="D15068" s="12" t="str">
        <f ca="1">IFERROR(__xludf.DUMMYFUNCTION("""COMPUTED_VALUE"""),"")</f>
        <v/>
      </c>
    </row>
    <row r="15069" spans="2:4" ht="13">
      <c r="B15069" s="12" t="str">
        <f ca="1">IFERROR(__xludf.DUMMYFUNCTION("""COMPUTED_VALUE"""),"")</f>
        <v/>
      </c>
      <c r="C15069" s="12" t="str">
        <f ca="1">IFERROR(__xludf.DUMMYFUNCTION("""COMPUTED_VALUE"""),"")</f>
        <v/>
      </c>
      <c r="D15069" s="12" t="str">
        <f ca="1">IFERROR(__xludf.DUMMYFUNCTION("""COMPUTED_VALUE"""),"")</f>
        <v/>
      </c>
    </row>
    <row r="15070" spans="2:4" ht="13">
      <c r="B15070" s="12" t="str">
        <f ca="1">IFERROR(__xludf.DUMMYFUNCTION("""COMPUTED_VALUE"""),"")</f>
        <v/>
      </c>
      <c r="C15070" s="12" t="str">
        <f ca="1">IFERROR(__xludf.DUMMYFUNCTION("""COMPUTED_VALUE"""),"")</f>
        <v/>
      </c>
      <c r="D15070" s="12" t="str">
        <f ca="1">IFERROR(__xludf.DUMMYFUNCTION("""COMPUTED_VALUE"""),"")</f>
        <v/>
      </c>
    </row>
    <row r="15071" spans="2:4" ht="13">
      <c r="B15071" s="12" t="str">
        <f ca="1">IFERROR(__xludf.DUMMYFUNCTION("""COMPUTED_VALUE"""),"")</f>
        <v/>
      </c>
      <c r="C15071" s="12" t="str">
        <f ca="1">IFERROR(__xludf.DUMMYFUNCTION("""COMPUTED_VALUE"""),"")</f>
        <v/>
      </c>
      <c r="D15071" s="12" t="str">
        <f ca="1">IFERROR(__xludf.DUMMYFUNCTION("""COMPUTED_VALUE"""),"")</f>
        <v/>
      </c>
    </row>
    <row r="15072" spans="2:4" ht="13">
      <c r="B15072" s="12" t="str">
        <f ca="1">IFERROR(__xludf.DUMMYFUNCTION("""COMPUTED_VALUE"""),"")</f>
        <v/>
      </c>
      <c r="C15072" s="12" t="str">
        <f ca="1">IFERROR(__xludf.DUMMYFUNCTION("""COMPUTED_VALUE"""),"")</f>
        <v/>
      </c>
      <c r="D15072" s="12" t="str">
        <f ca="1">IFERROR(__xludf.DUMMYFUNCTION("""COMPUTED_VALUE"""),"")</f>
        <v/>
      </c>
    </row>
    <row r="15073" spans="2:4" ht="13">
      <c r="B15073" s="12" t="str">
        <f ca="1">IFERROR(__xludf.DUMMYFUNCTION("""COMPUTED_VALUE"""),"")</f>
        <v/>
      </c>
      <c r="C15073" s="12" t="str">
        <f ca="1">IFERROR(__xludf.DUMMYFUNCTION("""COMPUTED_VALUE"""),"")</f>
        <v/>
      </c>
      <c r="D15073" s="12" t="str">
        <f ca="1">IFERROR(__xludf.DUMMYFUNCTION("""COMPUTED_VALUE"""),"")</f>
        <v/>
      </c>
    </row>
    <row r="15074" spans="2:4" ht="13">
      <c r="B15074" s="12" t="str">
        <f ca="1">IFERROR(__xludf.DUMMYFUNCTION("""COMPUTED_VALUE"""),"")</f>
        <v/>
      </c>
      <c r="C15074" s="12" t="str">
        <f ca="1">IFERROR(__xludf.DUMMYFUNCTION("""COMPUTED_VALUE"""),"")</f>
        <v/>
      </c>
      <c r="D15074" s="12" t="str">
        <f ca="1">IFERROR(__xludf.DUMMYFUNCTION("""COMPUTED_VALUE"""),"")</f>
        <v/>
      </c>
    </row>
    <row r="15075" spans="2:4" ht="13">
      <c r="B15075" s="12" t="str">
        <f ca="1">IFERROR(__xludf.DUMMYFUNCTION("""COMPUTED_VALUE"""),"")</f>
        <v/>
      </c>
      <c r="C15075" s="12" t="str">
        <f ca="1">IFERROR(__xludf.DUMMYFUNCTION("""COMPUTED_VALUE"""),"")</f>
        <v/>
      </c>
      <c r="D15075" s="12" t="str">
        <f ca="1">IFERROR(__xludf.DUMMYFUNCTION("""COMPUTED_VALUE"""),"")</f>
        <v/>
      </c>
    </row>
    <row r="15076" spans="2:4" ht="13">
      <c r="B15076" s="12" t="str">
        <f ca="1">IFERROR(__xludf.DUMMYFUNCTION("""COMPUTED_VALUE"""),"")</f>
        <v/>
      </c>
      <c r="C15076" s="12" t="str">
        <f ca="1">IFERROR(__xludf.DUMMYFUNCTION("""COMPUTED_VALUE"""),"")</f>
        <v/>
      </c>
      <c r="D15076" s="12" t="str">
        <f ca="1">IFERROR(__xludf.DUMMYFUNCTION("""COMPUTED_VALUE"""),"")</f>
        <v/>
      </c>
    </row>
    <row r="15077" spans="2:4" ht="13">
      <c r="B15077" s="12" t="str">
        <f ca="1">IFERROR(__xludf.DUMMYFUNCTION("""COMPUTED_VALUE"""),"")</f>
        <v/>
      </c>
      <c r="C15077" s="12" t="str">
        <f ca="1">IFERROR(__xludf.DUMMYFUNCTION("""COMPUTED_VALUE"""),"")</f>
        <v/>
      </c>
      <c r="D15077" s="12" t="str">
        <f ca="1">IFERROR(__xludf.DUMMYFUNCTION("""COMPUTED_VALUE"""),"")</f>
        <v/>
      </c>
    </row>
    <row r="15078" spans="2:4" ht="13">
      <c r="B15078" s="12" t="str">
        <f ca="1">IFERROR(__xludf.DUMMYFUNCTION("""COMPUTED_VALUE"""),"")</f>
        <v/>
      </c>
      <c r="C15078" s="12" t="str">
        <f ca="1">IFERROR(__xludf.DUMMYFUNCTION("""COMPUTED_VALUE"""),"")</f>
        <v/>
      </c>
      <c r="D15078" s="12" t="str">
        <f ca="1">IFERROR(__xludf.DUMMYFUNCTION("""COMPUTED_VALUE"""),"")</f>
        <v/>
      </c>
    </row>
    <row r="15079" spans="2:4" ht="13">
      <c r="B15079" s="12" t="str">
        <f ca="1">IFERROR(__xludf.DUMMYFUNCTION("""COMPUTED_VALUE"""),"")</f>
        <v/>
      </c>
      <c r="C15079" s="12" t="str">
        <f ca="1">IFERROR(__xludf.DUMMYFUNCTION("""COMPUTED_VALUE"""),"")</f>
        <v/>
      </c>
      <c r="D15079" s="12" t="str">
        <f ca="1">IFERROR(__xludf.DUMMYFUNCTION("""COMPUTED_VALUE"""),"")</f>
        <v/>
      </c>
    </row>
    <row r="15080" spans="2:4" ht="13">
      <c r="B15080" s="12" t="str">
        <f ca="1">IFERROR(__xludf.DUMMYFUNCTION("""COMPUTED_VALUE"""),"")</f>
        <v/>
      </c>
      <c r="C15080" s="12" t="str">
        <f ca="1">IFERROR(__xludf.DUMMYFUNCTION("""COMPUTED_VALUE"""),"")</f>
        <v/>
      </c>
      <c r="D15080" s="12" t="str">
        <f ca="1">IFERROR(__xludf.DUMMYFUNCTION("""COMPUTED_VALUE"""),"")</f>
        <v/>
      </c>
    </row>
    <row r="15081" spans="2:4" ht="13">
      <c r="B15081" s="12" t="str">
        <f ca="1">IFERROR(__xludf.DUMMYFUNCTION("""COMPUTED_VALUE"""),"")</f>
        <v/>
      </c>
      <c r="C15081" s="12" t="str">
        <f ca="1">IFERROR(__xludf.DUMMYFUNCTION("""COMPUTED_VALUE"""),"")</f>
        <v/>
      </c>
      <c r="D15081" s="12" t="str">
        <f ca="1">IFERROR(__xludf.DUMMYFUNCTION("""COMPUTED_VALUE"""),"")</f>
        <v/>
      </c>
    </row>
    <row r="15082" spans="2:4" ht="13">
      <c r="B15082" s="12" t="str">
        <f ca="1">IFERROR(__xludf.DUMMYFUNCTION("""COMPUTED_VALUE"""),"")</f>
        <v/>
      </c>
      <c r="C15082" s="12" t="str">
        <f ca="1">IFERROR(__xludf.DUMMYFUNCTION("""COMPUTED_VALUE"""),"")</f>
        <v/>
      </c>
      <c r="D15082" s="12" t="str">
        <f ca="1">IFERROR(__xludf.DUMMYFUNCTION("""COMPUTED_VALUE"""),"")</f>
        <v/>
      </c>
    </row>
    <row r="15083" spans="2:4" ht="13">
      <c r="B15083" s="12" t="str">
        <f ca="1">IFERROR(__xludf.DUMMYFUNCTION("""COMPUTED_VALUE"""),"")</f>
        <v/>
      </c>
      <c r="C15083" s="12" t="str">
        <f ca="1">IFERROR(__xludf.DUMMYFUNCTION("""COMPUTED_VALUE"""),"")</f>
        <v/>
      </c>
      <c r="D15083" s="12" t="str">
        <f ca="1">IFERROR(__xludf.DUMMYFUNCTION("""COMPUTED_VALUE"""),"")</f>
        <v/>
      </c>
    </row>
    <row r="15084" spans="2:4" ht="13">
      <c r="B15084" s="12" t="str">
        <f ca="1">IFERROR(__xludf.DUMMYFUNCTION("""COMPUTED_VALUE"""),"")</f>
        <v/>
      </c>
      <c r="C15084" s="12" t="str">
        <f ca="1">IFERROR(__xludf.DUMMYFUNCTION("""COMPUTED_VALUE"""),"")</f>
        <v/>
      </c>
      <c r="D15084" s="12" t="str">
        <f ca="1">IFERROR(__xludf.DUMMYFUNCTION("""COMPUTED_VALUE"""),"")</f>
        <v/>
      </c>
    </row>
    <row r="15085" spans="2:4" ht="13">
      <c r="B15085" s="12" t="str">
        <f ca="1">IFERROR(__xludf.DUMMYFUNCTION("""COMPUTED_VALUE"""),"")</f>
        <v/>
      </c>
      <c r="C15085" s="12" t="str">
        <f ca="1">IFERROR(__xludf.DUMMYFUNCTION("""COMPUTED_VALUE"""),"")</f>
        <v/>
      </c>
      <c r="D15085" s="12" t="str">
        <f ca="1">IFERROR(__xludf.DUMMYFUNCTION("""COMPUTED_VALUE"""),"")</f>
        <v/>
      </c>
    </row>
    <row r="15086" spans="2:4" ht="13">
      <c r="B15086" s="12" t="str">
        <f ca="1">IFERROR(__xludf.DUMMYFUNCTION("""COMPUTED_VALUE"""),"")</f>
        <v/>
      </c>
      <c r="C15086" s="12" t="str">
        <f ca="1">IFERROR(__xludf.DUMMYFUNCTION("""COMPUTED_VALUE"""),"")</f>
        <v/>
      </c>
      <c r="D15086" s="12" t="str">
        <f ca="1">IFERROR(__xludf.DUMMYFUNCTION("""COMPUTED_VALUE"""),"")</f>
        <v/>
      </c>
    </row>
    <row r="15087" spans="2:4" ht="13">
      <c r="B15087" s="12" t="str">
        <f ca="1">IFERROR(__xludf.DUMMYFUNCTION("""COMPUTED_VALUE"""),"")</f>
        <v/>
      </c>
      <c r="C15087" s="12" t="str">
        <f ca="1">IFERROR(__xludf.DUMMYFUNCTION("""COMPUTED_VALUE"""),"")</f>
        <v/>
      </c>
      <c r="D15087" s="12" t="str">
        <f ca="1">IFERROR(__xludf.DUMMYFUNCTION("""COMPUTED_VALUE"""),"")</f>
        <v/>
      </c>
    </row>
    <row r="15088" spans="2:4" ht="13">
      <c r="B15088" s="12" t="str">
        <f ca="1">IFERROR(__xludf.DUMMYFUNCTION("""COMPUTED_VALUE"""),"")</f>
        <v/>
      </c>
      <c r="C15088" s="12" t="str">
        <f ca="1">IFERROR(__xludf.DUMMYFUNCTION("""COMPUTED_VALUE"""),"")</f>
        <v/>
      </c>
      <c r="D15088" s="12" t="str">
        <f ca="1">IFERROR(__xludf.DUMMYFUNCTION("""COMPUTED_VALUE"""),"")</f>
        <v/>
      </c>
    </row>
    <row r="15089" spans="2:4" ht="13">
      <c r="B15089" s="12" t="str">
        <f ca="1">IFERROR(__xludf.DUMMYFUNCTION("""COMPUTED_VALUE"""),"")</f>
        <v/>
      </c>
      <c r="C15089" s="12" t="str">
        <f ca="1">IFERROR(__xludf.DUMMYFUNCTION("""COMPUTED_VALUE"""),"")</f>
        <v/>
      </c>
      <c r="D15089" s="12" t="str">
        <f ca="1">IFERROR(__xludf.DUMMYFUNCTION("""COMPUTED_VALUE"""),"")</f>
        <v/>
      </c>
    </row>
    <row r="15090" spans="2:4" ht="13">
      <c r="B15090" s="12" t="str">
        <f ca="1">IFERROR(__xludf.DUMMYFUNCTION("""COMPUTED_VALUE"""),"")</f>
        <v/>
      </c>
      <c r="C15090" s="12" t="str">
        <f ca="1">IFERROR(__xludf.DUMMYFUNCTION("""COMPUTED_VALUE"""),"")</f>
        <v/>
      </c>
      <c r="D15090" s="12" t="str">
        <f ca="1">IFERROR(__xludf.DUMMYFUNCTION("""COMPUTED_VALUE"""),"")</f>
        <v/>
      </c>
    </row>
    <row r="15091" spans="2:4" ht="13">
      <c r="B15091" s="12" t="str">
        <f ca="1">IFERROR(__xludf.DUMMYFUNCTION("""COMPUTED_VALUE"""),"")</f>
        <v/>
      </c>
      <c r="C15091" s="12" t="str">
        <f ca="1">IFERROR(__xludf.DUMMYFUNCTION("""COMPUTED_VALUE"""),"")</f>
        <v/>
      </c>
      <c r="D15091" s="12" t="str">
        <f ca="1">IFERROR(__xludf.DUMMYFUNCTION("""COMPUTED_VALUE"""),"")</f>
        <v/>
      </c>
    </row>
    <row r="15092" spans="2:4" ht="13">
      <c r="B15092" s="12" t="str">
        <f ca="1">IFERROR(__xludf.DUMMYFUNCTION("""COMPUTED_VALUE"""),"")</f>
        <v/>
      </c>
      <c r="C15092" s="12" t="str">
        <f ca="1">IFERROR(__xludf.DUMMYFUNCTION("""COMPUTED_VALUE"""),"")</f>
        <v/>
      </c>
      <c r="D15092" s="12" t="str">
        <f ca="1">IFERROR(__xludf.DUMMYFUNCTION("""COMPUTED_VALUE"""),"")</f>
        <v/>
      </c>
    </row>
    <row r="15093" spans="2:4" ht="13">
      <c r="B15093" s="12" t="str">
        <f ca="1">IFERROR(__xludf.DUMMYFUNCTION("""COMPUTED_VALUE"""),"")</f>
        <v/>
      </c>
      <c r="C15093" s="12" t="str">
        <f ca="1">IFERROR(__xludf.DUMMYFUNCTION("""COMPUTED_VALUE"""),"")</f>
        <v/>
      </c>
      <c r="D15093" s="12" t="str">
        <f ca="1">IFERROR(__xludf.DUMMYFUNCTION("""COMPUTED_VALUE"""),"")</f>
        <v/>
      </c>
    </row>
    <row r="15094" spans="2:4" ht="13">
      <c r="B15094" s="12" t="str">
        <f ca="1">IFERROR(__xludf.DUMMYFUNCTION("""COMPUTED_VALUE"""),"")</f>
        <v/>
      </c>
      <c r="C15094" s="12" t="str">
        <f ca="1">IFERROR(__xludf.DUMMYFUNCTION("""COMPUTED_VALUE"""),"")</f>
        <v/>
      </c>
      <c r="D15094" s="12" t="str">
        <f ca="1">IFERROR(__xludf.DUMMYFUNCTION("""COMPUTED_VALUE"""),"")</f>
        <v/>
      </c>
    </row>
    <row r="15095" spans="2:4" ht="13">
      <c r="B15095" s="12" t="str">
        <f ca="1">IFERROR(__xludf.DUMMYFUNCTION("""COMPUTED_VALUE"""),"")</f>
        <v/>
      </c>
      <c r="C15095" s="12" t="str">
        <f ca="1">IFERROR(__xludf.DUMMYFUNCTION("""COMPUTED_VALUE"""),"")</f>
        <v/>
      </c>
      <c r="D15095" s="12" t="str">
        <f ca="1">IFERROR(__xludf.DUMMYFUNCTION("""COMPUTED_VALUE"""),"")</f>
        <v/>
      </c>
    </row>
    <row r="15096" spans="2:4" ht="13">
      <c r="B15096" s="12" t="str">
        <f ca="1">IFERROR(__xludf.DUMMYFUNCTION("""COMPUTED_VALUE"""),"")</f>
        <v/>
      </c>
      <c r="C15096" s="12" t="str">
        <f ca="1">IFERROR(__xludf.DUMMYFUNCTION("""COMPUTED_VALUE"""),"")</f>
        <v/>
      </c>
      <c r="D15096" s="12" t="str">
        <f ca="1">IFERROR(__xludf.DUMMYFUNCTION("""COMPUTED_VALUE"""),"")</f>
        <v/>
      </c>
    </row>
    <row r="15097" spans="2:4" ht="13">
      <c r="B15097" s="12" t="str">
        <f ca="1">IFERROR(__xludf.DUMMYFUNCTION("""COMPUTED_VALUE"""),"")</f>
        <v/>
      </c>
      <c r="C15097" s="12" t="str">
        <f ca="1">IFERROR(__xludf.DUMMYFUNCTION("""COMPUTED_VALUE"""),"")</f>
        <v/>
      </c>
      <c r="D15097" s="12" t="str">
        <f ca="1">IFERROR(__xludf.DUMMYFUNCTION("""COMPUTED_VALUE"""),"")</f>
        <v/>
      </c>
    </row>
    <row r="15098" spans="2:4" ht="13">
      <c r="B15098" s="12" t="str">
        <f ca="1">IFERROR(__xludf.DUMMYFUNCTION("""COMPUTED_VALUE"""),"")</f>
        <v/>
      </c>
      <c r="C15098" s="12" t="str">
        <f ca="1">IFERROR(__xludf.DUMMYFUNCTION("""COMPUTED_VALUE"""),"")</f>
        <v/>
      </c>
      <c r="D15098" s="12" t="str">
        <f ca="1">IFERROR(__xludf.DUMMYFUNCTION("""COMPUTED_VALUE"""),"")</f>
        <v/>
      </c>
    </row>
    <row r="15099" spans="2:4" ht="13">
      <c r="B15099" s="12" t="str">
        <f ca="1">IFERROR(__xludf.DUMMYFUNCTION("""COMPUTED_VALUE"""),"")</f>
        <v/>
      </c>
      <c r="C15099" s="12" t="str">
        <f ca="1">IFERROR(__xludf.DUMMYFUNCTION("""COMPUTED_VALUE"""),"")</f>
        <v/>
      </c>
      <c r="D15099" s="12" t="str">
        <f ca="1">IFERROR(__xludf.DUMMYFUNCTION("""COMPUTED_VALUE"""),"")</f>
        <v/>
      </c>
    </row>
    <row r="15100" spans="2:4" ht="13">
      <c r="B15100" s="12" t="str">
        <f ca="1">IFERROR(__xludf.DUMMYFUNCTION("""COMPUTED_VALUE"""),"")</f>
        <v/>
      </c>
      <c r="C15100" s="12" t="str">
        <f ca="1">IFERROR(__xludf.DUMMYFUNCTION("""COMPUTED_VALUE"""),"")</f>
        <v/>
      </c>
      <c r="D15100" s="12" t="str">
        <f ca="1">IFERROR(__xludf.DUMMYFUNCTION("""COMPUTED_VALUE"""),"")</f>
        <v/>
      </c>
    </row>
    <row r="15101" spans="2:4" ht="13">
      <c r="B15101" s="12" t="str">
        <f ca="1">IFERROR(__xludf.DUMMYFUNCTION("""COMPUTED_VALUE"""),"")</f>
        <v/>
      </c>
      <c r="C15101" s="12" t="str">
        <f ca="1">IFERROR(__xludf.DUMMYFUNCTION("""COMPUTED_VALUE"""),"")</f>
        <v/>
      </c>
      <c r="D15101" s="12" t="str">
        <f ca="1">IFERROR(__xludf.DUMMYFUNCTION("""COMPUTED_VALUE"""),"")</f>
        <v/>
      </c>
    </row>
    <row r="15102" spans="2:4" ht="13">
      <c r="B15102" s="12" t="str">
        <f ca="1">IFERROR(__xludf.DUMMYFUNCTION("""COMPUTED_VALUE"""),"")</f>
        <v/>
      </c>
      <c r="C15102" s="12" t="str">
        <f ca="1">IFERROR(__xludf.DUMMYFUNCTION("""COMPUTED_VALUE"""),"")</f>
        <v/>
      </c>
      <c r="D15102" s="12" t="str">
        <f ca="1">IFERROR(__xludf.DUMMYFUNCTION("""COMPUTED_VALUE"""),"")</f>
        <v/>
      </c>
    </row>
    <row r="15103" spans="2:4" ht="13">
      <c r="B15103" s="12" t="str">
        <f ca="1">IFERROR(__xludf.DUMMYFUNCTION("""COMPUTED_VALUE"""),"")</f>
        <v/>
      </c>
      <c r="C15103" s="12" t="str">
        <f ca="1">IFERROR(__xludf.DUMMYFUNCTION("""COMPUTED_VALUE"""),"")</f>
        <v/>
      </c>
      <c r="D15103" s="12" t="str">
        <f ca="1">IFERROR(__xludf.DUMMYFUNCTION("""COMPUTED_VALUE"""),"")</f>
        <v/>
      </c>
    </row>
    <row r="15104" spans="2:4" ht="13">
      <c r="B15104" s="12" t="str">
        <f ca="1">IFERROR(__xludf.DUMMYFUNCTION("""COMPUTED_VALUE"""),"")</f>
        <v/>
      </c>
      <c r="C15104" s="12" t="str">
        <f ca="1">IFERROR(__xludf.DUMMYFUNCTION("""COMPUTED_VALUE"""),"")</f>
        <v/>
      </c>
      <c r="D15104" s="12" t="str">
        <f ca="1">IFERROR(__xludf.DUMMYFUNCTION("""COMPUTED_VALUE"""),"")</f>
        <v/>
      </c>
    </row>
    <row r="15105" spans="2:4" ht="13">
      <c r="B15105" s="12" t="str">
        <f ca="1">IFERROR(__xludf.DUMMYFUNCTION("""COMPUTED_VALUE"""),"")</f>
        <v/>
      </c>
      <c r="C15105" s="12" t="str">
        <f ca="1">IFERROR(__xludf.DUMMYFUNCTION("""COMPUTED_VALUE"""),"")</f>
        <v/>
      </c>
      <c r="D15105" s="12" t="str">
        <f ca="1">IFERROR(__xludf.DUMMYFUNCTION("""COMPUTED_VALUE"""),"")</f>
        <v/>
      </c>
    </row>
    <row r="15106" spans="2:4" ht="13">
      <c r="B15106" s="12" t="str">
        <f ca="1">IFERROR(__xludf.DUMMYFUNCTION("""COMPUTED_VALUE"""),"")</f>
        <v/>
      </c>
      <c r="C15106" s="12" t="str">
        <f ca="1">IFERROR(__xludf.DUMMYFUNCTION("""COMPUTED_VALUE"""),"")</f>
        <v/>
      </c>
      <c r="D15106" s="12" t="str">
        <f ca="1">IFERROR(__xludf.DUMMYFUNCTION("""COMPUTED_VALUE"""),"")</f>
        <v/>
      </c>
    </row>
    <row r="15107" spans="2:4" ht="13">
      <c r="B15107" s="12" t="str">
        <f ca="1">IFERROR(__xludf.DUMMYFUNCTION("""COMPUTED_VALUE"""),"")</f>
        <v/>
      </c>
      <c r="C15107" s="12" t="str">
        <f ca="1">IFERROR(__xludf.DUMMYFUNCTION("""COMPUTED_VALUE"""),"")</f>
        <v/>
      </c>
      <c r="D15107" s="12" t="str">
        <f ca="1">IFERROR(__xludf.DUMMYFUNCTION("""COMPUTED_VALUE"""),"")</f>
        <v/>
      </c>
    </row>
    <row r="15108" spans="2:4" ht="13">
      <c r="B15108" s="12" t="str">
        <f ca="1">IFERROR(__xludf.DUMMYFUNCTION("""COMPUTED_VALUE"""),"")</f>
        <v/>
      </c>
      <c r="C15108" s="12" t="str">
        <f ca="1">IFERROR(__xludf.DUMMYFUNCTION("""COMPUTED_VALUE"""),"")</f>
        <v/>
      </c>
      <c r="D15108" s="12" t="str">
        <f ca="1">IFERROR(__xludf.DUMMYFUNCTION("""COMPUTED_VALUE"""),"")</f>
        <v/>
      </c>
    </row>
    <row r="15109" spans="2:4" ht="13">
      <c r="B15109" s="12" t="str">
        <f ca="1">IFERROR(__xludf.DUMMYFUNCTION("""COMPUTED_VALUE"""),"")</f>
        <v/>
      </c>
      <c r="C15109" s="12" t="str">
        <f ca="1">IFERROR(__xludf.DUMMYFUNCTION("""COMPUTED_VALUE"""),"")</f>
        <v/>
      </c>
      <c r="D15109" s="12" t="str">
        <f ca="1">IFERROR(__xludf.DUMMYFUNCTION("""COMPUTED_VALUE"""),"")</f>
        <v/>
      </c>
    </row>
    <row r="15110" spans="2:4" ht="13">
      <c r="B15110" s="12" t="str">
        <f ca="1">IFERROR(__xludf.DUMMYFUNCTION("""COMPUTED_VALUE"""),"")</f>
        <v/>
      </c>
      <c r="C15110" s="12" t="str">
        <f ca="1">IFERROR(__xludf.DUMMYFUNCTION("""COMPUTED_VALUE"""),"")</f>
        <v/>
      </c>
      <c r="D15110" s="12" t="str">
        <f ca="1">IFERROR(__xludf.DUMMYFUNCTION("""COMPUTED_VALUE"""),"")</f>
        <v/>
      </c>
    </row>
    <row r="15111" spans="2:4" ht="13">
      <c r="B15111" s="12" t="str">
        <f ca="1">IFERROR(__xludf.DUMMYFUNCTION("""COMPUTED_VALUE"""),"")</f>
        <v/>
      </c>
      <c r="C15111" s="12" t="str">
        <f ca="1">IFERROR(__xludf.DUMMYFUNCTION("""COMPUTED_VALUE"""),"")</f>
        <v/>
      </c>
      <c r="D15111" s="12" t="str">
        <f ca="1">IFERROR(__xludf.DUMMYFUNCTION("""COMPUTED_VALUE"""),"")</f>
        <v/>
      </c>
    </row>
    <row r="15112" spans="2:4" ht="13">
      <c r="B15112" s="12" t="str">
        <f ca="1">IFERROR(__xludf.DUMMYFUNCTION("""COMPUTED_VALUE"""),"")</f>
        <v/>
      </c>
      <c r="C15112" s="12" t="str">
        <f ca="1">IFERROR(__xludf.DUMMYFUNCTION("""COMPUTED_VALUE"""),"")</f>
        <v/>
      </c>
      <c r="D15112" s="12" t="str">
        <f ca="1">IFERROR(__xludf.DUMMYFUNCTION("""COMPUTED_VALUE"""),"")</f>
        <v/>
      </c>
    </row>
    <row r="15113" spans="2:4" ht="13">
      <c r="B15113" s="12" t="str">
        <f ca="1">IFERROR(__xludf.DUMMYFUNCTION("""COMPUTED_VALUE"""),"")</f>
        <v/>
      </c>
      <c r="C15113" s="12" t="str">
        <f ca="1">IFERROR(__xludf.DUMMYFUNCTION("""COMPUTED_VALUE"""),"")</f>
        <v/>
      </c>
      <c r="D15113" s="12" t="str">
        <f ca="1">IFERROR(__xludf.DUMMYFUNCTION("""COMPUTED_VALUE"""),"")</f>
        <v/>
      </c>
    </row>
    <row r="15114" spans="2:4" ht="13">
      <c r="B15114" s="12" t="str">
        <f ca="1">IFERROR(__xludf.DUMMYFUNCTION("""COMPUTED_VALUE"""),"")</f>
        <v/>
      </c>
      <c r="C15114" s="12" t="str">
        <f ca="1">IFERROR(__xludf.DUMMYFUNCTION("""COMPUTED_VALUE"""),"")</f>
        <v/>
      </c>
      <c r="D15114" s="12" t="str">
        <f ca="1">IFERROR(__xludf.DUMMYFUNCTION("""COMPUTED_VALUE"""),"")</f>
        <v/>
      </c>
    </row>
    <row r="15115" spans="2:4" ht="13">
      <c r="B15115" s="12" t="str">
        <f ca="1">IFERROR(__xludf.DUMMYFUNCTION("""COMPUTED_VALUE"""),"")</f>
        <v/>
      </c>
      <c r="C15115" s="12" t="str">
        <f ca="1">IFERROR(__xludf.DUMMYFUNCTION("""COMPUTED_VALUE"""),"")</f>
        <v/>
      </c>
      <c r="D15115" s="12" t="str">
        <f ca="1">IFERROR(__xludf.DUMMYFUNCTION("""COMPUTED_VALUE"""),"")</f>
        <v/>
      </c>
    </row>
    <row r="15116" spans="2:4" ht="13">
      <c r="B15116" s="12" t="str">
        <f ca="1">IFERROR(__xludf.DUMMYFUNCTION("""COMPUTED_VALUE"""),"")</f>
        <v/>
      </c>
      <c r="C15116" s="12" t="str">
        <f ca="1">IFERROR(__xludf.DUMMYFUNCTION("""COMPUTED_VALUE"""),"")</f>
        <v/>
      </c>
      <c r="D15116" s="12" t="str">
        <f ca="1">IFERROR(__xludf.DUMMYFUNCTION("""COMPUTED_VALUE"""),"")</f>
        <v/>
      </c>
    </row>
    <row r="15117" spans="2:4" ht="13">
      <c r="B15117" s="12" t="str">
        <f ca="1">IFERROR(__xludf.DUMMYFUNCTION("""COMPUTED_VALUE"""),"")</f>
        <v/>
      </c>
      <c r="C15117" s="12" t="str">
        <f ca="1">IFERROR(__xludf.DUMMYFUNCTION("""COMPUTED_VALUE"""),"")</f>
        <v/>
      </c>
      <c r="D15117" s="12" t="str">
        <f ca="1">IFERROR(__xludf.DUMMYFUNCTION("""COMPUTED_VALUE"""),"")</f>
        <v/>
      </c>
    </row>
    <row r="15118" spans="2:4" ht="13">
      <c r="B15118" s="12" t="str">
        <f ca="1">IFERROR(__xludf.DUMMYFUNCTION("""COMPUTED_VALUE"""),"")</f>
        <v/>
      </c>
      <c r="C15118" s="12" t="str">
        <f ca="1">IFERROR(__xludf.DUMMYFUNCTION("""COMPUTED_VALUE"""),"")</f>
        <v/>
      </c>
      <c r="D15118" s="12" t="str">
        <f ca="1">IFERROR(__xludf.DUMMYFUNCTION("""COMPUTED_VALUE"""),"")</f>
        <v/>
      </c>
    </row>
    <row r="15119" spans="2:4" ht="13">
      <c r="B15119" s="12" t="str">
        <f ca="1">IFERROR(__xludf.DUMMYFUNCTION("""COMPUTED_VALUE"""),"")</f>
        <v/>
      </c>
      <c r="C15119" s="12" t="str">
        <f ca="1">IFERROR(__xludf.DUMMYFUNCTION("""COMPUTED_VALUE"""),"")</f>
        <v/>
      </c>
      <c r="D15119" s="12" t="str">
        <f ca="1">IFERROR(__xludf.DUMMYFUNCTION("""COMPUTED_VALUE"""),"")</f>
        <v/>
      </c>
    </row>
    <row r="15120" spans="2:4" ht="13">
      <c r="B15120" s="12" t="str">
        <f ca="1">IFERROR(__xludf.DUMMYFUNCTION("""COMPUTED_VALUE"""),"")</f>
        <v/>
      </c>
      <c r="C15120" s="12" t="str">
        <f ca="1">IFERROR(__xludf.DUMMYFUNCTION("""COMPUTED_VALUE"""),"")</f>
        <v/>
      </c>
      <c r="D15120" s="12" t="str">
        <f ca="1">IFERROR(__xludf.DUMMYFUNCTION("""COMPUTED_VALUE"""),"")</f>
        <v/>
      </c>
    </row>
    <row r="15121" spans="2:4" ht="13">
      <c r="B15121" s="12" t="str">
        <f ca="1">IFERROR(__xludf.DUMMYFUNCTION("""COMPUTED_VALUE"""),"")</f>
        <v/>
      </c>
      <c r="C15121" s="12" t="str">
        <f ca="1">IFERROR(__xludf.DUMMYFUNCTION("""COMPUTED_VALUE"""),"")</f>
        <v/>
      </c>
      <c r="D15121" s="12" t="str">
        <f ca="1">IFERROR(__xludf.DUMMYFUNCTION("""COMPUTED_VALUE"""),"")</f>
        <v/>
      </c>
    </row>
    <row r="15122" spans="2:4" ht="13">
      <c r="B15122" s="12" t="str">
        <f ca="1">IFERROR(__xludf.DUMMYFUNCTION("""COMPUTED_VALUE"""),"")</f>
        <v/>
      </c>
      <c r="C15122" s="12" t="str">
        <f ca="1">IFERROR(__xludf.DUMMYFUNCTION("""COMPUTED_VALUE"""),"")</f>
        <v/>
      </c>
      <c r="D15122" s="12" t="str">
        <f ca="1">IFERROR(__xludf.DUMMYFUNCTION("""COMPUTED_VALUE"""),"")</f>
        <v/>
      </c>
    </row>
    <row r="15123" spans="2:4" ht="13">
      <c r="B15123" s="12" t="str">
        <f ca="1">IFERROR(__xludf.DUMMYFUNCTION("""COMPUTED_VALUE"""),"")</f>
        <v/>
      </c>
      <c r="C15123" s="12" t="str">
        <f ca="1">IFERROR(__xludf.DUMMYFUNCTION("""COMPUTED_VALUE"""),"")</f>
        <v/>
      </c>
      <c r="D15123" s="12" t="str">
        <f ca="1">IFERROR(__xludf.DUMMYFUNCTION("""COMPUTED_VALUE"""),"")</f>
        <v/>
      </c>
    </row>
    <row r="15124" spans="2:4" ht="13">
      <c r="B15124" s="12" t="str">
        <f ca="1">IFERROR(__xludf.DUMMYFUNCTION("""COMPUTED_VALUE"""),"")</f>
        <v/>
      </c>
      <c r="C15124" s="12" t="str">
        <f ca="1">IFERROR(__xludf.DUMMYFUNCTION("""COMPUTED_VALUE"""),"")</f>
        <v/>
      </c>
      <c r="D15124" s="12" t="str">
        <f ca="1">IFERROR(__xludf.DUMMYFUNCTION("""COMPUTED_VALUE"""),"")</f>
        <v/>
      </c>
    </row>
    <row r="15125" spans="2:4" ht="13">
      <c r="B15125" s="12" t="str">
        <f ca="1">IFERROR(__xludf.DUMMYFUNCTION("""COMPUTED_VALUE"""),"")</f>
        <v/>
      </c>
      <c r="C15125" s="12" t="str">
        <f ca="1">IFERROR(__xludf.DUMMYFUNCTION("""COMPUTED_VALUE"""),"")</f>
        <v/>
      </c>
      <c r="D15125" s="12" t="str">
        <f ca="1">IFERROR(__xludf.DUMMYFUNCTION("""COMPUTED_VALUE"""),"")</f>
        <v/>
      </c>
    </row>
    <row r="15126" spans="2:4" ht="13">
      <c r="B15126" s="12" t="str">
        <f ca="1">IFERROR(__xludf.DUMMYFUNCTION("""COMPUTED_VALUE"""),"")</f>
        <v/>
      </c>
      <c r="C15126" s="12" t="str">
        <f ca="1">IFERROR(__xludf.DUMMYFUNCTION("""COMPUTED_VALUE"""),"")</f>
        <v/>
      </c>
      <c r="D15126" s="12" t="str">
        <f ca="1">IFERROR(__xludf.DUMMYFUNCTION("""COMPUTED_VALUE"""),"")</f>
        <v/>
      </c>
    </row>
    <row r="15127" spans="2:4" ht="13">
      <c r="B15127" s="12" t="str">
        <f ca="1">IFERROR(__xludf.DUMMYFUNCTION("""COMPUTED_VALUE"""),"")</f>
        <v/>
      </c>
      <c r="C15127" s="12" t="str">
        <f ca="1">IFERROR(__xludf.DUMMYFUNCTION("""COMPUTED_VALUE"""),"")</f>
        <v/>
      </c>
      <c r="D15127" s="12" t="str">
        <f ca="1">IFERROR(__xludf.DUMMYFUNCTION("""COMPUTED_VALUE"""),"")</f>
        <v/>
      </c>
    </row>
    <row r="15128" spans="2:4" ht="13">
      <c r="B15128" s="12" t="str">
        <f ca="1">IFERROR(__xludf.DUMMYFUNCTION("""COMPUTED_VALUE"""),"")</f>
        <v/>
      </c>
      <c r="C15128" s="12" t="str">
        <f ca="1">IFERROR(__xludf.DUMMYFUNCTION("""COMPUTED_VALUE"""),"")</f>
        <v/>
      </c>
      <c r="D15128" s="12" t="str">
        <f ca="1">IFERROR(__xludf.DUMMYFUNCTION("""COMPUTED_VALUE"""),"")</f>
        <v/>
      </c>
    </row>
    <row r="15129" spans="2:4" ht="13">
      <c r="B15129" s="12" t="str">
        <f ca="1">IFERROR(__xludf.DUMMYFUNCTION("""COMPUTED_VALUE"""),"")</f>
        <v/>
      </c>
      <c r="C15129" s="12" t="str">
        <f ca="1">IFERROR(__xludf.DUMMYFUNCTION("""COMPUTED_VALUE"""),"")</f>
        <v/>
      </c>
      <c r="D15129" s="12" t="str">
        <f ca="1">IFERROR(__xludf.DUMMYFUNCTION("""COMPUTED_VALUE"""),"")</f>
        <v/>
      </c>
    </row>
    <row r="15130" spans="2:4" ht="13">
      <c r="B15130" s="12" t="str">
        <f ca="1">IFERROR(__xludf.DUMMYFUNCTION("""COMPUTED_VALUE"""),"")</f>
        <v/>
      </c>
      <c r="C15130" s="12" t="str">
        <f ca="1">IFERROR(__xludf.DUMMYFUNCTION("""COMPUTED_VALUE"""),"")</f>
        <v/>
      </c>
      <c r="D15130" s="12" t="str">
        <f ca="1">IFERROR(__xludf.DUMMYFUNCTION("""COMPUTED_VALUE"""),"")</f>
        <v/>
      </c>
    </row>
    <row r="15131" spans="2:4" ht="13">
      <c r="B15131" s="12" t="str">
        <f ca="1">IFERROR(__xludf.DUMMYFUNCTION("""COMPUTED_VALUE"""),"")</f>
        <v/>
      </c>
      <c r="C15131" s="12" t="str">
        <f ca="1">IFERROR(__xludf.DUMMYFUNCTION("""COMPUTED_VALUE"""),"")</f>
        <v/>
      </c>
      <c r="D15131" s="12" t="str">
        <f ca="1">IFERROR(__xludf.DUMMYFUNCTION("""COMPUTED_VALUE"""),"")</f>
        <v/>
      </c>
    </row>
    <row r="15132" spans="2:4" ht="13">
      <c r="B15132" s="12" t="str">
        <f ca="1">IFERROR(__xludf.DUMMYFUNCTION("""COMPUTED_VALUE"""),"")</f>
        <v/>
      </c>
      <c r="C15132" s="12" t="str">
        <f ca="1">IFERROR(__xludf.DUMMYFUNCTION("""COMPUTED_VALUE"""),"")</f>
        <v/>
      </c>
      <c r="D15132" s="12" t="str">
        <f ca="1">IFERROR(__xludf.DUMMYFUNCTION("""COMPUTED_VALUE"""),"")</f>
        <v/>
      </c>
    </row>
    <row r="15133" spans="2:4" ht="13">
      <c r="B15133" s="12" t="str">
        <f ca="1">IFERROR(__xludf.DUMMYFUNCTION("""COMPUTED_VALUE"""),"")</f>
        <v/>
      </c>
      <c r="C15133" s="12" t="str">
        <f ca="1">IFERROR(__xludf.DUMMYFUNCTION("""COMPUTED_VALUE"""),"")</f>
        <v/>
      </c>
      <c r="D15133" s="12" t="str">
        <f ca="1">IFERROR(__xludf.DUMMYFUNCTION("""COMPUTED_VALUE"""),"")</f>
        <v/>
      </c>
    </row>
    <row r="15134" spans="2:4" ht="13">
      <c r="B15134" s="12" t="str">
        <f ca="1">IFERROR(__xludf.DUMMYFUNCTION("""COMPUTED_VALUE"""),"")</f>
        <v/>
      </c>
      <c r="C15134" s="12" t="str">
        <f ca="1">IFERROR(__xludf.DUMMYFUNCTION("""COMPUTED_VALUE"""),"")</f>
        <v/>
      </c>
      <c r="D15134" s="12" t="str">
        <f ca="1">IFERROR(__xludf.DUMMYFUNCTION("""COMPUTED_VALUE"""),"")</f>
        <v/>
      </c>
    </row>
    <row r="15135" spans="2:4" ht="13">
      <c r="B15135" s="12" t="str">
        <f ca="1">IFERROR(__xludf.DUMMYFUNCTION("""COMPUTED_VALUE"""),"")</f>
        <v/>
      </c>
      <c r="C15135" s="12" t="str">
        <f ca="1">IFERROR(__xludf.DUMMYFUNCTION("""COMPUTED_VALUE"""),"")</f>
        <v/>
      </c>
      <c r="D15135" s="12" t="str">
        <f ca="1">IFERROR(__xludf.DUMMYFUNCTION("""COMPUTED_VALUE"""),"")</f>
        <v/>
      </c>
    </row>
    <row r="15136" spans="2:4" ht="13">
      <c r="B15136" s="12" t="str">
        <f ca="1">IFERROR(__xludf.DUMMYFUNCTION("""COMPUTED_VALUE"""),"")</f>
        <v/>
      </c>
      <c r="C15136" s="12" t="str">
        <f ca="1">IFERROR(__xludf.DUMMYFUNCTION("""COMPUTED_VALUE"""),"")</f>
        <v/>
      </c>
      <c r="D15136" s="12" t="str">
        <f ca="1">IFERROR(__xludf.DUMMYFUNCTION("""COMPUTED_VALUE"""),"")</f>
        <v/>
      </c>
    </row>
    <row r="15137" spans="2:4" ht="13">
      <c r="B15137" s="12" t="str">
        <f ca="1">IFERROR(__xludf.DUMMYFUNCTION("""COMPUTED_VALUE"""),"")</f>
        <v/>
      </c>
      <c r="C15137" s="12" t="str">
        <f ca="1">IFERROR(__xludf.DUMMYFUNCTION("""COMPUTED_VALUE"""),"")</f>
        <v/>
      </c>
      <c r="D15137" s="12" t="str">
        <f ca="1">IFERROR(__xludf.DUMMYFUNCTION("""COMPUTED_VALUE"""),"")</f>
        <v/>
      </c>
    </row>
    <row r="15138" spans="2:4" ht="13">
      <c r="B15138" s="12" t="str">
        <f ca="1">IFERROR(__xludf.DUMMYFUNCTION("""COMPUTED_VALUE"""),"")</f>
        <v/>
      </c>
      <c r="C15138" s="12" t="str">
        <f ca="1">IFERROR(__xludf.DUMMYFUNCTION("""COMPUTED_VALUE"""),"")</f>
        <v/>
      </c>
      <c r="D15138" s="12" t="str">
        <f ca="1">IFERROR(__xludf.DUMMYFUNCTION("""COMPUTED_VALUE"""),"")</f>
        <v/>
      </c>
    </row>
    <row r="15139" spans="2:4" ht="13">
      <c r="B15139" s="12" t="str">
        <f ca="1">IFERROR(__xludf.DUMMYFUNCTION("""COMPUTED_VALUE"""),"")</f>
        <v/>
      </c>
      <c r="C15139" s="12" t="str">
        <f ca="1">IFERROR(__xludf.DUMMYFUNCTION("""COMPUTED_VALUE"""),"")</f>
        <v/>
      </c>
      <c r="D15139" s="12" t="str">
        <f ca="1">IFERROR(__xludf.DUMMYFUNCTION("""COMPUTED_VALUE"""),"")</f>
        <v/>
      </c>
    </row>
    <row r="15140" spans="2:4" ht="13">
      <c r="B15140" s="12" t="str">
        <f ca="1">IFERROR(__xludf.DUMMYFUNCTION("""COMPUTED_VALUE"""),"")</f>
        <v/>
      </c>
      <c r="C15140" s="12" t="str">
        <f ca="1">IFERROR(__xludf.DUMMYFUNCTION("""COMPUTED_VALUE"""),"")</f>
        <v/>
      </c>
      <c r="D15140" s="12" t="str">
        <f ca="1">IFERROR(__xludf.DUMMYFUNCTION("""COMPUTED_VALUE"""),"")</f>
        <v/>
      </c>
    </row>
    <row r="15141" spans="2:4" ht="13">
      <c r="B15141" s="12" t="str">
        <f ca="1">IFERROR(__xludf.DUMMYFUNCTION("""COMPUTED_VALUE"""),"")</f>
        <v/>
      </c>
      <c r="C15141" s="12" t="str">
        <f ca="1">IFERROR(__xludf.DUMMYFUNCTION("""COMPUTED_VALUE"""),"")</f>
        <v/>
      </c>
      <c r="D15141" s="12" t="str">
        <f ca="1">IFERROR(__xludf.DUMMYFUNCTION("""COMPUTED_VALUE"""),"")</f>
        <v/>
      </c>
    </row>
    <row r="15142" spans="2:4" ht="13">
      <c r="B15142" s="12" t="str">
        <f ca="1">IFERROR(__xludf.DUMMYFUNCTION("""COMPUTED_VALUE"""),"")</f>
        <v/>
      </c>
      <c r="C15142" s="12" t="str">
        <f ca="1">IFERROR(__xludf.DUMMYFUNCTION("""COMPUTED_VALUE"""),"")</f>
        <v/>
      </c>
      <c r="D15142" s="12" t="str">
        <f ca="1">IFERROR(__xludf.DUMMYFUNCTION("""COMPUTED_VALUE"""),"")</f>
        <v/>
      </c>
    </row>
    <row r="15143" spans="2:4" ht="13">
      <c r="B15143" s="12" t="str">
        <f ca="1">IFERROR(__xludf.DUMMYFUNCTION("""COMPUTED_VALUE"""),"")</f>
        <v/>
      </c>
      <c r="C15143" s="12" t="str">
        <f ca="1">IFERROR(__xludf.DUMMYFUNCTION("""COMPUTED_VALUE"""),"")</f>
        <v/>
      </c>
      <c r="D15143" s="12" t="str">
        <f ca="1">IFERROR(__xludf.DUMMYFUNCTION("""COMPUTED_VALUE"""),"")</f>
        <v/>
      </c>
    </row>
    <row r="15144" spans="2:4" ht="13">
      <c r="B15144" s="12" t="str">
        <f ca="1">IFERROR(__xludf.DUMMYFUNCTION("""COMPUTED_VALUE"""),"")</f>
        <v/>
      </c>
      <c r="C15144" s="12" t="str">
        <f ca="1">IFERROR(__xludf.DUMMYFUNCTION("""COMPUTED_VALUE"""),"")</f>
        <v/>
      </c>
      <c r="D15144" s="12" t="str">
        <f ca="1">IFERROR(__xludf.DUMMYFUNCTION("""COMPUTED_VALUE"""),"")</f>
        <v/>
      </c>
    </row>
    <row r="15145" spans="2:4" ht="13">
      <c r="B15145" s="12" t="str">
        <f ca="1">IFERROR(__xludf.DUMMYFUNCTION("""COMPUTED_VALUE"""),"")</f>
        <v/>
      </c>
      <c r="C15145" s="12" t="str">
        <f ca="1">IFERROR(__xludf.DUMMYFUNCTION("""COMPUTED_VALUE"""),"")</f>
        <v/>
      </c>
      <c r="D15145" s="12" t="str">
        <f ca="1">IFERROR(__xludf.DUMMYFUNCTION("""COMPUTED_VALUE"""),"")</f>
        <v/>
      </c>
    </row>
    <row r="15146" spans="2:4" ht="13">
      <c r="B15146" s="12" t="str">
        <f ca="1">IFERROR(__xludf.DUMMYFUNCTION("""COMPUTED_VALUE"""),"")</f>
        <v/>
      </c>
      <c r="C15146" s="12" t="str">
        <f ca="1">IFERROR(__xludf.DUMMYFUNCTION("""COMPUTED_VALUE"""),"")</f>
        <v/>
      </c>
      <c r="D15146" s="12" t="str">
        <f ca="1">IFERROR(__xludf.DUMMYFUNCTION("""COMPUTED_VALUE"""),"")</f>
        <v/>
      </c>
    </row>
    <row r="15147" spans="2:4" ht="13">
      <c r="B15147" s="12" t="str">
        <f ca="1">IFERROR(__xludf.DUMMYFUNCTION("""COMPUTED_VALUE"""),"")</f>
        <v/>
      </c>
      <c r="C15147" s="12" t="str">
        <f ca="1">IFERROR(__xludf.DUMMYFUNCTION("""COMPUTED_VALUE"""),"")</f>
        <v/>
      </c>
      <c r="D15147" s="12" t="str">
        <f ca="1">IFERROR(__xludf.DUMMYFUNCTION("""COMPUTED_VALUE"""),"")</f>
        <v/>
      </c>
    </row>
    <row r="15148" spans="2:4" ht="13">
      <c r="B15148" s="12" t="str">
        <f ca="1">IFERROR(__xludf.DUMMYFUNCTION("""COMPUTED_VALUE"""),"")</f>
        <v/>
      </c>
      <c r="C15148" s="12" t="str">
        <f ca="1">IFERROR(__xludf.DUMMYFUNCTION("""COMPUTED_VALUE"""),"")</f>
        <v/>
      </c>
      <c r="D15148" s="12" t="str">
        <f ca="1">IFERROR(__xludf.DUMMYFUNCTION("""COMPUTED_VALUE"""),"")</f>
        <v/>
      </c>
    </row>
    <row r="15149" spans="2:4" ht="13">
      <c r="B15149" s="12" t="str">
        <f ca="1">IFERROR(__xludf.DUMMYFUNCTION("""COMPUTED_VALUE"""),"")</f>
        <v/>
      </c>
      <c r="C15149" s="12" t="str">
        <f ca="1">IFERROR(__xludf.DUMMYFUNCTION("""COMPUTED_VALUE"""),"")</f>
        <v/>
      </c>
      <c r="D15149" s="12" t="str">
        <f ca="1">IFERROR(__xludf.DUMMYFUNCTION("""COMPUTED_VALUE"""),"")</f>
        <v/>
      </c>
    </row>
    <row r="15150" spans="2:4" ht="13">
      <c r="B15150" s="12" t="str">
        <f ca="1">IFERROR(__xludf.DUMMYFUNCTION("""COMPUTED_VALUE"""),"")</f>
        <v/>
      </c>
      <c r="C15150" s="12" t="str">
        <f ca="1">IFERROR(__xludf.DUMMYFUNCTION("""COMPUTED_VALUE"""),"")</f>
        <v/>
      </c>
      <c r="D15150" s="12" t="str">
        <f ca="1">IFERROR(__xludf.DUMMYFUNCTION("""COMPUTED_VALUE"""),"")</f>
        <v/>
      </c>
    </row>
    <row r="15151" spans="2:4" ht="13">
      <c r="B15151" s="12" t="str">
        <f ca="1">IFERROR(__xludf.DUMMYFUNCTION("""COMPUTED_VALUE"""),"")</f>
        <v/>
      </c>
      <c r="C15151" s="12" t="str">
        <f ca="1">IFERROR(__xludf.DUMMYFUNCTION("""COMPUTED_VALUE"""),"")</f>
        <v/>
      </c>
      <c r="D15151" s="12" t="str">
        <f ca="1">IFERROR(__xludf.DUMMYFUNCTION("""COMPUTED_VALUE"""),"")</f>
        <v/>
      </c>
    </row>
    <row r="15152" spans="2:4" ht="13">
      <c r="B15152" s="12" t="str">
        <f ca="1">IFERROR(__xludf.DUMMYFUNCTION("""COMPUTED_VALUE"""),"")</f>
        <v/>
      </c>
      <c r="C15152" s="12" t="str">
        <f ca="1">IFERROR(__xludf.DUMMYFUNCTION("""COMPUTED_VALUE"""),"")</f>
        <v/>
      </c>
      <c r="D15152" s="12" t="str">
        <f ca="1">IFERROR(__xludf.DUMMYFUNCTION("""COMPUTED_VALUE"""),"")</f>
        <v/>
      </c>
    </row>
    <row r="15153" spans="2:4" ht="13">
      <c r="B15153" s="12" t="str">
        <f ca="1">IFERROR(__xludf.DUMMYFUNCTION("""COMPUTED_VALUE"""),"")</f>
        <v/>
      </c>
      <c r="C15153" s="12" t="str">
        <f ca="1">IFERROR(__xludf.DUMMYFUNCTION("""COMPUTED_VALUE"""),"")</f>
        <v/>
      </c>
      <c r="D15153" s="12" t="str">
        <f ca="1">IFERROR(__xludf.DUMMYFUNCTION("""COMPUTED_VALUE"""),"")</f>
        <v/>
      </c>
    </row>
    <row r="15154" spans="2:4" ht="13">
      <c r="B15154" s="12" t="str">
        <f ca="1">IFERROR(__xludf.DUMMYFUNCTION("""COMPUTED_VALUE"""),"")</f>
        <v/>
      </c>
      <c r="C15154" s="12" t="str">
        <f ca="1">IFERROR(__xludf.DUMMYFUNCTION("""COMPUTED_VALUE"""),"")</f>
        <v/>
      </c>
      <c r="D15154" s="12" t="str">
        <f ca="1">IFERROR(__xludf.DUMMYFUNCTION("""COMPUTED_VALUE"""),"")</f>
        <v/>
      </c>
    </row>
    <row r="15155" spans="2:4" ht="13">
      <c r="B15155" s="12" t="str">
        <f ca="1">IFERROR(__xludf.DUMMYFUNCTION("""COMPUTED_VALUE"""),"")</f>
        <v/>
      </c>
      <c r="C15155" s="12" t="str">
        <f ca="1">IFERROR(__xludf.DUMMYFUNCTION("""COMPUTED_VALUE"""),"")</f>
        <v/>
      </c>
      <c r="D15155" s="12" t="str">
        <f ca="1">IFERROR(__xludf.DUMMYFUNCTION("""COMPUTED_VALUE"""),"")</f>
        <v/>
      </c>
    </row>
    <row r="15156" spans="2:4" ht="13">
      <c r="B15156" s="12" t="str">
        <f ca="1">IFERROR(__xludf.DUMMYFUNCTION("""COMPUTED_VALUE"""),"")</f>
        <v/>
      </c>
      <c r="C15156" s="12" t="str">
        <f ca="1">IFERROR(__xludf.DUMMYFUNCTION("""COMPUTED_VALUE"""),"")</f>
        <v/>
      </c>
      <c r="D15156" s="12" t="str">
        <f ca="1">IFERROR(__xludf.DUMMYFUNCTION("""COMPUTED_VALUE"""),"")</f>
        <v/>
      </c>
    </row>
    <row r="15157" spans="2:4" ht="13">
      <c r="B15157" s="12" t="str">
        <f ca="1">IFERROR(__xludf.DUMMYFUNCTION("""COMPUTED_VALUE"""),"")</f>
        <v/>
      </c>
      <c r="C15157" s="12" t="str">
        <f ca="1">IFERROR(__xludf.DUMMYFUNCTION("""COMPUTED_VALUE"""),"")</f>
        <v/>
      </c>
      <c r="D15157" s="12" t="str">
        <f ca="1">IFERROR(__xludf.DUMMYFUNCTION("""COMPUTED_VALUE"""),"")</f>
        <v/>
      </c>
    </row>
    <row r="15158" spans="2:4" ht="13">
      <c r="B15158" s="12" t="str">
        <f ca="1">IFERROR(__xludf.DUMMYFUNCTION("""COMPUTED_VALUE"""),"")</f>
        <v/>
      </c>
      <c r="C15158" s="12" t="str">
        <f ca="1">IFERROR(__xludf.DUMMYFUNCTION("""COMPUTED_VALUE"""),"")</f>
        <v/>
      </c>
      <c r="D15158" s="12" t="str">
        <f ca="1">IFERROR(__xludf.DUMMYFUNCTION("""COMPUTED_VALUE"""),"")</f>
        <v/>
      </c>
    </row>
    <row r="15159" spans="2:4" ht="13">
      <c r="B15159" s="12" t="str">
        <f ca="1">IFERROR(__xludf.DUMMYFUNCTION("""COMPUTED_VALUE"""),"")</f>
        <v/>
      </c>
      <c r="C15159" s="12" t="str">
        <f ca="1">IFERROR(__xludf.DUMMYFUNCTION("""COMPUTED_VALUE"""),"")</f>
        <v/>
      </c>
      <c r="D15159" s="12" t="str">
        <f ca="1">IFERROR(__xludf.DUMMYFUNCTION("""COMPUTED_VALUE"""),"")</f>
        <v/>
      </c>
    </row>
    <row r="15160" spans="2:4" ht="13">
      <c r="B15160" s="12" t="str">
        <f ca="1">IFERROR(__xludf.DUMMYFUNCTION("""COMPUTED_VALUE"""),"")</f>
        <v/>
      </c>
      <c r="C15160" s="12" t="str">
        <f ca="1">IFERROR(__xludf.DUMMYFUNCTION("""COMPUTED_VALUE"""),"")</f>
        <v/>
      </c>
      <c r="D15160" s="12" t="str">
        <f ca="1">IFERROR(__xludf.DUMMYFUNCTION("""COMPUTED_VALUE"""),"")</f>
        <v/>
      </c>
    </row>
    <row r="15161" spans="2:4" ht="13">
      <c r="B15161" s="12" t="str">
        <f ca="1">IFERROR(__xludf.DUMMYFUNCTION("""COMPUTED_VALUE"""),"")</f>
        <v/>
      </c>
      <c r="C15161" s="12" t="str">
        <f ca="1">IFERROR(__xludf.DUMMYFUNCTION("""COMPUTED_VALUE"""),"")</f>
        <v/>
      </c>
      <c r="D15161" s="12" t="str">
        <f ca="1">IFERROR(__xludf.DUMMYFUNCTION("""COMPUTED_VALUE"""),"")</f>
        <v/>
      </c>
    </row>
    <row r="15162" spans="2:4" ht="13">
      <c r="B15162" s="12" t="str">
        <f ca="1">IFERROR(__xludf.DUMMYFUNCTION("""COMPUTED_VALUE"""),"")</f>
        <v/>
      </c>
      <c r="C15162" s="12" t="str">
        <f ca="1">IFERROR(__xludf.DUMMYFUNCTION("""COMPUTED_VALUE"""),"")</f>
        <v/>
      </c>
      <c r="D15162" s="12" t="str">
        <f ca="1">IFERROR(__xludf.DUMMYFUNCTION("""COMPUTED_VALUE"""),"")</f>
        <v/>
      </c>
    </row>
    <row r="15163" spans="2:4" ht="13">
      <c r="B15163" s="12" t="str">
        <f ca="1">IFERROR(__xludf.DUMMYFUNCTION("""COMPUTED_VALUE"""),"")</f>
        <v/>
      </c>
      <c r="C15163" s="12" t="str">
        <f ca="1">IFERROR(__xludf.DUMMYFUNCTION("""COMPUTED_VALUE"""),"")</f>
        <v/>
      </c>
      <c r="D15163" s="12" t="str">
        <f ca="1">IFERROR(__xludf.DUMMYFUNCTION("""COMPUTED_VALUE"""),"")</f>
        <v/>
      </c>
    </row>
    <row r="15164" spans="2:4" ht="13">
      <c r="B15164" s="12" t="str">
        <f ca="1">IFERROR(__xludf.DUMMYFUNCTION("""COMPUTED_VALUE"""),"")</f>
        <v/>
      </c>
      <c r="C15164" s="12" t="str">
        <f ca="1">IFERROR(__xludf.DUMMYFUNCTION("""COMPUTED_VALUE"""),"")</f>
        <v/>
      </c>
      <c r="D15164" s="12" t="str">
        <f ca="1">IFERROR(__xludf.DUMMYFUNCTION("""COMPUTED_VALUE"""),"")</f>
        <v/>
      </c>
    </row>
    <row r="15165" spans="2:4" ht="13">
      <c r="B15165" s="12" t="str">
        <f ca="1">IFERROR(__xludf.DUMMYFUNCTION("""COMPUTED_VALUE"""),"")</f>
        <v/>
      </c>
      <c r="C15165" s="12" t="str">
        <f ca="1">IFERROR(__xludf.DUMMYFUNCTION("""COMPUTED_VALUE"""),"")</f>
        <v/>
      </c>
      <c r="D15165" s="12" t="str">
        <f ca="1">IFERROR(__xludf.DUMMYFUNCTION("""COMPUTED_VALUE"""),"")</f>
        <v/>
      </c>
    </row>
    <row r="15166" spans="2:4" ht="13">
      <c r="B15166" s="12" t="str">
        <f ca="1">IFERROR(__xludf.DUMMYFUNCTION("""COMPUTED_VALUE"""),"")</f>
        <v/>
      </c>
      <c r="C15166" s="12" t="str">
        <f ca="1">IFERROR(__xludf.DUMMYFUNCTION("""COMPUTED_VALUE"""),"")</f>
        <v/>
      </c>
      <c r="D15166" s="12" t="str">
        <f ca="1">IFERROR(__xludf.DUMMYFUNCTION("""COMPUTED_VALUE"""),"")</f>
        <v/>
      </c>
    </row>
    <row r="15167" spans="2:4" ht="13">
      <c r="B15167" s="12" t="str">
        <f ca="1">IFERROR(__xludf.DUMMYFUNCTION("""COMPUTED_VALUE"""),"")</f>
        <v/>
      </c>
      <c r="C15167" s="12" t="str">
        <f ca="1">IFERROR(__xludf.DUMMYFUNCTION("""COMPUTED_VALUE"""),"")</f>
        <v/>
      </c>
      <c r="D15167" s="12" t="str">
        <f ca="1">IFERROR(__xludf.DUMMYFUNCTION("""COMPUTED_VALUE"""),"")</f>
        <v/>
      </c>
    </row>
    <row r="15168" spans="2:4" ht="13">
      <c r="B15168" s="12" t="str">
        <f ca="1">IFERROR(__xludf.DUMMYFUNCTION("""COMPUTED_VALUE"""),"")</f>
        <v/>
      </c>
      <c r="C15168" s="12" t="str">
        <f ca="1">IFERROR(__xludf.DUMMYFUNCTION("""COMPUTED_VALUE"""),"")</f>
        <v/>
      </c>
      <c r="D15168" s="12" t="str">
        <f ca="1">IFERROR(__xludf.DUMMYFUNCTION("""COMPUTED_VALUE"""),"")</f>
        <v/>
      </c>
    </row>
    <row r="15169" spans="2:4" ht="13">
      <c r="B15169" s="12" t="str">
        <f ca="1">IFERROR(__xludf.DUMMYFUNCTION("""COMPUTED_VALUE"""),"")</f>
        <v/>
      </c>
      <c r="C15169" s="12" t="str">
        <f ca="1">IFERROR(__xludf.DUMMYFUNCTION("""COMPUTED_VALUE"""),"")</f>
        <v/>
      </c>
      <c r="D15169" s="12" t="str">
        <f ca="1">IFERROR(__xludf.DUMMYFUNCTION("""COMPUTED_VALUE"""),"")</f>
        <v/>
      </c>
    </row>
    <row r="15170" spans="2:4" ht="13">
      <c r="B15170" s="12" t="str">
        <f ca="1">IFERROR(__xludf.DUMMYFUNCTION("""COMPUTED_VALUE"""),"")</f>
        <v/>
      </c>
      <c r="C15170" s="12" t="str">
        <f ca="1">IFERROR(__xludf.DUMMYFUNCTION("""COMPUTED_VALUE"""),"")</f>
        <v/>
      </c>
      <c r="D15170" s="12" t="str">
        <f ca="1">IFERROR(__xludf.DUMMYFUNCTION("""COMPUTED_VALUE"""),"")</f>
        <v/>
      </c>
    </row>
    <row r="15171" spans="2:4" ht="13">
      <c r="B15171" s="12" t="str">
        <f ca="1">IFERROR(__xludf.DUMMYFUNCTION("""COMPUTED_VALUE"""),"")</f>
        <v/>
      </c>
      <c r="C15171" s="12" t="str">
        <f ca="1">IFERROR(__xludf.DUMMYFUNCTION("""COMPUTED_VALUE"""),"")</f>
        <v/>
      </c>
      <c r="D15171" s="12" t="str">
        <f ca="1">IFERROR(__xludf.DUMMYFUNCTION("""COMPUTED_VALUE"""),"")</f>
        <v/>
      </c>
    </row>
    <row r="15172" spans="2:4" ht="13">
      <c r="B15172" s="12" t="str">
        <f ca="1">IFERROR(__xludf.DUMMYFUNCTION("""COMPUTED_VALUE"""),"")</f>
        <v/>
      </c>
      <c r="C15172" s="12" t="str">
        <f ca="1">IFERROR(__xludf.DUMMYFUNCTION("""COMPUTED_VALUE"""),"")</f>
        <v/>
      </c>
      <c r="D15172" s="12" t="str">
        <f ca="1">IFERROR(__xludf.DUMMYFUNCTION("""COMPUTED_VALUE"""),"")</f>
        <v/>
      </c>
    </row>
    <row r="15173" spans="2:4" ht="13">
      <c r="B15173" s="12" t="str">
        <f ca="1">IFERROR(__xludf.DUMMYFUNCTION("""COMPUTED_VALUE"""),"")</f>
        <v/>
      </c>
      <c r="C15173" s="12" t="str">
        <f ca="1">IFERROR(__xludf.DUMMYFUNCTION("""COMPUTED_VALUE"""),"")</f>
        <v/>
      </c>
      <c r="D15173" s="12" t="str">
        <f ca="1">IFERROR(__xludf.DUMMYFUNCTION("""COMPUTED_VALUE"""),"")</f>
        <v/>
      </c>
    </row>
    <row r="15174" spans="2:4" ht="13">
      <c r="B15174" s="12" t="str">
        <f ca="1">IFERROR(__xludf.DUMMYFUNCTION("""COMPUTED_VALUE"""),"")</f>
        <v/>
      </c>
      <c r="C15174" s="12" t="str">
        <f ca="1">IFERROR(__xludf.DUMMYFUNCTION("""COMPUTED_VALUE"""),"")</f>
        <v/>
      </c>
      <c r="D15174" s="12" t="str">
        <f ca="1">IFERROR(__xludf.DUMMYFUNCTION("""COMPUTED_VALUE"""),"")</f>
        <v/>
      </c>
    </row>
    <row r="15175" spans="2:4" ht="13">
      <c r="B15175" s="12" t="str">
        <f ca="1">IFERROR(__xludf.DUMMYFUNCTION("""COMPUTED_VALUE"""),"")</f>
        <v/>
      </c>
      <c r="C15175" s="12" t="str">
        <f ca="1">IFERROR(__xludf.DUMMYFUNCTION("""COMPUTED_VALUE"""),"")</f>
        <v/>
      </c>
      <c r="D15175" s="12" t="str">
        <f ca="1">IFERROR(__xludf.DUMMYFUNCTION("""COMPUTED_VALUE"""),"")</f>
        <v/>
      </c>
    </row>
    <row r="15176" spans="2:4" ht="13">
      <c r="B15176" s="12" t="str">
        <f ca="1">IFERROR(__xludf.DUMMYFUNCTION("""COMPUTED_VALUE"""),"")</f>
        <v/>
      </c>
      <c r="C15176" s="12" t="str">
        <f ca="1">IFERROR(__xludf.DUMMYFUNCTION("""COMPUTED_VALUE"""),"")</f>
        <v/>
      </c>
      <c r="D15176" s="12" t="str">
        <f ca="1">IFERROR(__xludf.DUMMYFUNCTION("""COMPUTED_VALUE"""),"")</f>
        <v/>
      </c>
    </row>
    <row r="15177" spans="2:4" ht="13">
      <c r="B15177" s="12" t="str">
        <f ca="1">IFERROR(__xludf.DUMMYFUNCTION("""COMPUTED_VALUE"""),"")</f>
        <v/>
      </c>
      <c r="C15177" s="12" t="str">
        <f ca="1">IFERROR(__xludf.DUMMYFUNCTION("""COMPUTED_VALUE"""),"")</f>
        <v/>
      </c>
      <c r="D15177" s="12" t="str">
        <f ca="1">IFERROR(__xludf.DUMMYFUNCTION("""COMPUTED_VALUE"""),"")</f>
        <v/>
      </c>
    </row>
    <row r="15178" spans="2:4" ht="13">
      <c r="B15178" s="12" t="str">
        <f ca="1">IFERROR(__xludf.DUMMYFUNCTION("""COMPUTED_VALUE"""),"")</f>
        <v/>
      </c>
      <c r="C15178" s="12" t="str">
        <f ca="1">IFERROR(__xludf.DUMMYFUNCTION("""COMPUTED_VALUE"""),"")</f>
        <v/>
      </c>
      <c r="D15178" s="12" t="str">
        <f ca="1">IFERROR(__xludf.DUMMYFUNCTION("""COMPUTED_VALUE"""),"")</f>
        <v/>
      </c>
    </row>
    <row r="15179" spans="2:4" ht="13">
      <c r="B15179" s="12" t="str">
        <f ca="1">IFERROR(__xludf.DUMMYFUNCTION("""COMPUTED_VALUE"""),"")</f>
        <v/>
      </c>
      <c r="C15179" s="12" t="str">
        <f ca="1">IFERROR(__xludf.DUMMYFUNCTION("""COMPUTED_VALUE"""),"")</f>
        <v/>
      </c>
      <c r="D15179" s="12" t="str">
        <f ca="1">IFERROR(__xludf.DUMMYFUNCTION("""COMPUTED_VALUE"""),"")</f>
        <v/>
      </c>
    </row>
    <row r="15180" spans="2:4" ht="13">
      <c r="B15180" s="12" t="str">
        <f ca="1">IFERROR(__xludf.DUMMYFUNCTION("""COMPUTED_VALUE"""),"")</f>
        <v/>
      </c>
      <c r="C15180" s="12" t="str">
        <f ca="1">IFERROR(__xludf.DUMMYFUNCTION("""COMPUTED_VALUE"""),"")</f>
        <v/>
      </c>
      <c r="D15180" s="12" t="str">
        <f ca="1">IFERROR(__xludf.DUMMYFUNCTION("""COMPUTED_VALUE"""),"")</f>
        <v/>
      </c>
    </row>
    <row r="15181" spans="2:4" ht="13">
      <c r="B15181" s="12" t="str">
        <f ca="1">IFERROR(__xludf.DUMMYFUNCTION("""COMPUTED_VALUE"""),"")</f>
        <v/>
      </c>
      <c r="C15181" s="12" t="str">
        <f ca="1">IFERROR(__xludf.DUMMYFUNCTION("""COMPUTED_VALUE"""),"")</f>
        <v/>
      </c>
      <c r="D15181" s="12" t="str">
        <f ca="1">IFERROR(__xludf.DUMMYFUNCTION("""COMPUTED_VALUE"""),"")</f>
        <v/>
      </c>
    </row>
    <row r="15182" spans="2:4" ht="13">
      <c r="B15182" s="12" t="str">
        <f ca="1">IFERROR(__xludf.DUMMYFUNCTION("""COMPUTED_VALUE"""),"")</f>
        <v/>
      </c>
      <c r="C15182" s="12" t="str">
        <f ca="1">IFERROR(__xludf.DUMMYFUNCTION("""COMPUTED_VALUE"""),"")</f>
        <v/>
      </c>
      <c r="D15182" s="12" t="str">
        <f ca="1">IFERROR(__xludf.DUMMYFUNCTION("""COMPUTED_VALUE"""),"")</f>
        <v/>
      </c>
    </row>
    <row r="15183" spans="2:4" ht="13">
      <c r="B15183" s="12" t="str">
        <f ca="1">IFERROR(__xludf.DUMMYFUNCTION("""COMPUTED_VALUE"""),"")</f>
        <v/>
      </c>
      <c r="C15183" s="12" t="str">
        <f ca="1">IFERROR(__xludf.DUMMYFUNCTION("""COMPUTED_VALUE"""),"")</f>
        <v/>
      </c>
      <c r="D15183" s="12" t="str">
        <f ca="1">IFERROR(__xludf.DUMMYFUNCTION("""COMPUTED_VALUE"""),"")</f>
        <v/>
      </c>
    </row>
    <row r="15184" spans="2:4" ht="13">
      <c r="B15184" s="12" t="str">
        <f ca="1">IFERROR(__xludf.DUMMYFUNCTION("""COMPUTED_VALUE"""),"")</f>
        <v/>
      </c>
      <c r="C15184" s="12" t="str">
        <f ca="1">IFERROR(__xludf.DUMMYFUNCTION("""COMPUTED_VALUE"""),"")</f>
        <v/>
      </c>
      <c r="D15184" s="12" t="str">
        <f ca="1">IFERROR(__xludf.DUMMYFUNCTION("""COMPUTED_VALUE"""),"")</f>
        <v/>
      </c>
    </row>
    <row r="15185" spans="2:4" ht="13">
      <c r="B15185" s="12" t="str">
        <f ca="1">IFERROR(__xludf.DUMMYFUNCTION("""COMPUTED_VALUE"""),"")</f>
        <v/>
      </c>
      <c r="C15185" s="12" t="str">
        <f ca="1">IFERROR(__xludf.DUMMYFUNCTION("""COMPUTED_VALUE"""),"")</f>
        <v/>
      </c>
      <c r="D15185" s="12" t="str">
        <f ca="1">IFERROR(__xludf.DUMMYFUNCTION("""COMPUTED_VALUE"""),"")</f>
        <v/>
      </c>
    </row>
    <row r="15186" spans="2:4" ht="13">
      <c r="B15186" s="12" t="str">
        <f ca="1">IFERROR(__xludf.DUMMYFUNCTION("""COMPUTED_VALUE"""),"")</f>
        <v/>
      </c>
      <c r="C15186" s="12" t="str">
        <f ca="1">IFERROR(__xludf.DUMMYFUNCTION("""COMPUTED_VALUE"""),"")</f>
        <v/>
      </c>
      <c r="D15186" s="12" t="str">
        <f ca="1">IFERROR(__xludf.DUMMYFUNCTION("""COMPUTED_VALUE"""),"")</f>
        <v/>
      </c>
    </row>
    <row r="15187" spans="2:4" ht="13">
      <c r="B15187" s="12" t="str">
        <f ca="1">IFERROR(__xludf.DUMMYFUNCTION("""COMPUTED_VALUE"""),"")</f>
        <v/>
      </c>
      <c r="C15187" s="12" t="str">
        <f ca="1">IFERROR(__xludf.DUMMYFUNCTION("""COMPUTED_VALUE"""),"")</f>
        <v/>
      </c>
      <c r="D15187" s="12" t="str">
        <f ca="1">IFERROR(__xludf.DUMMYFUNCTION("""COMPUTED_VALUE"""),"")</f>
        <v/>
      </c>
    </row>
    <row r="15188" spans="2:4" ht="13">
      <c r="B15188" s="12" t="str">
        <f ca="1">IFERROR(__xludf.DUMMYFUNCTION("""COMPUTED_VALUE"""),"")</f>
        <v/>
      </c>
      <c r="C15188" s="12" t="str">
        <f ca="1">IFERROR(__xludf.DUMMYFUNCTION("""COMPUTED_VALUE"""),"")</f>
        <v/>
      </c>
      <c r="D15188" s="12" t="str">
        <f ca="1">IFERROR(__xludf.DUMMYFUNCTION("""COMPUTED_VALUE"""),"")</f>
        <v/>
      </c>
    </row>
    <row r="15189" spans="2:4" ht="13">
      <c r="B15189" s="12" t="str">
        <f ca="1">IFERROR(__xludf.DUMMYFUNCTION("""COMPUTED_VALUE"""),"")</f>
        <v/>
      </c>
      <c r="C15189" s="12" t="str">
        <f ca="1">IFERROR(__xludf.DUMMYFUNCTION("""COMPUTED_VALUE"""),"")</f>
        <v/>
      </c>
      <c r="D15189" s="12" t="str">
        <f ca="1">IFERROR(__xludf.DUMMYFUNCTION("""COMPUTED_VALUE"""),"")</f>
        <v/>
      </c>
    </row>
    <row r="15190" spans="2:4" ht="13">
      <c r="B15190" s="12" t="str">
        <f ca="1">IFERROR(__xludf.DUMMYFUNCTION("""COMPUTED_VALUE"""),"")</f>
        <v/>
      </c>
      <c r="C15190" s="12" t="str">
        <f ca="1">IFERROR(__xludf.DUMMYFUNCTION("""COMPUTED_VALUE"""),"")</f>
        <v/>
      </c>
      <c r="D15190" s="12" t="str">
        <f ca="1">IFERROR(__xludf.DUMMYFUNCTION("""COMPUTED_VALUE"""),"")</f>
        <v/>
      </c>
    </row>
    <row r="15191" spans="2:4" ht="13">
      <c r="B15191" s="12" t="str">
        <f ca="1">IFERROR(__xludf.DUMMYFUNCTION("""COMPUTED_VALUE"""),"")</f>
        <v/>
      </c>
      <c r="C15191" s="12" t="str">
        <f ca="1">IFERROR(__xludf.DUMMYFUNCTION("""COMPUTED_VALUE"""),"")</f>
        <v/>
      </c>
      <c r="D15191" s="12" t="str">
        <f ca="1">IFERROR(__xludf.DUMMYFUNCTION("""COMPUTED_VALUE"""),"")</f>
        <v/>
      </c>
    </row>
    <row r="15192" spans="2:4" ht="13">
      <c r="B15192" s="12" t="str">
        <f ca="1">IFERROR(__xludf.DUMMYFUNCTION("""COMPUTED_VALUE"""),"")</f>
        <v/>
      </c>
      <c r="C15192" s="12" t="str">
        <f ca="1">IFERROR(__xludf.DUMMYFUNCTION("""COMPUTED_VALUE"""),"")</f>
        <v/>
      </c>
      <c r="D15192" s="12" t="str">
        <f ca="1">IFERROR(__xludf.DUMMYFUNCTION("""COMPUTED_VALUE"""),"")</f>
        <v/>
      </c>
    </row>
    <row r="15193" spans="2:4" ht="13">
      <c r="B15193" s="12" t="str">
        <f ca="1">IFERROR(__xludf.DUMMYFUNCTION("""COMPUTED_VALUE"""),"")</f>
        <v/>
      </c>
      <c r="C15193" s="12" t="str">
        <f ca="1">IFERROR(__xludf.DUMMYFUNCTION("""COMPUTED_VALUE"""),"")</f>
        <v/>
      </c>
      <c r="D15193" s="12" t="str">
        <f ca="1">IFERROR(__xludf.DUMMYFUNCTION("""COMPUTED_VALUE"""),"")</f>
        <v/>
      </c>
    </row>
    <row r="15194" spans="2:4" ht="13">
      <c r="B15194" s="12" t="str">
        <f ca="1">IFERROR(__xludf.DUMMYFUNCTION("""COMPUTED_VALUE"""),"")</f>
        <v/>
      </c>
      <c r="C15194" s="12" t="str">
        <f ca="1">IFERROR(__xludf.DUMMYFUNCTION("""COMPUTED_VALUE"""),"")</f>
        <v/>
      </c>
      <c r="D15194" s="12" t="str">
        <f ca="1">IFERROR(__xludf.DUMMYFUNCTION("""COMPUTED_VALUE"""),"")</f>
        <v/>
      </c>
    </row>
    <row r="15195" spans="2:4" ht="13">
      <c r="B15195" s="12" t="str">
        <f ca="1">IFERROR(__xludf.DUMMYFUNCTION("""COMPUTED_VALUE"""),"")</f>
        <v/>
      </c>
      <c r="C15195" s="12" t="str">
        <f ca="1">IFERROR(__xludf.DUMMYFUNCTION("""COMPUTED_VALUE"""),"")</f>
        <v/>
      </c>
      <c r="D15195" s="12" t="str">
        <f ca="1">IFERROR(__xludf.DUMMYFUNCTION("""COMPUTED_VALUE"""),"")</f>
        <v/>
      </c>
    </row>
    <row r="15196" spans="2:4" ht="13">
      <c r="B15196" s="12" t="str">
        <f ca="1">IFERROR(__xludf.DUMMYFUNCTION("""COMPUTED_VALUE"""),"")</f>
        <v/>
      </c>
      <c r="C15196" s="12" t="str">
        <f ca="1">IFERROR(__xludf.DUMMYFUNCTION("""COMPUTED_VALUE"""),"")</f>
        <v/>
      </c>
      <c r="D15196" s="12" t="str">
        <f ca="1">IFERROR(__xludf.DUMMYFUNCTION("""COMPUTED_VALUE"""),"")</f>
        <v/>
      </c>
    </row>
    <row r="15197" spans="2:4" ht="13">
      <c r="B15197" s="12" t="str">
        <f ca="1">IFERROR(__xludf.DUMMYFUNCTION("""COMPUTED_VALUE"""),"")</f>
        <v/>
      </c>
      <c r="C15197" s="12" t="str">
        <f ca="1">IFERROR(__xludf.DUMMYFUNCTION("""COMPUTED_VALUE"""),"")</f>
        <v/>
      </c>
      <c r="D15197" s="12" t="str">
        <f ca="1">IFERROR(__xludf.DUMMYFUNCTION("""COMPUTED_VALUE"""),"")</f>
        <v/>
      </c>
    </row>
    <row r="15198" spans="2:4" ht="13">
      <c r="B15198" s="12" t="str">
        <f ca="1">IFERROR(__xludf.DUMMYFUNCTION("""COMPUTED_VALUE"""),"")</f>
        <v/>
      </c>
      <c r="C15198" s="12" t="str">
        <f ca="1">IFERROR(__xludf.DUMMYFUNCTION("""COMPUTED_VALUE"""),"")</f>
        <v/>
      </c>
      <c r="D15198" s="12" t="str">
        <f ca="1">IFERROR(__xludf.DUMMYFUNCTION("""COMPUTED_VALUE"""),"")</f>
        <v/>
      </c>
    </row>
    <row r="15199" spans="2:4" ht="13">
      <c r="B15199" s="12" t="str">
        <f ca="1">IFERROR(__xludf.DUMMYFUNCTION("""COMPUTED_VALUE"""),"")</f>
        <v/>
      </c>
      <c r="C15199" s="12" t="str">
        <f ca="1">IFERROR(__xludf.DUMMYFUNCTION("""COMPUTED_VALUE"""),"")</f>
        <v/>
      </c>
      <c r="D15199" s="12" t="str">
        <f ca="1">IFERROR(__xludf.DUMMYFUNCTION("""COMPUTED_VALUE"""),"")</f>
        <v/>
      </c>
    </row>
    <row r="15200" spans="2:4" ht="13">
      <c r="B15200" s="12" t="str">
        <f ca="1">IFERROR(__xludf.DUMMYFUNCTION("""COMPUTED_VALUE"""),"")</f>
        <v/>
      </c>
      <c r="C15200" s="12" t="str">
        <f ca="1">IFERROR(__xludf.DUMMYFUNCTION("""COMPUTED_VALUE"""),"")</f>
        <v/>
      </c>
      <c r="D15200" s="12" t="str">
        <f ca="1">IFERROR(__xludf.DUMMYFUNCTION("""COMPUTED_VALUE"""),"")</f>
        <v/>
      </c>
    </row>
    <row r="15201" spans="2:4" ht="13">
      <c r="B15201" s="12" t="str">
        <f ca="1">IFERROR(__xludf.DUMMYFUNCTION("""COMPUTED_VALUE"""),"")</f>
        <v/>
      </c>
      <c r="C15201" s="12" t="str">
        <f ca="1">IFERROR(__xludf.DUMMYFUNCTION("""COMPUTED_VALUE"""),"")</f>
        <v/>
      </c>
      <c r="D15201" s="12" t="str">
        <f ca="1">IFERROR(__xludf.DUMMYFUNCTION("""COMPUTED_VALUE"""),"")</f>
        <v/>
      </c>
    </row>
    <row r="15202" spans="2:4" ht="13">
      <c r="B15202" s="12" t="str">
        <f ca="1">IFERROR(__xludf.DUMMYFUNCTION("""COMPUTED_VALUE"""),"")</f>
        <v/>
      </c>
      <c r="C15202" s="12" t="str">
        <f ca="1">IFERROR(__xludf.DUMMYFUNCTION("""COMPUTED_VALUE"""),"")</f>
        <v/>
      </c>
      <c r="D15202" s="12" t="str">
        <f ca="1">IFERROR(__xludf.DUMMYFUNCTION("""COMPUTED_VALUE"""),"")</f>
        <v/>
      </c>
    </row>
    <row r="15203" spans="2:4" ht="13">
      <c r="B15203" s="12" t="str">
        <f ca="1">IFERROR(__xludf.DUMMYFUNCTION("""COMPUTED_VALUE"""),"")</f>
        <v/>
      </c>
      <c r="C15203" s="12" t="str">
        <f ca="1">IFERROR(__xludf.DUMMYFUNCTION("""COMPUTED_VALUE"""),"")</f>
        <v/>
      </c>
      <c r="D15203" s="12" t="str">
        <f ca="1">IFERROR(__xludf.DUMMYFUNCTION("""COMPUTED_VALUE"""),"")</f>
        <v/>
      </c>
    </row>
    <row r="15204" spans="2:4" ht="13">
      <c r="B15204" s="12" t="str">
        <f ca="1">IFERROR(__xludf.DUMMYFUNCTION("""COMPUTED_VALUE"""),"")</f>
        <v/>
      </c>
      <c r="C15204" s="12" t="str">
        <f ca="1">IFERROR(__xludf.DUMMYFUNCTION("""COMPUTED_VALUE"""),"")</f>
        <v/>
      </c>
      <c r="D15204" s="12" t="str">
        <f ca="1">IFERROR(__xludf.DUMMYFUNCTION("""COMPUTED_VALUE"""),"")</f>
        <v/>
      </c>
    </row>
    <row r="15205" spans="2:4" ht="13">
      <c r="B15205" s="12" t="str">
        <f ca="1">IFERROR(__xludf.DUMMYFUNCTION("""COMPUTED_VALUE"""),"")</f>
        <v/>
      </c>
      <c r="C15205" s="12" t="str">
        <f ca="1">IFERROR(__xludf.DUMMYFUNCTION("""COMPUTED_VALUE"""),"")</f>
        <v/>
      </c>
      <c r="D15205" s="12" t="str">
        <f ca="1">IFERROR(__xludf.DUMMYFUNCTION("""COMPUTED_VALUE"""),"")</f>
        <v/>
      </c>
    </row>
    <row r="15206" spans="2:4" ht="13">
      <c r="B15206" s="12" t="str">
        <f ca="1">IFERROR(__xludf.DUMMYFUNCTION("""COMPUTED_VALUE"""),"")</f>
        <v/>
      </c>
      <c r="C15206" s="12" t="str">
        <f ca="1">IFERROR(__xludf.DUMMYFUNCTION("""COMPUTED_VALUE"""),"")</f>
        <v/>
      </c>
      <c r="D15206" s="12" t="str">
        <f ca="1">IFERROR(__xludf.DUMMYFUNCTION("""COMPUTED_VALUE"""),"")</f>
        <v/>
      </c>
    </row>
    <row r="15207" spans="2:4" ht="13">
      <c r="B15207" s="12" t="str">
        <f ca="1">IFERROR(__xludf.DUMMYFUNCTION("""COMPUTED_VALUE"""),"")</f>
        <v/>
      </c>
      <c r="C15207" s="12" t="str">
        <f ca="1">IFERROR(__xludf.DUMMYFUNCTION("""COMPUTED_VALUE"""),"")</f>
        <v/>
      </c>
      <c r="D15207" s="12" t="str">
        <f ca="1">IFERROR(__xludf.DUMMYFUNCTION("""COMPUTED_VALUE"""),"")</f>
        <v/>
      </c>
    </row>
    <row r="15208" spans="2:4" ht="13">
      <c r="B15208" s="12" t="str">
        <f ca="1">IFERROR(__xludf.DUMMYFUNCTION("""COMPUTED_VALUE"""),"")</f>
        <v/>
      </c>
      <c r="C15208" s="12" t="str">
        <f ca="1">IFERROR(__xludf.DUMMYFUNCTION("""COMPUTED_VALUE"""),"")</f>
        <v/>
      </c>
      <c r="D15208" s="12" t="str">
        <f ca="1">IFERROR(__xludf.DUMMYFUNCTION("""COMPUTED_VALUE"""),"")</f>
        <v/>
      </c>
    </row>
    <row r="15209" spans="2:4" ht="13">
      <c r="B15209" s="12" t="str">
        <f ca="1">IFERROR(__xludf.DUMMYFUNCTION("""COMPUTED_VALUE"""),"")</f>
        <v/>
      </c>
      <c r="C15209" s="12" t="str">
        <f ca="1">IFERROR(__xludf.DUMMYFUNCTION("""COMPUTED_VALUE"""),"")</f>
        <v/>
      </c>
      <c r="D15209" s="12" t="str">
        <f ca="1">IFERROR(__xludf.DUMMYFUNCTION("""COMPUTED_VALUE"""),"")</f>
        <v/>
      </c>
    </row>
    <row r="15210" spans="2:4" ht="13">
      <c r="B15210" s="12" t="str">
        <f ca="1">IFERROR(__xludf.DUMMYFUNCTION("""COMPUTED_VALUE"""),"")</f>
        <v/>
      </c>
      <c r="C15210" s="12" t="str">
        <f ca="1">IFERROR(__xludf.DUMMYFUNCTION("""COMPUTED_VALUE"""),"")</f>
        <v/>
      </c>
      <c r="D15210" s="12" t="str">
        <f ca="1">IFERROR(__xludf.DUMMYFUNCTION("""COMPUTED_VALUE"""),"")</f>
        <v/>
      </c>
    </row>
    <row r="15211" spans="2:4" ht="13">
      <c r="B15211" s="12" t="str">
        <f ca="1">IFERROR(__xludf.DUMMYFUNCTION("""COMPUTED_VALUE"""),"")</f>
        <v/>
      </c>
      <c r="C15211" s="12" t="str">
        <f ca="1">IFERROR(__xludf.DUMMYFUNCTION("""COMPUTED_VALUE"""),"")</f>
        <v/>
      </c>
      <c r="D15211" s="12" t="str">
        <f ca="1">IFERROR(__xludf.DUMMYFUNCTION("""COMPUTED_VALUE"""),"")</f>
        <v/>
      </c>
    </row>
    <row r="15212" spans="2:4" ht="13">
      <c r="B15212" s="12" t="str">
        <f ca="1">IFERROR(__xludf.DUMMYFUNCTION("""COMPUTED_VALUE"""),"")</f>
        <v/>
      </c>
      <c r="C15212" s="12" t="str">
        <f ca="1">IFERROR(__xludf.DUMMYFUNCTION("""COMPUTED_VALUE"""),"")</f>
        <v/>
      </c>
      <c r="D15212" s="12" t="str">
        <f ca="1">IFERROR(__xludf.DUMMYFUNCTION("""COMPUTED_VALUE"""),"")</f>
        <v/>
      </c>
    </row>
    <row r="15213" spans="2:4" ht="13">
      <c r="B15213" s="12" t="str">
        <f ca="1">IFERROR(__xludf.DUMMYFUNCTION("""COMPUTED_VALUE"""),"")</f>
        <v/>
      </c>
      <c r="C15213" s="12" t="str">
        <f ca="1">IFERROR(__xludf.DUMMYFUNCTION("""COMPUTED_VALUE"""),"")</f>
        <v/>
      </c>
      <c r="D15213" s="12" t="str">
        <f ca="1">IFERROR(__xludf.DUMMYFUNCTION("""COMPUTED_VALUE"""),"")</f>
        <v/>
      </c>
    </row>
    <row r="15214" spans="2:4" ht="13">
      <c r="B15214" s="12" t="str">
        <f ca="1">IFERROR(__xludf.DUMMYFUNCTION("""COMPUTED_VALUE"""),"")</f>
        <v/>
      </c>
      <c r="C15214" s="12" t="str">
        <f ca="1">IFERROR(__xludf.DUMMYFUNCTION("""COMPUTED_VALUE"""),"")</f>
        <v/>
      </c>
      <c r="D15214" s="12" t="str">
        <f ca="1">IFERROR(__xludf.DUMMYFUNCTION("""COMPUTED_VALUE"""),"")</f>
        <v/>
      </c>
    </row>
    <row r="15215" spans="2:4" ht="13">
      <c r="B15215" s="12" t="str">
        <f ca="1">IFERROR(__xludf.DUMMYFUNCTION("""COMPUTED_VALUE"""),"")</f>
        <v/>
      </c>
      <c r="C15215" s="12" t="str">
        <f ca="1">IFERROR(__xludf.DUMMYFUNCTION("""COMPUTED_VALUE"""),"")</f>
        <v/>
      </c>
      <c r="D15215" s="12" t="str">
        <f ca="1">IFERROR(__xludf.DUMMYFUNCTION("""COMPUTED_VALUE"""),"")</f>
        <v/>
      </c>
    </row>
    <row r="15216" spans="2:4" ht="13">
      <c r="B15216" s="12" t="str">
        <f ca="1">IFERROR(__xludf.DUMMYFUNCTION("""COMPUTED_VALUE"""),"")</f>
        <v/>
      </c>
      <c r="C15216" s="12" t="str">
        <f ca="1">IFERROR(__xludf.DUMMYFUNCTION("""COMPUTED_VALUE"""),"")</f>
        <v/>
      </c>
      <c r="D15216" s="12" t="str">
        <f ca="1">IFERROR(__xludf.DUMMYFUNCTION("""COMPUTED_VALUE"""),"")</f>
        <v/>
      </c>
    </row>
    <row r="15217" spans="2:4" ht="13">
      <c r="B15217" s="12" t="str">
        <f ca="1">IFERROR(__xludf.DUMMYFUNCTION("""COMPUTED_VALUE"""),"")</f>
        <v/>
      </c>
      <c r="C15217" s="12" t="str">
        <f ca="1">IFERROR(__xludf.DUMMYFUNCTION("""COMPUTED_VALUE"""),"")</f>
        <v/>
      </c>
      <c r="D15217" s="12" t="str">
        <f ca="1">IFERROR(__xludf.DUMMYFUNCTION("""COMPUTED_VALUE"""),"")</f>
        <v/>
      </c>
    </row>
    <row r="15218" spans="2:4" ht="13">
      <c r="B15218" s="12" t="str">
        <f ca="1">IFERROR(__xludf.DUMMYFUNCTION("""COMPUTED_VALUE"""),"")</f>
        <v/>
      </c>
      <c r="C15218" s="12" t="str">
        <f ca="1">IFERROR(__xludf.DUMMYFUNCTION("""COMPUTED_VALUE"""),"")</f>
        <v/>
      </c>
      <c r="D15218" s="12" t="str">
        <f ca="1">IFERROR(__xludf.DUMMYFUNCTION("""COMPUTED_VALUE"""),"")</f>
        <v/>
      </c>
    </row>
    <row r="15219" spans="2:4" ht="13">
      <c r="B15219" s="12" t="str">
        <f ca="1">IFERROR(__xludf.DUMMYFUNCTION("""COMPUTED_VALUE"""),"")</f>
        <v/>
      </c>
      <c r="C15219" s="12" t="str">
        <f ca="1">IFERROR(__xludf.DUMMYFUNCTION("""COMPUTED_VALUE"""),"")</f>
        <v/>
      </c>
      <c r="D15219" s="12" t="str">
        <f ca="1">IFERROR(__xludf.DUMMYFUNCTION("""COMPUTED_VALUE"""),"")</f>
        <v/>
      </c>
    </row>
    <row r="15220" spans="2:4" ht="13">
      <c r="B15220" s="12" t="str">
        <f ca="1">IFERROR(__xludf.DUMMYFUNCTION("""COMPUTED_VALUE"""),"")</f>
        <v/>
      </c>
      <c r="C15220" s="12" t="str">
        <f ca="1">IFERROR(__xludf.DUMMYFUNCTION("""COMPUTED_VALUE"""),"")</f>
        <v/>
      </c>
      <c r="D15220" s="12" t="str">
        <f ca="1">IFERROR(__xludf.DUMMYFUNCTION("""COMPUTED_VALUE"""),"")</f>
        <v/>
      </c>
    </row>
    <row r="15221" spans="2:4" ht="13">
      <c r="B15221" s="12" t="str">
        <f ca="1">IFERROR(__xludf.DUMMYFUNCTION("""COMPUTED_VALUE"""),"")</f>
        <v/>
      </c>
      <c r="C15221" s="12" t="str">
        <f ca="1">IFERROR(__xludf.DUMMYFUNCTION("""COMPUTED_VALUE"""),"")</f>
        <v/>
      </c>
      <c r="D15221" s="12" t="str">
        <f ca="1">IFERROR(__xludf.DUMMYFUNCTION("""COMPUTED_VALUE"""),"")</f>
        <v/>
      </c>
    </row>
    <row r="15222" spans="2:4" ht="13">
      <c r="B15222" s="12" t="str">
        <f ca="1">IFERROR(__xludf.DUMMYFUNCTION("""COMPUTED_VALUE"""),"")</f>
        <v/>
      </c>
      <c r="C15222" s="12" t="str">
        <f ca="1">IFERROR(__xludf.DUMMYFUNCTION("""COMPUTED_VALUE"""),"")</f>
        <v/>
      </c>
      <c r="D15222" s="12" t="str">
        <f ca="1">IFERROR(__xludf.DUMMYFUNCTION("""COMPUTED_VALUE"""),"")</f>
        <v/>
      </c>
    </row>
    <row r="15223" spans="2:4" ht="13">
      <c r="B15223" s="12" t="str">
        <f ca="1">IFERROR(__xludf.DUMMYFUNCTION("""COMPUTED_VALUE"""),"")</f>
        <v/>
      </c>
      <c r="C15223" s="12" t="str">
        <f ca="1">IFERROR(__xludf.DUMMYFUNCTION("""COMPUTED_VALUE"""),"")</f>
        <v/>
      </c>
      <c r="D15223" s="12" t="str">
        <f ca="1">IFERROR(__xludf.DUMMYFUNCTION("""COMPUTED_VALUE"""),"")</f>
        <v/>
      </c>
    </row>
    <row r="15224" spans="2:4" ht="13">
      <c r="B15224" s="12" t="str">
        <f ca="1">IFERROR(__xludf.DUMMYFUNCTION("""COMPUTED_VALUE"""),"")</f>
        <v/>
      </c>
      <c r="C15224" s="12" t="str">
        <f ca="1">IFERROR(__xludf.DUMMYFUNCTION("""COMPUTED_VALUE"""),"")</f>
        <v/>
      </c>
      <c r="D15224" s="12" t="str">
        <f ca="1">IFERROR(__xludf.DUMMYFUNCTION("""COMPUTED_VALUE"""),"")</f>
        <v/>
      </c>
    </row>
    <row r="15225" spans="2:4" ht="13">
      <c r="B15225" s="12" t="str">
        <f ca="1">IFERROR(__xludf.DUMMYFUNCTION("""COMPUTED_VALUE"""),"")</f>
        <v/>
      </c>
      <c r="C15225" s="12" t="str">
        <f ca="1">IFERROR(__xludf.DUMMYFUNCTION("""COMPUTED_VALUE"""),"")</f>
        <v/>
      </c>
      <c r="D15225" s="12" t="str">
        <f ca="1">IFERROR(__xludf.DUMMYFUNCTION("""COMPUTED_VALUE"""),"")</f>
        <v/>
      </c>
    </row>
    <row r="15226" spans="2:4" ht="13">
      <c r="B15226" s="12" t="str">
        <f ca="1">IFERROR(__xludf.DUMMYFUNCTION("""COMPUTED_VALUE"""),"")</f>
        <v/>
      </c>
      <c r="C15226" s="12" t="str">
        <f ca="1">IFERROR(__xludf.DUMMYFUNCTION("""COMPUTED_VALUE"""),"")</f>
        <v/>
      </c>
      <c r="D15226" s="12" t="str">
        <f ca="1">IFERROR(__xludf.DUMMYFUNCTION("""COMPUTED_VALUE"""),"")</f>
        <v/>
      </c>
    </row>
    <row r="15227" spans="2:4" ht="13">
      <c r="B15227" s="12" t="str">
        <f ca="1">IFERROR(__xludf.DUMMYFUNCTION("""COMPUTED_VALUE"""),"")</f>
        <v/>
      </c>
      <c r="C15227" s="12" t="str">
        <f ca="1">IFERROR(__xludf.DUMMYFUNCTION("""COMPUTED_VALUE"""),"")</f>
        <v/>
      </c>
      <c r="D15227" s="12" t="str">
        <f ca="1">IFERROR(__xludf.DUMMYFUNCTION("""COMPUTED_VALUE"""),"")</f>
        <v/>
      </c>
    </row>
    <row r="15228" spans="2:4" ht="13">
      <c r="B15228" s="12" t="str">
        <f ca="1">IFERROR(__xludf.DUMMYFUNCTION("""COMPUTED_VALUE"""),"")</f>
        <v/>
      </c>
      <c r="C15228" s="12" t="str">
        <f ca="1">IFERROR(__xludf.DUMMYFUNCTION("""COMPUTED_VALUE"""),"")</f>
        <v/>
      </c>
      <c r="D15228" s="12" t="str">
        <f ca="1">IFERROR(__xludf.DUMMYFUNCTION("""COMPUTED_VALUE"""),"")</f>
        <v/>
      </c>
    </row>
    <row r="15229" spans="2:4" ht="13">
      <c r="B15229" s="12" t="str">
        <f ca="1">IFERROR(__xludf.DUMMYFUNCTION("""COMPUTED_VALUE"""),"")</f>
        <v/>
      </c>
      <c r="C15229" s="12" t="str">
        <f ca="1">IFERROR(__xludf.DUMMYFUNCTION("""COMPUTED_VALUE"""),"")</f>
        <v/>
      </c>
      <c r="D15229" s="12" t="str">
        <f ca="1">IFERROR(__xludf.DUMMYFUNCTION("""COMPUTED_VALUE"""),"")</f>
        <v/>
      </c>
    </row>
    <row r="15230" spans="2:4" ht="13">
      <c r="B15230" s="12" t="str">
        <f ca="1">IFERROR(__xludf.DUMMYFUNCTION("""COMPUTED_VALUE"""),"")</f>
        <v/>
      </c>
      <c r="C15230" s="12" t="str">
        <f ca="1">IFERROR(__xludf.DUMMYFUNCTION("""COMPUTED_VALUE"""),"")</f>
        <v/>
      </c>
      <c r="D15230" s="12" t="str">
        <f ca="1">IFERROR(__xludf.DUMMYFUNCTION("""COMPUTED_VALUE"""),"")</f>
        <v/>
      </c>
    </row>
    <row r="15231" spans="2:4" ht="13">
      <c r="B15231" s="12" t="str">
        <f ca="1">IFERROR(__xludf.DUMMYFUNCTION("""COMPUTED_VALUE"""),"")</f>
        <v/>
      </c>
      <c r="C15231" s="12" t="str">
        <f ca="1">IFERROR(__xludf.DUMMYFUNCTION("""COMPUTED_VALUE"""),"")</f>
        <v/>
      </c>
      <c r="D15231" s="12" t="str">
        <f ca="1">IFERROR(__xludf.DUMMYFUNCTION("""COMPUTED_VALUE"""),"")</f>
        <v/>
      </c>
    </row>
    <row r="15232" spans="2:4" ht="13">
      <c r="B15232" s="12" t="str">
        <f ca="1">IFERROR(__xludf.DUMMYFUNCTION("""COMPUTED_VALUE"""),"")</f>
        <v/>
      </c>
      <c r="C15232" s="12" t="str">
        <f ca="1">IFERROR(__xludf.DUMMYFUNCTION("""COMPUTED_VALUE"""),"")</f>
        <v/>
      </c>
      <c r="D15232" s="12" t="str">
        <f ca="1">IFERROR(__xludf.DUMMYFUNCTION("""COMPUTED_VALUE"""),"")</f>
        <v/>
      </c>
    </row>
    <row r="15233" spans="2:4" ht="13">
      <c r="B15233" s="12" t="str">
        <f ca="1">IFERROR(__xludf.DUMMYFUNCTION("""COMPUTED_VALUE"""),"")</f>
        <v/>
      </c>
      <c r="C15233" s="12" t="str">
        <f ca="1">IFERROR(__xludf.DUMMYFUNCTION("""COMPUTED_VALUE"""),"")</f>
        <v/>
      </c>
      <c r="D15233" s="12" t="str">
        <f ca="1">IFERROR(__xludf.DUMMYFUNCTION("""COMPUTED_VALUE"""),"")</f>
        <v/>
      </c>
    </row>
    <row r="15234" spans="2:4" ht="13">
      <c r="B15234" s="12" t="str">
        <f ca="1">IFERROR(__xludf.DUMMYFUNCTION("""COMPUTED_VALUE"""),"")</f>
        <v/>
      </c>
      <c r="C15234" s="12" t="str">
        <f ca="1">IFERROR(__xludf.DUMMYFUNCTION("""COMPUTED_VALUE"""),"")</f>
        <v/>
      </c>
      <c r="D15234" s="12" t="str">
        <f ca="1">IFERROR(__xludf.DUMMYFUNCTION("""COMPUTED_VALUE"""),"")</f>
        <v/>
      </c>
    </row>
    <row r="15235" spans="2:4" ht="13">
      <c r="B15235" s="12" t="str">
        <f ca="1">IFERROR(__xludf.DUMMYFUNCTION("""COMPUTED_VALUE"""),"")</f>
        <v/>
      </c>
      <c r="C15235" s="12" t="str">
        <f ca="1">IFERROR(__xludf.DUMMYFUNCTION("""COMPUTED_VALUE"""),"")</f>
        <v/>
      </c>
      <c r="D15235" s="12" t="str">
        <f ca="1">IFERROR(__xludf.DUMMYFUNCTION("""COMPUTED_VALUE"""),"")</f>
        <v/>
      </c>
    </row>
    <row r="15236" spans="2:4" ht="13">
      <c r="B15236" s="12" t="str">
        <f ca="1">IFERROR(__xludf.DUMMYFUNCTION("""COMPUTED_VALUE"""),"")</f>
        <v/>
      </c>
      <c r="C15236" s="12" t="str">
        <f ca="1">IFERROR(__xludf.DUMMYFUNCTION("""COMPUTED_VALUE"""),"")</f>
        <v/>
      </c>
      <c r="D15236" s="12" t="str">
        <f ca="1">IFERROR(__xludf.DUMMYFUNCTION("""COMPUTED_VALUE"""),"")</f>
        <v/>
      </c>
    </row>
    <row r="15237" spans="2:4" ht="13">
      <c r="B15237" s="12" t="str">
        <f ca="1">IFERROR(__xludf.DUMMYFUNCTION("""COMPUTED_VALUE"""),"")</f>
        <v/>
      </c>
      <c r="C15237" s="12" t="str">
        <f ca="1">IFERROR(__xludf.DUMMYFUNCTION("""COMPUTED_VALUE"""),"")</f>
        <v/>
      </c>
      <c r="D15237" s="12" t="str">
        <f ca="1">IFERROR(__xludf.DUMMYFUNCTION("""COMPUTED_VALUE"""),"")</f>
        <v/>
      </c>
    </row>
    <row r="15238" spans="2:4" ht="13">
      <c r="B15238" s="12" t="str">
        <f ca="1">IFERROR(__xludf.DUMMYFUNCTION("""COMPUTED_VALUE"""),"")</f>
        <v/>
      </c>
      <c r="C15238" s="12" t="str">
        <f ca="1">IFERROR(__xludf.DUMMYFUNCTION("""COMPUTED_VALUE"""),"")</f>
        <v/>
      </c>
      <c r="D15238" s="12" t="str">
        <f ca="1">IFERROR(__xludf.DUMMYFUNCTION("""COMPUTED_VALUE"""),"")</f>
        <v/>
      </c>
    </row>
    <row r="15239" spans="2:4" ht="13">
      <c r="B15239" s="12" t="str">
        <f ca="1">IFERROR(__xludf.DUMMYFUNCTION("""COMPUTED_VALUE"""),"")</f>
        <v/>
      </c>
      <c r="C15239" s="12" t="str">
        <f ca="1">IFERROR(__xludf.DUMMYFUNCTION("""COMPUTED_VALUE"""),"")</f>
        <v/>
      </c>
      <c r="D15239" s="12" t="str">
        <f ca="1">IFERROR(__xludf.DUMMYFUNCTION("""COMPUTED_VALUE"""),"")</f>
        <v/>
      </c>
    </row>
    <row r="15240" spans="2:4" ht="13">
      <c r="B15240" s="12" t="str">
        <f ca="1">IFERROR(__xludf.DUMMYFUNCTION("""COMPUTED_VALUE"""),"")</f>
        <v/>
      </c>
      <c r="C15240" s="12" t="str">
        <f ca="1">IFERROR(__xludf.DUMMYFUNCTION("""COMPUTED_VALUE"""),"")</f>
        <v/>
      </c>
      <c r="D15240" s="12" t="str">
        <f ca="1">IFERROR(__xludf.DUMMYFUNCTION("""COMPUTED_VALUE"""),"")</f>
        <v/>
      </c>
    </row>
    <row r="15241" spans="2:4" ht="13">
      <c r="B15241" s="12" t="str">
        <f ca="1">IFERROR(__xludf.DUMMYFUNCTION("""COMPUTED_VALUE"""),"")</f>
        <v/>
      </c>
      <c r="C15241" s="12" t="str">
        <f ca="1">IFERROR(__xludf.DUMMYFUNCTION("""COMPUTED_VALUE"""),"")</f>
        <v/>
      </c>
      <c r="D15241" s="12" t="str">
        <f ca="1">IFERROR(__xludf.DUMMYFUNCTION("""COMPUTED_VALUE"""),"")</f>
        <v/>
      </c>
    </row>
    <row r="15242" spans="2:4" ht="13">
      <c r="B15242" s="12" t="str">
        <f ca="1">IFERROR(__xludf.DUMMYFUNCTION("""COMPUTED_VALUE"""),"")</f>
        <v/>
      </c>
      <c r="C15242" s="12" t="str">
        <f ca="1">IFERROR(__xludf.DUMMYFUNCTION("""COMPUTED_VALUE"""),"")</f>
        <v/>
      </c>
      <c r="D15242" s="12" t="str">
        <f ca="1">IFERROR(__xludf.DUMMYFUNCTION("""COMPUTED_VALUE"""),"")</f>
        <v/>
      </c>
    </row>
    <row r="15243" spans="2:4" ht="13">
      <c r="B15243" s="12" t="str">
        <f ca="1">IFERROR(__xludf.DUMMYFUNCTION("""COMPUTED_VALUE"""),"")</f>
        <v/>
      </c>
      <c r="C15243" s="12" t="str">
        <f ca="1">IFERROR(__xludf.DUMMYFUNCTION("""COMPUTED_VALUE"""),"")</f>
        <v/>
      </c>
      <c r="D15243" s="12" t="str">
        <f ca="1">IFERROR(__xludf.DUMMYFUNCTION("""COMPUTED_VALUE"""),"")</f>
        <v/>
      </c>
    </row>
    <row r="15244" spans="2:4" ht="13">
      <c r="B15244" s="12" t="str">
        <f ca="1">IFERROR(__xludf.DUMMYFUNCTION("""COMPUTED_VALUE"""),"")</f>
        <v/>
      </c>
      <c r="C15244" s="12" t="str">
        <f ca="1">IFERROR(__xludf.DUMMYFUNCTION("""COMPUTED_VALUE"""),"")</f>
        <v/>
      </c>
      <c r="D15244" s="12" t="str">
        <f ca="1">IFERROR(__xludf.DUMMYFUNCTION("""COMPUTED_VALUE"""),"")</f>
        <v/>
      </c>
    </row>
    <row r="15245" spans="2:4" ht="13">
      <c r="B15245" s="12" t="str">
        <f ca="1">IFERROR(__xludf.DUMMYFUNCTION("""COMPUTED_VALUE"""),"")</f>
        <v/>
      </c>
      <c r="C15245" s="12" t="str">
        <f ca="1">IFERROR(__xludf.DUMMYFUNCTION("""COMPUTED_VALUE"""),"")</f>
        <v/>
      </c>
      <c r="D15245" s="12" t="str">
        <f ca="1">IFERROR(__xludf.DUMMYFUNCTION("""COMPUTED_VALUE"""),"")</f>
        <v/>
      </c>
    </row>
    <row r="15246" spans="2:4" ht="13">
      <c r="B15246" s="12" t="str">
        <f ca="1">IFERROR(__xludf.DUMMYFUNCTION("""COMPUTED_VALUE"""),"")</f>
        <v/>
      </c>
      <c r="C15246" s="12" t="str">
        <f ca="1">IFERROR(__xludf.DUMMYFUNCTION("""COMPUTED_VALUE"""),"")</f>
        <v/>
      </c>
      <c r="D15246" s="12" t="str">
        <f ca="1">IFERROR(__xludf.DUMMYFUNCTION("""COMPUTED_VALUE"""),"")</f>
        <v/>
      </c>
    </row>
    <row r="15247" spans="2:4" ht="13">
      <c r="B15247" s="12" t="str">
        <f ca="1">IFERROR(__xludf.DUMMYFUNCTION("""COMPUTED_VALUE"""),"")</f>
        <v/>
      </c>
      <c r="C15247" s="12" t="str">
        <f ca="1">IFERROR(__xludf.DUMMYFUNCTION("""COMPUTED_VALUE"""),"")</f>
        <v/>
      </c>
      <c r="D15247" s="12" t="str">
        <f ca="1">IFERROR(__xludf.DUMMYFUNCTION("""COMPUTED_VALUE"""),"")</f>
        <v/>
      </c>
    </row>
    <row r="15248" spans="2:4" ht="13">
      <c r="B15248" s="12" t="str">
        <f ca="1">IFERROR(__xludf.DUMMYFUNCTION("""COMPUTED_VALUE"""),"")</f>
        <v/>
      </c>
      <c r="C15248" s="12" t="str">
        <f ca="1">IFERROR(__xludf.DUMMYFUNCTION("""COMPUTED_VALUE"""),"")</f>
        <v/>
      </c>
      <c r="D15248" s="12" t="str">
        <f ca="1">IFERROR(__xludf.DUMMYFUNCTION("""COMPUTED_VALUE"""),"")</f>
        <v/>
      </c>
    </row>
    <row r="15249" spans="2:4" ht="13">
      <c r="B15249" s="12" t="str">
        <f ca="1">IFERROR(__xludf.DUMMYFUNCTION("""COMPUTED_VALUE"""),"")</f>
        <v/>
      </c>
      <c r="C15249" s="12" t="str">
        <f ca="1">IFERROR(__xludf.DUMMYFUNCTION("""COMPUTED_VALUE"""),"")</f>
        <v/>
      </c>
      <c r="D15249" s="12" t="str">
        <f ca="1">IFERROR(__xludf.DUMMYFUNCTION("""COMPUTED_VALUE"""),"")</f>
        <v/>
      </c>
    </row>
    <row r="15250" spans="2:4" ht="13">
      <c r="B15250" s="12" t="str">
        <f ca="1">IFERROR(__xludf.DUMMYFUNCTION("""COMPUTED_VALUE"""),"")</f>
        <v/>
      </c>
      <c r="C15250" s="12" t="str">
        <f ca="1">IFERROR(__xludf.DUMMYFUNCTION("""COMPUTED_VALUE"""),"")</f>
        <v/>
      </c>
      <c r="D15250" s="12" t="str">
        <f ca="1">IFERROR(__xludf.DUMMYFUNCTION("""COMPUTED_VALUE"""),"")</f>
        <v/>
      </c>
    </row>
    <row r="15251" spans="2:4" ht="13">
      <c r="B15251" s="12" t="str">
        <f ca="1">IFERROR(__xludf.DUMMYFUNCTION("""COMPUTED_VALUE"""),"")</f>
        <v/>
      </c>
      <c r="C15251" s="12" t="str">
        <f ca="1">IFERROR(__xludf.DUMMYFUNCTION("""COMPUTED_VALUE"""),"")</f>
        <v/>
      </c>
      <c r="D15251" s="12" t="str">
        <f ca="1">IFERROR(__xludf.DUMMYFUNCTION("""COMPUTED_VALUE"""),"")</f>
        <v/>
      </c>
    </row>
    <row r="15252" spans="2:4" ht="13">
      <c r="B15252" s="12" t="str">
        <f ca="1">IFERROR(__xludf.DUMMYFUNCTION("""COMPUTED_VALUE"""),"")</f>
        <v/>
      </c>
      <c r="C15252" s="12" t="str">
        <f ca="1">IFERROR(__xludf.DUMMYFUNCTION("""COMPUTED_VALUE"""),"")</f>
        <v/>
      </c>
      <c r="D15252" s="12" t="str">
        <f ca="1">IFERROR(__xludf.DUMMYFUNCTION("""COMPUTED_VALUE"""),"")</f>
        <v/>
      </c>
    </row>
    <row r="15253" spans="2:4" ht="13">
      <c r="B15253" s="12" t="str">
        <f ca="1">IFERROR(__xludf.DUMMYFUNCTION("""COMPUTED_VALUE"""),"")</f>
        <v/>
      </c>
      <c r="C15253" s="12" t="str">
        <f ca="1">IFERROR(__xludf.DUMMYFUNCTION("""COMPUTED_VALUE"""),"")</f>
        <v/>
      </c>
      <c r="D15253" s="12" t="str">
        <f ca="1">IFERROR(__xludf.DUMMYFUNCTION("""COMPUTED_VALUE"""),"")</f>
        <v/>
      </c>
    </row>
    <row r="15254" spans="2:4" ht="13">
      <c r="B15254" s="12" t="str">
        <f ca="1">IFERROR(__xludf.DUMMYFUNCTION("""COMPUTED_VALUE"""),"")</f>
        <v/>
      </c>
      <c r="C15254" s="12" t="str">
        <f ca="1">IFERROR(__xludf.DUMMYFUNCTION("""COMPUTED_VALUE"""),"")</f>
        <v/>
      </c>
      <c r="D15254" s="12" t="str">
        <f ca="1">IFERROR(__xludf.DUMMYFUNCTION("""COMPUTED_VALUE"""),"")</f>
        <v/>
      </c>
    </row>
    <row r="15255" spans="2:4" ht="13">
      <c r="B15255" s="12" t="str">
        <f ca="1">IFERROR(__xludf.DUMMYFUNCTION("""COMPUTED_VALUE"""),"")</f>
        <v/>
      </c>
      <c r="C15255" s="12" t="str">
        <f ca="1">IFERROR(__xludf.DUMMYFUNCTION("""COMPUTED_VALUE"""),"")</f>
        <v/>
      </c>
      <c r="D15255" s="12" t="str">
        <f ca="1">IFERROR(__xludf.DUMMYFUNCTION("""COMPUTED_VALUE"""),"")</f>
        <v/>
      </c>
    </row>
    <row r="15256" spans="2:4" ht="13">
      <c r="B15256" s="12" t="str">
        <f ca="1">IFERROR(__xludf.DUMMYFUNCTION("""COMPUTED_VALUE"""),"")</f>
        <v/>
      </c>
      <c r="C15256" s="12" t="str">
        <f ca="1">IFERROR(__xludf.DUMMYFUNCTION("""COMPUTED_VALUE"""),"")</f>
        <v/>
      </c>
      <c r="D15256" s="12" t="str">
        <f ca="1">IFERROR(__xludf.DUMMYFUNCTION("""COMPUTED_VALUE"""),"")</f>
        <v/>
      </c>
    </row>
    <row r="15257" spans="2:4" ht="13">
      <c r="B15257" s="12" t="str">
        <f ca="1">IFERROR(__xludf.DUMMYFUNCTION("""COMPUTED_VALUE"""),"")</f>
        <v/>
      </c>
      <c r="C15257" s="12" t="str">
        <f ca="1">IFERROR(__xludf.DUMMYFUNCTION("""COMPUTED_VALUE"""),"")</f>
        <v/>
      </c>
      <c r="D15257" s="12" t="str">
        <f ca="1">IFERROR(__xludf.DUMMYFUNCTION("""COMPUTED_VALUE"""),"")</f>
        <v/>
      </c>
    </row>
    <row r="15258" spans="2:4" ht="13">
      <c r="B15258" s="12" t="str">
        <f ca="1">IFERROR(__xludf.DUMMYFUNCTION("""COMPUTED_VALUE"""),"")</f>
        <v/>
      </c>
      <c r="C15258" s="12" t="str">
        <f ca="1">IFERROR(__xludf.DUMMYFUNCTION("""COMPUTED_VALUE"""),"")</f>
        <v/>
      </c>
      <c r="D15258" s="12" t="str">
        <f ca="1">IFERROR(__xludf.DUMMYFUNCTION("""COMPUTED_VALUE"""),"")</f>
        <v/>
      </c>
    </row>
    <row r="15259" spans="2:4" ht="13">
      <c r="B15259" s="12" t="str">
        <f ca="1">IFERROR(__xludf.DUMMYFUNCTION("""COMPUTED_VALUE"""),"")</f>
        <v/>
      </c>
      <c r="C15259" s="12" t="str">
        <f ca="1">IFERROR(__xludf.DUMMYFUNCTION("""COMPUTED_VALUE"""),"")</f>
        <v/>
      </c>
      <c r="D15259" s="12" t="str">
        <f ca="1">IFERROR(__xludf.DUMMYFUNCTION("""COMPUTED_VALUE"""),"")</f>
        <v/>
      </c>
    </row>
    <row r="15260" spans="2:4" ht="13">
      <c r="B15260" s="12" t="str">
        <f ca="1">IFERROR(__xludf.DUMMYFUNCTION("""COMPUTED_VALUE"""),"")</f>
        <v/>
      </c>
      <c r="C15260" s="12" t="str">
        <f ca="1">IFERROR(__xludf.DUMMYFUNCTION("""COMPUTED_VALUE"""),"")</f>
        <v/>
      </c>
      <c r="D15260" s="12" t="str">
        <f ca="1">IFERROR(__xludf.DUMMYFUNCTION("""COMPUTED_VALUE"""),"")</f>
        <v/>
      </c>
    </row>
    <row r="15261" spans="2:4" ht="13">
      <c r="B15261" s="12" t="str">
        <f ca="1">IFERROR(__xludf.DUMMYFUNCTION("""COMPUTED_VALUE"""),"")</f>
        <v/>
      </c>
      <c r="C15261" s="12" t="str">
        <f ca="1">IFERROR(__xludf.DUMMYFUNCTION("""COMPUTED_VALUE"""),"")</f>
        <v/>
      </c>
      <c r="D15261" s="12" t="str">
        <f ca="1">IFERROR(__xludf.DUMMYFUNCTION("""COMPUTED_VALUE"""),"")</f>
        <v/>
      </c>
    </row>
    <row r="15262" spans="2:4" ht="13">
      <c r="B15262" s="12" t="str">
        <f ca="1">IFERROR(__xludf.DUMMYFUNCTION("""COMPUTED_VALUE"""),"")</f>
        <v/>
      </c>
      <c r="C15262" s="12" t="str">
        <f ca="1">IFERROR(__xludf.DUMMYFUNCTION("""COMPUTED_VALUE"""),"")</f>
        <v/>
      </c>
      <c r="D15262" s="12" t="str">
        <f ca="1">IFERROR(__xludf.DUMMYFUNCTION("""COMPUTED_VALUE"""),"")</f>
        <v/>
      </c>
    </row>
    <row r="15263" spans="2:4" ht="13">
      <c r="B15263" s="12" t="str">
        <f ca="1">IFERROR(__xludf.DUMMYFUNCTION("""COMPUTED_VALUE"""),"")</f>
        <v/>
      </c>
      <c r="C15263" s="12" t="str">
        <f ca="1">IFERROR(__xludf.DUMMYFUNCTION("""COMPUTED_VALUE"""),"")</f>
        <v/>
      </c>
      <c r="D15263" s="12" t="str">
        <f ca="1">IFERROR(__xludf.DUMMYFUNCTION("""COMPUTED_VALUE"""),"")</f>
        <v/>
      </c>
    </row>
    <row r="15264" spans="2:4" ht="13">
      <c r="B15264" s="12" t="str">
        <f ca="1">IFERROR(__xludf.DUMMYFUNCTION("""COMPUTED_VALUE"""),"")</f>
        <v/>
      </c>
      <c r="C15264" s="12" t="str">
        <f ca="1">IFERROR(__xludf.DUMMYFUNCTION("""COMPUTED_VALUE"""),"")</f>
        <v/>
      </c>
      <c r="D15264" s="12" t="str">
        <f ca="1">IFERROR(__xludf.DUMMYFUNCTION("""COMPUTED_VALUE"""),"")</f>
        <v/>
      </c>
    </row>
    <row r="15265" spans="2:4" ht="13">
      <c r="B15265" s="12" t="str">
        <f ca="1">IFERROR(__xludf.DUMMYFUNCTION("""COMPUTED_VALUE"""),"")</f>
        <v/>
      </c>
      <c r="C15265" s="12" t="str">
        <f ca="1">IFERROR(__xludf.DUMMYFUNCTION("""COMPUTED_VALUE"""),"")</f>
        <v/>
      </c>
      <c r="D15265" s="12" t="str">
        <f ca="1">IFERROR(__xludf.DUMMYFUNCTION("""COMPUTED_VALUE"""),"")</f>
        <v/>
      </c>
    </row>
    <row r="15266" spans="2:4" ht="13">
      <c r="B15266" s="12" t="str">
        <f ca="1">IFERROR(__xludf.DUMMYFUNCTION("""COMPUTED_VALUE"""),"")</f>
        <v/>
      </c>
      <c r="C15266" s="12" t="str">
        <f ca="1">IFERROR(__xludf.DUMMYFUNCTION("""COMPUTED_VALUE"""),"")</f>
        <v/>
      </c>
      <c r="D15266" s="12" t="str">
        <f ca="1">IFERROR(__xludf.DUMMYFUNCTION("""COMPUTED_VALUE"""),"")</f>
        <v/>
      </c>
    </row>
    <row r="15267" spans="2:4" ht="13">
      <c r="B15267" s="12" t="str">
        <f ca="1">IFERROR(__xludf.DUMMYFUNCTION("""COMPUTED_VALUE"""),"")</f>
        <v/>
      </c>
      <c r="C15267" s="12" t="str">
        <f ca="1">IFERROR(__xludf.DUMMYFUNCTION("""COMPUTED_VALUE"""),"")</f>
        <v/>
      </c>
      <c r="D15267" s="12" t="str">
        <f ca="1">IFERROR(__xludf.DUMMYFUNCTION("""COMPUTED_VALUE"""),"")</f>
        <v/>
      </c>
    </row>
    <row r="15268" spans="2:4" ht="13">
      <c r="B15268" s="12" t="str">
        <f ca="1">IFERROR(__xludf.DUMMYFUNCTION("""COMPUTED_VALUE"""),"")</f>
        <v/>
      </c>
      <c r="C15268" s="12" t="str">
        <f ca="1">IFERROR(__xludf.DUMMYFUNCTION("""COMPUTED_VALUE"""),"")</f>
        <v/>
      </c>
      <c r="D15268" s="12" t="str">
        <f ca="1">IFERROR(__xludf.DUMMYFUNCTION("""COMPUTED_VALUE"""),"")</f>
        <v/>
      </c>
    </row>
    <row r="15269" spans="2:4" ht="13">
      <c r="B15269" s="12" t="str">
        <f ca="1">IFERROR(__xludf.DUMMYFUNCTION("""COMPUTED_VALUE"""),"")</f>
        <v/>
      </c>
      <c r="C15269" s="12" t="str">
        <f ca="1">IFERROR(__xludf.DUMMYFUNCTION("""COMPUTED_VALUE"""),"")</f>
        <v/>
      </c>
      <c r="D15269" s="12" t="str">
        <f ca="1">IFERROR(__xludf.DUMMYFUNCTION("""COMPUTED_VALUE"""),"")</f>
        <v/>
      </c>
    </row>
    <row r="15270" spans="2:4" ht="13">
      <c r="B15270" s="12" t="str">
        <f ca="1">IFERROR(__xludf.DUMMYFUNCTION("""COMPUTED_VALUE"""),"")</f>
        <v/>
      </c>
      <c r="C15270" s="12" t="str">
        <f ca="1">IFERROR(__xludf.DUMMYFUNCTION("""COMPUTED_VALUE"""),"")</f>
        <v/>
      </c>
      <c r="D15270" s="12" t="str">
        <f ca="1">IFERROR(__xludf.DUMMYFUNCTION("""COMPUTED_VALUE"""),"")</f>
        <v/>
      </c>
    </row>
    <row r="15271" spans="2:4" ht="13">
      <c r="B15271" s="12" t="str">
        <f ca="1">IFERROR(__xludf.DUMMYFUNCTION("""COMPUTED_VALUE"""),"")</f>
        <v/>
      </c>
      <c r="C15271" s="12" t="str">
        <f ca="1">IFERROR(__xludf.DUMMYFUNCTION("""COMPUTED_VALUE"""),"")</f>
        <v/>
      </c>
      <c r="D15271" s="12" t="str">
        <f ca="1">IFERROR(__xludf.DUMMYFUNCTION("""COMPUTED_VALUE"""),"")</f>
        <v/>
      </c>
    </row>
    <row r="15272" spans="2:4" ht="13">
      <c r="B15272" s="12" t="str">
        <f ca="1">IFERROR(__xludf.DUMMYFUNCTION("""COMPUTED_VALUE"""),"")</f>
        <v/>
      </c>
      <c r="C15272" s="12" t="str">
        <f ca="1">IFERROR(__xludf.DUMMYFUNCTION("""COMPUTED_VALUE"""),"")</f>
        <v/>
      </c>
      <c r="D15272" s="12" t="str">
        <f ca="1">IFERROR(__xludf.DUMMYFUNCTION("""COMPUTED_VALUE"""),"")</f>
        <v/>
      </c>
    </row>
    <row r="15273" spans="2:4" ht="13">
      <c r="B15273" s="12" t="str">
        <f ca="1">IFERROR(__xludf.DUMMYFUNCTION("""COMPUTED_VALUE"""),"")</f>
        <v/>
      </c>
      <c r="C15273" s="12" t="str">
        <f ca="1">IFERROR(__xludf.DUMMYFUNCTION("""COMPUTED_VALUE"""),"")</f>
        <v/>
      </c>
      <c r="D15273" s="12" t="str">
        <f ca="1">IFERROR(__xludf.DUMMYFUNCTION("""COMPUTED_VALUE"""),"")</f>
        <v/>
      </c>
    </row>
    <row r="15274" spans="2:4" ht="13">
      <c r="B15274" s="12" t="str">
        <f ca="1">IFERROR(__xludf.DUMMYFUNCTION("""COMPUTED_VALUE"""),"")</f>
        <v/>
      </c>
      <c r="C15274" s="12" t="str">
        <f ca="1">IFERROR(__xludf.DUMMYFUNCTION("""COMPUTED_VALUE"""),"")</f>
        <v/>
      </c>
      <c r="D15274" s="12" t="str">
        <f ca="1">IFERROR(__xludf.DUMMYFUNCTION("""COMPUTED_VALUE"""),"")</f>
        <v/>
      </c>
    </row>
    <row r="15275" spans="2:4" ht="13">
      <c r="B15275" s="12" t="str">
        <f ca="1">IFERROR(__xludf.DUMMYFUNCTION("""COMPUTED_VALUE"""),"")</f>
        <v/>
      </c>
      <c r="C15275" s="12" t="str">
        <f ca="1">IFERROR(__xludf.DUMMYFUNCTION("""COMPUTED_VALUE"""),"")</f>
        <v/>
      </c>
      <c r="D15275" s="12" t="str">
        <f ca="1">IFERROR(__xludf.DUMMYFUNCTION("""COMPUTED_VALUE"""),"")</f>
        <v/>
      </c>
    </row>
    <row r="15276" spans="2:4" ht="13">
      <c r="B15276" s="12" t="str">
        <f ca="1">IFERROR(__xludf.DUMMYFUNCTION("""COMPUTED_VALUE"""),"")</f>
        <v/>
      </c>
      <c r="C15276" s="12" t="str">
        <f ca="1">IFERROR(__xludf.DUMMYFUNCTION("""COMPUTED_VALUE"""),"")</f>
        <v/>
      </c>
      <c r="D15276" s="12" t="str">
        <f ca="1">IFERROR(__xludf.DUMMYFUNCTION("""COMPUTED_VALUE"""),"")</f>
        <v/>
      </c>
    </row>
    <row r="15277" spans="2:4" ht="13">
      <c r="B15277" s="12" t="str">
        <f ca="1">IFERROR(__xludf.DUMMYFUNCTION("""COMPUTED_VALUE"""),"")</f>
        <v/>
      </c>
      <c r="C15277" s="12" t="str">
        <f ca="1">IFERROR(__xludf.DUMMYFUNCTION("""COMPUTED_VALUE"""),"")</f>
        <v/>
      </c>
      <c r="D15277" s="12" t="str">
        <f ca="1">IFERROR(__xludf.DUMMYFUNCTION("""COMPUTED_VALUE"""),"")</f>
        <v/>
      </c>
    </row>
    <row r="15278" spans="2:4" ht="13">
      <c r="B15278" s="12" t="str">
        <f ca="1">IFERROR(__xludf.DUMMYFUNCTION("""COMPUTED_VALUE"""),"")</f>
        <v/>
      </c>
      <c r="C15278" s="12" t="str">
        <f ca="1">IFERROR(__xludf.DUMMYFUNCTION("""COMPUTED_VALUE"""),"")</f>
        <v/>
      </c>
      <c r="D15278" s="12" t="str">
        <f ca="1">IFERROR(__xludf.DUMMYFUNCTION("""COMPUTED_VALUE"""),"")</f>
        <v/>
      </c>
    </row>
    <row r="15279" spans="2:4" ht="13">
      <c r="B15279" s="12" t="str">
        <f ca="1">IFERROR(__xludf.DUMMYFUNCTION("""COMPUTED_VALUE"""),"")</f>
        <v/>
      </c>
      <c r="C15279" s="12" t="str">
        <f ca="1">IFERROR(__xludf.DUMMYFUNCTION("""COMPUTED_VALUE"""),"")</f>
        <v/>
      </c>
      <c r="D15279" s="12" t="str">
        <f ca="1">IFERROR(__xludf.DUMMYFUNCTION("""COMPUTED_VALUE"""),"")</f>
        <v/>
      </c>
    </row>
    <row r="15280" spans="2:4" ht="13">
      <c r="B15280" s="12" t="str">
        <f ca="1">IFERROR(__xludf.DUMMYFUNCTION("""COMPUTED_VALUE"""),"")</f>
        <v/>
      </c>
      <c r="C15280" s="12" t="str">
        <f ca="1">IFERROR(__xludf.DUMMYFUNCTION("""COMPUTED_VALUE"""),"")</f>
        <v/>
      </c>
      <c r="D15280" s="12" t="str">
        <f ca="1">IFERROR(__xludf.DUMMYFUNCTION("""COMPUTED_VALUE"""),"")</f>
        <v/>
      </c>
    </row>
    <row r="15281" spans="2:4" ht="13">
      <c r="B15281" s="12" t="str">
        <f ca="1">IFERROR(__xludf.DUMMYFUNCTION("""COMPUTED_VALUE"""),"")</f>
        <v/>
      </c>
      <c r="C15281" s="12" t="str">
        <f ca="1">IFERROR(__xludf.DUMMYFUNCTION("""COMPUTED_VALUE"""),"")</f>
        <v/>
      </c>
      <c r="D15281" s="12" t="str">
        <f ca="1">IFERROR(__xludf.DUMMYFUNCTION("""COMPUTED_VALUE"""),"")</f>
        <v/>
      </c>
    </row>
    <row r="15282" spans="2:4" ht="13">
      <c r="B15282" s="12" t="str">
        <f ca="1">IFERROR(__xludf.DUMMYFUNCTION("""COMPUTED_VALUE"""),"")</f>
        <v/>
      </c>
      <c r="C15282" s="12" t="str">
        <f ca="1">IFERROR(__xludf.DUMMYFUNCTION("""COMPUTED_VALUE"""),"")</f>
        <v/>
      </c>
      <c r="D15282" s="12" t="str">
        <f ca="1">IFERROR(__xludf.DUMMYFUNCTION("""COMPUTED_VALUE"""),"")</f>
        <v/>
      </c>
    </row>
    <row r="15283" spans="2:4" ht="13">
      <c r="B15283" s="12" t="str">
        <f ca="1">IFERROR(__xludf.DUMMYFUNCTION("""COMPUTED_VALUE"""),"")</f>
        <v/>
      </c>
      <c r="C15283" s="12" t="str">
        <f ca="1">IFERROR(__xludf.DUMMYFUNCTION("""COMPUTED_VALUE"""),"")</f>
        <v/>
      </c>
      <c r="D15283" s="12" t="str">
        <f ca="1">IFERROR(__xludf.DUMMYFUNCTION("""COMPUTED_VALUE"""),"")</f>
        <v/>
      </c>
    </row>
    <row r="15284" spans="2:4" ht="13">
      <c r="B15284" s="12" t="str">
        <f ca="1">IFERROR(__xludf.DUMMYFUNCTION("""COMPUTED_VALUE"""),"")</f>
        <v/>
      </c>
      <c r="C15284" s="12" t="str">
        <f ca="1">IFERROR(__xludf.DUMMYFUNCTION("""COMPUTED_VALUE"""),"")</f>
        <v/>
      </c>
      <c r="D15284" s="12" t="str">
        <f ca="1">IFERROR(__xludf.DUMMYFUNCTION("""COMPUTED_VALUE"""),"")</f>
        <v/>
      </c>
    </row>
    <row r="15285" spans="2:4" ht="13">
      <c r="B15285" s="12" t="str">
        <f ca="1">IFERROR(__xludf.DUMMYFUNCTION("""COMPUTED_VALUE"""),"")</f>
        <v/>
      </c>
      <c r="C15285" s="12" t="str">
        <f ca="1">IFERROR(__xludf.DUMMYFUNCTION("""COMPUTED_VALUE"""),"")</f>
        <v/>
      </c>
      <c r="D15285" s="12" t="str">
        <f ca="1">IFERROR(__xludf.DUMMYFUNCTION("""COMPUTED_VALUE"""),"")</f>
        <v/>
      </c>
    </row>
    <row r="15286" spans="2:4" ht="13">
      <c r="B15286" s="12" t="str">
        <f ca="1">IFERROR(__xludf.DUMMYFUNCTION("""COMPUTED_VALUE"""),"")</f>
        <v/>
      </c>
      <c r="C15286" s="12" t="str">
        <f ca="1">IFERROR(__xludf.DUMMYFUNCTION("""COMPUTED_VALUE"""),"")</f>
        <v/>
      </c>
      <c r="D15286" s="12" t="str">
        <f ca="1">IFERROR(__xludf.DUMMYFUNCTION("""COMPUTED_VALUE"""),"")</f>
        <v/>
      </c>
    </row>
    <row r="15287" spans="2:4" ht="13">
      <c r="B15287" s="12" t="str">
        <f ca="1">IFERROR(__xludf.DUMMYFUNCTION("""COMPUTED_VALUE"""),"")</f>
        <v/>
      </c>
      <c r="C15287" s="12" t="str">
        <f ca="1">IFERROR(__xludf.DUMMYFUNCTION("""COMPUTED_VALUE"""),"")</f>
        <v/>
      </c>
      <c r="D15287" s="12" t="str">
        <f ca="1">IFERROR(__xludf.DUMMYFUNCTION("""COMPUTED_VALUE"""),"")</f>
        <v/>
      </c>
    </row>
    <row r="15288" spans="2:4" ht="13">
      <c r="B15288" s="12" t="str">
        <f ca="1">IFERROR(__xludf.DUMMYFUNCTION("""COMPUTED_VALUE"""),"")</f>
        <v/>
      </c>
      <c r="C15288" s="12" t="str">
        <f ca="1">IFERROR(__xludf.DUMMYFUNCTION("""COMPUTED_VALUE"""),"")</f>
        <v/>
      </c>
      <c r="D15288" s="12" t="str">
        <f ca="1">IFERROR(__xludf.DUMMYFUNCTION("""COMPUTED_VALUE"""),"")</f>
        <v/>
      </c>
    </row>
    <row r="15289" spans="2:4" ht="13">
      <c r="B15289" s="12" t="str">
        <f ca="1">IFERROR(__xludf.DUMMYFUNCTION("""COMPUTED_VALUE"""),"")</f>
        <v/>
      </c>
      <c r="C15289" s="12" t="str">
        <f ca="1">IFERROR(__xludf.DUMMYFUNCTION("""COMPUTED_VALUE"""),"")</f>
        <v/>
      </c>
      <c r="D15289" s="12" t="str">
        <f ca="1">IFERROR(__xludf.DUMMYFUNCTION("""COMPUTED_VALUE"""),"")</f>
        <v/>
      </c>
    </row>
    <row r="15290" spans="2:4" ht="13">
      <c r="B15290" s="12" t="str">
        <f ca="1">IFERROR(__xludf.DUMMYFUNCTION("""COMPUTED_VALUE"""),"")</f>
        <v/>
      </c>
      <c r="C15290" s="12" t="str">
        <f ca="1">IFERROR(__xludf.DUMMYFUNCTION("""COMPUTED_VALUE"""),"")</f>
        <v/>
      </c>
      <c r="D15290" s="12" t="str">
        <f ca="1">IFERROR(__xludf.DUMMYFUNCTION("""COMPUTED_VALUE"""),"")</f>
        <v/>
      </c>
    </row>
    <row r="15291" spans="2:4" ht="13">
      <c r="B15291" s="12" t="str">
        <f ca="1">IFERROR(__xludf.DUMMYFUNCTION("""COMPUTED_VALUE"""),"")</f>
        <v/>
      </c>
      <c r="C15291" s="12" t="str">
        <f ca="1">IFERROR(__xludf.DUMMYFUNCTION("""COMPUTED_VALUE"""),"")</f>
        <v/>
      </c>
      <c r="D15291" s="12" t="str">
        <f ca="1">IFERROR(__xludf.DUMMYFUNCTION("""COMPUTED_VALUE"""),"")</f>
        <v/>
      </c>
    </row>
    <row r="15292" spans="2:4" ht="13">
      <c r="B15292" s="12" t="str">
        <f ca="1">IFERROR(__xludf.DUMMYFUNCTION("""COMPUTED_VALUE"""),"")</f>
        <v/>
      </c>
      <c r="C15292" s="12" t="str">
        <f ca="1">IFERROR(__xludf.DUMMYFUNCTION("""COMPUTED_VALUE"""),"")</f>
        <v/>
      </c>
      <c r="D15292" s="12" t="str">
        <f ca="1">IFERROR(__xludf.DUMMYFUNCTION("""COMPUTED_VALUE"""),"")</f>
        <v/>
      </c>
    </row>
    <row r="15293" spans="2:4" ht="13">
      <c r="B15293" s="12" t="str">
        <f ca="1">IFERROR(__xludf.DUMMYFUNCTION("""COMPUTED_VALUE"""),"")</f>
        <v/>
      </c>
      <c r="C15293" s="12" t="str">
        <f ca="1">IFERROR(__xludf.DUMMYFUNCTION("""COMPUTED_VALUE"""),"")</f>
        <v/>
      </c>
      <c r="D15293" s="12" t="str">
        <f ca="1">IFERROR(__xludf.DUMMYFUNCTION("""COMPUTED_VALUE"""),"")</f>
        <v/>
      </c>
    </row>
    <row r="15294" spans="2:4" ht="13">
      <c r="B15294" s="12" t="str">
        <f ca="1">IFERROR(__xludf.DUMMYFUNCTION("""COMPUTED_VALUE"""),"")</f>
        <v/>
      </c>
      <c r="C15294" s="12" t="str">
        <f ca="1">IFERROR(__xludf.DUMMYFUNCTION("""COMPUTED_VALUE"""),"")</f>
        <v/>
      </c>
      <c r="D15294" s="12" t="str">
        <f ca="1">IFERROR(__xludf.DUMMYFUNCTION("""COMPUTED_VALUE"""),"")</f>
        <v/>
      </c>
    </row>
    <row r="15295" spans="2:4" ht="13">
      <c r="B15295" s="12" t="str">
        <f ca="1">IFERROR(__xludf.DUMMYFUNCTION("""COMPUTED_VALUE"""),"")</f>
        <v/>
      </c>
      <c r="C15295" s="12" t="str">
        <f ca="1">IFERROR(__xludf.DUMMYFUNCTION("""COMPUTED_VALUE"""),"")</f>
        <v/>
      </c>
      <c r="D15295" s="12" t="str">
        <f ca="1">IFERROR(__xludf.DUMMYFUNCTION("""COMPUTED_VALUE"""),"")</f>
        <v/>
      </c>
    </row>
    <row r="15296" spans="2:4" ht="13">
      <c r="B15296" s="12" t="str">
        <f ca="1">IFERROR(__xludf.DUMMYFUNCTION("""COMPUTED_VALUE"""),"")</f>
        <v/>
      </c>
      <c r="C15296" s="12" t="str">
        <f ca="1">IFERROR(__xludf.DUMMYFUNCTION("""COMPUTED_VALUE"""),"")</f>
        <v/>
      </c>
      <c r="D15296" s="12" t="str">
        <f ca="1">IFERROR(__xludf.DUMMYFUNCTION("""COMPUTED_VALUE"""),"")</f>
        <v/>
      </c>
    </row>
    <row r="15297" spans="2:4" ht="13">
      <c r="B15297" s="12" t="str">
        <f ca="1">IFERROR(__xludf.DUMMYFUNCTION("""COMPUTED_VALUE"""),"")</f>
        <v/>
      </c>
      <c r="C15297" s="12" t="str">
        <f ca="1">IFERROR(__xludf.DUMMYFUNCTION("""COMPUTED_VALUE"""),"")</f>
        <v/>
      </c>
      <c r="D15297" s="12" t="str">
        <f ca="1">IFERROR(__xludf.DUMMYFUNCTION("""COMPUTED_VALUE"""),"")</f>
        <v/>
      </c>
    </row>
    <row r="15298" spans="2:4" ht="13">
      <c r="B15298" s="12" t="str">
        <f ca="1">IFERROR(__xludf.DUMMYFUNCTION("""COMPUTED_VALUE"""),"")</f>
        <v/>
      </c>
      <c r="C15298" s="12" t="str">
        <f ca="1">IFERROR(__xludf.DUMMYFUNCTION("""COMPUTED_VALUE"""),"")</f>
        <v/>
      </c>
      <c r="D15298" s="12" t="str">
        <f ca="1">IFERROR(__xludf.DUMMYFUNCTION("""COMPUTED_VALUE"""),"")</f>
        <v/>
      </c>
    </row>
    <row r="15299" spans="2:4" ht="13">
      <c r="B15299" s="12" t="str">
        <f ca="1">IFERROR(__xludf.DUMMYFUNCTION("""COMPUTED_VALUE"""),"")</f>
        <v/>
      </c>
      <c r="C15299" s="12" t="str">
        <f ca="1">IFERROR(__xludf.DUMMYFUNCTION("""COMPUTED_VALUE"""),"")</f>
        <v/>
      </c>
      <c r="D15299" s="12" t="str">
        <f ca="1">IFERROR(__xludf.DUMMYFUNCTION("""COMPUTED_VALUE"""),"")</f>
        <v/>
      </c>
    </row>
    <row r="15300" spans="2:4" ht="13">
      <c r="B15300" s="12" t="str">
        <f ca="1">IFERROR(__xludf.DUMMYFUNCTION("""COMPUTED_VALUE"""),"")</f>
        <v/>
      </c>
      <c r="C15300" s="12" t="str">
        <f ca="1">IFERROR(__xludf.DUMMYFUNCTION("""COMPUTED_VALUE"""),"")</f>
        <v/>
      </c>
      <c r="D15300" s="12" t="str">
        <f ca="1">IFERROR(__xludf.DUMMYFUNCTION("""COMPUTED_VALUE"""),"")</f>
        <v/>
      </c>
    </row>
    <row r="15301" spans="2:4" ht="13">
      <c r="B15301" s="12" t="str">
        <f ca="1">IFERROR(__xludf.DUMMYFUNCTION("""COMPUTED_VALUE"""),"")</f>
        <v/>
      </c>
      <c r="C15301" s="12" t="str">
        <f ca="1">IFERROR(__xludf.DUMMYFUNCTION("""COMPUTED_VALUE"""),"")</f>
        <v/>
      </c>
      <c r="D15301" s="12" t="str">
        <f ca="1">IFERROR(__xludf.DUMMYFUNCTION("""COMPUTED_VALUE"""),"")</f>
        <v/>
      </c>
    </row>
    <row r="15302" spans="2:4" ht="13">
      <c r="B15302" s="12" t="str">
        <f ca="1">IFERROR(__xludf.DUMMYFUNCTION("""COMPUTED_VALUE"""),"")</f>
        <v/>
      </c>
      <c r="C15302" s="12" t="str">
        <f ca="1">IFERROR(__xludf.DUMMYFUNCTION("""COMPUTED_VALUE"""),"")</f>
        <v/>
      </c>
      <c r="D15302" s="12" t="str">
        <f ca="1">IFERROR(__xludf.DUMMYFUNCTION("""COMPUTED_VALUE"""),"")</f>
        <v/>
      </c>
    </row>
    <row r="15303" spans="2:4" ht="13">
      <c r="B15303" s="12" t="str">
        <f ca="1">IFERROR(__xludf.DUMMYFUNCTION("""COMPUTED_VALUE"""),"")</f>
        <v/>
      </c>
      <c r="C15303" s="12" t="str">
        <f ca="1">IFERROR(__xludf.DUMMYFUNCTION("""COMPUTED_VALUE"""),"")</f>
        <v/>
      </c>
      <c r="D15303" s="12" t="str">
        <f ca="1">IFERROR(__xludf.DUMMYFUNCTION("""COMPUTED_VALUE"""),"")</f>
        <v/>
      </c>
    </row>
    <row r="15304" spans="2:4" ht="13">
      <c r="B15304" s="12" t="str">
        <f ca="1">IFERROR(__xludf.DUMMYFUNCTION("""COMPUTED_VALUE"""),"")</f>
        <v/>
      </c>
      <c r="C15304" s="12" t="str">
        <f ca="1">IFERROR(__xludf.DUMMYFUNCTION("""COMPUTED_VALUE"""),"")</f>
        <v/>
      </c>
      <c r="D15304" s="12" t="str">
        <f ca="1">IFERROR(__xludf.DUMMYFUNCTION("""COMPUTED_VALUE"""),"")</f>
        <v/>
      </c>
    </row>
    <row r="15305" spans="2:4" ht="13">
      <c r="B15305" s="12" t="str">
        <f ca="1">IFERROR(__xludf.DUMMYFUNCTION("""COMPUTED_VALUE"""),"")</f>
        <v/>
      </c>
      <c r="C15305" s="12" t="str">
        <f ca="1">IFERROR(__xludf.DUMMYFUNCTION("""COMPUTED_VALUE"""),"")</f>
        <v/>
      </c>
      <c r="D15305" s="12" t="str">
        <f ca="1">IFERROR(__xludf.DUMMYFUNCTION("""COMPUTED_VALUE"""),"")</f>
        <v/>
      </c>
    </row>
    <row r="15306" spans="2:4" ht="13">
      <c r="B15306" s="12" t="str">
        <f ca="1">IFERROR(__xludf.DUMMYFUNCTION("""COMPUTED_VALUE"""),"")</f>
        <v/>
      </c>
      <c r="C15306" s="12" t="str">
        <f ca="1">IFERROR(__xludf.DUMMYFUNCTION("""COMPUTED_VALUE"""),"")</f>
        <v/>
      </c>
      <c r="D15306" s="12" t="str">
        <f ca="1">IFERROR(__xludf.DUMMYFUNCTION("""COMPUTED_VALUE"""),"")</f>
        <v/>
      </c>
    </row>
    <row r="15307" spans="2:4" ht="13">
      <c r="B15307" s="12" t="str">
        <f ca="1">IFERROR(__xludf.DUMMYFUNCTION("""COMPUTED_VALUE"""),"")</f>
        <v/>
      </c>
      <c r="C15307" s="12" t="str">
        <f ca="1">IFERROR(__xludf.DUMMYFUNCTION("""COMPUTED_VALUE"""),"")</f>
        <v/>
      </c>
      <c r="D15307" s="12" t="str">
        <f ca="1">IFERROR(__xludf.DUMMYFUNCTION("""COMPUTED_VALUE"""),"")</f>
        <v/>
      </c>
    </row>
    <row r="15308" spans="2:4" ht="13">
      <c r="B15308" s="12" t="str">
        <f ca="1">IFERROR(__xludf.DUMMYFUNCTION("""COMPUTED_VALUE"""),"")</f>
        <v/>
      </c>
      <c r="C15308" s="12" t="str">
        <f ca="1">IFERROR(__xludf.DUMMYFUNCTION("""COMPUTED_VALUE"""),"")</f>
        <v/>
      </c>
      <c r="D15308" s="12" t="str">
        <f ca="1">IFERROR(__xludf.DUMMYFUNCTION("""COMPUTED_VALUE"""),"")</f>
        <v/>
      </c>
    </row>
    <row r="15309" spans="2:4" ht="13">
      <c r="B15309" s="12" t="str">
        <f ca="1">IFERROR(__xludf.DUMMYFUNCTION("""COMPUTED_VALUE"""),"")</f>
        <v/>
      </c>
      <c r="C15309" s="12" t="str">
        <f ca="1">IFERROR(__xludf.DUMMYFUNCTION("""COMPUTED_VALUE"""),"")</f>
        <v/>
      </c>
      <c r="D15309" s="12" t="str">
        <f ca="1">IFERROR(__xludf.DUMMYFUNCTION("""COMPUTED_VALUE"""),"")</f>
        <v/>
      </c>
    </row>
    <row r="15310" spans="2:4" ht="13">
      <c r="B15310" s="12" t="str">
        <f ca="1">IFERROR(__xludf.DUMMYFUNCTION("""COMPUTED_VALUE"""),"")</f>
        <v/>
      </c>
      <c r="C15310" s="12" t="str">
        <f ca="1">IFERROR(__xludf.DUMMYFUNCTION("""COMPUTED_VALUE"""),"")</f>
        <v/>
      </c>
      <c r="D15310" s="12" t="str">
        <f ca="1">IFERROR(__xludf.DUMMYFUNCTION("""COMPUTED_VALUE"""),"")</f>
        <v/>
      </c>
    </row>
    <row r="15311" spans="2:4" ht="13">
      <c r="B15311" s="12" t="str">
        <f ca="1">IFERROR(__xludf.DUMMYFUNCTION("""COMPUTED_VALUE"""),"")</f>
        <v/>
      </c>
      <c r="C15311" s="12" t="str">
        <f ca="1">IFERROR(__xludf.DUMMYFUNCTION("""COMPUTED_VALUE"""),"")</f>
        <v/>
      </c>
      <c r="D15311" s="12" t="str">
        <f ca="1">IFERROR(__xludf.DUMMYFUNCTION("""COMPUTED_VALUE"""),"")</f>
        <v/>
      </c>
    </row>
    <row r="15312" spans="2:4" ht="13">
      <c r="B15312" s="12" t="str">
        <f ca="1">IFERROR(__xludf.DUMMYFUNCTION("""COMPUTED_VALUE"""),"")</f>
        <v/>
      </c>
      <c r="C15312" s="12" t="str">
        <f ca="1">IFERROR(__xludf.DUMMYFUNCTION("""COMPUTED_VALUE"""),"")</f>
        <v/>
      </c>
      <c r="D15312" s="12" t="str">
        <f ca="1">IFERROR(__xludf.DUMMYFUNCTION("""COMPUTED_VALUE"""),"")</f>
        <v/>
      </c>
    </row>
    <row r="15313" spans="2:4" ht="13">
      <c r="B15313" s="12" t="str">
        <f ca="1">IFERROR(__xludf.DUMMYFUNCTION("""COMPUTED_VALUE"""),"")</f>
        <v/>
      </c>
      <c r="C15313" s="12" t="str">
        <f ca="1">IFERROR(__xludf.DUMMYFUNCTION("""COMPUTED_VALUE"""),"")</f>
        <v/>
      </c>
      <c r="D15313" s="12" t="str">
        <f ca="1">IFERROR(__xludf.DUMMYFUNCTION("""COMPUTED_VALUE"""),"")</f>
        <v/>
      </c>
    </row>
    <row r="15314" spans="2:4" ht="13">
      <c r="B15314" s="12" t="str">
        <f ca="1">IFERROR(__xludf.DUMMYFUNCTION("""COMPUTED_VALUE"""),"")</f>
        <v/>
      </c>
      <c r="C15314" s="12" t="str">
        <f ca="1">IFERROR(__xludf.DUMMYFUNCTION("""COMPUTED_VALUE"""),"")</f>
        <v/>
      </c>
      <c r="D15314" s="12" t="str">
        <f ca="1">IFERROR(__xludf.DUMMYFUNCTION("""COMPUTED_VALUE"""),"")</f>
        <v/>
      </c>
    </row>
    <row r="15315" spans="2:4" ht="13">
      <c r="B15315" s="12" t="str">
        <f ca="1">IFERROR(__xludf.DUMMYFUNCTION("""COMPUTED_VALUE"""),"")</f>
        <v/>
      </c>
      <c r="C15315" s="12" t="str">
        <f ca="1">IFERROR(__xludf.DUMMYFUNCTION("""COMPUTED_VALUE"""),"")</f>
        <v/>
      </c>
      <c r="D15315" s="12" t="str">
        <f ca="1">IFERROR(__xludf.DUMMYFUNCTION("""COMPUTED_VALUE"""),"")</f>
        <v/>
      </c>
    </row>
    <row r="15316" spans="2:4" ht="13">
      <c r="B15316" s="12" t="str">
        <f ca="1">IFERROR(__xludf.DUMMYFUNCTION("""COMPUTED_VALUE"""),"")</f>
        <v/>
      </c>
      <c r="C15316" s="12" t="str">
        <f ca="1">IFERROR(__xludf.DUMMYFUNCTION("""COMPUTED_VALUE"""),"")</f>
        <v/>
      </c>
      <c r="D15316" s="12" t="str">
        <f ca="1">IFERROR(__xludf.DUMMYFUNCTION("""COMPUTED_VALUE"""),"")</f>
        <v/>
      </c>
    </row>
    <row r="15317" spans="2:4" ht="13">
      <c r="B15317" s="12" t="str">
        <f ca="1">IFERROR(__xludf.DUMMYFUNCTION("""COMPUTED_VALUE"""),"")</f>
        <v/>
      </c>
      <c r="C15317" s="12" t="str">
        <f ca="1">IFERROR(__xludf.DUMMYFUNCTION("""COMPUTED_VALUE"""),"")</f>
        <v/>
      </c>
      <c r="D15317" s="12" t="str">
        <f ca="1">IFERROR(__xludf.DUMMYFUNCTION("""COMPUTED_VALUE"""),"")</f>
        <v/>
      </c>
    </row>
    <row r="15318" spans="2:4" ht="13">
      <c r="B15318" s="12" t="str">
        <f ca="1">IFERROR(__xludf.DUMMYFUNCTION("""COMPUTED_VALUE"""),"")</f>
        <v/>
      </c>
      <c r="C15318" s="12" t="str">
        <f ca="1">IFERROR(__xludf.DUMMYFUNCTION("""COMPUTED_VALUE"""),"")</f>
        <v/>
      </c>
      <c r="D15318" s="12" t="str">
        <f ca="1">IFERROR(__xludf.DUMMYFUNCTION("""COMPUTED_VALUE"""),"")</f>
        <v/>
      </c>
    </row>
    <row r="15319" spans="2:4" ht="13">
      <c r="B15319" s="12" t="str">
        <f ca="1">IFERROR(__xludf.DUMMYFUNCTION("""COMPUTED_VALUE"""),"")</f>
        <v/>
      </c>
      <c r="C15319" s="12" t="str">
        <f ca="1">IFERROR(__xludf.DUMMYFUNCTION("""COMPUTED_VALUE"""),"")</f>
        <v/>
      </c>
      <c r="D15319" s="12" t="str">
        <f ca="1">IFERROR(__xludf.DUMMYFUNCTION("""COMPUTED_VALUE"""),"")</f>
        <v/>
      </c>
    </row>
    <row r="15320" spans="2:4" ht="13">
      <c r="B15320" s="12" t="str">
        <f ca="1">IFERROR(__xludf.DUMMYFUNCTION("""COMPUTED_VALUE"""),"")</f>
        <v/>
      </c>
      <c r="C15320" s="12" t="str">
        <f ca="1">IFERROR(__xludf.DUMMYFUNCTION("""COMPUTED_VALUE"""),"")</f>
        <v/>
      </c>
      <c r="D15320" s="12" t="str">
        <f ca="1">IFERROR(__xludf.DUMMYFUNCTION("""COMPUTED_VALUE"""),"")</f>
        <v/>
      </c>
    </row>
    <row r="15321" spans="2:4" ht="13">
      <c r="B15321" s="12" t="str">
        <f ca="1">IFERROR(__xludf.DUMMYFUNCTION("""COMPUTED_VALUE"""),"")</f>
        <v/>
      </c>
      <c r="C15321" s="12" t="str">
        <f ca="1">IFERROR(__xludf.DUMMYFUNCTION("""COMPUTED_VALUE"""),"")</f>
        <v/>
      </c>
      <c r="D15321" s="12" t="str">
        <f ca="1">IFERROR(__xludf.DUMMYFUNCTION("""COMPUTED_VALUE"""),"")</f>
        <v/>
      </c>
    </row>
    <row r="15322" spans="2:4" ht="13">
      <c r="B15322" s="12" t="str">
        <f ca="1">IFERROR(__xludf.DUMMYFUNCTION("""COMPUTED_VALUE"""),"")</f>
        <v/>
      </c>
      <c r="C15322" s="12" t="str">
        <f ca="1">IFERROR(__xludf.DUMMYFUNCTION("""COMPUTED_VALUE"""),"")</f>
        <v/>
      </c>
      <c r="D15322" s="12" t="str">
        <f ca="1">IFERROR(__xludf.DUMMYFUNCTION("""COMPUTED_VALUE"""),"")</f>
        <v/>
      </c>
    </row>
    <row r="15323" spans="2:4" ht="13">
      <c r="B15323" s="12" t="str">
        <f ca="1">IFERROR(__xludf.DUMMYFUNCTION("""COMPUTED_VALUE"""),"")</f>
        <v/>
      </c>
      <c r="C15323" s="12" t="str">
        <f ca="1">IFERROR(__xludf.DUMMYFUNCTION("""COMPUTED_VALUE"""),"")</f>
        <v/>
      </c>
      <c r="D15323" s="12" t="str">
        <f ca="1">IFERROR(__xludf.DUMMYFUNCTION("""COMPUTED_VALUE"""),"")</f>
        <v/>
      </c>
    </row>
    <row r="15324" spans="2:4" ht="13">
      <c r="B15324" s="12" t="str">
        <f ca="1">IFERROR(__xludf.DUMMYFUNCTION("""COMPUTED_VALUE"""),"")</f>
        <v/>
      </c>
      <c r="C15324" s="12" t="str">
        <f ca="1">IFERROR(__xludf.DUMMYFUNCTION("""COMPUTED_VALUE"""),"")</f>
        <v/>
      </c>
      <c r="D15324" s="12" t="str">
        <f ca="1">IFERROR(__xludf.DUMMYFUNCTION("""COMPUTED_VALUE"""),"")</f>
        <v/>
      </c>
    </row>
    <row r="15325" spans="2:4" ht="13">
      <c r="B15325" s="12" t="str">
        <f ca="1">IFERROR(__xludf.DUMMYFUNCTION("""COMPUTED_VALUE"""),"")</f>
        <v/>
      </c>
      <c r="C15325" s="12" t="str">
        <f ca="1">IFERROR(__xludf.DUMMYFUNCTION("""COMPUTED_VALUE"""),"")</f>
        <v/>
      </c>
      <c r="D15325" s="12" t="str">
        <f ca="1">IFERROR(__xludf.DUMMYFUNCTION("""COMPUTED_VALUE"""),"")</f>
        <v/>
      </c>
    </row>
    <row r="15326" spans="2:4" ht="13">
      <c r="B15326" s="12" t="str">
        <f ca="1">IFERROR(__xludf.DUMMYFUNCTION("""COMPUTED_VALUE"""),"")</f>
        <v/>
      </c>
      <c r="C15326" s="12" t="str">
        <f ca="1">IFERROR(__xludf.DUMMYFUNCTION("""COMPUTED_VALUE"""),"")</f>
        <v/>
      </c>
      <c r="D15326" s="12" t="str">
        <f ca="1">IFERROR(__xludf.DUMMYFUNCTION("""COMPUTED_VALUE"""),"")</f>
        <v/>
      </c>
    </row>
    <row r="15327" spans="2:4" ht="13">
      <c r="B15327" s="12" t="str">
        <f ca="1">IFERROR(__xludf.DUMMYFUNCTION("""COMPUTED_VALUE"""),"")</f>
        <v/>
      </c>
      <c r="C15327" s="12" t="str">
        <f ca="1">IFERROR(__xludf.DUMMYFUNCTION("""COMPUTED_VALUE"""),"")</f>
        <v/>
      </c>
      <c r="D15327" s="12" t="str">
        <f ca="1">IFERROR(__xludf.DUMMYFUNCTION("""COMPUTED_VALUE"""),"")</f>
        <v/>
      </c>
    </row>
    <row r="15328" spans="2:4" ht="13">
      <c r="B15328" s="12" t="str">
        <f ca="1">IFERROR(__xludf.DUMMYFUNCTION("""COMPUTED_VALUE"""),"")</f>
        <v/>
      </c>
      <c r="C15328" s="12" t="str">
        <f ca="1">IFERROR(__xludf.DUMMYFUNCTION("""COMPUTED_VALUE"""),"")</f>
        <v/>
      </c>
      <c r="D15328" s="12" t="str">
        <f ca="1">IFERROR(__xludf.DUMMYFUNCTION("""COMPUTED_VALUE"""),"")</f>
        <v/>
      </c>
    </row>
    <row r="15329" spans="2:4" ht="13">
      <c r="B15329" s="12" t="str">
        <f ca="1">IFERROR(__xludf.DUMMYFUNCTION("""COMPUTED_VALUE"""),"")</f>
        <v/>
      </c>
      <c r="C15329" s="12" t="str">
        <f ca="1">IFERROR(__xludf.DUMMYFUNCTION("""COMPUTED_VALUE"""),"")</f>
        <v/>
      </c>
      <c r="D15329" s="12" t="str">
        <f ca="1">IFERROR(__xludf.DUMMYFUNCTION("""COMPUTED_VALUE"""),"")</f>
        <v/>
      </c>
    </row>
    <row r="15330" spans="2:4" ht="13">
      <c r="B15330" s="12" t="str">
        <f ca="1">IFERROR(__xludf.DUMMYFUNCTION("""COMPUTED_VALUE"""),"")</f>
        <v/>
      </c>
      <c r="C15330" s="12" t="str">
        <f ca="1">IFERROR(__xludf.DUMMYFUNCTION("""COMPUTED_VALUE"""),"")</f>
        <v/>
      </c>
      <c r="D15330" s="12" t="str">
        <f ca="1">IFERROR(__xludf.DUMMYFUNCTION("""COMPUTED_VALUE"""),"")</f>
        <v/>
      </c>
    </row>
    <row r="15331" spans="2:4" ht="13">
      <c r="B15331" s="12" t="str">
        <f ca="1">IFERROR(__xludf.DUMMYFUNCTION("""COMPUTED_VALUE"""),"")</f>
        <v/>
      </c>
      <c r="C15331" s="12" t="str">
        <f ca="1">IFERROR(__xludf.DUMMYFUNCTION("""COMPUTED_VALUE"""),"")</f>
        <v/>
      </c>
      <c r="D15331" s="12" t="str">
        <f ca="1">IFERROR(__xludf.DUMMYFUNCTION("""COMPUTED_VALUE"""),"")</f>
        <v/>
      </c>
    </row>
    <row r="15332" spans="2:4" ht="13">
      <c r="B15332" s="12" t="str">
        <f ca="1">IFERROR(__xludf.DUMMYFUNCTION("""COMPUTED_VALUE"""),"")</f>
        <v/>
      </c>
      <c r="C15332" s="12" t="str">
        <f ca="1">IFERROR(__xludf.DUMMYFUNCTION("""COMPUTED_VALUE"""),"")</f>
        <v/>
      </c>
      <c r="D15332" s="12" t="str">
        <f ca="1">IFERROR(__xludf.DUMMYFUNCTION("""COMPUTED_VALUE"""),"")</f>
        <v/>
      </c>
    </row>
    <row r="15333" spans="2:4" ht="13">
      <c r="B15333" s="12" t="str">
        <f ca="1">IFERROR(__xludf.DUMMYFUNCTION("""COMPUTED_VALUE"""),"")</f>
        <v/>
      </c>
      <c r="C15333" s="12" t="str">
        <f ca="1">IFERROR(__xludf.DUMMYFUNCTION("""COMPUTED_VALUE"""),"")</f>
        <v/>
      </c>
      <c r="D15333" s="12" t="str">
        <f ca="1">IFERROR(__xludf.DUMMYFUNCTION("""COMPUTED_VALUE"""),"")</f>
        <v/>
      </c>
    </row>
    <row r="15334" spans="2:4" ht="13">
      <c r="B15334" s="12" t="str">
        <f ca="1">IFERROR(__xludf.DUMMYFUNCTION("""COMPUTED_VALUE"""),"")</f>
        <v/>
      </c>
      <c r="C15334" s="12" t="str">
        <f ca="1">IFERROR(__xludf.DUMMYFUNCTION("""COMPUTED_VALUE"""),"")</f>
        <v/>
      </c>
      <c r="D15334" s="12" t="str">
        <f ca="1">IFERROR(__xludf.DUMMYFUNCTION("""COMPUTED_VALUE"""),"")</f>
        <v/>
      </c>
    </row>
    <row r="15335" spans="2:4" ht="13">
      <c r="B15335" s="12" t="str">
        <f ca="1">IFERROR(__xludf.DUMMYFUNCTION("""COMPUTED_VALUE"""),"")</f>
        <v/>
      </c>
      <c r="C15335" s="12" t="str">
        <f ca="1">IFERROR(__xludf.DUMMYFUNCTION("""COMPUTED_VALUE"""),"")</f>
        <v/>
      </c>
      <c r="D15335" s="12" t="str">
        <f ca="1">IFERROR(__xludf.DUMMYFUNCTION("""COMPUTED_VALUE"""),"")</f>
        <v/>
      </c>
    </row>
    <row r="15336" spans="2:4" ht="13">
      <c r="B15336" s="12" t="str">
        <f ca="1">IFERROR(__xludf.DUMMYFUNCTION("""COMPUTED_VALUE"""),"")</f>
        <v/>
      </c>
      <c r="C15336" s="12" t="str">
        <f ca="1">IFERROR(__xludf.DUMMYFUNCTION("""COMPUTED_VALUE"""),"")</f>
        <v/>
      </c>
      <c r="D15336" s="12" t="str">
        <f ca="1">IFERROR(__xludf.DUMMYFUNCTION("""COMPUTED_VALUE"""),"")</f>
        <v/>
      </c>
    </row>
    <row r="15337" spans="2:4" ht="13">
      <c r="B15337" s="12" t="str">
        <f ca="1">IFERROR(__xludf.DUMMYFUNCTION("""COMPUTED_VALUE"""),"")</f>
        <v/>
      </c>
      <c r="C15337" s="12" t="str">
        <f ca="1">IFERROR(__xludf.DUMMYFUNCTION("""COMPUTED_VALUE"""),"")</f>
        <v/>
      </c>
      <c r="D15337" s="12" t="str">
        <f ca="1">IFERROR(__xludf.DUMMYFUNCTION("""COMPUTED_VALUE"""),"")</f>
        <v/>
      </c>
    </row>
    <row r="15338" spans="2:4" ht="13">
      <c r="B15338" s="12" t="str">
        <f ca="1">IFERROR(__xludf.DUMMYFUNCTION("""COMPUTED_VALUE"""),"")</f>
        <v/>
      </c>
      <c r="C15338" s="12" t="str">
        <f ca="1">IFERROR(__xludf.DUMMYFUNCTION("""COMPUTED_VALUE"""),"")</f>
        <v/>
      </c>
      <c r="D15338" s="12" t="str">
        <f ca="1">IFERROR(__xludf.DUMMYFUNCTION("""COMPUTED_VALUE"""),"")</f>
        <v/>
      </c>
    </row>
    <row r="15339" spans="2:4" ht="13">
      <c r="B15339" s="12" t="str">
        <f ca="1">IFERROR(__xludf.DUMMYFUNCTION("""COMPUTED_VALUE"""),"")</f>
        <v/>
      </c>
      <c r="C15339" s="12" t="str">
        <f ca="1">IFERROR(__xludf.DUMMYFUNCTION("""COMPUTED_VALUE"""),"")</f>
        <v/>
      </c>
      <c r="D15339" s="12" t="str">
        <f ca="1">IFERROR(__xludf.DUMMYFUNCTION("""COMPUTED_VALUE"""),"")</f>
        <v/>
      </c>
    </row>
    <row r="15340" spans="2:4" ht="13">
      <c r="B15340" s="12" t="str">
        <f ca="1">IFERROR(__xludf.DUMMYFUNCTION("""COMPUTED_VALUE"""),"")</f>
        <v/>
      </c>
      <c r="C15340" s="12" t="str">
        <f ca="1">IFERROR(__xludf.DUMMYFUNCTION("""COMPUTED_VALUE"""),"")</f>
        <v/>
      </c>
      <c r="D15340" s="12" t="str">
        <f ca="1">IFERROR(__xludf.DUMMYFUNCTION("""COMPUTED_VALUE"""),"")</f>
        <v/>
      </c>
    </row>
    <row r="15341" spans="2:4" ht="13">
      <c r="B15341" s="12" t="str">
        <f ca="1">IFERROR(__xludf.DUMMYFUNCTION("""COMPUTED_VALUE"""),"")</f>
        <v/>
      </c>
      <c r="C15341" s="12" t="str">
        <f ca="1">IFERROR(__xludf.DUMMYFUNCTION("""COMPUTED_VALUE"""),"")</f>
        <v/>
      </c>
      <c r="D15341" s="12" t="str">
        <f ca="1">IFERROR(__xludf.DUMMYFUNCTION("""COMPUTED_VALUE"""),"")</f>
        <v/>
      </c>
    </row>
    <row r="15342" spans="2:4" ht="13">
      <c r="B15342" s="12" t="str">
        <f ca="1">IFERROR(__xludf.DUMMYFUNCTION("""COMPUTED_VALUE"""),"")</f>
        <v/>
      </c>
      <c r="C15342" s="12" t="str">
        <f ca="1">IFERROR(__xludf.DUMMYFUNCTION("""COMPUTED_VALUE"""),"")</f>
        <v/>
      </c>
      <c r="D15342" s="12" t="str">
        <f ca="1">IFERROR(__xludf.DUMMYFUNCTION("""COMPUTED_VALUE"""),"")</f>
        <v/>
      </c>
    </row>
    <row r="15343" spans="2:4" ht="13">
      <c r="B15343" s="12" t="str">
        <f ca="1">IFERROR(__xludf.DUMMYFUNCTION("""COMPUTED_VALUE"""),"")</f>
        <v/>
      </c>
      <c r="C15343" s="12" t="str">
        <f ca="1">IFERROR(__xludf.DUMMYFUNCTION("""COMPUTED_VALUE"""),"")</f>
        <v/>
      </c>
      <c r="D15343" s="12" t="str">
        <f ca="1">IFERROR(__xludf.DUMMYFUNCTION("""COMPUTED_VALUE"""),"")</f>
        <v/>
      </c>
    </row>
    <row r="15344" spans="2:4" ht="13">
      <c r="B15344" s="12" t="str">
        <f ca="1">IFERROR(__xludf.DUMMYFUNCTION("""COMPUTED_VALUE"""),"")</f>
        <v/>
      </c>
      <c r="C15344" s="12" t="str">
        <f ca="1">IFERROR(__xludf.DUMMYFUNCTION("""COMPUTED_VALUE"""),"")</f>
        <v/>
      </c>
      <c r="D15344" s="12" t="str">
        <f ca="1">IFERROR(__xludf.DUMMYFUNCTION("""COMPUTED_VALUE"""),"")</f>
        <v/>
      </c>
    </row>
    <row r="15345" spans="2:4" ht="13">
      <c r="B15345" s="12" t="str">
        <f ca="1">IFERROR(__xludf.DUMMYFUNCTION("""COMPUTED_VALUE"""),"")</f>
        <v/>
      </c>
      <c r="C15345" s="12" t="str">
        <f ca="1">IFERROR(__xludf.DUMMYFUNCTION("""COMPUTED_VALUE"""),"")</f>
        <v/>
      </c>
      <c r="D15345" s="12" t="str">
        <f ca="1">IFERROR(__xludf.DUMMYFUNCTION("""COMPUTED_VALUE"""),"")</f>
        <v/>
      </c>
    </row>
    <row r="15346" spans="2:4" ht="13">
      <c r="B15346" s="12" t="str">
        <f ca="1">IFERROR(__xludf.DUMMYFUNCTION("""COMPUTED_VALUE"""),"")</f>
        <v/>
      </c>
      <c r="C15346" s="12" t="str">
        <f ca="1">IFERROR(__xludf.DUMMYFUNCTION("""COMPUTED_VALUE"""),"")</f>
        <v/>
      </c>
      <c r="D15346" s="12" t="str">
        <f ca="1">IFERROR(__xludf.DUMMYFUNCTION("""COMPUTED_VALUE"""),"")</f>
        <v/>
      </c>
    </row>
    <row r="15347" spans="2:4" ht="13">
      <c r="B15347" s="12" t="str">
        <f ca="1">IFERROR(__xludf.DUMMYFUNCTION("""COMPUTED_VALUE"""),"")</f>
        <v/>
      </c>
      <c r="C15347" s="12" t="str">
        <f ca="1">IFERROR(__xludf.DUMMYFUNCTION("""COMPUTED_VALUE"""),"")</f>
        <v/>
      </c>
      <c r="D15347" s="12" t="str">
        <f ca="1">IFERROR(__xludf.DUMMYFUNCTION("""COMPUTED_VALUE"""),"")</f>
        <v/>
      </c>
    </row>
    <row r="15348" spans="2:4" ht="13">
      <c r="B15348" s="12" t="str">
        <f ca="1">IFERROR(__xludf.DUMMYFUNCTION("""COMPUTED_VALUE"""),"")</f>
        <v/>
      </c>
      <c r="C15348" s="12" t="str">
        <f ca="1">IFERROR(__xludf.DUMMYFUNCTION("""COMPUTED_VALUE"""),"")</f>
        <v/>
      </c>
      <c r="D15348" s="12" t="str">
        <f ca="1">IFERROR(__xludf.DUMMYFUNCTION("""COMPUTED_VALUE"""),"")</f>
        <v/>
      </c>
    </row>
    <row r="15349" spans="2:4" ht="13">
      <c r="B15349" s="12" t="str">
        <f ca="1">IFERROR(__xludf.DUMMYFUNCTION("""COMPUTED_VALUE"""),"")</f>
        <v/>
      </c>
      <c r="C15349" s="12" t="str">
        <f ca="1">IFERROR(__xludf.DUMMYFUNCTION("""COMPUTED_VALUE"""),"")</f>
        <v/>
      </c>
      <c r="D15349" s="12" t="str">
        <f ca="1">IFERROR(__xludf.DUMMYFUNCTION("""COMPUTED_VALUE"""),"")</f>
        <v/>
      </c>
    </row>
    <row r="15350" spans="2:4" ht="13">
      <c r="B15350" s="12" t="str">
        <f ca="1">IFERROR(__xludf.DUMMYFUNCTION("""COMPUTED_VALUE"""),"")</f>
        <v/>
      </c>
      <c r="C15350" s="12" t="str">
        <f ca="1">IFERROR(__xludf.DUMMYFUNCTION("""COMPUTED_VALUE"""),"")</f>
        <v/>
      </c>
      <c r="D15350" s="12" t="str">
        <f ca="1">IFERROR(__xludf.DUMMYFUNCTION("""COMPUTED_VALUE"""),"")</f>
        <v/>
      </c>
    </row>
    <row r="15351" spans="2:4" ht="13">
      <c r="B15351" s="12" t="str">
        <f ca="1">IFERROR(__xludf.DUMMYFUNCTION("""COMPUTED_VALUE"""),"")</f>
        <v/>
      </c>
      <c r="C15351" s="12" t="str">
        <f ca="1">IFERROR(__xludf.DUMMYFUNCTION("""COMPUTED_VALUE"""),"")</f>
        <v/>
      </c>
      <c r="D15351" s="12" t="str">
        <f ca="1">IFERROR(__xludf.DUMMYFUNCTION("""COMPUTED_VALUE"""),"")</f>
        <v/>
      </c>
    </row>
    <row r="15352" spans="2:4" ht="13">
      <c r="B15352" s="12" t="str">
        <f ca="1">IFERROR(__xludf.DUMMYFUNCTION("""COMPUTED_VALUE"""),"")</f>
        <v/>
      </c>
      <c r="C15352" s="12" t="str">
        <f ca="1">IFERROR(__xludf.DUMMYFUNCTION("""COMPUTED_VALUE"""),"")</f>
        <v/>
      </c>
      <c r="D15352" s="12" t="str">
        <f ca="1">IFERROR(__xludf.DUMMYFUNCTION("""COMPUTED_VALUE"""),"")</f>
        <v/>
      </c>
    </row>
    <row r="15353" spans="2:4" ht="13">
      <c r="B15353" s="12" t="str">
        <f ca="1">IFERROR(__xludf.DUMMYFUNCTION("""COMPUTED_VALUE"""),"")</f>
        <v/>
      </c>
      <c r="C15353" s="12" t="str">
        <f ca="1">IFERROR(__xludf.DUMMYFUNCTION("""COMPUTED_VALUE"""),"")</f>
        <v/>
      </c>
      <c r="D15353" s="12" t="str">
        <f ca="1">IFERROR(__xludf.DUMMYFUNCTION("""COMPUTED_VALUE"""),"")</f>
        <v/>
      </c>
    </row>
    <row r="15354" spans="2:4" ht="13">
      <c r="B15354" s="12" t="str">
        <f ca="1">IFERROR(__xludf.DUMMYFUNCTION("""COMPUTED_VALUE"""),"")</f>
        <v/>
      </c>
      <c r="C15354" s="12" t="str">
        <f ca="1">IFERROR(__xludf.DUMMYFUNCTION("""COMPUTED_VALUE"""),"")</f>
        <v/>
      </c>
      <c r="D15354" s="12" t="str">
        <f ca="1">IFERROR(__xludf.DUMMYFUNCTION("""COMPUTED_VALUE"""),"")</f>
        <v/>
      </c>
    </row>
    <row r="15355" spans="2:4" ht="13">
      <c r="B15355" s="12" t="str">
        <f ca="1">IFERROR(__xludf.DUMMYFUNCTION("""COMPUTED_VALUE"""),"")</f>
        <v/>
      </c>
      <c r="C15355" s="12" t="str">
        <f ca="1">IFERROR(__xludf.DUMMYFUNCTION("""COMPUTED_VALUE"""),"")</f>
        <v/>
      </c>
      <c r="D15355" s="12" t="str">
        <f ca="1">IFERROR(__xludf.DUMMYFUNCTION("""COMPUTED_VALUE"""),"")</f>
        <v/>
      </c>
    </row>
    <row r="15356" spans="2:4" ht="13">
      <c r="B15356" s="12" t="str">
        <f ca="1">IFERROR(__xludf.DUMMYFUNCTION("""COMPUTED_VALUE"""),"")</f>
        <v/>
      </c>
      <c r="C15356" s="12" t="str">
        <f ca="1">IFERROR(__xludf.DUMMYFUNCTION("""COMPUTED_VALUE"""),"")</f>
        <v/>
      </c>
      <c r="D15356" s="12" t="str">
        <f ca="1">IFERROR(__xludf.DUMMYFUNCTION("""COMPUTED_VALUE"""),"")</f>
        <v/>
      </c>
    </row>
    <row r="15357" spans="2:4" ht="13">
      <c r="B15357" s="12" t="str">
        <f ca="1">IFERROR(__xludf.DUMMYFUNCTION("""COMPUTED_VALUE"""),"")</f>
        <v/>
      </c>
      <c r="C15357" s="12" t="str">
        <f ca="1">IFERROR(__xludf.DUMMYFUNCTION("""COMPUTED_VALUE"""),"")</f>
        <v/>
      </c>
      <c r="D15357" s="12" t="str">
        <f ca="1">IFERROR(__xludf.DUMMYFUNCTION("""COMPUTED_VALUE"""),"")</f>
        <v/>
      </c>
    </row>
    <row r="15358" spans="2:4" ht="13">
      <c r="B15358" s="12" t="str">
        <f ca="1">IFERROR(__xludf.DUMMYFUNCTION("""COMPUTED_VALUE"""),"")</f>
        <v/>
      </c>
      <c r="C15358" s="12" t="str">
        <f ca="1">IFERROR(__xludf.DUMMYFUNCTION("""COMPUTED_VALUE"""),"")</f>
        <v/>
      </c>
      <c r="D15358" s="12" t="str">
        <f ca="1">IFERROR(__xludf.DUMMYFUNCTION("""COMPUTED_VALUE"""),"")</f>
        <v/>
      </c>
    </row>
    <row r="15359" spans="2:4" ht="13">
      <c r="B15359" s="12" t="str">
        <f ca="1">IFERROR(__xludf.DUMMYFUNCTION("""COMPUTED_VALUE"""),"")</f>
        <v/>
      </c>
      <c r="C15359" s="12" t="str">
        <f ca="1">IFERROR(__xludf.DUMMYFUNCTION("""COMPUTED_VALUE"""),"")</f>
        <v/>
      </c>
      <c r="D15359" s="12" t="str">
        <f ca="1">IFERROR(__xludf.DUMMYFUNCTION("""COMPUTED_VALUE"""),"")</f>
        <v/>
      </c>
    </row>
    <row r="15360" spans="2:4" ht="13">
      <c r="B15360" s="12" t="str">
        <f ca="1">IFERROR(__xludf.DUMMYFUNCTION("""COMPUTED_VALUE"""),"")</f>
        <v/>
      </c>
      <c r="C15360" s="12" t="str">
        <f ca="1">IFERROR(__xludf.DUMMYFUNCTION("""COMPUTED_VALUE"""),"")</f>
        <v/>
      </c>
      <c r="D15360" s="12" t="str">
        <f ca="1">IFERROR(__xludf.DUMMYFUNCTION("""COMPUTED_VALUE"""),"")</f>
        <v/>
      </c>
    </row>
    <row r="15361" spans="2:4" ht="13">
      <c r="B15361" s="12" t="str">
        <f ca="1">IFERROR(__xludf.DUMMYFUNCTION("""COMPUTED_VALUE"""),"")</f>
        <v/>
      </c>
      <c r="C15361" s="12" t="str">
        <f ca="1">IFERROR(__xludf.DUMMYFUNCTION("""COMPUTED_VALUE"""),"")</f>
        <v/>
      </c>
      <c r="D15361" s="12" t="str">
        <f ca="1">IFERROR(__xludf.DUMMYFUNCTION("""COMPUTED_VALUE"""),"")</f>
        <v/>
      </c>
    </row>
    <row r="15362" spans="2:4" ht="13">
      <c r="B15362" s="12" t="str">
        <f ca="1">IFERROR(__xludf.DUMMYFUNCTION("""COMPUTED_VALUE"""),"")</f>
        <v/>
      </c>
      <c r="C15362" s="12" t="str">
        <f ca="1">IFERROR(__xludf.DUMMYFUNCTION("""COMPUTED_VALUE"""),"")</f>
        <v/>
      </c>
      <c r="D15362" s="12" t="str">
        <f ca="1">IFERROR(__xludf.DUMMYFUNCTION("""COMPUTED_VALUE"""),"")</f>
        <v/>
      </c>
    </row>
    <row r="15363" spans="2:4" ht="13">
      <c r="B15363" s="12" t="str">
        <f ca="1">IFERROR(__xludf.DUMMYFUNCTION("""COMPUTED_VALUE"""),"")</f>
        <v/>
      </c>
      <c r="C15363" s="12" t="str">
        <f ca="1">IFERROR(__xludf.DUMMYFUNCTION("""COMPUTED_VALUE"""),"")</f>
        <v/>
      </c>
      <c r="D15363" s="12" t="str">
        <f ca="1">IFERROR(__xludf.DUMMYFUNCTION("""COMPUTED_VALUE"""),"")</f>
        <v/>
      </c>
    </row>
    <row r="15364" spans="2:4" ht="13">
      <c r="B15364" s="12" t="str">
        <f ca="1">IFERROR(__xludf.DUMMYFUNCTION("""COMPUTED_VALUE"""),"")</f>
        <v/>
      </c>
      <c r="C15364" s="12" t="str">
        <f ca="1">IFERROR(__xludf.DUMMYFUNCTION("""COMPUTED_VALUE"""),"")</f>
        <v/>
      </c>
      <c r="D15364" s="12" t="str">
        <f ca="1">IFERROR(__xludf.DUMMYFUNCTION("""COMPUTED_VALUE"""),"")</f>
        <v/>
      </c>
    </row>
    <row r="15365" spans="2:4" ht="13">
      <c r="B15365" s="12" t="str">
        <f ca="1">IFERROR(__xludf.DUMMYFUNCTION("""COMPUTED_VALUE"""),"")</f>
        <v/>
      </c>
      <c r="C15365" s="12" t="str">
        <f ca="1">IFERROR(__xludf.DUMMYFUNCTION("""COMPUTED_VALUE"""),"")</f>
        <v/>
      </c>
      <c r="D15365" s="12" t="str">
        <f ca="1">IFERROR(__xludf.DUMMYFUNCTION("""COMPUTED_VALUE"""),"")</f>
        <v/>
      </c>
    </row>
    <row r="15366" spans="2:4" ht="13">
      <c r="B15366" s="12" t="str">
        <f ca="1">IFERROR(__xludf.DUMMYFUNCTION("""COMPUTED_VALUE"""),"")</f>
        <v/>
      </c>
      <c r="C15366" s="12" t="str">
        <f ca="1">IFERROR(__xludf.DUMMYFUNCTION("""COMPUTED_VALUE"""),"")</f>
        <v/>
      </c>
      <c r="D15366" s="12" t="str">
        <f ca="1">IFERROR(__xludf.DUMMYFUNCTION("""COMPUTED_VALUE"""),"")</f>
        <v/>
      </c>
    </row>
    <row r="15367" spans="2:4" ht="13">
      <c r="B15367" s="12" t="str">
        <f ca="1">IFERROR(__xludf.DUMMYFUNCTION("""COMPUTED_VALUE"""),"")</f>
        <v/>
      </c>
      <c r="C15367" s="12" t="str">
        <f ca="1">IFERROR(__xludf.DUMMYFUNCTION("""COMPUTED_VALUE"""),"")</f>
        <v/>
      </c>
      <c r="D15367" s="12" t="str">
        <f ca="1">IFERROR(__xludf.DUMMYFUNCTION("""COMPUTED_VALUE"""),"")</f>
        <v/>
      </c>
    </row>
    <row r="15368" spans="2:4" ht="13">
      <c r="B15368" s="12" t="str">
        <f ca="1">IFERROR(__xludf.DUMMYFUNCTION("""COMPUTED_VALUE"""),"")</f>
        <v/>
      </c>
      <c r="C15368" s="12" t="str">
        <f ca="1">IFERROR(__xludf.DUMMYFUNCTION("""COMPUTED_VALUE"""),"")</f>
        <v/>
      </c>
      <c r="D15368" s="12" t="str">
        <f ca="1">IFERROR(__xludf.DUMMYFUNCTION("""COMPUTED_VALUE"""),"")</f>
        <v/>
      </c>
    </row>
    <row r="15369" spans="2:4" ht="13">
      <c r="B15369" s="12" t="str">
        <f ca="1">IFERROR(__xludf.DUMMYFUNCTION("""COMPUTED_VALUE"""),"")</f>
        <v/>
      </c>
      <c r="C15369" s="12" t="str">
        <f ca="1">IFERROR(__xludf.DUMMYFUNCTION("""COMPUTED_VALUE"""),"")</f>
        <v/>
      </c>
      <c r="D15369" s="12" t="str">
        <f ca="1">IFERROR(__xludf.DUMMYFUNCTION("""COMPUTED_VALUE"""),"")</f>
        <v/>
      </c>
    </row>
    <row r="15370" spans="2:4" ht="13">
      <c r="B15370" s="12" t="str">
        <f ca="1">IFERROR(__xludf.DUMMYFUNCTION("""COMPUTED_VALUE"""),"")</f>
        <v/>
      </c>
      <c r="C15370" s="12" t="str">
        <f ca="1">IFERROR(__xludf.DUMMYFUNCTION("""COMPUTED_VALUE"""),"")</f>
        <v/>
      </c>
      <c r="D15370" s="12" t="str">
        <f ca="1">IFERROR(__xludf.DUMMYFUNCTION("""COMPUTED_VALUE"""),"")</f>
        <v/>
      </c>
    </row>
    <row r="15371" spans="2:4" ht="13">
      <c r="B15371" s="12" t="str">
        <f ca="1">IFERROR(__xludf.DUMMYFUNCTION("""COMPUTED_VALUE"""),"")</f>
        <v/>
      </c>
      <c r="C15371" s="12" t="str">
        <f ca="1">IFERROR(__xludf.DUMMYFUNCTION("""COMPUTED_VALUE"""),"")</f>
        <v/>
      </c>
      <c r="D15371" s="12" t="str">
        <f ca="1">IFERROR(__xludf.DUMMYFUNCTION("""COMPUTED_VALUE"""),"")</f>
        <v/>
      </c>
    </row>
    <row r="15372" spans="2:4" ht="13">
      <c r="B15372" s="12" t="str">
        <f ca="1">IFERROR(__xludf.DUMMYFUNCTION("""COMPUTED_VALUE"""),"")</f>
        <v/>
      </c>
      <c r="C15372" s="12" t="str">
        <f ca="1">IFERROR(__xludf.DUMMYFUNCTION("""COMPUTED_VALUE"""),"")</f>
        <v/>
      </c>
      <c r="D15372" s="12" t="str">
        <f ca="1">IFERROR(__xludf.DUMMYFUNCTION("""COMPUTED_VALUE"""),"")</f>
        <v/>
      </c>
    </row>
    <row r="15373" spans="2:4" ht="13">
      <c r="B15373" s="12" t="str">
        <f ca="1">IFERROR(__xludf.DUMMYFUNCTION("""COMPUTED_VALUE"""),"")</f>
        <v/>
      </c>
      <c r="C15373" s="12" t="str">
        <f ca="1">IFERROR(__xludf.DUMMYFUNCTION("""COMPUTED_VALUE"""),"")</f>
        <v/>
      </c>
      <c r="D15373" s="12" t="str">
        <f ca="1">IFERROR(__xludf.DUMMYFUNCTION("""COMPUTED_VALUE"""),"")</f>
        <v/>
      </c>
    </row>
    <row r="15374" spans="2:4" ht="13">
      <c r="B15374" s="12" t="str">
        <f ca="1">IFERROR(__xludf.DUMMYFUNCTION("""COMPUTED_VALUE"""),"")</f>
        <v/>
      </c>
      <c r="C15374" s="12" t="str">
        <f ca="1">IFERROR(__xludf.DUMMYFUNCTION("""COMPUTED_VALUE"""),"")</f>
        <v/>
      </c>
      <c r="D15374" s="12" t="str">
        <f ca="1">IFERROR(__xludf.DUMMYFUNCTION("""COMPUTED_VALUE"""),"")</f>
        <v/>
      </c>
    </row>
    <row r="15375" spans="2:4" ht="13">
      <c r="B15375" s="12" t="str">
        <f ca="1">IFERROR(__xludf.DUMMYFUNCTION("""COMPUTED_VALUE"""),"")</f>
        <v/>
      </c>
      <c r="C15375" s="12" t="str">
        <f ca="1">IFERROR(__xludf.DUMMYFUNCTION("""COMPUTED_VALUE"""),"")</f>
        <v/>
      </c>
      <c r="D15375" s="12" t="str">
        <f ca="1">IFERROR(__xludf.DUMMYFUNCTION("""COMPUTED_VALUE"""),"")</f>
        <v/>
      </c>
    </row>
    <row r="15376" spans="2:4" ht="13">
      <c r="B15376" s="12" t="str">
        <f ca="1">IFERROR(__xludf.DUMMYFUNCTION("""COMPUTED_VALUE"""),"")</f>
        <v/>
      </c>
      <c r="C15376" s="12" t="str">
        <f ca="1">IFERROR(__xludf.DUMMYFUNCTION("""COMPUTED_VALUE"""),"")</f>
        <v/>
      </c>
      <c r="D15376" s="12" t="str">
        <f ca="1">IFERROR(__xludf.DUMMYFUNCTION("""COMPUTED_VALUE"""),"")</f>
        <v/>
      </c>
    </row>
    <row r="15377" spans="2:4" ht="13">
      <c r="B15377" s="12" t="str">
        <f ca="1">IFERROR(__xludf.DUMMYFUNCTION("""COMPUTED_VALUE"""),"")</f>
        <v/>
      </c>
      <c r="C15377" s="12" t="str">
        <f ca="1">IFERROR(__xludf.DUMMYFUNCTION("""COMPUTED_VALUE"""),"")</f>
        <v/>
      </c>
      <c r="D15377" s="12" t="str">
        <f ca="1">IFERROR(__xludf.DUMMYFUNCTION("""COMPUTED_VALUE"""),"")</f>
        <v/>
      </c>
    </row>
    <row r="15378" spans="2:4" ht="13">
      <c r="B15378" s="12" t="str">
        <f ca="1">IFERROR(__xludf.DUMMYFUNCTION("""COMPUTED_VALUE"""),"")</f>
        <v/>
      </c>
      <c r="C15378" s="12" t="str">
        <f ca="1">IFERROR(__xludf.DUMMYFUNCTION("""COMPUTED_VALUE"""),"")</f>
        <v/>
      </c>
      <c r="D15378" s="12" t="str">
        <f ca="1">IFERROR(__xludf.DUMMYFUNCTION("""COMPUTED_VALUE"""),"")</f>
        <v/>
      </c>
    </row>
    <row r="15379" spans="2:4" ht="13">
      <c r="B15379" s="12" t="str">
        <f ca="1">IFERROR(__xludf.DUMMYFUNCTION("""COMPUTED_VALUE"""),"")</f>
        <v/>
      </c>
      <c r="C15379" s="12" t="str">
        <f ca="1">IFERROR(__xludf.DUMMYFUNCTION("""COMPUTED_VALUE"""),"")</f>
        <v/>
      </c>
      <c r="D15379" s="12" t="str">
        <f ca="1">IFERROR(__xludf.DUMMYFUNCTION("""COMPUTED_VALUE"""),"")</f>
        <v/>
      </c>
    </row>
    <row r="15380" spans="2:4" ht="13">
      <c r="B15380" s="12" t="str">
        <f ca="1">IFERROR(__xludf.DUMMYFUNCTION("""COMPUTED_VALUE"""),"")</f>
        <v/>
      </c>
      <c r="C15380" s="12" t="str">
        <f ca="1">IFERROR(__xludf.DUMMYFUNCTION("""COMPUTED_VALUE"""),"")</f>
        <v/>
      </c>
      <c r="D15380" s="12" t="str">
        <f ca="1">IFERROR(__xludf.DUMMYFUNCTION("""COMPUTED_VALUE"""),"")</f>
        <v/>
      </c>
    </row>
    <row r="15381" spans="2:4" ht="13">
      <c r="B15381" s="12" t="str">
        <f ca="1">IFERROR(__xludf.DUMMYFUNCTION("""COMPUTED_VALUE"""),"")</f>
        <v/>
      </c>
      <c r="C15381" s="12" t="str">
        <f ca="1">IFERROR(__xludf.DUMMYFUNCTION("""COMPUTED_VALUE"""),"")</f>
        <v/>
      </c>
      <c r="D15381" s="12" t="str">
        <f ca="1">IFERROR(__xludf.DUMMYFUNCTION("""COMPUTED_VALUE"""),"")</f>
        <v/>
      </c>
    </row>
    <row r="15382" spans="2:4" ht="13">
      <c r="B15382" s="12" t="str">
        <f ca="1">IFERROR(__xludf.DUMMYFUNCTION("""COMPUTED_VALUE"""),"")</f>
        <v/>
      </c>
      <c r="C15382" s="12" t="str">
        <f ca="1">IFERROR(__xludf.DUMMYFUNCTION("""COMPUTED_VALUE"""),"")</f>
        <v/>
      </c>
      <c r="D15382" s="12" t="str">
        <f ca="1">IFERROR(__xludf.DUMMYFUNCTION("""COMPUTED_VALUE"""),"")</f>
        <v/>
      </c>
    </row>
    <row r="15383" spans="2:4" ht="13">
      <c r="B15383" s="12" t="str">
        <f ca="1">IFERROR(__xludf.DUMMYFUNCTION("""COMPUTED_VALUE"""),"")</f>
        <v/>
      </c>
      <c r="C15383" s="12" t="str">
        <f ca="1">IFERROR(__xludf.DUMMYFUNCTION("""COMPUTED_VALUE"""),"")</f>
        <v/>
      </c>
      <c r="D15383" s="12" t="str">
        <f ca="1">IFERROR(__xludf.DUMMYFUNCTION("""COMPUTED_VALUE"""),"")</f>
        <v/>
      </c>
    </row>
    <row r="15384" spans="2:4" ht="13">
      <c r="B15384" s="12" t="str">
        <f ca="1">IFERROR(__xludf.DUMMYFUNCTION("""COMPUTED_VALUE"""),"")</f>
        <v/>
      </c>
      <c r="C15384" s="12" t="str">
        <f ca="1">IFERROR(__xludf.DUMMYFUNCTION("""COMPUTED_VALUE"""),"")</f>
        <v/>
      </c>
      <c r="D15384" s="12" t="str">
        <f ca="1">IFERROR(__xludf.DUMMYFUNCTION("""COMPUTED_VALUE"""),"")</f>
        <v/>
      </c>
    </row>
    <row r="15385" spans="2:4" ht="13">
      <c r="B15385" s="12" t="str">
        <f ca="1">IFERROR(__xludf.DUMMYFUNCTION("""COMPUTED_VALUE"""),"")</f>
        <v/>
      </c>
      <c r="C15385" s="12" t="str">
        <f ca="1">IFERROR(__xludf.DUMMYFUNCTION("""COMPUTED_VALUE"""),"")</f>
        <v/>
      </c>
      <c r="D15385" s="12" t="str">
        <f ca="1">IFERROR(__xludf.DUMMYFUNCTION("""COMPUTED_VALUE"""),"")</f>
        <v/>
      </c>
    </row>
    <row r="15386" spans="2:4" ht="13">
      <c r="B15386" s="12" t="str">
        <f ca="1">IFERROR(__xludf.DUMMYFUNCTION("""COMPUTED_VALUE"""),"")</f>
        <v/>
      </c>
      <c r="C15386" s="12" t="str">
        <f ca="1">IFERROR(__xludf.DUMMYFUNCTION("""COMPUTED_VALUE"""),"")</f>
        <v/>
      </c>
      <c r="D15386" s="12" t="str">
        <f ca="1">IFERROR(__xludf.DUMMYFUNCTION("""COMPUTED_VALUE"""),"")</f>
        <v/>
      </c>
    </row>
    <row r="15387" spans="2:4" ht="13">
      <c r="B15387" s="12" t="str">
        <f ca="1">IFERROR(__xludf.DUMMYFUNCTION("""COMPUTED_VALUE"""),"")</f>
        <v/>
      </c>
      <c r="C15387" s="12" t="str">
        <f ca="1">IFERROR(__xludf.DUMMYFUNCTION("""COMPUTED_VALUE"""),"")</f>
        <v/>
      </c>
      <c r="D15387" s="12" t="str">
        <f ca="1">IFERROR(__xludf.DUMMYFUNCTION("""COMPUTED_VALUE"""),"")</f>
        <v/>
      </c>
    </row>
    <row r="15388" spans="2:4" ht="13">
      <c r="B15388" s="12" t="str">
        <f ca="1">IFERROR(__xludf.DUMMYFUNCTION("""COMPUTED_VALUE"""),"")</f>
        <v/>
      </c>
      <c r="C15388" s="12" t="str">
        <f ca="1">IFERROR(__xludf.DUMMYFUNCTION("""COMPUTED_VALUE"""),"")</f>
        <v/>
      </c>
      <c r="D15388" s="12" t="str">
        <f ca="1">IFERROR(__xludf.DUMMYFUNCTION("""COMPUTED_VALUE"""),"")</f>
        <v/>
      </c>
    </row>
    <row r="15389" spans="2:4" ht="13">
      <c r="B15389" s="12" t="str">
        <f ca="1">IFERROR(__xludf.DUMMYFUNCTION("""COMPUTED_VALUE"""),"")</f>
        <v/>
      </c>
      <c r="C15389" s="12" t="str">
        <f ca="1">IFERROR(__xludf.DUMMYFUNCTION("""COMPUTED_VALUE"""),"")</f>
        <v/>
      </c>
      <c r="D15389" s="12" t="str">
        <f ca="1">IFERROR(__xludf.DUMMYFUNCTION("""COMPUTED_VALUE"""),"")</f>
        <v/>
      </c>
    </row>
    <row r="15390" spans="2:4" ht="13">
      <c r="B15390" s="12" t="str">
        <f ca="1">IFERROR(__xludf.DUMMYFUNCTION("""COMPUTED_VALUE"""),"")</f>
        <v/>
      </c>
      <c r="C15390" s="12" t="str">
        <f ca="1">IFERROR(__xludf.DUMMYFUNCTION("""COMPUTED_VALUE"""),"")</f>
        <v/>
      </c>
      <c r="D15390" s="12" t="str">
        <f ca="1">IFERROR(__xludf.DUMMYFUNCTION("""COMPUTED_VALUE"""),"")</f>
        <v/>
      </c>
    </row>
    <row r="15391" spans="2:4" ht="13">
      <c r="B15391" s="12" t="str">
        <f ca="1">IFERROR(__xludf.DUMMYFUNCTION("""COMPUTED_VALUE"""),"")</f>
        <v/>
      </c>
      <c r="C15391" s="12" t="str">
        <f ca="1">IFERROR(__xludf.DUMMYFUNCTION("""COMPUTED_VALUE"""),"")</f>
        <v/>
      </c>
      <c r="D15391" s="12" t="str">
        <f ca="1">IFERROR(__xludf.DUMMYFUNCTION("""COMPUTED_VALUE"""),"")</f>
        <v/>
      </c>
    </row>
    <row r="15392" spans="2:4" ht="13">
      <c r="B15392" s="12" t="str">
        <f ca="1">IFERROR(__xludf.DUMMYFUNCTION("""COMPUTED_VALUE"""),"")</f>
        <v/>
      </c>
      <c r="C15392" s="12" t="str">
        <f ca="1">IFERROR(__xludf.DUMMYFUNCTION("""COMPUTED_VALUE"""),"")</f>
        <v/>
      </c>
      <c r="D15392" s="12" t="str">
        <f ca="1">IFERROR(__xludf.DUMMYFUNCTION("""COMPUTED_VALUE"""),"")</f>
        <v/>
      </c>
    </row>
    <row r="15393" spans="2:4" ht="13">
      <c r="B15393" s="12" t="str">
        <f ca="1">IFERROR(__xludf.DUMMYFUNCTION("""COMPUTED_VALUE"""),"")</f>
        <v/>
      </c>
      <c r="C15393" s="12" t="str">
        <f ca="1">IFERROR(__xludf.DUMMYFUNCTION("""COMPUTED_VALUE"""),"")</f>
        <v/>
      </c>
      <c r="D15393" s="12" t="str">
        <f ca="1">IFERROR(__xludf.DUMMYFUNCTION("""COMPUTED_VALUE"""),"")</f>
        <v/>
      </c>
    </row>
    <row r="15394" spans="2:4" ht="13">
      <c r="B15394" s="12" t="str">
        <f ca="1">IFERROR(__xludf.DUMMYFUNCTION("""COMPUTED_VALUE"""),"")</f>
        <v/>
      </c>
      <c r="C15394" s="12" t="str">
        <f ca="1">IFERROR(__xludf.DUMMYFUNCTION("""COMPUTED_VALUE"""),"")</f>
        <v/>
      </c>
      <c r="D15394" s="12" t="str">
        <f ca="1">IFERROR(__xludf.DUMMYFUNCTION("""COMPUTED_VALUE"""),"")</f>
        <v/>
      </c>
    </row>
    <row r="15395" spans="2:4" ht="13">
      <c r="B15395" s="12" t="str">
        <f ca="1">IFERROR(__xludf.DUMMYFUNCTION("""COMPUTED_VALUE"""),"")</f>
        <v/>
      </c>
      <c r="C15395" s="12" t="str">
        <f ca="1">IFERROR(__xludf.DUMMYFUNCTION("""COMPUTED_VALUE"""),"")</f>
        <v/>
      </c>
      <c r="D15395" s="12" t="str">
        <f ca="1">IFERROR(__xludf.DUMMYFUNCTION("""COMPUTED_VALUE"""),"")</f>
        <v/>
      </c>
    </row>
    <row r="15396" spans="2:4" ht="13">
      <c r="B15396" s="12" t="str">
        <f ca="1">IFERROR(__xludf.DUMMYFUNCTION("""COMPUTED_VALUE"""),"")</f>
        <v/>
      </c>
      <c r="C15396" s="12" t="str">
        <f ca="1">IFERROR(__xludf.DUMMYFUNCTION("""COMPUTED_VALUE"""),"")</f>
        <v/>
      </c>
      <c r="D15396" s="12" t="str">
        <f ca="1">IFERROR(__xludf.DUMMYFUNCTION("""COMPUTED_VALUE"""),"")</f>
        <v/>
      </c>
    </row>
    <row r="15397" spans="2:4" ht="13">
      <c r="B15397" s="12" t="str">
        <f ca="1">IFERROR(__xludf.DUMMYFUNCTION("""COMPUTED_VALUE"""),"")</f>
        <v/>
      </c>
      <c r="C15397" s="12" t="str">
        <f ca="1">IFERROR(__xludf.DUMMYFUNCTION("""COMPUTED_VALUE"""),"")</f>
        <v/>
      </c>
      <c r="D15397" s="12" t="str">
        <f ca="1">IFERROR(__xludf.DUMMYFUNCTION("""COMPUTED_VALUE"""),"")</f>
        <v/>
      </c>
    </row>
    <row r="15398" spans="2:4" ht="13">
      <c r="B15398" s="12" t="str">
        <f ca="1">IFERROR(__xludf.DUMMYFUNCTION("""COMPUTED_VALUE"""),"")</f>
        <v/>
      </c>
      <c r="C15398" s="12" t="str">
        <f ca="1">IFERROR(__xludf.DUMMYFUNCTION("""COMPUTED_VALUE"""),"")</f>
        <v/>
      </c>
      <c r="D15398" s="12" t="str">
        <f ca="1">IFERROR(__xludf.DUMMYFUNCTION("""COMPUTED_VALUE"""),"")</f>
        <v/>
      </c>
    </row>
    <row r="15399" spans="2:4" ht="13">
      <c r="B15399" s="12" t="str">
        <f ca="1">IFERROR(__xludf.DUMMYFUNCTION("""COMPUTED_VALUE"""),"")</f>
        <v/>
      </c>
      <c r="C15399" s="12" t="str">
        <f ca="1">IFERROR(__xludf.DUMMYFUNCTION("""COMPUTED_VALUE"""),"")</f>
        <v/>
      </c>
      <c r="D15399" s="12" t="str">
        <f ca="1">IFERROR(__xludf.DUMMYFUNCTION("""COMPUTED_VALUE"""),"")</f>
        <v/>
      </c>
    </row>
    <row r="15400" spans="2:4" ht="13">
      <c r="B15400" s="12" t="str">
        <f ca="1">IFERROR(__xludf.DUMMYFUNCTION("""COMPUTED_VALUE"""),"")</f>
        <v/>
      </c>
      <c r="C15400" s="12" t="str">
        <f ca="1">IFERROR(__xludf.DUMMYFUNCTION("""COMPUTED_VALUE"""),"")</f>
        <v/>
      </c>
      <c r="D15400" s="12" t="str">
        <f ca="1">IFERROR(__xludf.DUMMYFUNCTION("""COMPUTED_VALUE"""),"")</f>
        <v/>
      </c>
    </row>
    <row r="15401" spans="2:4" ht="13">
      <c r="B15401" s="12" t="str">
        <f ca="1">IFERROR(__xludf.DUMMYFUNCTION("""COMPUTED_VALUE"""),"")</f>
        <v/>
      </c>
      <c r="C15401" s="12" t="str">
        <f ca="1">IFERROR(__xludf.DUMMYFUNCTION("""COMPUTED_VALUE"""),"")</f>
        <v/>
      </c>
      <c r="D15401" s="12" t="str">
        <f ca="1">IFERROR(__xludf.DUMMYFUNCTION("""COMPUTED_VALUE"""),"")</f>
        <v/>
      </c>
    </row>
    <row r="15402" spans="2:4" ht="13">
      <c r="B15402" s="12" t="str">
        <f ca="1">IFERROR(__xludf.DUMMYFUNCTION("""COMPUTED_VALUE"""),"")</f>
        <v/>
      </c>
      <c r="C15402" s="12" t="str">
        <f ca="1">IFERROR(__xludf.DUMMYFUNCTION("""COMPUTED_VALUE"""),"")</f>
        <v/>
      </c>
      <c r="D15402" s="12" t="str">
        <f ca="1">IFERROR(__xludf.DUMMYFUNCTION("""COMPUTED_VALUE"""),"")</f>
        <v/>
      </c>
    </row>
    <row r="15403" spans="2:4" ht="13">
      <c r="B15403" s="12" t="str">
        <f ca="1">IFERROR(__xludf.DUMMYFUNCTION("""COMPUTED_VALUE"""),"")</f>
        <v/>
      </c>
      <c r="C15403" s="12" t="str">
        <f ca="1">IFERROR(__xludf.DUMMYFUNCTION("""COMPUTED_VALUE"""),"")</f>
        <v/>
      </c>
      <c r="D15403" s="12" t="str">
        <f ca="1">IFERROR(__xludf.DUMMYFUNCTION("""COMPUTED_VALUE"""),"")</f>
        <v/>
      </c>
    </row>
    <row r="15404" spans="2:4" ht="13">
      <c r="B15404" s="12" t="str">
        <f ca="1">IFERROR(__xludf.DUMMYFUNCTION("""COMPUTED_VALUE"""),"")</f>
        <v/>
      </c>
      <c r="C15404" s="12" t="str">
        <f ca="1">IFERROR(__xludf.DUMMYFUNCTION("""COMPUTED_VALUE"""),"")</f>
        <v/>
      </c>
      <c r="D15404" s="12" t="str">
        <f ca="1">IFERROR(__xludf.DUMMYFUNCTION("""COMPUTED_VALUE"""),"")</f>
        <v/>
      </c>
    </row>
    <row r="15405" spans="2:4" ht="13">
      <c r="B15405" s="12" t="str">
        <f ca="1">IFERROR(__xludf.DUMMYFUNCTION("""COMPUTED_VALUE"""),"")</f>
        <v/>
      </c>
      <c r="C15405" s="12" t="str">
        <f ca="1">IFERROR(__xludf.DUMMYFUNCTION("""COMPUTED_VALUE"""),"")</f>
        <v/>
      </c>
      <c r="D15405" s="12" t="str">
        <f ca="1">IFERROR(__xludf.DUMMYFUNCTION("""COMPUTED_VALUE"""),"")</f>
        <v/>
      </c>
    </row>
    <row r="15406" spans="2:4" ht="13">
      <c r="B15406" s="12" t="str">
        <f ca="1">IFERROR(__xludf.DUMMYFUNCTION("""COMPUTED_VALUE"""),"")</f>
        <v/>
      </c>
      <c r="C15406" s="12" t="str">
        <f ca="1">IFERROR(__xludf.DUMMYFUNCTION("""COMPUTED_VALUE"""),"")</f>
        <v/>
      </c>
      <c r="D15406" s="12" t="str">
        <f ca="1">IFERROR(__xludf.DUMMYFUNCTION("""COMPUTED_VALUE"""),"")</f>
        <v/>
      </c>
    </row>
    <row r="15407" spans="2:4" ht="13">
      <c r="B15407" s="12" t="str">
        <f ca="1">IFERROR(__xludf.DUMMYFUNCTION("""COMPUTED_VALUE"""),"")</f>
        <v/>
      </c>
      <c r="C15407" s="12" t="str">
        <f ca="1">IFERROR(__xludf.DUMMYFUNCTION("""COMPUTED_VALUE"""),"")</f>
        <v/>
      </c>
      <c r="D15407" s="12" t="str">
        <f ca="1">IFERROR(__xludf.DUMMYFUNCTION("""COMPUTED_VALUE"""),"")</f>
        <v/>
      </c>
    </row>
    <row r="15408" spans="2:4" ht="13">
      <c r="B15408" s="12" t="str">
        <f ca="1">IFERROR(__xludf.DUMMYFUNCTION("""COMPUTED_VALUE"""),"")</f>
        <v/>
      </c>
      <c r="C15408" s="12" t="str">
        <f ca="1">IFERROR(__xludf.DUMMYFUNCTION("""COMPUTED_VALUE"""),"")</f>
        <v/>
      </c>
      <c r="D15408" s="12" t="str">
        <f ca="1">IFERROR(__xludf.DUMMYFUNCTION("""COMPUTED_VALUE"""),"")</f>
        <v/>
      </c>
    </row>
    <row r="15409" spans="2:4" ht="13">
      <c r="B15409" s="12" t="str">
        <f ca="1">IFERROR(__xludf.DUMMYFUNCTION("""COMPUTED_VALUE"""),"")</f>
        <v/>
      </c>
      <c r="C15409" s="12" t="str">
        <f ca="1">IFERROR(__xludf.DUMMYFUNCTION("""COMPUTED_VALUE"""),"")</f>
        <v/>
      </c>
      <c r="D15409" s="12" t="str">
        <f ca="1">IFERROR(__xludf.DUMMYFUNCTION("""COMPUTED_VALUE"""),"")</f>
        <v/>
      </c>
    </row>
    <row r="15410" spans="2:4" ht="13">
      <c r="B15410" s="12" t="str">
        <f ca="1">IFERROR(__xludf.DUMMYFUNCTION("""COMPUTED_VALUE"""),"")</f>
        <v/>
      </c>
      <c r="C15410" s="12" t="str">
        <f ca="1">IFERROR(__xludf.DUMMYFUNCTION("""COMPUTED_VALUE"""),"")</f>
        <v/>
      </c>
      <c r="D15410" s="12" t="str">
        <f ca="1">IFERROR(__xludf.DUMMYFUNCTION("""COMPUTED_VALUE"""),"")</f>
        <v/>
      </c>
    </row>
    <row r="15411" spans="2:4" ht="13">
      <c r="B15411" s="12" t="str">
        <f ca="1">IFERROR(__xludf.DUMMYFUNCTION("""COMPUTED_VALUE"""),"")</f>
        <v/>
      </c>
      <c r="C15411" s="12" t="str">
        <f ca="1">IFERROR(__xludf.DUMMYFUNCTION("""COMPUTED_VALUE"""),"")</f>
        <v/>
      </c>
      <c r="D15411" s="12" t="str">
        <f ca="1">IFERROR(__xludf.DUMMYFUNCTION("""COMPUTED_VALUE"""),"")</f>
        <v/>
      </c>
    </row>
    <row r="15412" spans="2:4" ht="13">
      <c r="B15412" s="12" t="str">
        <f ca="1">IFERROR(__xludf.DUMMYFUNCTION("""COMPUTED_VALUE"""),"")</f>
        <v/>
      </c>
      <c r="C15412" s="12" t="str">
        <f ca="1">IFERROR(__xludf.DUMMYFUNCTION("""COMPUTED_VALUE"""),"")</f>
        <v/>
      </c>
      <c r="D15412" s="12" t="str">
        <f ca="1">IFERROR(__xludf.DUMMYFUNCTION("""COMPUTED_VALUE"""),"")</f>
        <v/>
      </c>
    </row>
    <row r="15413" spans="2:4" ht="13">
      <c r="B15413" s="12" t="str">
        <f ca="1">IFERROR(__xludf.DUMMYFUNCTION("""COMPUTED_VALUE"""),"")</f>
        <v/>
      </c>
      <c r="C15413" s="12" t="str">
        <f ca="1">IFERROR(__xludf.DUMMYFUNCTION("""COMPUTED_VALUE"""),"")</f>
        <v/>
      </c>
      <c r="D15413" s="12" t="str">
        <f ca="1">IFERROR(__xludf.DUMMYFUNCTION("""COMPUTED_VALUE"""),"")</f>
        <v/>
      </c>
    </row>
    <row r="15414" spans="2:4" ht="13">
      <c r="B15414" s="12" t="str">
        <f ca="1">IFERROR(__xludf.DUMMYFUNCTION("""COMPUTED_VALUE"""),"")</f>
        <v/>
      </c>
      <c r="C15414" s="12" t="str">
        <f ca="1">IFERROR(__xludf.DUMMYFUNCTION("""COMPUTED_VALUE"""),"")</f>
        <v/>
      </c>
      <c r="D15414" s="12" t="str">
        <f ca="1">IFERROR(__xludf.DUMMYFUNCTION("""COMPUTED_VALUE"""),"")</f>
        <v/>
      </c>
    </row>
    <row r="15415" spans="2:4" ht="13">
      <c r="B15415" s="12" t="str">
        <f ca="1">IFERROR(__xludf.DUMMYFUNCTION("""COMPUTED_VALUE"""),"")</f>
        <v/>
      </c>
      <c r="C15415" s="12" t="str">
        <f ca="1">IFERROR(__xludf.DUMMYFUNCTION("""COMPUTED_VALUE"""),"")</f>
        <v/>
      </c>
      <c r="D15415" s="12" t="str">
        <f ca="1">IFERROR(__xludf.DUMMYFUNCTION("""COMPUTED_VALUE"""),"")</f>
        <v/>
      </c>
    </row>
    <row r="15416" spans="2:4" ht="13">
      <c r="B15416" s="12" t="str">
        <f ca="1">IFERROR(__xludf.DUMMYFUNCTION("""COMPUTED_VALUE"""),"")</f>
        <v/>
      </c>
      <c r="C15416" s="12" t="str">
        <f ca="1">IFERROR(__xludf.DUMMYFUNCTION("""COMPUTED_VALUE"""),"")</f>
        <v/>
      </c>
      <c r="D15416" s="12" t="str">
        <f ca="1">IFERROR(__xludf.DUMMYFUNCTION("""COMPUTED_VALUE"""),"")</f>
        <v/>
      </c>
    </row>
    <row r="15417" spans="2:4" ht="13">
      <c r="B15417" s="12" t="str">
        <f ca="1">IFERROR(__xludf.DUMMYFUNCTION("""COMPUTED_VALUE"""),"")</f>
        <v/>
      </c>
      <c r="C15417" s="12" t="str">
        <f ca="1">IFERROR(__xludf.DUMMYFUNCTION("""COMPUTED_VALUE"""),"")</f>
        <v/>
      </c>
      <c r="D15417" s="12" t="str">
        <f ca="1">IFERROR(__xludf.DUMMYFUNCTION("""COMPUTED_VALUE"""),"")</f>
        <v/>
      </c>
    </row>
    <row r="15418" spans="2:4" ht="13">
      <c r="B15418" s="12" t="str">
        <f ca="1">IFERROR(__xludf.DUMMYFUNCTION("""COMPUTED_VALUE"""),"")</f>
        <v/>
      </c>
      <c r="C15418" s="12" t="str">
        <f ca="1">IFERROR(__xludf.DUMMYFUNCTION("""COMPUTED_VALUE"""),"")</f>
        <v/>
      </c>
      <c r="D15418" s="12" t="str">
        <f ca="1">IFERROR(__xludf.DUMMYFUNCTION("""COMPUTED_VALUE"""),"")</f>
        <v/>
      </c>
    </row>
    <row r="15419" spans="2:4" ht="13">
      <c r="B15419" s="12" t="str">
        <f ca="1">IFERROR(__xludf.DUMMYFUNCTION("""COMPUTED_VALUE"""),"")</f>
        <v/>
      </c>
      <c r="C15419" s="12" t="str">
        <f ca="1">IFERROR(__xludf.DUMMYFUNCTION("""COMPUTED_VALUE"""),"")</f>
        <v/>
      </c>
      <c r="D15419" s="12" t="str">
        <f ca="1">IFERROR(__xludf.DUMMYFUNCTION("""COMPUTED_VALUE"""),"")</f>
        <v/>
      </c>
    </row>
    <row r="15420" spans="2:4" ht="13">
      <c r="B15420" s="12" t="str">
        <f ca="1">IFERROR(__xludf.DUMMYFUNCTION("""COMPUTED_VALUE"""),"")</f>
        <v/>
      </c>
      <c r="C15420" s="12" t="str">
        <f ca="1">IFERROR(__xludf.DUMMYFUNCTION("""COMPUTED_VALUE"""),"")</f>
        <v/>
      </c>
      <c r="D15420" s="12" t="str">
        <f ca="1">IFERROR(__xludf.DUMMYFUNCTION("""COMPUTED_VALUE"""),"")</f>
        <v/>
      </c>
    </row>
    <row r="15421" spans="2:4" ht="13">
      <c r="B15421" s="12" t="str">
        <f ca="1">IFERROR(__xludf.DUMMYFUNCTION("""COMPUTED_VALUE"""),"")</f>
        <v/>
      </c>
      <c r="C15421" s="12" t="str">
        <f ca="1">IFERROR(__xludf.DUMMYFUNCTION("""COMPUTED_VALUE"""),"")</f>
        <v/>
      </c>
      <c r="D15421" s="12" t="str">
        <f ca="1">IFERROR(__xludf.DUMMYFUNCTION("""COMPUTED_VALUE"""),"")</f>
        <v/>
      </c>
    </row>
    <row r="15422" spans="2:4" ht="13">
      <c r="B15422" s="12" t="str">
        <f ca="1">IFERROR(__xludf.DUMMYFUNCTION("""COMPUTED_VALUE"""),"")</f>
        <v/>
      </c>
      <c r="C15422" s="12" t="str">
        <f ca="1">IFERROR(__xludf.DUMMYFUNCTION("""COMPUTED_VALUE"""),"")</f>
        <v/>
      </c>
      <c r="D15422" s="12" t="str">
        <f ca="1">IFERROR(__xludf.DUMMYFUNCTION("""COMPUTED_VALUE"""),"")</f>
        <v/>
      </c>
    </row>
    <row r="15423" spans="2:4" ht="13">
      <c r="B15423" s="12" t="str">
        <f ca="1">IFERROR(__xludf.DUMMYFUNCTION("""COMPUTED_VALUE"""),"")</f>
        <v/>
      </c>
      <c r="C15423" s="12" t="str">
        <f ca="1">IFERROR(__xludf.DUMMYFUNCTION("""COMPUTED_VALUE"""),"")</f>
        <v/>
      </c>
      <c r="D15423" s="12" t="str">
        <f ca="1">IFERROR(__xludf.DUMMYFUNCTION("""COMPUTED_VALUE"""),"")</f>
        <v/>
      </c>
    </row>
    <row r="15424" spans="2:4" ht="13">
      <c r="B15424" s="12" t="str">
        <f ca="1">IFERROR(__xludf.DUMMYFUNCTION("""COMPUTED_VALUE"""),"")</f>
        <v/>
      </c>
      <c r="C15424" s="12" t="str">
        <f ca="1">IFERROR(__xludf.DUMMYFUNCTION("""COMPUTED_VALUE"""),"")</f>
        <v/>
      </c>
      <c r="D15424" s="12" t="str">
        <f ca="1">IFERROR(__xludf.DUMMYFUNCTION("""COMPUTED_VALUE"""),"")</f>
        <v/>
      </c>
    </row>
    <row r="15425" spans="2:4" ht="13">
      <c r="B15425" s="12" t="str">
        <f ca="1">IFERROR(__xludf.DUMMYFUNCTION("""COMPUTED_VALUE"""),"")</f>
        <v/>
      </c>
      <c r="C15425" s="12" t="str">
        <f ca="1">IFERROR(__xludf.DUMMYFUNCTION("""COMPUTED_VALUE"""),"")</f>
        <v/>
      </c>
      <c r="D15425" s="12" t="str">
        <f ca="1">IFERROR(__xludf.DUMMYFUNCTION("""COMPUTED_VALUE"""),"")</f>
        <v/>
      </c>
    </row>
    <row r="15426" spans="2:4" ht="13">
      <c r="B15426" s="12" t="str">
        <f ca="1">IFERROR(__xludf.DUMMYFUNCTION("""COMPUTED_VALUE"""),"")</f>
        <v/>
      </c>
      <c r="C15426" s="12" t="str">
        <f ca="1">IFERROR(__xludf.DUMMYFUNCTION("""COMPUTED_VALUE"""),"")</f>
        <v/>
      </c>
      <c r="D15426" s="12" t="str">
        <f ca="1">IFERROR(__xludf.DUMMYFUNCTION("""COMPUTED_VALUE"""),"")</f>
        <v/>
      </c>
    </row>
    <row r="15427" spans="2:4" ht="13">
      <c r="B15427" s="12" t="str">
        <f ca="1">IFERROR(__xludf.DUMMYFUNCTION("""COMPUTED_VALUE"""),"")</f>
        <v/>
      </c>
      <c r="C15427" s="12" t="str">
        <f ca="1">IFERROR(__xludf.DUMMYFUNCTION("""COMPUTED_VALUE"""),"")</f>
        <v/>
      </c>
      <c r="D15427" s="12" t="str">
        <f ca="1">IFERROR(__xludf.DUMMYFUNCTION("""COMPUTED_VALUE"""),"")</f>
        <v/>
      </c>
    </row>
    <row r="15428" spans="2:4" ht="13">
      <c r="B15428" s="12" t="str">
        <f ca="1">IFERROR(__xludf.DUMMYFUNCTION("""COMPUTED_VALUE"""),"")</f>
        <v/>
      </c>
      <c r="C15428" s="12" t="str">
        <f ca="1">IFERROR(__xludf.DUMMYFUNCTION("""COMPUTED_VALUE"""),"")</f>
        <v/>
      </c>
      <c r="D15428" s="12" t="str">
        <f ca="1">IFERROR(__xludf.DUMMYFUNCTION("""COMPUTED_VALUE"""),"")</f>
        <v/>
      </c>
    </row>
    <row r="15429" spans="2:4" ht="13">
      <c r="B15429" s="12" t="str">
        <f ca="1">IFERROR(__xludf.DUMMYFUNCTION("""COMPUTED_VALUE"""),"")</f>
        <v/>
      </c>
      <c r="C15429" s="12" t="str">
        <f ca="1">IFERROR(__xludf.DUMMYFUNCTION("""COMPUTED_VALUE"""),"")</f>
        <v/>
      </c>
      <c r="D15429" s="12" t="str">
        <f ca="1">IFERROR(__xludf.DUMMYFUNCTION("""COMPUTED_VALUE"""),"")</f>
        <v/>
      </c>
    </row>
    <row r="15430" spans="2:4" ht="13">
      <c r="B15430" s="12" t="str">
        <f ca="1">IFERROR(__xludf.DUMMYFUNCTION("""COMPUTED_VALUE"""),"")</f>
        <v/>
      </c>
      <c r="C15430" s="12" t="str">
        <f ca="1">IFERROR(__xludf.DUMMYFUNCTION("""COMPUTED_VALUE"""),"")</f>
        <v/>
      </c>
      <c r="D15430" s="12" t="str">
        <f ca="1">IFERROR(__xludf.DUMMYFUNCTION("""COMPUTED_VALUE"""),"")</f>
        <v/>
      </c>
    </row>
    <row r="15431" spans="2:4" ht="13">
      <c r="B15431" s="12" t="str">
        <f ca="1">IFERROR(__xludf.DUMMYFUNCTION("""COMPUTED_VALUE"""),"")</f>
        <v/>
      </c>
      <c r="C15431" s="12" t="str">
        <f ca="1">IFERROR(__xludf.DUMMYFUNCTION("""COMPUTED_VALUE"""),"")</f>
        <v/>
      </c>
      <c r="D15431" s="12" t="str">
        <f ca="1">IFERROR(__xludf.DUMMYFUNCTION("""COMPUTED_VALUE"""),"")</f>
        <v/>
      </c>
    </row>
    <row r="15432" spans="2:4" ht="13">
      <c r="B15432" s="12" t="str">
        <f ca="1">IFERROR(__xludf.DUMMYFUNCTION("""COMPUTED_VALUE"""),"")</f>
        <v/>
      </c>
      <c r="C15432" s="12" t="str">
        <f ca="1">IFERROR(__xludf.DUMMYFUNCTION("""COMPUTED_VALUE"""),"")</f>
        <v/>
      </c>
      <c r="D15432" s="12" t="str">
        <f ca="1">IFERROR(__xludf.DUMMYFUNCTION("""COMPUTED_VALUE"""),"")</f>
        <v/>
      </c>
    </row>
    <row r="15433" spans="2:4" ht="13">
      <c r="B15433" s="12" t="str">
        <f ca="1">IFERROR(__xludf.DUMMYFUNCTION("""COMPUTED_VALUE"""),"")</f>
        <v/>
      </c>
      <c r="C15433" s="12" t="str">
        <f ca="1">IFERROR(__xludf.DUMMYFUNCTION("""COMPUTED_VALUE"""),"")</f>
        <v/>
      </c>
      <c r="D15433" s="12" t="str">
        <f ca="1">IFERROR(__xludf.DUMMYFUNCTION("""COMPUTED_VALUE"""),"")</f>
        <v/>
      </c>
    </row>
    <row r="15434" spans="2:4" ht="13">
      <c r="B15434" s="12" t="str">
        <f ca="1">IFERROR(__xludf.DUMMYFUNCTION("""COMPUTED_VALUE"""),"")</f>
        <v/>
      </c>
      <c r="C15434" s="12" t="str">
        <f ca="1">IFERROR(__xludf.DUMMYFUNCTION("""COMPUTED_VALUE"""),"")</f>
        <v/>
      </c>
      <c r="D15434" s="12" t="str">
        <f ca="1">IFERROR(__xludf.DUMMYFUNCTION("""COMPUTED_VALUE"""),"")</f>
        <v/>
      </c>
    </row>
    <row r="15435" spans="2:4" ht="13">
      <c r="B15435" s="12" t="str">
        <f ca="1">IFERROR(__xludf.DUMMYFUNCTION("""COMPUTED_VALUE"""),"")</f>
        <v/>
      </c>
      <c r="C15435" s="12" t="str">
        <f ca="1">IFERROR(__xludf.DUMMYFUNCTION("""COMPUTED_VALUE"""),"")</f>
        <v/>
      </c>
      <c r="D15435" s="12" t="str">
        <f ca="1">IFERROR(__xludf.DUMMYFUNCTION("""COMPUTED_VALUE"""),"")</f>
        <v/>
      </c>
    </row>
    <row r="15436" spans="2:4" ht="13">
      <c r="B15436" s="12" t="str">
        <f ca="1">IFERROR(__xludf.DUMMYFUNCTION("""COMPUTED_VALUE"""),"")</f>
        <v/>
      </c>
      <c r="C15436" s="12" t="str">
        <f ca="1">IFERROR(__xludf.DUMMYFUNCTION("""COMPUTED_VALUE"""),"")</f>
        <v/>
      </c>
      <c r="D15436" s="12" t="str">
        <f ca="1">IFERROR(__xludf.DUMMYFUNCTION("""COMPUTED_VALUE"""),"")</f>
        <v/>
      </c>
    </row>
    <row r="15437" spans="2:4" ht="13">
      <c r="B15437" s="12" t="str">
        <f ca="1">IFERROR(__xludf.DUMMYFUNCTION("""COMPUTED_VALUE"""),"")</f>
        <v/>
      </c>
      <c r="C15437" s="12" t="str">
        <f ca="1">IFERROR(__xludf.DUMMYFUNCTION("""COMPUTED_VALUE"""),"")</f>
        <v/>
      </c>
      <c r="D15437" s="12" t="str">
        <f ca="1">IFERROR(__xludf.DUMMYFUNCTION("""COMPUTED_VALUE"""),"")</f>
        <v/>
      </c>
    </row>
    <row r="15438" spans="2:4" ht="13">
      <c r="B15438" s="12" t="str">
        <f ca="1">IFERROR(__xludf.DUMMYFUNCTION("""COMPUTED_VALUE"""),"")</f>
        <v/>
      </c>
      <c r="C15438" s="12" t="str">
        <f ca="1">IFERROR(__xludf.DUMMYFUNCTION("""COMPUTED_VALUE"""),"")</f>
        <v/>
      </c>
      <c r="D15438" s="12" t="str">
        <f ca="1">IFERROR(__xludf.DUMMYFUNCTION("""COMPUTED_VALUE"""),"")</f>
        <v/>
      </c>
    </row>
    <row r="15439" spans="2:4" ht="13">
      <c r="B15439" s="12" t="str">
        <f ca="1">IFERROR(__xludf.DUMMYFUNCTION("""COMPUTED_VALUE"""),"")</f>
        <v/>
      </c>
      <c r="C15439" s="12" t="str">
        <f ca="1">IFERROR(__xludf.DUMMYFUNCTION("""COMPUTED_VALUE"""),"")</f>
        <v/>
      </c>
      <c r="D15439" s="12" t="str">
        <f ca="1">IFERROR(__xludf.DUMMYFUNCTION("""COMPUTED_VALUE"""),"")</f>
        <v/>
      </c>
    </row>
    <row r="15440" spans="2:4" ht="13">
      <c r="B15440" s="12" t="str">
        <f ca="1">IFERROR(__xludf.DUMMYFUNCTION("""COMPUTED_VALUE"""),"")</f>
        <v/>
      </c>
      <c r="C15440" s="12" t="str">
        <f ca="1">IFERROR(__xludf.DUMMYFUNCTION("""COMPUTED_VALUE"""),"")</f>
        <v/>
      </c>
      <c r="D15440" s="12" t="str">
        <f ca="1">IFERROR(__xludf.DUMMYFUNCTION("""COMPUTED_VALUE"""),"")</f>
        <v/>
      </c>
    </row>
    <row r="15441" spans="2:4" ht="13">
      <c r="B15441" s="12" t="str">
        <f ca="1">IFERROR(__xludf.DUMMYFUNCTION("""COMPUTED_VALUE"""),"")</f>
        <v/>
      </c>
      <c r="C15441" s="12" t="str">
        <f ca="1">IFERROR(__xludf.DUMMYFUNCTION("""COMPUTED_VALUE"""),"")</f>
        <v/>
      </c>
      <c r="D15441" s="12" t="str">
        <f ca="1">IFERROR(__xludf.DUMMYFUNCTION("""COMPUTED_VALUE"""),"")</f>
        <v/>
      </c>
    </row>
    <row r="15442" spans="2:4" ht="13">
      <c r="B15442" s="12" t="str">
        <f ca="1">IFERROR(__xludf.DUMMYFUNCTION("""COMPUTED_VALUE"""),"")</f>
        <v/>
      </c>
      <c r="C15442" s="12" t="str">
        <f ca="1">IFERROR(__xludf.DUMMYFUNCTION("""COMPUTED_VALUE"""),"")</f>
        <v/>
      </c>
      <c r="D15442" s="12" t="str">
        <f ca="1">IFERROR(__xludf.DUMMYFUNCTION("""COMPUTED_VALUE"""),"")</f>
        <v/>
      </c>
    </row>
    <row r="15443" spans="2:4" ht="13">
      <c r="B15443" s="12" t="str">
        <f ca="1">IFERROR(__xludf.DUMMYFUNCTION("""COMPUTED_VALUE"""),"")</f>
        <v/>
      </c>
      <c r="C15443" s="12" t="str">
        <f ca="1">IFERROR(__xludf.DUMMYFUNCTION("""COMPUTED_VALUE"""),"")</f>
        <v/>
      </c>
      <c r="D15443" s="12" t="str">
        <f ca="1">IFERROR(__xludf.DUMMYFUNCTION("""COMPUTED_VALUE"""),"")</f>
        <v/>
      </c>
    </row>
    <row r="15444" spans="2:4" ht="13">
      <c r="B15444" s="12" t="str">
        <f ca="1">IFERROR(__xludf.DUMMYFUNCTION("""COMPUTED_VALUE"""),"")</f>
        <v/>
      </c>
      <c r="C15444" s="12" t="str">
        <f ca="1">IFERROR(__xludf.DUMMYFUNCTION("""COMPUTED_VALUE"""),"")</f>
        <v/>
      </c>
      <c r="D15444" s="12" t="str">
        <f ca="1">IFERROR(__xludf.DUMMYFUNCTION("""COMPUTED_VALUE"""),"")</f>
        <v/>
      </c>
    </row>
    <row r="15445" spans="2:4" ht="13">
      <c r="B15445" s="12" t="str">
        <f ca="1">IFERROR(__xludf.DUMMYFUNCTION("""COMPUTED_VALUE"""),"")</f>
        <v/>
      </c>
      <c r="C15445" s="12" t="str">
        <f ca="1">IFERROR(__xludf.DUMMYFUNCTION("""COMPUTED_VALUE"""),"")</f>
        <v/>
      </c>
      <c r="D15445" s="12" t="str">
        <f ca="1">IFERROR(__xludf.DUMMYFUNCTION("""COMPUTED_VALUE"""),"")</f>
        <v/>
      </c>
    </row>
    <row r="15446" spans="2:4" ht="13">
      <c r="B15446" s="12" t="str">
        <f ca="1">IFERROR(__xludf.DUMMYFUNCTION("""COMPUTED_VALUE"""),"")</f>
        <v/>
      </c>
      <c r="C15446" s="12" t="str">
        <f ca="1">IFERROR(__xludf.DUMMYFUNCTION("""COMPUTED_VALUE"""),"")</f>
        <v/>
      </c>
      <c r="D15446" s="12" t="str">
        <f ca="1">IFERROR(__xludf.DUMMYFUNCTION("""COMPUTED_VALUE"""),"")</f>
        <v/>
      </c>
    </row>
    <row r="15447" spans="2:4" ht="13">
      <c r="B15447" s="12" t="str">
        <f ca="1">IFERROR(__xludf.DUMMYFUNCTION("""COMPUTED_VALUE"""),"")</f>
        <v/>
      </c>
      <c r="C15447" s="12" t="str">
        <f ca="1">IFERROR(__xludf.DUMMYFUNCTION("""COMPUTED_VALUE"""),"")</f>
        <v/>
      </c>
      <c r="D15447" s="12" t="str">
        <f ca="1">IFERROR(__xludf.DUMMYFUNCTION("""COMPUTED_VALUE"""),"")</f>
        <v/>
      </c>
    </row>
    <row r="15448" spans="2:4" ht="13">
      <c r="B15448" s="12" t="str">
        <f ca="1">IFERROR(__xludf.DUMMYFUNCTION("""COMPUTED_VALUE"""),"")</f>
        <v/>
      </c>
      <c r="C15448" s="12" t="str">
        <f ca="1">IFERROR(__xludf.DUMMYFUNCTION("""COMPUTED_VALUE"""),"")</f>
        <v/>
      </c>
      <c r="D15448" s="12" t="str">
        <f ca="1">IFERROR(__xludf.DUMMYFUNCTION("""COMPUTED_VALUE"""),"")</f>
        <v/>
      </c>
    </row>
    <row r="15449" spans="2:4" ht="13">
      <c r="B15449" s="12" t="str">
        <f ca="1">IFERROR(__xludf.DUMMYFUNCTION("""COMPUTED_VALUE"""),"")</f>
        <v/>
      </c>
      <c r="C15449" s="12" t="str">
        <f ca="1">IFERROR(__xludf.DUMMYFUNCTION("""COMPUTED_VALUE"""),"")</f>
        <v/>
      </c>
      <c r="D15449" s="12" t="str">
        <f ca="1">IFERROR(__xludf.DUMMYFUNCTION("""COMPUTED_VALUE"""),"")</f>
        <v/>
      </c>
    </row>
    <row r="15450" spans="2:4" ht="13">
      <c r="B15450" s="12" t="str">
        <f ca="1">IFERROR(__xludf.DUMMYFUNCTION("""COMPUTED_VALUE"""),"")</f>
        <v/>
      </c>
      <c r="C15450" s="12" t="str">
        <f ca="1">IFERROR(__xludf.DUMMYFUNCTION("""COMPUTED_VALUE"""),"")</f>
        <v/>
      </c>
      <c r="D15450" s="12" t="str">
        <f ca="1">IFERROR(__xludf.DUMMYFUNCTION("""COMPUTED_VALUE"""),"")</f>
        <v/>
      </c>
    </row>
    <row r="15451" spans="2:4" ht="13">
      <c r="B15451" s="12" t="str">
        <f ca="1">IFERROR(__xludf.DUMMYFUNCTION("""COMPUTED_VALUE"""),"")</f>
        <v/>
      </c>
      <c r="C15451" s="12" t="str">
        <f ca="1">IFERROR(__xludf.DUMMYFUNCTION("""COMPUTED_VALUE"""),"")</f>
        <v/>
      </c>
      <c r="D15451" s="12" t="str">
        <f ca="1">IFERROR(__xludf.DUMMYFUNCTION("""COMPUTED_VALUE"""),"")</f>
        <v/>
      </c>
    </row>
    <row r="15452" spans="2:4" ht="13">
      <c r="B15452" s="12" t="str">
        <f ca="1">IFERROR(__xludf.DUMMYFUNCTION("""COMPUTED_VALUE"""),"")</f>
        <v/>
      </c>
      <c r="C15452" s="12" t="str">
        <f ca="1">IFERROR(__xludf.DUMMYFUNCTION("""COMPUTED_VALUE"""),"")</f>
        <v/>
      </c>
      <c r="D15452" s="12" t="str">
        <f ca="1">IFERROR(__xludf.DUMMYFUNCTION("""COMPUTED_VALUE"""),"")</f>
        <v/>
      </c>
    </row>
    <row r="15453" spans="2:4" ht="13">
      <c r="B15453" s="12" t="str">
        <f ca="1">IFERROR(__xludf.DUMMYFUNCTION("""COMPUTED_VALUE"""),"")</f>
        <v/>
      </c>
      <c r="C15453" s="12" t="str">
        <f ca="1">IFERROR(__xludf.DUMMYFUNCTION("""COMPUTED_VALUE"""),"")</f>
        <v/>
      </c>
      <c r="D15453" s="12" t="str">
        <f ca="1">IFERROR(__xludf.DUMMYFUNCTION("""COMPUTED_VALUE"""),"")</f>
        <v/>
      </c>
    </row>
    <row r="15454" spans="2:4" ht="13">
      <c r="B15454" s="12" t="str">
        <f ca="1">IFERROR(__xludf.DUMMYFUNCTION("""COMPUTED_VALUE"""),"")</f>
        <v/>
      </c>
      <c r="C15454" s="12" t="str">
        <f ca="1">IFERROR(__xludf.DUMMYFUNCTION("""COMPUTED_VALUE"""),"")</f>
        <v/>
      </c>
      <c r="D15454" s="12" t="str">
        <f ca="1">IFERROR(__xludf.DUMMYFUNCTION("""COMPUTED_VALUE"""),"")</f>
        <v/>
      </c>
    </row>
    <row r="15455" spans="2:4" ht="13">
      <c r="B15455" s="12" t="str">
        <f ca="1">IFERROR(__xludf.DUMMYFUNCTION("""COMPUTED_VALUE"""),"")</f>
        <v/>
      </c>
      <c r="C15455" s="12" t="str">
        <f ca="1">IFERROR(__xludf.DUMMYFUNCTION("""COMPUTED_VALUE"""),"")</f>
        <v/>
      </c>
      <c r="D15455" s="12" t="str">
        <f ca="1">IFERROR(__xludf.DUMMYFUNCTION("""COMPUTED_VALUE"""),"")</f>
        <v/>
      </c>
    </row>
    <row r="15456" spans="2:4" ht="13">
      <c r="B15456" s="12" t="str">
        <f ca="1">IFERROR(__xludf.DUMMYFUNCTION("""COMPUTED_VALUE"""),"")</f>
        <v/>
      </c>
      <c r="C15456" s="12" t="str">
        <f ca="1">IFERROR(__xludf.DUMMYFUNCTION("""COMPUTED_VALUE"""),"")</f>
        <v/>
      </c>
      <c r="D15456" s="12" t="str">
        <f ca="1">IFERROR(__xludf.DUMMYFUNCTION("""COMPUTED_VALUE"""),"")</f>
        <v/>
      </c>
    </row>
    <row r="15457" spans="2:4" ht="13">
      <c r="B15457" s="12" t="str">
        <f ca="1">IFERROR(__xludf.DUMMYFUNCTION("""COMPUTED_VALUE"""),"")</f>
        <v/>
      </c>
      <c r="C15457" s="12" t="str">
        <f ca="1">IFERROR(__xludf.DUMMYFUNCTION("""COMPUTED_VALUE"""),"")</f>
        <v/>
      </c>
      <c r="D15457" s="12" t="str">
        <f ca="1">IFERROR(__xludf.DUMMYFUNCTION("""COMPUTED_VALUE"""),"")</f>
        <v/>
      </c>
    </row>
    <row r="15458" spans="2:4" ht="13">
      <c r="B15458" s="12" t="str">
        <f ca="1">IFERROR(__xludf.DUMMYFUNCTION("""COMPUTED_VALUE"""),"")</f>
        <v/>
      </c>
      <c r="C15458" s="12" t="str">
        <f ca="1">IFERROR(__xludf.DUMMYFUNCTION("""COMPUTED_VALUE"""),"")</f>
        <v/>
      </c>
      <c r="D15458" s="12" t="str">
        <f ca="1">IFERROR(__xludf.DUMMYFUNCTION("""COMPUTED_VALUE"""),"")</f>
        <v/>
      </c>
    </row>
    <row r="15459" spans="2:4" ht="13">
      <c r="B15459" s="12" t="str">
        <f ca="1">IFERROR(__xludf.DUMMYFUNCTION("""COMPUTED_VALUE"""),"")</f>
        <v/>
      </c>
      <c r="C15459" s="12" t="str">
        <f ca="1">IFERROR(__xludf.DUMMYFUNCTION("""COMPUTED_VALUE"""),"")</f>
        <v/>
      </c>
      <c r="D15459" s="12" t="str">
        <f ca="1">IFERROR(__xludf.DUMMYFUNCTION("""COMPUTED_VALUE"""),"")</f>
        <v/>
      </c>
    </row>
    <row r="15460" spans="2:4" ht="13">
      <c r="B15460" s="12" t="str">
        <f ca="1">IFERROR(__xludf.DUMMYFUNCTION("""COMPUTED_VALUE"""),"")</f>
        <v/>
      </c>
      <c r="C15460" s="12" t="str">
        <f ca="1">IFERROR(__xludf.DUMMYFUNCTION("""COMPUTED_VALUE"""),"")</f>
        <v/>
      </c>
      <c r="D15460" s="12" t="str">
        <f ca="1">IFERROR(__xludf.DUMMYFUNCTION("""COMPUTED_VALUE"""),"")</f>
        <v/>
      </c>
    </row>
    <row r="15461" spans="2:4" ht="13">
      <c r="B15461" s="12" t="str">
        <f ca="1">IFERROR(__xludf.DUMMYFUNCTION("""COMPUTED_VALUE"""),"")</f>
        <v/>
      </c>
      <c r="C15461" s="12" t="str">
        <f ca="1">IFERROR(__xludf.DUMMYFUNCTION("""COMPUTED_VALUE"""),"")</f>
        <v/>
      </c>
      <c r="D15461" s="12" t="str">
        <f ca="1">IFERROR(__xludf.DUMMYFUNCTION("""COMPUTED_VALUE"""),"")</f>
        <v/>
      </c>
    </row>
    <row r="15462" spans="2:4" ht="13">
      <c r="B15462" s="12" t="str">
        <f ca="1">IFERROR(__xludf.DUMMYFUNCTION("""COMPUTED_VALUE"""),"")</f>
        <v/>
      </c>
      <c r="C15462" s="12" t="str">
        <f ca="1">IFERROR(__xludf.DUMMYFUNCTION("""COMPUTED_VALUE"""),"")</f>
        <v/>
      </c>
      <c r="D15462" s="12" t="str">
        <f ca="1">IFERROR(__xludf.DUMMYFUNCTION("""COMPUTED_VALUE"""),"")</f>
        <v/>
      </c>
    </row>
    <row r="15463" spans="2:4" ht="13">
      <c r="B15463" s="12" t="str">
        <f ca="1">IFERROR(__xludf.DUMMYFUNCTION("""COMPUTED_VALUE"""),"")</f>
        <v/>
      </c>
      <c r="C15463" s="12" t="str">
        <f ca="1">IFERROR(__xludf.DUMMYFUNCTION("""COMPUTED_VALUE"""),"")</f>
        <v/>
      </c>
      <c r="D15463" s="12" t="str">
        <f ca="1">IFERROR(__xludf.DUMMYFUNCTION("""COMPUTED_VALUE"""),"")</f>
        <v/>
      </c>
    </row>
    <row r="15464" spans="2:4" ht="13">
      <c r="B15464" s="12" t="str">
        <f ca="1">IFERROR(__xludf.DUMMYFUNCTION("""COMPUTED_VALUE"""),"")</f>
        <v/>
      </c>
      <c r="C15464" s="12" t="str">
        <f ca="1">IFERROR(__xludf.DUMMYFUNCTION("""COMPUTED_VALUE"""),"")</f>
        <v/>
      </c>
      <c r="D15464" s="12" t="str">
        <f ca="1">IFERROR(__xludf.DUMMYFUNCTION("""COMPUTED_VALUE"""),"")</f>
        <v/>
      </c>
    </row>
    <row r="15465" spans="2:4" ht="13">
      <c r="B15465" s="12" t="str">
        <f ca="1">IFERROR(__xludf.DUMMYFUNCTION("""COMPUTED_VALUE"""),"")</f>
        <v/>
      </c>
      <c r="C15465" s="12" t="str">
        <f ca="1">IFERROR(__xludf.DUMMYFUNCTION("""COMPUTED_VALUE"""),"")</f>
        <v/>
      </c>
      <c r="D15465" s="12" t="str">
        <f ca="1">IFERROR(__xludf.DUMMYFUNCTION("""COMPUTED_VALUE"""),"")</f>
        <v/>
      </c>
    </row>
    <row r="15466" spans="2:4" ht="13">
      <c r="B15466" s="12" t="str">
        <f ca="1">IFERROR(__xludf.DUMMYFUNCTION("""COMPUTED_VALUE"""),"")</f>
        <v/>
      </c>
      <c r="C15466" s="12" t="str">
        <f ca="1">IFERROR(__xludf.DUMMYFUNCTION("""COMPUTED_VALUE"""),"")</f>
        <v/>
      </c>
      <c r="D15466" s="12" t="str">
        <f ca="1">IFERROR(__xludf.DUMMYFUNCTION("""COMPUTED_VALUE"""),"")</f>
        <v/>
      </c>
    </row>
    <row r="15467" spans="2:4" ht="13">
      <c r="B15467" s="12" t="str">
        <f ca="1">IFERROR(__xludf.DUMMYFUNCTION("""COMPUTED_VALUE"""),"")</f>
        <v/>
      </c>
      <c r="C15467" s="12" t="str">
        <f ca="1">IFERROR(__xludf.DUMMYFUNCTION("""COMPUTED_VALUE"""),"")</f>
        <v/>
      </c>
      <c r="D15467" s="12" t="str">
        <f ca="1">IFERROR(__xludf.DUMMYFUNCTION("""COMPUTED_VALUE"""),"")</f>
        <v/>
      </c>
    </row>
    <row r="15468" spans="2:4" ht="13">
      <c r="B15468" s="12" t="str">
        <f ca="1">IFERROR(__xludf.DUMMYFUNCTION("""COMPUTED_VALUE"""),"")</f>
        <v/>
      </c>
      <c r="C15468" s="12" t="str">
        <f ca="1">IFERROR(__xludf.DUMMYFUNCTION("""COMPUTED_VALUE"""),"")</f>
        <v/>
      </c>
      <c r="D15468" s="12" t="str">
        <f ca="1">IFERROR(__xludf.DUMMYFUNCTION("""COMPUTED_VALUE"""),"")</f>
        <v/>
      </c>
    </row>
    <row r="15469" spans="2:4" ht="13">
      <c r="B15469" s="12" t="str">
        <f ca="1">IFERROR(__xludf.DUMMYFUNCTION("""COMPUTED_VALUE"""),"")</f>
        <v/>
      </c>
      <c r="C15469" s="12" t="str">
        <f ca="1">IFERROR(__xludf.DUMMYFUNCTION("""COMPUTED_VALUE"""),"")</f>
        <v/>
      </c>
      <c r="D15469" s="12" t="str">
        <f ca="1">IFERROR(__xludf.DUMMYFUNCTION("""COMPUTED_VALUE"""),"")</f>
        <v/>
      </c>
    </row>
    <row r="15470" spans="2:4" ht="13">
      <c r="B15470" s="12" t="str">
        <f ca="1">IFERROR(__xludf.DUMMYFUNCTION("""COMPUTED_VALUE"""),"")</f>
        <v/>
      </c>
      <c r="C15470" s="12" t="str">
        <f ca="1">IFERROR(__xludf.DUMMYFUNCTION("""COMPUTED_VALUE"""),"")</f>
        <v/>
      </c>
      <c r="D15470" s="12" t="str">
        <f ca="1">IFERROR(__xludf.DUMMYFUNCTION("""COMPUTED_VALUE"""),"")</f>
        <v/>
      </c>
    </row>
    <row r="15471" spans="2:4" ht="13">
      <c r="B15471" s="12" t="str">
        <f ca="1">IFERROR(__xludf.DUMMYFUNCTION("""COMPUTED_VALUE"""),"")</f>
        <v/>
      </c>
      <c r="C15471" s="12" t="str">
        <f ca="1">IFERROR(__xludf.DUMMYFUNCTION("""COMPUTED_VALUE"""),"")</f>
        <v/>
      </c>
      <c r="D15471" s="12" t="str">
        <f ca="1">IFERROR(__xludf.DUMMYFUNCTION("""COMPUTED_VALUE"""),"")</f>
        <v/>
      </c>
    </row>
    <row r="15472" spans="2:4" ht="13">
      <c r="B15472" s="12" t="str">
        <f ca="1">IFERROR(__xludf.DUMMYFUNCTION("""COMPUTED_VALUE"""),"")</f>
        <v/>
      </c>
      <c r="C15472" s="12" t="str">
        <f ca="1">IFERROR(__xludf.DUMMYFUNCTION("""COMPUTED_VALUE"""),"")</f>
        <v/>
      </c>
      <c r="D15472" s="12" t="str">
        <f ca="1">IFERROR(__xludf.DUMMYFUNCTION("""COMPUTED_VALUE"""),"")</f>
        <v/>
      </c>
    </row>
    <row r="15473" spans="2:4" ht="13">
      <c r="B15473" s="12" t="str">
        <f ca="1">IFERROR(__xludf.DUMMYFUNCTION("""COMPUTED_VALUE"""),"")</f>
        <v/>
      </c>
      <c r="C15473" s="12" t="str">
        <f ca="1">IFERROR(__xludf.DUMMYFUNCTION("""COMPUTED_VALUE"""),"")</f>
        <v/>
      </c>
      <c r="D15473" s="12" t="str">
        <f ca="1">IFERROR(__xludf.DUMMYFUNCTION("""COMPUTED_VALUE"""),"")</f>
        <v/>
      </c>
    </row>
    <row r="15474" spans="2:4" ht="13">
      <c r="B15474" s="12" t="str">
        <f ca="1">IFERROR(__xludf.DUMMYFUNCTION("""COMPUTED_VALUE"""),"")</f>
        <v/>
      </c>
      <c r="C15474" s="12" t="str">
        <f ca="1">IFERROR(__xludf.DUMMYFUNCTION("""COMPUTED_VALUE"""),"")</f>
        <v/>
      </c>
      <c r="D15474" s="12" t="str">
        <f ca="1">IFERROR(__xludf.DUMMYFUNCTION("""COMPUTED_VALUE"""),"")</f>
        <v/>
      </c>
    </row>
    <row r="15475" spans="2:4" ht="13">
      <c r="B15475" s="12" t="str">
        <f ca="1">IFERROR(__xludf.DUMMYFUNCTION("""COMPUTED_VALUE"""),"")</f>
        <v/>
      </c>
      <c r="C15475" s="12" t="str">
        <f ca="1">IFERROR(__xludf.DUMMYFUNCTION("""COMPUTED_VALUE"""),"")</f>
        <v/>
      </c>
      <c r="D15475" s="12" t="str">
        <f ca="1">IFERROR(__xludf.DUMMYFUNCTION("""COMPUTED_VALUE"""),"")</f>
        <v/>
      </c>
    </row>
    <row r="15476" spans="2:4" ht="13">
      <c r="B15476" s="12" t="str">
        <f ca="1">IFERROR(__xludf.DUMMYFUNCTION("""COMPUTED_VALUE"""),"")</f>
        <v/>
      </c>
      <c r="C15476" s="12" t="str">
        <f ca="1">IFERROR(__xludf.DUMMYFUNCTION("""COMPUTED_VALUE"""),"")</f>
        <v/>
      </c>
      <c r="D15476" s="12" t="str">
        <f ca="1">IFERROR(__xludf.DUMMYFUNCTION("""COMPUTED_VALUE"""),"")</f>
        <v/>
      </c>
    </row>
    <row r="15477" spans="2:4" ht="13">
      <c r="B15477" s="12" t="str">
        <f ca="1">IFERROR(__xludf.DUMMYFUNCTION("""COMPUTED_VALUE"""),"")</f>
        <v/>
      </c>
      <c r="C15477" s="12" t="str">
        <f ca="1">IFERROR(__xludf.DUMMYFUNCTION("""COMPUTED_VALUE"""),"")</f>
        <v/>
      </c>
      <c r="D15477" s="12" t="str">
        <f ca="1">IFERROR(__xludf.DUMMYFUNCTION("""COMPUTED_VALUE"""),"")</f>
        <v/>
      </c>
    </row>
    <row r="15478" spans="2:4" ht="13">
      <c r="B15478" s="12" t="str">
        <f ca="1">IFERROR(__xludf.DUMMYFUNCTION("""COMPUTED_VALUE"""),"")</f>
        <v/>
      </c>
      <c r="C15478" s="12" t="str">
        <f ca="1">IFERROR(__xludf.DUMMYFUNCTION("""COMPUTED_VALUE"""),"")</f>
        <v/>
      </c>
      <c r="D15478" s="12" t="str">
        <f ca="1">IFERROR(__xludf.DUMMYFUNCTION("""COMPUTED_VALUE"""),"")</f>
        <v/>
      </c>
    </row>
    <row r="15479" spans="2:4" ht="13">
      <c r="B15479" s="12" t="str">
        <f ca="1">IFERROR(__xludf.DUMMYFUNCTION("""COMPUTED_VALUE"""),"")</f>
        <v/>
      </c>
      <c r="C15479" s="12" t="str">
        <f ca="1">IFERROR(__xludf.DUMMYFUNCTION("""COMPUTED_VALUE"""),"")</f>
        <v/>
      </c>
      <c r="D15479" s="12" t="str">
        <f ca="1">IFERROR(__xludf.DUMMYFUNCTION("""COMPUTED_VALUE"""),"")</f>
        <v/>
      </c>
    </row>
    <row r="15480" spans="2:4" ht="13">
      <c r="B15480" s="12" t="str">
        <f ca="1">IFERROR(__xludf.DUMMYFUNCTION("""COMPUTED_VALUE"""),"")</f>
        <v/>
      </c>
      <c r="C15480" s="12" t="str">
        <f ca="1">IFERROR(__xludf.DUMMYFUNCTION("""COMPUTED_VALUE"""),"")</f>
        <v/>
      </c>
      <c r="D15480" s="12" t="str">
        <f ca="1">IFERROR(__xludf.DUMMYFUNCTION("""COMPUTED_VALUE"""),"")</f>
        <v/>
      </c>
    </row>
    <row r="15481" spans="2:4" ht="13">
      <c r="B15481" s="12" t="str">
        <f ca="1">IFERROR(__xludf.DUMMYFUNCTION("""COMPUTED_VALUE"""),"")</f>
        <v/>
      </c>
      <c r="C15481" s="12" t="str">
        <f ca="1">IFERROR(__xludf.DUMMYFUNCTION("""COMPUTED_VALUE"""),"")</f>
        <v/>
      </c>
      <c r="D15481" s="12" t="str">
        <f ca="1">IFERROR(__xludf.DUMMYFUNCTION("""COMPUTED_VALUE"""),"")</f>
        <v/>
      </c>
    </row>
    <row r="15482" spans="2:4" ht="13">
      <c r="B15482" s="12" t="str">
        <f ca="1">IFERROR(__xludf.DUMMYFUNCTION("""COMPUTED_VALUE"""),"")</f>
        <v/>
      </c>
      <c r="C15482" s="12" t="str">
        <f ca="1">IFERROR(__xludf.DUMMYFUNCTION("""COMPUTED_VALUE"""),"")</f>
        <v/>
      </c>
      <c r="D15482" s="12" t="str">
        <f ca="1">IFERROR(__xludf.DUMMYFUNCTION("""COMPUTED_VALUE"""),"")</f>
        <v/>
      </c>
    </row>
    <row r="15483" spans="2:4" ht="13">
      <c r="B15483" s="12" t="str">
        <f ca="1">IFERROR(__xludf.DUMMYFUNCTION("""COMPUTED_VALUE"""),"")</f>
        <v/>
      </c>
      <c r="C15483" s="12" t="str">
        <f ca="1">IFERROR(__xludf.DUMMYFUNCTION("""COMPUTED_VALUE"""),"")</f>
        <v/>
      </c>
      <c r="D15483" s="12" t="str">
        <f ca="1">IFERROR(__xludf.DUMMYFUNCTION("""COMPUTED_VALUE"""),"")</f>
        <v/>
      </c>
    </row>
    <row r="15484" spans="2:4" ht="13">
      <c r="B15484" s="12" t="str">
        <f ca="1">IFERROR(__xludf.DUMMYFUNCTION("""COMPUTED_VALUE"""),"")</f>
        <v/>
      </c>
      <c r="C15484" s="12" t="str">
        <f ca="1">IFERROR(__xludf.DUMMYFUNCTION("""COMPUTED_VALUE"""),"")</f>
        <v/>
      </c>
      <c r="D15484" s="12" t="str">
        <f ca="1">IFERROR(__xludf.DUMMYFUNCTION("""COMPUTED_VALUE"""),"")</f>
        <v/>
      </c>
    </row>
    <row r="15485" spans="2:4" ht="13">
      <c r="B15485" s="12" t="str">
        <f ca="1">IFERROR(__xludf.DUMMYFUNCTION("""COMPUTED_VALUE"""),"")</f>
        <v/>
      </c>
      <c r="C15485" s="12" t="str">
        <f ca="1">IFERROR(__xludf.DUMMYFUNCTION("""COMPUTED_VALUE"""),"")</f>
        <v/>
      </c>
      <c r="D15485" s="12" t="str">
        <f ca="1">IFERROR(__xludf.DUMMYFUNCTION("""COMPUTED_VALUE"""),"")</f>
        <v/>
      </c>
    </row>
    <row r="15486" spans="2:4" ht="13">
      <c r="B15486" s="12" t="str">
        <f ca="1">IFERROR(__xludf.DUMMYFUNCTION("""COMPUTED_VALUE"""),"")</f>
        <v/>
      </c>
      <c r="C15486" s="12" t="str">
        <f ca="1">IFERROR(__xludf.DUMMYFUNCTION("""COMPUTED_VALUE"""),"")</f>
        <v/>
      </c>
      <c r="D15486" s="12" t="str">
        <f ca="1">IFERROR(__xludf.DUMMYFUNCTION("""COMPUTED_VALUE"""),"")</f>
        <v/>
      </c>
    </row>
    <row r="15487" spans="2:4" ht="13">
      <c r="B15487" s="12" t="str">
        <f ca="1">IFERROR(__xludf.DUMMYFUNCTION("""COMPUTED_VALUE"""),"")</f>
        <v/>
      </c>
      <c r="C15487" s="12" t="str">
        <f ca="1">IFERROR(__xludf.DUMMYFUNCTION("""COMPUTED_VALUE"""),"")</f>
        <v/>
      </c>
      <c r="D15487" s="12" t="str">
        <f ca="1">IFERROR(__xludf.DUMMYFUNCTION("""COMPUTED_VALUE"""),"")</f>
        <v/>
      </c>
    </row>
    <row r="15488" spans="2:4" ht="13">
      <c r="B15488" s="12" t="str">
        <f ca="1">IFERROR(__xludf.DUMMYFUNCTION("""COMPUTED_VALUE"""),"")</f>
        <v/>
      </c>
      <c r="C15488" s="12" t="str">
        <f ca="1">IFERROR(__xludf.DUMMYFUNCTION("""COMPUTED_VALUE"""),"")</f>
        <v/>
      </c>
      <c r="D15488" s="12" t="str">
        <f ca="1">IFERROR(__xludf.DUMMYFUNCTION("""COMPUTED_VALUE"""),"")</f>
        <v/>
      </c>
    </row>
    <row r="15489" spans="2:4" ht="13">
      <c r="B15489" s="12" t="str">
        <f ca="1">IFERROR(__xludf.DUMMYFUNCTION("""COMPUTED_VALUE"""),"")</f>
        <v/>
      </c>
      <c r="C15489" s="12" t="str">
        <f ca="1">IFERROR(__xludf.DUMMYFUNCTION("""COMPUTED_VALUE"""),"")</f>
        <v/>
      </c>
      <c r="D15489" s="12" t="str">
        <f ca="1">IFERROR(__xludf.DUMMYFUNCTION("""COMPUTED_VALUE"""),"")</f>
        <v/>
      </c>
    </row>
    <row r="15490" spans="2:4" ht="13">
      <c r="B15490" s="12" t="str">
        <f ca="1">IFERROR(__xludf.DUMMYFUNCTION("""COMPUTED_VALUE"""),"")</f>
        <v/>
      </c>
      <c r="C15490" s="12" t="str">
        <f ca="1">IFERROR(__xludf.DUMMYFUNCTION("""COMPUTED_VALUE"""),"")</f>
        <v/>
      </c>
      <c r="D15490" s="12" t="str">
        <f ca="1">IFERROR(__xludf.DUMMYFUNCTION("""COMPUTED_VALUE"""),"")</f>
        <v/>
      </c>
    </row>
    <row r="15491" spans="2:4" ht="13">
      <c r="B15491" s="12" t="str">
        <f ca="1">IFERROR(__xludf.DUMMYFUNCTION("""COMPUTED_VALUE"""),"")</f>
        <v/>
      </c>
      <c r="C15491" s="12" t="str">
        <f ca="1">IFERROR(__xludf.DUMMYFUNCTION("""COMPUTED_VALUE"""),"")</f>
        <v/>
      </c>
      <c r="D15491" s="12" t="str">
        <f ca="1">IFERROR(__xludf.DUMMYFUNCTION("""COMPUTED_VALUE"""),"")</f>
        <v/>
      </c>
    </row>
    <row r="15492" spans="2:4" ht="13">
      <c r="B15492" s="12" t="str">
        <f ca="1">IFERROR(__xludf.DUMMYFUNCTION("""COMPUTED_VALUE"""),"")</f>
        <v/>
      </c>
      <c r="C15492" s="12" t="str">
        <f ca="1">IFERROR(__xludf.DUMMYFUNCTION("""COMPUTED_VALUE"""),"")</f>
        <v/>
      </c>
      <c r="D15492" s="12" t="str">
        <f ca="1">IFERROR(__xludf.DUMMYFUNCTION("""COMPUTED_VALUE"""),"")</f>
        <v/>
      </c>
    </row>
    <row r="15493" spans="2:4" ht="13">
      <c r="B15493" s="12" t="str">
        <f ca="1">IFERROR(__xludf.DUMMYFUNCTION("""COMPUTED_VALUE"""),"")</f>
        <v/>
      </c>
      <c r="C15493" s="12" t="str">
        <f ca="1">IFERROR(__xludf.DUMMYFUNCTION("""COMPUTED_VALUE"""),"")</f>
        <v/>
      </c>
      <c r="D15493" s="12" t="str">
        <f ca="1">IFERROR(__xludf.DUMMYFUNCTION("""COMPUTED_VALUE"""),"")</f>
        <v/>
      </c>
    </row>
    <row r="15494" spans="2:4" ht="13">
      <c r="B15494" s="12" t="str">
        <f ca="1">IFERROR(__xludf.DUMMYFUNCTION("""COMPUTED_VALUE"""),"")</f>
        <v/>
      </c>
      <c r="C15494" s="12" t="str">
        <f ca="1">IFERROR(__xludf.DUMMYFUNCTION("""COMPUTED_VALUE"""),"")</f>
        <v/>
      </c>
      <c r="D15494" s="12" t="str">
        <f ca="1">IFERROR(__xludf.DUMMYFUNCTION("""COMPUTED_VALUE"""),"")</f>
        <v/>
      </c>
    </row>
    <row r="15495" spans="2:4" ht="13">
      <c r="B15495" s="12" t="str">
        <f ca="1">IFERROR(__xludf.DUMMYFUNCTION("""COMPUTED_VALUE"""),"")</f>
        <v/>
      </c>
      <c r="C15495" s="12" t="str">
        <f ca="1">IFERROR(__xludf.DUMMYFUNCTION("""COMPUTED_VALUE"""),"")</f>
        <v/>
      </c>
      <c r="D15495" s="12" t="str">
        <f ca="1">IFERROR(__xludf.DUMMYFUNCTION("""COMPUTED_VALUE"""),"")</f>
        <v/>
      </c>
    </row>
    <row r="15496" spans="2:4" ht="13">
      <c r="B15496" s="12" t="str">
        <f ca="1">IFERROR(__xludf.DUMMYFUNCTION("""COMPUTED_VALUE"""),"")</f>
        <v/>
      </c>
      <c r="C15496" s="12" t="str">
        <f ca="1">IFERROR(__xludf.DUMMYFUNCTION("""COMPUTED_VALUE"""),"")</f>
        <v/>
      </c>
      <c r="D15496" s="12" t="str">
        <f ca="1">IFERROR(__xludf.DUMMYFUNCTION("""COMPUTED_VALUE"""),"")</f>
        <v/>
      </c>
    </row>
    <row r="15497" spans="2:4" ht="13">
      <c r="B15497" s="12" t="str">
        <f ca="1">IFERROR(__xludf.DUMMYFUNCTION("""COMPUTED_VALUE"""),"")</f>
        <v/>
      </c>
      <c r="C15497" s="12" t="str">
        <f ca="1">IFERROR(__xludf.DUMMYFUNCTION("""COMPUTED_VALUE"""),"")</f>
        <v/>
      </c>
      <c r="D15497" s="12" t="str">
        <f ca="1">IFERROR(__xludf.DUMMYFUNCTION("""COMPUTED_VALUE"""),"")</f>
        <v/>
      </c>
    </row>
    <row r="15498" spans="2:4" ht="13">
      <c r="B15498" s="12" t="str">
        <f ca="1">IFERROR(__xludf.DUMMYFUNCTION("""COMPUTED_VALUE"""),"")</f>
        <v/>
      </c>
      <c r="C15498" s="12" t="str">
        <f ca="1">IFERROR(__xludf.DUMMYFUNCTION("""COMPUTED_VALUE"""),"")</f>
        <v/>
      </c>
      <c r="D15498" s="12" t="str">
        <f ca="1">IFERROR(__xludf.DUMMYFUNCTION("""COMPUTED_VALUE"""),"")</f>
        <v/>
      </c>
    </row>
    <row r="15499" spans="2:4" ht="13">
      <c r="B15499" s="12" t="str">
        <f ca="1">IFERROR(__xludf.DUMMYFUNCTION("""COMPUTED_VALUE"""),"")</f>
        <v/>
      </c>
      <c r="C15499" s="12" t="str">
        <f ca="1">IFERROR(__xludf.DUMMYFUNCTION("""COMPUTED_VALUE"""),"")</f>
        <v/>
      </c>
      <c r="D15499" s="12" t="str">
        <f ca="1">IFERROR(__xludf.DUMMYFUNCTION("""COMPUTED_VALUE"""),"")</f>
        <v/>
      </c>
    </row>
    <row r="15500" spans="2:4" ht="13">
      <c r="B15500" s="12" t="str">
        <f ca="1">IFERROR(__xludf.DUMMYFUNCTION("""COMPUTED_VALUE"""),"")</f>
        <v/>
      </c>
      <c r="C15500" s="12" t="str">
        <f ca="1">IFERROR(__xludf.DUMMYFUNCTION("""COMPUTED_VALUE"""),"")</f>
        <v/>
      </c>
      <c r="D15500" s="12" t="str">
        <f ca="1">IFERROR(__xludf.DUMMYFUNCTION("""COMPUTED_VALUE"""),"")</f>
        <v/>
      </c>
    </row>
    <row r="15501" spans="2:4" ht="13">
      <c r="B15501" s="12" t="str">
        <f ca="1">IFERROR(__xludf.DUMMYFUNCTION("""COMPUTED_VALUE"""),"")</f>
        <v/>
      </c>
      <c r="C15501" s="12" t="str">
        <f ca="1">IFERROR(__xludf.DUMMYFUNCTION("""COMPUTED_VALUE"""),"")</f>
        <v/>
      </c>
      <c r="D15501" s="12" t="str">
        <f ca="1">IFERROR(__xludf.DUMMYFUNCTION("""COMPUTED_VALUE"""),"")</f>
        <v/>
      </c>
    </row>
    <row r="15502" spans="2:4" ht="13">
      <c r="B15502" s="12" t="str">
        <f ca="1">IFERROR(__xludf.DUMMYFUNCTION("""COMPUTED_VALUE"""),"")</f>
        <v/>
      </c>
      <c r="C15502" s="12" t="str">
        <f ca="1">IFERROR(__xludf.DUMMYFUNCTION("""COMPUTED_VALUE"""),"")</f>
        <v/>
      </c>
      <c r="D15502" s="12" t="str">
        <f ca="1">IFERROR(__xludf.DUMMYFUNCTION("""COMPUTED_VALUE"""),"")</f>
        <v/>
      </c>
    </row>
    <row r="15503" spans="2:4" ht="13">
      <c r="B15503" s="12" t="str">
        <f ca="1">IFERROR(__xludf.DUMMYFUNCTION("""COMPUTED_VALUE"""),"")</f>
        <v/>
      </c>
      <c r="C15503" s="12" t="str">
        <f ca="1">IFERROR(__xludf.DUMMYFUNCTION("""COMPUTED_VALUE"""),"")</f>
        <v/>
      </c>
      <c r="D15503" s="12" t="str">
        <f ca="1">IFERROR(__xludf.DUMMYFUNCTION("""COMPUTED_VALUE"""),"")</f>
        <v/>
      </c>
    </row>
    <row r="15504" spans="2:4" ht="13">
      <c r="B15504" s="12" t="str">
        <f ca="1">IFERROR(__xludf.DUMMYFUNCTION("""COMPUTED_VALUE"""),"")</f>
        <v/>
      </c>
      <c r="C15504" s="12" t="str">
        <f ca="1">IFERROR(__xludf.DUMMYFUNCTION("""COMPUTED_VALUE"""),"")</f>
        <v/>
      </c>
      <c r="D15504" s="12" t="str">
        <f ca="1">IFERROR(__xludf.DUMMYFUNCTION("""COMPUTED_VALUE"""),"")</f>
        <v/>
      </c>
    </row>
    <row r="15505" spans="2:4" ht="13">
      <c r="B15505" s="12" t="str">
        <f ca="1">IFERROR(__xludf.DUMMYFUNCTION("""COMPUTED_VALUE"""),"")</f>
        <v/>
      </c>
      <c r="C15505" s="12" t="str">
        <f ca="1">IFERROR(__xludf.DUMMYFUNCTION("""COMPUTED_VALUE"""),"")</f>
        <v/>
      </c>
      <c r="D15505" s="12" t="str">
        <f ca="1">IFERROR(__xludf.DUMMYFUNCTION("""COMPUTED_VALUE"""),"")</f>
        <v/>
      </c>
    </row>
    <row r="15506" spans="2:4" ht="13">
      <c r="B15506" s="12" t="str">
        <f ca="1">IFERROR(__xludf.DUMMYFUNCTION("""COMPUTED_VALUE"""),"")</f>
        <v/>
      </c>
      <c r="C15506" s="12" t="str">
        <f ca="1">IFERROR(__xludf.DUMMYFUNCTION("""COMPUTED_VALUE"""),"")</f>
        <v/>
      </c>
      <c r="D15506" s="12" t="str">
        <f ca="1">IFERROR(__xludf.DUMMYFUNCTION("""COMPUTED_VALUE"""),"")</f>
        <v/>
      </c>
    </row>
    <row r="15507" spans="2:4" ht="13">
      <c r="B15507" s="12" t="str">
        <f ca="1">IFERROR(__xludf.DUMMYFUNCTION("""COMPUTED_VALUE"""),"")</f>
        <v/>
      </c>
      <c r="C15507" s="12" t="str">
        <f ca="1">IFERROR(__xludf.DUMMYFUNCTION("""COMPUTED_VALUE"""),"")</f>
        <v/>
      </c>
      <c r="D15507" s="12" t="str">
        <f ca="1">IFERROR(__xludf.DUMMYFUNCTION("""COMPUTED_VALUE"""),"")</f>
        <v/>
      </c>
    </row>
    <row r="15508" spans="2:4" ht="13">
      <c r="B15508" s="12" t="str">
        <f ca="1">IFERROR(__xludf.DUMMYFUNCTION("""COMPUTED_VALUE"""),"")</f>
        <v/>
      </c>
      <c r="C15508" s="12" t="str">
        <f ca="1">IFERROR(__xludf.DUMMYFUNCTION("""COMPUTED_VALUE"""),"")</f>
        <v/>
      </c>
      <c r="D15508" s="12" t="str">
        <f ca="1">IFERROR(__xludf.DUMMYFUNCTION("""COMPUTED_VALUE"""),"")</f>
        <v/>
      </c>
    </row>
    <row r="15509" spans="2:4" ht="13">
      <c r="B15509" s="12" t="str">
        <f ca="1">IFERROR(__xludf.DUMMYFUNCTION("""COMPUTED_VALUE"""),"")</f>
        <v/>
      </c>
      <c r="C15509" s="12" t="str">
        <f ca="1">IFERROR(__xludf.DUMMYFUNCTION("""COMPUTED_VALUE"""),"")</f>
        <v/>
      </c>
      <c r="D15509" s="12" t="str">
        <f ca="1">IFERROR(__xludf.DUMMYFUNCTION("""COMPUTED_VALUE"""),"")</f>
        <v/>
      </c>
    </row>
    <row r="15510" spans="2:4" ht="13">
      <c r="B15510" s="12" t="str">
        <f ca="1">IFERROR(__xludf.DUMMYFUNCTION("""COMPUTED_VALUE"""),"")</f>
        <v/>
      </c>
      <c r="C15510" s="12" t="str">
        <f ca="1">IFERROR(__xludf.DUMMYFUNCTION("""COMPUTED_VALUE"""),"")</f>
        <v/>
      </c>
      <c r="D15510" s="12" t="str">
        <f ca="1">IFERROR(__xludf.DUMMYFUNCTION("""COMPUTED_VALUE"""),"")</f>
        <v/>
      </c>
    </row>
    <row r="15511" spans="2:4" ht="13">
      <c r="B15511" s="12" t="str">
        <f ca="1">IFERROR(__xludf.DUMMYFUNCTION("""COMPUTED_VALUE"""),"")</f>
        <v/>
      </c>
      <c r="C15511" s="12" t="str">
        <f ca="1">IFERROR(__xludf.DUMMYFUNCTION("""COMPUTED_VALUE"""),"")</f>
        <v/>
      </c>
      <c r="D15511" s="12" t="str">
        <f ca="1">IFERROR(__xludf.DUMMYFUNCTION("""COMPUTED_VALUE"""),"")</f>
        <v/>
      </c>
    </row>
    <row r="15512" spans="2:4" ht="13">
      <c r="B15512" s="12" t="str">
        <f ca="1">IFERROR(__xludf.DUMMYFUNCTION("""COMPUTED_VALUE"""),"")</f>
        <v/>
      </c>
      <c r="C15512" s="12" t="str">
        <f ca="1">IFERROR(__xludf.DUMMYFUNCTION("""COMPUTED_VALUE"""),"")</f>
        <v/>
      </c>
      <c r="D15512" s="12" t="str">
        <f ca="1">IFERROR(__xludf.DUMMYFUNCTION("""COMPUTED_VALUE"""),"")</f>
        <v/>
      </c>
    </row>
    <row r="15513" spans="2:4" ht="13">
      <c r="B15513" s="12" t="str">
        <f ca="1">IFERROR(__xludf.DUMMYFUNCTION("""COMPUTED_VALUE"""),"")</f>
        <v/>
      </c>
      <c r="C15513" s="12" t="str">
        <f ca="1">IFERROR(__xludf.DUMMYFUNCTION("""COMPUTED_VALUE"""),"")</f>
        <v/>
      </c>
      <c r="D15513" s="12" t="str">
        <f ca="1">IFERROR(__xludf.DUMMYFUNCTION("""COMPUTED_VALUE"""),"")</f>
        <v/>
      </c>
    </row>
    <row r="15514" spans="2:4" ht="13">
      <c r="B15514" s="12" t="str">
        <f ca="1">IFERROR(__xludf.DUMMYFUNCTION("""COMPUTED_VALUE"""),"")</f>
        <v/>
      </c>
      <c r="C15514" s="12" t="str">
        <f ca="1">IFERROR(__xludf.DUMMYFUNCTION("""COMPUTED_VALUE"""),"")</f>
        <v/>
      </c>
      <c r="D15514" s="12" t="str">
        <f ca="1">IFERROR(__xludf.DUMMYFUNCTION("""COMPUTED_VALUE"""),"")</f>
        <v/>
      </c>
    </row>
    <row r="15515" spans="2:4" ht="13">
      <c r="B15515" s="12" t="str">
        <f ca="1">IFERROR(__xludf.DUMMYFUNCTION("""COMPUTED_VALUE"""),"")</f>
        <v/>
      </c>
      <c r="C15515" s="12" t="str">
        <f ca="1">IFERROR(__xludf.DUMMYFUNCTION("""COMPUTED_VALUE"""),"")</f>
        <v/>
      </c>
      <c r="D15515" s="12" t="str">
        <f ca="1">IFERROR(__xludf.DUMMYFUNCTION("""COMPUTED_VALUE"""),"")</f>
        <v/>
      </c>
    </row>
    <row r="15516" spans="2:4" ht="13">
      <c r="B15516" s="12" t="str">
        <f ca="1">IFERROR(__xludf.DUMMYFUNCTION("""COMPUTED_VALUE"""),"")</f>
        <v/>
      </c>
      <c r="C15516" s="12" t="str">
        <f ca="1">IFERROR(__xludf.DUMMYFUNCTION("""COMPUTED_VALUE"""),"")</f>
        <v/>
      </c>
      <c r="D15516" s="12" t="str">
        <f ca="1">IFERROR(__xludf.DUMMYFUNCTION("""COMPUTED_VALUE"""),"")</f>
        <v/>
      </c>
    </row>
    <row r="15517" spans="2:4" ht="13">
      <c r="B15517" s="12" t="str">
        <f ca="1">IFERROR(__xludf.DUMMYFUNCTION("""COMPUTED_VALUE"""),"")</f>
        <v/>
      </c>
      <c r="C15517" s="12" t="str">
        <f ca="1">IFERROR(__xludf.DUMMYFUNCTION("""COMPUTED_VALUE"""),"")</f>
        <v/>
      </c>
      <c r="D15517" s="12" t="str">
        <f ca="1">IFERROR(__xludf.DUMMYFUNCTION("""COMPUTED_VALUE"""),"")</f>
        <v/>
      </c>
    </row>
    <row r="15518" spans="2:4" ht="13">
      <c r="B15518" s="12" t="str">
        <f ca="1">IFERROR(__xludf.DUMMYFUNCTION("""COMPUTED_VALUE"""),"")</f>
        <v/>
      </c>
      <c r="C15518" s="12" t="str">
        <f ca="1">IFERROR(__xludf.DUMMYFUNCTION("""COMPUTED_VALUE"""),"")</f>
        <v/>
      </c>
      <c r="D15518" s="12" t="str">
        <f ca="1">IFERROR(__xludf.DUMMYFUNCTION("""COMPUTED_VALUE"""),"")</f>
        <v/>
      </c>
    </row>
    <row r="15519" spans="2:4" ht="13">
      <c r="B15519" s="12" t="str">
        <f ca="1">IFERROR(__xludf.DUMMYFUNCTION("""COMPUTED_VALUE"""),"")</f>
        <v/>
      </c>
      <c r="C15519" s="12" t="str">
        <f ca="1">IFERROR(__xludf.DUMMYFUNCTION("""COMPUTED_VALUE"""),"")</f>
        <v/>
      </c>
      <c r="D15519" s="12" t="str">
        <f ca="1">IFERROR(__xludf.DUMMYFUNCTION("""COMPUTED_VALUE"""),"")</f>
        <v/>
      </c>
    </row>
    <row r="15520" spans="2:4" ht="13">
      <c r="B15520" s="12" t="str">
        <f ca="1">IFERROR(__xludf.DUMMYFUNCTION("""COMPUTED_VALUE"""),"")</f>
        <v/>
      </c>
      <c r="C15520" s="12" t="str">
        <f ca="1">IFERROR(__xludf.DUMMYFUNCTION("""COMPUTED_VALUE"""),"")</f>
        <v/>
      </c>
      <c r="D15520" s="12" t="str">
        <f ca="1">IFERROR(__xludf.DUMMYFUNCTION("""COMPUTED_VALUE"""),"")</f>
        <v/>
      </c>
    </row>
    <row r="15521" spans="2:4" ht="13">
      <c r="B15521" s="12" t="str">
        <f ca="1">IFERROR(__xludf.DUMMYFUNCTION("""COMPUTED_VALUE"""),"")</f>
        <v/>
      </c>
      <c r="C15521" s="12" t="str">
        <f ca="1">IFERROR(__xludf.DUMMYFUNCTION("""COMPUTED_VALUE"""),"")</f>
        <v/>
      </c>
      <c r="D15521" s="12" t="str">
        <f ca="1">IFERROR(__xludf.DUMMYFUNCTION("""COMPUTED_VALUE"""),"")</f>
        <v/>
      </c>
    </row>
    <row r="15522" spans="2:4" ht="13">
      <c r="B15522" s="12" t="str">
        <f ca="1">IFERROR(__xludf.DUMMYFUNCTION("""COMPUTED_VALUE"""),"")</f>
        <v/>
      </c>
      <c r="C15522" s="12" t="str">
        <f ca="1">IFERROR(__xludf.DUMMYFUNCTION("""COMPUTED_VALUE"""),"")</f>
        <v/>
      </c>
      <c r="D15522" s="12" t="str">
        <f ca="1">IFERROR(__xludf.DUMMYFUNCTION("""COMPUTED_VALUE"""),"")</f>
        <v/>
      </c>
    </row>
    <row r="15523" spans="2:4" ht="13">
      <c r="B15523" s="12" t="str">
        <f ca="1">IFERROR(__xludf.DUMMYFUNCTION("""COMPUTED_VALUE"""),"")</f>
        <v/>
      </c>
      <c r="C15523" s="12" t="str">
        <f ca="1">IFERROR(__xludf.DUMMYFUNCTION("""COMPUTED_VALUE"""),"")</f>
        <v/>
      </c>
      <c r="D15523" s="12" t="str">
        <f ca="1">IFERROR(__xludf.DUMMYFUNCTION("""COMPUTED_VALUE"""),"")</f>
        <v/>
      </c>
    </row>
    <row r="15524" spans="2:4" ht="13">
      <c r="B15524" s="12" t="str">
        <f ca="1">IFERROR(__xludf.DUMMYFUNCTION("""COMPUTED_VALUE"""),"")</f>
        <v/>
      </c>
      <c r="C15524" s="12" t="str">
        <f ca="1">IFERROR(__xludf.DUMMYFUNCTION("""COMPUTED_VALUE"""),"")</f>
        <v/>
      </c>
      <c r="D15524" s="12" t="str">
        <f ca="1">IFERROR(__xludf.DUMMYFUNCTION("""COMPUTED_VALUE"""),"")</f>
        <v/>
      </c>
    </row>
    <row r="15525" spans="2:4" ht="13">
      <c r="B15525" s="12" t="str">
        <f ca="1">IFERROR(__xludf.DUMMYFUNCTION("""COMPUTED_VALUE"""),"")</f>
        <v/>
      </c>
      <c r="C15525" s="12" t="str">
        <f ca="1">IFERROR(__xludf.DUMMYFUNCTION("""COMPUTED_VALUE"""),"")</f>
        <v/>
      </c>
      <c r="D15525" s="12" t="str">
        <f ca="1">IFERROR(__xludf.DUMMYFUNCTION("""COMPUTED_VALUE"""),"")</f>
        <v/>
      </c>
    </row>
    <row r="15526" spans="2:4" ht="13">
      <c r="B15526" s="12" t="str">
        <f ca="1">IFERROR(__xludf.DUMMYFUNCTION("""COMPUTED_VALUE"""),"")</f>
        <v/>
      </c>
      <c r="C15526" s="12" t="str">
        <f ca="1">IFERROR(__xludf.DUMMYFUNCTION("""COMPUTED_VALUE"""),"")</f>
        <v/>
      </c>
      <c r="D15526" s="12" t="str">
        <f ca="1">IFERROR(__xludf.DUMMYFUNCTION("""COMPUTED_VALUE"""),"")</f>
        <v/>
      </c>
    </row>
    <row r="15527" spans="2:4" ht="13">
      <c r="B15527" s="12" t="str">
        <f ca="1">IFERROR(__xludf.DUMMYFUNCTION("""COMPUTED_VALUE"""),"")</f>
        <v/>
      </c>
      <c r="C15527" s="12" t="str">
        <f ca="1">IFERROR(__xludf.DUMMYFUNCTION("""COMPUTED_VALUE"""),"")</f>
        <v/>
      </c>
      <c r="D15527" s="12" t="str">
        <f ca="1">IFERROR(__xludf.DUMMYFUNCTION("""COMPUTED_VALUE"""),"")</f>
        <v/>
      </c>
    </row>
    <row r="15528" spans="2:4" ht="13">
      <c r="B15528" s="12" t="str">
        <f ca="1">IFERROR(__xludf.DUMMYFUNCTION("""COMPUTED_VALUE"""),"")</f>
        <v/>
      </c>
      <c r="C15528" s="12" t="str">
        <f ca="1">IFERROR(__xludf.DUMMYFUNCTION("""COMPUTED_VALUE"""),"")</f>
        <v/>
      </c>
      <c r="D15528" s="12" t="str">
        <f ca="1">IFERROR(__xludf.DUMMYFUNCTION("""COMPUTED_VALUE"""),"")</f>
        <v/>
      </c>
    </row>
    <row r="15529" spans="2:4" ht="13">
      <c r="B15529" s="12" t="str">
        <f ca="1">IFERROR(__xludf.DUMMYFUNCTION("""COMPUTED_VALUE"""),"")</f>
        <v/>
      </c>
      <c r="C15529" s="12" t="str">
        <f ca="1">IFERROR(__xludf.DUMMYFUNCTION("""COMPUTED_VALUE"""),"")</f>
        <v/>
      </c>
      <c r="D15529" s="12" t="str">
        <f ca="1">IFERROR(__xludf.DUMMYFUNCTION("""COMPUTED_VALUE"""),"")</f>
        <v/>
      </c>
    </row>
    <row r="15530" spans="2:4" ht="13">
      <c r="B15530" s="12" t="str">
        <f ca="1">IFERROR(__xludf.DUMMYFUNCTION("""COMPUTED_VALUE"""),"")</f>
        <v/>
      </c>
      <c r="C15530" s="12" t="str">
        <f ca="1">IFERROR(__xludf.DUMMYFUNCTION("""COMPUTED_VALUE"""),"")</f>
        <v/>
      </c>
      <c r="D15530" s="12" t="str">
        <f ca="1">IFERROR(__xludf.DUMMYFUNCTION("""COMPUTED_VALUE"""),"")</f>
        <v/>
      </c>
    </row>
    <row r="15531" spans="2:4" ht="13">
      <c r="B15531" s="12" t="str">
        <f ca="1">IFERROR(__xludf.DUMMYFUNCTION("""COMPUTED_VALUE"""),"")</f>
        <v/>
      </c>
      <c r="C15531" s="12" t="str">
        <f ca="1">IFERROR(__xludf.DUMMYFUNCTION("""COMPUTED_VALUE"""),"")</f>
        <v/>
      </c>
      <c r="D15531" s="12" t="str">
        <f ca="1">IFERROR(__xludf.DUMMYFUNCTION("""COMPUTED_VALUE"""),"")</f>
        <v/>
      </c>
    </row>
    <row r="15532" spans="2:4" ht="13">
      <c r="B15532" s="12" t="str">
        <f ca="1">IFERROR(__xludf.DUMMYFUNCTION("""COMPUTED_VALUE"""),"")</f>
        <v/>
      </c>
      <c r="C15532" s="12" t="str">
        <f ca="1">IFERROR(__xludf.DUMMYFUNCTION("""COMPUTED_VALUE"""),"")</f>
        <v/>
      </c>
      <c r="D15532" s="12" t="str">
        <f ca="1">IFERROR(__xludf.DUMMYFUNCTION("""COMPUTED_VALUE"""),"")</f>
        <v/>
      </c>
    </row>
    <row r="15533" spans="2:4" ht="13">
      <c r="B15533" s="12" t="str">
        <f ca="1">IFERROR(__xludf.DUMMYFUNCTION("""COMPUTED_VALUE"""),"")</f>
        <v/>
      </c>
      <c r="C15533" s="12" t="str">
        <f ca="1">IFERROR(__xludf.DUMMYFUNCTION("""COMPUTED_VALUE"""),"")</f>
        <v/>
      </c>
      <c r="D15533" s="12" t="str">
        <f ca="1">IFERROR(__xludf.DUMMYFUNCTION("""COMPUTED_VALUE"""),"")</f>
        <v/>
      </c>
    </row>
    <row r="15534" spans="2:4" ht="13">
      <c r="B15534" s="12" t="str">
        <f ca="1">IFERROR(__xludf.DUMMYFUNCTION("""COMPUTED_VALUE"""),"")</f>
        <v/>
      </c>
      <c r="C15534" s="12" t="str">
        <f ca="1">IFERROR(__xludf.DUMMYFUNCTION("""COMPUTED_VALUE"""),"")</f>
        <v/>
      </c>
      <c r="D15534" s="12" t="str">
        <f ca="1">IFERROR(__xludf.DUMMYFUNCTION("""COMPUTED_VALUE"""),"")</f>
        <v/>
      </c>
    </row>
    <row r="15535" spans="2:4" ht="13">
      <c r="B15535" s="12" t="str">
        <f ca="1">IFERROR(__xludf.DUMMYFUNCTION("""COMPUTED_VALUE"""),"")</f>
        <v/>
      </c>
      <c r="C15535" s="12" t="str">
        <f ca="1">IFERROR(__xludf.DUMMYFUNCTION("""COMPUTED_VALUE"""),"")</f>
        <v/>
      </c>
      <c r="D15535" s="12" t="str">
        <f ca="1">IFERROR(__xludf.DUMMYFUNCTION("""COMPUTED_VALUE"""),"")</f>
        <v/>
      </c>
    </row>
    <row r="15536" spans="2:4" ht="13">
      <c r="B15536" s="12" t="str">
        <f ca="1">IFERROR(__xludf.DUMMYFUNCTION("""COMPUTED_VALUE"""),"")</f>
        <v/>
      </c>
      <c r="C15536" s="12" t="str">
        <f ca="1">IFERROR(__xludf.DUMMYFUNCTION("""COMPUTED_VALUE"""),"")</f>
        <v/>
      </c>
      <c r="D15536" s="12" t="str">
        <f ca="1">IFERROR(__xludf.DUMMYFUNCTION("""COMPUTED_VALUE"""),"")</f>
        <v/>
      </c>
    </row>
    <row r="15537" spans="2:4" ht="13">
      <c r="B15537" s="12" t="str">
        <f ca="1">IFERROR(__xludf.DUMMYFUNCTION("""COMPUTED_VALUE"""),"")</f>
        <v/>
      </c>
      <c r="C15537" s="12" t="str">
        <f ca="1">IFERROR(__xludf.DUMMYFUNCTION("""COMPUTED_VALUE"""),"")</f>
        <v/>
      </c>
      <c r="D15537" s="12" t="str">
        <f ca="1">IFERROR(__xludf.DUMMYFUNCTION("""COMPUTED_VALUE"""),"")</f>
        <v/>
      </c>
    </row>
    <row r="15538" spans="2:4" ht="13">
      <c r="B15538" s="12" t="str">
        <f ca="1">IFERROR(__xludf.DUMMYFUNCTION("""COMPUTED_VALUE"""),"")</f>
        <v/>
      </c>
      <c r="C15538" s="12" t="str">
        <f ca="1">IFERROR(__xludf.DUMMYFUNCTION("""COMPUTED_VALUE"""),"")</f>
        <v/>
      </c>
      <c r="D15538" s="12" t="str">
        <f ca="1">IFERROR(__xludf.DUMMYFUNCTION("""COMPUTED_VALUE"""),"")</f>
        <v/>
      </c>
    </row>
    <row r="15539" spans="2:4" ht="13">
      <c r="B15539" s="12" t="str">
        <f ca="1">IFERROR(__xludf.DUMMYFUNCTION("""COMPUTED_VALUE"""),"")</f>
        <v/>
      </c>
      <c r="C15539" s="12" t="str">
        <f ca="1">IFERROR(__xludf.DUMMYFUNCTION("""COMPUTED_VALUE"""),"")</f>
        <v/>
      </c>
      <c r="D15539" s="12" t="str">
        <f ca="1">IFERROR(__xludf.DUMMYFUNCTION("""COMPUTED_VALUE"""),"")</f>
        <v/>
      </c>
    </row>
    <row r="15540" spans="2:4" ht="13">
      <c r="B15540" s="12" t="str">
        <f ca="1">IFERROR(__xludf.DUMMYFUNCTION("""COMPUTED_VALUE"""),"")</f>
        <v/>
      </c>
      <c r="C15540" s="12" t="str">
        <f ca="1">IFERROR(__xludf.DUMMYFUNCTION("""COMPUTED_VALUE"""),"")</f>
        <v/>
      </c>
      <c r="D15540" s="12" t="str">
        <f ca="1">IFERROR(__xludf.DUMMYFUNCTION("""COMPUTED_VALUE"""),"")</f>
        <v/>
      </c>
    </row>
    <row r="15541" spans="2:4" ht="13">
      <c r="B15541" s="12" t="str">
        <f ca="1">IFERROR(__xludf.DUMMYFUNCTION("""COMPUTED_VALUE"""),"")</f>
        <v/>
      </c>
      <c r="C15541" s="12" t="str">
        <f ca="1">IFERROR(__xludf.DUMMYFUNCTION("""COMPUTED_VALUE"""),"")</f>
        <v/>
      </c>
      <c r="D15541" s="12" t="str">
        <f ca="1">IFERROR(__xludf.DUMMYFUNCTION("""COMPUTED_VALUE"""),"")</f>
        <v/>
      </c>
    </row>
    <row r="15542" spans="2:4" ht="13">
      <c r="B15542" s="12" t="str">
        <f ca="1">IFERROR(__xludf.DUMMYFUNCTION("""COMPUTED_VALUE"""),"")</f>
        <v/>
      </c>
      <c r="C15542" s="12" t="str">
        <f ca="1">IFERROR(__xludf.DUMMYFUNCTION("""COMPUTED_VALUE"""),"")</f>
        <v/>
      </c>
      <c r="D15542" s="12" t="str">
        <f ca="1">IFERROR(__xludf.DUMMYFUNCTION("""COMPUTED_VALUE"""),"")</f>
        <v/>
      </c>
    </row>
    <row r="15543" spans="2:4" ht="13">
      <c r="B15543" s="12" t="str">
        <f ca="1">IFERROR(__xludf.DUMMYFUNCTION("""COMPUTED_VALUE"""),"")</f>
        <v/>
      </c>
      <c r="C15543" s="12" t="str">
        <f ca="1">IFERROR(__xludf.DUMMYFUNCTION("""COMPUTED_VALUE"""),"")</f>
        <v/>
      </c>
      <c r="D15543" s="12" t="str">
        <f ca="1">IFERROR(__xludf.DUMMYFUNCTION("""COMPUTED_VALUE"""),"")</f>
        <v/>
      </c>
    </row>
    <row r="15544" spans="2:4" ht="13">
      <c r="B15544" s="12" t="str">
        <f ca="1">IFERROR(__xludf.DUMMYFUNCTION("""COMPUTED_VALUE"""),"")</f>
        <v/>
      </c>
      <c r="C15544" s="12" t="str">
        <f ca="1">IFERROR(__xludf.DUMMYFUNCTION("""COMPUTED_VALUE"""),"")</f>
        <v/>
      </c>
      <c r="D15544" s="12" t="str">
        <f ca="1">IFERROR(__xludf.DUMMYFUNCTION("""COMPUTED_VALUE"""),"")</f>
        <v/>
      </c>
    </row>
    <row r="15545" spans="2:4" ht="13">
      <c r="B15545" s="12" t="str">
        <f ca="1">IFERROR(__xludf.DUMMYFUNCTION("""COMPUTED_VALUE"""),"")</f>
        <v/>
      </c>
      <c r="C15545" s="12" t="str">
        <f ca="1">IFERROR(__xludf.DUMMYFUNCTION("""COMPUTED_VALUE"""),"")</f>
        <v/>
      </c>
      <c r="D15545" s="12" t="str">
        <f ca="1">IFERROR(__xludf.DUMMYFUNCTION("""COMPUTED_VALUE"""),"")</f>
        <v/>
      </c>
    </row>
    <row r="15546" spans="2:4" ht="13">
      <c r="B15546" s="12" t="str">
        <f ca="1">IFERROR(__xludf.DUMMYFUNCTION("""COMPUTED_VALUE"""),"")</f>
        <v/>
      </c>
      <c r="C15546" s="12" t="str">
        <f ca="1">IFERROR(__xludf.DUMMYFUNCTION("""COMPUTED_VALUE"""),"")</f>
        <v/>
      </c>
      <c r="D15546" s="12" t="str">
        <f ca="1">IFERROR(__xludf.DUMMYFUNCTION("""COMPUTED_VALUE"""),"")</f>
        <v/>
      </c>
    </row>
    <row r="15547" spans="2:4" ht="13">
      <c r="B15547" s="12" t="str">
        <f ca="1">IFERROR(__xludf.DUMMYFUNCTION("""COMPUTED_VALUE"""),"")</f>
        <v/>
      </c>
      <c r="C15547" s="12" t="str">
        <f ca="1">IFERROR(__xludf.DUMMYFUNCTION("""COMPUTED_VALUE"""),"")</f>
        <v/>
      </c>
      <c r="D15547" s="12" t="str">
        <f ca="1">IFERROR(__xludf.DUMMYFUNCTION("""COMPUTED_VALUE"""),"")</f>
        <v/>
      </c>
    </row>
    <row r="15548" spans="2:4" ht="13">
      <c r="B15548" s="12" t="str">
        <f ca="1">IFERROR(__xludf.DUMMYFUNCTION("""COMPUTED_VALUE"""),"")</f>
        <v/>
      </c>
      <c r="C15548" s="12" t="str">
        <f ca="1">IFERROR(__xludf.DUMMYFUNCTION("""COMPUTED_VALUE"""),"")</f>
        <v/>
      </c>
      <c r="D15548" s="12" t="str">
        <f ca="1">IFERROR(__xludf.DUMMYFUNCTION("""COMPUTED_VALUE"""),"")</f>
        <v/>
      </c>
    </row>
    <row r="15549" spans="2:4" ht="13">
      <c r="B15549" s="12" t="str">
        <f ca="1">IFERROR(__xludf.DUMMYFUNCTION("""COMPUTED_VALUE"""),"")</f>
        <v/>
      </c>
      <c r="C15549" s="12" t="str">
        <f ca="1">IFERROR(__xludf.DUMMYFUNCTION("""COMPUTED_VALUE"""),"")</f>
        <v/>
      </c>
      <c r="D15549" s="12" t="str">
        <f ca="1">IFERROR(__xludf.DUMMYFUNCTION("""COMPUTED_VALUE"""),"")</f>
        <v/>
      </c>
    </row>
    <row r="15550" spans="2:4" ht="13">
      <c r="B15550" s="12" t="str">
        <f ca="1">IFERROR(__xludf.DUMMYFUNCTION("""COMPUTED_VALUE"""),"")</f>
        <v/>
      </c>
      <c r="C15550" s="12" t="str">
        <f ca="1">IFERROR(__xludf.DUMMYFUNCTION("""COMPUTED_VALUE"""),"")</f>
        <v/>
      </c>
      <c r="D15550" s="12" t="str">
        <f ca="1">IFERROR(__xludf.DUMMYFUNCTION("""COMPUTED_VALUE"""),"")</f>
        <v/>
      </c>
    </row>
    <row r="15551" spans="2:4" ht="13">
      <c r="B15551" s="12" t="str">
        <f ca="1">IFERROR(__xludf.DUMMYFUNCTION("""COMPUTED_VALUE"""),"")</f>
        <v/>
      </c>
      <c r="C15551" s="12" t="str">
        <f ca="1">IFERROR(__xludf.DUMMYFUNCTION("""COMPUTED_VALUE"""),"")</f>
        <v/>
      </c>
      <c r="D15551" s="12" t="str">
        <f ca="1">IFERROR(__xludf.DUMMYFUNCTION("""COMPUTED_VALUE"""),"")</f>
        <v/>
      </c>
    </row>
    <row r="15552" spans="2:4" ht="13">
      <c r="B15552" s="12" t="str">
        <f ca="1">IFERROR(__xludf.DUMMYFUNCTION("""COMPUTED_VALUE"""),"")</f>
        <v/>
      </c>
      <c r="C15552" s="12" t="str">
        <f ca="1">IFERROR(__xludf.DUMMYFUNCTION("""COMPUTED_VALUE"""),"")</f>
        <v/>
      </c>
      <c r="D15552" s="12" t="str">
        <f ca="1">IFERROR(__xludf.DUMMYFUNCTION("""COMPUTED_VALUE"""),"")</f>
        <v/>
      </c>
    </row>
    <row r="15553" spans="2:4" ht="13">
      <c r="B15553" s="12" t="str">
        <f ca="1">IFERROR(__xludf.DUMMYFUNCTION("""COMPUTED_VALUE"""),"")</f>
        <v/>
      </c>
      <c r="C15553" s="12" t="str">
        <f ca="1">IFERROR(__xludf.DUMMYFUNCTION("""COMPUTED_VALUE"""),"")</f>
        <v/>
      </c>
      <c r="D15553" s="12" t="str">
        <f ca="1">IFERROR(__xludf.DUMMYFUNCTION("""COMPUTED_VALUE"""),"")</f>
        <v/>
      </c>
    </row>
    <row r="15554" spans="2:4" ht="13">
      <c r="B15554" s="12" t="str">
        <f ca="1">IFERROR(__xludf.DUMMYFUNCTION("""COMPUTED_VALUE"""),"")</f>
        <v/>
      </c>
      <c r="C15554" s="12" t="str">
        <f ca="1">IFERROR(__xludf.DUMMYFUNCTION("""COMPUTED_VALUE"""),"")</f>
        <v/>
      </c>
      <c r="D15554" s="12" t="str">
        <f ca="1">IFERROR(__xludf.DUMMYFUNCTION("""COMPUTED_VALUE"""),"")</f>
        <v/>
      </c>
    </row>
    <row r="15555" spans="2:4" ht="13">
      <c r="B15555" s="12" t="str">
        <f ca="1">IFERROR(__xludf.DUMMYFUNCTION("""COMPUTED_VALUE"""),"")</f>
        <v/>
      </c>
      <c r="C15555" s="12" t="str">
        <f ca="1">IFERROR(__xludf.DUMMYFUNCTION("""COMPUTED_VALUE"""),"")</f>
        <v/>
      </c>
      <c r="D15555" s="12" t="str">
        <f ca="1">IFERROR(__xludf.DUMMYFUNCTION("""COMPUTED_VALUE"""),"")</f>
        <v/>
      </c>
    </row>
    <row r="15556" spans="2:4" ht="13">
      <c r="B15556" s="12" t="str">
        <f ca="1">IFERROR(__xludf.DUMMYFUNCTION("""COMPUTED_VALUE"""),"")</f>
        <v/>
      </c>
      <c r="C15556" s="12" t="str">
        <f ca="1">IFERROR(__xludf.DUMMYFUNCTION("""COMPUTED_VALUE"""),"")</f>
        <v/>
      </c>
      <c r="D15556" s="12" t="str">
        <f ca="1">IFERROR(__xludf.DUMMYFUNCTION("""COMPUTED_VALUE"""),"")</f>
        <v/>
      </c>
    </row>
    <row r="15557" spans="2:4" ht="13">
      <c r="B15557" s="12" t="str">
        <f ca="1">IFERROR(__xludf.DUMMYFUNCTION("""COMPUTED_VALUE"""),"")</f>
        <v/>
      </c>
      <c r="C15557" s="12" t="str">
        <f ca="1">IFERROR(__xludf.DUMMYFUNCTION("""COMPUTED_VALUE"""),"")</f>
        <v/>
      </c>
      <c r="D15557" s="12" t="str">
        <f ca="1">IFERROR(__xludf.DUMMYFUNCTION("""COMPUTED_VALUE"""),"")</f>
        <v/>
      </c>
    </row>
    <row r="15558" spans="2:4" ht="13">
      <c r="B15558" s="12" t="str">
        <f ca="1">IFERROR(__xludf.DUMMYFUNCTION("""COMPUTED_VALUE"""),"")</f>
        <v/>
      </c>
      <c r="C15558" s="12" t="str">
        <f ca="1">IFERROR(__xludf.DUMMYFUNCTION("""COMPUTED_VALUE"""),"")</f>
        <v/>
      </c>
      <c r="D15558" s="12" t="str">
        <f ca="1">IFERROR(__xludf.DUMMYFUNCTION("""COMPUTED_VALUE"""),"")</f>
        <v/>
      </c>
    </row>
    <row r="15559" spans="2:4" ht="13">
      <c r="B15559" s="12" t="str">
        <f ca="1">IFERROR(__xludf.DUMMYFUNCTION("""COMPUTED_VALUE"""),"")</f>
        <v/>
      </c>
      <c r="C15559" s="12" t="str">
        <f ca="1">IFERROR(__xludf.DUMMYFUNCTION("""COMPUTED_VALUE"""),"")</f>
        <v/>
      </c>
      <c r="D15559" s="12" t="str">
        <f ca="1">IFERROR(__xludf.DUMMYFUNCTION("""COMPUTED_VALUE"""),"")</f>
        <v/>
      </c>
    </row>
    <row r="15560" spans="2:4" ht="13">
      <c r="B15560" s="12" t="str">
        <f ca="1">IFERROR(__xludf.DUMMYFUNCTION("""COMPUTED_VALUE"""),"")</f>
        <v/>
      </c>
      <c r="C15560" s="12" t="str">
        <f ca="1">IFERROR(__xludf.DUMMYFUNCTION("""COMPUTED_VALUE"""),"")</f>
        <v/>
      </c>
      <c r="D15560" s="12" t="str">
        <f ca="1">IFERROR(__xludf.DUMMYFUNCTION("""COMPUTED_VALUE"""),"")</f>
        <v/>
      </c>
    </row>
    <row r="15561" spans="2:4" ht="13">
      <c r="B15561" s="12" t="str">
        <f ca="1">IFERROR(__xludf.DUMMYFUNCTION("""COMPUTED_VALUE"""),"")</f>
        <v/>
      </c>
      <c r="C15561" s="12" t="str">
        <f ca="1">IFERROR(__xludf.DUMMYFUNCTION("""COMPUTED_VALUE"""),"")</f>
        <v/>
      </c>
      <c r="D15561" s="12" t="str">
        <f ca="1">IFERROR(__xludf.DUMMYFUNCTION("""COMPUTED_VALUE"""),"")</f>
        <v/>
      </c>
    </row>
    <row r="15562" spans="2:4" ht="13">
      <c r="B15562" s="12" t="str">
        <f ca="1">IFERROR(__xludf.DUMMYFUNCTION("""COMPUTED_VALUE"""),"")</f>
        <v/>
      </c>
      <c r="C15562" s="12" t="str">
        <f ca="1">IFERROR(__xludf.DUMMYFUNCTION("""COMPUTED_VALUE"""),"")</f>
        <v/>
      </c>
      <c r="D15562" s="12" t="str">
        <f ca="1">IFERROR(__xludf.DUMMYFUNCTION("""COMPUTED_VALUE"""),"")</f>
        <v/>
      </c>
    </row>
    <row r="15563" spans="2:4" ht="13">
      <c r="B15563" s="12" t="str">
        <f ca="1">IFERROR(__xludf.DUMMYFUNCTION("""COMPUTED_VALUE"""),"")</f>
        <v/>
      </c>
      <c r="C15563" s="12" t="str">
        <f ca="1">IFERROR(__xludf.DUMMYFUNCTION("""COMPUTED_VALUE"""),"")</f>
        <v/>
      </c>
      <c r="D15563" s="12" t="str">
        <f ca="1">IFERROR(__xludf.DUMMYFUNCTION("""COMPUTED_VALUE"""),"")</f>
        <v/>
      </c>
    </row>
    <row r="15564" spans="2:4" ht="13">
      <c r="B15564" s="12" t="str">
        <f ca="1">IFERROR(__xludf.DUMMYFUNCTION("""COMPUTED_VALUE"""),"")</f>
        <v/>
      </c>
      <c r="C15564" s="12" t="str">
        <f ca="1">IFERROR(__xludf.DUMMYFUNCTION("""COMPUTED_VALUE"""),"")</f>
        <v/>
      </c>
      <c r="D15564" s="12" t="str">
        <f ca="1">IFERROR(__xludf.DUMMYFUNCTION("""COMPUTED_VALUE"""),"")</f>
        <v/>
      </c>
    </row>
    <row r="15565" spans="2:4" ht="13">
      <c r="B15565" s="12" t="str">
        <f ca="1">IFERROR(__xludf.DUMMYFUNCTION("""COMPUTED_VALUE"""),"")</f>
        <v/>
      </c>
      <c r="C15565" s="12" t="str">
        <f ca="1">IFERROR(__xludf.DUMMYFUNCTION("""COMPUTED_VALUE"""),"")</f>
        <v/>
      </c>
      <c r="D15565" s="12" t="str">
        <f ca="1">IFERROR(__xludf.DUMMYFUNCTION("""COMPUTED_VALUE"""),"")</f>
        <v/>
      </c>
    </row>
    <row r="15566" spans="2:4" ht="13">
      <c r="B15566" s="12" t="str">
        <f ca="1">IFERROR(__xludf.DUMMYFUNCTION("""COMPUTED_VALUE"""),"")</f>
        <v/>
      </c>
      <c r="C15566" s="12" t="str">
        <f ca="1">IFERROR(__xludf.DUMMYFUNCTION("""COMPUTED_VALUE"""),"")</f>
        <v/>
      </c>
      <c r="D15566" s="12" t="str">
        <f ca="1">IFERROR(__xludf.DUMMYFUNCTION("""COMPUTED_VALUE"""),"")</f>
        <v/>
      </c>
    </row>
    <row r="15567" spans="2:4" ht="13">
      <c r="B15567" s="12" t="str">
        <f ca="1">IFERROR(__xludf.DUMMYFUNCTION("""COMPUTED_VALUE"""),"")</f>
        <v/>
      </c>
      <c r="C15567" s="12" t="str">
        <f ca="1">IFERROR(__xludf.DUMMYFUNCTION("""COMPUTED_VALUE"""),"")</f>
        <v/>
      </c>
      <c r="D15567" s="12" t="str">
        <f ca="1">IFERROR(__xludf.DUMMYFUNCTION("""COMPUTED_VALUE"""),"")</f>
        <v/>
      </c>
    </row>
    <row r="15568" spans="2:4" ht="13">
      <c r="B15568" s="12" t="str">
        <f ca="1">IFERROR(__xludf.DUMMYFUNCTION("""COMPUTED_VALUE"""),"")</f>
        <v/>
      </c>
      <c r="C15568" s="12" t="str">
        <f ca="1">IFERROR(__xludf.DUMMYFUNCTION("""COMPUTED_VALUE"""),"")</f>
        <v/>
      </c>
      <c r="D15568" s="12" t="str">
        <f ca="1">IFERROR(__xludf.DUMMYFUNCTION("""COMPUTED_VALUE"""),"")</f>
        <v/>
      </c>
    </row>
    <row r="15569" spans="2:4" ht="13">
      <c r="B15569" s="12" t="str">
        <f ca="1">IFERROR(__xludf.DUMMYFUNCTION("""COMPUTED_VALUE"""),"")</f>
        <v/>
      </c>
      <c r="C15569" s="12" t="str">
        <f ca="1">IFERROR(__xludf.DUMMYFUNCTION("""COMPUTED_VALUE"""),"")</f>
        <v/>
      </c>
      <c r="D15569" s="12" t="str">
        <f ca="1">IFERROR(__xludf.DUMMYFUNCTION("""COMPUTED_VALUE"""),"")</f>
        <v/>
      </c>
    </row>
    <row r="15570" spans="2:4" ht="13">
      <c r="B15570" s="12" t="str">
        <f ca="1">IFERROR(__xludf.DUMMYFUNCTION("""COMPUTED_VALUE"""),"")</f>
        <v/>
      </c>
      <c r="C15570" s="12" t="str">
        <f ca="1">IFERROR(__xludf.DUMMYFUNCTION("""COMPUTED_VALUE"""),"")</f>
        <v/>
      </c>
      <c r="D15570" s="12" t="str">
        <f ca="1">IFERROR(__xludf.DUMMYFUNCTION("""COMPUTED_VALUE"""),"")</f>
        <v/>
      </c>
    </row>
    <row r="15571" spans="2:4" ht="13">
      <c r="B15571" s="12" t="str">
        <f ca="1">IFERROR(__xludf.DUMMYFUNCTION("""COMPUTED_VALUE"""),"")</f>
        <v/>
      </c>
      <c r="C15571" s="12" t="str">
        <f ca="1">IFERROR(__xludf.DUMMYFUNCTION("""COMPUTED_VALUE"""),"")</f>
        <v/>
      </c>
      <c r="D15571" s="12" t="str">
        <f ca="1">IFERROR(__xludf.DUMMYFUNCTION("""COMPUTED_VALUE"""),"")</f>
        <v/>
      </c>
    </row>
    <row r="15572" spans="2:4" ht="13">
      <c r="B15572" s="12" t="str">
        <f ca="1">IFERROR(__xludf.DUMMYFUNCTION("""COMPUTED_VALUE"""),"")</f>
        <v/>
      </c>
      <c r="C15572" s="12" t="str">
        <f ca="1">IFERROR(__xludf.DUMMYFUNCTION("""COMPUTED_VALUE"""),"")</f>
        <v/>
      </c>
      <c r="D15572" s="12" t="str">
        <f ca="1">IFERROR(__xludf.DUMMYFUNCTION("""COMPUTED_VALUE"""),"")</f>
        <v/>
      </c>
    </row>
    <row r="15573" spans="2:4" ht="13">
      <c r="B15573" s="12" t="str">
        <f ca="1">IFERROR(__xludf.DUMMYFUNCTION("""COMPUTED_VALUE"""),"")</f>
        <v/>
      </c>
      <c r="C15573" s="12" t="str">
        <f ca="1">IFERROR(__xludf.DUMMYFUNCTION("""COMPUTED_VALUE"""),"")</f>
        <v/>
      </c>
      <c r="D15573" s="12" t="str">
        <f ca="1">IFERROR(__xludf.DUMMYFUNCTION("""COMPUTED_VALUE"""),"")</f>
        <v/>
      </c>
    </row>
    <row r="15574" spans="2:4" ht="13">
      <c r="B15574" s="12" t="str">
        <f ca="1">IFERROR(__xludf.DUMMYFUNCTION("""COMPUTED_VALUE"""),"")</f>
        <v/>
      </c>
      <c r="C15574" s="12" t="str">
        <f ca="1">IFERROR(__xludf.DUMMYFUNCTION("""COMPUTED_VALUE"""),"")</f>
        <v/>
      </c>
      <c r="D15574" s="12" t="str">
        <f ca="1">IFERROR(__xludf.DUMMYFUNCTION("""COMPUTED_VALUE"""),"")</f>
        <v/>
      </c>
    </row>
    <row r="15575" spans="2:4" ht="13">
      <c r="B15575" s="12" t="str">
        <f ca="1">IFERROR(__xludf.DUMMYFUNCTION("""COMPUTED_VALUE"""),"")</f>
        <v/>
      </c>
      <c r="C15575" s="12" t="str">
        <f ca="1">IFERROR(__xludf.DUMMYFUNCTION("""COMPUTED_VALUE"""),"")</f>
        <v/>
      </c>
      <c r="D15575" s="12" t="str">
        <f ca="1">IFERROR(__xludf.DUMMYFUNCTION("""COMPUTED_VALUE"""),"")</f>
        <v/>
      </c>
    </row>
    <row r="15576" spans="2:4" ht="13">
      <c r="B15576" s="12" t="str">
        <f ca="1">IFERROR(__xludf.DUMMYFUNCTION("""COMPUTED_VALUE"""),"")</f>
        <v/>
      </c>
      <c r="C15576" s="12" t="str">
        <f ca="1">IFERROR(__xludf.DUMMYFUNCTION("""COMPUTED_VALUE"""),"")</f>
        <v/>
      </c>
      <c r="D15576" s="12" t="str">
        <f ca="1">IFERROR(__xludf.DUMMYFUNCTION("""COMPUTED_VALUE"""),"")</f>
        <v/>
      </c>
    </row>
    <row r="15577" spans="2:4" ht="13">
      <c r="B15577" s="12" t="str">
        <f ca="1">IFERROR(__xludf.DUMMYFUNCTION("""COMPUTED_VALUE"""),"")</f>
        <v/>
      </c>
      <c r="C15577" s="12" t="str">
        <f ca="1">IFERROR(__xludf.DUMMYFUNCTION("""COMPUTED_VALUE"""),"")</f>
        <v/>
      </c>
      <c r="D15577" s="12" t="str">
        <f ca="1">IFERROR(__xludf.DUMMYFUNCTION("""COMPUTED_VALUE"""),"")</f>
        <v/>
      </c>
    </row>
    <row r="15578" spans="2:4" ht="13">
      <c r="B15578" s="12" t="str">
        <f ca="1">IFERROR(__xludf.DUMMYFUNCTION("""COMPUTED_VALUE"""),"")</f>
        <v/>
      </c>
      <c r="C15578" s="12" t="str">
        <f ca="1">IFERROR(__xludf.DUMMYFUNCTION("""COMPUTED_VALUE"""),"")</f>
        <v/>
      </c>
      <c r="D15578" s="12" t="str">
        <f ca="1">IFERROR(__xludf.DUMMYFUNCTION("""COMPUTED_VALUE"""),"")</f>
        <v/>
      </c>
    </row>
    <row r="15579" spans="2:4" ht="13">
      <c r="B15579" s="12" t="str">
        <f ca="1">IFERROR(__xludf.DUMMYFUNCTION("""COMPUTED_VALUE"""),"")</f>
        <v/>
      </c>
      <c r="C15579" s="12" t="str">
        <f ca="1">IFERROR(__xludf.DUMMYFUNCTION("""COMPUTED_VALUE"""),"")</f>
        <v/>
      </c>
      <c r="D15579" s="12" t="str">
        <f ca="1">IFERROR(__xludf.DUMMYFUNCTION("""COMPUTED_VALUE"""),"")</f>
        <v/>
      </c>
    </row>
    <row r="15580" spans="2:4" ht="13">
      <c r="B15580" s="12" t="str">
        <f ca="1">IFERROR(__xludf.DUMMYFUNCTION("""COMPUTED_VALUE"""),"")</f>
        <v/>
      </c>
      <c r="C15580" s="12" t="str">
        <f ca="1">IFERROR(__xludf.DUMMYFUNCTION("""COMPUTED_VALUE"""),"")</f>
        <v/>
      </c>
      <c r="D15580" s="12" t="str">
        <f ca="1">IFERROR(__xludf.DUMMYFUNCTION("""COMPUTED_VALUE"""),"")</f>
        <v/>
      </c>
    </row>
    <row r="15581" spans="2:4" ht="13">
      <c r="B15581" s="12" t="str">
        <f ca="1">IFERROR(__xludf.DUMMYFUNCTION("""COMPUTED_VALUE"""),"")</f>
        <v/>
      </c>
      <c r="C15581" s="12" t="str">
        <f ca="1">IFERROR(__xludf.DUMMYFUNCTION("""COMPUTED_VALUE"""),"")</f>
        <v/>
      </c>
      <c r="D15581" s="12" t="str">
        <f ca="1">IFERROR(__xludf.DUMMYFUNCTION("""COMPUTED_VALUE"""),"")</f>
        <v/>
      </c>
    </row>
    <row r="15582" spans="2:4" ht="13">
      <c r="B15582" s="12" t="str">
        <f ca="1">IFERROR(__xludf.DUMMYFUNCTION("""COMPUTED_VALUE"""),"")</f>
        <v/>
      </c>
      <c r="C15582" s="12" t="str">
        <f ca="1">IFERROR(__xludf.DUMMYFUNCTION("""COMPUTED_VALUE"""),"")</f>
        <v/>
      </c>
      <c r="D15582" s="12" t="str">
        <f ca="1">IFERROR(__xludf.DUMMYFUNCTION("""COMPUTED_VALUE"""),"")</f>
        <v/>
      </c>
    </row>
    <row r="15583" spans="2:4" ht="13">
      <c r="B15583" s="12" t="str">
        <f ca="1">IFERROR(__xludf.DUMMYFUNCTION("""COMPUTED_VALUE"""),"")</f>
        <v/>
      </c>
      <c r="C15583" s="12" t="str">
        <f ca="1">IFERROR(__xludf.DUMMYFUNCTION("""COMPUTED_VALUE"""),"")</f>
        <v/>
      </c>
      <c r="D15583" s="12" t="str">
        <f ca="1">IFERROR(__xludf.DUMMYFUNCTION("""COMPUTED_VALUE"""),"")</f>
        <v/>
      </c>
    </row>
    <row r="15584" spans="2:4" ht="13">
      <c r="B15584" s="12" t="str">
        <f ca="1">IFERROR(__xludf.DUMMYFUNCTION("""COMPUTED_VALUE"""),"")</f>
        <v/>
      </c>
      <c r="C15584" s="12" t="str">
        <f ca="1">IFERROR(__xludf.DUMMYFUNCTION("""COMPUTED_VALUE"""),"")</f>
        <v/>
      </c>
      <c r="D15584" s="12" t="str">
        <f ca="1">IFERROR(__xludf.DUMMYFUNCTION("""COMPUTED_VALUE"""),"")</f>
        <v/>
      </c>
    </row>
    <row r="15585" spans="2:4" ht="13">
      <c r="B15585" s="12" t="str">
        <f ca="1">IFERROR(__xludf.DUMMYFUNCTION("""COMPUTED_VALUE"""),"")</f>
        <v/>
      </c>
      <c r="C15585" s="12" t="str">
        <f ca="1">IFERROR(__xludf.DUMMYFUNCTION("""COMPUTED_VALUE"""),"")</f>
        <v/>
      </c>
      <c r="D15585" s="12" t="str">
        <f ca="1">IFERROR(__xludf.DUMMYFUNCTION("""COMPUTED_VALUE"""),"")</f>
        <v/>
      </c>
    </row>
    <row r="15586" spans="2:4" ht="13">
      <c r="B15586" s="12" t="str">
        <f ca="1">IFERROR(__xludf.DUMMYFUNCTION("""COMPUTED_VALUE"""),"")</f>
        <v/>
      </c>
      <c r="C15586" s="12" t="str">
        <f ca="1">IFERROR(__xludf.DUMMYFUNCTION("""COMPUTED_VALUE"""),"")</f>
        <v/>
      </c>
      <c r="D15586" s="12" t="str">
        <f ca="1">IFERROR(__xludf.DUMMYFUNCTION("""COMPUTED_VALUE"""),"")</f>
        <v/>
      </c>
    </row>
    <row r="15587" spans="2:4" ht="13">
      <c r="B15587" s="12" t="str">
        <f ca="1">IFERROR(__xludf.DUMMYFUNCTION("""COMPUTED_VALUE"""),"")</f>
        <v/>
      </c>
      <c r="C15587" s="12" t="str">
        <f ca="1">IFERROR(__xludf.DUMMYFUNCTION("""COMPUTED_VALUE"""),"")</f>
        <v/>
      </c>
      <c r="D15587" s="12" t="str">
        <f ca="1">IFERROR(__xludf.DUMMYFUNCTION("""COMPUTED_VALUE"""),"")</f>
        <v/>
      </c>
    </row>
    <row r="15588" spans="2:4" ht="13">
      <c r="B15588" s="12" t="str">
        <f ca="1">IFERROR(__xludf.DUMMYFUNCTION("""COMPUTED_VALUE"""),"")</f>
        <v/>
      </c>
      <c r="C15588" s="12" t="str">
        <f ca="1">IFERROR(__xludf.DUMMYFUNCTION("""COMPUTED_VALUE"""),"")</f>
        <v/>
      </c>
      <c r="D15588" s="12" t="str">
        <f ca="1">IFERROR(__xludf.DUMMYFUNCTION("""COMPUTED_VALUE"""),"")</f>
        <v/>
      </c>
    </row>
    <row r="15589" spans="2:4" ht="13">
      <c r="B15589" s="12" t="str">
        <f ca="1">IFERROR(__xludf.DUMMYFUNCTION("""COMPUTED_VALUE"""),"")</f>
        <v/>
      </c>
      <c r="C15589" s="12" t="str">
        <f ca="1">IFERROR(__xludf.DUMMYFUNCTION("""COMPUTED_VALUE"""),"")</f>
        <v/>
      </c>
      <c r="D15589" s="12" t="str">
        <f ca="1">IFERROR(__xludf.DUMMYFUNCTION("""COMPUTED_VALUE"""),"")</f>
        <v/>
      </c>
    </row>
    <row r="15590" spans="2:4" ht="13">
      <c r="B15590" s="12" t="str">
        <f ca="1">IFERROR(__xludf.DUMMYFUNCTION("""COMPUTED_VALUE"""),"")</f>
        <v/>
      </c>
      <c r="C15590" s="12" t="str">
        <f ca="1">IFERROR(__xludf.DUMMYFUNCTION("""COMPUTED_VALUE"""),"")</f>
        <v/>
      </c>
      <c r="D15590" s="12" t="str">
        <f ca="1">IFERROR(__xludf.DUMMYFUNCTION("""COMPUTED_VALUE"""),"")</f>
        <v/>
      </c>
    </row>
    <row r="15591" spans="2:4" ht="13">
      <c r="B15591" s="12" t="str">
        <f ca="1">IFERROR(__xludf.DUMMYFUNCTION("""COMPUTED_VALUE"""),"")</f>
        <v/>
      </c>
      <c r="C15591" s="12" t="str">
        <f ca="1">IFERROR(__xludf.DUMMYFUNCTION("""COMPUTED_VALUE"""),"")</f>
        <v/>
      </c>
      <c r="D15591" s="12" t="str">
        <f ca="1">IFERROR(__xludf.DUMMYFUNCTION("""COMPUTED_VALUE"""),"")</f>
        <v/>
      </c>
    </row>
    <row r="15592" spans="2:4" ht="13">
      <c r="B15592" s="12" t="str">
        <f ca="1">IFERROR(__xludf.DUMMYFUNCTION("""COMPUTED_VALUE"""),"")</f>
        <v/>
      </c>
      <c r="C15592" s="12" t="str">
        <f ca="1">IFERROR(__xludf.DUMMYFUNCTION("""COMPUTED_VALUE"""),"")</f>
        <v/>
      </c>
      <c r="D15592" s="12" t="str">
        <f ca="1">IFERROR(__xludf.DUMMYFUNCTION("""COMPUTED_VALUE"""),"")</f>
        <v/>
      </c>
    </row>
    <row r="15593" spans="2:4" ht="13">
      <c r="B15593" s="12" t="str">
        <f ca="1">IFERROR(__xludf.DUMMYFUNCTION("""COMPUTED_VALUE"""),"")</f>
        <v/>
      </c>
      <c r="C15593" s="12" t="str">
        <f ca="1">IFERROR(__xludf.DUMMYFUNCTION("""COMPUTED_VALUE"""),"")</f>
        <v/>
      </c>
      <c r="D15593" s="12" t="str">
        <f ca="1">IFERROR(__xludf.DUMMYFUNCTION("""COMPUTED_VALUE"""),"")</f>
        <v/>
      </c>
    </row>
    <row r="15594" spans="2:4" ht="13">
      <c r="B15594" s="12" t="str">
        <f ca="1">IFERROR(__xludf.DUMMYFUNCTION("""COMPUTED_VALUE"""),"")</f>
        <v/>
      </c>
      <c r="C15594" s="12" t="str">
        <f ca="1">IFERROR(__xludf.DUMMYFUNCTION("""COMPUTED_VALUE"""),"")</f>
        <v/>
      </c>
      <c r="D15594" s="12" t="str">
        <f ca="1">IFERROR(__xludf.DUMMYFUNCTION("""COMPUTED_VALUE"""),"")</f>
        <v/>
      </c>
    </row>
    <row r="15595" spans="2:4" ht="13">
      <c r="B15595" s="12" t="str">
        <f ca="1">IFERROR(__xludf.DUMMYFUNCTION("""COMPUTED_VALUE"""),"")</f>
        <v/>
      </c>
      <c r="C15595" s="12" t="str">
        <f ca="1">IFERROR(__xludf.DUMMYFUNCTION("""COMPUTED_VALUE"""),"")</f>
        <v/>
      </c>
      <c r="D15595" s="12" t="str">
        <f ca="1">IFERROR(__xludf.DUMMYFUNCTION("""COMPUTED_VALUE"""),"")</f>
        <v/>
      </c>
    </row>
    <row r="15596" spans="2:4" ht="13">
      <c r="B15596" s="12" t="str">
        <f ca="1">IFERROR(__xludf.DUMMYFUNCTION("""COMPUTED_VALUE"""),"")</f>
        <v/>
      </c>
      <c r="C15596" s="12" t="str">
        <f ca="1">IFERROR(__xludf.DUMMYFUNCTION("""COMPUTED_VALUE"""),"")</f>
        <v/>
      </c>
      <c r="D15596" s="12" t="str">
        <f ca="1">IFERROR(__xludf.DUMMYFUNCTION("""COMPUTED_VALUE"""),"")</f>
        <v/>
      </c>
    </row>
    <row r="15597" spans="2:4" ht="13">
      <c r="B15597" s="12" t="str">
        <f ca="1">IFERROR(__xludf.DUMMYFUNCTION("""COMPUTED_VALUE"""),"")</f>
        <v/>
      </c>
      <c r="C15597" s="12" t="str">
        <f ca="1">IFERROR(__xludf.DUMMYFUNCTION("""COMPUTED_VALUE"""),"")</f>
        <v/>
      </c>
      <c r="D15597" s="12" t="str">
        <f ca="1">IFERROR(__xludf.DUMMYFUNCTION("""COMPUTED_VALUE"""),"")</f>
        <v/>
      </c>
    </row>
    <row r="15598" spans="2:4" ht="13">
      <c r="B15598" s="12" t="str">
        <f ca="1">IFERROR(__xludf.DUMMYFUNCTION("""COMPUTED_VALUE"""),"")</f>
        <v/>
      </c>
      <c r="C15598" s="12" t="str">
        <f ca="1">IFERROR(__xludf.DUMMYFUNCTION("""COMPUTED_VALUE"""),"")</f>
        <v/>
      </c>
      <c r="D15598" s="12" t="str">
        <f ca="1">IFERROR(__xludf.DUMMYFUNCTION("""COMPUTED_VALUE"""),"")</f>
        <v/>
      </c>
    </row>
    <row r="15599" spans="2:4" ht="13">
      <c r="B15599" s="12" t="str">
        <f ca="1">IFERROR(__xludf.DUMMYFUNCTION("""COMPUTED_VALUE"""),"")</f>
        <v/>
      </c>
      <c r="C15599" s="12" t="str">
        <f ca="1">IFERROR(__xludf.DUMMYFUNCTION("""COMPUTED_VALUE"""),"")</f>
        <v/>
      </c>
      <c r="D15599" s="12" t="str">
        <f ca="1">IFERROR(__xludf.DUMMYFUNCTION("""COMPUTED_VALUE"""),"")</f>
        <v/>
      </c>
    </row>
    <row r="15600" spans="2:4" ht="13">
      <c r="B15600" s="12" t="str">
        <f ca="1">IFERROR(__xludf.DUMMYFUNCTION("""COMPUTED_VALUE"""),"")</f>
        <v/>
      </c>
      <c r="C15600" s="12" t="str">
        <f ca="1">IFERROR(__xludf.DUMMYFUNCTION("""COMPUTED_VALUE"""),"")</f>
        <v/>
      </c>
      <c r="D15600" s="12" t="str">
        <f ca="1">IFERROR(__xludf.DUMMYFUNCTION("""COMPUTED_VALUE"""),"")</f>
        <v/>
      </c>
    </row>
    <row r="15601" spans="2:4" ht="13">
      <c r="B15601" s="12" t="str">
        <f ca="1">IFERROR(__xludf.DUMMYFUNCTION("""COMPUTED_VALUE"""),"")</f>
        <v/>
      </c>
      <c r="C15601" s="12" t="str">
        <f ca="1">IFERROR(__xludf.DUMMYFUNCTION("""COMPUTED_VALUE"""),"")</f>
        <v/>
      </c>
      <c r="D15601" s="12" t="str">
        <f ca="1">IFERROR(__xludf.DUMMYFUNCTION("""COMPUTED_VALUE"""),"")</f>
        <v/>
      </c>
    </row>
    <row r="15602" spans="2:4" ht="13">
      <c r="B15602" s="12" t="str">
        <f ca="1">IFERROR(__xludf.DUMMYFUNCTION("""COMPUTED_VALUE"""),"")</f>
        <v/>
      </c>
      <c r="C15602" s="12" t="str">
        <f ca="1">IFERROR(__xludf.DUMMYFUNCTION("""COMPUTED_VALUE"""),"")</f>
        <v/>
      </c>
      <c r="D15602" s="12" t="str">
        <f ca="1">IFERROR(__xludf.DUMMYFUNCTION("""COMPUTED_VALUE"""),"")</f>
        <v/>
      </c>
    </row>
    <row r="15603" spans="2:4" ht="13">
      <c r="B15603" s="12" t="str">
        <f ca="1">IFERROR(__xludf.DUMMYFUNCTION("""COMPUTED_VALUE"""),"")</f>
        <v/>
      </c>
      <c r="C15603" s="12" t="str">
        <f ca="1">IFERROR(__xludf.DUMMYFUNCTION("""COMPUTED_VALUE"""),"")</f>
        <v/>
      </c>
      <c r="D15603" s="12" t="str">
        <f ca="1">IFERROR(__xludf.DUMMYFUNCTION("""COMPUTED_VALUE"""),"")</f>
        <v/>
      </c>
    </row>
    <row r="15604" spans="2:4" ht="13">
      <c r="B15604" s="12" t="str">
        <f ca="1">IFERROR(__xludf.DUMMYFUNCTION("""COMPUTED_VALUE"""),"")</f>
        <v/>
      </c>
      <c r="C15604" s="12" t="str">
        <f ca="1">IFERROR(__xludf.DUMMYFUNCTION("""COMPUTED_VALUE"""),"")</f>
        <v/>
      </c>
      <c r="D15604" s="12" t="str">
        <f ca="1">IFERROR(__xludf.DUMMYFUNCTION("""COMPUTED_VALUE"""),"")</f>
        <v/>
      </c>
    </row>
    <row r="15605" spans="2:4" ht="13">
      <c r="B15605" s="12" t="str">
        <f ca="1">IFERROR(__xludf.DUMMYFUNCTION("""COMPUTED_VALUE"""),"")</f>
        <v/>
      </c>
      <c r="C15605" s="12" t="str">
        <f ca="1">IFERROR(__xludf.DUMMYFUNCTION("""COMPUTED_VALUE"""),"")</f>
        <v/>
      </c>
      <c r="D15605" s="12" t="str">
        <f ca="1">IFERROR(__xludf.DUMMYFUNCTION("""COMPUTED_VALUE"""),"")</f>
        <v/>
      </c>
    </row>
    <row r="15606" spans="2:4" ht="13">
      <c r="B15606" s="12" t="str">
        <f ca="1">IFERROR(__xludf.DUMMYFUNCTION("""COMPUTED_VALUE"""),"")</f>
        <v/>
      </c>
      <c r="C15606" s="12" t="str">
        <f ca="1">IFERROR(__xludf.DUMMYFUNCTION("""COMPUTED_VALUE"""),"")</f>
        <v/>
      </c>
      <c r="D15606" s="12" t="str">
        <f ca="1">IFERROR(__xludf.DUMMYFUNCTION("""COMPUTED_VALUE"""),"")</f>
        <v/>
      </c>
    </row>
    <row r="15607" spans="2:4" ht="13">
      <c r="B15607" s="12" t="str">
        <f ca="1">IFERROR(__xludf.DUMMYFUNCTION("""COMPUTED_VALUE"""),"")</f>
        <v/>
      </c>
      <c r="C15607" s="12" t="str">
        <f ca="1">IFERROR(__xludf.DUMMYFUNCTION("""COMPUTED_VALUE"""),"")</f>
        <v/>
      </c>
      <c r="D15607" s="12" t="str">
        <f ca="1">IFERROR(__xludf.DUMMYFUNCTION("""COMPUTED_VALUE"""),"")</f>
        <v/>
      </c>
    </row>
    <row r="15608" spans="2:4" ht="13">
      <c r="B15608" s="12" t="str">
        <f ca="1">IFERROR(__xludf.DUMMYFUNCTION("""COMPUTED_VALUE"""),"")</f>
        <v/>
      </c>
      <c r="C15608" s="12" t="str">
        <f ca="1">IFERROR(__xludf.DUMMYFUNCTION("""COMPUTED_VALUE"""),"")</f>
        <v/>
      </c>
      <c r="D15608" s="12" t="str">
        <f ca="1">IFERROR(__xludf.DUMMYFUNCTION("""COMPUTED_VALUE"""),"")</f>
        <v/>
      </c>
    </row>
    <row r="15609" spans="2:4" ht="13">
      <c r="B15609" s="12" t="str">
        <f ca="1">IFERROR(__xludf.DUMMYFUNCTION("""COMPUTED_VALUE"""),"")</f>
        <v/>
      </c>
      <c r="C15609" s="12" t="str">
        <f ca="1">IFERROR(__xludf.DUMMYFUNCTION("""COMPUTED_VALUE"""),"")</f>
        <v/>
      </c>
      <c r="D15609" s="12" t="str">
        <f ca="1">IFERROR(__xludf.DUMMYFUNCTION("""COMPUTED_VALUE"""),"")</f>
        <v/>
      </c>
    </row>
    <row r="15610" spans="2:4" ht="13">
      <c r="B15610" s="12" t="str">
        <f ca="1">IFERROR(__xludf.DUMMYFUNCTION("""COMPUTED_VALUE"""),"")</f>
        <v/>
      </c>
      <c r="C15610" s="12" t="str">
        <f ca="1">IFERROR(__xludf.DUMMYFUNCTION("""COMPUTED_VALUE"""),"")</f>
        <v/>
      </c>
      <c r="D15610" s="12" t="str">
        <f ca="1">IFERROR(__xludf.DUMMYFUNCTION("""COMPUTED_VALUE"""),"")</f>
        <v/>
      </c>
    </row>
    <row r="15611" spans="2:4" ht="13">
      <c r="B15611" s="12" t="str">
        <f ca="1">IFERROR(__xludf.DUMMYFUNCTION("""COMPUTED_VALUE"""),"")</f>
        <v/>
      </c>
      <c r="C15611" s="12" t="str">
        <f ca="1">IFERROR(__xludf.DUMMYFUNCTION("""COMPUTED_VALUE"""),"")</f>
        <v/>
      </c>
      <c r="D15611" s="12" t="str">
        <f ca="1">IFERROR(__xludf.DUMMYFUNCTION("""COMPUTED_VALUE"""),"")</f>
        <v/>
      </c>
    </row>
    <row r="15612" spans="2:4" ht="13">
      <c r="B15612" s="12" t="str">
        <f ca="1">IFERROR(__xludf.DUMMYFUNCTION("""COMPUTED_VALUE"""),"")</f>
        <v/>
      </c>
      <c r="C15612" s="12" t="str">
        <f ca="1">IFERROR(__xludf.DUMMYFUNCTION("""COMPUTED_VALUE"""),"")</f>
        <v/>
      </c>
      <c r="D15612" s="12" t="str">
        <f ca="1">IFERROR(__xludf.DUMMYFUNCTION("""COMPUTED_VALUE"""),"")</f>
        <v/>
      </c>
    </row>
    <row r="15613" spans="2:4" ht="13">
      <c r="B15613" s="12" t="str">
        <f ca="1">IFERROR(__xludf.DUMMYFUNCTION("""COMPUTED_VALUE"""),"")</f>
        <v/>
      </c>
      <c r="C15613" s="12" t="str">
        <f ca="1">IFERROR(__xludf.DUMMYFUNCTION("""COMPUTED_VALUE"""),"")</f>
        <v/>
      </c>
      <c r="D15613" s="12" t="str">
        <f ca="1">IFERROR(__xludf.DUMMYFUNCTION("""COMPUTED_VALUE"""),"")</f>
        <v/>
      </c>
    </row>
    <row r="15614" spans="2:4" ht="13">
      <c r="B15614" s="12" t="str">
        <f ca="1">IFERROR(__xludf.DUMMYFUNCTION("""COMPUTED_VALUE"""),"")</f>
        <v/>
      </c>
      <c r="C15614" s="12" t="str">
        <f ca="1">IFERROR(__xludf.DUMMYFUNCTION("""COMPUTED_VALUE"""),"")</f>
        <v/>
      </c>
      <c r="D15614" s="12" t="str">
        <f ca="1">IFERROR(__xludf.DUMMYFUNCTION("""COMPUTED_VALUE"""),"")</f>
        <v/>
      </c>
    </row>
    <row r="15615" spans="2:4" ht="13">
      <c r="B15615" s="12" t="str">
        <f ca="1">IFERROR(__xludf.DUMMYFUNCTION("""COMPUTED_VALUE"""),"")</f>
        <v/>
      </c>
      <c r="C15615" s="12" t="str">
        <f ca="1">IFERROR(__xludf.DUMMYFUNCTION("""COMPUTED_VALUE"""),"")</f>
        <v/>
      </c>
      <c r="D15615" s="12" t="str">
        <f ca="1">IFERROR(__xludf.DUMMYFUNCTION("""COMPUTED_VALUE"""),"")</f>
        <v/>
      </c>
    </row>
    <row r="15616" spans="2:4" ht="13">
      <c r="B15616" s="12" t="str">
        <f ca="1">IFERROR(__xludf.DUMMYFUNCTION("""COMPUTED_VALUE"""),"")</f>
        <v/>
      </c>
      <c r="C15616" s="12" t="str">
        <f ca="1">IFERROR(__xludf.DUMMYFUNCTION("""COMPUTED_VALUE"""),"")</f>
        <v/>
      </c>
      <c r="D15616" s="12" t="str">
        <f ca="1">IFERROR(__xludf.DUMMYFUNCTION("""COMPUTED_VALUE"""),"")</f>
        <v/>
      </c>
    </row>
    <row r="15617" spans="2:4" ht="13">
      <c r="B15617" s="12" t="str">
        <f ca="1">IFERROR(__xludf.DUMMYFUNCTION("""COMPUTED_VALUE"""),"")</f>
        <v/>
      </c>
      <c r="C15617" s="12" t="str">
        <f ca="1">IFERROR(__xludf.DUMMYFUNCTION("""COMPUTED_VALUE"""),"")</f>
        <v/>
      </c>
      <c r="D15617" s="12" t="str">
        <f ca="1">IFERROR(__xludf.DUMMYFUNCTION("""COMPUTED_VALUE"""),"")</f>
        <v/>
      </c>
    </row>
    <row r="15618" spans="2:4" ht="13">
      <c r="B15618" s="12" t="str">
        <f ca="1">IFERROR(__xludf.DUMMYFUNCTION("""COMPUTED_VALUE"""),"")</f>
        <v/>
      </c>
      <c r="C15618" s="12" t="str">
        <f ca="1">IFERROR(__xludf.DUMMYFUNCTION("""COMPUTED_VALUE"""),"")</f>
        <v/>
      </c>
      <c r="D15618" s="12" t="str">
        <f ca="1">IFERROR(__xludf.DUMMYFUNCTION("""COMPUTED_VALUE"""),"")</f>
        <v/>
      </c>
    </row>
    <row r="15619" spans="2:4" ht="13">
      <c r="B15619" s="12" t="str">
        <f ca="1">IFERROR(__xludf.DUMMYFUNCTION("""COMPUTED_VALUE"""),"")</f>
        <v/>
      </c>
      <c r="C15619" s="12" t="str">
        <f ca="1">IFERROR(__xludf.DUMMYFUNCTION("""COMPUTED_VALUE"""),"")</f>
        <v/>
      </c>
      <c r="D15619" s="12" t="str">
        <f ca="1">IFERROR(__xludf.DUMMYFUNCTION("""COMPUTED_VALUE"""),"")</f>
        <v/>
      </c>
    </row>
    <row r="15620" spans="2:4" ht="13">
      <c r="B15620" s="12" t="str">
        <f ca="1">IFERROR(__xludf.DUMMYFUNCTION("""COMPUTED_VALUE"""),"")</f>
        <v/>
      </c>
      <c r="C15620" s="12" t="str">
        <f ca="1">IFERROR(__xludf.DUMMYFUNCTION("""COMPUTED_VALUE"""),"")</f>
        <v/>
      </c>
      <c r="D15620" s="12" t="str">
        <f ca="1">IFERROR(__xludf.DUMMYFUNCTION("""COMPUTED_VALUE"""),"")</f>
        <v/>
      </c>
    </row>
    <row r="15621" spans="2:4" ht="13">
      <c r="B15621" s="12" t="str">
        <f ca="1">IFERROR(__xludf.DUMMYFUNCTION("""COMPUTED_VALUE"""),"")</f>
        <v/>
      </c>
      <c r="C15621" s="12" t="str">
        <f ca="1">IFERROR(__xludf.DUMMYFUNCTION("""COMPUTED_VALUE"""),"")</f>
        <v/>
      </c>
      <c r="D15621" s="12" t="str">
        <f ca="1">IFERROR(__xludf.DUMMYFUNCTION("""COMPUTED_VALUE"""),"")</f>
        <v/>
      </c>
    </row>
    <row r="15622" spans="2:4" ht="13">
      <c r="B15622" s="12" t="str">
        <f ca="1">IFERROR(__xludf.DUMMYFUNCTION("""COMPUTED_VALUE"""),"")</f>
        <v/>
      </c>
      <c r="C15622" s="12" t="str">
        <f ca="1">IFERROR(__xludf.DUMMYFUNCTION("""COMPUTED_VALUE"""),"")</f>
        <v/>
      </c>
      <c r="D15622" s="12" t="str">
        <f ca="1">IFERROR(__xludf.DUMMYFUNCTION("""COMPUTED_VALUE"""),"")</f>
        <v/>
      </c>
    </row>
    <row r="15623" spans="2:4" ht="13">
      <c r="B15623" s="12" t="str">
        <f ca="1">IFERROR(__xludf.DUMMYFUNCTION("""COMPUTED_VALUE"""),"")</f>
        <v/>
      </c>
      <c r="C15623" s="12" t="str">
        <f ca="1">IFERROR(__xludf.DUMMYFUNCTION("""COMPUTED_VALUE"""),"")</f>
        <v/>
      </c>
      <c r="D15623" s="12" t="str">
        <f ca="1">IFERROR(__xludf.DUMMYFUNCTION("""COMPUTED_VALUE"""),"")</f>
        <v/>
      </c>
    </row>
    <row r="15624" spans="2:4" ht="13">
      <c r="B15624" s="12" t="str">
        <f ca="1">IFERROR(__xludf.DUMMYFUNCTION("""COMPUTED_VALUE"""),"")</f>
        <v/>
      </c>
      <c r="C15624" s="12" t="str">
        <f ca="1">IFERROR(__xludf.DUMMYFUNCTION("""COMPUTED_VALUE"""),"")</f>
        <v/>
      </c>
      <c r="D15624" s="12" t="str">
        <f ca="1">IFERROR(__xludf.DUMMYFUNCTION("""COMPUTED_VALUE"""),"")</f>
        <v/>
      </c>
    </row>
    <row r="15625" spans="2:4" ht="13">
      <c r="B15625" s="12" t="str">
        <f ca="1">IFERROR(__xludf.DUMMYFUNCTION("""COMPUTED_VALUE"""),"")</f>
        <v/>
      </c>
      <c r="C15625" s="12" t="str">
        <f ca="1">IFERROR(__xludf.DUMMYFUNCTION("""COMPUTED_VALUE"""),"")</f>
        <v/>
      </c>
      <c r="D15625" s="12" t="str">
        <f ca="1">IFERROR(__xludf.DUMMYFUNCTION("""COMPUTED_VALUE"""),"")</f>
        <v/>
      </c>
    </row>
    <row r="15626" spans="2:4" ht="13">
      <c r="B15626" s="12" t="str">
        <f ca="1">IFERROR(__xludf.DUMMYFUNCTION("""COMPUTED_VALUE"""),"")</f>
        <v/>
      </c>
      <c r="C15626" s="12" t="str">
        <f ca="1">IFERROR(__xludf.DUMMYFUNCTION("""COMPUTED_VALUE"""),"")</f>
        <v/>
      </c>
      <c r="D15626" s="12" t="str">
        <f ca="1">IFERROR(__xludf.DUMMYFUNCTION("""COMPUTED_VALUE"""),"")</f>
        <v/>
      </c>
    </row>
    <row r="15627" spans="2:4" ht="13">
      <c r="B15627" s="12" t="str">
        <f ca="1">IFERROR(__xludf.DUMMYFUNCTION("""COMPUTED_VALUE"""),"")</f>
        <v/>
      </c>
      <c r="C15627" s="12" t="str">
        <f ca="1">IFERROR(__xludf.DUMMYFUNCTION("""COMPUTED_VALUE"""),"")</f>
        <v/>
      </c>
      <c r="D15627" s="12" t="str">
        <f ca="1">IFERROR(__xludf.DUMMYFUNCTION("""COMPUTED_VALUE"""),"")</f>
        <v/>
      </c>
    </row>
    <row r="15628" spans="2:4" ht="13">
      <c r="B15628" s="12" t="str">
        <f ca="1">IFERROR(__xludf.DUMMYFUNCTION("""COMPUTED_VALUE"""),"")</f>
        <v/>
      </c>
      <c r="C15628" s="12" t="str">
        <f ca="1">IFERROR(__xludf.DUMMYFUNCTION("""COMPUTED_VALUE"""),"")</f>
        <v/>
      </c>
      <c r="D15628" s="12" t="str">
        <f ca="1">IFERROR(__xludf.DUMMYFUNCTION("""COMPUTED_VALUE"""),"")</f>
        <v/>
      </c>
    </row>
    <row r="15629" spans="2:4" ht="13">
      <c r="B15629" s="12" t="str">
        <f ca="1">IFERROR(__xludf.DUMMYFUNCTION("""COMPUTED_VALUE"""),"")</f>
        <v/>
      </c>
      <c r="C15629" s="12" t="str">
        <f ca="1">IFERROR(__xludf.DUMMYFUNCTION("""COMPUTED_VALUE"""),"")</f>
        <v/>
      </c>
      <c r="D15629" s="12" t="str">
        <f ca="1">IFERROR(__xludf.DUMMYFUNCTION("""COMPUTED_VALUE"""),"")</f>
        <v/>
      </c>
    </row>
    <row r="15630" spans="2:4" ht="13">
      <c r="B15630" s="12" t="str">
        <f ca="1">IFERROR(__xludf.DUMMYFUNCTION("""COMPUTED_VALUE"""),"")</f>
        <v/>
      </c>
      <c r="C15630" s="12" t="str">
        <f ca="1">IFERROR(__xludf.DUMMYFUNCTION("""COMPUTED_VALUE"""),"")</f>
        <v/>
      </c>
      <c r="D15630" s="12" t="str">
        <f ca="1">IFERROR(__xludf.DUMMYFUNCTION("""COMPUTED_VALUE"""),"")</f>
        <v/>
      </c>
    </row>
    <row r="15631" spans="2:4" ht="13">
      <c r="B15631" s="12" t="str">
        <f ca="1">IFERROR(__xludf.DUMMYFUNCTION("""COMPUTED_VALUE"""),"")</f>
        <v/>
      </c>
      <c r="C15631" s="12" t="str">
        <f ca="1">IFERROR(__xludf.DUMMYFUNCTION("""COMPUTED_VALUE"""),"")</f>
        <v/>
      </c>
      <c r="D15631" s="12" t="str">
        <f ca="1">IFERROR(__xludf.DUMMYFUNCTION("""COMPUTED_VALUE"""),"")</f>
        <v/>
      </c>
    </row>
    <row r="15632" spans="2:4" ht="13">
      <c r="B15632" s="12" t="str">
        <f ca="1">IFERROR(__xludf.DUMMYFUNCTION("""COMPUTED_VALUE"""),"")</f>
        <v/>
      </c>
      <c r="C15632" s="12" t="str">
        <f ca="1">IFERROR(__xludf.DUMMYFUNCTION("""COMPUTED_VALUE"""),"")</f>
        <v/>
      </c>
      <c r="D15632" s="12" t="str">
        <f ca="1">IFERROR(__xludf.DUMMYFUNCTION("""COMPUTED_VALUE"""),"")</f>
        <v/>
      </c>
    </row>
    <row r="15633" spans="2:4" ht="13">
      <c r="B15633" s="12" t="str">
        <f ca="1">IFERROR(__xludf.DUMMYFUNCTION("""COMPUTED_VALUE"""),"")</f>
        <v/>
      </c>
      <c r="C15633" s="12" t="str">
        <f ca="1">IFERROR(__xludf.DUMMYFUNCTION("""COMPUTED_VALUE"""),"")</f>
        <v/>
      </c>
      <c r="D15633" s="12" t="str">
        <f ca="1">IFERROR(__xludf.DUMMYFUNCTION("""COMPUTED_VALUE"""),"")</f>
        <v/>
      </c>
    </row>
    <row r="15634" spans="2:4" ht="13">
      <c r="B15634" s="12" t="str">
        <f ca="1">IFERROR(__xludf.DUMMYFUNCTION("""COMPUTED_VALUE"""),"")</f>
        <v/>
      </c>
      <c r="C15634" s="12" t="str">
        <f ca="1">IFERROR(__xludf.DUMMYFUNCTION("""COMPUTED_VALUE"""),"")</f>
        <v/>
      </c>
      <c r="D15634" s="12" t="str">
        <f ca="1">IFERROR(__xludf.DUMMYFUNCTION("""COMPUTED_VALUE"""),"")</f>
        <v/>
      </c>
    </row>
    <row r="15635" spans="2:4" ht="13">
      <c r="B15635" s="12" t="str">
        <f ca="1">IFERROR(__xludf.DUMMYFUNCTION("""COMPUTED_VALUE"""),"")</f>
        <v/>
      </c>
      <c r="C15635" s="12" t="str">
        <f ca="1">IFERROR(__xludf.DUMMYFUNCTION("""COMPUTED_VALUE"""),"")</f>
        <v/>
      </c>
      <c r="D15635" s="12" t="str">
        <f ca="1">IFERROR(__xludf.DUMMYFUNCTION("""COMPUTED_VALUE"""),"")</f>
        <v/>
      </c>
    </row>
    <row r="15636" spans="2:4" ht="13">
      <c r="B15636" s="12" t="str">
        <f ca="1">IFERROR(__xludf.DUMMYFUNCTION("""COMPUTED_VALUE"""),"")</f>
        <v/>
      </c>
      <c r="C15636" s="12" t="str">
        <f ca="1">IFERROR(__xludf.DUMMYFUNCTION("""COMPUTED_VALUE"""),"")</f>
        <v/>
      </c>
      <c r="D15636" s="12" t="str">
        <f ca="1">IFERROR(__xludf.DUMMYFUNCTION("""COMPUTED_VALUE"""),"")</f>
        <v/>
      </c>
    </row>
    <row r="15637" spans="2:4" ht="13">
      <c r="B15637" s="12" t="str">
        <f ca="1">IFERROR(__xludf.DUMMYFUNCTION("""COMPUTED_VALUE"""),"")</f>
        <v/>
      </c>
      <c r="C15637" s="12" t="str">
        <f ca="1">IFERROR(__xludf.DUMMYFUNCTION("""COMPUTED_VALUE"""),"")</f>
        <v/>
      </c>
      <c r="D15637" s="12" t="str">
        <f ca="1">IFERROR(__xludf.DUMMYFUNCTION("""COMPUTED_VALUE"""),"")</f>
        <v/>
      </c>
    </row>
    <row r="15638" spans="2:4" ht="13">
      <c r="B15638" s="12" t="str">
        <f ca="1">IFERROR(__xludf.DUMMYFUNCTION("""COMPUTED_VALUE"""),"")</f>
        <v/>
      </c>
      <c r="C15638" s="12" t="str">
        <f ca="1">IFERROR(__xludf.DUMMYFUNCTION("""COMPUTED_VALUE"""),"")</f>
        <v/>
      </c>
      <c r="D15638" s="12" t="str">
        <f ca="1">IFERROR(__xludf.DUMMYFUNCTION("""COMPUTED_VALUE"""),"")</f>
        <v/>
      </c>
    </row>
    <row r="15639" spans="2:4" ht="13">
      <c r="B15639" s="12" t="str">
        <f ca="1">IFERROR(__xludf.DUMMYFUNCTION("""COMPUTED_VALUE"""),"")</f>
        <v/>
      </c>
      <c r="C15639" s="12" t="str">
        <f ca="1">IFERROR(__xludf.DUMMYFUNCTION("""COMPUTED_VALUE"""),"")</f>
        <v/>
      </c>
      <c r="D15639" s="12" t="str">
        <f ca="1">IFERROR(__xludf.DUMMYFUNCTION("""COMPUTED_VALUE"""),"")</f>
        <v/>
      </c>
    </row>
    <row r="15640" spans="2:4" ht="13">
      <c r="B15640" s="12" t="str">
        <f ca="1">IFERROR(__xludf.DUMMYFUNCTION("""COMPUTED_VALUE"""),"")</f>
        <v/>
      </c>
      <c r="C15640" s="12" t="str">
        <f ca="1">IFERROR(__xludf.DUMMYFUNCTION("""COMPUTED_VALUE"""),"")</f>
        <v/>
      </c>
      <c r="D15640" s="12" t="str">
        <f ca="1">IFERROR(__xludf.DUMMYFUNCTION("""COMPUTED_VALUE"""),"")</f>
        <v/>
      </c>
    </row>
    <row r="15641" spans="2:4" ht="13">
      <c r="B15641" s="12" t="str">
        <f ca="1">IFERROR(__xludf.DUMMYFUNCTION("""COMPUTED_VALUE"""),"")</f>
        <v/>
      </c>
      <c r="C15641" s="12" t="str">
        <f ca="1">IFERROR(__xludf.DUMMYFUNCTION("""COMPUTED_VALUE"""),"")</f>
        <v/>
      </c>
      <c r="D15641" s="12" t="str">
        <f ca="1">IFERROR(__xludf.DUMMYFUNCTION("""COMPUTED_VALUE"""),"")</f>
        <v/>
      </c>
    </row>
    <row r="15642" spans="2:4" ht="13">
      <c r="B15642" s="12" t="str">
        <f ca="1">IFERROR(__xludf.DUMMYFUNCTION("""COMPUTED_VALUE"""),"")</f>
        <v/>
      </c>
      <c r="C15642" s="12" t="str">
        <f ca="1">IFERROR(__xludf.DUMMYFUNCTION("""COMPUTED_VALUE"""),"")</f>
        <v/>
      </c>
      <c r="D15642" s="12" t="str">
        <f ca="1">IFERROR(__xludf.DUMMYFUNCTION("""COMPUTED_VALUE"""),"")</f>
        <v/>
      </c>
    </row>
    <row r="15643" spans="2:4" ht="13">
      <c r="B15643" s="12" t="str">
        <f ca="1">IFERROR(__xludf.DUMMYFUNCTION("""COMPUTED_VALUE"""),"")</f>
        <v/>
      </c>
      <c r="C15643" s="12" t="str">
        <f ca="1">IFERROR(__xludf.DUMMYFUNCTION("""COMPUTED_VALUE"""),"")</f>
        <v/>
      </c>
      <c r="D15643" s="12" t="str">
        <f ca="1">IFERROR(__xludf.DUMMYFUNCTION("""COMPUTED_VALUE"""),"")</f>
        <v/>
      </c>
    </row>
    <row r="15644" spans="2:4" ht="13">
      <c r="B15644" s="12" t="str">
        <f ca="1">IFERROR(__xludf.DUMMYFUNCTION("""COMPUTED_VALUE"""),"")</f>
        <v/>
      </c>
      <c r="C15644" s="12" t="str">
        <f ca="1">IFERROR(__xludf.DUMMYFUNCTION("""COMPUTED_VALUE"""),"")</f>
        <v/>
      </c>
      <c r="D15644" s="12" t="str">
        <f ca="1">IFERROR(__xludf.DUMMYFUNCTION("""COMPUTED_VALUE"""),"")</f>
        <v/>
      </c>
    </row>
    <row r="15645" spans="2:4" ht="13">
      <c r="B15645" s="12" t="str">
        <f ca="1">IFERROR(__xludf.DUMMYFUNCTION("""COMPUTED_VALUE"""),"")</f>
        <v/>
      </c>
      <c r="C15645" s="12" t="str">
        <f ca="1">IFERROR(__xludf.DUMMYFUNCTION("""COMPUTED_VALUE"""),"")</f>
        <v/>
      </c>
      <c r="D15645" s="12" t="str">
        <f ca="1">IFERROR(__xludf.DUMMYFUNCTION("""COMPUTED_VALUE"""),"")</f>
        <v/>
      </c>
    </row>
    <row r="15646" spans="2:4" ht="13">
      <c r="B15646" s="12" t="str">
        <f ca="1">IFERROR(__xludf.DUMMYFUNCTION("""COMPUTED_VALUE"""),"")</f>
        <v/>
      </c>
      <c r="C15646" s="12" t="str">
        <f ca="1">IFERROR(__xludf.DUMMYFUNCTION("""COMPUTED_VALUE"""),"")</f>
        <v/>
      </c>
      <c r="D15646" s="12" t="str">
        <f ca="1">IFERROR(__xludf.DUMMYFUNCTION("""COMPUTED_VALUE"""),"")</f>
        <v/>
      </c>
    </row>
    <row r="15647" spans="2:4" ht="13">
      <c r="B15647" s="12" t="str">
        <f ca="1">IFERROR(__xludf.DUMMYFUNCTION("""COMPUTED_VALUE"""),"")</f>
        <v/>
      </c>
      <c r="C15647" s="12" t="str">
        <f ca="1">IFERROR(__xludf.DUMMYFUNCTION("""COMPUTED_VALUE"""),"")</f>
        <v/>
      </c>
      <c r="D15647" s="12" t="str">
        <f ca="1">IFERROR(__xludf.DUMMYFUNCTION("""COMPUTED_VALUE"""),"")</f>
        <v/>
      </c>
    </row>
    <row r="15648" spans="2:4" ht="13">
      <c r="B15648" s="12" t="str">
        <f ca="1">IFERROR(__xludf.DUMMYFUNCTION("""COMPUTED_VALUE"""),"")</f>
        <v/>
      </c>
      <c r="C15648" s="12" t="str">
        <f ca="1">IFERROR(__xludf.DUMMYFUNCTION("""COMPUTED_VALUE"""),"")</f>
        <v/>
      </c>
      <c r="D15648" s="12" t="str">
        <f ca="1">IFERROR(__xludf.DUMMYFUNCTION("""COMPUTED_VALUE"""),"")</f>
        <v/>
      </c>
    </row>
    <row r="15649" spans="2:4" ht="13">
      <c r="B15649" s="12" t="str">
        <f ca="1">IFERROR(__xludf.DUMMYFUNCTION("""COMPUTED_VALUE"""),"")</f>
        <v/>
      </c>
      <c r="C15649" s="12" t="str">
        <f ca="1">IFERROR(__xludf.DUMMYFUNCTION("""COMPUTED_VALUE"""),"")</f>
        <v/>
      </c>
      <c r="D15649" s="12" t="str">
        <f ca="1">IFERROR(__xludf.DUMMYFUNCTION("""COMPUTED_VALUE"""),"")</f>
        <v/>
      </c>
    </row>
    <row r="15650" spans="2:4" ht="13">
      <c r="B15650" s="12" t="str">
        <f ca="1">IFERROR(__xludf.DUMMYFUNCTION("""COMPUTED_VALUE"""),"")</f>
        <v/>
      </c>
      <c r="C15650" s="12" t="str">
        <f ca="1">IFERROR(__xludf.DUMMYFUNCTION("""COMPUTED_VALUE"""),"")</f>
        <v/>
      </c>
      <c r="D15650" s="12" t="str">
        <f ca="1">IFERROR(__xludf.DUMMYFUNCTION("""COMPUTED_VALUE"""),"")</f>
        <v/>
      </c>
    </row>
    <row r="15651" spans="2:4" ht="13">
      <c r="B15651" s="12" t="str">
        <f ca="1">IFERROR(__xludf.DUMMYFUNCTION("""COMPUTED_VALUE"""),"")</f>
        <v/>
      </c>
      <c r="C15651" s="12" t="str">
        <f ca="1">IFERROR(__xludf.DUMMYFUNCTION("""COMPUTED_VALUE"""),"")</f>
        <v/>
      </c>
      <c r="D15651" s="12" t="str">
        <f ca="1">IFERROR(__xludf.DUMMYFUNCTION("""COMPUTED_VALUE"""),"")</f>
        <v/>
      </c>
    </row>
    <row r="15652" spans="2:4" ht="13">
      <c r="B15652" s="12" t="str">
        <f ca="1">IFERROR(__xludf.DUMMYFUNCTION("""COMPUTED_VALUE"""),"")</f>
        <v/>
      </c>
      <c r="C15652" s="12" t="str">
        <f ca="1">IFERROR(__xludf.DUMMYFUNCTION("""COMPUTED_VALUE"""),"")</f>
        <v/>
      </c>
      <c r="D15652" s="12" t="str">
        <f ca="1">IFERROR(__xludf.DUMMYFUNCTION("""COMPUTED_VALUE"""),"")</f>
        <v/>
      </c>
    </row>
    <row r="15653" spans="2:4" ht="13">
      <c r="B15653" s="12" t="str">
        <f ca="1">IFERROR(__xludf.DUMMYFUNCTION("""COMPUTED_VALUE"""),"")</f>
        <v/>
      </c>
      <c r="C15653" s="12" t="str">
        <f ca="1">IFERROR(__xludf.DUMMYFUNCTION("""COMPUTED_VALUE"""),"")</f>
        <v/>
      </c>
      <c r="D15653" s="12" t="str">
        <f ca="1">IFERROR(__xludf.DUMMYFUNCTION("""COMPUTED_VALUE"""),"")</f>
        <v/>
      </c>
    </row>
    <row r="15654" spans="2:4" ht="13">
      <c r="B15654" s="12" t="str">
        <f ca="1">IFERROR(__xludf.DUMMYFUNCTION("""COMPUTED_VALUE"""),"")</f>
        <v/>
      </c>
      <c r="C15654" s="12" t="str">
        <f ca="1">IFERROR(__xludf.DUMMYFUNCTION("""COMPUTED_VALUE"""),"")</f>
        <v/>
      </c>
      <c r="D15654" s="12" t="str">
        <f ca="1">IFERROR(__xludf.DUMMYFUNCTION("""COMPUTED_VALUE"""),"")</f>
        <v/>
      </c>
    </row>
    <row r="15655" spans="2:4" ht="13">
      <c r="B15655" s="12" t="str">
        <f ca="1">IFERROR(__xludf.DUMMYFUNCTION("""COMPUTED_VALUE"""),"")</f>
        <v/>
      </c>
      <c r="C15655" s="12" t="str">
        <f ca="1">IFERROR(__xludf.DUMMYFUNCTION("""COMPUTED_VALUE"""),"")</f>
        <v/>
      </c>
      <c r="D15655" s="12" t="str">
        <f ca="1">IFERROR(__xludf.DUMMYFUNCTION("""COMPUTED_VALUE"""),"")</f>
        <v/>
      </c>
    </row>
    <row r="15656" spans="2:4" ht="13">
      <c r="B15656" s="12" t="str">
        <f ca="1">IFERROR(__xludf.DUMMYFUNCTION("""COMPUTED_VALUE"""),"")</f>
        <v/>
      </c>
      <c r="C15656" s="12" t="str">
        <f ca="1">IFERROR(__xludf.DUMMYFUNCTION("""COMPUTED_VALUE"""),"")</f>
        <v/>
      </c>
      <c r="D15656" s="12" t="str">
        <f ca="1">IFERROR(__xludf.DUMMYFUNCTION("""COMPUTED_VALUE"""),"")</f>
        <v/>
      </c>
    </row>
    <row r="15657" spans="2:4" ht="13">
      <c r="B15657" s="12" t="str">
        <f ca="1">IFERROR(__xludf.DUMMYFUNCTION("""COMPUTED_VALUE"""),"")</f>
        <v/>
      </c>
      <c r="C15657" s="12" t="str">
        <f ca="1">IFERROR(__xludf.DUMMYFUNCTION("""COMPUTED_VALUE"""),"")</f>
        <v/>
      </c>
      <c r="D15657" s="12" t="str">
        <f ca="1">IFERROR(__xludf.DUMMYFUNCTION("""COMPUTED_VALUE"""),"")</f>
        <v/>
      </c>
    </row>
    <row r="15658" spans="2:4" ht="13">
      <c r="B15658" s="12" t="str">
        <f ca="1">IFERROR(__xludf.DUMMYFUNCTION("""COMPUTED_VALUE"""),"")</f>
        <v/>
      </c>
      <c r="C15658" s="12" t="str">
        <f ca="1">IFERROR(__xludf.DUMMYFUNCTION("""COMPUTED_VALUE"""),"")</f>
        <v/>
      </c>
      <c r="D15658" s="12" t="str">
        <f ca="1">IFERROR(__xludf.DUMMYFUNCTION("""COMPUTED_VALUE"""),"")</f>
        <v/>
      </c>
    </row>
    <row r="15659" spans="2:4" ht="13">
      <c r="B15659" s="12" t="str">
        <f ca="1">IFERROR(__xludf.DUMMYFUNCTION("""COMPUTED_VALUE"""),"")</f>
        <v/>
      </c>
      <c r="C15659" s="12" t="str">
        <f ca="1">IFERROR(__xludf.DUMMYFUNCTION("""COMPUTED_VALUE"""),"")</f>
        <v/>
      </c>
      <c r="D15659" s="12" t="str">
        <f ca="1">IFERROR(__xludf.DUMMYFUNCTION("""COMPUTED_VALUE"""),"")</f>
        <v/>
      </c>
    </row>
    <row r="15660" spans="2:4" ht="13">
      <c r="B15660" s="12" t="str">
        <f ca="1">IFERROR(__xludf.DUMMYFUNCTION("""COMPUTED_VALUE"""),"")</f>
        <v/>
      </c>
      <c r="C15660" s="12" t="str">
        <f ca="1">IFERROR(__xludf.DUMMYFUNCTION("""COMPUTED_VALUE"""),"")</f>
        <v/>
      </c>
      <c r="D15660" s="12" t="str">
        <f ca="1">IFERROR(__xludf.DUMMYFUNCTION("""COMPUTED_VALUE"""),"")</f>
        <v/>
      </c>
    </row>
    <row r="15661" spans="2:4" ht="13">
      <c r="B15661" s="12" t="str">
        <f ca="1">IFERROR(__xludf.DUMMYFUNCTION("""COMPUTED_VALUE"""),"")</f>
        <v/>
      </c>
      <c r="C15661" s="12" t="str">
        <f ca="1">IFERROR(__xludf.DUMMYFUNCTION("""COMPUTED_VALUE"""),"")</f>
        <v/>
      </c>
      <c r="D15661" s="12" t="str">
        <f ca="1">IFERROR(__xludf.DUMMYFUNCTION("""COMPUTED_VALUE"""),"")</f>
        <v/>
      </c>
    </row>
    <row r="15662" spans="2:4" ht="13">
      <c r="B15662" s="12" t="str">
        <f ca="1">IFERROR(__xludf.DUMMYFUNCTION("""COMPUTED_VALUE"""),"")</f>
        <v/>
      </c>
      <c r="C15662" s="12" t="str">
        <f ca="1">IFERROR(__xludf.DUMMYFUNCTION("""COMPUTED_VALUE"""),"")</f>
        <v/>
      </c>
      <c r="D15662" s="12" t="str">
        <f ca="1">IFERROR(__xludf.DUMMYFUNCTION("""COMPUTED_VALUE"""),"")</f>
        <v/>
      </c>
    </row>
    <row r="15663" spans="2:4" ht="13">
      <c r="B15663" s="12" t="str">
        <f ca="1">IFERROR(__xludf.DUMMYFUNCTION("""COMPUTED_VALUE"""),"")</f>
        <v/>
      </c>
      <c r="C15663" s="12" t="str">
        <f ca="1">IFERROR(__xludf.DUMMYFUNCTION("""COMPUTED_VALUE"""),"")</f>
        <v/>
      </c>
      <c r="D15663" s="12" t="str">
        <f ca="1">IFERROR(__xludf.DUMMYFUNCTION("""COMPUTED_VALUE"""),"")</f>
        <v/>
      </c>
    </row>
    <row r="15664" spans="2:4" ht="13">
      <c r="B15664" s="12" t="str">
        <f ca="1">IFERROR(__xludf.DUMMYFUNCTION("""COMPUTED_VALUE"""),"")</f>
        <v/>
      </c>
      <c r="C15664" s="12" t="str">
        <f ca="1">IFERROR(__xludf.DUMMYFUNCTION("""COMPUTED_VALUE"""),"")</f>
        <v/>
      </c>
      <c r="D15664" s="12" t="str">
        <f ca="1">IFERROR(__xludf.DUMMYFUNCTION("""COMPUTED_VALUE"""),"")</f>
        <v/>
      </c>
    </row>
    <row r="15665" spans="2:4" ht="13">
      <c r="B15665" s="12" t="str">
        <f ca="1">IFERROR(__xludf.DUMMYFUNCTION("""COMPUTED_VALUE"""),"")</f>
        <v/>
      </c>
      <c r="C15665" s="12" t="str">
        <f ca="1">IFERROR(__xludf.DUMMYFUNCTION("""COMPUTED_VALUE"""),"")</f>
        <v/>
      </c>
      <c r="D15665" s="12" t="str">
        <f ca="1">IFERROR(__xludf.DUMMYFUNCTION("""COMPUTED_VALUE"""),"")</f>
        <v/>
      </c>
    </row>
    <row r="15666" spans="2:4" ht="13">
      <c r="B15666" s="12" t="str">
        <f ca="1">IFERROR(__xludf.DUMMYFUNCTION("""COMPUTED_VALUE"""),"")</f>
        <v/>
      </c>
      <c r="C15666" s="12" t="str">
        <f ca="1">IFERROR(__xludf.DUMMYFUNCTION("""COMPUTED_VALUE"""),"")</f>
        <v/>
      </c>
      <c r="D15666" s="12" t="str">
        <f ca="1">IFERROR(__xludf.DUMMYFUNCTION("""COMPUTED_VALUE"""),"")</f>
        <v/>
      </c>
    </row>
    <row r="15667" spans="2:4" ht="13">
      <c r="B15667" s="12" t="str">
        <f ca="1">IFERROR(__xludf.DUMMYFUNCTION("""COMPUTED_VALUE"""),"")</f>
        <v/>
      </c>
      <c r="C15667" s="12" t="str">
        <f ca="1">IFERROR(__xludf.DUMMYFUNCTION("""COMPUTED_VALUE"""),"")</f>
        <v/>
      </c>
      <c r="D15667" s="12" t="str">
        <f ca="1">IFERROR(__xludf.DUMMYFUNCTION("""COMPUTED_VALUE"""),"")</f>
        <v/>
      </c>
    </row>
    <row r="15668" spans="2:4" ht="13">
      <c r="B15668" s="12" t="str">
        <f ca="1">IFERROR(__xludf.DUMMYFUNCTION("""COMPUTED_VALUE"""),"")</f>
        <v/>
      </c>
      <c r="C15668" s="12" t="str">
        <f ca="1">IFERROR(__xludf.DUMMYFUNCTION("""COMPUTED_VALUE"""),"")</f>
        <v/>
      </c>
      <c r="D15668" s="12" t="str">
        <f ca="1">IFERROR(__xludf.DUMMYFUNCTION("""COMPUTED_VALUE"""),"")</f>
        <v/>
      </c>
    </row>
    <row r="15669" spans="2:4" ht="13">
      <c r="B15669" s="12" t="str">
        <f ca="1">IFERROR(__xludf.DUMMYFUNCTION("""COMPUTED_VALUE"""),"")</f>
        <v/>
      </c>
      <c r="C15669" s="12" t="str">
        <f ca="1">IFERROR(__xludf.DUMMYFUNCTION("""COMPUTED_VALUE"""),"")</f>
        <v/>
      </c>
      <c r="D15669" s="12" t="str">
        <f ca="1">IFERROR(__xludf.DUMMYFUNCTION("""COMPUTED_VALUE"""),"")</f>
        <v/>
      </c>
    </row>
    <row r="15670" spans="2:4" ht="13">
      <c r="B15670" s="12" t="str">
        <f ca="1">IFERROR(__xludf.DUMMYFUNCTION("""COMPUTED_VALUE"""),"")</f>
        <v/>
      </c>
      <c r="C15670" s="12" t="str">
        <f ca="1">IFERROR(__xludf.DUMMYFUNCTION("""COMPUTED_VALUE"""),"")</f>
        <v/>
      </c>
      <c r="D15670" s="12" t="str">
        <f ca="1">IFERROR(__xludf.DUMMYFUNCTION("""COMPUTED_VALUE"""),"")</f>
        <v/>
      </c>
    </row>
    <row r="15671" spans="2:4" ht="13">
      <c r="B15671" s="12" t="str">
        <f ca="1">IFERROR(__xludf.DUMMYFUNCTION("""COMPUTED_VALUE"""),"")</f>
        <v/>
      </c>
      <c r="C15671" s="12" t="str">
        <f ca="1">IFERROR(__xludf.DUMMYFUNCTION("""COMPUTED_VALUE"""),"")</f>
        <v/>
      </c>
      <c r="D15671" s="12" t="str">
        <f ca="1">IFERROR(__xludf.DUMMYFUNCTION("""COMPUTED_VALUE"""),"")</f>
        <v/>
      </c>
    </row>
    <row r="15672" spans="2:4" ht="13">
      <c r="B15672" s="12" t="str">
        <f ca="1">IFERROR(__xludf.DUMMYFUNCTION("""COMPUTED_VALUE"""),"")</f>
        <v/>
      </c>
      <c r="C15672" s="12" t="str">
        <f ca="1">IFERROR(__xludf.DUMMYFUNCTION("""COMPUTED_VALUE"""),"")</f>
        <v/>
      </c>
      <c r="D15672" s="12" t="str">
        <f ca="1">IFERROR(__xludf.DUMMYFUNCTION("""COMPUTED_VALUE"""),"")</f>
        <v/>
      </c>
    </row>
    <row r="15673" spans="2:4" ht="13">
      <c r="B15673" s="12" t="str">
        <f ca="1">IFERROR(__xludf.DUMMYFUNCTION("""COMPUTED_VALUE"""),"")</f>
        <v/>
      </c>
      <c r="C15673" s="12" t="str">
        <f ca="1">IFERROR(__xludf.DUMMYFUNCTION("""COMPUTED_VALUE"""),"")</f>
        <v/>
      </c>
      <c r="D15673" s="12" t="str">
        <f ca="1">IFERROR(__xludf.DUMMYFUNCTION("""COMPUTED_VALUE"""),"")</f>
        <v/>
      </c>
    </row>
    <row r="15674" spans="2:4" ht="13">
      <c r="B15674" s="12" t="str">
        <f ca="1">IFERROR(__xludf.DUMMYFUNCTION("""COMPUTED_VALUE"""),"")</f>
        <v/>
      </c>
      <c r="C15674" s="12" t="str">
        <f ca="1">IFERROR(__xludf.DUMMYFUNCTION("""COMPUTED_VALUE"""),"")</f>
        <v/>
      </c>
      <c r="D15674" s="12" t="str">
        <f ca="1">IFERROR(__xludf.DUMMYFUNCTION("""COMPUTED_VALUE"""),"")</f>
        <v/>
      </c>
    </row>
    <row r="15675" spans="2:4" ht="13">
      <c r="B15675" s="12" t="str">
        <f ca="1">IFERROR(__xludf.DUMMYFUNCTION("""COMPUTED_VALUE"""),"")</f>
        <v/>
      </c>
      <c r="C15675" s="12" t="str">
        <f ca="1">IFERROR(__xludf.DUMMYFUNCTION("""COMPUTED_VALUE"""),"")</f>
        <v/>
      </c>
      <c r="D15675" s="12" t="str">
        <f ca="1">IFERROR(__xludf.DUMMYFUNCTION("""COMPUTED_VALUE"""),"")</f>
        <v/>
      </c>
    </row>
    <row r="15676" spans="2:4" ht="13">
      <c r="B15676" s="12" t="str">
        <f ca="1">IFERROR(__xludf.DUMMYFUNCTION("""COMPUTED_VALUE"""),"")</f>
        <v/>
      </c>
      <c r="C15676" s="12" t="str">
        <f ca="1">IFERROR(__xludf.DUMMYFUNCTION("""COMPUTED_VALUE"""),"")</f>
        <v/>
      </c>
      <c r="D15676" s="12" t="str">
        <f ca="1">IFERROR(__xludf.DUMMYFUNCTION("""COMPUTED_VALUE"""),"")</f>
        <v/>
      </c>
    </row>
    <row r="15677" spans="2:4" ht="13">
      <c r="B15677" s="12" t="str">
        <f ca="1">IFERROR(__xludf.DUMMYFUNCTION("""COMPUTED_VALUE"""),"")</f>
        <v/>
      </c>
      <c r="C15677" s="12" t="str">
        <f ca="1">IFERROR(__xludf.DUMMYFUNCTION("""COMPUTED_VALUE"""),"")</f>
        <v/>
      </c>
      <c r="D15677" s="12" t="str">
        <f ca="1">IFERROR(__xludf.DUMMYFUNCTION("""COMPUTED_VALUE"""),"")</f>
        <v/>
      </c>
    </row>
    <row r="15678" spans="2:4" ht="13">
      <c r="B15678" s="12" t="str">
        <f ca="1">IFERROR(__xludf.DUMMYFUNCTION("""COMPUTED_VALUE"""),"")</f>
        <v/>
      </c>
      <c r="C15678" s="12" t="str">
        <f ca="1">IFERROR(__xludf.DUMMYFUNCTION("""COMPUTED_VALUE"""),"")</f>
        <v/>
      </c>
      <c r="D15678" s="12" t="str">
        <f ca="1">IFERROR(__xludf.DUMMYFUNCTION("""COMPUTED_VALUE"""),"")</f>
        <v/>
      </c>
    </row>
    <row r="15679" spans="2:4" ht="13">
      <c r="B15679" s="12" t="str">
        <f ca="1">IFERROR(__xludf.DUMMYFUNCTION("""COMPUTED_VALUE"""),"")</f>
        <v/>
      </c>
      <c r="C15679" s="12" t="str">
        <f ca="1">IFERROR(__xludf.DUMMYFUNCTION("""COMPUTED_VALUE"""),"")</f>
        <v/>
      </c>
      <c r="D15679" s="12" t="str">
        <f ca="1">IFERROR(__xludf.DUMMYFUNCTION("""COMPUTED_VALUE"""),"")</f>
        <v/>
      </c>
    </row>
    <row r="15680" spans="2:4" ht="13">
      <c r="B15680" s="12" t="str">
        <f ca="1">IFERROR(__xludf.DUMMYFUNCTION("""COMPUTED_VALUE"""),"")</f>
        <v/>
      </c>
      <c r="C15680" s="12" t="str">
        <f ca="1">IFERROR(__xludf.DUMMYFUNCTION("""COMPUTED_VALUE"""),"")</f>
        <v/>
      </c>
      <c r="D15680" s="12" t="str">
        <f ca="1">IFERROR(__xludf.DUMMYFUNCTION("""COMPUTED_VALUE"""),"")</f>
        <v/>
      </c>
    </row>
    <row r="15681" spans="2:4" ht="13">
      <c r="B15681" s="12" t="str">
        <f ca="1">IFERROR(__xludf.DUMMYFUNCTION("""COMPUTED_VALUE"""),"")</f>
        <v/>
      </c>
      <c r="C15681" s="12" t="str">
        <f ca="1">IFERROR(__xludf.DUMMYFUNCTION("""COMPUTED_VALUE"""),"")</f>
        <v/>
      </c>
      <c r="D15681" s="12" t="str">
        <f ca="1">IFERROR(__xludf.DUMMYFUNCTION("""COMPUTED_VALUE"""),"")</f>
        <v/>
      </c>
    </row>
    <row r="15682" spans="2:4" ht="13">
      <c r="B15682" s="12" t="str">
        <f ca="1">IFERROR(__xludf.DUMMYFUNCTION("""COMPUTED_VALUE"""),"")</f>
        <v/>
      </c>
      <c r="C15682" s="12" t="str">
        <f ca="1">IFERROR(__xludf.DUMMYFUNCTION("""COMPUTED_VALUE"""),"")</f>
        <v/>
      </c>
      <c r="D15682" s="12" t="str">
        <f ca="1">IFERROR(__xludf.DUMMYFUNCTION("""COMPUTED_VALUE"""),"")</f>
        <v/>
      </c>
    </row>
    <row r="15683" spans="2:4" ht="13">
      <c r="B15683" s="12" t="str">
        <f ca="1">IFERROR(__xludf.DUMMYFUNCTION("""COMPUTED_VALUE"""),"")</f>
        <v/>
      </c>
      <c r="C15683" s="12" t="str">
        <f ca="1">IFERROR(__xludf.DUMMYFUNCTION("""COMPUTED_VALUE"""),"")</f>
        <v/>
      </c>
      <c r="D15683" s="12" t="str">
        <f ca="1">IFERROR(__xludf.DUMMYFUNCTION("""COMPUTED_VALUE"""),"")</f>
        <v/>
      </c>
    </row>
    <row r="15684" spans="2:4" ht="13">
      <c r="B15684" s="12" t="str">
        <f ca="1">IFERROR(__xludf.DUMMYFUNCTION("""COMPUTED_VALUE"""),"")</f>
        <v/>
      </c>
      <c r="C15684" s="12" t="str">
        <f ca="1">IFERROR(__xludf.DUMMYFUNCTION("""COMPUTED_VALUE"""),"")</f>
        <v/>
      </c>
      <c r="D15684" s="12" t="str">
        <f ca="1">IFERROR(__xludf.DUMMYFUNCTION("""COMPUTED_VALUE"""),"")</f>
        <v/>
      </c>
    </row>
    <row r="15685" spans="2:4" ht="13">
      <c r="B15685" s="12" t="str">
        <f ca="1">IFERROR(__xludf.DUMMYFUNCTION("""COMPUTED_VALUE"""),"")</f>
        <v/>
      </c>
      <c r="C15685" s="12" t="str">
        <f ca="1">IFERROR(__xludf.DUMMYFUNCTION("""COMPUTED_VALUE"""),"")</f>
        <v/>
      </c>
      <c r="D15685" s="12" t="str">
        <f ca="1">IFERROR(__xludf.DUMMYFUNCTION("""COMPUTED_VALUE"""),"")</f>
        <v/>
      </c>
    </row>
    <row r="15686" spans="2:4" ht="13">
      <c r="B15686" s="12" t="str">
        <f ca="1">IFERROR(__xludf.DUMMYFUNCTION("""COMPUTED_VALUE"""),"")</f>
        <v/>
      </c>
      <c r="C15686" s="12" t="str">
        <f ca="1">IFERROR(__xludf.DUMMYFUNCTION("""COMPUTED_VALUE"""),"")</f>
        <v/>
      </c>
      <c r="D15686" s="12" t="str">
        <f ca="1">IFERROR(__xludf.DUMMYFUNCTION("""COMPUTED_VALUE"""),"")</f>
        <v/>
      </c>
    </row>
    <row r="15687" spans="2:4" ht="13">
      <c r="B15687" s="12" t="str">
        <f ca="1">IFERROR(__xludf.DUMMYFUNCTION("""COMPUTED_VALUE"""),"")</f>
        <v/>
      </c>
      <c r="C15687" s="12" t="str">
        <f ca="1">IFERROR(__xludf.DUMMYFUNCTION("""COMPUTED_VALUE"""),"")</f>
        <v/>
      </c>
      <c r="D15687" s="12" t="str">
        <f ca="1">IFERROR(__xludf.DUMMYFUNCTION("""COMPUTED_VALUE"""),"")</f>
        <v/>
      </c>
    </row>
    <row r="15688" spans="2:4" ht="13">
      <c r="B15688" s="12" t="str">
        <f ca="1">IFERROR(__xludf.DUMMYFUNCTION("""COMPUTED_VALUE"""),"")</f>
        <v/>
      </c>
      <c r="C15688" s="12" t="str">
        <f ca="1">IFERROR(__xludf.DUMMYFUNCTION("""COMPUTED_VALUE"""),"")</f>
        <v/>
      </c>
      <c r="D15688" s="12" t="str">
        <f ca="1">IFERROR(__xludf.DUMMYFUNCTION("""COMPUTED_VALUE"""),"")</f>
        <v/>
      </c>
    </row>
    <row r="15689" spans="2:4" ht="13">
      <c r="B15689" s="12" t="str">
        <f ca="1">IFERROR(__xludf.DUMMYFUNCTION("""COMPUTED_VALUE"""),"")</f>
        <v/>
      </c>
      <c r="C15689" s="12" t="str">
        <f ca="1">IFERROR(__xludf.DUMMYFUNCTION("""COMPUTED_VALUE"""),"")</f>
        <v/>
      </c>
      <c r="D15689" s="12" t="str">
        <f ca="1">IFERROR(__xludf.DUMMYFUNCTION("""COMPUTED_VALUE"""),"")</f>
        <v/>
      </c>
    </row>
    <row r="15690" spans="2:4" ht="13">
      <c r="B15690" s="12" t="str">
        <f ca="1">IFERROR(__xludf.DUMMYFUNCTION("""COMPUTED_VALUE"""),"")</f>
        <v/>
      </c>
      <c r="C15690" s="12" t="str">
        <f ca="1">IFERROR(__xludf.DUMMYFUNCTION("""COMPUTED_VALUE"""),"")</f>
        <v/>
      </c>
      <c r="D15690" s="12" t="str">
        <f ca="1">IFERROR(__xludf.DUMMYFUNCTION("""COMPUTED_VALUE"""),"")</f>
        <v/>
      </c>
    </row>
    <row r="15691" spans="2:4" ht="13">
      <c r="B15691" s="12" t="str">
        <f ca="1">IFERROR(__xludf.DUMMYFUNCTION("""COMPUTED_VALUE"""),"")</f>
        <v/>
      </c>
      <c r="C15691" s="12" t="str">
        <f ca="1">IFERROR(__xludf.DUMMYFUNCTION("""COMPUTED_VALUE"""),"")</f>
        <v/>
      </c>
      <c r="D15691" s="12" t="str">
        <f ca="1">IFERROR(__xludf.DUMMYFUNCTION("""COMPUTED_VALUE"""),"")</f>
        <v/>
      </c>
    </row>
    <row r="15692" spans="2:4" ht="13">
      <c r="B15692" s="12" t="str">
        <f ca="1">IFERROR(__xludf.DUMMYFUNCTION("""COMPUTED_VALUE"""),"")</f>
        <v/>
      </c>
      <c r="C15692" s="12" t="str">
        <f ca="1">IFERROR(__xludf.DUMMYFUNCTION("""COMPUTED_VALUE"""),"")</f>
        <v/>
      </c>
      <c r="D15692" s="12" t="str">
        <f ca="1">IFERROR(__xludf.DUMMYFUNCTION("""COMPUTED_VALUE"""),"")</f>
        <v/>
      </c>
    </row>
    <row r="15693" spans="2:4" ht="13">
      <c r="B15693" s="12" t="str">
        <f ca="1">IFERROR(__xludf.DUMMYFUNCTION("""COMPUTED_VALUE"""),"")</f>
        <v/>
      </c>
      <c r="C15693" s="12" t="str">
        <f ca="1">IFERROR(__xludf.DUMMYFUNCTION("""COMPUTED_VALUE"""),"")</f>
        <v/>
      </c>
      <c r="D15693" s="12" t="str">
        <f ca="1">IFERROR(__xludf.DUMMYFUNCTION("""COMPUTED_VALUE"""),"")</f>
        <v/>
      </c>
    </row>
    <row r="15694" spans="2:4" ht="13">
      <c r="B15694" s="12" t="str">
        <f ca="1">IFERROR(__xludf.DUMMYFUNCTION("""COMPUTED_VALUE"""),"")</f>
        <v/>
      </c>
      <c r="C15694" s="12" t="str">
        <f ca="1">IFERROR(__xludf.DUMMYFUNCTION("""COMPUTED_VALUE"""),"")</f>
        <v/>
      </c>
      <c r="D15694" s="12" t="str">
        <f ca="1">IFERROR(__xludf.DUMMYFUNCTION("""COMPUTED_VALUE"""),"")</f>
        <v/>
      </c>
    </row>
    <row r="15695" spans="2:4" ht="13">
      <c r="B15695" s="12" t="str">
        <f ca="1">IFERROR(__xludf.DUMMYFUNCTION("""COMPUTED_VALUE"""),"")</f>
        <v/>
      </c>
      <c r="C15695" s="12" t="str">
        <f ca="1">IFERROR(__xludf.DUMMYFUNCTION("""COMPUTED_VALUE"""),"")</f>
        <v/>
      </c>
      <c r="D15695" s="12" t="str">
        <f ca="1">IFERROR(__xludf.DUMMYFUNCTION("""COMPUTED_VALUE"""),"")</f>
        <v/>
      </c>
    </row>
    <row r="15696" spans="2:4" ht="13">
      <c r="B15696" s="12" t="str">
        <f ca="1">IFERROR(__xludf.DUMMYFUNCTION("""COMPUTED_VALUE"""),"")</f>
        <v/>
      </c>
      <c r="C15696" s="12" t="str">
        <f ca="1">IFERROR(__xludf.DUMMYFUNCTION("""COMPUTED_VALUE"""),"")</f>
        <v/>
      </c>
      <c r="D15696" s="12" t="str">
        <f ca="1">IFERROR(__xludf.DUMMYFUNCTION("""COMPUTED_VALUE"""),"")</f>
        <v/>
      </c>
    </row>
    <row r="15697" spans="2:4" ht="13">
      <c r="B15697" s="12" t="str">
        <f ca="1">IFERROR(__xludf.DUMMYFUNCTION("""COMPUTED_VALUE"""),"")</f>
        <v/>
      </c>
      <c r="C15697" s="12" t="str">
        <f ca="1">IFERROR(__xludf.DUMMYFUNCTION("""COMPUTED_VALUE"""),"")</f>
        <v/>
      </c>
      <c r="D15697" s="12" t="str">
        <f ca="1">IFERROR(__xludf.DUMMYFUNCTION("""COMPUTED_VALUE"""),"")</f>
        <v/>
      </c>
    </row>
    <row r="15698" spans="2:4" ht="13">
      <c r="B15698" s="12" t="str">
        <f ca="1">IFERROR(__xludf.DUMMYFUNCTION("""COMPUTED_VALUE"""),"")</f>
        <v/>
      </c>
      <c r="C15698" s="12" t="str">
        <f ca="1">IFERROR(__xludf.DUMMYFUNCTION("""COMPUTED_VALUE"""),"")</f>
        <v/>
      </c>
      <c r="D15698" s="12" t="str">
        <f ca="1">IFERROR(__xludf.DUMMYFUNCTION("""COMPUTED_VALUE"""),"")</f>
        <v/>
      </c>
    </row>
    <row r="15699" spans="2:4" ht="13">
      <c r="B15699" s="12" t="str">
        <f ca="1">IFERROR(__xludf.DUMMYFUNCTION("""COMPUTED_VALUE"""),"")</f>
        <v/>
      </c>
      <c r="C15699" s="12" t="str">
        <f ca="1">IFERROR(__xludf.DUMMYFUNCTION("""COMPUTED_VALUE"""),"")</f>
        <v/>
      </c>
      <c r="D15699" s="12" t="str">
        <f ca="1">IFERROR(__xludf.DUMMYFUNCTION("""COMPUTED_VALUE"""),"")</f>
        <v/>
      </c>
    </row>
    <row r="15700" spans="2:4" ht="13">
      <c r="B15700" s="12" t="str">
        <f ca="1">IFERROR(__xludf.DUMMYFUNCTION("""COMPUTED_VALUE"""),"")</f>
        <v/>
      </c>
      <c r="C15700" s="12" t="str">
        <f ca="1">IFERROR(__xludf.DUMMYFUNCTION("""COMPUTED_VALUE"""),"")</f>
        <v/>
      </c>
      <c r="D15700" s="12" t="str">
        <f ca="1">IFERROR(__xludf.DUMMYFUNCTION("""COMPUTED_VALUE"""),"")</f>
        <v/>
      </c>
    </row>
    <row r="15701" spans="2:4" ht="13">
      <c r="B15701" s="12" t="str">
        <f ca="1">IFERROR(__xludf.DUMMYFUNCTION("""COMPUTED_VALUE"""),"")</f>
        <v/>
      </c>
      <c r="C15701" s="12" t="str">
        <f ca="1">IFERROR(__xludf.DUMMYFUNCTION("""COMPUTED_VALUE"""),"")</f>
        <v/>
      </c>
      <c r="D15701" s="12" t="str">
        <f ca="1">IFERROR(__xludf.DUMMYFUNCTION("""COMPUTED_VALUE"""),"")</f>
        <v/>
      </c>
    </row>
    <row r="15702" spans="2:4" ht="13">
      <c r="B15702" s="12" t="str">
        <f ca="1">IFERROR(__xludf.DUMMYFUNCTION("""COMPUTED_VALUE"""),"")</f>
        <v/>
      </c>
      <c r="C15702" s="12" t="str">
        <f ca="1">IFERROR(__xludf.DUMMYFUNCTION("""COMPUTED_VALUE"""),"")</f>
        <v/>
      </c>
      <c r="D15702" s="12" t="str">
        <f ca="1">IFERROR(__xludf.DUMMYFUNCTION("""COMPUTED_VALUE"""),"")</f>
        <v/>
      </c>
    </row>
    <row r="15703" spans="2:4" ht="13">
      <c r="B15703" s="12" t="str">
        <f ca="1">IFERROR(__xludf.DUMMYFUNCTION("""COMPUTED_VALUE"""),"")</f>
        <v/>
      </c>
      <c r="C15703" s="12" t="str">
        <f ca="1">IFERROR(__xludf.DUMMYFUNCTION("""COMPUTED_VALUE"""),"")</f>
        <v/>
      </c>
      <c r="D15703" s="12" t="str">
        <f ca="1">IFERROR(__xludf.DUMMYFUNCTION("""COMPUTED_VALUE"""),"")</f>
        <v/>
      </c>
    </row>
    <row r="15704" spans="2:4" ht="13">
      <c r="B15704" s="12" t="str">
        <f ca="1">IFERROR(__xludf.DUMMYFUNCTION("""COMPUTED_VALUE"""),"")</f>
        <v/>
      </c>
      <c r="C15704" s="12" t="str">
        <f ca="1">IFERROR(__xludf.DUMMYFUNCTION("""COMPUTED_VALUE"""),"")</f>
        <v/>
      </c>
      <c r="D15704" s="12" t="str">
        <f ca="1">IFERROR(__xludf.DUMMYFUNCTION("""COMPUTED_VALUE"""),"")</f>
        <v/>
      </c>
    </row>
    <row r="15705" spans="2:4" ht="13">
      <c r="B15705" s="12" t="str">
        <f ca="1">IFERROR(__xludf.DUMMYFUNCTION("""COMPUTED_VALUE"""),"")</f>
        <v/>
      </c>
      <c r="C15705" s="12" t="str">
        <f ca="1">IFERROR(__xludf.DUMMYFUNCTION("""COMPUTED_VALUE"""),"")</f>
        <v/>
      </c>
      <c r="D15705" s="12" t="str">
        <f ca="1">IFERROR(__xludf.DUMMYFUNCTION("""COMPUTED_VALUE"""),"")</f>
        <v/>
      </c>
    </row>
    <row r="15706" spans="2:4" ht="13">
      <c r="B15706" s="12" t="str">
        <f ca="1">IFERROR(__xludf.DUMMYFUNCTION("""COMPUTED_VALUE"""),"")</f>
        <v/>
      </c>
      <c r="C15706" s="12" t="str">
        <f ca="1">IFERROR(__xludf.DUMMYFUNCTION("""COMPUTED_VALUE"""),"")</f>
        <v/>
      </c>
      <c r="D15706" s="12" t="str">
        <f ca="1">IFERROR(__xludf.DUMMYFUNCTION("""COMPUTED_VALUE"""),"")</f>
        <v/>
      </c>
    </row>
    <row r="15707" spans="2:4" ht="13">
      <c r="B15707" s="12" t="str">
        <f ca="1">IFERROR(__xludf.DUMMYFUNCTION("""COMPUTED_VALUE"""),"")</f>
        <v/>
      </c>
      <c r="C15707" s="12" t="str">
        <f ca="1">IFERROR(__xludf.DUMMYFUNCTION("""COMPUTED_VALUE"""),"")</f>
        <v/>
      </c>
      <c r="D15707" s="12" t="str">
        <f ca="1">IFERROR(__xludf.DUMMYFUNCTION("""COMPUTED_VALUE"""),"")</f>
        <v/>
      </c>
    </row>
    <row r="15708" spans="2:4" ht="13">
      <c r="B15708" s="12" t="str">
        <f ca="1">IFERROR(__xludf.DUMMYFUNCTION("""COMPUTED_VALUE"""),"")</f>
        <v/>
      </c>
      <c r="C15708" s="12" t="str">
        <f ca="1">IFERROR(__xludf.DUMMYFUNCTION("""COMPUTED_VALUE"""),"")</f>
        <v/>
      </c>
      <c r="D15708" s="12" t="str">
        <f ca="1">IFERROR(__xludf.DUMMYFUNCTION("""COMPUTED_VALUE"""),"")</f>
        <v/>
      </c>
    </row>
    <row r="15709" spans="2:4" ht="13">
      <c r="B15709" s="12" t="str">
        <f ca="1">IFERROR(__xludf.DUMMYFUNCTION("""COMPUTED_VALUE"""),"")</f>
        <v/>
      </c>
      <c r="C15709" s="12" t="str">
        <f ca="1">IFERROR(__xludf.DUMMYFUNCTION("""COMPUTED_VALUE"""),"")</f>
        <v/>
      </c>
      <c r="D15709" s="12" t="str">
        <f ca="1">IFERROR(__xludf.DUMMYFUNCTION("""COMPUTED_VALUE"""),"")</f>
        <v/>
      </c>
    </row>
    <row r="15710" spans="2:4" ht="13">
      <c r="B15710" s="12" t="str">
        <f ca="1">IFERROR(__xludf.DUMMYFUNCTION("""COMPUTED_VALUE"""),"")</f>
        <v/>
      </c>
      <c r="C15710" s="12" t="str">
        <f ca="1">IFERROR(__xludf.DUMMYFUNCTION("""COMPUTED_VALUE"""),"")</f>
        <v/>
      </c>
      <c r="D15710" s="12" t="str">
        <f ca="1">IFERROR(__xludf.DUMMYFUNCTION("""COMPUTED_VALUE"""),"")</f>
        <v/>
      </c>
    </row>
    <row r="15711" spans="2:4" ht="13">
      <c r="B15711" s="12" t="str">
        <f ca="1">IFERROR(__xludf.DUMMYFUNCTION("""COMPUTED_VALUE"""),"")</f>
        <v/>
      </c>
      <c r="C15711" s="12" t="str">
        <f ca="1">IFERROR(__xludf.DUMMYFUNCTION("""COMPUTED_VALUE"""),"")</f>
        <v/>
      </c>
      <c r="D15711" s="12" t="str">
        <f ca="1">IFERROR(__xludf.DUMMYFUNCTION("""COMPUTED_VALUE"""),"")</f>
        <v/>
      </c>
    </row>
    <row r="15712" spans="2:4" ht="13">
      <c r="B15712" s="12" t="str">
        <f ca="1">IFERROR(__xludf.DUMMYFUNCTION("""COMPUTED_VALUE"""),"")</f>
        <v/>
      </c>
      <c r="C15712" s="12" t="str">
        <f ca="1">IFERROR(__xludf.DUMMYFUNCTION("""COMPUTED_VALUE"""),"")</f>
        <v/>
      </c>
      <c r="D15712" s="12" t="str">
        <f ca="1">IFERROR(__xludf.DUMMYFUNCTION("""COMPUTED_VALUE"""),"")</f>
        <v/>
      </c>
    </row>
    <row r="15713" spans="2:4" ht="13">
      <c r="B15713" s="12" t="str">
        <f ca="1">IFERROR(__xludf.DUMMYFUNCTION("""COMPUTED_VALUE"""),"")</f>
        <v/>
      </c>
      <c r="C15713" s="12" t="str">
        <f ca="1">IFERROR(__xludf.DUMMYFUNCTION("""COMPUTED_VALUE"""),"")</f>
        <v/>
      </c>
      <c r="D15713" s="12" t="str">
        <f ca="1">IFERROR(__xludf.DUMMYFUNCTION("""COMPUTED_VALUE"""),"")</f>
        <v/>
      </c>
    </row>
    <row r="15714" spans="2:4" ht="13">
      <c r="B15714" s="12" t="str">
        <f ca="1">IFERROR(__xludf.DUMMYFUNCTION("""COMPUTED_VALUE"""),"")</f>
        <v/>
      </c>
      <c r="C15714" s="12" t="str">
        <f ca="1">IFERROR(__xludf.DUMMYFUNCTION("""COMPUTED_VALUE"""),"")</f>
        <v/>
      </c>
      <c r="D15714" s="12" t="str">
        <f ca="1">IFERROR(__xludf.DUMMYFUNCTION("""COMPUTED_VALUE"""),"")</f>
        <v/>
      </c>
    </row>
    <row r="15715" spans="2:4" ht="13">
      <c r="B15715" s="12" t="str">
        <f ca="1">IFERROR(__xludf.DUMMYFUNCTION("""COMPUTED_VALUE"""),"")</f>
        <v/>
      </c>
      <c r="C15715" s="12" t="str">
        <f ca="1">IFERROR(__xludf.DUMMYFUNCTION("""COMPUTED_VALUE"""),"")</f>
        <v/>
      </c>
      <c r="D15715" s="12" t="str">
        <f ca="1">IFERROR(__xludf.DUMMYFUNCTION("""COMPUTED_VALUE"""),"")</f>
        <v/>
      </c>
    </row>
    <row r="15716" spans="2:4" ht="13">
      <c r="B15716" s="12" t="str">
        <f ca="1">IFERROR(__xludf.DUMMYFUNCTION("""COMPUTED_VALUE"""),"")</f>
        <v/>
      </c>
      <c r="C15716" s="12" t="str">
        <f ca="1">IFERROR(__xludf.DUMMYFUNCTION("""COMPUTED_VALUE"""),"")</f>
        <v/>
      </c>
      <c r="D15716" s="12" t="str">
        <f ca="1">IFERROR(__xludf.DUMMYFUNCTION("""COMPUTED_VALUE"""),"")</f>
        <v/>
      </c>
    </row>
    <row r="15717" spans="2:4" ht="13">
      <c r="B15717" s="12" t="str">
        <f ca="1">IFERROR(__xludf.DUMMYFUNCTION("""COMPUTED_VALUE"""),"")</f>
        <v/>
      </c>
      <c r="C15717" s="12" t="str">
        <f ca="1">IFERROR(__xludf.DUMMYFUNCTION("""COMPUTED_VALUE"""),"")</f>
        <v/>
      </c>
      <c r="D15717" s="12" t="str">
        <f ca="1">IFERROR(__xludf.DUMMYFUNCTION("""COMPUTED_VALUE"""),"")</f>
        <v/>
      </c>
    </row>
    <row r="15718" spans="2:4" ht="13">
      <c r="B15718" s="12" t="str">
        <f ca="1">IFERROR(__xludf.DUMMYFUNCTION("""COMPUTED_VALUE"""),"")</f>
        <v/>
      </c>
      <c r="C15718" s="12" t="str">
        <f ca="1">IFERROR(__xludf.DUMMYFUNCTION("""COMPUTED_VALUE"""),"")</f>
        <v/>
      </c>
      <c r="D15718" s="12" t="str">
        <f ca="1">IFERROR(__xludf.DUMMYFUNCTION("""COMPUTED_VALUE"""),"")</f>
        <v/>
      </c>
    </row>
    <row r="15719" spans="2:4" ht="13">
      <c r="B15719" s="12" t="str">
        <f ca="1">IFERROR(__xludf.DUMMYFUNCTION("""COMPUTED_VALUE"""),"")</f>
        <v/>
      </c>
      <c r="C15719" s="12" t="str">
        <f ca="1">IFERROR(__xludf.DUMMYFUNCTION("""COMPUTED_VALUE"""),"")</f>
        <v/>
      </c>
      <c r="D15719" s="12" t="str">
        <f ca="1">IFERROR(__xludf.DUMMYFUNCTION("""COMPUTED_VALUE"""),"")</f>
        <v/>
      </c>
    </row>
    <row r="15720" spans="2:4" ht="13">
      <c r="B15720" s="12" t="str">
        <f ca="1">IFERROR(__xludf.DUMMYFUNCTION("""COMPUTED_VALUE"""),"")</f>
        <v/>
      </c>
      <c r="C15720" s="12" t="str">
        <f ca="1">IFERROR(__xludf.DUMMYFUNCTION("""COMPUTED_VALUE"""),"")</f>
        <v/>
      </c>
      <c r="D15720" s="12" t="str">
        <f ca="1">IFERROR(__xludf.DUMMYFUNCTION("""COMPUTED_VALUE"""),"")</f>
        <v/>
      </c>
    </row>
    <row r="15721" spans="2:4" ht="13">
      <c r="B15721" s="12" t="str">
        <f ca="1">IFERROR(__xludf.DUMMYFUNCTION("""COMPUTED_VALUE"""),"")</f>
        <v/>
      </c>
      <c r="C15721" s="12" t="str">
        <f ca="1">IFERROR(__xludf.DUMMYFUNCTION("""COMPUTED_VALUE"""),"")</f>
        <v/>
      </c>
      <c r="D15721" s="12" t="str">
        <f ca="1">IFERROR(__xludf.DUMMYFUNCTION("""COMPUTED_VALUE"""),"")</f>
        <v/>
      </c>
    </row>
    <row r="15722" spans="2:4" ht="13">
      <c r="B15722" s="12" t="str">
        <f ca="1">IFERROR(__xludf.DUMMYFUNCTION("""COMPUTED_VALUE"""),"")</f>
        <v/>
      </c>
      <c r="C15722" s="12" t="str">
        <f ca="1">IFERROR(__xludf.DUMMYFUNCTION("""COMPUTED_VALUE"""),"")</f>
        <v/>
      </c>
      <c r="D15722" s="12" t="str">
        <f ca="1">IFERROR(__xludf.DUMMYFUNCTION("""COMPUTED_VALUE"""),"")</f>
        <v/>
      </c>
    </row>
    <row r="15723" spans="2:4" ht="13">
      <c r="B15723" s="12" t="str">
        <f ca="1">IFERROR(__xludf.DUMMYFUNCTION("""COMPUTED_VALUE"""),"")</f>
        <v/>
      </c>
      <c r="C15723" s="12" t="str">
        <f ca="1">IFERROR(__xludf.DUMMYFUNCTION("""COMPUTED_VALUE"""),"")</f>
        <v/>
      </c>
      <c r="D15723" s="12" t="str">
        <f ca="1">IFERROR(__xludf.DUMMYFUNCTION("""COMPUTED_VALUE"""),"")</f>
        <v/>
      </c>
    </row>
    <row r="15724" spans="2:4" ht="13">
      <c r="B15724" s="12" t="str">
        <f ca="1">IFERROR(__xludf.DUMMYFUNCTION("""COMPUTED_VALUE"""),"")</f>
        <v/>
      </c>
      <c r="C15724" s="12" t="str">
        <f ca="1">IFERROR(__xludf.DUMMYFUNCTION("""COMPUTED_VALUE"""),"")</f>
        <v/>
      </c>
      <c r="D15724" s="12" t="str">
        <f ca="1">IFERROR(__xludf.DUMMYFUNCTION("""COMPUTED_VALUE"""),"")</f>
        <v/>
      </c>
    </row>
    <row r="15725" spans="2:4" ht="13">
      <c r="B15725" s="12" t="str">
        <f ca="1">IFERROR(__xludf.DUMMYFUNCTION("""COMPUTED_VALUE"""),"")</f>
        <v/>
      </c>
      <c r="C15725" s="12" t="str">
        <f ca="1">IFERROR(__xludf.DUMMYFUNCTION("""COMPUTED_VALUE"""),"")</f>
        <v/>
      </c>
      <c r="D15725" s="12" t="str">
        <f ca="1">IFERROR(__xludf.DUMMYFUNCTION("""COMPUTED_VALUE"""),"")</f>
        <v/>
      </c>
    </row>
    <row r="15726" spans="2:4" ht="13">
      <c r="B15726" s="12" t="str">
        <f ca="1">IFERROR(__xludf.DUMMYFUNCTION("""COMPUTED_VALUE"""),"")</f>
        <v/>
      </c>
      <c r="C15726" s="12" t="str">
        <f ca="1">IFERROR(__xludf.DUMMYFUNCTION("""COMPUTED_VALUE"""),"")</f>
        <v/>
      </c>
      <c r="D15726" s="12" t="str">
        <f ca="1">IFERROR(__xludf.DUMMYFUNCTION("""COMPUTED_VALUE"""),"")</f>
        <v/>
      </c>
    </row>
    <row r="15727" spans="2:4" ht="13">
      <c r="B15727" s="12" t="str">
        <f ca="1">IFERROR(__xludf.DUMMYFUNCTION("""COMPUTED_VALUE"""),"")</f>
        <v/>
      </c>
      <c r="C15727" s="12" t="str">
        <f ca="1">IFERROR(__xludf.DUMMYFUNCTION("""COMPUTED_VALUE"""),"")</f>
        <v/>
      </c>
      <c r="D15727" s="12" t="str">
        <f ca="1">IFERROR(__xludf.DUMMYFUNCTION("""COMPUTED_VALUE"""),"")</f>
        <v/>
      </c>
    </row>
    <row r="15728" spans="2:4" ht="13">
      <c r="B15728" s="12" t="str">
        <f ca="1">IFERROR(__xludf.DUMMYFUNCTION("""COMPUTED_VALUE"""),"")</f>
        <v/>
      </c>
      <c r="C15728" s="12" t="str">
        <f ca="1">IFERROR(__xludf.DUMMYFUNCTION("""COMPUTED_VALUE"""),"")</f>
        <v/>
      </c>
      <c r="D15728" s="12" t="str">
        <f ca="1">IFERROR(__xludf.DUMMYFUNCTION("""COMPUTED_VALUE"""),"")</f>
        <v/>
      </c>
    </row>
    <row r="15729" spans="2:4" ht="13">
      <c r="B15729" s="12" t="str">
        <f ca="1">IFERROR(__xludf.DUMMYFUNCTION("""COMPUTED_VALUE"""),"")</f>
        <v/>
      </c>
      <c r="C15729" s="12" t="str">
        <f ca="1">IFERROR(__xludf.DUMMYFUNCTION("""COMPUTED_VALUE"""),"")</f>
        <v/>
      </c>
      <c r="D15729" s="12" t="str">
        <f ca="1">IFERROR(__xludf.DUMMYFUNCTION("""COMPUTED_VALUE"""),"")</f>
        <v/>
      </c>
    </row>
    <row r="15730" spans="2:4" ht="13">
      <c r="B15730" s="12" t="str">
        <f ca="1">IFERROR(__xludf.DUMMYFUNCTION("""COMPUTED_VALUE"""),"")</f>
        <v/>
      </c>
      <c r="C15730" s="12" t="str">
        <f ca="1">IFERROR(__xludf.DUMMYFUNCTION("""COMPUTED_VALUE"""),"")</f>
        <v/>
      </c>
      <c r="D15730" s="12" t="str">
        <f ca="1">IFERROR(__xludf.DUMMYFUNCTION("""COMPUTED_VALUE"""),"")</f>
        <v/>
      </c>
    </row>
    <row r="15731" spans="2:4" ht="13">
      <c r="B15731" s="12" t="str">
        <f ca="1">IFERROR(__xludf.DUMMYFUNCTION("""COMPUTED_VALUE"""),"")</f>
        <v/>
      </c>
      <c r="C15731" s="12" t="str">
        <f ca="1">IFERROR(__xludf.DUMMYFUNCTION("""COMPUTED_VALUE"""),"")</f>
        <v/>
      </c>
      <c r="D15731" s="12" t="str">
        <f ca="1">IFERROR(__xludf.DUMMYFUNCTION("""COMPUTED_VALUE"""),"")</f>
        <v/>
      </c>
    </row>
    <row r="15732" spans="2:4" ht="13">
      <c r="B15732" s="12" t="str">
        <f ca="1">IFERROR(__xludf.DUMMYFUNCTION("""COMPUTED_VALUE"""),"")</f>
        <v/>
      </c>
      <c r="C15732" s="12" t="str">
        <f ca="1">IFERROR(__xludf.DUMMYFUNCTION("""COMPUTED_VALUE"""),"")</f>
        <v/>
      </c>
      <c r="D15732" s="12" t="str">
        <f ca="1">IFERROR(__xludf.DUMMYFUNCTION("""COMPUTED_VALUE"""),"")</f>
        <v/>
      </c>
    </row>
    <row r="15733" spans="2:4" ht="13">
      <c r="B15733" s="12" t="str">
        <f ca="1">IFERROR(__xludf.DUMMYFUNCTION("""COMPUTED_VALUE"""),"")</f>
        <v/>
      </c>
      <c r="C15733" s="12" t="str">
        <f ca="1">IFERROR(__xludf.DUMMYFUNCTION("""COMPUTED_VALUE"""),"")</f>
        <v/>
      </c>
      <c r="D15733" s="12" t="str">
        <f ca="1">IFERROR(__xludf.DUMMYFUNCTION("""COMPUTED_VALUE"""),"")</f>
        <v/>
      </c>
    </row>
    <row r="15734" spans="2:4" ht="13">
      <c r="B15734" s="12" t="str">
        <f ca="1">IFERROR(__xludf.DUMMYFUNCTION("""COMPUTED_VALUE"""),"")</f>
        <v/>
      </c>
      <c r="C15734" s="12" t="str">
        <f ca="1">IFERROR(__xludf.DUMMYFUNCTION("""COMPUTED_VALUE"""),"")</f>
        <v/>
      </c>
      <c r="D15734" s="12" t="str">
        <f ca="1">IFERROR(__xludf.DUMMYFUNCTION("""COMPUTED_VALUE"""),"")</f>
        <v/>
      </c>
    </row>
    <row r="15735" spans="2:4" ht="13">
      <c r="B15735" s="12" t="str">
        <f ca="1">IFERROR(__xludf.DUMMYFUNCTION("""COMPUTED_VALUE"""),"")</f>
        <v/>
      </c>
      <c r="C15735" s="12" t="str">
        <f ca="1">IFERROR(__xludf.DUMMYFUNCTION("""COMPUTED_VALUE"""),"")</f>
        <v/>
      </c>
      <c r="D15735" s="12" t="str">
        <f ca="1">IFERROR(__xludf.DUMMYFUNCTION("""COMPUTED_VALUE"""),"")</f>
        <v/>
      </c>
    </row>
    <row r="15736" spans="2:4" ht="13">
      <c r="B15736" s="12" t="str">
        <f ca="1">IFERROR(__xludf.DUMMYFUNCTION("""COMPUTED_VALUE"""),"")</f>
        <v/>
      </c>
      <c r="C15736" s="12" t="str">
        <f ca="1">IFERROR(__xludf.DUMMYFUNCTION("""COMPUTED_VALUE"""),"")</f>
        <v/>
      </c>
      <c r="D15736" s="12" t="str">
        <f ca="1">IFERROR(__xludf.DUMMYFUNCTION("""COMPUTED_VALUE"""),"")</f>
        <v/>
      </c>
    </row>
    <row r="15737" spans="2:4" ht="13">
      <c r="B15737" s="12" t="str">
        <f ca="1">IFERROR(__xludf.DUMMYFUNCTION("""COMPUTED_VALUE"""),"")</f>
        <v/>
      </c>
      <c r="C15737" s="12" t="str">
        <f ca="1">IFERROR(__xludf.DUMMYFUNCTION("""COMPUTED_VALUE"""),"")</f>
        <v/>
      </c>
      <c r="D15737" s="12" t="str">
        <f ca="1">IFERROR(__xludf.DUMMYFUNCTION("""COMPUTED_VALUE"""),"")</f>
        <v/>
      </c>
    </row>
    <row r="15738" spans="2:4" ht="13">
      <c r="B15738" s="12" t="str">
        <f ca="1">IFERROR(__xludf.DUMMYFUNCTION("""COMPUTED_VALUE"""),"")</f>
        <v/>
      </c>
      <c r="C15738" s="12" t="str">
        <f ca="1">IFERROR(__xludf.DUMMYFUNCTION("""COMPUTED_VALUE"""),"")</f>
        <v/>
      </c>
      <c r="D15738" s="12" t="str">
        <f ca="1">IFERROR(__xludf.DUMMYFUNCTION("""COMPUTED_VALUE"""),"")</f>
        <v/>
      </c>
    </row>
    <row r="15739" spans="2:4" ht="13">
      <c r="B15739" s="12" t="str">
        <f ca="1">IFERROR(__xludf.DUMMYFUNCTION("""COMPUTED_VALUE"""),"")</f>
        <v/>
      </c>
      <c r="C15739" s="12" t="str">
        <f ca="1">IFERROR(__xludf.DUMMYFUNCTION("""COMPUTED_VALUE"""),"")</f>
        <v/>
      </c>
      <c r="D15739" s="12" t="str">
        <f ca="1">IFERROR(__xludf.DUMMYFUNCTION("""COMPUTED_VALUE"""),"")</f>
        <v/>
      </c>
    </row>
    <row r="15740" spans="2:4" ht="13">
      <c r="B15740" s="12" t="str">
        <f ca="1">IFERROR(__xludf.DUMMYFUNCTION("""COMPUTED_VALUE"""),"")</f>
        <v/>
      </c>
      <c r="C15740" s="12" t="str">
        <f ca="1">IFERROR(__xludf.DUMMYFUNCTION("""COMPUTED_VALUE"""),"")</f>
        <v/>
      </c>
      <c r="D15740" s="12" t="str">
        <f ca="1">IFERROR(__xludf.DUMMYFUNCTION("""COMPUTED_VALUE"""),"")</f>
        <v/>
      </c>
    </row>
    <row r="15741" spans="2:4" ht="13">
      <c r="B15741" s="12" t="str">
        <f ca="1">IFERROR(__xludf.DUMMYFUNCTION("""COMPUTED_VALUE"""),"")</f>
        <v/>
      </c>
      <c r="C15741" s="12" t="str">
        <f ca="1">IFERROR(__xludf.DUMMYFUNCTION("""COMPUTED_VALUE"""),"")</f>
        <v/>
      </c>
      <c r="D15741" s="12" t="str">
        <f ca="1">IFERROR(__xludf.DUMMYFUNCTION("""COMPUTED_VALUE"""),"")</f>
        <v/>
      </c>
    </row>
    <row r="15742" spans="2:4" ht="13">
      <c r="B15742" s="12" t="str">
        <f ca="1">IFERROR(__xludf.DUMMYFUNCTION("""COMPUTED_VALUE"""),"")</f>
        <v/>
      </c>
      <c r="C15742" s="12" t="str">
        <f ca="1">IFERROR(__xludf.DUMMYFUNCTION("""COMPUTED_VALUE"""),"")</f>
        <v/>
      </c>
      <c r="D15742" s="12" t="str">
        <f ca="1">IFERROR(__xludf.DUMMYFUNCTION("""COMPUTED_VALUE"""),"")</f>
        <v/>
      </c>
    </row>
    <row r="15743" spans="2:4" ht="13">
      <c r="B15743" s="12" t="str">
        <f ca="1">IFERROR(__xludf.DUMMYFUNCTION("""COMPUTED_VALUE"""),"")</f>
        <v/>
      </c>
      <c r="C15743" s="12" t="str">
        <f ca="1">IFERROR(__xludf.DUMMYFUNCTION("""COMPUTED_VALUE"""),"")</f>
        <v/>
      </c>
      <c r="D15743" s="12" t="str">
        <f ca="1">IFERROR(__xludf.DUMMYFUNCTION("""COMPUTED_VALUE"""),"")</f>
        <v/>
      </c>
    </row>
    <row r="15744" spans="2:4" ht="13">
      <c r="B15744" s="12" t="str">
        <f ca="1">IFERROR(__xludf.DUMMYFUNCTION("""COMPUTED_VALUE"""),"")</f>
        <v/>
      </c>
      <c r="C15744" s="12" t="str">
        <f ca="1">IFERROR(__xludf.DUMMYFUNCTION("""COMPUTED_VALUE"""),"")</f>
        <v/>
      </c>
      <c r="D15744" s="12" t="str">
        <f ca="1">IFERROR(__xludf.DUMMYFUNCTION("""COMPUTED_VALUE"""),"")</f>
        <v/>
      </c>
    </row>
    <row r="15745" spans="2:4" ht="13">
      <c r="B15745" s="12" t="str">
        <f ca="1">IFERROR(__xludf.DUMMYFUNCTION("""COMPUTED_VALUE"""),"")</f>
        <v/>
      </c>
      <c r="C15745" s="12" t="str">
        <f ca="1">IFERROR(__xludf.DUMMYFUNCTION("""COMPUTED_VALUE"""),"")</f>
        <v/>
      </c>
      <c r="D15745" s="12" t="str">
        <f ca="1">IFERROR(__xludf.DUMMYFUNCTION("""COMPUTED_VALUE"""),"")</f>
        <v/>
      </c>
    </row>
    <row r="15746" spans="2:4" ht="13">
      <c r="B15746" s="12" t="str">
        <f ca="1">IFERROR(__xludf.DUMMYFUNCTION("""COMPUTED_VALUE"""),"")</f>
        <v/>
      </c>
      <c r="C15746" s="12" t="str">
        <f ca="1">IFERROR(__xludf.DUMMYFUNCTION("""COMPUTED_VALUE"""),"")</f>
        <v/>
      </c>
      <c r="D15746" s="12" t="str">
        <f ca="1">IFERROR(__xludf.DUMMYFUNCTION("""COMPUTED_VALUE"""),"")</f>
        <v/>
      </c>
    </row>
    <row r="15747" spans="2:4" ht="13">
      <c r="B15747" s="12" t="str">
        <f ca="1">IFERROR(__xludf.DUMMYFUNCTION("""COMPUTED_VALUE"""),"")</f>
        <v/>
      </c>
      <c r="C15747" s="12" t="str">
        <f ca="1">IFERROR(__xludf.DUMMYFUNCTION("""COMPUTED_VALUE"""),"")</f>
        <v/>
      </c>
      <c r="D15747" s="12" t="str">
        <f ca="1">IFERROR(__xludf.DUMMYFUNCTION("""COMPUTED_VALUE"""),"")</f>
        <v/>
      </c>
    </row>
    <row r="15748" spans="2:4" ht="13">
      <c r="B15748" s="12" t="str">
        <f ca="1">IFERROR(__xludf.DUMMYFUNCTION("""COMPUTED_VALUE"""),"")</f>
        <v/>
      </c>
      <c r="C15748" s="12" t="str">
        <f ca="1">IFERROR(__xludf.DUMMYFUNCTION("""COMPUTED_VALUE"""),"")</f>
        <v/>
      </c>
      <c r="D15748" s="12" t="str">
        <f ca="1">IFERROR(__xludf.DUMMYFUNCTION("""COMPUTED_VALUE"""),"")</f>
        <v/>
      </c>
    </row>
    <row r="15749" spans="2:4" ht="13">
      <c r="B15749" s="12" t="str">
        <f ca="1">IFERROR(__xludf.DUMMYFUNCTION("""COMPUTED_VALUE"""),"")</f>
        <v/>
      </c>
      <c r="C15749" s="12" t="str">
        <f ca="1">IFERROR(__xludf.DUMMYFUNCTION("""COMPUTED_VALUE"""),"")</f>
        <v/>
      </c>
      <c r="D15749" s="12" t="str">
        <f ca="1">IFERROR(__xludf.DUMMYFUNCTION("""COMPUTED_VALUE"""),"")</f>
        <v/>
      </c>
    </row>
    <row r="15750" spans="2:4" ht="13">
      <c r="B15750" s="12" t="str">
        <f ca="1">IFERROR(__xludf.DUMMYFUNCTION("""COMPUTED_VALUE"""),"")</f>
        <v/>
      </c>
      <c r="C15750" s="12" t="str">
        <f ca="1">IFERROR(__xludf.DUMMYFUNCTION("""COMPUTED_VALUE"""),"")</f>
        <v/>
      </c>
      <c r="D15750" s="12" t="str">
        <f ca="1">IFERROR(__xludf.DUMMYFUNCTION("""COMPUTED_VALUE"""),"")</f>
        <v/>
      </c>
    </row>
    <row r="15751" spans="2:4" ht="13">
      <c r="B15751" s="12" t="str">
        <f ca="1">IFERROR(__xludf.DUMMYFUNCTION("""COMPUTED_VALUE"""),"")</f>
        <v/>
      </c>
      <c r="C15751" s="12" t="str">
        <f ca="1">IFERROR(__xludf.DUMMYFUNCTION("""COMPUTED_VALUE"""),"")</f>
        <v/>
      </c>
      <c r="D15751" s="12" t="str">
        <f ca="1">IFERROR(__xludf.DUMMYFUNCTION("""COMPUTED_VALUE"""),"")</f>
        <v/>
      </c>
    </row>
    <row r="15752" spans="2:4" ht="13">
      <c r="B15752" s="12" t="str">
        <f ca="1">IFERROR(__xludf.DUMMYFUNCTION("""COMPUTED_VALUE"""),"")</f>
        <v/>
      </c>
      <c r="C15752" s="12" t="str">
        <f ca="1">IFERROR(__xludf.DUMMYFUNCTION("""COMPUTED_VALUE"""),"")</f>
        <v/>
      </c>
      <c r="D15752" s="12" t="str">
        <f ca="1">IFERROR(__xludf.DUMMYFUNCTION("""COMPUTED_VALUE"""),"")</f>
        <v/>
      </c>
    </row>
    <row r="15753" spans="2:4" ht="13">
      <c r="B15753" s="12" t="str">
        <f ca="1">IFERROR(__xludf.DUMMYFUNCTION("""COMPUTED_VALUE"""),"")</f>
        <v/>
      </c>
      <c r="C15753" s="12" t="str">
        <f ca="1">IFERROR(__xludf.DUMMYFUNCTION("""COMPUTED_VALUE"""),"")</f>
        <v/>
      </c>
      <c r="D15753" s="12" t="str">
        <f ca="1">IFERROR(__xludf.DUMMYFUNCTION("""COMPUTED_VALUE"""),"")</f>
        <v/>
      </c>
    </row>
    <row r="15754" spans="2:4" ht="13">
      <c r="B15754" s="12" t="str">
        <f ca="1">IFERROR(__xludf.DUMMYFUNCTION("""COMPUTED_VALUE"""),"")</f>
        <v/>
      </c>
      <c r="C15754" s="12" t="str">
        <f ca="1">IFERROR(__xludf.DUMMYFUNCTION("""COMPUTED_VALUE"""),"")</f>
        <v/>
      </c>
      <c r="D15754" s="12" t="str">
        <f ca="1">IFERROR(__xludf.DUMMYFUNCTION("""COMPUTED_VALUE"""),"")</f>
        <v/>
      </c>
    </row>
    <row r="15755" spans="2:4" ht="13">
      <c r="B15755" s="12" t="str">
        <f ca="1">IFERROR(__xludf.DUMMYFUNCTION("""COMPUTED_VALUE"""),"")</f>
        <v/>
      </c>
      <c r="C15755" s="12" t="str">
        <f ca="1">IFERROR(__xludf.DUMMYFUNCTION("""COMPUTED_VALUE"""),"")</f>
        <v/>
      </c>
      <c r="D15755" s="12" t="str">
        <f ca="1">IFERROR(__xludf.DUMMYFUNCTION("""COMPUTED_VALUE"""),"")</f>
        <v/>
      </c>
    </row>
    <row r="15756" spans="2:4" ht="13">
      <c r="B15756" s="12" t="str">
        <f ca="1">IFERROR(__xludf.DUMMYFUNCTION("""COMPUTED_VALUE"""),"")</f>
        <v/>
      </c>
      <c r="C15756" s="12" t="str">
        <f ca="1">IFERROR(__xludf.DUMMYFUNCTION("""COMPUTED_VALUE"""),"")</f>
        <v/>
      </c>
      <c r="D15756" s="12" t="str">
        <f ca="1">IFERROR(__xludf.DUMMYFUNCTION("""COMPUTED_VALUE"""),"")</f>
        <v/>
      </c>
    </row>
    <row r="15757" spans="2:4" ht="13">
      <c r="B15757" s="12" t="str">
        <f ca="1">IFERROR(__xludf.DUMMYFUNCTION("""COMPUTED_VALUE"""),"")</f>
        <v/>
      </c>
      <c r="C15757" s="12" t="str">
        <f ca="1">IFERROR(__xludf.DUMMYFUNCTION("""COMPUTED_VALUE"""),"")</f>
        <v/>
      </c>
      <c r="D15757" s="12" t="str">
        <f ca="1">IFERROR(__xludf.DUMMYFUNCTION("""COMPUTED_VALUE"""),"")</f>
        <v/>
      </c>
    </row>
    <row r="15758" spans="2:4" ht="13">
      <c r="B15758" s="12" t="str">
        <f ca="1">IFERROR(__xludf.DUMMYFUNCTION("""COMPUTED_VALUE"""),"")</f>
        <v/>
      </c>
      <c r="C15758" s="12" t="str">
        <f ca="1">IFERROR(__xludf.DUMMYFUNCTION("""COMPUTED_VALUE"""),"")</f>
        <v/>
      </c>
      <c r="D15758" s="12" t="str">
        <f ca="1">IFERROR(__xludf.DUMMYFUNCTION("""COMPUTED_VALUE"""),"")</f>
        <v/>
      </c>
    </row>
    <row r="15759" spans="2:4" ht="13">
      <c r="B15759" s="12" t="str">
        <f ca="1">IFERROR(__xludf.DUMMYFUNCTION("""COMPUTED_VALUE"""),"")</f>
        <v/>
      </c>
      <c r="C15759" s="12" t="str">
        <f ca="1">IFERROR(__xludf.DUMMYFUNCTION("""COMPUTED_VALUE"""),"")</f>
        <v/>
      </c>
      <c r="D15759" s="12" t="str">
        <f ca="1">IFERROR(__xludf.DUMMYFUNCTION("""COMPUTED_VALUE"""),"")</f>
        <v/>
      </c>
    </row>
    <row r="15760" spans="2:4" ht="13">
      <c r="B15760" s="12" t="str">
        <f ca="1">IFERROR(__xludf.DUMMYFUNCTION("""COMPUTED_VALUE"""),"")</f>
        <v/>
      </c>
      <c r="C15760" s="12" t="str">
        <f ca="1">IFERROR(__xludf.DUMMYFUNCTION("""COMPUTED_VALUE"""),"")</f>
        <v/>
      </c>
      <c r="D15760" s="12" t="str">
        <f ca="1">IFERROR(__xludf.DUMMYFUNCTION("""COMPUTED_VALUE"""),"")</f>
        <v/>
      </c>
    </row>
    <row r="15761" spans="2:4" ht="13">
      <c r="B15761" s="12" t="str">
        <f ca="1">IFERROR(__xludf.DUMMYFUNCTION("""COMPUTED_VALUE"""),"")</f>
        <v/>
      </c>
      <c r="C15761" s="12" t="str">
        <f ca="1">IFERROR(__xludf.DUMMYFUNCTION("""COMPUTED_VALUE"""),"")</f>
        <v/>
      </c>
      <c r="D15761" s="12" t="str">
        <f ca="1">IFERROR(__xludf.DUMMYFUNCTION("""COMPUTED_VALUE"""),"")</f>
        <v/>
      </c>
    </row>
    <row r="15762" spans="2:4" ht="13">
      <c r="B15762" s="12" t="str">
        <f ca="1">IFERROR(__xludf.DUMMYFUNCTION("""COMPUTED_VALUE"""),"")</f>
        <v/>
      </c>
      <c r="C15762" s="12" t="str">
        <f ca="1">IFERROR(__xludf.DUMMYFUNCTION("""COMPUTED_VALUE"""),"")</f>
        <v/>
      </c>
      <c r="D15762" s="12" t="str">
        <f ca="1">IFERROR(__xludf.DUMMYFUNCTION("""COMPUTED_VALUE"""),"")</f>
        <v/>
      </c>
    </row>
    <row r="15763" spans="2:4" ht="13">
      <c r="B15763" s="12" t="str">
        <f ca="1">IFERROR(__xludf.DUMMYFUNCTION("""COMPUTED_VALUE"""),"")</f>
        <v/>
      </c>
      <c r="C15763" s="12" t="str">
        <f ca="1">IFERROR(__xludf.DUMMYFUNCTION("""COMPUTED_VALUE"""),"")</f>
        <v/>
      </c>
      <c r="D15763" s="12" t="str">
        <f ca="1">IFERROR(__xludf.DUMMYFUNCTION("""COMPUTED_VALUE"""),"")</f>
        <v/>
      </c>
    </row>
    <row r="15764" spans="2:4" ht="13">
      <c r="B15764" s="12" t="str">
        <f ca="1">IFERROR(__xludf.DUMMYFUNCTION("""COMPUTED_VALUE"""),"")</f>
        <v/>
      </c>
      <c r="C15764" s="12" t="str">
        <f ca="1">IFERROR(__xludf.DUMMYFUNCTION("""COMPUTED_VALUE"""),"")</f>
        <v/>
      </c>
      <c r="D15764" s="12" t="str">
        <f ca="1">IFERROR(__xludf.DUMMYFUNCTION("""COMPUTED_VALUE"""),"")</f>
        <v/>
      </c>
    </row>
    <row r="15765" spans="2:4" ht="13">
      <c r="B15765" s="12" t="str">
        <f ca="1">IFERROR(__xludf.DUMMYFUNCTION("""COMPUTED_VALUE"""),"")</f>
        <v/>
      </c>
      <c r="C15765" s="12" t="str">
        <f ca="1">IFERROR(__xludf.DUMMYFUNCTION("""COMPUTED_VALUE"""),"")</f>
        <v/>
      </c>
      <c r="D15765" s="12" t="str">
        <f ca="1">IFERROR(__xludf.DUMMYFUNCTION("""COMPUTED_VALUE"""),"")</f>
        <v/>
      </c>
    </row>
    <row r="15766" spans="2:4" ht="13">
      <c r="B15766" s="12" t="str">
        <f ca="1">IFERROR(__xludf.DUMMYFUNCTION("""COMPUTED_VALUE"""),"")</f>
        <v/>
      </c>
      <c r="C15766" s="12" t="str">
        <f ca="1">IFERROR(__xludf.DUMMYFUNCTION("""COMPUTED_VALUE"""),"")</f>
        <v/>
      </c>
      <c r="D15766" s="12" t="str">
        <f ca="1">IFERROR(__xludf.DUMMYFUNCTION("""COMPUTED_VALUE"""),"")</f>
        <v/>
      </c>
    </row>
    <row r="15767" spans="2:4" ht="13">
      <c r="B15767" s="12" t="str">
        <f ca="1">IFERROR(__xludf.DUMMYFUNCTION("""COMPUTED_VALUE"""),"")</f>
        <v/>
      </c>
      <c r="C15767" s="12" t="str">
        <f ca="1">IFERROR(__xludf.DUMMYFUNCTION("""COMPUTED_VALUE"""),"")</f>
        <v/>
      </c>
      <c r="D15767" s="12" t="str">
        <f ca="1">IFERROR(__xludf.DUMMYFUNCTION("""COMPUTED_VALUE"""),"")</f>
        <v/>
      </c>
    </row>
    <row r="15768" spans="2:4" ht="13">
      <c r="B15768" s="12" t="str">
        <f ca="1">IFERROR(__xludf.DUMMYFUNCTION("""COMPUTED_VALUE"""),"")</f>
        <v/>
      </c>
      <c r="C15768" s="12" t="str">
        <f ca="1">IFERROR(__xludf.DUMMYFUNCTION("""COMPUTED_VALUE"""),"")</f>
        <v/>
      </c>
      <c r="D15768" s="12" t="str">
        <f ca="1">IFERROR(__xludf.DUMMYFUNCTION("""COMPUTED_VALUE"""),"")</f>
        <v/>
      </c>
    </row>
    <row r="15769" spans="2:4" ht="13">
      <c r="B15769" s="12" t="str">
        <f ca="1">IFERROR(__xludf.DUMMYFUNCTION("""COMPUTED_VALUE"""),"")</f>
        <v/>
      </c>
      <c r="C15769" s="12" t="str">
        <f ca="1">IFERROR(__xludf.DUMMYFUNCTION("""COMPUTED_VALUE"""),"")</f>
        <v/>
      </c>
      <c r="D15769" s="12" t="str">
        <f ca="1">IFERROR(__xludf.DUMMYFUNCTION("""COMPUTED_VALUE"""),"")</f>
        <v/>
      </c>
    </row>
    <row r="15770" spans="2:4" ht="13">
      <c r="B15770" s="12" t="str">
        <f ca="1">IFERROR(__xludf.DUMMYFUNCTION("""COMPUTED_VALUE"""),"")</f>
        <v/>
      </c>
      <c r="C15770" s="12" t="str">
        <f ca="1">IFERROR(__xludf.DUMMYFUNCTION("""COMPUTED_VALUE"""),"")</f>
        <v/>
      </c>
      <c r="D15770" s="12" t="str">
        <f ca="1">IFERROR(__xludf.DUMMYFUNCTION("""COMPUTED_VALUE"""),"")</f>
        <v/>
      </c>
    </row>
    <row r="15771" spans="2:4" ht="13">
      <c r="B15771" s="12" t="str">
        <f ca="1">IFERROR(__xludf.DUMMYFUNCTION("""COMPUTED_VALUE"""),"")</f>
        <v/>
      </c>
      <c r="C15771" s="12" t="str">
        <f ca="1">IFERROR(__xludf.DUMMYFUNCTION("""COMPUTED_VALUE"""),"")</f>
        <v/>
      </c>
      <c r="D15771" s="12" t="str">
        <f ca="1">IFERROR(__xludf.DUMMYFUNCTION("""COMPUTED_VALUE"""),"")</f>
        <v/>
      </c>
    </row>
    <row r="15772" spans="2:4" ht="13">
      <c r="B15772" s="12" t="str">
        <f ca="1">IFERROR(__xludf.DUMMYFUNCTION("""COMPUTED_VALUE"""),"")</f>
        <v/>
      </c>
      <c r="C15772" s="12" t="str">
        <f ca="1">IFERROR(__xludf.DUMMYFUNCTION("""COMPUTED_VALUE"""),"")</f>
        <v/>
      </c>
      <c r="D15772" s="12" t="str">
        <f ca="1">IFERROR(__xludf.DUMMYFUNCTION("""COMPUTED_VALUE"""),"")</f>
        <v/>
      </c>
    </row>
    <row r="15773" spans="2:4" ht="13">
      <c r="B15773" s="12" t="str">
        <f ca="1">IFERROR(__xludf.DUMMYFUNCTION("""COMPUTED_VALUE"""),"")</f>
        <v/>
      </c>
      <c r="C15773" s="12" t="str">
        <f ca="1">IFERROR(__xludf.DUMMYFUNCTION("""COMPUTED_VALUE"""),"")</f>
        <v/>
      </c>
      <c r="D15773" s="12" t="str">
        <f ca="1">IFERROR(__xludf.DUMMYFUNCTION("""COMPUTED_VALUE"""),"")</f>
        <v/>
      </c>
    </row>
    <row r="15774" spans="2:4" ht="13">
      <c r="B15774" s="12" t="str">
        <f ca="1">IFERROR(__xludf.DUMMYFUNCTION("""COMPUTED_VALUE"""),"")</f>
        <v/>
      </c>
      <c r="C15774" s="12" t="str">
        <f ca="1">IFERROR(__xludf.DUMMYFUNCTION("""COMPUTED_VALUE"""),"")</f>
        <v/>
      </c>
      <c r="D15774" s="12" t="str">
        <f ca="1">IFERROR(__xludf.DUMMYFUNCTION("""COMPUTED_VALUE"""),"")</f>
        <v/>
      </c>
    </row>
    <row r="15775" spans="2:4" ht="13">
      <c r="B15775" s="12" t="str">
        <f ca="1">IFERROR(__xludf.DUMMYFUNCTION("""COMPUTED_VALUE"""),"")</f>
        <v/>
      </c>
      <c r="C15775" s="12" t="str">
        <f ca="1">IFERROR(__xludf.DUMMYFUNCTION("""COMPUTED_VALUE"""),"")</f>
        <v/>
      </c>
      <c r="D15775" s="12" t="str">
        <f ca="1">IFERROR(__xludf.DUMMYFUNCTION("""COMPUTED_VALUE"""),"")</f>
        <v/>
      </c>
    </row>
    <row r="15776" spans="2:4" ht="13">
      <c r="B15776" s="12" t="str">
        <f ca="1">IFERROR(__xludf.DUMMYFUNCTION("""COMPUTED_VALUE"""),"")</f>
        <v/>
      </c>
      <c r="C15776" s="12" t="str">
        <f ca="1">IFERROR(__xludf.DUMMYFUNCTION("""COMPUTED_VALUE"""),"")</f>
        <v/>
      </c>
      <c r="D15776" s="12" t="str">
        <f ca="1">IFERROR(__xludf.DUMMYFUNCTION("""COMPUTED_VALUE"""),"")</f>
        <v/>
      </c>
    </row>
    <row r="15777" spans="2:4" ht="13">
      <c r="B15777" s="12" t="str">
        <f ca="1">IFERROR(__xludf.DUMMYFUNCTION("""COMPUTED_VALUE"""),"")</f>
        <v/>
      </c>
      <c r="C15777" s="12" t="str">
        <f ca="1">IFERROR(__xludf.DUMMYFUNCTION("""COMPUTED_VALUE"""),"")</f>
        <v/>
      </c>
      <c r="D15777" s="12" t="str">
        <f ca="1">IFERROR(__xludf.DUMMYFUNCTION("""COMPUTED_VALUE"""),"")</f>
        <v/>
      </c>
    </row>
    <row r="15778" spans="2:4" ht="13">
      <c r="B15778" s="12" t="str">
        <f ca="1">IFERROR(__xludf.DUMMYFUNCTION("""COMPUTED_VALUE"""),"")</f>
        <v/>
      </c>
      <c r="C15778" s="12" t="str">
        <f ca="1">IFERROR(__xludf.DUMMYFUNCTION("""COMPUTED_VALUE"""),"")</f>
        <v/>
      </c>
      <c r="D15778" s="12" t="str">
        <f ca="1">IFERROR(__xludf.DUMMYFUNCTION("""COMPUTED_VALUE"""),"")</f>
        <v/>
      </c>
    </row>
    <row r="15779" spans="2:4" ht="13">
      <c r="B15779" s="12" t="str">
        <f ca="1">IFERROR(__xludf.DUMMYFUNCTION("""COMPUTED_VALUE"""),"")</f>
        <v/>
      </c>
      <c r="C15779" s="12" t="str">
        <f ca="1">IFERROR(__xludf.DUMMYFUNCTION("""COMPUTED_VALUE"""),"")</f>
        <v/>
      </c>
      <c r="D15779" s="12" t="str">
        <f ca="1">IFERROR(__xludf.DUMMYFUNCTION("""COMPUTED_VALUE"""),"")</f>
        <v/>
      </c>
    </row>
    <row r="15780" spans="2:4" ht="13">
      <c r="B15780" s="12" t="str">
        <f ca="1">IFERROR(__xludf.DUMMYFUNCTION("""COMPUTED_VALUE"""),"")</f>
        <v/>
      </c>
      <c r="C15780" s="12" t="str">
        <f ca="1">IFERROR(__xludf.DUMMYFUNCTION("""COMPUTED_VALUE"""),"")</f>
        <v/>
      </c>
      <c r="D15780" s="12" t="str">
        <f ca="1">IFERROR(__xludf.DUMMYFUNCTION("""COMPUTED_VALUE"""),"")</f>
        <v/>
      </c>
    </row>
    <row r="15781" spans="2:4" ht="13">
      <c r="B15781" s="12" t="str">
        <f ca="1">IFERROR(__xludf.DUMMYFUNCTION("""COMPUTED_VALUE"""),"")</f>
        <v/>
      </c>
      <c r="C15781" s="12" t="str">
        <f ca="1">IFERROR(__xludf.DUMMYFUNCTION("""COMPUTED_VALUE"""),"")</f>
        <v/>
      </c>
      <c r="D15781" s="12" t="str">
        <f ca="1">IFERROR(__xludf.DUMMYFUNCTION("""COMPUTED_VALUE"""),"")</f>
        <v/>
      </c>
    </row>
    <row r="15782" spans="2:4" ht="13">
      <c r="B15782" s="12" t="str">
        <f ca="1">IFERROR(__xludf.DUMMYFUNCTION("""COMPUTED_VALUE"""),"")</f>
        <v/>
      </c>
      <c r="C15782" s="12" t="str">
        <f ca="1">IFERROR(__xludf.DUMMYFUNCTION("""COMPUTED_VALUE"""),"")</f>
        <v/>
      </c>
      <c r="D15782" s="12" t="str">
        <f ca="1">IFERROR(__xludf.DUMMYFUNCTION("""COMPUTED_VALUE"""),"")</f>
        <v/>
      </c>
    </row>
    <row r="15783" spans="2:4" ht="13">
      <c r="B15783" s="12" t="str">
        <f ca="1">IFERROR(__xludf.DUMMYFUNCTION("""COMPUTED_VALUE"""),"")</f>
        <v/>
      </c>
      <c r="C15783" s="12" t="str">
        <f ca="1">IFERROR(__xludf.DUMMYFUNCTION("""COMPUTED_VALUE"""),"")</f>
        <v/>
      </c>
      <c r="D15783" s="12" t="str">
        <f ca="1">IFERROR(__xludf.DUMMYFUNCTION("""COMPUTED_VALUE"""),"")</f>
        <v/>
      </c>
    </row>
    <row r="15784" spans="2:4" ht="13">
      <c r="B15784" s="12" t="str">
        <f ca="1">IFERROR(__xludf.DUMMYFUNCTION("""COMPUTED_VALUE"""),"")</f>
        <v/>
      </c>
      <c r="C15784" s="12" t="str">
        <f ca="1">IFERROR(__xludf.DUMMYFUNCTION("""COMPUTED_VALUE"""),"")</f>
        <v/>
      </c>
      <c r="D15784" s="12" t="str">
        <f ca="1">IFERROR(__xludf.DUMMYFUNCTION("""COMPUTED_VALUE"""),"")</f>
        <v/>
      </c>
    </row>
    <row r="15785" spans="2:4" ht="13">
      <c r="B15785" s="12" t="str">
        <f ca="1">IFERROR(__xludf.DUMMYFUNCTION("""COMPUTED_VALUE"""),"")</f>
        <v/>
      </c>
      <c r="C15785" s="12" t="str">
        <f ca="1">IFERROR(__xludf.DUMMYFUNCTION("""COMPUTED_VALUE"""),"")</f>
        <v/>
      </c>
      <c r="D15785" s="12" t="str">
        <f ca="1">IFERROR(__xludf.DUMMYFUNCTION("""COMPUTED_VALUE"""),"")</f>
        <v/>
      </c>
    </row>
    <row r="15786" spans="2:4" ht="13">
      <c r="B15786" s="12" t="str">
        <f ca="1">IFERROR(__xludf.DUMMYFUNCTION("""COMPUTED_VALUE"""),"")</f>
        <v/>
      </c>
      <c r="C15786" s="12" t="str">
        <f ca="1">IFERROR(__xludf.DUMMYFUNCTION("""COMPUTED_VALUE"""),"")</f>
        <v/>
      </c>
      <c r="D15786" s="12" t="str">
        <f ca="1">IFERROR(__xludf.DUMMYFUNCTION("""COMPUTED_VALUE"""),"")</f>
        <v/>
      </c>
    </row>
    <row r="15787" spans="2:4" ht="13">
      <c r="B15787" s="12" t="str">
        <f ca="1">IFERROR(__xludf.DUMMYFUNCTION("""COMPUTED_VALUE"""),"")</f>
        <v/>
      </c>
      <c r="C15787" s="12" t="str">
        <f ca="1">IFERROR(__xludf.DUMMYFUNCTION("""COMPUTED_VALUE"""),"")</f>
        <v/>
      </c>
      <c r="D15787" s="12" t="str">
        <f ca="1">IFERROR(__xludf.DUMMYFUNCTION("""COMPUTED_VALUE"""),"")</f>
        <v/>
      </c>
    </row>
    <row r="15788" spans="2:4" ht="13">
      <c r="B15788" s="12" t="str">
        <f ca="1">IFERROR(__xludf.DUMMYFUNCTION("""COMPUTED_VALUE"""),"")</f>
        <v/>
      </c>
      <c r="C15788" s="12" t="str">
        <f ca="1">IFERROR(__xludf.DUMMYFUNCTION("""COMPUTED_VALUE"""),"")</f>
        <v/>
      </c>
      <c r="D15788" s="12" t="str">
        <f ca="1">IFERROR(__xludf.DUMMYFUNCTION("""COMPUTED_VALUE"""),"")</f>
        <v/>
      </c>
    </row>
    <row r="15789" spans="2:4" ht="13">
      <c r="B15789" s="12" t="str">
        <f ca="1">IFERROR(__xludf.DUMMYFUNCTION("""COMPUTED_VALUE"""),"")</f>
        <v/>
      </c>
      <c r="C15789" s="12" t="str">
        <f ca="1">IFERROR(__xludf.DUMMYFUNCTION("""COMPUTED_VALUE"""),"")</f>
        <v/>
      </c>
      <c r="D15789" s="12" t="str">
        <f ca="1">IFERROR(__xludf.DUMMYFUNCTION("""COMPUTED_VALUE"""),"")</f>
        <v/>
      </c>
    </row>
    <row r="15790" spans="2:4" ht="13">
      <c r="B15790" s="12" t="str">
        <f ca="1">IFERROR(__xludf.DUMMYFUNCTION("""COMPUTED_VALUE"""),"")</f>
        <v/>
      </c>
      <c r="C15790" s="12" t="str">
        <f ca="1">IFERROR(__xludf.DUMMYFUNCTION("""COMPUTED_VALUE"""),"")</f>
        <v/>
      </c>
      <c r="D15790" s="12" t="str">
        <f ca="1">IFERROR(__xludf.DUMMYFUNCTION("""COMPUTED_VALUE"""),"")</f>
        <v/>
      </c>
    </row>
    <row r="15791" spans="2:4" ht="13">
      <c r="B15791" s="12" t="str">
        <f ca="1">IFERROR(__xludf.DUMMYFUNCTION("""COMPUTED_VALUE"""),"")</f>
        <v/>
      </c>
      <c r="C15791" s="12" t="str">
        <f ca="1">IFERROR(__xludf.DUMMYFUNCTION("""COMPUTED_VALUE"""),"")</f>
        <v/>
      </c>
      <c r="D15791" s="12" t="str">
        <f ca="1">IFERROR(__xludf.DUMMYFUNCTION("""COMPUTED_VALUE"""),"")</f>
        <v/>
      </c>
    </row>
    <row r="15792" spans="2:4" ht="13">
      <c r="B15792" s="12" t="str">
        <f ca="1">IFERROR(__xludf.DUMMYFUNCTION("""COMPUTED_VALUE"""),"")</f>
        <v/>
      </c>
      <c r="C15792" s="12" t="str">
        <f ca="1">IFERROR(__xludf.DUMMYFUNCTION("""COMPUTED_VALUE"""),"")</f>
        <v/>
      </c>
      <c r="D15792" s="12" t="str">
        <f ca="1">IFERROR(__xludf.DUMMYFUNCTION("""COMPUTED_VALUE"""),"")</f>
        <v/>
      </c>
    </row>
    <row r="15793" spans="2:4" ht="13">
      <c r="B15793" s="12" t="str">
        <f ca="1">IFERROR(__xludf.DUMMYFUNCTION("""COMPUTED_VALUE"""),"")</f>
        <v/>
      </c>
      <c r="C15793" s="12" t="str">
        <f ca="1">IFERROR(__xludf.DUMMYFUNCTION("""COMPUTED_VALUE"""),"")</f>
        <v/>
      </c>
      <c r="D15793" s="12" t="str">
        <f ca="1">IFERROR(__xludf.DUMMYFUNCTION("""COMPUTED_VALUE"""),"")</f>
        <v/>
      </c>
    </row>
    <row r="15794" spans="2:4" ht="13">
      <c r="B15794" s="12" t="str">
        <f ca="1">IFERROR(__xludf.DUMMYFUNCTION("""COMPUTED_VALUE"""),"")</f>
        <v/>
      </c>
      <c r="C15794" s="12" t="str">
        <f ca="1">IFERROR(__xludf.DUMMYFUNCTION("""COMPUTED_VALUE"""),"")</f>
        <v/>
      </c>
      <c r="D15794" s="12" t="str">
        <f ca="1">IFERROR(__xludf.DUMMYFUNCTION("""COMPUTED_VALUE"""),"")</f>
        <v/>
      </c>
    </row>
    <row r="15795" spans="2:4" ht="13">
      <c r="B15795" s="12" t="str">
        <f ca="1">IFERROR(__xludf.DUMMYFUNCTION("""COMPUTED_VALUE"""),"")</f>
        <v/>
      </c>
      <c r="C15795" s="12" t="str">
        <f ca="1">IFERROR(__xludf.DUMMYFUNCTION("""COMPUTED_VALUE"""),"")</f>
        <v/>
      </c>
      <c r="D15795" s="12" t="str">
        <f ca="1">IFERROR(__xludf.DUMMYFUNCTION("""COMPUTED_VALUE"""),"")</f>
        <v/>
      </c>
    </row>
    <row r="15796" spans="2:4" ht="13">
      <c r="B15796" s="12" t="str">
        <f ca="1">IFERROR(__xludf.DUMMYFUNCTION("""COMPUTED_VALUE"""),"")</f>
        <v/>
      </c>
      <c r="C15796" s="12" t="str">
        <f ca="1">IFERROR(__xludf.DUMMYFUNCTION("""COMPUTED_VALUE"""),"")</f>
        <v/>
      </c>
      <c r="D15796" s="12" t="str">
        <f ca="1">IFERROR(__xludf.DUMMYFUNCTION("""COMPUTED_VALUE"""),"")</f>
        <v/>
      </c>
    </row>
    <row r="15797" spans="2:4" ht="13">
      <c r="B15797" s="12" t="str">
        <f ca="1">IFERROR(__xludf.DUMMYFUNCTION("""COMPUTED_VALUE"""),"")</f>
        <v/>
      </c>
      <c r="C15797" s="12" t="str">
        <f ca="1">IFERROR(__xludf.DUMMYFUNCTION("""COMPUTED_VALUE"""),"")</f>
        <v/>
      </c>
      <c r="D15797" s="12" t="str">
        <f ca="1">IFERROR(__xludf.DUMMYFUNCTION("""COMPUTED_VALUE"""),"")</f>
        <v/>
      </c>
    </row>
    <row r="15798" spans="2:4" ht="13">
      <c r="B15798" s="12" t="str">
        <f ca="1">IFERROR(__xludf.DUMMYFUNCTION("""COMPUTED_VALUE"""),"")</f>
        <v/>
      </c>
      <c r="C15798" s="12" t="str">
        <f ca="1">IFERROR(__xludf.DUMMYFUNCTION("""COMPUTED_VALUE"""),"")</f>
        <v/>
      </c>
      <c r="D15798" s="12" t="str">
        <f ca="1">IFERROR(__xludf.DUMMYFUNCTION("""COMPUTED_VALUE"""),"")</f>
        <v/>
      </c>
    </row>
    <row r="15799" spans="2:4" ht="13">
      <c r="B15799" s="12" t="str">
        <f ca="1">IFERROR(__xludf.DUMMYFUNCTION("""COMPUTED_VALUE"""),"")</f>
        <v/>
      </c>
      <c r="C15799" s="12" t="str">
        <f ca="1">IFERROR(__xludf.DUMMYFUNCTION("""COMPUTED_VALUE"""),"")</f>
        <v/>
      </c>
      <c r="D15799" s="12" t="str">
        <f ca="1">IFERROR(__xludf.DUMMYFUNCTION("""COMPUTED_VALUE"""),"")</f>
        <v/>
      </c>
    </row>
    <row r="15800" spans="2:4" ht="13">
      <c r="B15800" s="12" t="str">
        <f ca="1">IFERROR(__xludf.DUMMYFUNCTION("""COMPUTED_VALUE"""),"")</f>
        <v/>
      </c>
      <c r="C15800" s="12" t="str">
        <f ca="1">IFERROR(__xludf.DUMMYFUNCTION("""COMPUTED_VALUE"""),"")</f>
        <v/>
      </c>
      <c r="D15800" s="12" t="str">
        <f ca="1">IFERROR(__xludf.DUMMYFUNCTION("""COMPUTED_VALUE"""),"")</f>
        <v/>
      </c>
    </row>
    <row r="15801" spans="2:4" ht="13">
      <c r="B15801" s="12" t="str">
        <f ca="1">IFERROR(__xludf.DUMMYFUNCTION("""COMPUTED_VALUE"""),"")</f>
        <v/>
      </c>
      <c r="C15801" s="12" t="str">
        <f ca="1">IFERROR(__xludf.DUMMYFUNCTION("""COMPUTED_VALUE"""),"")</f>
        <v/>
      </c>
      <c r="D15801" s="12" t="str">
        <f ca="1">IFERROR(__xludf.DUMMYFUNCTION("""COMPUTED_VALUE"""),"")</f>
        <v/>
      </c>
    </row>
    <row r="15802" spans="2:4" ht="13">
      <c r="B15802" s="12" t="str">
        <f ca="1">IFERROR(__xludf.DUMMYFUNCTION("""COMPUTED_VALUE"""),"")</f>
        <v/>
      </c>
      <c r="C15802" s="12" t="str">
        <f ca="1">IFERROR(__xludf.DUMMYFUNCTION("""COMPUTED_VALUE"""),"")</f>
        <v/>
      </c>
      <c r="D15802" s="12" t="str">
        <f ca="1">IFERROR(__xludf.DUMMYFUNCTION("""COMPUTED_VALUE"""),"")</f>
        <v/>
      </c>
    </row>
    <row r="15803" spans="2:4" ht="13">
      <c r="B15803" s="12" t="str">
        <f ca="1">IFERROR(__xludf.DUMMYFUNCTION("""COMPUTED_VALUE"""),"")</f>
        <v/>
      </c>
      <c r="C15803" s="12" t="str">
        <f ca="1">IFERROR(__xludf.DUMMYFUNCTION("""COMPUTED_VALUE"""),"")</f>
        <v/>
      </c>
      <c r="D15803" s="12" t="str">
        <f ca="1">IFERROR(__xludf.DUMMYFUNCTION("""COMPUTED_VALUE"""),"")</f>
        <v/>
      </c>
    </row>
    <row r="15804" spans="2:4" ht="13">
      <c r="B15804" s="12" t="str">
        <f ca="1">IFERROR(__xludf.DUMMYFUNCTION("""COMPUTED_VALUE"""),"")</f>
        <v/>
      </c>
      <c r="C15804" s="12" t="str">
        <f ca="1">IFERROR(__xludf.DUMMYFUNCTION("""COMPUTED_VALUE"""),"")</f>
        <v/>
      </c>
      <c r="D15804" s="12" t="str">
        <f ca="1">IFERROR(__xludf.DUMMYFUNCTION("""COMPUTED_VALUE"""),"")</f>
        <v/>
      </c>
    </row>
    <row r="15805" spans="2:4" ht="13">
      <c r="B15805" s="12" t="str">
        <f ca="1">IFERROR(__xludf.DUMMYFUNCTION("""COMPUTED_VALUE"""),"")</f>
        <v/>
      </c>
      <c r="C15805" s="12" t="str">
        <f ca="1">IFERROR(__xludf.DUMMYFUNCTION("""COMPUTED_VALUE"""),"")</f>
        <v/>
      </c>
      <c r="D15805" s="12" t="str">
        <f ca="1">IFERROR(__xludf.DUMMYFUNCTION("""COMPUTED_VALUE"""),"")</f>
        <v/>
      </c>
    </row>
    <row r="15806" spans="2:4" ht="13">
      <c r="B15806" s="12" t="str">
        <f ca="1">IFERROR(__xludf.DUMMYFUNCTION("""COMPUTED_VALUE"""),"")</f>
        <v/>
      </c>
      <c r="C15806" s="12" t="str">
        <f ca="1">IFERROR(__xludf.DUMMYFUNCTION("""COMPUTED_VALUE"""),"")</f>
        <v/>
      </c>
      <c r="D15806" s="12" t="str">
        <f ca="1">IFERROR(__xludf.DUMMYFUNCTION("""COMPUTED_VALUE"""),"")</f>
        <v/>
      </c>
    </row>
    <row r="15807" spans="2:4" ht="13">
      <c r="B15807" s="12" t="str">
        <f ca="1">IFERROR(__xludf.DUMMYFUNCTION("""COMPUTED_VALUE"""),"")</f>
        <v/>
      </c>
      <c r="C15807" s="12" t="str">
        <f ca="1">IFERROR(__xludf.DUMMYFUNCTION("""COMPUTED_VALUE"""),"")</f>
        <v/>
      </c>
      <c r="D15807" s="12" t="str">
        <f ca="1">IFERROR(__xludf.DUMMYFUNCTION("""COMPUTED_VALUE"""),"")</f>
        <v/>
      </c>
    </row>
    <row r="15808" spans="2:4" ht="13">
      <c r="B15808" s="12" t="str">
        <f ca="1">IFERROR(__xludf.DUMMYFUNCTION("""COMPUTED_VALUE"""),"")</f>
        <v/>
      </c>
      <c r="C15808" s="12" t="str">
        <f ca="1">IFERROR(__xludf.DUMMYFUNCTION("""COMPUTED_VALUE"""),"")</f>
        <v/>
      </c>
      <c r="D15808" s="12" t="str">
        <f ca="1">IFERROR(__xludf.DUMMYFUNCTION("""COMPUTED_VALUE"""),"")</f>
        <v/>
      </c>
    </row>
    <row r="15809" spans="2:4" ht="13">
      <c r="B15809" s="12" t="str">
        <f ca="1">IFERROR(__xludf.DUMMYFUNCTION("""COMPUTED_VALUE"""),"")</f>
        <v/>
      </c>
      <c r="C15809" s="12" t="str">
        <f ca="1">IFERROR(__xludf.DUMMYFUNCTION("""COMPUTED_VALUE"""),"")</f>
        <v/>
      </c>
      <c r="D15809" s="12" t="str">
        <f ca="1">IFERROR(__xludf.DUMMYFUNCTION("""COMPUTED_VALUE"""),"")</f>
        <v/>
      </c>
    </row>
    <row r="15810" spans="2:4" ht="13">
      <c r="B15810" s="12" t="str">
        <f ca="1">IFERROR(__xludf.DUMMYFUNCTION("""COMPUTED_VALUE"""),"")</f>
        <v/>
      </c>
      <c r="C15810" s="12" t="str">
        <f ca="1">IFERROR(__xludf.DUMMYFUNCTION("""COMPUTED_VALUE"""),"")</f>
        <v/>
      </c>
      <c r="D15810" s="12" t="str">
        <f ca="1">IFERROR(__xludf.DUMMYFUNCTION("""COMPUTED_VALUE"""),"")</f>
        <v/>
      </c>
    </row>
    <row r="15811" spans="2:4" ht="13">
      <c r="B15811" s="12" t="str">
        <f ca="1">IFERROR(__xludf.DUMMYFUNCTION("""COMPUTED_VALUE"""),"")</f>
        <v/>
      </c>
      <c r="C15811" s="12" t="str">
        <f ca="1">IFERROR(__xludf.DUMMYFUNCTION("""COMPUTED_VALUE"""),"")</f>
        <v/>
      </c>
      <c r="D15811" s="12" t="str">
        <f ca="1">IFERROR(__xludf.DUMMYFUNCTION("""COMPUTED_VALUE"""),"")</f>
        <v/>
      </c>
    </row>
    <row r="15812" spans="2:4" ht="13">
      <c r="B15812" s="12" t="str">
        <f ca="1">IFERROR(__xludf.DUMMYFUNCTION("""COMPUTED_VALUE"""),"")</f>
        <v/>
      </c>
      <c r="C15812" s="12" t="str">
        <f ca="1">IFERROR(__xludf.DUMMYFUNCTION("""COMPUTED_VALUE"""),"")</f>
        <v/>
      </c>
      <c r="D15812" s="12" t="str">
        <f ca="1">IFERROR(__xludf.DUMMYFUNCTION("""COMPUTED_VALUE"""),"")</f>
        <v/>
      </c>
    </row>
    <row r="15813" spans="2:4" ht="13">
      <c r="B15813" s="12" t="str">
        <f ca="1">IFERROR(__xludf.DUMMYFUNCTION("""COMPUTED_VALUE"""),"")</f>
        <v/>
      </c>
      <c r="C15813" s="12" t="str">
        <f ca="1">IFERROR(__xludf.DUMMYFUNCTION("""COMPUTED_VALUE"""),"")</f>
        <v/>
      </c>
      <c r="D15813" s="12" t="str">
        <f ca="1">IFERROR(__xludf.DUMMYFUNCTION("""COMPUTED_VALUE"""),"")</f>
        <v/>
      </c>
    </row>
    <row r="15814" spans="2:4" ht="13">
      <c r="B15814" s="12" t="str">
        <f ca="1">IFERROR(__xludf.DUMMYFUNCTION("""COMPUTED_VALUE"""),"")</f>
        <v/>
      </c>
      <c r="C15814" s="12" t="str">
        <f ca="1">IFERROR(__xludf.DUMMYFUNCTION("""COMPUTED_VALUE"""),"")</f>
        <v/>
      </c>
      <c r="D15814" s="12" t="str">
        <f ca="1">IFERROR(__xludf.DUMMYFUNCTION("""COMPUTED_VALUE"""),"")</f>
        <v/>
      </c>
    </row>
    <row r="15815" spans="2:4" ht="13">
      <c r="B15815" s="12" t="str">
        <f ca="1">IFERROR(__xludf.DUMMYFUNCTION("""COMPUTED_VALUE"""),"")</f>
        <v/>
      </c>
      <c r="C15815" s="12" t="str">
        <f ca="1">IFERROR(__xludf.DUMMYFUNCTION("""COMPUTED_VALUE"""),"")</f>
        <v/>
      </c>
      <c r="D15815" s="12" t="str">
        <f ca="1">IFERROR(__xludf.DUMMYFUNCTION("""COMPUTED_VALUE"""),"")</f>
        <v/>
      </c>
    </row>
    <row r="15816" spans="2:4" ht="13">
      <c r="B15816" s="12" t="str">
        <f ca="1">IFERROR(__xludf.DUMMYFUNCTION("""COMPUTED_VALUE"""),"")</f>
        <v/>
      </c>
      <c r="C15816" s="12" t="str">
        <f ca="1">IFERROR(__xludf.DUMMYFUNCTION("""COMPUTED_VALUE"""),"")</f>
        <v/>
      </c>
      <c r="D15816" s="12" t="str">
        <f ca="1">IFERROR(__xludf.DUMMYFUNCTION("""COMPUTED_VALUE"""),"")</f>
        <v/>
      </c>
    </row>
    <row r="15817" spans="2:4" ht="13">
      <c r="B15817" s="12" t="str">
        <f ca="1">IFERROR(__xludf.DUMMYFUNCTION("""COMPUTED_VALUE"""),"")</f>
        <v/>
      </c>
      <c r="C15817" s="12" t="str">
        <f ca="1">IFERROR(__xludf.DUMMYFUNCTION("""COMPUTED_VALUE"""),"")</f>
        <v/>
      </c>
      <c r="D15817" s="12" t="str">
        <f ca="1">IFERROR(__xludf.DUMMYFUNCTION("""COMPUTED_VALUE"""),"")</f>
        <v/>
      </c>
    </row>
    <row r="15818" spans="2:4" ht="13">
      <c r="B15818" s="12" t="str">
        <f ca="1">IFERROR(__xludf.DUMMYFUNCTION("""COMPUTED_VALUE"""),"")</f>
        <v/>
      </c>
      <c r="C15818" s="12" t="str">
        <f ca="1">IFERROR(__xludf.DUMMYFUNCTION("""COMPUTED_VALUE"""),"")</f>
        <v/>
      </c>
      <c r="D15818" s="12" t="str">
        <f ca="1">IFERROR(__xludf.DUMMYFUNCTION("""COMPUTED_VALUE"""),"")</f>
        <v/>
      </c>
    </row>
    <row r="15819" spans="2:4" ht="13">
      <c r="B15819" s="12" t="str">
        <f ca="1">IFERROR(__xludf.DUMMYFUNCTION("""COMPUTED_VALUE"""),"")</f>
        <v/>
      </c>
      <c r="C15819" s="12" t="str">
        <f ca="1">IFERROR(__xludf.DUMMYFUNCTION("""COMPUTED_VALUE"""),"")</f>
        <v/>
      </c>
      <c r="D15819" s="12" t="str">
        <f ca="1">IFERROR(__xludf.DUMMYFUNCTION("""COMPUTED_VALUE"""),"")</f>
        <v/>
      </c>
    </row>
    <row r="15820" spans="2:4" ht="13">
      <c r="B15820" s="12" t="str">
        <f ca="1">IFERROR(__xludf.DUMMYFUNCTION("""COMPUTED_VALUE"""),"")</f>
        <v/>
      </c>
      <c r="C15820" s="12" t="str">
        <f ca="1">IFERROR(__xludf.DUMMYFUNCTION("""COMPUTED_VALUE"""),"")</f>
        <v/>
      </c>
      <c r="D15820" s="12" t="str">
        <f ca="1">IFERROR(__xludf.DUMMYFUNCTION("""COMPUTED_VALUE"""),"")</f>
        <v/>
      </c>
    </row>
    <row r="15821" spans="2:4" ht="13">
      <c r="B15821" s="12" t="str">
        <f ca="1">IFERROR(__xludf.DUMMYFUNCTION("""COMPUTED_VALUE"""),"")</f>
        <v/>
      </c>
      <c r="C15821" s="12" t="str">
        <f ca="1">IFERROR(__xludf.DUMMYFUNCTION("""COMPUTED_VALUE"""),"")</f>
        <v/>
      </c>
      <c r="D15821" s="12" t="str">
        <f ca="1">IFERROR(__xludf.DUMMYFUNCTION("""COMPUTED_VALUE"""),"")</f>
        <v/>
      </c>
    </row>
    <row r="15822" spans="2:4" ht="13">
      <c r="B15822" s="12" t="str">
        <f ca="1">IFERROR(__xludf.DUMMYFUNCTION("""COMPUTED_VALUE"""),"")</f>
        <v/>
      </c>
      <c r="C15822" s="12" t="str">
        <f ca="1">IFERROR(__xludf.DUMMYFUNCTION("""COMPUTED_VALUE"""),"")</f>
        <v/>
      </c>
      <c r="D15822" s="12" t="str">
        <f ca="1">IFERROR(__xludf.DUMMYFUNCTION("""COMPUTED_VALUE"""),"")</f>
        <v/>
      </c>
    </row>
    <row r="15823" spans="2:4" ht="13">
      <c r="B15823" s="12" t="str">
        <f ca="1">IFERROR(__xludf.DUMMYFUNCTION("""COMPUTED_VALUE"""),"")</f>
        <v/>
      </c>
      <c r="C15823" s="12" t="str">
        <f ca="1">IFERROR(__xludf.DUMMYFUNCTION("""COMPUTED_VALUE"""),"")</f>
        <v/>
      </c>
      <c r="D15823" s="12" t="str">
        <f ca="1">IFERROR(__xludf.DUMMYFUNCTION("""COMPUTED_VALUE"""),"")</f>
        <v/>
      </c>
    </row>
    <row r="15824" spans="2:4" ht="13">
      <c r="B15824" s="12" t="str">
        <f ca="1">IFERROR(__xludf.DUMMYFUNCTION("""COMPUTED_VALUE"""),"")</f>
        <v/>
      </c>
      <c r="C15824" s="12" t="str">
        <f ca="1">IFERROR(__xludf.DUMMYFUNCTION("""COMPUTED_VALUE"""),"")</f>
        <v/>
      </c>
      <c r="D15824" s="12" t="str">
        <f ca="1">IFERROR(__xludf.DUMMYFUNCTION("""COMPUTED_VALUE"""),"")</f>
        <v/>
      </c>
    </row>
    <row r="15825" spans="2:4" ht="13">
      <c r="B15825" s="12" t="str">
        <f ca="1">IFERROR(__xludf.DUMMYFUNCTION("""COMPUTED_VALUE"""),"")</f>
        <v/>
      </c>
      <c r="C15825" s="12" t="str">
        <f ca="1">IFERROR(__xludf.DUMMYFUNCTION("""COMPUTED_VALUE"""),"")</f>
        <v/>
      </c>
      <c r="D15825" s="12" t="str">
        <f ca="1">IFERROR(__xludf.DUMMYFUNCTION("""COMPUTED_VALUE"""),"")</f>
        <v/>
      </c>
    </row>
    <row r="15826" spans="2:4" ht="13">
      <c r="B15826" s="12" t="str">
        <f ca="1">IFERROR(__xludf.DUMMYFUNCTION("""COMPUTED_VALUE"""),"")</f>
        <v/>
      </c>
      <c r="C15826" s="12" t="str">
        <f ca="1">IFERROR(__xludf.DUMMYFUNCTION("""COMPUTED_VALUE"""),"")</f>
        <v/>
      </c>
      <c r="D15826" s="12" t="str">
        <f ca="1">IFERROR(__xludf.DUMMYFUNCTION("""COMPUTED_VALUE"""),"")</f>
        <v/>
      </c>
    </row>
    <row r="15827" spans="2:4" ht="13">
      <c r="B15827" s="12" t="str">
        <f ca="1">IFERROR(__xludf.DUMMYFUNCTION("""COMPUTED_VALUE"""),"")</f>
        <v/>
      </c>
      <c r="C15827" s="12" t="str">
        <f ca="1">IFERROR(__xludf.DUMMYFUNCTION("""COMPUTED_VALUE"""),"")</f>
        <v/>
      </c>
      <c r="D15827" s="12" t="str">
        <f ca="1">IFERROR(__xludf.DUMMYFUNCTION("""COMPUTED_VALUE"""),"")</f>
        <v/>
      </c>
    </row>
    <row r="15828" spans="2:4" ht="13">
      <c r="B15828" s="12" t="str">
        <f ca="1">IFERROR(__xludf.DUMMYFUNCTION("""COMPUTED_VALUE"""),"")</f>
        <v/>
      </c>
      <c r="C15828" s="12" t="str">
        <f ca="1">IFERROR(__xludf.DUMMYFUNCTION("""COMPUTED_VALUE"""),"")</f>
        <v/>
      </c>
      <c r="D15828" s="12" t="str">
        <f ca="1">IFERROR(__xludf.DUMMYFUNCTION("""COMPUTED_VALUE"""),"")</f>
        <v/>
      </c>
    </row>
    <row r="15829" spans="2:4" ht="13">
      <c r="B15829" s="12" t="str">
        <f ca="1">IFERROR(__xludf.DUMMYFUNCTION("""COMPUTED_VALUE"""),"")</f>
        <v/>
      </c>
      <c r="C15829" s="12" t="str">
        <f ca="1">IFERROR(__xludf.DUMMYFUNCTION("""COMPUTED_VALUE"""),"")</f>
        <v/>
      </c>
      <c r="D15829" s="12" t="str">
        <f ca="1">IFERROR(__xludf.DUMMYFUNCTION("""COMPUTED_VALUE"""),"")</f>
        <v/>
      </c>
    </row>
    <row r="15830" spans="2:4" ht="13">
      <c r="B15830" s="12" t="str">
        <f ca="1">IFERROR(__xludf.DUMMYFUNCTION("""COMPUTED_VALUE"""),"")</f>
        <v/>
      </c>
      <c r="C15830" s="12" t="str">
        <f ca="1">IFERROR(__xludf.DUMMYFUNCTION("""COMPUTED_VALUE"""),"")</f>
        <v/>
      </c>
      <c r="D15830" s="12" t="str">
        <f ca="1">IFERROR(__xludf.DUMMYFUNCTION("""COMPUTED_VALUE"""),"")</f>
        <v/>
      </c>
    </row>
    <row r="15831" spans="2:4" ht="13">
      <c r="B15831" s="12" t="str">
        <f ca="1">IFERROR(__xludf.DUMMYFUNCTION("""COMPUTED_VALUE"""),"")</f>
        <v/>
      </c>
      <c r="C15831" s="12" t="str">
        <f ca="1">IFERROR(__xludf.DUMMYFUNCTION("""COMPUTED_VALUE"""),"")</f>
        <v/>
      </c>
      <c r="D15831" s="12" t="str">
        <f ca="1">IFERROR(__xludf.DUMMYFUNCTION("""COMPUTED_VALUE"""),"")</f>
        <v/>
      </c>
    </row>
    <row r="15832" spans="2:4" ht="13">
      <c r="B15832" s="12" t="str">
        <f ca="1">IFERROR(__xludf.DUMMYFUNCTION("""COMPUTED_VALUE"""),"")</f>
        <v/>
      </c>
      <c r="C15832" s="12" t="str">
        <f ca="1">IFERROR(__xludf.DUMMYFUNCTION("""COMPUTED_VALUE"""),"")</f>
        <v/>
      </c>
      <c r="D15832" s="12" t="str">
        <f ca="1">IFERROR(__xludf.DUMMYFUNCTION("""COMPUTED_VALUE"""),"")</f>
        <v/>
      </c>
    </row>
    <row r="15833" spans="2:4" ht="13">
      <c r="B15833" s="12" t="str">
        <f ca="1">IFERROR(__xludf.DUMMYFUNCTION("""COMPUTED_VALUE"""),"")</f>
        <v/>
      </c>
      <c r="C15833" s="12" t="str">
        <f ca="1">IFERROR(__xludf.DUMMYFUNCTION("""COMPUTED_VALUE"""),"")</f>
        <v/>
      </c>
      <c r="D15833" s="12" t="str">
        <f ca="1">IFERROR(__xludf.DUMMYFUNCTION("""COMPUTED_VALUE"""),"")</f>
        <v/>
      </c>
    </row>
    <row r="15834" spans="2:4" ht="13">
      <c r="B15834" s="12" t="str">
        <f ca="1">IFERROR(__xludf.DUMMYFUNCTION("""COMPUTED_VALUE"""),"")</f>
        <v/>
      </c>
      <c r="C15834" s="12" t="str">
        <f ca="1">IFERROR(__xludf.DUMMYFUNCTION("""COMPUTED_VALUE"""),"")</f>
        <v/>
      </c>
      <c r="D15834" s="12" t="str">
        <f ca="1">IFERROR(__xludf.DUMMYFUNCTION("""COMPUTED_VALUE"""),"")</f>
        <v/>
      </c>
    </row>
    <row r="15835" spans="2:4" ht="13">
      <c r="B15835" s="12" t="str">
        <f ca="1">IFERROR(__xludf.DUMMYFUNCTION("""COMPUTED_VALUE"""),"")</f>
        <v/>
      </c>
      <c r="C15835" s="12" t="str">
        <f ca="1">IFERROR(__xludf.DUMMYFUNCTION("""COMPUTED_VALUE"""),"")</f>
        <v/>
      </c>
      <c r="D15835" s="12" t="str">
        <f ca="1">IFERROR(__xludf.DUMMYFUNCTION("""COMPUTED_VALUE"""),"")</f>
        <v/>
      </c>
    </row>
    <row r="15836" spans="2:4" ht="13">
      <c r="B15836" s="12" t="str">
        <f ca="1">IFERROR(__xludf.DUMMYFUNCTION("""COMPUTED_VALUE"""),"")</f>
        <v/>
      </c>
      <c r="C15836" s="12" t="str">
        <f ca="1">IFERROR(__xludf.DUMMYFUNCTION("""COMPUTED_VALUE"""),"")</f>
        <v/>
      </c>
      <c r="D15836" s="12" t="str">
        <f ca="1">IFERROR(__xludf.DUMMYFUNCTION("""COMPUTED_VALUE"""),"")</f>
        <v/>
      </c>
    </row>
    <row r="15837" spans="2:4" ht="13">
      <c r="B15837" s="12" t="str">
        <f ca="1">IFERROR(__xludf.DUMMYFUNCTION("""COMPUTED_VALUE"""),"")</f>
        <v/>
      </c>
      <c r="C15837" s="12" t="str">
        <f ca="1">IFERROR(__xludf.DUMMYFUNCTION("""COMPUTED_VALUE"""),"")</f>
        <v/>
      </c>
      <c r="D15837" s="12" t="str">
        <f ca="1">IFERROR(__xludf.DUMMYFUNCTION("""COMPUTED_VALUE"""),"")</f>
        <v/>
      </c>
    </row>
    <row r="15838" spans="2:4" ht="13">
      <c r="B15838" s="12" t="str">
        <f ca="1">IFERROR(__xludf.DUMMYFUNCTION("""COMPUTED_VALUE"""),"")</f>
        <v/>
      </c>
      <c r="C15838" s="12" t="str">
        <f ca="1">IFERROR(__xludf.DUMMYFUNCTION("""COMPUTED_VALUE"""),"")</f>
        <v/>
      </c>
      <c r="D15838" s="12" t="str">
        <f ca="1">IFERROR(__xludf.DUMMYFUNCTION("""COMPUTED_VALUE"""),"")</f>
        <v/>
      </c>
    </row>
    <row r="15839" spans="2:4" ht="13">
      <c r="B15839" s="12" t="str">
        <f ca="1">IFERROR(__xludf.DUMMYFUNCTION("""COMPUTED_VALUE"""),"")</f>
        <v/>
      </c>
      <c r="C15839" s="12" t="str">
        <f ca="1">IFERROR(__xludf.DUMMYFUNCTION("""COMPUTED_VALUE"""),"")</f>
        <v/>
      </c>
      <c r="D15839" s="12" t="str">
        <f ca="1">IFERROR(__xludf.DUMMYFUNCTION("""COMPUTED_VALUE"""),"")</f>
        <v/>
      </c>
    </row>
    <row r="15840" spans="2:4" ht="13">
      <c r="B15840" s="12" t="str">
        <f ca="1">IFERROR(__xludf.DUMMYFUNCTION("""COMPUTED_VALUE"""),"")</f>
        <v/>
      </c>
      <c r="C15840" s="12" t="str">
        <f ca="1">IFERROR(__xludf.DUMMYFUNCTION("""COMPUTED_VALUE"""),"")</f>
        <v/>
      </c>
      <c r="D15840" s="12" t="str">
        <f ca="1">IFERROR(__xludf.DUMMYFUNCTION("""COMPUTED_VALUE"""),"")</f>
        <v/>
      </c>
    </row>
    <row r="15841" spans="2:4" ht="13">
      <c r="B15841" s="12" t="str">
        <f ca="1">IFERROR(__xludf.DUMMYFUNCTION("""COMPUTED_VALUE"""),"")</f>
        <v/>
      </c>
      <c r="C15841" s="12" t="str">
        <f ca="1">IFERROR(__xludf.DUMMYFUNCTION("""COMPUTED_VALUE"""),"")</f>
        <v/>
      </c>
      <c r="D15841" s="12" t="str">
        <f ca="1">IFERROR(__xludf.DUMMYFUNCTION("""COMPUTED_VALUE"""),"")</f>
        <v/>
      </c>
    </row>
    <row r="15842" spans="2:4" ht="13">
      <c r="B15842" s="12" t="str">
        <f ca="1">IFERROR(__xludf.DUMMYFUNCTION("""COMPUTED_VALUE"""),"")</f>
        <v/>
      </c>
      <c r="C15842" s="12" t="str">
        <f ca="1">IFERROR(__xludf.DUMMYFUNCTION("""COMPUTED_VALUE"""),"")</f>
        <v/>
      </c>
      <c r="D15842" s="12" t="str">
        <f ca="1">IFERROR(__xludf.DUMMYFUNCTION("""COMPUTED_VALUE"""),"")</f>
        <v/>
      </c>
    </row>
    <row r="15843" spans="2:4" ht="13">
      <c r="B15843" s="12" t="str">
        <f ca="1">IFERROR(__xludf.DUMMYFUNCTION("""COMPUTED_VALUE"""),"")</f>
        <v/>
      </c>
      <c r="C15843" s="12" t="str">
        <f ca="1">IFERROR(__xludf.DUMMYFUNCTION("""COMPUTED_VALUE"""),"")</f>
        <v/>
      </c>
      <c r="D15843" s="12" t="str">
        <f ca="1">IFERROR(__xludf.DUMMYFUNCTION("""COMPUTED_VALUE"""),"")</f>
        <v/>
      </c>
    </row>
    <row r="15844" spans="2:4" ht="13">
      <c r="B15844" s="12" t="str">
        <f ca="1">IFERROR(__xludf.DUMMYFUNCTION("""COMPUTED_VALUE"""),"")</f>
        <v/>
      </c>
      <c r="C15844" s="12" t="str">
        <f ca="1">IFERROR(__xludf.DUMMYFUNCTION("""COMPUTED_VALUE"""),"")</f>
        <v/>
      </c>
      <c r="D15844" s="12" t="str">
        <f ca="1">IFERROR(__xludf.DUMMYFUNCTION("""COMPUTED_VALUE"""),"")</f>
        <v/>
      </c>
    </row>
    <row r="15845" spans="2:4" ht="13">
      <c r="B15845" s="12" t="str">
        <f ca="1">IFERROR(__xludf.DUMMYFUNCTION("""COMPUTED_VALUE"""),"")</f>
        <v/>
      </c>
      <c r="C15845" s="12" t="str">
        <f ca="1">IFERROR(__xludf.DUMMYFUNCTION("""COMPUTED_VALUE"""),"")</f>
        <v/>
      </c>
      <c r="D15845" s="12" t="str">
        <f ca="1">IFERROR(__xludf.DUMMYFUNCTION("""COMPUTED_VALUE"""),"")</f>
        <v/>
      </c>
    </row>
    <row r="15846" spans="2:4" ht="13">
      <c r="B15846" s="12" t="str">
        <f ca="1">IFERROR(__xludf.DUMMYFUNCTION("""COMPUTED_VALUE"""),"")</f>
        <v/>
      </c>
      <c r="C15846" s="12" t="str">
        <f ca="1">IFERROR(__xludf.DUMMYFUNCTION("""COMPUTED_VALUE"""),"")</f>
        <v/>
      </c>
      <c r="D15846" s="12" t="str">
        <f ca="1">IFERROR(__xludf.DUMMYFUNCTION("""COMPUTED_VALUE"""),"")</f>
        <v/>
      </c>
    </row>
    <row r="15847" spans="2:4" ht="13">
      <c r="B15847" s="12" t="str">
        <f ca="1">IFERROR(__xludf.DUMMYFUNCTION("""COMPUTED_VALUE"""),"")</f>
        <v/>
      </c>
      <c r="C15847" s="12" t="str">
        <f ca="1">IFERROR(__xludf.DUMMYFUNCTION("""COMPUTED_VALUE"""),"")</f>
        <v/>
      </c>
      <c r="D15847" s="12" t="str">
        <f ca="1">IFERROR(__xludf.DUMMYFUNCTION("""COMPUTED_VALUE"""),"")</f>
        <v/>
      </c>
    </row>
    <row r="15848" spans="2:4" ht="13">
      <c r="B15848" s="12" t="str">
        <f ca="1">IFERROR(__xludf.DUMMYFUNCTION("""COMPUTED_VALUE"""),"")</f>
        <v/>
      </c>
      <c r="C15848" s="12" t="str">
        <f ca="1">IFERROR(__xludf.DUMMYFUNCTION("""COMPUTED_VALUE"""),"")</f>
        <v/>
      </c>
      <c r="D15848" s="12" t="str">
        <f ca="1">IFERROR(__xludf.DUMMYFUNCTION("""COMPUTED_VALUE"""),"")</f>
        <v/>
      </c>
    </row>
    <row r="15849" spans="2:4" ht="13">
      <c r="B15849" s="12" t="str">
        <f ca="1">IFERROR(__xludf.DUMMYFUNCTION("""COMPUTED_VALUE"""),"")</f>
        <v/>
      </c>
      <c r="C15849" s="12" t="str">
        <f ca="1">IFERROR(__xludf.DUMMYFUNCTION("""COMPUTED_VALUE"""),"")</f>
        <v/>
      </c>
      <c r="D15849" s="12" t="str">
        <f ca="1">IFERROR(__xludf.DUMMYFUNCTION("""COMPUTED_VALUE"""),"")</f>
        <v/>
      </c>
    </row>
    <row r="15850" spans="2:4" ht="13">
      <c r="B15850" s="12" t="str">
        <f ca="1">IFERROR(__xludf.DUMMYFUNCTION("""COMPUTED_VALUE"""),"")</f>
        <v/>
      </c>
      <c r="C15850" s="12" t="str">
        <f ca="1">IFERROR(__xludf.DUMMYFUNCTION("""COMPUTED_VALUE"""),"")</f>
        <v/>
      </c>
      <c r="D15850" s="12" t="str">
        <f ca="1">IFERROR(__xludf.DUMMYFUNCTION("""COMPUTED_VALUE"""),"")</f>
        <v/>
      </c>
    </row>
    <row r="15851" spans="2:4" ht="13">
      <c r="B15851" s="12" t="str">
        <f ca="1">IFERROR(__xludf.DUMMYFUNCTION("""COMPUTED_VALUE"""),"")</f>
        <v/>
      </c>
      <c r="C15851" s="12" t="str">
        <f ca="1">IFERROR(__xludf.DUMMYFUNCTION("""COMPUTED_VALUE"""),"")</f>
        <v/>
      </c>
      <c r="D15851" s="12" t="str">
        <f ca="1">IFERROR(__xludf.DUMMYFUNCTION("""COMPUTED_VALUE"""),"")</f>
        <v/>
      </c>
    </row>
    <row r="15852" spans="2:4" ht="13">
      <c r="B15852" s="12" t="str">
        <f ca="1">IFERROR(__xludf.DUMMYFUNCTION("""COMPUTED_VALUE"""),"")</f>
        <v/>
      </c>
      <c r="C15852" s="12" t="str">
        <f ca="1">IFERROR(__xludf.DUMMYFUNCTION("""COMPUTED_VALUE"""),"")</f>
        <v/>
      </c>
      <c r="D15852" s="12" t="str">
        <f ca="1">IFERROR(__xludf.DUMMYFUNCTION("""COMPUTED_VALUE"""),"")</f>
        <v/>
      </c>
    </row>
    <row r="15853" spans="2:4" ht="13">
      <c r="B15853" s="12" t="str">
        <f ca="1">IFERROR(__xludf.DUMMYFUNCTION("""COMPUTED_VALUE"""),"")</f>
        <v/>
      </c>
      <c r="C15853" s="12" t="str">
        <f ca="1">IFERROR(__xludf.DUMMYFUNCTION("""COMPUTED_VALUE"""),"")</f>
        <v/>
      </c>
      <c r="D15853" s="12" t="str">
        <f ca="1">IFERROR(__xludf.DUMMYFUNCTION("""COMPUTED_VALUE"""),"")</f>
        <v/>
      </c>
    </row>
    <row r="15854" spans="2:4" ht="13">
      <c r="B15854" s="12" t="str">
        <f ca="1">IFERROR(__xludf.DUMMYFUNCTION("""COMPUTED_VALUE"""),"")</f>
        <v/>
      </c>
      <c r="C15854" s="12" t="str">
        <f ca="1">IFERROR(__xludf.DUMMYFUNCTION("""COMPUTED_VALUE"""),"")</f>
        <v/>
      </c>
      <c r="D15854" s="12" t="str">
        <f ca="1">IFERROR(__xludf.DUMMYFUNCTION("""COMPUTED_VALUE"""),"")</f>
        <v/>
      </c>
    </row>
    <row r="15855" spans="2:4" ht="13">
      <c r="B15855" s="12" t="str">
        <f ca="1">IFERROR(__xludf.DUMMYFUNCTION("""COMPUTED_VALUE"""),"")</f>
        <v/>
      </c>
      <c r="C15855" s="12" t="str">
        <f ca="1">IFERROR(__xludf.DUMMYFUNCTION("""COMPUTED_VALUE"""),"")</f>
        <v/>
      </c>
      <c r="D15855" s="12" t="str">
        <f ca="1">IFERROR(__xludf.DUMMYFUNCTION("""COMPUTED_VALUE"""),"")</f>
        <v/>
      </c>
    </row>
    <row r="15856" spans="2:4" ht="13">
      <c r="B15856" s="12" t="str">
        <f ca="1">IFERROR(__xludf.DUMMYFUNCTION("""COMPUTED_VALUE"""),"")</f>
        <v/>
      </c>
      <c r="C15856" s="12" t="str">
        <f ca="1">IFERROR(__xludf.DUMMYFUNCTION("""COMPUTED_VALUE"""),"")</f>
        <v/>
      </c>
      <c r="D15856" s="12" t="str">
        <f ca="1">IFERROR(__xludf.DUMMYFUNCTION("""COMPUTED_VALUE"""),"")</f>
        <v/>
      </c>
    </row>
    <row r="15857" spans="2:4" ht="13">
      <c r="B15857" s="12" t="str">
        <f ca="1">IFERROR(__xludf.DUMMYFUNCTION("""COMPUTED_VALUE"""),"")</f>
        <v/>
      </c>
      <c r="C15857" s="12" t="str">
        <f ca="1">IFERROR(__xludf.DUMMYFUNCTION("""COMPUTED_VALUE"""),"")</f>
        <v/>
      </c>
      <c r="D15857" s="12" t="str">
        <f ca="1">IFERROR(__xludf.DUMMYFUNCTION("""COMPUTED_VALUE"""),"")</f>
        <v/>
      </c>
    </row>
    <row r="15858" spans="2:4" ht="13">
      <c r="B15858" s="12" t="str">
        <f ca="1">IFERROR(__xludf.DUMMYFUNCTION("""COMPUTED_VALUE"""),"")</f>
        <v/>
      </c>
      <c r="C15858" s="12" t="str">
        <f ca="1">IFERROR(__xludf.DUMMYFUNCTION("""COMPUTED_VALUE"""),"")</f>
        <v/>
      </c>
      <c r="D15858" s="12" t="str">
        <f ca="1">IFERROR(__xludf.DUMMYFUNCTION("""COMPUTED_VALUE"""),"")</f>
        <v/>
      </c>
    </row>
    <row r="15859" spans="2:4" ht="13">
      <c r="B15859" s="12" t="str">
        <f ca="1">IFERROR(__xludf.DUMMYFUNCTION("""COMPUTED_VALUE"""),"")</f>
        <v/>
      </c>
      <c r="C15859" s="12" t="str">
        <f ca="1">IFERROR(__xludf.DUMMYFUNCTION("""COMPUTED_VALUE"""),"")</f>
        <v/>
      </c>
      <c r="D15859" s="12" t="str">
        <f ca="1">IFERROR(__xludf.DUMMYFUNCTION("""COMPUTED_VALUE"""),"")</f>
        <v/>
      </c>
    </row>
    <row r="15860" spans="2:4" ht="13">
      <c r="B15860" s="12" t="str">
        <f ca="1">IFERROR(__xludf.DUMMYFUNCTION("""COMPUTED_VALUE"""),"")</f>
        <v/>
      </c>
      <c r="C15860" s="12" t="str">
        <f ca="1">IFERROR(__xludf.DUMMYFUNCTION("""COMPUTED_VALUE"""),"")</f>
        <v/>
      </c>
      <c r="D15860" s="12" t="str">
        <f ca="1">IFERROR(__xludf.DUMMYFUNCTION("""COMPUTED_VALUE"""),"")</f>
        <v/>
      </c>
    </row>
    <row r="15861" spans="2:4" ht="13">
      <c r="B15861" s="12" t="str">
        <f ca="1">IFERROR(__xludf.DUMMYFUNCTION("""COMPUTED_VALUE"""),"")</f>
        <v/>
      </c>
      <c r="C15861" s="12" t="str">
        <f ca="1">IFERROR(__xludf.DUMMYFUNCTION("""COMPUTED_VALUE"""),"")</f>
        <v/>
      </c>
      <c r="D15861" s="12" t="str">
        <f ca="1">IFERROR(__xludf.DUMMYFUNCTION("""COMPUTED_VALUE"""),"")</f>
        <v/>
      </c>
    </row>
    <row r="15862" spans="2:4" ht="13">
      <c r="B15862" s="12" t="str">
        <f ca="1">IFERROR(__xludf.DUMMYFUNCTION("""COMPUTED_VALUE"""),"")</f>
        <v/>
      </c>
      <c r="C15862" s="12" t="str">
        <f ca="1">IFERROR(__xludf.DUMMYFUNCTION("""COMPUTED_VALUE"""),"")</f>
        <v/>
      </c>
      <c r="D15862" s="12" t="str">
        <f ca="1">IFERROR(__xludf.DUMMYFUNCTION("""COMPUTED_VALUE"""),"")</f>
        <v/>
      </c>
    </row>
    <row r="15863" spans="2:4" ht="13">
      <c r="B15863" s="12" t="str">
        <f ca="1">IFERROR(__xludf.DUMMYFUNCTION("""COMPUTED_VALUE"""),"")</f>
        <v/>
      </c>
      <c r="C15863" s="12" t="str">
        <f ca="1">IFERROR(__xludf.DUMMYFUNCTION("""COMPUTED_VALUE"""),"")</f>
        <v/>
      </c>
      <c r="D15863" s="12" t="str">
        <f ca="1">IFERROR(__xludf.DUMMYFUNCTION("""COMPUTED_VALUE"""),"")</f>
        <v/>
      </c>
    </row>
    <row r="15864" spans="2:4" ht="13">
      <c r="B15864" s="12" t="str">
        <f ca="1">IFERROR(__xludf.DUMMYFUNCTION("""COMPUTED_VALUE"""),"")</f>
        <v/>
      </c>
      <c r="C15864" s="12" t="str">
        <f ca="1">IFERROR(__xludf.DUMMYFUNCTION("""COMPUTED_VALUE"""),"")</f>
        <v/>
      </c>
      <c r="D15864" s="12" t="str">
        <f ca="1">IFERROR(__xludf.DUMMYFUNCTION("""COMPUTED_VALUE"""),"")</f>
        <v/>
      </c>
    </row>
    <row r="15865" spans="2:4" ht="13">
      <c r="B15865" s="12" t="str">
        <f ca="1">IFERROR(__xludf.DUMMYFUNCTION("""COMPUTED_VALUE"""),"")</f>
        <v/>
      </c>
      <c r="C15865" s="12" t="str">
        <f ca="1">IFERROR(__xludf.DUMMYFUNCTION("""COMPUTED_VALUE"""),"")</f>
        <v/>
      </c>
      <c r="D15865" s="12" t="str">
        <f ca="1">IFERROR(__xludf.DUMMYFUNCTION("""COMPUTED_VALUE"""),"")</f>
        <v/>
      </c>
    </row>
    <row r="15866" spans="2:4" ht="13">
      <c r="B15866" s="12" t="str">
        <f ca="1">IFERROR(__xludf.DUMMYFUNCTION("""COMPUTED_VALUE"""),"")</f>
        <v/>
      </c>
      <c r="C15866" s="12" t="str">
        <f ca="1">IFERROR(__xludf.DUMMYFUNCTION("""COMPUTED_VALUE"""),"")</f>
        <v/>
      </c>
      <c r="D15866" s="12" t="str">
        <f ca="1">IFERROR(__xludf.DUMMYFUNCTION("""COMPUTED_VALUE"""),"")</f>
        <v/>
      </c>
    </row>
    <row r="15867" spans="2:4" ht="13">
      <c r="B15867" s="12" t="str">
        <f ca="1">IFERROR(__xludf.DUMMYFUNCTION("""COMPUTED_VALUE"""),"")</f>
        <v/>
      </c>
      <c r="C15867" s="12" t="str">
        <f ca="1">IFERROR(__xludf.DUMMYFUNCTION("""COMPUTED_VALUE"""),"")</f>
        <v/>
      </c>
      <c r="D15867" s="12" t="str">
        <f ca="1">IFERROR(__xludf.DUMMYFUNCTION("""COMPUTED_VALUE"""),"")</f>
        <v/>
      </c>
    </row>
    <row r="15868" spans="2:4" ht="13">
      <c r="B15868" s="12" t="str">
        <f ca="1">IFERROR(__xludf.DUMMYFUNCTION("""COMPUTED_VALUE"""),"")</f>
        <v/>
      </c>
      <c r="C15868" s="12" t="str">
        <f ca="1">IFERROR(__xludf.DUMMYFUNCTION("""COMPUTED_VALUE"""),"")</f>
        <v/>
      </c>
      <c r="D15868" s="12" t="str">
        <f ca="1">IFERROR(__xludf.DUMMYFUNCTION("""COMPUTED_VALUE"""),"")</f>
        <v/>
      </c>
    </row>
    <row r="15869" spans="2:4" ht="13">
      <c r="B15869" s="12" t="str">
        <f ca="1">IFERROR(__xludf.DUMMYFUNCTION("""COMPUTED_VALUE"""),"")</f>
        <v/>
      </c>
      <c r="C15869" s="12" t="str">
        <f ca="1">IFERROR(__xludf.DUMMYFUNCTION("""COMPUTED_VALUE"""),"")</f>
        <v/>
      </c>
      <c r="D15869" s="12" t="str">
        <f ca="1">IFERROR(__xludf.DUMMYFUNCTION("""COMPUTED_VALUE"""),"")</f>
        <v/>
      </c>
    </row>
    <row r="15870" spans="2:4" ht="13">
      <c r="B15870" s="12" t="str">
        <f ca="1">IFERROR(__xludf.DUMMYFUNCTION("""COMPUTED_VALUE"""),"")</f>
        <v/>
      </c>
      <c r="C15870" s="12" t="str">
        <f ca="1">IFERROR(__xludf.DUMMYFUNCTION("""COMPUTED_VALUE"""),"")</f>
        <v/>
      </c>
      <c r="D15870" s="12" t="str">
        <f ca="1">IFERROR(__xludf.DUMMYFUNCTION("""COMPUTED_VALUE"""),"")</f>
        <v/>
      </c>
    </row>
    <row r="15871" spans="2:4" ht="13">
      <c r="B15871" s="12" t="str">
        <f ca="1">IFERROR(__xludf.DUMMYFUNCTION("""COMPUTED_VALUE"""),"")</f>
        <v/>
      </c>
      <c r="C15871" s="12" t="str">
        <f ca="1">IFERROR(__xludf.DUMMYFUNCTION("""COMPUTED_VALUE"""),"")</f>
        <v/>
      </c>
      <c r="D15871" s="12" t="str">
        <f ca="1">IFERROR(__xludf.DUMMYFUNCTION("""COMPUTED_VALUE"""),"")</f>
        <v/>
      </c>
    </row>
    <row r="15872" spans="2:4" ht="13">
      <c r="B15872" s="12" t="str">
        <f ca="1">IFERROR(__xludf.DUMMYFUNCTION("""COMPUTED_VALUE"""),"")</f>
        <v/>
      </c>
      <c r="C15872" s="12" t="str">
        <f ca="1">IFERROR(__xludf.DUMMYFUNCTION("""COMPUTED_VALUE"""),"")</f>
        <v/>
      </c>
      <c r="D15872" s="12" t="str">
        <f ca="1">IFERROR(__xludf.DUMMYFUNCTION("""COMPUTED_VALUE"""),"")</f>
        <v/>
      </c>
    </row>
    <row r="15873" spans="2:4" ht="13">
      <c r="B15873" s="12" t="str">
        <f ca="1">IFERROR(__xludf.DUMMYFUNCTION("""COMPUTED_VALUE"""),"")</f>
        <v/>
      </c>
      <c r="C15873" s="12" t="str">
        <f ca="1">IFERROR(__xludf.DUMMYFUNCTION("""COMPUTED_VALUE"""),"")</f>
        <v/>
      </c>
      <c r="D15873" s="12" t="str">
        <f ca="1">IFERROR(__xludf.DUMMYFUNCTION("""COMPUTED_VALUE"""),"")</f>
        <v/>
      </c>
    </row>
    <row r="15874" spans="2:4" ht="13">
      <c r="B15874" s="12" t="str">
        <f ca="1">IFERROR(__xludf.DUMMYFUNCTION("""COMPUTED_VALUE"""),"")</f>
        <v/>
      </c>
      <c r="C15874" s="12" t="str">
        <f ca="1">IFERROR(__xludf.DUMMYFUNCTION("""COMPUTED_VALUE"""),"")</f>
        <v/>
      </c>
      <c r="D15874" s="12" t="str">
        <f ca="1">IFERROR(__xludf.DUMMYFUNCTION("""COMPUTED_VALUE"""),"")</f>
        <v/>
      </c>
    </row>
    <row r="15875" spans="2:4" ht="13">
      <c r="B15875" s="12" t="str">
        <f ca="1">IFERROR(__xludf.DUMMYFUNCTION("""COMPUTED_VALUE"""),"")</f>
        <v/>
      </c>
      <c r="C15875" s="12" t="str">
        <f ca="1">IFERROR(__xludf.DUMMYFUNCTION("""COMPUTED_VALUE"""),"")</f>
        <v/>
      </c>
      <c r="D15875" s="12" t="str">
        <f ca="1">IFERROR(__xludf.DUMMYFUNCTION("""COMPUTED_VALUE"""),"")</f>
        <v/>
      </c>
    </row>
    <row r="15876" spans="2:4" ht="13">
      <c r="B15876" s="12" t="str">
        <f ca="1">IFERROR(__xludf.DUMMYFUNCTION("""COMPUTED_VALUE"""),"")</f>
        <v/>
      </c>
      <c r="C15876" s="12" t="str">
        <f ca="1">IFERROR(__xludf.DUMMYFUNCTION("""COMPUTED_VALUE"""),"")</f>
        <v/>
      </c>
      <c r="D15876" s="12" t="str">
        <f ca="1">IFERROR(__xludf.DUMMYFUNCTION("""COMPUTED_VALUE"""),"")</f>
        <v/>
      </c>
    </row>
    <row r="15877" spans="2:4" ht="13">
      <c r="B15877" s="12" t="str">
        <f ca="1">IFERROR(__xludf.DUMMYFUNCTION("""COMPUTED_VALUE"""),"")</f>
        <v/>
      </c>
      <c r="C15877" s="12" t="str">
        <f ca="1">IFERROR(__xludf.DUMMYFUNCTION("""COMPUTED_VALUE"""),"")</f>
        <v/>
      </c>
      <c r="D15877" s="12" t="str">
        <f ca="1">IFERROR(__xludf.DUMMYFUNCTION("""COMPUTED_VALUE"""),"")</f>
        <v/>
      </c>
    </row>
    <row r="15878" spans="2:4" ht="13">
      <c r="B15878" s="12" t="str">
        <f ca="1">IFERROR(__xludf.DUMMYFUNCTION("""COMPUTED_VALUE"""),"")</f>
        <v/>
      </c>
      <c r="C15878" s="12" t="str">
        <f ca="1">IFERROR(__xludf.DUMMYFUNCTION("""COMPUTED_VALUE"""),"")</f>
        <v/>
      </c>
      <c r="D15878" s="12" t="str">
        <f ca="1">IFERROR(__xludf.DUMMYFUNCTION("""COMPUTED_VALUE"""),"")</f>
        <v/>
      </c>
    </row>
    <row r="15879" spans="2:4" ht="13">
      <c r="B15879" s="12" t="str">
        <f ca="1">IFERROR(__xludf.DUMMYFUNCTION("""COMPUTED_VALUE"""),"")</f>
        <v/>
      </c>
      <c r="C15879" s="12" t="str">
        <f ca="1">IFERROR(__xludf.DUMMYFUNCTION("""COMPUTED_VALUE"""),"")</f>
        <v/>
      </c>
      <c r="D15879" s="12" t="str">
        <f ca="1">IFERROR(__xludf.DUMMYFUNCTION("""COMPUTED_VALUE"""),"")</f>
        <v/>
      </c>
    </row>
    <row r="15880" spans="2:4" ht="13">
      <c r="B15880" s="12" t="str">
        <f ca="1">IFERROR(__xludf.DUMMYFUNCTION("""COMPUTED_VALUE"""),"")</f>
        <v/>
      </c>
      <c r="C15880" s="12" t="str">
        <f ca="1">IFERROR(__xludf.DUMMYFUNCTION("""COMPUTED_VALUE"""),"")</f>
        <v/>
      </c>
      <c r="D15880" s="12" t="str">
        <f ca="1">IFERROR(__xludf.DUMMYFUNCTION("""COMPUTED_VALUE"""),"")</f>
        <v/>
      </c>
    </row>
    <row r="15881" spans="2:4" ht="13">
      <c r="B15881" s="12" t="str">
        <f ca="1">IFERROR(__xludf.DUMMYFUNCTION("""COMPUTED_VALUE"""),"")</f>
        <v/>
      </c>
      <c r="C15881" s="12" t="str">
        <f ca="1">IFERROR(__xludf.DUMMYFUNCTION("""COMPUTED_VALUE"""),"")</f>
        <v/>
      </c>
      <c r="D15881" s="12" t="str">
        <f ca="1">IFERROR(__xludf.DUMMYFUNCTION("""COMPUTED_VALUE"""),"")</f>
        <v/>
      </c>
    </row>
    <row r="15882" spans="2:4" ht="13">
      <c r="B15882" s="12" t="str">
        <f ca="1">IFERROR(__xludf.DUMMYFUNCTION("""COMPUTED_VALUE"""),"")</f>
        <v/>
      </c>
      <c r="C15882" s="12" t="str">
        <f ca="1">IFERROR(__xludf.DUMMYFUNCTION("""COMPUTED_VALUE"""),"")</f>
        <v/>
      </c>
      <c r="D15882" s="12" t="str">
        <f ca="1">IFERROR(__xludf.DUMMYFUNCTION("""COMPUTED_VALUE"""),"")</f>
        <v/>
      </c>
    </row>
    <row r="15883" spans="2:4" ht="13">
      <c r="B15883" s="12" t="str">
        <f ca="1">IFERROR(__xludf.DUMMYFUNCTION("""COMPUTED_VALUE"""),"")</f>
        <v/>
      </c>
      <c r="C15883" s="12" t="str">
        <f ca="1">IFERROR(__xludf.DUMMYFUNCTION("""COMPUTED_VALUE"""),"")</f>
        <v/>
      </c>
      <c r="D15883" s="12" t="str">
        <f ca="1">IFERROR(__xludf.DUMMYFUNCTION("""COMPUTED_VALUE"""),"")</f>
        <v/>
      </c>
    </row>
    <row r="15884" spans="2:4" ht="13">
      <c r="B15884" s="12" t="str">
        <f ca="1">IFERROR(__xludf.DUMMYFUNCTION("""COMPUTED_VALUE"""),"")</f>
        <v/>
      </c>
      <c r="C15884" s="12" t="str">
        <f ca="1">IFERROR(__xludf.DUMMYFUNCTION("""COMPUTED_VALUE"""),"")</f>
        <v/>
      </c>
      <c r="D15884" s="12" t="str">
        <f ca="1">IFERROR(__xludf.DUMMYFUNCTION("""COMPUTED_VALUE"""),"")</f>
        <v/>
      </c>
    </row>
    <row r="15885" spans="2:4" ht="13">
      <c r="B15885" s="12" t="str">
        <f ca="1">IFERROR(__xludf.DUMMYFUNCTION("""COMPUTED_VALUE"""),"")</f>
        <v/>
      </c>
      <c r="C15885" s="12" t="str">
        <f ca="1">IFERROR(__xludf.DUMMYFUNCTION("""COMPUTED_VALUE"""),"")</f>
        <v/>
      </c>
      <c r="D15885" s="12" t="str">
        <f ca="1">IFERROR(__xludf.DUMMYFUNCTION("""COMPUTED_VALUE"""),"")</f>
        <v/>
      </c>
    </row>
    <row r="15886" spans="2:4" ht="13">
      <c r="B15886" s="12" t="str">
        <f ca="1">IFERROR(__xludf.DUMMYFUNCTION("""COMPUTED_VALUE"""),"")</f>
        <v/>
      </c>
      <c r="C15886" s="12" t="str">
        <f ca="1">IFERROR(__xludf.DUMMYFUNCTION("""COMPUTED_VALUE"""),"")</f>
        <v/>
      </c>
      <c r="D15886" s="12" t="str">
        <f ca="1">IFERROR(__xludf.DUMMYFUNCTION("""COMPUTED_VALUE"""),"")</f>
        <v/>
      </c>
    </row>
    <row r="15887" spans="2:4" ht="13">
      <c r="B15887" s="12" t="str">
        <f ca="1">IFERROR(__xludf.DUMMYFUNCTION("""COMPUTED_VALUE"""),"")</f>
        <v/>
      </c>
      <c r="C15887" s="12" t="str">
        <f ca="1">IFERROR(__xludf.DUMMYFUNCTION("""COMPUTED_VALUE"""),"")</f>
        <v/>
      </c>
      <c r="D15887" s="12" t="str">
        <f ca="1">IFERROR(__xludf.DUMMYFUNCTION("""COMPUTED_VALUE"""),"")</f>
        <v/>
      </c>
    </row>
    <row r="15888" spans="2:4" ht="13">
      <c r="B15888" s="12" t="str">
        <f ca="1">IFERROR(__xludf.DUMMYFUNCTION("""COMPUTED_VALUE"""),"")</f>
        <v/>
      </c>
      <c r="C15888" s="12" t="str">
        <f ca="1">IFERROR(__xludf.DUMMYFUNCTION("""COMPUTED_VALUE"""),"")</f>
        <v/>
      </c>
      <c r="D15888" s="12" t="str">
        <f ca="1">IFERROR(__xludf.DUMMYFUNCTION("""COMPUTED_VALUE"""),"")</f>
        <v/>
      </c>
    </row>
    <row r="15889" spans="2:4" ht="13">
      <c r="B15889" s="12" t="str">
        <f ca="1">IFERROR(__xludf.DUMMYFUNCTION("""COMPUTED_VALUE"""),"")</f>
        <v/>
      </c>
      <c r="C15889" s="12" t="str">
        <f ca="1">IFERROR(__xludf.DUMMYFUNCTION("""COMPUTED_VALUE"""),"")</f>
        <v/>
      </c>
      <c r="D15889" s="12" t="str">
        <f ca="1">IFERROR(__xludf.DUMMYFUNCTION("""COMPUTED_VALUE"""),"")</f>
        <v/>
      </c>
    </row>
    <row r="15890" spans="2:4" ht="13">
      <c r="B15890" s="12" t="str">
        <f ca="1">IFERROR(__xludf.DUMMYFUNCTION("""COMPUTED_VALUE"""),"")</f>
        <v/>
      </c>
      <c r="C15890" s="12" t="str">
        <f ca="1">IFERROR(__xludf.DUMMYFUNCTION("""COMPUTED_VALUE"""),"")</f>
        <v/>
      </c>
      <c r="D15890" s="12" t="str">
        <f ca="1">IFERROR(__xludf.DUMMYFUNCTION("""COMPUTED_VALUE"""),"")</f>
        <v/>
      </c>
    </row>
    <row r="15891" spans="2:4" ht="13">
      <c r="B15891" s="12" t="str">
        <f ca="1">IFERROR(__xludf.DUMMYFUNCTION("""COMPUTED_VALUE"""),"")</f>
        <v/>
      </c>
      <c r="C15891" s="12" t="str">
        <f ca="1">IFERROR(__xludf.DUMMYFUNCTION("""COMPUTED_VALUE"""),"")</f>
        <v/>
      </c>
      <c r="D15891" s="12" t="str">
        <f ca="1">IFERROR(__xludf.DUMMYFUNCTION("""COMPUTED_VALUE"""),"")</f>
        <v/>
      </c>
    </row>
    <row r="15892" spans="2:4" ht="13">
      <c r="B15892" s="12" t="str">
        <f ca="1">IFERROR(__xludf.DUMMYFUNCTION("""COMPUTED_VALUE"""),"")</f>
        <v/>
      </c>
      <c r="C15892" s="12" t="str">
        <f ca="1">IFERROR(__xludf.DUMMYFUNCTION("""COMPUTED_VALUE"""),"")</f>
        <v/>
      </c>
      <c r="D15892" s="12" t="str">
        <f ca="1">IFERROR(__xludf.DUMMYFUNCTION("""COMPUTED_VALUE"""),"")</f>
        <v/>
      </c>
    </row>
    <row r="15893" spans="2:4" ht="13">
      <c r="B15893" s="12" t="str">
        <f ca="1">IFERROR(__xludf.DUMMYFUNCTION("""COMPUTED_VALUE"""),"")</f>
        <v/>
      </c>
      <c r="C15893" s="12" t="str">
        <f ca="1">IFERROR(__xludf.DUMMYFUNCTION("""COMPUTED_VALUE"""),"")</f>
        <v/>
      </c>
      <c r="D15893" s="12" t="str">
        <f ca="1">IFERROR(__xludf.DUMMYFUNCTION("""COMPUTED_VALUE"""),"")</f>
        <v/>
      </c>
    </row>
    <row r="15894" spans="2:4" ht="13">
      <c r="B15894" s="12" t="str">
        <f ca="1">IFERROR(__xludf.DUMMYFUNCTION("""COMPUTED_VALUE"""),"")</f>
        <v/>
      </c>
      <c r="C15894" s="12" t="str">
        <f ca="1">IFERROR(__xludf.DUMMYFUNCTION("""COMPUTED_VALUE"""),"")</f>
        <v/>
      </c>
      <c r="D15894" s="12" t="str">
        <f ca="1">IFERROR(__xludf.DUMMYFUNCTION("""COMPUTED_VALUE"""),"")</f>
        <v/>
      </c>
    </row>
    <row r="15895" spans="2:4" ht="13">
      <c r="B15895" s="12" t="str">
        <f ca="1">IFERROR(__xludf.DUMMYFUNCTION("""COMPUTED_VALUE"""),"")</f>
        <v/>
      </c>
      <c r="C15895" s="12" t="str">
        <f ca="1">IFERROR(__xludf.DUMMYFUNCTION("""COMPUTED_VALUE"""),"")</f>
        <v/>
      </c>
      <c r="D15895" s="12" t="str">
        <f ca="1">IFERROR(__xludf.DUMMYFUNCTION("""COMPUTED_VALUE"""),"")</f>
        <v/>
      </c>
    </row>
    <row r="15896" spans="2:4" ht="13">
      <c r="B15896" s="12" t="str">
        <f ca="1">IFERROR(__xludf.DUMMYFUNCTION("""COMPUTED_VALUE"""),"")</f>
        <v/>
      </c>
      <c r="C15896" s="12" t="str">
        <f ca="1">IFERROR(__xludf.DUMMYFUNCTION("""COMPUTED_VALUE"""),"")</f>
        <v/>
      </c>
      <c r="D15896" s="12" t="str">
        <f ca="1">IFERROR(__xludf.DUMMYFUNCTION("""COMPUTED_VALUE"""),"")</f>
        <v/>
      </c>
    </row>
    <row r="15897" spans="2:4" ht="13">
      <c r="B15897" s="12" t="str">
        <f ca="1">IFERROR(__xludf.DUMMYFUNCTION("""COMPUTED_VALUE"""),"")</f>
        <v/>
      </c>
      <c r="C15897" s="12" t="str">
        <f ca="1">IFERROR(__xludf.DUMMYFUNCTION("""COMPUTED_VALUE"""),"")</f>
        <v/>
      </c>
      <c r="D15897" s="12" t="str">
        <f ca="1">IFERROR(__xludf.DUMMYFUNCTION("""COMPUTED_VALUE"""),"")</f>
        <v/>
      </c>
    </row>
    <row r="15898" spans="2:4" ht="13">
      <c r="B15898" s="12" t="str">
        <f ca="1">IFERROR(__xludf.DUMMYFUNCTION("""COMPUTED_VALUE"""),"")</f>
        <v/>
      </c>
      <c r="C15898" s="12" t="str">
        <f ca="1">IFERROR(__xludf.DUMMYFUNCTION("""COMPUTED_VALUE"""),"")</f>
        <v/>
      </c>
      <c r="D15898" s="12" t="str">
        <f ca="1">IFERROR(__xludf.DUMMYFUNCTION("""COMPUTED_VALUE"""),"")</f>
        <v/>
      </c>
    </row>
    <row r="15899" spans="2:4" ht="13">
      <c r="B15899" s="12" t="str">
        <f ca="1">IFERROR(__xludf.DUMMYFUNCTION("""COMPUTED_VALUE"""),"")</f>
        <v/>
      </c>
      <c r="C15899" s="12" t="str">
        <f ca="1">IFERROR(__xludf.DUMMYFUNCTION("""COMPUTED_VALUE"""),"")</f>
        <v/>
      </c>
      <c r="D15899" s="12" t="str">
        <f ca="1">IFERROR(__xludf.DUMMYFUNCTION("""COMPUTED_VALUE"""),"")</f>
        <v/>
      </c>
    </row>
    <row r="15900" spans="2:4" ht="13">
      <c r="B15900" s="12" t="str">
        <f ca="1">IFERROR(__xludf.DUMMYFUNCTION("""COMPUTED_VALUE"""),"")</f>
        <v/>
      </c>
      <c r="C15900" s="12" t="str">
        <f ca="1">IFERROR(__xludf.DUMMYFUNCTION("""COMPUTED_VALUE"""),"")</f>
        <v/>
      </c>
      <c r="D15900" s="12" t="str">
        <f ca="1">IFERROR(__xludf.DUMMYFUNCTION("""COMPUTED_VALUE"""),"")</f>
        <v/>
      </c>
    </row>
    <row r="15901" spans="2:4" ht="13">
      <c r="B15901" s="12" t="str">
        <f ca="1">IFERROR(__xludf.DUMMYFUNCTION("""COMPUTED_VALUE"""),"")</f>
        <v/>
      </c>
      <c r="C15901" s="12" t="str">
        <f ca="1">IFERROR(__xludf.DUMMYFUNCTION("""COMPUTED_VALUE"""),"")</f>
        <v/>
      </c>
      <c r="D15901" s="12" t="str">
        <f ca="1">IFERROR(__xludf.DUMMYFUNCTION("""COMPUTED_VALUE"""),"")</f>
        <v/>
      </c>
    </row>
    <row r="15902" spans="2:4" ht="13">
      <c r="B15902" s="12" t="str">
        <f ca="1">IFERROR(__xludf.DUMMYFUNCTION("""COMPUTED_VALUE"""),"")</f>
        <v/>
      </c>
      <c r="C15902" s="12" t="str">
        <f ca="1">IFERROR(__xludf.DUMMYFUNCTION("""COMPUTED_VALUE"""),"")</f>
        <v/>
      </c>
      <c r="D15902" s="12" t="str">
        <f ca="1">IFERROR(__xludf.DUMMYFUNCTION("""COMPUTED_VALUE"""),"")</f>
        <v/>
      </c>
    </row>
    <row r="15903" spans="2:4" ht="13">
      <c r="B15903" s="12" t="str">
        <f ca="1">IFERROR(__xludf.DUMMYFUNCTION("""COMPUTED_VALUE"""),"")</f>
        <v/>
      </c>
      <c r="C15903" s="12" t="str">
        <f ca="1">IFERROR(__xludf.DUMMYFUNCTION("""COMPUTED_VALUE"""),"")</f>
        <v/>
      </c>
      <c r="D15903" s="12" t="str">
        <f ca="1">IFERROR(__xludf.DUMMYFUNCTION("""COMPUTED_VALUE"""),"")</f>
        <v/>
      </c>
    </row>
    <row r="15904" spans="2:4" ht="13">
      <c r="B15904" s="12" t="str">
        <f ca="1">IFERROR(__xludf.DUMMYFUNCTION("""COMPUTED_VALUE"""),"")</f>
        <v/>
      </c>
      <c r="C15904" s="12" t="str">
        <f ca="1">IFERROR(__xludf.DUMMYFUNCTION("""COMPUTED_VALUE"""),"")</f>
        <v/>
      </c>
      <c r="D15904" s="12" t="str">
        <f ca="1">IFERROR(__xludf.DUMMYFUNCTION("""COMPUTED_VALUE"""),"")</f>
        <v/>
      </c>
    </row>
    <row r="15905" spans="2:4" ht="13">
      <c r="B15905" s="12" t="str">
        <f ca="1">IFERROR(__xludf.DUMMYFUNCTION("""COMPUTED_VALUE"""),"")</f>
        <v/>
      </c>
      <c r="C15905" s="12" t="str">
        <f ca="1">IFERROR(__xludf.DUMMYFUNCTION("""COMPUTED_VALUE"""),"")</f>
        <v/>
      </c>
      <c r="D15905" s="12" t="str">
        <f ca="1">IFERROR(__xludf.DUMMYFUNCTION("""COMPUTED_VALUE"""),"")</f>
        <v/>
      </c>
    </row>
    <row r="15906" spans="2:4" ht="13">
      <c r="B15906" s="12" t="str">
        <f ca="1">IFERROR(__xludf.DUMMYFUNCTION("""COMPUTED_VALUE"""),"")</f>
        <v/>
      </c>
      <c r="C15906" s="12" t="str">
        <f ca="1">IFERROR(__xludf.DUMMYFUNCTION("""COMPUTED_VALUE"""),"")</f>
        <v/>
      </c>
      <c r="D15906" s="12" t="str">
        <f ca="1">IFERROR(__xludf.DUMMYFUNCTION("""COMPUTED_VALUE"""),"")</f>
        <v/>
      </c>
    </row>
    <row r="15907" spans="2:4" ht="13">
      <c r="B15907" s="12" t="str">
        <f ca="1">IFERROR(__xludf.DUMMYFUNCTION("""COMPUTED_VALUE"""),"")</f>
        <v/>
      </c>
      <c r="C15907" s="12" t="str">
        <f ca="1">IFERROR(__xludf.DUMMYFUNCTION("""COMPUTED_VALUE"""),"")</f>
        <v/>
      </c>
      <c r="D15907" s="12" t="str">
        <f ca="1">IFERROR(__xludf.DUMMYFUNCTION("""COMPUTED_VALUE"""),"")</f>
        <v/>
      </c>
    </row>
    <row r="15908" spans="2:4" ht="13">
      <c r="B15908" s="12" t="str">
        <f ca="1">IFERROR(__xludf.DUMMYFUNCTION("""COMPUTED_VALUE"""),"")</f>
        <v/>
      </c>
      <c r="C15908" s="12" t="str">
        <f ca="1">IFERROR(__xludf.DUMMYFUNCTION("""COMPUTED_VALUE"""),"")</f>
        <v/>
      </c>
      <c r="D15908" s="12" t="str">
        <f ca="1">IFERROR(__xludf.DUMMYFUNCTION("""COMPUTED_VALUE"""),"")</f>
        <v/>
      </c>
    </row>
    <row r="15909" spans="2:4" ht="13">
      <c r="B15909" s="12" t="str">
        <f ca="1">IFERROR(__xludf.DUMMYFUNCTION("""COMPUTED_VALUE"""),"")</f>
        <v/>
      </c>
      <c r="C15909" s="12" t="str">
        <f ca="1">IFERROR(__xludf.DUMMYFUNCTION("""COMPUTED_VALUE"""),"")</f>
        <v/>
      </c>
      <c r="D15909" s="12" t="str">
        <f ca="1">IFERROR(__xludf.DUMMYFUNCTION("""COMPUTED_VALUE"""),"")</f>
        <v/>
      </c>
    </row>
    <row r="15910" spans="2:4" ht="13">
      <c r="B15910" s="12" t="str">
        <f ca="1">IFERROR(__xludf.DUMMYFUNCTION("""COMPUTED_VALUE"""),"")</f>
        <v/>
      </c>
      <c r="C15910" s="12" t="str">
        <f ca="1">IFERROR(__xludf.DUMMYFUNCTION("""COMPUTED_VALUE"""),"")</f>
        <v/>
      </c>
      <c r="D15910" s="12" t="str">
        <f ca="1">IFERROR(__xludf.DUMMYFUNCTION("""COMPUTED_VALUE"""),"")</f>
        <v/>
      </c>
    </row>
    <row r="15911" spans="2:4" ht="13">
      <c r="B15911" s="12" t="str">
        <f ca="1">IFERROR(__xludf.DUMMYFUNCTION("""COMPUTED_VALUE"""),"")</f>
        <v/>
      </c>
      <c r="C15911" s="12" t="str">
        <f ca="1">IFERROR(__xludf.DUMMYFUNCTION("""COMPUTED_VALUE"""),"")</f>
        <v/>
      </c>
      <c r="D15911" s="12" t="str">
        <f ca="1">IFERROR(__xludf.DUMMYFUNCTION("""COMPUTED_VALUE"""),"")</f>
        <v/>
      </c>
    </row>
    <row r="15912" spans="2:4" ht="13">
      <c r="B15912" s="12" t="str">
        <f ca="1">IFERROR(__xludf.DUMMYFUNCTION("""COMPUTED_VALUE"""),"")</f>
        <v/>
      </c>
      <c r="C15912" s="12" t="str">
        <f ca="1">IFERROR(__xludf.DUMMYFUNCTION("""COMPUTED_VALUE"""),"")</f>
        <v/>
      </c>
      <c r="D15912" s="12" t="str">
        <f ca="1">IFERROR(__xludf.DUMMYFUNCTION("""COMPUTED_VALUE"""),"")</f>
        <v/>
      </c>
    </row>
    <row r="15913" spans="2:4" ht="13">
      <c r="B15913" s="12" t="str">
        <f ca="1">IFERROR(__xludf.DUMMYFUNCTION("""COMPUTED_VALUE"""),"")</f>
        <v/>
      </c>
      <c r="C15913" s="12" t="str">
        <f ca="1">IFERROR(__xludf.DUMMYFUNCTION("""COMPUTED_VALUE"""),"")</f>
        <v/>
      </c>
      <c r="D15913" s="12" t="str">
        <f ca="1">IFERROR(__xludf.DUMMYFUNCTION("""COMPUTED_VALUE"""),"")</f>
        <v/>
      </c>
    </row>
    <row r="15914" spans="2:4" ht="13">
      <c r="B15914" s="12" t="str">
        <f ca="1">IFERROR(__xludf.DUMMYFUNCTION("""COMPUTED_VALUE"""),"")</f>
        <v/>
      </c>
      <c r="C15914" s="12" t="str">
        <f ca="1">IFERROR(__xludf.DUMMYFUNCTION("""COMPUTED_VALUE"""),"")</f>
        <v/>
      </c>
      <c r="D15914" s="12" t="str">
        <f ca="1">IFERROR(__xludf.DUMMYFUNCTION("""COMPUTED_VALUE"""),"")</f>
        <v/>
      </c>
    </row>
    <row r="15915" spans="2:4" ht="13">
      <c r="B15915" s="12" t="str">
        <f ca="1">IFERROR(__xludf.DUMMYFUNCTION("""COMPUTED_VALUE"""),"")</f>
        <v/>
      </c>
      <c r="C15915" s="12" t="str">
        <f ca="1">IFERROR(__xludf.DUMMYFUNCTION("""COMPUTED_VALUE"""),"")</f>
        <v/>
      </c>
      <c r="D15915" s="12" t="str">
        <f ca="1">IFERROR(__xludf.DUMMYFUNCTION("""COMPUTED_VALUE"""),"")</f>
        <v/>
      </c>
    </row>
    <row r="15916" spans="2:4" ht="13">
      <c r="B15916" s="12" t="str">
        <f ca="1">IFERROR(__xludf.DUMMYFUNCTION("""COMPUTED_VALUE"""),"")</f>
        <v/>
      </c>
      <c r="C15916" s="12" t="str">
        <f ca="1">IFERROR(__xludf.DUMMYFUNCTION("""COMPUTED_VALUE"""),"")</f>
        <v/>
      </c>
      <c r="D15916" s="12" t="str">
        <f ca="1">IFERROR(__xludf.DUMMYFUNCTION("""COMPUTED_VALUE"""),"")</f>
        <v/>
      </c>
    </row>
    <row r="15917" spans="2:4" ht="13">
      <c r="B15917" s="12" t="str">
        <f ca="1">IFERROR(__xludf.DUMMYFUNCTION("""COMPUTED_VALUE"""),"")</f>
        <v/>
      </c>
      <c r="C15917" s="12" t="str">
        <f ca="1">IFERROR(__xludf.DUMMYFUNCTION("""COMPUTED_VALUE"""),"")</f>
        <v/>
      </c>
      <c r="D15917" s="12" t="str">
        <f ca="1">IFERROR(__xludf.DUMMYFUNCTION("""COMPUTED_VALUE"""),"")</f>
        <v/>
      </c>
    </row>
    <row r="15918" spans="2:4" ht="13">
      <c r="B15918" s="12" t="str">
        <f ca="1">IFERROR(__xludf.DUMMYFUNCTION("""COMPUTED_VALUE"""),"")</f>
        <v/>
      </c>
      <c r="C15918" s="12" t="str">
        <f ca="1">IFERROR(__xludf.DUMMYFUNCTION("""COMPUTED_VALUE"""),"")</f>
        <v/>
      </c>
      <c r="D15918" s="12" t="str">
        <f ca="1">IFERROR(__xludf.DUMMYFUNCTION("""COMPUTED_VALUE"""),"")</f>
        <v/>
      </c>
    </row>
    <row r="15919" spans="2:4" ht="13">
      <c r="B15919" s="12" t="str">
        <f ca="1">IFERROR(__xludf.DUMMYFUNCTION("""COMPUTED_VALUE"""),"")</f>
        <v/>
      </c>
      <c r="C15919" s="12" t="str">
        <f ca="1">IFERROR(__xludf.DUMMYFUNCTION("""COMPUTED_VALUE"""),"")</f>
        <v/>
      </c>
      <c r="D15919" s="12" t="str">
        <f ca="1">IFERROR(__xludf.DUMMYFUNCTION("""COMPUTED_VALUE"""),"")</f>
        <v/>
      </c>
    </row>
    <row r="15920" spans="2:4" ht="13">
      <c r="B15920" s="12" t="str">
        <f ca="1">IFERROR(__xludf.DUMMYFUNCTION("""COMPUTED_VALUE"""),"")</f>
        <v/>
      </c>
      <c r="C15920" s="12" t="str">
        <f ca="1">IFERROR(__xludf.DUMMYFUNCTION("""COMPUTED_VALUE"""),"")</f>
        <v/>
      </c>
      <c r="D15920" s="12" t="str">
        <f ca="1">IFERROR(__xludf.DUMMYFUNCTION("""COMPUTED_VALUE"""),"")</f>
        <v/>
      </c>
    </row>
    <row r="15921" spans="2:4" ht="13">
      <c r="B15921" s="12" t="str">
        <f ca="1">IFERROR(__xludf.DUMMYFUNCTION("""COMPUTED_VALUE"""),"")</f>
        <v/>
      </c>
      <c r="C15921" s="12" t="str">
        <f ca="1">IFERROR(__xludf.DUMMYFUNCTION("""COMPUTED_VALUE"""),"")</f>
        <v/>
      </c>
      <c r="D15921" s="12" t="str">
        <f ca="1">IFERROR(__xludf.DUMMYFUNCTION("""COMPUTED_VALUE"""),"")</f>
        <v/>
      </c>
    </row>
    <row r="15922" spans="2:4" ht="13">
      <c r="B15922" s="12" t="str">
        <f ca="1">IFERROR(__xludf.DUMMYFUNCTION("""COMPUTED_VALUE"""),"")</f>
        <v/>
      </c>
      <c r="C15922" s="12" t="str">
        <f ca="1">IFERROR(__xludf.DUMMYFUNCTION("""COMPUTED_VALUE"""),"")</f>
        <v/>
      </c>
      <c r="D15922" s="12" t="str">
        <f ca="1">IFERROR(__xludf.DUMMYFUNCTION("""COMPUTED_VALUE"""),"")</f>
        <v/>
      </c>
    </row>
    <row r="15923" spans="2:4" ht="13">
      <c r="B15923" s="12" t="str">
        <f ca="1">IFERROR(__xludf.DUMMYFUNCTION("""COMPUTED_VALUE"""),"")</f>
        <v/>
      </c>
      <c r="C15923" s="12" t="str">
        <f ca="1">IFERROR(__xludf.DUMMYFUNCTION("""COMPUTED_VALUE"""),"")</f>
        <v/>
      </c>
      <c r="D15923" s="12" t="str">
        <f ca="1">IFERROR(__xludf.DUMMYFUNCTION("""COMPUTED_VALUE"""),"")</f>
        <v/>
      </c>
    </row>
    <row r="15924" spans="2:4" ht="13">
      <c r="B15924" s="12" t="str">
        <f ca="1">IFERROR(__xludf.DUMMYFUNCTION("""COMPUTED_VALUE"""),"")</f>
        <v/>
      </c>
      <c r="C15924" s="12" t="str">
        <f ca="1">IFERROR(__xludf.DUMMYFUNCTION("""COMPUTED_VALUE"""),"")</f>
        <v/>
      </c>
      <c r="D15924" s="12" t="str">
        <f ca="1">IFERROR(__xludf.DUMMYFUNCTION("""COMPUTED_VALUE"""),"")</f>
        <v/>
      </c>
    </row>
    <row r="15925" spans="2:4" ht="13">
      <c r="B15925" s="12" t="str">
        <f ca="1">IFERROR(__xludf.DUMMYFUNCTION("""COMPUTED_VALUE"""),"")</f>
        <v/>
      </c>
      <c r="C15925" s="12" t="str">
        <f ca="1">IFERROR(__xludf.DUMMYFUNCTION("""COMPUTED_VALUE"""),"")</f>
        <v/>
      </c>
      <c r="D15925" s="12" t="str">
        <f ca="1">IFERROR(__xludf.DUMMYFUNCTION("""COMPUTED_VALUE"""),"")</f>
        <v/>
      </c>
    </row>
    <row r="15926" spans="2:4" ht="13">
      <c r="B15926" s="12" t="str">
        <f ca="1">IFERROR(__xludf.DUMMYFUNCTION("""COMPUTED_VALUE"""),"")</f>
        <v/>
      </c>
      <c r="C15926" s="12" t="str">
        <f ca="1">IFERROR(__xludf.DUMMYFUNCTION("""COMPUTED_VALUE"""),"")</f>
        <v/>
      </c>
      <c r="D15926" s="12" t="str">
        <f ca="1">IFERROR(__xludf.DUMMYFUNCTION("""COMPUTED_VALUE"""),"")</f>
        <v/>
      </c>
    </row>
    <row r="15927" spans="2:4" ht="13">
      <c r="B15927" s="12" t="str">
        <f ca="1">IFERROR(__xludf.DUMMYFUNCTION("""COMPUTED_VALUE"""),"")</f>
        <v/>
      </c>
      <c r="C15927" s="12" t="str">
        <f ca="1">IFERROR(__xludf.DUMMYFUNCTION("""COMPUTED_VALUE"""),"")</f>
        <v/>
      </c>
      <c r="D15927" s="12" t="str">
        <f ca="1">IFERROR(__xludf.DUMMYFUNCTION("""COMPUTED_VALUE"""),"")</f>
        <v/>
      </c>
    </row>
    <row r="15928" spans="2:4" ht="13">
      <c r="B15928" s="12" t="str">
        <f ca="1">IFERROR(__xludf.DUMMYFUNCTION("""COMPUTED_VALUE"""),"")</f>
        <v/>
      </c>
      <c r="C15928" s="12" t="str">
        <f ca="1">IFERROR(__xludf.DUMMYFUNCTION("""COMPUTED_VALUE"""),"")</f>
        <v/>
      </c>
      <c r="D15928" s="12" t="str">
        <f ca="1">IFERROR(__xludf.DUMMYFUNCTION("""COMPUTED_VALUE"""),"")</f>
        <v/>
      </c>
    </row>
    <row r="15929" spans="2:4" ht="13">
      <c r="B15929" s="12" t="str">
        <f ca="1">IFERROR(__xludf.DUMMYFUNCTION("""COMPUTED_VALUE"""),"")</f>
        <v/>
      </c>
      <c r="C15929" s="12" t="str">
        <f ca="1">IFERROR(__xludf.DUMMYFUNCTION("""COMPUTED_VALUE"""),"")</f>
        <v/>
      </c>
      <c r="D15929" s="12" t="str">
        <f ca="1">IFERROR(__xludf.DUMMYFUNCTION("""COMPUTED_VALUE"""),"")</f>
        <v/>
      </c>
    </row>
    <row r="15930" spans="2:4" ht="13">
      <c r="B15930" s="12" t="str">
        <f ca="1">IFERROR(__xludf.DUMMYFUNCTION("""COMPUTED_VALUE"""),"")</f>
        <v/>
      </c>
      <c r="C15930" s="12" t="str">
        <f ca="1">IFERROR(__xludf.DUMMYFUNCTION("""COMPUTED_VALUE"""),"")</f>
        <v/>
      </c>
      <c r="D15930" s="12" t="str">
        <f ca="1">IFERROR(__xludf.DUMMYFUNCTION("""COMPUTED_VALUE"""),"")</f>
        <v/>
      </c>
    </row>
    <row r="15931" spans="2:4" ht="13">
      <c r="B15931" s="12" t="str">
        <f ca="1">IFERROR(__xludf.DUMMYFUNCTION("""COMPUTED_VALUE"""),"")</f>
        <v/>
      </c>
      <c r="C15931" s="12" t="str">
        <f ca="1">IFERROR(__xludf.DUMMYFUNCTION("""COMPUTED_VALUE"""),"")</f>
        <v/>
      </c>
      <c r="D15931" s="12" t="str">
        <f ca="1">IFERROR(__xludf.DUMMYFUNCTION("""COMPUTED_VALUE"""),"")</f>
        <v/>
      </c>
    </row>
    <row r="15932" spans="2:4" ht="13">
      <c r="B15932" s="12" t="str">
        <f ca="1">IFERROR(__xludf.DUMMYFUNCTION("""COMPUTED_VALUE"""),"")</f>
        <v/>
      </c>
      <c r="C15932" s="12" t="str">
        <f ca="1">IFERROR(__xludf.DUMMYFUNCTION("""COMPUTED_VALUE"""),"")</f>
        <v/>
      </c>
      <c r="D15932" s="12" t="str">
        <f ca="1">IFERROR(__xludf.DUMMYFUNCTION("""COMPUTED_VALUE"""),"")</f>
        <v/>
      </c>
    </row>
    <row r="15933" spans="2:4" ht="13">
      <c r="B15933" s="12" t="str">
        <f ca="1">IFERROR(__xludf.DUMMYFUNCTION("""COMPUTED_VALUE"""),"")</f>
        <v/>
      </c>
      <c r="C15933" s="12" t="str">
        <f ca="1">IFERROR(__xludf.DUMMYFUNCTION("""COMPUTED_VALUE"""),"")</f>
        <v/>
      </c>
      <c r="D15933" s="12" t="str">
        <f ca="1">IFERROR(__xludf.DUMMYFUNCTION("""COMPUTED_VALUE"""),"")</f>
        <v/>
      </c>
    </row>
    <row r="15934" spans="2:4" ht="13">
      <c r="B15934" s="12" t="str">
        <f ca="1">IFERROR(__xludf.DUMMYFUNCTION("""COMPUTED_VALUE"""),"")</f>
        <v/>
      </c>
      <c r="C15934" s="12" t="str">
        <f ca="1">IFERROR(__xludf.DUMMYFUNCTION("""COMPUTED_VALUE"""),"")</f>
        <v/>
      </c>
      <c r="D15934" s="12" t="str">
        <f ca="1">IFERROR(__xludf.DUMMYFUNCTION("""COMPUTED_VALUE"""),"")</f>
        <v/>
      </c>
    </row>
    <row r="15935" spans="2:4" ht="13">
      <c r="B15935" s="12" t="str">
        <f ca="1">IFERROR(__xludf.DUMMYFUNCTION("""COMPUTED_VALUE"""),"")</f>
        <v/>
      </c>
      <c r="C15935" s="12" t="str">
        <f ca="1">IFERROR(__xludf.DUMMYFUNCTION("""COMPUTED_VALUE"""),"")</f>
        <v/>
      </c>
      <c r="D15935" s="12" t="str">
        <f ca="1">IFERROR(__xludf.DUMMYFUNCTION("""COMPUTED_VALUE"""),"")</f>
        <v/>
      </c>
    </row>
    <row r="15936" spans="2:4" ht="13">
      <c r="B15936" s="12" t="str">
        <f ca="1">IFERROR(__xludf.DUMMYFUNCTION("""COMPUTED_VALUE"""),"")</f>
        <v/>
      </c>
      <c r="C15936" s="12" t="str">
        <f ca="1">IFERROR(__xludf.DUMMYFUNCTION("""COMPUTED_VALUE"""),"")</f>
        <v/>
      </c>
      <c r="D15936" s="12" t="str">
        <f ca="1">IFERROR(__xludf.DUMMYFUNCTION("""COMPUTED_VALUE"""),"")</f>
        <v/>
      </c>
    </row>
    <row r="15937" spans="2:4" ht="13">
      <c r="B15937" s="12" t="str">
        <f ca="1">IFERROR(__xludf.DUMMYFUNCTION("""COMPUTED_VALUE"""),"")</f>
        <v/>
      </c>
      <c r="C15937" s="12" t="str">
        <f ca="1">IFERROR(__xludf.DUMMYFUNCTION("""COMPUTED_VALUE"""),"")</f>
        <v/>
      </c>
      <c r="D15937" s="12" t="str">
        <f ca="1">IFERROR(__xludf.DUMMYFUNCTION("""COMPUTED_VALUE"""),"")</f>
        <v/>
      </c>
    </row>
    <row r="15938" spans="2:4" ht="13">
      <c r="B15938" s="12" t="str">
        <f ca="1">IFERROR(__xludf.DUMMYFUNCTION("""COMPUTED_VALUE"""),"")</f>
        <v/>
      </c>
      <c r="C15938" s="12" t="str">
        <f ca="1">IFERROR(__xludf.DUMMYFUNCTION("""COMPUTED_VALUE"""),"")</f>
        <v/>
      </c>
      <c r="D15938" s="12" t="str">
        <f ca="1">IFERROR(__xludf.DUMMYFUNCTION("""COMPUTED_VALUE"""),"")</f>
        <v/>
      </c>
    </row>
    <row r="15939" spans="2:4" ht="13">
      <c r="B15939" s="12" t="str">
        <f ca="1">IFERROR(__xludf.DUMMYFUNCTION("""COMPUTED_VALUE"""),"")</f>
        <v/>
      </c>
      <c r="C15939" s="12" t="str">
        <f ca="1">IFERROR(__xludf.DUMMYFUNCTION("""COMPUTED_VALUE"""),"")</f>
        <v/>
      </c>
      <c r="D15939" s="12" t="str">
        <f ca="1">IFERROR(__xludf.DUMMYFUNCTION("""COMPUTED_VALUE"""),"")</f>
        <v/>
      </c>
    </row>
    <row r="15940" spans="2:4" ht="13">
      <c r="B15940" s="12" t="str">
        <f ca="1">IFERROR(__xludf.DUMMYFUNCTION("""COMPUTED_VALUE"""),"")</f>
        <v/>
      </c>
      <c r="C15940" s="12" t="str">
        <f ca="1">IFERROR(__xludf.DUMMYFUNCTION("""COMPUTED_VALUE"""),"")</f>
        <v/>
      </c>
      <c r="D15940" s="12" t="str">
        <f ca="1">IFERROR(__xludf.DUMMYFUNCTION("""COMPUTED_VALUE"""),"")</f>
        <v/>
      </c>
    </row>
    <row r="15941" spans="2:4" ht="13">
      <c r="B15941" s="12" t="str">
        <f ca="1">IFERROR(__xludf.DUMMYFUNCTION("""COMPUTED_VALUE"""),"")</f>
        <v/>
      </c>
      <c r="C15941" s="12" t="str">
        <f ca="1">IFERROR(__xludf.DUMMYFUNCTION("""COMPUTED_VALUE"""),"")</f>
        <v/>
      </c>
      <c r="D15941" s="12" t="str">
        <f ca="1">IFERROR(__xludf.DUMMYFUNCTION("""COMPUTED_VALUE"""),"")</f>
        <v/>
      </c>
    </row>
    <row r="15942" spans="2:4" ht="13">
      <c r="B15942" s="12" t="str">
        <f ca="1">IFERROR(__xludf.DUMMYFUNCTION("""COMPUTED_VALUE"""),"")</f>
        <v/>
      </c>
      <c r="C15942" s="12" t="str">
        <f ca="1">IFERROR(__xludf.DUMMYFUNCTION("""COMPUTED_VALUE"""),"")</f>
        <v/>
      </c>
      <c r="D15942" s="12" t="str">
        <f ca="1">IFERROR(__xludf.DUMMYFUNCTION("""COMPUTED_VALUE"""),"")</f>
        <v/>
      </c>
    </row>
    <row r="15943" spans="2:4" ht="13">
      <c r="B15943" s="12" t="str">
        <f ca="1">IFERROR(__xludf.DUMMYFUNCTION("""COMPUTED_VALUE"""),"")</f>
        <v/>
      </c>
      <c r="C15943" s="12" t="str">
        <f ca="1">IFERROR(__xludf.DUMMYFUNCTION("""COMPUTED_VALUE"""),"")</f>
        <v/>
      </c>
      <c r="D15943" s="12" t="str">
        <f ca="1">IFERROR(__xludf.DUMMYFUNCTION("""COMPUTED_VALUE"""),"")</f>
        <v/>
      </c>
    </row>
    <row r="15944" spans="2:4" ht="13">
      <c r="B15944" s="12" t="str">
        <f ca="1">IFERROR(__xludf.DUMMYFUNCTION("""COMPUTED_VALUE"""),"")</f>
        <v/>
      </c>
      <c r="C15944" s="12" t="str">
        <f ca="1">IFERROR(__xludf.DUMMYFUNCTION("""COMPUTED_VALUE"""),"")</f>
        <v/>
      </c>
      <c r="D15944" s="12" t="str">
        <f ca="1">IFERROR(__xludf.DUMMYFUNCTION("""COMPUTED_VALUE"""),"")</f>
        <v/>
      </c>
    </row>
    <row r="15945" spans="2:4" ht="13">
      <c r="B15945" s="12" t="str">
        <f ca="1">IFERROR(__xludf.DUMMYFUNCTION("""COMPUTED_VALUE"""),"")</f>
        <v/>
      </c>
      <c r="C15945" s="12" t="str">
        <f ca="1">IFERROR(__xludf.DUMMYFUNCTION("""COMPUTED_VALUE"""),"")</f>
        <v/>
      </c>
      <c r="D15945" s="12" t="str">
        <f ca="1">IFERROR(__xludf.DUMMYFUNCTION("""COMPUTED_VALUE"""),"")</f>
        <v/>
      </c>
    </row>
    <row r="15946" spans="2:4" ht="13">
      <c r="B15946" s="12" t="str">
        <f ca="1">IFERROR(__xludf.DUMMYFUNCTION("""COMPUTED_VALUE"""),"")</f>
        <v/>
      </c>
      <c r="C15946" s="12" t="str">
        <f ca="1">IFERROR(__xludf.DUMMYFUNCTION("""COMPUTED_VALUE"""),"")</f>
        <v/>
      </c>
      <c r="D15946" s="12" t="str">
        <f ca="1">IFERROR(__xludf.DUMMYFUNCTION("""COMPUTED_VALUE"""),"")</f>
        <v/>
      </c>
    </row>
    <row r="15947" spans="2:4" ht="13">
      <c r="B15947" s="12" t="str">
        <f ca="1">IFERROR(__xludf.DUMMYFUNCTION("""COMPUTED_VALUE"""),"")</f>
        <v/>
      </c>
      <c r="C15947" s="12" t="str">
        <f ca="1">IFERROR(__xludf.DUMMYFUNCTION("""COMPUTED_VALUE"""),"")</f>
        <v/>
      </c>
      <c r="D15947" s="12" t="str">
        <f ca="1">IFERROR(__xludf.DUMMYFUNCTION("""COMPUTED_VALUE"""),"")</f>
        <v/>
      </c>
    </row>
    <row r="15948" spans="2:4" ht="13">
      <c r="B15948" s="12" t="str">
        <f ca="1">IFERROR(__xludf.DUMMYFUNCTION("""COMPUTED_VALUE"""),"")</f>
        <v/>
      </c>
      <c r="C15948" s="12" t="str">
        <f ca="1">IFERROR(__xludf.DUMMYFUNCTION("""COMPUTED_VALUE"""),"")</f>
        <v/>
      </c>
      <c r="D15948" s="12" t="str">
        <f ca="1">IFERROR(__xludf.DUMMYFUNCTION("""COMPUTED_VALUE"""),"")</f>
        <v/>
      </c>
    </row>
    <row r="15949" spans="2:4" ht="13">
      <c r="B15949" s="12" t="str">
        <f ca="1">IFERROR(__xludf.DUMMYFUNCTION("""COMPUTED_VALUE"""),"")</f>
        <v/>
      </c>
      <c r="C15949" s="12" t="str">
        <f ca="1">IFERROR(__xludf.DUMMYFUNCTION("""COMPUTED_VALUE"""),"")</f>
        <v/>
      </c>
      <c r="D15949" s="12" t="str">
        <f ca="1">IFERROR(__xludf.DUMMYFUNCTION("""COMPUTED_VALUE"""),"")</f>
        <v/>
      </c>
    </row>
    <row r="15950" spans="2:4" ht="13">
      <c r="B15950" s="12" t="str">
        <f ca="1">IFERROR(__xludf.DUMMYFUNCTION("""COMPUTED_VALUE"""),"")</f>
        <v/>
      </c>
      <c r="C15950" s="12" t="str">
        <f ca="1">IFERROR(__xludf.DUMMYFUNCTION("""COMPUTED_VALUE"""),"")</f>
        <v/>
      </c>
      <c r="D15950" s="12" t="str">
        <f ca="1">IFERROR(__xludf.DUMMYFUNCTION("""COMPUTED_VALUE"""),"")</f>
        <v/>
      </c>
    </row>
    <row r="15951" spans="2:4" ht="13">
      <c r="B15951" s="12" t="str">
        <f ca="1">IFERROR(__xludf.DUMMYFUNCTION("""COMPUTED_VALUE"""),"")</f>
        <v/>
      </c>
      <c r="C15951" s="12" t="str">
        <f ca="1">IFERROR(__xludf.DUMMYFUNCTION("""COMPUTED_VALUE"""),"")</f>
        <v/>
      </c>
      <c r="D15951" s="12" t="str">
        <f ca="1">IFERROR(__xludf.DUMMYFUNCTION("""COMPUTED_VALUE"""),"")</f>
        <v/>
      </c>
    </row>
    <row r="15952" spans="2:4" ht="13">
      <c r="B15952" s="12" t="str">
        <f ca="1">IFERROR(__xludf.DUMMYFUNCTION("""COMPUTED_VALUE"""),"")</f>
        <v/>
      </c>
      <c r="C15952" s="12" t="str">
        <f ca="1">IFERROR(__xludf.DUMMYFUNCTION("""COMPUTED_VALUE"""),"")</f>
        <v/>
      </c>
      <c r="D15952" s="12" t="str">
        <f ca="1">IFERROR(__xludf.DUMMYFUNCTION("""COMPUTED_VALUE"""),"")</f>
        <v/>
      </c>
    </row>
    <row r="15953" spans="2:4" ht="13">
      <c r="B15953" s="12" t="str">
        <f ca="1">IFERROR(__xludf.DUMMYFUNCTION("""COMPUTED_VALUE"""),"")</f>
        <v/>
      </c>
      <c r="C15953" s="12" t="str">
        <f ca="1">IFERROR(__xludf.DUMMYFUNCTION("""COMPUTED_VALUE"""),"")</f>
        <v/>
      </c>
      <c r="D15953" s="12" t="str">
        <f ca="1">IFERROR(__xludf.DUMMYFUNCTION("""COMPUTED_VALUE"""),"")</f>
        <v/>
      </c>
    </row>
    <row r="15954" spans="2:4" ht="13">
      <c r="B15954" s="12" t="str">
        <f ca="1">IFERROR(__xludf.DUMMYFUNCTION("""COMPUTED_VALUE"""),"")</f>
        <v/>
      </c>
      <c r="C15954" s="12" t="str">
        <f ca="1">IFERROR(__xludf.DUMMYFUNCTION("""COMPUTED_VALUE"""),"")</f>
        <v/>
      </c>
      <c r="D15954" s="12" t="str">
        <f ca="1">IFERROR(__xludf.DUMMYFUNCTION("""COMPUTED_VALUE"""),"")</f>
        <v/>
      </c>
    </row>
    <row r="15955" spans="2:4" ht="13">
      <c r="B15955" s="12" t="str">
        <f ca="1">IFERROR(__xludf.DUMMYFUNCTION("""COMPUTED_VALUE"""),"")</f>
        <v/>
      </c>
      <c r="C15955" s="12" t="str">
        <f ca="1">IFERROR(__xludf.DUMMYFUNCTION("""COMPUTED_VALUE"""),"")</f>
        <v/>
      </c>
      <c r="D15955" s="12" t="str">
        <f ca="1">IFERROR(__xludf.DUMMYFUNCTION("""COMPUTED_VALUE"""),"")</f>
        <v/>
      </c>
    </row>
    <row r="15956" spans="2:4" ht="13">
      <c r="B15956" s="12" t="str">
        <f ca="1">IFERROR(__xludf.DUMMYFUNCTION("""COMPUTED_VALUE"""),"")</f>
        <v/>
      </c>
      <c r="C15956" s="12" t="str">
        <f ca="1">IFERROR(__xludf.DUMMYFUNCTION("""COMPUTED_VALUE"""),"")</f>
        <v/>
      </c>
      <c r="D15956" s="12" t="str">
        <f ca="1">IFERROR(__xludf.DUMMYFUNCTION("""COMPUTED_VALUE"""),"")</f>
        <v/>
      </c>
    </row>
    <row r="15957" spans="2:4" ht="13">
      <c r="B15957" s="12" t="str">
        <f ca="1">IFERROR(__xludf.DUMMYFUNCTION("""COMPUTED_VALUE"""),"")</f>
        <v/>
      </c>
      <c r="C15957" s="12" t="str">
        <f ca="1">IFERROR(__xludf.DUMMYFUNCTION("""COMPUTED_VALUE"""),"")</f>
        <v/>
      </c>
      <c r="D15957" s="12" t="str">
        <f ca="1">IFERROR(__xludf.DUMMYFUNCTION("""COMPUTED_VALUE"""),"")</f>
        <v/>
      </c>
    </row>
    <row r="15958" spans="2:4" ht="13">
      <c r="B15958" s="12" t="str">
        <f ca="1">IFERROR(__xludf.DUMMYFUNCTION("""COMPUTED_VALUE"""),"")</f>
        <v/>
      </c>
      <c r="C15958" s="12" t="str">
        <f ca="1">IFERROR(__xludf.DUMMYFUNCTION("""COMPUTED_VALUE"""),"")</f>
        <v/>
      </c>
      <c r="D15958" s="12" t="str">
        <f ca="1">IFERROR(__xludf.DUMMYFUNCTION("""COMPUTED_VALUE"""),"")</f>
        <v/>
      </c>
    </row>
    <row r="15959" spans="2:4" ht="13">
      <c r="B15959" s="12" t="str">
        <f ca="1">IFERROR(__xludf.DUMMYFUNCTION("""COMPUTED_VALUE"""),"")</f>
        <v/>
      </c>
      <c r="C15959" s="12" t="str">
        <f ca="1">IFERROR(__xludf.DUMMYFUNCTION("""COMPUTED_VALUE"""),"")</f>
        <v/>
      </c>
      <c r="D15959" s="12" t="str">
        <f ca="1">IFERROR(__xludf.DUMMYFUNCTION("""COMPUTED_VALUE"""),"")</f>
        <v/>
      </c>
    </row>
    <row r="15960" spans="2:4" ht="13">
      <c r="B15960" s="12" t="str">
        <f ca="1">IFERROR(__xludf.DUMMYFUNCTION("""COMPUTED_VALUE"""),"")</f>
        <v/>
      </c>
      <c r="C15960" s="12" t="str">
        <f ca="1">IFERROR(__xludf.DUMMYFUNCTION("""COMPUTED_VALUE"""),"")</f>
        <v/>
      </c>
      <c r="D15960" s="12" t="str">
        <f ca="1">IFERROR(__xludf.DUMMYFUNCTION("""COMPUTED_VALUE"""),"")</f>
        <v/>
      </c>
    </row>
    <row r="15961" spans="2:4" ht="13">
      <c r="B15961" s="12" t="str">
        <f ca="1">IFERROR(__xludf.DUMMYFUNCTION("""COMPUTED_VALUE"""),"")</f>
        <v/>
      </c>
      <c r="C15961" s="12" t="str">
        <f ca="1">IFERROR(__xludf.DUMMYFUNCTION("""COMPUTED_VALUE"""),"")</f>
        <v/>
      </c>
      <c r="D15961" s="12" t="str">
        <f ca="1">IFERROR(__xludf.DUMMYFUNCTION("""COMPUTED_VALUE"""),"")</f>
        <v/>
      </c>
    </row>
    <row r="15962" spans="2:4" ht="13">
      <c r="B15962" s="12" t="str">
        <f ca="1">IFERROR(__xludf.DUMMYFUNCTION("""COMPUTED_VALUE"""),"")</f>
        <v/>
      </c>
      <c r="C15962" s="12" t="str">
        <f ca="1">IFERROR(__xludf.DUMMYFUNCTION("""COMPUTED_VALUE"""),"")</f>
        <v/>
      </c>
      <c r="D15962" s="12" t="str">
        <f ca="1">IFERROR(__xludf.DUMMYFUNCTION("""COMPUTED_VALUE"""),"")</f>
        <v/>
      </c>
    </row>
    <row r="15963" spans="2:4" ht="13">
      <c r="B15963" s="12" t="str">
        <f ca="1">IFERROR(__xludf.DUMMYFUNCTION("""COMPUTED_VALUE"""),"")</f>
        <v/>
      </c>
      <c r="C15963" s="12" t="str">
        <f ca="1">IFERROR(__xludf.DUMMYFUNCTION("""COMPUTED_VALUE"""),"")</f>
        <v/>
      </c>
      <c r="D15963" s="12" t="str">
        <f ca="1">IFERROR(__xludf.DUMMYFUNCTION("""COMPUTED_VALUE"""),"")</f>
        <v/>
      </c>
    </row>
    <row r="15964" spans="2:4" ht="13">
      <c r="B15964" s="12" t="str">
        <f ca="1">IFERROR(__xludf.DUMMYFUNCTION("""COMPUTED_VALUE"""),"")</f>
        <v/>
      </c>
      <c r="C15964" s="12" t="str">
        <f ca="1">IFERROR(__xludf.DUMMYFUNCTION("""COMPUTED_VALUE"""),"")</f>
        <v/>
      </c>
      <c r="D15964" s="12" t="str">
        <f ca="1">IFERROR(__xludf.DUMMYFUNCTION("""COMPUTED_VALUE"""),"")</f>
        <v/>
      </c>
    </row>
    <row r="15965" spans="2:4" ht="13">
      <c r="B15965" s="12" t="str">
        <f ca="1">IFERROR(__xludf.DUMMYFUNCTION("""COMPUTED_VALUE"""),"")</f>
        <v/>
      </c>
      <c r="C15965" s="12" t="str">
        <f ca="1">IFERROR(__xludf.DUMMYFUNCTION("""COMPUTED_VALUE"""),"")</f>
        <v/>
      </c>
      <c r="D15965" s="12" t="str">
        <f ca="1">IFERROR(__xludf.DUMMYFUNCTION("""COMPUTED_VALUE"""),"")</f>
        <v/>
      </c>
    </row>
    <row r="15966" spans="2:4" ht="13">
      <c r="B15966" s="12" t="str">
        <f ca="1">IFERROR(__xludf.DUMMYFUNCTION("""COMPUTED_VALUE"""),"")</f>
        <v/>
      </c>
      <c r="C15966" s="12" t="str">
        <f ca="1">IFERROR(__xludf.DUMMYFUNCTION("""COMPUTED_VALUE"""),"")</f>
        <v/>
      </c>
      <c r="D15966" s="12" t="str">
        <f ca="1">IFERROR(__xludf.DUMMYFUNCTION("""COMPUTED_VALUE"""),"")</f>
        <v/>
      </c>
    </row>
    <row r="15967" spans="2:4" ht="13">
      <c r="B15967" s="12" t="str">
        <f ca="1">IFERROR(__xludf.DUMMYFUNCTION("""COMPUTED_VALUE"""),"")</f>
        <v/>
      </c>
      <c r="C15967" s="12" t="str">
        <f ca="1">IFERROR(__xludf.DUMMYFUNCTION("""COMPUTED_VALUE"""),"")</f>
        <v/>
      </c>
      <c r="D15967" s="12" t="str">
        <f ca="1">IFERROR(__xludf.DUMMYFUNCTION("""COMPUTED_VALUE"""),"")</f>
        <v/>
      </c>
    </row>
    <row r="15968" spans="2:4" ht="13">
      <c r="B15968" s="12" t="str">
        <f ca="1">IFERROR(__xludf.DUMMYFUNCTION("""COMPUTED_VALUE"""),"")</f>
        <v/>
      </c>
      <c r="C15968" s="12" t="str">
        <f ca="1">IFERROR(__xludf.DUMMYFUNCTION("""COMPUTED_VALUE"""),"")</f>
        <v/>
      </c>
      <c r="D15968" s="12" t="str">
        <f ca="1">IFERROR(__xludf.DUMMYFUNCTION("""COMPUTED_VALUE"""),"")</f>
        <v/>
      </c>
    </row>
    <row r="15969" spans="2:4" ht="13">
      <c r="B15969" s="12" t="str">
        <f ca="1">IFERROR(__xludf.DUMMYFUNCTION("""COMPUTED_VALUE"""),"")</f>
        <v/>
      </c>
      <c r="C15969" s="12" t="str">
        <f ca="1">IFERROR(__xludf.DUMMYFUNCTION("""COMPUTED_VALUE"""),"")</f>
        <v/>
      </c>
      <c r="D15969" s="12" t="str">
        <f ca="1">IFERROR(__xludf.DUMMYFUNCTION("""COMPUTED_VALUE"""),"")</f>
        <v/>
      </c>
    </row>
    <row r="15970" spans="2:4" ht="13">
      <c r="B15970" s="12" t="str">
        <f ca="1">IFERROR(__xludf.DUMMYFUNCTION("""COMPUTED_VALUE"""),"")</f>
        <v/>
      </c>
      <c r="C15970" s="12" t="str">
        <f ca="1">IFERROR(__xludf.DUMMYFUNCTION("""COMPUTED_VALUE"""),"")</f>
        <v/>
      </c>
      <c r="D15970" s="12" t="str">
        <f ca="1">IFERROR(__xludf.DUMMYFUNCTION("""COMPUTED_VALUE"""),"")</f>
        <v/>
      </c>
    </row>
    <row r="15971" spans="2:4" ht="13">
      <c r="B15971" s="12" t="str">
        <f ca="1">IFERROR(__xludf.DUMMYFUNCTION("""COMPUTED_VALUE"""),"")</f>
        <v/>
      </c>
      <c r="C15971" s="12" t="str">
        <f ca="1">IFERROR(__xludf.DUMMYFUNCTION("""COMPUTED_VALUE"""),"")</f>
        <v/>
      </c>
      <c r="D15971" s="12" t="str">
        <f ca="1">IFERROR(__xludf.DUMMYFUNCTION("""COMPUTED_VALUE"""),"")</f>
        <v/>
      </c>
    </row>
    <row r="15972" spans="2:4" ht="13">
      <c r="B15972" s="12" t="str">
        <f ca="1">IFERROR(__xludf.DUMMYFUNCTION("""COMPUTED_VALUE"""),"")</f>
        <v/>
      </c>
      <c r="C15972" s="12" t="str">
        <f ca="1">IFERROR(__xludf.DUMMYFUNCTION("""COMPUTED_VALUE"""),"")</f>
        <v/>
      </c>
      <c r="D15972" s="12" t="str">
        <f ca="1">IFERROR(__xludf.DUMMYFUNCTION("""COMPUTED_VALUE"""),"")</f>
        <v/>
      </c>
    </row>
    <row r="15973" spans="2:4" ht="13">
      <c r="B15973" s="12" t="str">
        <f ca="1">IFERROR(__xludf.DUMMYFUNCTION("""COMPUTED_VALUE"""),"")</f>
        <v/>
      </c>
      <c r="C15973" s="12" t="str">
        <f ca="1">IFERROR(__xludf.DUMMYFUNCTION("""COMPUTED_VALUE"""),"")</f>
        <v/>
      </c>
      <c r="D15973" s="12" t="str">
        <f ca="1">IFERROR(__xludf.DUMMYFUNCTION("""COMPUTED_VALUE"""),"")</f>
        <v/>
      </c>
    </row>
    <row r="15974" spans="2:4" ht="13">
      <c r="B15974" s="12" t="str">
        <f ca="1">IFERROR(__xludf.DUMMYFUNCTION("""COMPUTED_VALUE"""),"")</f>
        <v/>
      </c>
      <c r="C15974" s="12" t="str">
        <f ca="1">IFERROR(__xludf.DUMMYFUNCTION("""COMPUTED_VALUE"""),"")</f>
        <v/>
      </c>
      <c r="D15974" s="12" t="str">
        <f ca="1">IFERROR(__xludf.DUMMYFUNCTION("""COMPUTED_VALUE"""),"")</f>
        <v/>
      </c>
    </row>
    <row r="15975" spans="2:4" ht="13">
      <c r="B15975" s="12" t="str">
        <f ca="1">IFERROR(__xludf.DUMMYFUNCTION("""COMPUTED_VALUE"""),"")</f>
        <v/>
      </c>
      <c r="C15975" s="12" t="str">
        <f ca="1">IFERROR(__xludf.DUMMYFUNCTION("""COMPUTED_VALUE"""),"")</f>
        <v/>
      </c>
      <c r="D15975" s="12" t="str">
        <f ca="1">IFERROR(__xludf.DUMMYFUNCTION("""COMPUTED_VALUE"""),"")</f>
        <v/>
      </c>
    </row>
    <row r="15976" spans="2:4" ht="13">
      <c r="B15976" s="12" t="str">
        <f ca="1">IFERROR(__xludf.DUMMYFUNCTION("""COMPUTED_VALUE"""),"")</f>
        <v/>
      </c>
      <c r="C15976" s="12" t="str">
        <f ca="1">IFERROR(__xludf.DUMMYFUNCTION("""COMPUTED_VALUE"""),"")</f>
        <v/>
      </c>
      <c r="D15976" s="12" t="str">
        <f ca="1">IFERROR(__xludf.DUMMYFUNCTION("""COMPUTED_VALUE"""),"")</f>
        <v/>
      </c>
    </row>
    <row r="15977" spans="2:4" ht="13">
      <c r="B15977" s="12" t="str">
        <f ca="1">IFERROR(__xludf.DUMMYFUNCTION("""COMPUTED_VALUE"""),"")</f>
        <v/>
      </c>
      <c r="C15977" s="12" t="str">
        <f ca="1">IFERROR(__xludf.DUMMYFUNCTION("""COMPUTED_VALUE"""),"")</f>
        <v/>
      </c>
      <c r="D15977" s="12" t="str">
        <f ca="1">IFERROR(__xludf.DUMMYFUNCTION("""COMPUTED_VALUE"""),"")</f>
        <v/>
      </c>
    </row>
    <row r="15978" spans="2:4" ht="13">
      <c r="B15978" s="12" t="str">
        <f ca="1">IFERROR(__xludf.DUMMYFUNCTION("""COMPUTED_VALUE"""),"")</f>
        <v/>
      </c>
      <c r="C15978" s="12" t="str">
        <f ca="1">IFERROR(__xludf.DUMMYFUNCTION("""COMPUTED_VALUE"""),"")</f>
        <v/>
      </c>
      <c r="D15978" s="12" t="str">
        <f ca="1">IFERROR(__xludf.DUMMYFUNCTION("""COMPUTED_VALUE"""),"")</f>
        <v/>
      </c>
    </row>
    <row r="15979" spans="2:4" ht="13">
      <c r="B15979" s="12" t="str">
        <f ca="1">IFERROR(__xludf.DUMMYFUNCTION("""COMPUTED_VALUE"""),"")</f>
        <v/>
      </c>
      <c r="C15979" s="12" t="str">
        <f ca="1">IFERROR(__xludf.DUMMYFUNCTION("""COMPUTED_VALUE"""),"")</f>
        <v/>
      </c>
      <c r="D15979" s="12" t="str">
        <f ca="1">IFERROR(__xludf.DUMMYFUNCTION("""COMPUTED_VALUE"""),"")</f>
        <v/>
      </c>
    </row>
    <row r="15980" spans="2:4" ht="13">
      <c r="B15980" s="12" t="str">
        <f ca="1">IFERROR(__xludf.DUMMYFUNCTION("""COMPUTED_VALUE"""),"")</f>
        <v/>
      </c>
      <c r="C15980" s="12" t="str">
        <f ca="1">IFERROR(__xludf.DUMMYFUNCTION("""COMPUTED_VALUE"""),"")</f>
        <v/>
      </c>
      <c r="D15980" s="12" t="str">
        <f ca="1">IFERROR(__xludf.DUMMYFUNCTION("""COMPUTED_VALUE"""),"")</f>
        <v/>
      </c>
    </row>
    <row r="15981" spans="2:4" ht="13">
      <c r="B15981" s="12" t="str">
        <f ca="1">IFERROR(__xludf.DUMMYFUNCTION("""COMPUTED_VALUE"""),"")</f>
        <v/>
      </c>
      <c r="C15981" s="12" t="str">
        <f ca="1">IFERROR(__xludf.DUMMYFUNCTION("""COMPUTED_VALUE"""),"")</f>
        <v/>
      </c>
      <c r="D15981" s="12" t="str">
        <f ca="1">IFERROR(__xludf.DUMMYFUNCTION("""COMPUTED_VALUE"""),"")</f>
        <v/>
      </c>
    </row>
    <row r="15982" spans="2:4" ht="13">
      <c r="B15982" s="12" t="str">
        <f ca="1">IFERROR(__xludf.DUMMYFUNCTION("""COMPUTED_VALUE"""),"")</f>
        <v/>
      </c>
      <c r="C15982" s="12" t="str">
        <f ca="1">IFERROR(__xludf.DUMMYFUNCTION("""COMPUTED_VALUE"""),"")</f>
        <v/>
      </c>
      <c r="D15982" s="12" t="str">
        <f ca="1">IFERROR(__xludf.DUMMYFUNCTION("""COMPUTED_VALUE"""),"")</f>
        <v/>
      </c>
    </row>
    <row r="15983" spans="2:4" ht="13">
      <c r="B15983" s="12" t="str">
        <f ca="1">IFERROR(__xludf.DUMMYFUNCTION("""COMPUTED_VALUE"""),"")</f>
        <v/>
      </c>
      <c r="C15983" s="12" t="str">
        <f ca="1">IFERROR(__xludf.DUMMYFUNCTION("""COMPUTED_VALUE"""),"")</f>
        <v/>
      </c>
      <c r="D15983" s="12" t="str">
        <f ca="1">IFERROR(__xludf.DUMMYFUNCTION("""COMPUTED_VALUE"""),"")</f>
        <v/>
      </c>
    </row>
    <row r="15984" spans="2:4" ht="13">
      <c r="B15984" s="12" t="str">
        <f ca="1">IFERROR(__xludf.DUMMYFUNCTION("""COMPUTED_VALUE"""),"")</f>
        <v/>
      </c>
      <c r="C15984" s="12" t="str">
        <f ca="1">IFERROR(__xludf.DUMMYFUNCTION("""COMPUTED_VALUE"""),"")</f>
        <v/>
      </c>
      <c r="D15984" s="12" t="str">
        <f ca="1">IFERROR(__xludf.DUMMYFUNCTION("""COMPUTED_VALUE"""),"")</f>
        <v/>
      </c>
    </row>
    <row r="15985" spans="2:4" ht="13">
      <c r="B15985" s="12" t="str">
        <f ca="1">IFERROR(__xludf.DUMMYFUNCTION("""COMPUTED_VALUE"""),"")</f>
        <v/>
      </c>
      <c r="C15985" s="12" t="str">
        <f ca="1">IFERROR(__xludf.DUMMYFUNCTION("""COMPUTED_VALUE"""),"")</f>
        <v/>
      </c>
      <c r="D15985" s="12" t="str">
        <f ca="1">IFERROR(__xludf.DUMMYFUNCTION("""COMPUTED_VALUE"""),"")</f>
        <v/>
      </c>
    </row>
    <row r="15986" spans="2:4" ht="13">
      <c r="B15986" s="12" t="str">
        <f ca="1">IFERROR(__xludf.DUMMYFUNCTION("""COMPUTED_VALUE"""),"")</f>
        <v/>
      </c>
      <c r="C15986" s="12" t="str">
        <f ca="1">IFERROR(__xludf.DUMMYFUNCTION("""COMPUTED_VALUE"""),"")</f>
        <v/>
      </c>
      <c r="D15986" s="12" t="str">
        <f ca="1">IFERROR(__xludf.DUMMYFUNCTION("""COMPUTED_VALUE"""),"")</f>
        <v/>
      </c>
    </row>
    <row r="15987" spans="2:4" ht="13">
      <c r="B15987" s="12" t="str">
        <f ca="1">IFERROR(__xludf.DUMMYFUNCTION("""COMPUTED_VALUE"""),"")</f>
        <v/>
      </c>
      <c r="C15987" s="12" t="str">
        <f ca="1">IFERROR(__xludf.DUMMYFUNCTION("""COMPUTED_VALUE"""),"")</f>
        <v/>
      </c>
      <c r="D15987" s="12" t="str">
        <f ca="1">IFERROR(__xludf.DUMMYFUNCTION("""COMPUTED_VALUE"""),"")</f>
        <v/>
      </c>
    </row>
    <row r="15988" spans="2:4" ht="13">
      <c r="B15988" s="12" t="str">
        <f ca="1">IFERROR(__xludf.DUMMYFUNCTION("""COMPUTED_VALUE"""),"")</f>
        <v/>
      </c>
      <c r="C15988" s="12" t="str">
        <f ca="1">IFERROR(__xludf.DUMMYFUNCTION("""COMPUTED_VALUE"""),"")</f>
        <v/>
      </c>
      <c r="D15988" s="12" t="str">
        <f ca="1">IFERROR(__xludf.DUMMYFUNCTION("""COMPUTED_VALUE"""),"")</f>
        <v/>
      </c>
    </row>
    <row r="15989" spans="2:4" ht="13">
      <c r="B15989" s="12" t="str">
        <f ca="1">IFERROR(__xludf.DUMMYFUNCTION("""COMPUTED_VALUE"""),"")</f>
        <v/>
      </c>
      <c r="C15989" s="12" t="str">
        <f ca="1">IFERROR(__xludf.DUMMYFUNCTION("""COMPUTED_VALUE"""),"")</f>
        <v/>
      </c>
      <c r="D15989" s="12" t="str">
        <f ca="1">IFERROR(__xludf.DUMMYFUNCTION("""COMPUTED_VALUE"""),"")</f>
        <v/>
      </c>
    </row>
    <row r="15990" spans="2:4" ht="13">
      <c r="B15990" s="12" t="str">
        <f ca="1">IFERROR(__xludf.DUMMYFUNCTION("""COMPUTED_VALUE"""),"")</f>
        <v/>
      </c>
      <c r="C15990" s="12" t="str">
        <f ca="1">IFERROR(__xludf.DUMMYFUNCTION("""COMPUTED_VALUE"""),"")</f>
        <v/>
      </c>
      <c r="D15990" s="12" t="str">
        <f ca="1">IFERROR(__xludf.DUMMYFUNCTION("""COMPUTED_VALUE"""),"")</f>
        <v/>
      </c>
    </row>
    <row r="15991" spans="2:4" ht="13">
      <c r="B15991" s="12" t="str">
        <f ca="1">IFERROR(__xludf.DUMMYFUNCTION("""COMPUTED_VALUE"""),"")</f>
        <v/>
      </c>
      <c r="C15991" s="12" t="str">
        <f ca="1">IFERROR(__xludf.DUMMYFUNCTION("""COMPUTED_VALUE"""),"")</f>
        <v/>
      </c>
      <c r="D15991" s="12" t="str">
        <f ca="1">IFERROR(__xludf.DUMMYFUNCTION("""COMPUTED_VALUE"""),"")</f>
        <v/>
      </c>
    </row>
    <row r="15992" spans="2:4" ht="13">
      <c r="B15992" s="12" t="str">
        <f ca="1">IFERROR(__xludf.DUMMYFUNCTION("""COMPUTED_VALUE"""),"")</f>
        <v/>
      </c>
      <c r="C15992" s="12" t="str">
        <f ca="1">IFERROR(__xludf.DUMMYFUNCTION("""COMPUTED_VALUE"""),"")</f>
        <v/>
      </c>
      <c r="D15992" s="12" t="str">
        <f ca="1">IFERROR(__xludf.DUMMYFUNCTION("""COMPUTED_VALUE"""),"")</f>
        <v/>
      </c>
    </row>
    <row r="15993" spans="2:4" ht="13">
      <c r="B15993" s="12" t="str">
        <f ca="1">IFERROR(__xludf.DUMMYFUNCTION("""COMPUTED_VALUE"""),"")</f>
        <v/>
      </c>
      <c r="C15993" s="12" t="str">
        <f ca="1">IFERROR(__xludf.DUMMYFUNCTION("""COMPUTED_VALUE"""),"")</f>
        <v/>
      </c>
      <c r="D15993" s="12" t="str">
        <f ca="1">IFERROR(__xludf.DUMMYFUNCTION("""COMPUTED_VALUE"""),"")</f>
        <v/>
      </c>
    </row>
    <row r="15994" spans="2:4" ht="13">
      <c r="B15994" s="12" t="str">
        <f ca="1">IFERROR(__xludf.DUMMYFUNCTION("""COMPUTED_VALUE"""),"")</f>
        <v/>
      </c>
      <c r="C15994" s="12" t="str">
        <f ca="1">IFERROR(__xludf.DUMMYFUNCTION("""COMPUTED_VALUE"""),"")</f>
        <v/>
      </c>
      <c r="D15994" s="12" t="str">
        <f ca="1">IFERROR(__xludf.DUMMYFUNCTION("""COMPUTED_VALUE"""),"")</f>
        <v/>
      </c>
    </row>
    <row r="15995" spans="2:4" ht="13">
      <c r="B15995" s="12" t="str">
        <f ca="1">IFERROR(__xludf.DUMMYFUNCTION("""COMPUTED_VALUE"""),"")</f>
        <v/>
      </c>
      <c r="C15995" s="12" t="str">
        <f ca="1">IFERROR(__xludf.DUMMYFUNCTION("""COMPUTED_VALUE"""),"")</f>
        <v/>
      </c>
      <c r="D15995" s="12" t="str">
        <f ca="1">IFERROR(__xludf.DUMMYFUNCTION("""COMPUTED_VALUE"""),"")</f>
        <v/>
      </c>
    </row>
    <row r="15996" spans="2:4" ht="13">
      <c r="B15996" s="12" t="str">
        <f ca="1">IFERROR(__xludf.DUMMYFUNCTION("""COMPUTED_VALUE"""),"")</f>
        <v/>
      </c>
      <c r="C15996" s="12" t="str">
        <f ca="1">IFERROR(__xludf.DUMMYFUNCTION("""COMPUTED_VALUE"""),"")</f>
        <v/>
      </c>
      <c r="D15996" s="12" t="str">
        <f ca="1">IFERROR(__xludf.DUMMYFUNCTION("""COMPUTED_VALUE"""),"")</f>
        <v/>
      </c>
    </row>
    <row r="15997" spans="2:4" ht="13">
      <c r="B15997" s="12" t="str">
        <f ca="1">IFERROR(__xludf.DUMMYFUNCTION("""COMPUTED_VALUE"""),"")</f>
        <v/>
      </c>
      <c r="C15997" s="12" t="str">
        <f ca="1">IFERROR(__xludf.DUMMYFUNCTION("""COMPUTED_VALUE"""),"")</f>
        <v/>
      </c>
      <c r="D15997" s="12" t="str">
        <f ca="1">IFERROR(__xludf.DUMMYFUNCTION("""COMPUTED_VALUE"""),"")</f>
        <v/>
      </c>
    </row>
    <row r="15998" spans="2:4" ht="13">
      <c r="B15998" s="12" t="str">
        <f ca="1">IFERROR(__xludf.DUMMYFUNCTION("""COMPUTED_VALUE"""),"")</f>
        <v/>
      </c>
      <c r="C15998" s="12" t="str">
        <f ca="1">IFERROR(__xludf.DUMMYFUNCTION("""COMPUTED_VALUE"""),"")</f>
        <v/>
      </c>
      <c r="D15998" s="12" t="str">
        <f ca="1">IFERROR(__xludf.DUMMYFUNCTION("""COMPUTED_VALUE"""),"")</f>
        <v/>
      </c>
    </row>
    <row r="15999" spans="2:4" ht="13">
      <c r="B15999" s="12" t="str">
        <f ca="1">IFERROR(__xludf.DUMMYFUNCTION("""COMPUTED_VALUE"""),"")</f>
        <v/>
      </c>
      <c r="C15999" s="12" t="str">
        <f ca="1">IFERROR(__xludf.DUMMYFUNCTION("""COMPUTED_VALUE"""),"")</f>
        <v/>
      </c>
      <c r="D15999" s="12" t="str">
        <f ca="1">IFERROR(__xludf.DUMMYFUNCTION("""COMPUTED_VALUE"""),"")</f>
        <v/>
      </c>
    </row>
    <row r="16000" spans="2:4" ht="13">
      <c r="B16000" s="12" t="str">
        <f ca="1">IFERROR(__xludf.DUMMYFUNCTION("""COMPUTED_VALUE"""),"")</f>
        <v/>
      </c>
      <c r="C16000" s="12" t="str">
        <f ca="1">IFERROR(__xludf.DUMMYFUNCTION("""COMPUTED_VALUE"""),"")</f>
        <v/>
      </c>
      <c r="D16000" s="12" t="str">
        <f ca="1">IFERROR(__xludf.DUMMYFUNCTION("""COMPUTED_VALUE"""),"")</f>
        <v/>
      </c>
    </row>
    <row r="16001" spans="2:4" ht="13">
      <c r="B16001" s="12" t="str">
        <f ca="1">IFERROR(__xludf.DUMMYFUNCTION("""COMPUTED_VALUE"""),"")</f>
        <v/>
      </c>
      <c r="C16001" s="12" t="str">
        <f ca="1">IFERROR(__xludf.DUMMYFUNCTION("""COMPUTED_VALUE"""),"")</f>
        <v/>
      </c>
      <c r="D16001" s="12" t="str">
        <f ca="1">IFERROR(__xludf.DUMMYFUNCTION("""COMPUTED_VALUE"""),"")</f>
        <v/>
      </c>
    </row>
    <row r="16002" spans="2:4" ht="13">
      <c r="B16002" s="12" t="str">
        <f ca="1">IFERROR(__xludf.DUMMYFUNCTION("""COMPUTED_VALUE"""),"")</f>
        <v/>
      </c>
      <c r="C16002" s="12" t="str">
        <f ca="1">IFERROR(__xludf.DUMMYFUNCTION("""COMPUTED_VALUE"""),"")</f>
        <v/>
      </c>
      <c r="D16002" s="12" t="str">
        <f ca="1">IFERROR(__xludf.DUMMYFUNCTION("""COMPUTED_VALUE"""),"")</f>
        <v/>
      </c>
    </row>
    <row r="16003" spans="2:4" ht="13">
      <c r="B16003" s="12" t="str">
        <f ca="1">IFERROR(__xludf.DUMMYFUNCTION("""COMPUTED_VALUE"""),"")</f>
        <v/>
      </c>
      <c r="C16003" s="12" t="str">
        <f ca="1">IFERROR(__xludf.DUMMYFUNCTION("""COMPUTED_VALUE"""),"")</f>
        <v/>
      </c>
      <c r="D16003" s="12" t="str">
        <f ca="1">IFERROR(__xludf.DUMMYFUNCTION("""COMPUTED_VALUE"""),"")</f>
        <v/>
      </c>
    </row>
    <row r="16004" spans="2:4" ht="13">
      <c r="B16004" s="12" t="str">
        <f ca="1">IFERROR(__xludf.DUMMYFUNCTION("""COMPUTED_VALUE"""),"")</f>
        <v/>
      </c>
      <c r="C16004" s="12" t="str">
        <f ca="1">IFERROR(__xludf.DUMMYFUNCTION("""COMPUTED_VALUE"""),"")</f>
        <v/>
      </c>
      <c r="D16004" s="12" t="str">
        <f ca="1">IFERROR(__xludf.DUMMYFUNCTION("""COMPUTED_VALUE"""),"")</f>
        <v/>
      </c>
    </row>
    <row r="16005" spans="2:4" ht="13">
      <c r="B16005" s="12" t="str">
        <f ca="1">IFERROR(__xludf.DUMMYFUNCTION("""COMPUTED_VALUE"""),"")</f>
        <v/>
      </c>
      <c r="C16005" s="12" t="str">
        <f ca="1">IFERROR(__xludf.DUMMYFUNCTION("""COMPUTED_VALUE"""),"")</f>
        <v/>
      </c>
      <c r="D16005" s="12" t="str">
        <f ca="1">IFERROR(__xludf.DUMMYFUNCTION("""COMPUTED_VALUE"""),"")</f>
        <v/>
      </c>
    </row>
    <row r="16006" spans="2:4" ht="13">
      <c r="B16006" s="12" t="str">
        <f ca="1">IFERROR(__xludf.DUMMYFUNCTION("""COMPUTED_VALUE"""),"")</f>
        <v/>
      </c>
      <c r="C16006" s="12" t="str">
        <f ca="1">IFERROR(__xludf.DUMMYFUNCTION("""COMPUTED_VALUE"""),"")</f>
        <v/>
      </c>
      <c r="D16006" s="12" t="str">
        <f ca="1">IFERROR(__xludf.DUMMYFUNCTION("""COMPUTED_VALUE"""),"")</f>
        <v/>
      </c>
    </row>
    <row r="16007" spans="2:4" ht="13">
      <c r="B16007" s="12" t="str">
        <f ca="1">IFERROR(__xludf.DUMMYFUNCTION("""COMPUTED_VALUE"""),"")</f>
        <v/>
      </c>
      <c r="C16007" s="12" t="str">
        <f ca="1">IFERROR(__xludf.DUMMYFUNCTION("""COMPUTED_VALUE"""),"")</f>
        <v/>
      </c>
      <c r="D16007" s="12" t="str">
        <f ca="1">IFERROR(__xludf.DUMMYFUNCTION("""COMPUTED_VALUE"""),"")</f>
        <v/>
      </c>
    </row>
    <row r="16008" spans="2:4" ht="13">
      <c r="B16008" s="12" t="str">
        <f ca="1">IFERROR(__xludf.DUMMYFUNCTION("""COMPUTED_VALUE"""),"")</f>
        <v/>
      </c>
      <c r="C16008" s="12" t="str">
        <f ca="1">IFERROR(__xludf.DUMMYFUNCTION("""COMPUTED_VALUE"""),"")</f>
        <v/>
      </c>
      <c r="D16008" s="12" t="str">
        <f ca="1">IFERROR(__xludf.DUMMYFUNCTION("""COMPUTED_VALUE"""),"")</f>
        <v/>
      </c>
    </row>
    <row r="16009" spans="2:4" ht="13">
      <c r="B16009" s="12" t="str">
        <f ca="1">IFERROR(__xludf.DUMMYFUNCTION("""COMPUTED_VALUE"""),"")</f>
        <v/>
      </c>
      <c r="C16009" s="12" t="str">
        <f ca="1">IFERROR(__xludf.DUMMYFUNCTION("""COMPUTED_VALUE"""),"")</f>
        <v/>
      </c>
      <c r="D16009" s="12" t="str">
        <f ca="1">IFERROR(__xludf.DUMMYFUNCTION("""COMPUTED_VALUE"""),"")</f>
        <v/>
      </c>
    </row>
    <row r="16010" spans="2:4" ht="13">
      <c r="B16010" s="12" t="str">
        <f ca="1">IFERROR(__xludf.DUMMYFUNCTION("""COMPUTED_VALUE"""),"")</f>
        <v/>
      </c>
      <c r="C16010" s="12" t="str">
        <f ca="1">IFERROR(__xludf.DUMMYFUNCTION("""COMPUTED_VALUE"""),"")</f>
        <v/>
      </c>
      <c r="D16010" s="12" t="str">
        <f ca="1">IFERROR(__xludf.DUMMYFUNCTION("""COMPUTED_VALUE"""),"")</f>
        <v/>
      </c>
    </row>
    <row r="16011" spans="2:4" ht="13">
      <c r="B16011" s="12" t="str">
        <f ca="1">IFERROR(__xludf.DUMMYFUNCTION("""COMPUTED_VALUE"""),"")</f>
        <v/>
      </c>
      <c r="C16011" s="12" t="str">
        <f ca="1">IFERROR(__xludf.DUMMYFUNCTION("""COMPUTED_VALUE"""),"")</f>
        <v/>
      </c>
      <c r="D16011" s="12" t="str">
        <f ca="1">IFERROR(__xludf.DUMMYFUNCTION("""COMPUTED_VALUE"""),"")</f>
        <v/>
      </c>
    </row>
    <row r="16012" spans="2:4" ht="13">
      <c r="B16012" s="12" t="str">
        <f ca="1">IFERROR(__xludf.DUMMYFUNCTION("""COMPUTED_VALUE"""),"")</f>
        <v/>
      </c>
      <c r="C16012" s="12" t="str">
        <f ca="1">IFERROR(__xludf.DUMMYFUNCTION("""COMPUTED_VALUE"""),"")</f>
        <v/>
      </c>
      <c r="D16012" s="12" t="str">
        <f ca="1">IFERROR(__xludf.DUMMYFUNCTION("""COMPUTED_VALUE"""),"")</f>
        <v/>
      </c>
    </row>
    <row r="16013" spans="2:4" ht="13">
      <c r="B16013" s="12" t="str">
        <f ca="1">IFERROR(__xludf.DUMMYFUNCTION("""COMPUTED_VALUE"""),"")</f>
        <v/>
      </c>
      <c r="C16013" s="12" t="str">
        <f ca="1">IFERROR(__xludf.DUMMYFUNCTION("""COMPUTED_VALUE"""),"")</f>
        <v/>
      </c>
      <c r="D16013" s="12" t="str">
        <f ca="1">IFERROR(__xludf.DUMMYFUNCTION("""COMPUTED_VALUE"""),"")</f>
        <v/>
      </c>
    </row>
    <row r="16014" spans="2:4" ht="13">
      <c r="B16014" s="12" t="str">
        <f ca="1">IFERROR(__xludf.DUMMYFUNCTION("""COMPUTED_VALUE"""),"")</f>
        <v/>
      </c>
      <c r="C16014" s="12" t="str">
        <f ca="1">IFERROR(__xludf.DUMMYFUNCTION("""COMPUTED_VALUE"""),"")</f>
        <v/>
      </c>
      <c r="D16014" s="12" t="str">
        <f ca="1">IFERROR(__xludf.DUMMYFUNCTION("""COMPUTED_VALUE"""),"")</f>
        <v/>
      </c>
    </row>
    <row r="16015" spans="2:4" ht="13">
      <c r="B16015" s="12" t="str">
        <f ca="1">IFERROR(__xludf.DUMMYFUNCTION("""COMPUTED_VALUE"""),"")</f>
        <v/>
      </c>
      <c r="C16015" s="12" t="str">
        <f ca="1">IFERROR(__xludf.DUMMYFUNCTION("""COMPUTED_VALUE"""),"")</f>
        <v/>
      </c>
      <c r="D16015" s="12" t="str">
        <f ca="1">IFERROR(__xludf.DUMMYFUNCTION("""COMPUTED_VALUE"""),"")</f>
        <v/>
      </c>
    </row>
    <row r="16016" spans="2:4" ht="13">
      <c r="B16016" s="12" t="str">
        <f ca="1">IFERROR(__xludf.DUMMYFUNCTION("""COMPUTED_VALUE"""),"")</f>
        <v/>
      </c>
      <c r="C16016" s="12" t="str">
        <f ca="1">IFERROR(__xludf.DUMMYFUNCTION("""COMPUTED_VALUE"""),"")</f>
        <v/>
      </c>
      <c r="D16016" s="12" t="str">
        <f ca="1">IFERROR(__xludf.DUMMYFUNCTION("""COMPUTED_VALUE"""),"")</f>
        <v/>
      </c>
    </row>
    <row r="16017" spans="2:4" ht="13">
      <c r="B16017" s="12" t="str">
        <f ca="1">IFERROR(__xludf.DUMMYFUNCTION("""COMPUTED_VALUE"""),"")</f>
        <v/>
      </c>
      <c r="C16017" s="12" t="str">
        <f ca="1">IFERROR(__xludf.DUMMYFUNCTION("""COMPUTED_VALUE"""),"")</f>
        <v/>
      </c>
      <c r="D16017" s="12" t="str">
        <f ca="1">IFERROR(__xludf.DUMMYFUNCTION("""COMPUTED_VALUE"""),"")</f>
        <v/>
      </c>
    </row>
    <row r="16018" spans="2:4" ht="13">
      <c r="B16018" s="12" t="str">
        <f ca="1">IFERROR(__xludf.DUMMYFUNCTION("""COMPUTED_VALUE"""),"")</f>
        <v/>
      </c>
      <c r="C16018" s="12" t="str">
        <f ca="1">IFERROR(__xludf.DUMMYFUNCTION("""COMPUTED_VALUE"""),"")</f>
        <v/>
      </c>
      <c r="D16018" s="12" t="str">
        <f ca="1">IFERROR(__xludf.DUMMYFUNCTION("""COMPUTED_VALUE"""),"")</f>
        <v/>
      </c>
    </row>
    <row r="16019" spans="2:4" ht="13">
      <c r="B16019" s="12" t="str">
        <f ca="1">IFERROR(__xludf.DUMMYFUNCTION("""COMPUTED_VALUE"""),"")</f>
        <v/>
      </c>
      <c r="C16019" s="12" t="str">
        <f ca="1">IFERROR(__xludf.DUMMYFUNCTION("""COMPUTED_VALUE"""),"")</f>
        <v/>
      </c>
      <c r="D16019" s="12" t="str">
        <f ca="1">IFERROR(__xludf.DUMMYFUNCTION("""COMPUTED_VALUE"""),"")</f>
        <v/>
      </c>
    </row>
    <row r="16020" spans="2:4" ht="13">
      <c r="B16020" s="12" t="str">
        <f ca="1">IFERROR(__xludf.DUMMYFUNCTION("""COMPUTED_VALUE"""),"")</f>
        <v/>
      </c>
      <c r="C16020" s="12" t="str">
        <f ca="1">IFERROR(__xludf.DUMMYFUNCTION("""COMPUTED_VALUE"""),"")</f>
        <v/>
      </c>
      <c r="D16020" s="12" t="str">
        <f ca="1">IFERROR(__xludf.DUMMYFUNCTION("""COMPUTED_VALUE"""),"")</f>
        <v/>
      </c>
    </row>
    <row r="16021" spans="2:4" ht="13">
      <c r="B16021" s="12" t="str">
        <f ca="1">IFERROR(__xludf.DUMMYFUNCTION("""COMPUTED_VALUE"""),"")</f>
        <v/>
      </c>
      <c r="C16021" s="12" t="str">
        <f ca="1">IFERROR(__xludf.DUMMYFUNCTION("""COMPUTED_VALUE"""),"")</f>
        <v/>
      </c>
      <c r="D16021" s="12" t="str">
        <f ca="1">IFERROR(__xludf.DUMMYFUNCTION("""COMPUTED_VALUE"""),"")</f>
        <v/>
      </c>
    </row>
    <row r="16022" spans="2:4" ht="13">
      <c r="B16022" s="12" t="str">
        <f ca="1">IFERROR(__xludf.DUMMYFUNCTION("""COMPUTED_VALUE"""),"")</f>
        <v/>
      </c>
      <c r="C16022" s="12" t="str">
        <f ca="1">IFERROR(__xludf.DUMMYFUNCTION("""COMPUTED_VALUE"""),"")</f>
        <v/>
      </c>
      <c r="D16022" s="12" t="str">
        <f ca="1">IFERROR(__xludf.DUMMYFUNCTION("""COMPUTED_VALUE"""),"")</f>
        <v/>
      </c>
    </row>
    <row r="16023" spans="2:4" ht="13">
      <c r="B16023" s="12" t="str">
        <f ca="1">IFERROR(__xludf.DUMMYFUNCTION("""COMPUTED_VALUE"""),"")</f>
        <v/>
      </c>
      <c r="C16023" s="12" t="str">
        <f ca="1">IFERROR(__xludf.DUMMYFUNCTION("""COMPUTED_VALUE"""),"")</f>
        <v/>
      </c>
      <c r="D16023" s="12" t="str">
        <f ca="1">IFERROR(__xludf.DUMMYFUNCTION("""COMPUTED_VALUE"""),"")</f>
        <v/>
      </c>
    </row>
    <row r="16024" spans="2:4" ht="13">
      <c r="B16024" s="12" t="str">
        <f ca="1">IFERROR(__xludf.DUMMYFUNCTION("""COMPUTED_VALUE"""),"")</f>
        <v/>
      </c>
      <c r="C16024" s="12" t="str">
        <f ca="1">IFERROR(__xludf.DUMMYFUNCTION("""COMPUTED_VALUE"""),"")</f>
        <v/>
      </c>
      <c r="D16024" s="12" t="str">
        <f ca="1">IFERROR(__xludf.DUMMYFUNCTION("""COMPUTED_VALUE"""),"")</f>
        <v/>
      </c>
    </row>
    <row r="16025" spans="2:4" ht="13">
      <c r="B16025" s="12" t="str">
        <f ca="1">IFERROR(__xludf.DUMMYFUNCTION("""COMPUTED_VALUE"""),"")</f>
        <v/>
      </c>
      <c r="C16025" s="12" t="str">
        <f ca="1">IFERROR(__xludf.DUMMYFUNCTION("""COMPUTED_VALUE"""),"")</f>
        <v/>
      </c>
      <c r="D16025" s="12" t="str">
        <f ca="1">IFERROR(__xludf.DUMMYFUNCTION("""COMPUTED_VALUE"""),"")</f>
        <v/>
      </c>
    </row>
    <row r="16026" spans="2:4" ht="13">
      <c r="B16026" s="12" t="str">
        <f ca="1">IFERROR(__xludf.DUMMYFUNCTION("""COMPUTED_VALUE"""),"")</f>
        <v/>
      </c>
      <c r="C16026" s="12" t="str">
        <f ca="1">IFERROR(__xludf.DUMMYFUNCTION("""COMPUTED_VALUE"""),"")</f>
        <v/>
      </c>
      <c r="D16026" s="12" t="str">
        <f ca="1">IFERROR(__xludf.DUMMYFUNCTION("""COMPUTED_VALUE"""),"")</f>
        <v/>
      </c>
    </row>
    <row r="16027" spans="2:4" ht="13">
      <c r="B16027" s="12" t="str">
        <f ca="1">IFERROR(__xludf.DUMMYFUNCTION("""COMPUTED_VALUE"""),"")</f>
        <v/>
      </c>
      <c r="C16027" s="12" t="str">
        <f ca="1">IFERROR(__xludf.DUMMYFUNCTION("""COMPUTED_VALUE"""),"")</f>
        <v/>
      </c>
      <c r="D16027" s="12" t="str">
        <f ca="1">IFERROR(__xludf.DUMMYFUNCTION("""COMPUTED_VALUE"""),"")</f>
        <v/>
      </c>
    </row>
    <row r="16028" spans="2:4" ht="13">
      <c r="B16028" s="12" t="str">
        <f ca="1">IFERROR(__xludf.DUMMYFUNCTION("""COMPUTED_VALUE"""),"")</f>
        <v/>
      </c>
      <c r="C16028" s="12" t="str">
        <f ca="1">IFERROR(__xludf.DUMMYFUNCTION("""COMPUTED_VALUE"""),"")</f>
        <v/>
      </c>
      <c r="D16028" s="12" t="str">
        <f ca="1">IFERROR(__xludf.DUMMYFUNCTION("""COMPUTED_VALUE"""),"")</f>
        <v/>
      </c>
    </row>
    <row r="16029" spans="2:4" ht="13">
      <c r="B16029" s="12" t="str">
        <f ca="1">IFERROR(__xludf.DUMMYFUNCTION("""COMPUTED_VALUE"""),"")</f>
        <v/>
      </c>
      <c r="C16029" s="12" t="str">
        <f ca="1">IFERROR(__xludf.DUMMYFUNCTION("""COMPUTED_VALUE"""),"")</f>
        <v/>
      </c>
      <c r="D16029" s="12" t="str">
        <f ca="1">IFERROR(__xludf.DUMMYFUNCTION("""COMPUTED_VALUE"""),"")</f>
        <v/>
      </c>
    </row>
    <row r="16030" spans="2:4" ht="13">
      <c r="B16030" s="12" t="str">
        <f ca="1">IFERROR(__xludf.DUMMYFUNCTION("""COMPUTED_VALUE"""),"")</f>
        <v/>
      </c>
      <c r="C16030" s="12" t="str">
        <f ca="1">IFERROR(__xludf.DUMMYFUNCTION("""COMPUTED_VALUE"""),"")</f>
        <v/>
      </c>
      <c r="D16030" s="12" t="str">
        <f ca="1">IFERROR(__xludf.DUMMYFUNCTION("""COMPUTED_VALUE"""),"")</f>
        <v/>
      </c>
    </row>
    <row r="16031" spans="2:4" ht="13">
      <c r="B16031" s="12" t="str">
        <f ca="1">IFERROR(__xludf.DUMMYFUNCTION("""COMPUTED_VALUE"""),"")</f>
        <v/>
      </c>
      <c r="C16031" s="12" t="str">
        <f ca="1">IFERROR(__xludf.DUMMYFUNCTION("""COMPUTED_VALUE"""),"")</f>
        <v/>
      </c>
      <c r="D16031" s="12" t="str">
        <f ca="1">IFERROR(__xludf.DUMMYFUNCTION("""COMPUTED_VALUE"""),"")</f>
        <v/>
      </c>
    </row>
    <row r="16032" spans="2:4" ht="13">
      <c r="B16032" s="12" t="str">
        <f ca="1">IFERROR(__xludf.DUMMYFUNCTION("""COMPUTED_VALUE"""),"")</f>
        <v/>
      </c>
      <c r="C16032" s="12" t="str">
        <f ca="1">IFERROR(__xludf.DUMMYFUNCTION("""COMPUTED_VALUE"""),"")</f>
        <v/>
      </c>
      <c r="D16032" s="12" t="str">
        <f ca="1">IFERROR(__xludf.DUMMYFUNCTION("""COMPUTED_VALUE"""),"")</f>
        <v/>
      </c>
    </row>
    <row r="16033" spans="2:4" ht="13">
      <c r="B16033" s="12" t="str">
        <f ca="1">IFERROR(__xludf.DUMMYFUNCTION("""COMPUTED_VALUE"""),"")</f>
        <v/>
      </c>
      <c r="C16033" s="12" t="str">
        <f ca="1">IFERROR(__xludf.DUMMYFUNCTION("""COMPUTED_VALUE"""),"")</f>
        <v/>
      </c>
      <c r="D16033" s="12" t="str">
        <f ca="1">IFERROR(__xludf.DUMMYFUNCTION("""COMPUTED_VALUE"""),"")</f>
        <v/>
      </c>
    </row>
    <row r="16034" spans="2:4" ht="13">
      <c r="B16034" s="12" t="str">
        <f ca="1">IFERROR(__xludf.DUMMYFUNCTION("""COMPUTED_VALUE"""),"")</f>
        <v/>
      </c>
      <c r="C16034" s="12" t="str">
        <f ca="1">IFERROR(__xludf.DUMMYFUNCTION("""COMPUTED_VALUE"""),"")</f>
        <v/>
      </c>
      <c r="D16034" s="12" t="str">
        <f ca="1">IFERROR(__xludf.DUMMYFUNCTION("""COMPUTED_VALUE"""),"")</f>
        <v/>
      </c>
    </row>
    <row r="16035" spans="2:4" ht="13">
      <c r="B16035" s="12" t="str">
        <f ca="1">IFERROR(__xludf.DUMMYFUNCTION("""COMPUTED_VALUE"""),"")</f>
        <v/>
      </c>
      <c r="C16035" s="12" t="str">
        <f ca="1">IFERROR(__xludf.DUMMYFUNCTION("""COMPUTED_VALUE"""),"")</f>
        <v/>
      </c>
      <c r="D16035" s="12" t="str">
        <f ca="1">IFERROR(__xludf.DUMMYFUNCTION("""COMPUTED_VALUE"""),"")</f>
        <v/>
      </c>
    </row>
    <row r="16036" spans="2:4" ht="13">
      <c r="B16036" s="12" t="str">
        <f ca="1">IFERROR(__xludf.DUMMYFUNCTION("""COMPUTED_VALUE"""),"")</f>
        <v/>
      </c>
      <c r="C16036" s="12" t="str">
        <f ca="1">IFERROR(__xludf.DUMMYFUNCTION("""COMPUTED_VALUE"""),"")</f>
        <v/>
      </c>
      <c r="D16036" s="12" t="str">
        <f ca="1">IFERROR(__xludf.DUMMYFUNCTION("""COMPUTED_VALUE"""),"")</f>
        <v/>
      </c>
    </row>
    <row r="16037" spans="2:4" ht="13">
      <c r="B16037" s="12" t="str">
        <f ca="1">IFERROR(__xludf.DUMMYFUNCTION("""COMPUTED_VALUE"""),"")</f>
        <v/>
      </c>
      <c r="C16037" s="12" t="str">
        <f ca="1">IFERROR(__xludf.DUMMYFUNCTION("""COMPUTED_VALUE"""),"")</f>
        <v/>
      </c>
      <c r="D16037" s="12" t="str">
        <f ca="1">IFERROR(__xludf.DUMMYFUNCTION("""COMPUTED_VALUE"""),"")</f>
        <v/>
      </c>
    </row>
    <row r="16038" spans="2:4" ht="13">
      <c r="B16038" s="12" t="str">
        <f ca="1">IFERROR(__xludf.DUMMYFUNCTION("""COMPUTED_VALUE"""),"")</f>
        <v/>
      </c>
      <c r="C16038" s="12" t="str">
        <f ca="1">IFERROR(__xludf.DUMMYFUNCTION("""COMPUTED_VALUE"""),"")</f>
        <v/>
      </c>
      <c r="D16038" s="12" t="str">
        <f ca="1">IFERROR(__xludf.DUMMYFUNCTION("""COMPUTED_VALUE"""),"")</f>
        <v/>
      </c>
    </row>
    <row r="16039" spans="2:4" ht="13">
      <c r="B16039" s="12" t="str">
        <f ca="1">IFERROR(__xludf.DUMMYFUNCTION("""COMPUTED_VALUE"""),"")</f>
        <v/>
      </c>
      <c r="C16039" s="12" t="str">
        <f ca="1">IFERROR(__xludf.DUMMYFUNCTION("""COMPUTED_VALUE"""),"")</f>
        <v/>
      </c>
      <c r="D16039" s="12" t="str">
        <f ca="1">IFERROR(__xludf.DUMMYFUNCTION("""COMPUTED_VALUE"""),"")</f>
        <v/>
      </c>
    </row>
    <row r="16040" spans="2:4" ht="13">
      <c r="B16040" s="12" t="str">
        <f ca="1">IFERROR(__xludf.DUMMYFUNCTION("""COMPUTED_VALUE"""),"")</f>
        <v/>
      </c>
      <c r="C16040" s="12" t="str">
        <f ca="1">IFERROR(__xludf.DUMMYFUNCTION("""COMPUTED_VALUE"""),"")</f>
        <v/>
      </c>
      <c r="D16040" s="12" t="str">
        <f ca="1">IFERROR(__xludf.DUMMYFUNCTION("""COMPUTED_VALUE"""),"")</f>
        <v/>
      </c>
    </row>
    <row r="16041" spans="2:4" ht="13">
      <c r="B16041" s="12" t="str">
        <f ca="1">IFERROR(__xludf.DUMMYFUNCTION("""COMPUTED_VALUE"""),"")</f>
        <v/>
      </c>
      <c r="C16041" s="12" t="str">
        <f ca="1">IFERROR(__xludf.DUMMYFUNCTION("""COMPUTED_VALUE"""),"")</f>
        <v/>
      </c>
      <c r="D16041" s="12" t="str">
        <f ca="1">IFERROR(__xludf.DUMMYFUNCTION("""COMPUTED_VALUE"""),"")</f>
        <v/>
      </c>
    </row>
    <row r="16042" spans="2:4" ht="13">
      <c r="B16042" s="12" t="str">
        <f ca="1">IFERROR(__xludf.DUMMYFUNCTION("""COMPUTED_VALUE"""),"")</f>
        <v/>
      </c>
      <c r="C16042" s="12" t="str">
        <f ca="1">IFERROR(__xludf.DUMMYFUNCTION("""COMPUTED_VALUE"""),"")</f>
        <v/>
      </c>
      <c r="D16042" s="12" t="str">
        <f ca="1">IFERROR(__xludf.DUMMYFUNCTION("""COMPUTED_VALUE"""),"")</f>
        <v/>
      </c>
    </row>
    <row r="16043" spans="2:4" ht="13">
      <c r="B16043" s="12" t="str">
        <f ca="1">IFERROR(__xludf.DUMMYFUNCTION("""COMPUTED_VALUE"""),"")</f>
        <v/>
      </c>
      <c r="C16043" s="12" t="str">
        <f ca="1">IFERROR(__xludf.DUMMYFUNCTION("""COMPUTED_VALUE"""),"")</f>
        <v/>
      </c>
      <c r="D16043" s="12" t="str">
        <f ca="1">IFERROR(__xludf.DUMMYFUNCTION("""COMPUTED_VALUE"""),"")</f>
        <v/>
      </c>
    </row>
    <row r="16044" spans="2:4" ht="13">
      <c r="B16044" s="12" t="str">
        <f ca="1">IFERROR(__xludf.DUMMYFUNCTION("""COMPUTED_VALUE"""),"")</f>
        <v/>
      </c>
      <c r="C16044" s="12" t="str">
        <f ca="1">IFERROR(__xludf.DUMMYFUNCTION("""COMPUTED_VALUE"""),"")</f>
        <v/>
      </c>
      <c r="D16044" s="12" t="str">
        <f ca="1">IFERROR(__xludf.DUMMYFUNCTION("""COMPUTED_VALUE"""),"")</f>
        <v/>
      </c>
    </row>
    <row r="16045" spans="2:4" ht="13">
      <c r="B16045" s="12" t="str">
        <f ca="1">IFERROR(__xludf.DUMMYFUNCTION("""COMPUTED_VALUE"""),"")</f>
        <v/>
      </c>
      <c r="C16045" s="12" t="str">
        <f ca="1">IFERROR(__xludf.DUMMYFUNCTION("""COMPUTED_VALUE"""),"")</f>
        <v/>
      </c>
      <c r="D16045" s="12" t="str">
        <f ca="1">IFERROR(__xludf.DUMMYFUNCTION("""COMPUTED_VALUE"""),"")</f>
        <v/>
      </c>
    </row>
    <row r="16046" spans="2:4" ht="13">
      <c r="B16046" s="12" t="str">
        <f ca="1">IFERROR(__xludf.DUMMYFUNCTION("""COMPUTED_VALUE"""),"")</f>
        <v/>
      </c>
      <c r="C16046" s="12" t="str">
        <f ca="1">IFERROR(__xludf.DUMMYFUNCTION("""COMPUTED_VALUE"""),"")</f>
        <v/>
      </c>
      <c r="D16046" s="12" t="str">
        <f ca="1">IFERROR(__xludf.DUMMYFUNCTION("""COMPUTED_VALUE"""),"")</f>
        <v/>
      </c>
    </row>
    <row r="16047" spans="2:4" ht="13">
      <c r="B16047" s="12" t="str">
        <f ca="1">IFERROR(__xludf.DUMMYFUNCTION("""COMPUTED_VALUE"""),"")</f>
        <v/>
      </c>
      <c r="C16047" s="12" t="str">
        <f ca="1">IFERROR(__xludf.DUMMYFUNCTION("""COMPUTED_VALUE"""),"")</f>
        <v/>
      </c>
      <c r="D16047" s="12" t="str">
        <f ca="1">IFERROR(__xludf.DUMMYFUNCTION("""COMPUTED_VALUE"""),"")</f>
        <v/>
      </c>
    </row>
    <row r="16048" spans="2:4" ht="13">
      <c r="B16048" s="12" t="str">
        <f ca="1">IFERROR(__xludf.DUMMYFUNCTION("""COMPUTED_VALUE"""),"")</f>
        <v/>
      </c>
      <c r="C16048" s="12" t="str">
        <f ca="1">IFERROR(__xludf.DUMMYFUNCTION("""COMPUTED_VALUE"""),"")</f>
        <v/>
      </c>
      <c r="D16048" s="12" t="str">
        <f ca="1">IFERROR(__xludf.DUMMYFUNCTION("""COMPUTED_VALUE"""),"")</f>
        <v/>
      </c>
    </row>
    <row r="16049" spans="2:4" ht="13">
      <c r="B16049" s="12" t="str">
        <f ca="1">IFERROR(__xludf.DUMMYFUNCTION("""COMPUTED_VALUE"""),"")</f>
        <v/>
      </c>
      <c r="C16049" s="12" t="str">
        <f ca="1">IFERROR(__xludf.DUMMYFUNCTION("""COMPUTED_VALUE"""),"")</f>
        <v/>
      </c>
      <c r="D16049" s="12" t="str">
        <f ca="1">IFERROR(__xludf.DUMMYFUNCTION("""COMPUTED_VALUE"""),"")</f>
        <v/>
      </c>
    </row>
    <row r="16050" spans="2:4" ht="13">
      <c r="B16050" s="12" t="str">
        <f ca="1">IFERROR(__xludf.DUMMYFUNCTION("""COMPUTED_VALUE"""),"")</f>
        <v/>
      </c>
      <c r="C16050" s="12" t="str">
        <f ca="1">IFERROR(__xludf.DUMMYFUNCTION("""COMPUTED_VALUE"""),"")</f>
        <v/>
      </c>
      <c r="D16050" s="12" t="str">
        <f ca="1">IFERROR(__xludf.DUMMYFUNCTION("""COMPUTED_VALUE"""),"")</f>
        <v/>
      </c>
    </row>
    <row r="16051" spans="2:4" ht="13">
      <c r="B16051" s="12" t="str">
        <f ca="1">IFERROR(__xludf.DUMMYFUNCTION("""COMPUTED_VALUE"""),"")</f>
        <v/>
      </c>
      <c r="C16051" s="12" t="str">
        <f ca="1">IFERROR(__xludf.DUMMYFUNCTION("""COMPUTED_VALUE"""),"")</f>
        <v/>
      </c>
      <c r="D16051" s="12" t="str">
        <f ca="1">IFERROR(__xludf.DUMMYFUNCTION("""COMPUTED_VALUE"""),"")</f>
        <v/>
      </c>
    </row>
    <row r="16052" spans="2:4" ht="13">
      <c r="B16052" s="12" t="str">
        <f ca="1">IFERROR(__xludf.DUMMYFUNCTION("""COMPUTED_VALUE"""),"")</f>
        <v/>
      </c>
      <c r="C16052" s="12" t="str">
        <f ca="1">IFERROR(__xludf.DUMMYFUNCTION("""COMPUTED_VALUE"""),"")</f>
        <v/>
      </c>
      <c r="D16052" s="12" t="str">
        <f ca="1">IFERROR(__xludf.DUMMYFUNCTION("""COMPUTED_VALUE"""),"")</f>
        <v/>
      </c>
    </row>
    <row r="16053" spans="2:4" ht="13">
      <c r="B16053" s="12" t="str">
        <f ca="1">IFERROR(__xludf.DUMMYFUNCTION("""COMPUTED_VALUE"""),"")</f>
        <v/>
      </c>
      <c r="C16053" s="12" t="str">
        <f ca="1">IFERROR(__xludf.DUMMYFUNCTION("""COMPUTED_VALUE"""),"")</f>
        <v/>
      </c>
      <c r="D16053" s="12" t="str">
        <f ca="1">IFERROR(__xludf.DUMMYFUNCTION("""COMPUTED_VALUE"""),"")</f>
        <v/>
      </c>
    </row>
    <row r="16054" spans="2:4" ht="13">
      <c r="B16054" s="12" t="str">
        <f ca="1">IFERROR(__xludf.DUMMYFUNCTION("""COMPUTED_VALUE"""),"")</f>
        <v/>
      </c>
      <c r="C16054" s="12" t="str">
        <f ca="1">IFERROR(__xludf.DUMMYFUNCTION("""COMPUTED_VALUE"""),"")</f>
        <v/>
      </c>
      <c r="D16054" s="12" t="str">
        <f ca="1">IFERROR(__xludf.DUMMYFUNCTION("""COMPUTED_VALUE"""),"")</f>
        <v/>
      </c>
    </row>
    <row r="16055" spans="2:4" ht="13">
      <c r="B16055" s="12" t="str">
        <f ca="1">IFERROR(__xludf.DUMMYFUNCTION("""COMPUTED_VALUE"""),"")</f>
        <v/>
      </c>
      <c r="C16055" s="12" t="str">
        <f ca="1">IFERROR(__xludf.DUMMYFUNCTION("""COMPUTED_VALUE"""),"")</f>
        <v/>
      </c>
      <c r="D16055" s="12" t="str">
        <f ca="1">IFERROR(__xludf.DUMMYFUNCTION("""COMPUTED_VALUE"""),"")</f>
        <v/>
      </c>
    </row>
    <row r="16056" spans="2:4" ht="13">
      <c r="B16056" s="12" t="str">
        <f ca="1">IFERROR(__xludf.DUMMYFUNCTION("""COMPUTED_VALUE"""),"")</f>
        <v/>
      </c>
      <c r="C16056" s="12" t="str">
        <f ca="1">IFERROR(__xludf.DUMMYFUNCTION("""COMPUTED_VALUE"""),"")</f>
        <v/>
      </c>
      <c r="D16056" s="12" t="str">
        <f ca="1">IFERROR(__xludf.DUMMYFUNCTION("""COMPUTED_VALUE"""),"")</f>
        <v/>
      </c>
    </row>
    <row r="16057" spans="2:4" ht="13">
      <c r="B16057" s="12" t="str">
        <f ca="1">IFERROR(__xludf.DUMMYFUNCTION("""COMPUTED_VALUE"""),"")</f>
        <v/>
      </c>
      <c r="C16057" s="12" t="str">
        <f ca="1">IFERROR(__xludf.DUMMYFUNCTION("""COMPUTED_VALUE"""),"")</f>
        <v/>
      </c>
      <c r="D16057" s="12" t="str">
        <f ca="1">IFERROR(__xludf.DUMMYFUNCTION("""COMPUTED_VALUE"""),"")</f>
        <v/>
      </c>
    </row>
    <row r="16058" spans="2:4" ht="13">
      <c r="B16058" s="12" t="str">
        <f ca="1">IFERROR(__xludf.DUMMYFUNCTION("""COMPUTED_VALUE"""),"")</f>
        <v/>
      </c>
      <c r="C16058" s="12" t="str">
        <f ca="1">IFERROR(__xludf.DUMMYFUNCTION("""COMPUTED_VALUE"""),"")</f>
        <v/>
      </c>
      <c r="D16058" s="12" t="str">
        <f ca="1">IFERROR(__xludf.DUMMYFUNCTION("""COMPUTED_VALUE"""),"")</f>
        <v/>
      </c>
    </row>
    <row r="16059" spans="2:4" ht="13">
      <c r="B16059" s="12" t="str">
        <f ca="1">IFERROR(__xludf.DUMMYFUNCTION("""COMPUTED_VALUE"""),"")</f>
        <v/>
      </c>
      <c r="C16059" s="12" t="str">
        <f ca="1">IFERROR(__xludf.DUMMYFUNCTION("""COMPUTED_VALUE"""),"")</f>
        <v/>
      </c>
      <c r="D16059" s="12" t="str">
        <f ca="1">IFERROR(__xludf.DUMMYFUNCTION("""COMPUTED_VALUE"""),"")</f>
        <v/>
      </c>
    </row>
    <row r="16060" spans="2:4" ht="13">
      <c r="B16060" s="12" t="str">
        <f ca="1">IFERROR(__xludf.DUMMYFUNCTION("""COMPUTED_VALUE"""),"")</f>
        <v/>
      </c>
      <c r="C16060" s="12" t="str">
        <f ca="1">IFERROR(__xludf.DUMMYFUNCTION("""COMPUTED_VALUE"""),"")</f>
        <v/>
      </c>
      <c r="D16060" s="12" t="str">
        <f ca="1">IFERROR(__xludf.DUMMYFUNCTION("""COMPUTED_VALUE"""),"")</f>
        <v/>
      </c>
    </row>
    <row r="16061" spans="2:4" ht="13">
      <c r="B16061" s="12" t="str">
        <f ca="1">IFERROR(__xludf.DUMMYFUNCTION("""COMPUTED_VALUE"""),"")</f>
        <v/>
      </c>
      <c r="C16061" s="12" t="str">
        <f ca="1">IFERROR(__xludf.DUMMYFUNCTION("""COMPUTED_VALUE"""),"")</f>
        <v/>
      </c>
      <c r="D16061" s="12" t="str">
        <f ca="1">IFERROR(__xludf.DUMMYFUNCTION("""COMPUTED_VALUE"""),"")</f>
        <v/>
      </c>
    </row>
    <row r="16062" spans="2:4" ht="13">
      <c r="B16062" s="12" t="str">
        <f ca="1">IFERROR(__xludf.DUMMYFUNCTION("""COMPUTED_VALUE"""),"")</f>
        <v/>
      </c>
      <c r="C16062" s="12" t="str">
        <f ca="1">IFERROR(__xludf.DUMMYFUNCTION("""COMPUTED_VALUE"""),"")</f>
        <v/>
      </c>
      <c r="D16062" s="12" t="str">
        <f ca="1">IFERROR(__xludf.DUMMYFUNCTION("""COMPUTED_VALUE"""),"")</f>
        <v/>
      </c>
    </row>
    <row r="16063" spans="2:4" ht="13">
      <c r="B16063" s="12" t="str">
        <f ca="1">IFERROR(__xludf.DUMMYFUNCTION("""COMPUTED_VALUE"""),"")</f>
        <v/>
      </c>
      <c r="C16063" s="12" t="str">
        <f ca="1">IFERROR(__xludf.DUMMYFUNCTION("""COMPUTED_VALUE"""),"")</f>
        <v/>
      </c>
      <c r="D16063" s="12" t="str">
        <f ca="1">IFERROR(__xludf.DUMMYFUNCTION("""COMPUTED_VALUE"""),"")</f>
        <v/>
      </c>
    </row>
    <row r="16064" spans="2:4" ht="13">
      <c r="B16064" s="12" t="str">
        <f ca="1">IFERROR(__xludf.DUMMYFUNCTION("""COMPUTED_VALUE"""),"")</f>
        <v/>
      </c>
      <c r="C16064" s="12" t="str">
        <f ca="1">IFERROR(__xludf.DUMMYFUNCTION("""COMPUTED_VALUE"""),"")</f>
        <v/>
      </c>
      <c r="D16064" s="12" t="str">
        <f ca="1">IFERROR(__xludf.DUMMYFUNCTION("""COMPUTED_VALUE"""),"")</f>
        <v/>
      </c>
    </row>
    <row r="16065" spans="2:4" ht="13">
      <c r="B16065" s="12" t="str">
        <f ca="1">IFERROR(__xludf.DUMMYFUNCTION("""COMPUTED_VALUE"""),"")</f>
        <v/>
      </c>
      <c r="C16065" s="12" t="str">
        <f ca="1">IFERROR(__xludf.DUMMYFUNCTION("""COMPUTED_VALUE"""),"")</f>
        <v/>
      </c>
      <c r="D16065" s="12" t="str">
        <f ca="1">IFERROR(__xludf.DUMMYFUNCTION("""COMPUTED_VALUE"""),"")</f>
        <v/>
      </c>
    </row>
    <row r="16066" spans="2:4" ht="13">
      <c r="B16066" s="12" t="str">
        <f ca="1">IFERROR(__xludf.DUMMYFUNCTION("""COMPUTED_VALUE"""),"")</f>
        <v/>
      </c>
      <c r="C16066" s="12" t="str">
        <f ca="1">IFERROR(__xludf.DUMMYFUNCTION("""COMPUTED_VALUE"""),"")</f>
        <v/>
      </c>
      <c r="D16066" s="12" t="str">
        <f ca="1">IFERROR(__xludf.DUMMYFUNCTION("""COMPUTED_VALUE"""),"")</f>
        <v/>
      </c>
    </row>
    <row r="16067" spans="2:4" ht="13">
      <c r="B16067" s="12" t="str">
        <f ca="1">IFERROR(__xludf.DUMMYFUNCTION("""COMPUTED_VALUE"""),"")</f>
        <v/>
      </c>
      <c r="C16067" s="12" t="str">
        <f ca="1">IFERROR(__xludf.DUMMYFUNCTION("""COMPUTED_VALUE"""),"")</f>
        <v/>
      </c>
      <c r="D16067" s="12" t="str">
        <f ca="1">IFERROR(__xludf.DUMMYFUNCTION("""COMPUTED_VALUE"""),"")</f>
        <v/>
      </c>
    </row>
    <row r="16068" spans="2:4" ht="13">
      <c r="B16068" s="12" t="str">
        <f ca="1">IFERROR(__xludf.DUMMYFUNCTION("""COMPUTED_VALUE"""),"")</f>
        <v/>
      </c>
      <c r="C16068" s="12" t="str">
        <f ca="1">IFERROR(__xludf.DUMMYFUNCTION("""COMPUTED_VALUE"""),"")</f>
        <v/>
      </c>
      <c r="D16068" s="12" t="str">
        <f ca="1">IFERROR(__xludf.DUMMYFUNCTION("""COMPUTED_VALUE"""),"")</f>
        <v/>
      </c>
    </row>
    <row r="16069" spans="2:4" ht="13">
      <c r="B16069" s="12" t="str">
        <f ca="1">IFERROR(__xludf.DUMMYFUNCTION("""COMPUTED_VALUE"""),"")</f>
        <v/>
      </c>
      <c r="C16069" s="12" t="str">
        <f ca="1">IFERROR(__xludf.DUMMYFUNCTION("""COMPUTED_VALUE"""),"")</f>
        <v/>
      </c>
      <c r="D16069" s="12" t="str">
        <f ca="1">IFERROR(__xludf.DUMMYFUNCTION("""COMPUTED_VALUE"""),"")</f>
        <v/>
      </c>
    </row>
    <row r="16070" spans="2:4" ht="13">
      <c r="B16070" s="12" t="str">
        <f ca="1">IFERROR(__xludf.DUMMYFUNCTION("""COMPUTED_VALUE"""),"")</f>
        <v/>
      </c>
      <c r="C16070" s="12" t="str">
        <f ca="1">IFERROR(__xludf.DUMMYFUNCTION("""COMPUTED_VALUE"""),"")</f>
        <v/>
      </c>
      <c r="D16070" s="12" t="str">
        <f ca="1">IFERROR(__xludf.DUMMYFUNCTION("""COMPUTED_VALUE"""),"")</f>
        <v/>
      </c>
    </row>
    <row r="16071" spans="2:4" ht="13">
      <c r="B16071" s="12" t="str">
        <f ca="1">IFERROR(__xludf.DUMMYFUNCTION("""COMPUTED_VALUE"""),"")</f>
        <v/>
      </c>
      <c r="C16071" s="12" t="str">
        <f ca="1">IFERROR(__xludf.DUMMYFUNCTION("""COMPUTED_VALUE"""),"")</f>
        <v/>
      </c>
      <c r="D16071" s="12" t="str">
        <f ca="1">IFERROR(__xludf.DUMMYFUNCTION("""COMPUTED_VALUE"""),"")</f>
        <v/>
      </c>
    </row>
    <row r="16072" spans="2:4" ht="13">
      <c r="B16072" s="12" t="str">
        <f ca="1">IFERROR(__xludf.DUMMYFUNCTION("""COMPUTED_VALUE"""),"")</f>
        <v/>
      </c>
      <c r="C16072" s="12" t="str">
        <f ca="1">IFERROR(__xludf.DUMMYFUNCTION("""COMPUTED_VALUE"""),"")</f>
        <v/>
      </c>
      <c r="D16072" s="12" t="str">
        <f ca="1">IFERROR(__xludf.DUMMYFUNCTION("""COMPUTED_VALUE"""),"")</f>
        <v/>
      </c>
    </row>
    <row r="16073" spans="2:4" ht="13">
      <c r="B16073" s="12" t="str">
        <f ca="1">IFERROR(__xludf.DUMMYFUNCTION("""COMPUTED_VALUE"""),"")</f>
        <v/>
      </c>
      <c r="C16073" s="12" t="str">
        <f ca="1">IFERROR(__xludf.DUMMYFUNCTION("""COMPUTED_VALUE"""),"")</f>
        <v/>
      </c>
      <c r="D16073" s="12" t="str">
        <f ca="1">IFERROR(__xludf.DUMMYFUNCTION("""COMPUTED_VALUE"""),"")</f>
        <v/>
      </c>
    </row>
    <row r="16074" spans="2:4" ht="13">
      <c r="B16074" s="12" t="str">
        <f ca="1">IFERROR(__xludf.DUMMYFUNCTION("""COMPUTED_VALUE"""),"")</f>
        <v/>
      </c>
      <c r="C16074" s="12" t="str">
        <f ca="1">IFERROR(__xludf.DUMMYFUNCTION("""COMPUTED_VALUE"""),"")</f>
        <v/>
      </c>
      <c r="D16074" s="12" t="str">
        <f ca="1">IFERROR(__xludf.DUMMYFUNCTION("""COMPUTED_VALUE"""),"")</f>
        <v/>
      </c>
    </row>
    <row r="16075" spans="2:4" ht="13">
      <c r="B16075" s="12" t="str">
        <f ca="1">IFERROR(__xludf.DUMMYFUNCTION("""COMPUTED_VALUE"""),"")</f>
        <v/>
      </c>
      <c r="C16075" s="12" t="str">
        <f ca="1">IFERROR(__xludf.DUMMYFUNCTION("""COMPUTED_VALUE"""),"")</f>
        <v/>
      </c>
      <c r="D16075" s="12" t="str">
        <f ca="1">IFERROR(__xludf.DUMMYFUNCTION("""COMPUTED_VALUE"""),"")</f>
        <v/>
      </c>
    </row>
    <row r="16076" spans="2:4" ht="13">
      <c r="B16076" s="12" t="str">
        <f ca="1">IFERROR(__xludf.DUMMYFUNCTION("""COMPUTED_VALUE"""),"")</f>
        <v/>
      </c>
      <c r="C16076" s="12" t="str">
        <f ca="1">IFERROR(__xludf.DUMMYFUNCTION("""COMPUTED_VALUE"""),"")</f>
        <v/>
      </c>
      <c r="D16076" s="12" t="str">
        <f ca="1">IFERROR(__xludf.DUMMYFUNCTION("""COMPUTED_VALUE"""),"")</f>
        <v/>
      </c>
    </row>
    <row r="16077" spans="2:4" ht="13">
      <c r="B16077" s="12" t="str">
        <f ca="1">IFERROR(__xludf.DUMMYFUNCTION("""COMPUTED_VALUE"""),"")</f>
        <v/>
      </c>
      <c r="C16077" s="12" t="str">
        <f ca="1">IFERROR(__xludf.DUMMYFUNCTION("""COMPUTED_VALUE"""),"")</f>
        <v/>
      </c>
      <c r="D16077" s="12" t="str">
        <f ca="1">IFERROR(__xludf.DUMMYFUNCTION("""COMPUTED_VALUE"""),"")</f>
        <v/>
      </c>
    </row>
    <row r="16078" spans="2:4" ht="13">
      <c r="B16078" s="12" t="str">
        <f ca="1">IFERROR(__xludf.DUMMYFUNCTION("""COMPUTED_VALUE"""),"")</f>
        <v/>
      </c>
      <c r="C16078" s="12" t="str">
        <f ca="1">IFERROR(__xludf.DUMMYFUNCTION("""COMPUTED_VALUE"""),"")</f>
        <v/>
      </c>
      <c r="D16078" s="12" t="str">
        <f ca="1">IFERROR(__xludf.DUMMYFUNCTION("""COMPUTED_VALUE"""),"")</f>
        <v/>
      </c>
    </row>
    <row r="16079" spans="2:4" ht="13">
      <c r="B16079" s="12" t="str">
        <f ca="1">IFERROR(__xludf.DUMMYFUNCTION("""COMPUTED_VALUE"""),"")</f>
        <v/>
      </c>
      <c r="C16079" s="12" t="str">
        <f ca="1">IFERROR(__xludf.DUMMYFUNCTION("""COMPUTED_VALUE"""),"")</f>
        <v/>
      </c>
      <c r="D16079" s="12" t="str">
        <f ca="1">IFERROR(__xludf.DUMMYFUNCTION("""COMPUTED_VALUE"""),"")</f>
        <v/>
      </c>
    </row>
    <row r="16080" spans="2:4" ht="13">
      <c r="B16080" s="12" t="str">
        <f ca="1">IFERROR(__xludf.DUMMYFUNCTION("""COMPUTED_VALUE"""),"")</f>
        <v/>
      </c>
      <c r="C16080" s="12" t="str">
        <f ca="1">IFERROR(__xludf.DUMMYFUNCTION("""COMPUTED_VALUE"""),"")</f>
        <v/>
      </c>
      <c r="D16080" s="12" t="str">
        <f ca="1">IFERROR(__xludf.DUMMYFUNCTION("""COMPUTED_VALUE"""),"")</f>
        <v/>
      </c>
    </row>
    <row r="16081" spans="2:4" ht="13">
      <c r="B16081" s="12" t="str">
        <f ca="1">IFERROR(__xludf.DUMMYFUNCTION("""COMPUTED_VALUE"""),"")</f>
        <v/>
      </c>
      <c r="C16081" s="12" t="str">
        <f ca="1">IFERROR(__xludf.DUMMYFUNCTION("""COMPUTED_VALUE"""),"")</f>
        <v/>
      </c>
      <c r="D16081" s="12" t="str">
        <f ca="1">IFERROR(__xludf.DUMMYFUNCTION("""COMPUTED_VALUE"""),"")</f>
        <v/>
      </c>
    </row>
    <row r="16082" spans="2:4" ht="13">
      <c r="B16082" s="12" t="str">
        <f ca="1">IFERROR(__xludf.DUMMYFUNCTION("""COMPUTED_VALUE"""),"")</f>
        <v/>
      </c>
      <c r="C16082" s="12" t="str">
        <f ca="1">IFERROR(__xludf.DUMMYFUNCTION("""COMPUTED_VALUE"""),"")</f>
        <v/>
      </c>
      <c r="D16082" s="12" t="str">
        <f ca="1">IFERROR(__xludf.DUMMYFUNCTION("""COMPUTED_VALUE"""),"")</f>
        <v/>
      </c>
    </row>
    <row r="16083" spans="2:4" ht="13">
      <c r="B16083" s="12" t="str">
        <f ca="1">IFERROR(__xludf.DUMMYFUNCTION("""COMPUTED_VALUE"""),"")</f>
        <v/>
      </c>
      <c r="C16083" s="12" t="str">
        <f ca="1">IFERROR(__xludf.DUMMYFUNCTION("""COMPUTED_VALUE"""),"")</f>
        <v/>
      </c>
      <c r="D16083" s="12" t="str">
        <f ca="1">IFERROR(__xludf.DUMMYFUNCTION("""COMPUTED_VALUE"""),"")</f>
        <v/>
      </c>
    </row>
    <row r="16084" spans="2:4" ht="13">
      <c r="B16084" s="12" t="str">
        <f ca="1">IFERROR(__xludf.DUMMYFUNCTION("""COMPUTED_VALUE"""),"")</f>
        <v/>
      </c>
      <c r="C16084" s="12" t="str">
        <f ca="1">IFERROR(__xludf.DUMMYFUNCTION("""COMPUTED_VALUE"""),"")</f>
        <v/>
      </c>
      <c r="D16084" s="12" t="str">
        <f ca="1">IFERROR(__xludf.DUMMYFUNCTION("""COMPUTED_VALUE"""),"")</f>
        <v/>
      </c>
    </row>
    <row r="16085" spans="2:4" ht="13">
      <c r="B16085" s="12" t="str">
        <f ca="1">IFERROR(__xludf.DUMMYFUNCTION("""COMPUTED_VALUE"""),"")</f>
        <v/>
      </c>
      <c r="C16085" s="12" t="str">
        <f ca="1">IFERROR(__xludf.DUMMYFUNCTION("""COMPUTED_VALUE"""),"")</f>
        <v/>
      </c>
      <c r="D16085" s="12" t="str">
        <f ca="1">IFERROR(__xludf.DUMMYFUNCTION("""COMPUTED_VALUE"""),"")</f>
        <v/>
      </c>
    </row>
    <row r="16086" spans="2:4" ht="13">
      <c r="B16086" s="12" t="str">
        <f ca="1">IFERROR(__xludf.DUMMYFUNCTION("""COMPUTED_VALUE"""),"")</f>
        <v/>
      </c>
      <c r="C16086" s="12" t="str">
        <f ca="1">IFERROR(__xludf.DUMMYFUNCTION("""COMPUTED_VALUE"""),"")</f>
        <v/>
      </c>
      <c r="D16086" s="12" t="str">
        <f ca="1">IFERROR(__xludf.DUMMYFUNCTION("""COMPUTED_VALUE"""),"")</f>
        <v/>
      </c>
    </row>
    <row r="16087" spans="2:4" ht="13">
      <c r="B16087" s="12" t="str">
        <f ca="1">IFERROR(__xludf.DUMMYFUNCTION("""COMPUTED_VALUE"""),"")</f>
        <v/>
      </c>
      <c r="C16087" s="12" t="str">
        <f ca="1">IFERROR(__xludf.DUMMYFUNCTION("""COMPUTED_VALUE"""),"")</f>
        <v/>
      </c>
      <c r="D16087" s="12" t="str">
        <f ca="1">IFERROR(__xludf.DUMMYFUNCTION("""COMPUTED_VALUE"""),"")</f>
        <v/>
      </c>
    </row>
    <row r="16088" spans="2:4" ht="13">
      <c r="B16088" s="12" t="str">
        <f ca="1">IFERROR(__xludf.DUMMYFUNCTION("""COMPUTED_VALUE"""),"")</f>
        <v/>
      </c>
      <c r="C16088" s="12" t="str">
        <f ca="1">IFERROR(__xludf.DUMMYFUNCTION("""COMPUTED_VALUE"""),"")</f>
        <v/>
      </c>
      <c r="D16088" s="12" t="str">
        <f ca="1">IFERROR(__xludf.DUMMYFUNCTION("""COMPUTED_VALUE"""),"")</f>
        <v/>
      </c>
    </row>
    <row r="16089" spans="2:4" ht="13">
      <c r="B16089" s="12" t="str">
        <f ca="1">IFERROR(__xludf.DUMMYFUNCTION("""COMPUTED_VALUE"""),"")</f>
        <v/>
      </c>
      <c r="C16089" s="12" t="str">
        <f ca="1">IFERROR(__xludf.DUMMYFUNCTION("""COMPUTED_VALUE"""),"")</f>
        <v/>
      </c>
      <c r="D16089" s="12" t="str">
        <f ca="1">IFERROR(__xludf.DUMMYFUNCTION("""COMPUTED_VALUE"""),"")</f>
        <v/>
      </c>
    </row>
    <row r="16090" spans="2:4" ht="13">
      <c r="B16090" s="12" t="str">
        <f ca="1">IFERROR(__xludf.DUMMYFUNCTION("""COMPUTED_VALUE"""),"")</f>
        <v/>
      </c>
      <c r="C16090" s="12" t="str">
        <f ca="1">IFERROR(__xludf.DUMMYFUNCTION("""COMPUTED_VALUE"""),"")</f>
        <v/>
      </c>
      <c r="D16090" s="12" t="str">
        <f ca="1">IFERROR(__xludf.DUMMYFUNCTION("""COMPUTED_VALUE"""),"")</f>
        <v/>
      </c>
    </row>
    <row r="16091" spans="2:4" ht="13">
      <c r="B16091" s="12" t="str">
        <f ca="1">IFERROR(__xludf.DUMMYFUNCTION("""COMPUTED_VALUE"""),"")</f>
        <v/>
      </c>
      <c r="C16091" s="12" t="str">
        <f ca="1">IFERROR(__xludf.DUMMYFUNCTION("""COMPUTED_VALUE"""),"")</f>
        <v/>
      </c>
      <c r="D16091" s="12" t="str">
        <f ca="1">IFERROR(__xludf.DUMMYFUNCTION("""COMPUTED_VALUE"""),"")</f>
        <v/>
      </c>
    </row>
    <row r="16092" spans="2:4" ht="13">
      <c r="B16092" s="12" t="str">
        <f ca="1">IFERROR(__xludf.DUMMYFUNCTION("""COMPUTED_VALUE"""),"")</f>
        <v/>
      </c>
      <c r="C16092" s="12" t="str">
        <f ca="1">IFERROR(__xludf.DUMMYFUNCTION("""COMPUTED_VALUE"""),"")</f>
        <v/>
      </c>
      <c r="D16092" s="12" t="str">
        <f ca="1">IFERROR(__xludf.DUMMYFUNCTION("""COMPUTED_VALUE"""),"")</f>
        <v/>
      </c>
    </row>
    <row r="16093" spans="2:4" ht="13">
      <c r="B16093" s="12" t="str">
        <f ca="1">IFERROR(__xludf.DUMMYFUNCTION("""COMPUTED_VALUE"""),"")</f>
        <v/>
      </c>
      <c r="C16093" s="12" t="str">
        <f ca="1">IFERROR(__xludf.DUMMYFUNCTION("""COMPUTED_VALUE"""),"")</f>
        <v/>
      </c>
      <c r="D16093" s="12" t="str">
        <f ca="1">IFERROR(__xludf.DUMMYFUNCTION("""COMPUTED_VALUE"""),"")</f>
        <v/>
      </c>
    </row>
    <row r="16094" spans="2:4" ht="13">
      <c r="B16094" s="12" t="str">
        <f ca="1">IFERROR(__xludf.DUMMYFUNCTION("""COMPUTED_VALUE"""),"")</f>
        <v/>
      </c>
      <c r="C16094" s="12" t="str">
        <f ca="1">IFERROR(__xludf.DUMMYFUNCTION("""COMPUTED_VALUE"""),"")</f>
        <v/>
      </c>
      <c r="D16094" s="12" t="str">
        <f ca="1">IFERROR(__xludf.DUMMYFUNCTION("""COMPUTED_VALUE"""),"")</f>
        <v/>
      </c>
    </row>
    <row r="16095" spans="2:4" ht="13">
      <c r="B16095" s="12" t="str">
        <f ca="1">IFERROR(__xludf.DUMMYFUNCTION("""COMPUTED_VALUE"""),"")</f>
        <v/>
      </c>
      <c r="C16095" s="12" t="str">
        <f ca="1">IFERROR(__xludf.DUMMYFUNCTION("""COMPUTED_VALUE"""),"")</f>
        <v/>
      </c>
      <c r="D16095" s="12" t="str">
        <f ca="1">IFERROR(__xludf.DUMMYFUNCTION("""COMPUTED_VALUE"""),"")</f>
        <v/>
      </c>
    </row>
    <row r="16096" spans="2:4" ht="13">
      <c r="B16096" s="12" t="str">
        <f ca="1">IFERROR(__xludf.DUMMYFUNCTION("""COMPUTED_VALUE"""),"")</f>
        <v/>
      </c>
      <c r="C16096" s="12" t="str">
        <f ca="1">IFERROR(__xludf.DUMMYFUNCTION("""COMPUTED_VALUE"""),"")</f>
        <v/>
      </c>
      <c r="D16096" s="12" t="str">
        <f ca="1">IFERROR(__xludf.DUMMYFUNCTION("""COMPUTED_VALUE"""),"")</f>
        <v/>
      </c>
    </row>
    <row r="16097" spans="2:4" ht="13">
      <c r="B16097" s="12" t="str">
        <f ca="1">IFERROR(__xludf.DUMMYFUNCTION("""COMPUTED_VALUE"""),"")</f>
        <v/>
      </c>
      <c r="C16097" s="12" t="str">
        <f ca="1">IFERROR(__xludf.DUMMYFUNCTION("""COMPUTED_VALUE"""),"")</f>
        <v/>
      </c>
      <c r="D16097" s="12" t="str">
        <f ca="1">IFERROR(__xludf.DUMMYFUNCTION("""COMPUTED_VALUE"""),"")</f>
        <v/>
      </c>
    </row>
    <row r="16098" spans="2:4" ht="13">
      <c r="B16098" s="12" t="str">
        <f ca="1">IFERROR(__xludf.DUMMYFUNCTION("""COMPUTED_VALUE"""),"")</f>
        <v/>
      </c>
      <c r="C16098" s="12" t="str">
        <f ca="1">IFERROR(__xludf.DUMMYFUNCTION("""COMPUTED_VALUE"""),"")</f>
        <v/>
      </c>
      <c r="D16098" s="12" t="str">
        <f ca="1">IFERROR(__xludf.DUMMYFUNCTION("""COMPUTED_VALUE"""),"")</f>
        <v/>
      </c>
    </row>
    <row r="16099" spans="2:4" ht="13">
      <c r="B16099" s="12" t="str">
        <f ca="1">IFERROR(__xludf.DUMMYFUNCTION("""COMPUTED_VALUE"""),"")</f>
        <v/>
      </c>
      <c r="C16099" s="12" t="str">
        <f ca="1">IFERROR(__xludf.DUMMYFUNCTION("""COMPUTED_VALUE"""),"")</f>
        <v/>
      </c>
      <c r="D16099" s="12" t="str">
        <f ca="1">IFERROR(__xludf.DUMMYFUNCTION("""COMPUTED_VALUE"""),"")</f>
        <v/>
      </c>
    </row>
    <row r="16100" spans="2:4" ht="13">
      <c r="B16100" s="12" t="str">
        <f ca="1">IFERROR(__xludf.DUMMYFUNCTION("""COMPUTED_VALUE"""),"")</f>
        <v/>
      </c>
      <c r="C16100" s="12" t="str">
        <f ca="1">IFERROR(__xludf.DUMMYFUNCTION("""COMPUTED_VALUE"""),"")</f>
        <v/>
      </c>
      <c r="D16100" s="12" t="str">
        <f ca="1">IFERROR(__xludf.DUMMYFUNCTION("""COMPUTED_VALUE"""),"")</f>
        <v/>
      </c>
    </row>
    <row r="16101" spans="2:4" ht="13">
      <c r="B16101" s="12" t="str">
        <f ca="1">IFERROR(__xludf.DUMMYFUNCTION("""COMPUTED_VALUE"""),"")</f>
        <v/>
      </c>
      <c r="C16101" s="12" t="str">
        <f ca="1">IFERROR(__xludf.DUMMYFUNCTION("""COMPUTED_VALUE"""),"")</f>
        <v/>
      </c>
      <c r="D16101" s="12" t="str">
        <f ca="1">IFERROR(__xludf.DUMMYFUNCTION("""COMPUTED_VALUE"""),"")</f>
        <v/>
      </c>
    </row>
    <row r="16102" spans="2:4" ht="13">
      <c r="B16102" s="12" t="str">
        <f ca="1">IFERROR(__xludf.DUMMYFUNCTION("""COMPUTED_VALUE"""),"")</f>
        <v/>
      </c>
      <c r="C16102" s="12" t="str">
        <f ca="1">IFERROR(__xludf.DUMMYFUNCTION("""COMPUTED_VALUE"""),"")</f>
        <v/>
      </c>
      <c r="D16102" s="12" t="str">
        <f ca="1">IFERROR(__xludf.DUMMYFUNCTION("""COMPUTED_VALUE"""),"")</f>
        <v/>
      </c>
    </row>
    <row r="16103" spans="2:4" ht="13">
      <c r="B16103" s="12" t="str">
        <f ca="1">IFERROR(__xludf.DUMMYFUNCTION("""COMPUTED_VALUE"""),"")</f>
        <v/>
      </c>
      <c r="C16103" s="12" t="str">
        <f ca="1">IFERROR(__xludf.DUMMYFUNCTION("""COMPUTED_VALUE"""),"")</f>
        <v/>
      </c>
      <c r="D16103" s="12" t="str">
        <f ca="1">IFERROR(__xludf.DUMMYFUNCTION("""COMPUTED_VALUE"""),"")</f>
        <v/>
      </c>
    </row>
    <row r="16104" spans="2:4" ht="13">
      <c r="B16104" s="12" t="str">
        <f ca="1">IFERROR(__xludf.DUMMYFUNCTION("""COMPUTED_VALUE"""),"")</f>
        <v/>
      </c>
      <c r="C16104" s="12" t="str">
        <f ca="1">IFERROR(__xludf.DUMMYFUNCTION("""COMPUTED_VALUE"""),"")</f>
        <v/>
      </c>
      <c r="D16104" s="12" t="str">
        <f ca="1">IFERROR(__xludf.DUMMYFUNCTION("""COMPUTED_VALUE"""),"")</f>
        <v/>
      </c>
    </row>
    <row r="16105" spans="2:4" ht="13">
      <c r="B16105" s="12" t="str">
        <f ca="1">IFERROR(__xludf.DUMMYFUNCTION("""COMPUTED_VALUE"""),"")</f>
        <v/>
      </c>
      <c r="C16105" s="12" t="str">
        <f ca="1">IFERROR(__xludf.DUMMYFUNCTION("""COMPUTED_VALUE"""),"")</f>
        <v/>
      </c>
      <c r="D16105" s="12" t="str">
        <f ca="1">IFERROR(__xludf.DUMMYFUNCTION("""COMPUTED_VALUE"""),"")</f>
        <v/>
      </c>
    </row>
    <row r="16106" spans="2:4" ht="13">
      <c r="B16106" s="12" t="str">
        <f ca="1">IFERROR(__xludf.DUMMYFUNCTION("""COMPUTED_VALUE"""),"")</f>
        <v/>
      </c>
      <c r="C16106" s="12" t="str">
        <f ca="1">IFERROR(__xludf.DUMMYFUNCTION("""COMPUTED_VALUE"""),"")</f>
        <v/>
      </c>
      <c r="D16106" s="12" t="str">
        <f ca="1">IFERROR(__xludf.DUMMYFUNCTION("""COMPUTED_VALUE"""),"")</f>
        <v/>
      </c>
    </row>
    <row r="16107" spans="2:4" ht="13">
      <c r="B16107" s="12" t="str">
        <f ca="1">IFERROR(__xludf.DUMMYFUNCTION("""COMPUTED_VALUE"""),"")</f>
        <v/>
      </c>
      <c r="C16107" s="12" t="str">
        <f ca="1">IFERROR(__xludf.DUMMYFUNCTION("""COMPUTED_VALUE"""),"")</f>
        <v/>
      </c>
      <c r="D16107" s="12" t="str">
        <f ca="1">IFERROR(__xludf.DUMMYFUNCTION("""COMPUTED_VALUE"""),"")</f>
        <v/>
      </c>
    </row>
    <row r="16108" spans="2:4" ht="13">
      <c r="B16108" s="12" t="str">
        <f ca="1">IFERROR(__xludf.DUMMYFUNCTION("""COMPUTED_VALUE"""),"")</f>
        <v/>
      </c>
      <c r="C16108" s="12" t="str">
        <f ca="1">IFERROR(__xludf.DUMMYFUNCTION("""COMPUTED_VALUE"""),"")</f>
        <v/>
      </c>
      <c r="D16108" s="12" t="str">
        <f ca="1">IFERROR(__xludf.DUMMYFUNCTION("""COMPUTED_VALUE"""),"")</f>
        <v/>
      </c>
    </row>
    <row r="16109" spans="2:4" ht="13">
      <c r="B16109" s="12" t="str">
        <f ca="1">IFERROR(__xludf.DUMMYFUNCTION("""COMPUTED_VALUE"""),"")</f>
        <v/>
      </c>
      <c r="C16109" s="12" t="str">
        <f ca="1">IFERROR(__xludf.DUMMYFUNCTION("""COMPUTED_VALUE"""),"")</f>
        <v/>
      </c>
      <c r="D16109" s="12" t="str">
        <f ca="1">IFERROR(__xludf.DUMMYFUNCTION("""COMPUTED_VALUE"""),"")</f>
        <v/>
      </c>
    </row>
    <row r="16110" spans="2:4" ht="13">
      <c r="B16110" s="12" t="str">
        <f ca="1">IFERROR(__xludf.DUMMYFUNCTION("""COMPUTED_VALUE"""),"")</f>
        <v/>
      </c>
      <c r="C16110" s="12" t="str">
        <f ca="1">IFERROR(__xludf.DUMMYFUNCTION("""COMPUTED_VALUE"""),"")</f>
        <v/>
      </c>
      <c r="D16110" s="12" t="str">
        <f ca="1">IFERROR(__xludf.DUMMYFUNCTION("""COMPUTED_VALUE"""),"")</f>
        <v/>
      </c>
    </row>
    <row r="16111" spans="2:4" ht="13">
      <c r="B16111" s="12" t="str">
        <f ca="1">IFERROR(__xludf.DUMMYFUNCTION("""COMPUTED_VALUE"""),"")</f>
        <v/>
      </c>
      <c r="C16111" s="12" t="str">
        <f ca="1">IFERROR(__xludf.DUMMYFUNCTION("""COMPUTED_VALUE"""),"")</f>
        <v/>
      </c>
      <c r="D16111" s="12" t="str">
        <f ca="1">IFERROR(__xludf.DUMMYFUNCTION("""COMPUTED_VALUE"""),"")</f>
        <v/>
      </c>
    </row>
    <row r="16112" spans="2:4" ht="13">
      <c r="B16112" s="12" t="str">
        <f ca="1">IFERROR(__xludf.DUMMYFUNCTION("""COMPUTED_VALUE"""),"")</f>
        <v/>
      </c>
      <c r="C16112" s="12" t="str">
        <f ca="1">IFERROR(__xludf.DUMMYFUNCTION("""COMPUTED_VALUE"""),"")</f>
        <v/>
      </c>
      <c r="D16112" s="12" t="str">
        <f ca="1">IFERROR(__xludf.DUMMYFUNCTION("""COMPUTED_VALUE"""),"")</f>
        <v/>
      </c>
    </row>
    <row r="16113" spans="2:4" ht="13">
      <c r="B16113" s="12" t="str">
        <f ca="1">IFERROR(__xludf.DUMMYFUNCTION("""COMPUTED_VALUE"""),"")</f>
        <v/>
      </c>
      <c r="C16113" s="12" t="str">
        <f ca="1">IFERROR(__xludf.DUMMYFUNCTION("""COMPUTED_VALUE"""),"")</f>
        <v/>
      </c>
      <c r="D16113" s="12" t="str">
        <f ca="1">IFERROR(__xludf.DUMMYFUNCTION("""COMPUTED_VALUE"""),"")</f>
        <v/>
      </c>
    </row>
    <row r="16114" spans="2:4" ht="13">
      <c r="B16114" s="12" t="str">
        <f ca="1">IFERROR(__xludf.DUMMYFUNCTION("""COMPUTED_VALUE"""),"")</f>
        <v/>
      </c>
      <c r="C16114" s="12" t="str">
        <f ca="1">IFERROR(__xludf.DUMMYFUNCTION("""COMPUTED_VALUE"""),"")</f>
        <v/>
      </c>
      <c r="D16114" s="12" t="str">
        <f ca="1">IFERROR(__xludf.DUMMYFUNCTION("""COMPUTED_VALUE"""),"")</f>
        <v/>
      </c>
    </row>
    <row r="16115" spans="2:4" ht="13">
      <c r="B16115" s="12" t="str">
        <f ca="1">IFERROR(__xludf.DUMMYFUNCTION("""COMPUTED_VALUE"""),"")</f>
        <v/>
      </c>
      <c r="C16115" s="12" t="str">
        <f ca="1">IFERROR(__xludf.DUMMYFUNCTION("""COMPUTED_VALUE"""),"")</f>
        <v/>
      </c>
      <c r="D16115" s="12" t="str">
        <f ca="1">IFERROR(__xludf.DUMMYFUNCTION("""COMPUTED_VALUE"""),"")</f>
        <v/>
      </c>
    </row>
    <row r="16116" spans="2:4" ht="13">
      <c r="B16116" s="12" t="str">
        <f ca="1">IFERROR(__xludf.DUMMYFUNCTION("""COMPUTED_VALUE"""),"")</f>
        <v/>
      </c>
      <c r="C16116" s="12" t="str">
        <f ca="1">IFERROR(__xludf.DUMMYFUNCTION("""COMPUTED_VALUE"""),"")</f>
        <v/>
      </c>
      <c r="D16116" s="12" t="str">
        <f ca="1">IFERROR(__xludf.DUMMYFUNCTION("""COMPUTED_VALUE"""),"")</f>
        <v/>
      </c>
    </row>
    <row r="16117" spans="2:4" ht="13">
      <c r="B16117" s="12" t="str">
        <f ca="1">IFERROR(__xludf.DUMMYFUNCTION("""COMPUTED_VALUE"""),"")</f>
        <v/>
      </c>
      <c r="C16117" s="12" t="str">
        <f ca="1">IFERROR(__xludf.DUMMYFUNCTION("""COMPUTED_VALUE"""),"")</f>
        <v/>
      </c>
      <c r="D16117" s="12" t="str">
        <f ca="1">IFERROR(__xludf.DUMMYFUNCTION("""COMPUTED_VALUE"""),"")</f>
        <v/>
      </c>
    </row>
    <row r="16118" spans="2:4" ht="13">
      <c r="B16118" s="12" t="str">
        <f ca="1">IFERROR(__xludf.DUMMYFUNCTION("""COMPUTED_VALUE"""),"")</f>
        <v/>
      </c>
      <c r="C16118" s="12" t="str">
        <f ca="1">IFERROR(__xludf.DUMMYFUNCTION("""COMPUTED_VALUE"""),"")</f>
        <v/>
      </c>
      <c r="D16118" s="12" t="str">
        <f ca="1">IFERROR(__xludf.DUMMYFUNCTION("""COMPUTED_VALUE"""),"")</f>
        <v/>
      </c>
    </row>
    <row r="16119" spans="2:4" ht="13">
      <c r="B16119" s="12" t="str">
        <f ca="1">IFERROR(__xludf.DUMMYFUNCTION("""COMPUTED_VALUE"""),"")</f>
        <v/>
      </c>
      <c r="C16119" s="12" t="str">
        <f ca="1">IFERROR(__xludf.DUMMYFUNCTION("""COMPUTED_VALUE"""),"")</f>
        <v/>
      </c>
      <c r="D16119" s="12" t="str">
        <f ca="1">IFERROR(__xludf.DUMMYFUNCTION("""COMPUTED_VALUE"""),"")</f>
        <v/>
      </c>
    </row>
    <row r="16120" spans="2:4" ht="13">
      <c r="B16120" s="12" t="str">
        <f ca="1">IFERROR(__xludf.DUMMYFUNCTION("""COMPUTED_VALUE"""),"")</f>
        <v/>
      </c>
      <c r="C16120" s="12" t="str">
        <f ca="1">IFERROR(__xludf.DUMMYFUNCTION("""COMPUTED_VALUE"""),"")</f>
        <v/>
      </c>
      <c r="D16120" s="12" t="str">
        <f ca="1">IFERROR(__xludf.DUMMYFUNCTION("""COMPUTED_VALUE"""),"")</f>
        <v/>
      </c>
    </row>
    <row r="16121" spans="2:4" ht="13">
      <c r="B16121" s="12" t="str">
        <f ca="1">IFERROR(__xludf.DUMMYFUNCTION("""COMPUTED_VALUE"""),"")</f>
        <v/>
      </c>
      <c r="C16121" s="12" t="str">
        <f ca="1">IFERROR(__xludf.DUMMYFUNCTION("""COMPUTED_VALUE"""),"")</f>
        <v/>
      </c>
      <c r="D16121" s="12" t="str">
        <f ca="1">IFERROR(__xludf.DUMMYFUNCTION("""COMPUTED_VALUE"""),"")</f>
        <v/>
      </c>
    </row>
    <row r="16122" spans="2:4" ht="13">
      <c r="B16122" s="12" t="str">
        <f ca="1">IFERROR(__xludf.DUMMYFUNCTION("""COMPUTED_VALUE"""),"")</f>
        <v/>
      </c>
      <c r="C16122" s="12" t="str">
        <f ca="1">IFERROR(__xludf.DUMMYFUNCTION("""COMPUTED_VALUE"""),"")</f>
        <v/>
      </c>
      <c r="D16122" s="12" t="str">
        <f ca="1">IFERROR(__xludf.DUMMYFUNCTION("""COMPUTED_VALUE"""),"")</f>
        <v/>
      </c>
    </row>
    <row r="16123" spans="2:4" ht="13">
      <c r="B16123" s="12" t="str">
        <f ca="1">IFERROR(__xludf.DUMMYFUNCTION("""COMPUTED_VALUE"""),"")</f>
        <v/>
      </c>
      <c r="C16123" s="12" t="str">
        <f ca="1">IFERROR(__xludf.DUMMYFUNCTION("""COMPUTED_VALUE"""),"")</f>
        <v/>
      </c>
      <c r="D16123" s="12" t="str">
        <f ca="1">IFERROR(__xludf.DUMMYFUNCTION("""COMPUTED_VALUE"""),"")</f>
        <v/>
      </c>
    </row>
    <row r="16124" spans="2:4" ht="13">
      <c r="B16124" s="12" t="str">
        <f ca="1">IFERROR(__xludf.DUMMYFUNCTION("""COMPUTED_VALUE"""),"")</f>
        <v/>
      </c>
      <c r="C16124" s="12" t="str">
        <f ca="1">IFERROR(__xludf.DUMMYFUNCTION("""COMPUTED_VALUE"""),"")</f>
        <v/>
      </c>
      <c r="D16124" s="12" t="str">
        <f ca="1">IFERROR(__xludf.DUMMYFUNCTION("""COMPUTED_VALUE"""),"")</f>
        <v/>
      </c>
    </row>
    <row r="16125" spans="2:4" ht="13">
      <c r="B16125" s="12" t="str">
        <f ca="1">IFERROR(__xludf.DUMMYFUNCTION("""COMPUTED_VALUE"""),"")</f>
        <v/>
      </c>
      <c r="C16125" s="12" t="str">
        <f ca="1">IFERROR(__xludf.DUMMYFUNCTION("""COMPUTED_VALUE"""),"")</f>
        <v/>
      </c>
      <c r="D16125" s="12" t="str">
        <f ca="1">IFERROR(__xludf.DUMMYFUNCTION("""COMPUTED_VALUE"""),"")</f>
        <v/>
      </c>
    </row>
    <row r="16126" spans="2:4" ht="13">
      <c r="B16126" s="12" t="str">
        <f ca="1">IFERROR(__xludf.DUMMYFUNCTION("""COMPUTED_VALUE"""),"")</f>
        <v/>
      </c>
      <c r="C16126" s="12" t="str">
        <f ca="1">IFERROR(__xludf.DUMMYFUNCTION("""COMPUTED_VALUE"""),"")</f>
        <v/>
      </c>
      <c r="D16126" s="12" t="str">
        <f ca="1">IFERROR(__xludf.DUMMYFUNCTION("""COMPUTED_VALUE"""),"")</f>
        <v/>
      </c>
    </row>
    <row r="16127" spans="2:4" ht="13">
      <c r="B16127" s="12" t="str">
        <f ca="1">IFERROR(__xludf.DUMMYFUNCTION("""COMPUTED_VALUE"""),"")</f>
        <v/>
      </c>
      <c r="C16127" s="12" t="str">
        <f ca="1">IFERROR(__xludf.DUMMYFUNCTION("""COMPUTED_VALUE"""),"")</f>
        <v/>
      </c>
      <c r="D16127" s="12" t="str">
        <f ca="1">IFERROR(__xludf.DUMMYFUNCTION("""COMPUTED_VALUE"""),"")</f>
        <v/>
      </c>
    </row>
    <row r="16128" spans="2:4" ht="13">
      <c r="B16128" s="12" t="str">
        <f ca="1">IFERROR(__xludf.DUMMYFUNCTION("""COMPUTED_VALUE"""),"")</f>
        <v/>
      </c>
      <c r="C16128" s="12" t="str">
        <f ca="1">IFERROR(__xludf.DUMMYFUNCTION("""COMPUTED_VALUE"""),"")</f>
        <v/>
      </c>
      <c r="D16128" s="12" t="str">
        <f ca="1">IFERROR(__xludf.DUMMYFUNCTION("""COMPUTED_VALUE"""),"")</f>
        <v/>
      </c>
    </row>
    <row r="16129" spans="2:4" ht="13">
      <c r="B16129" s="12" t="str">
        <f ca="1">IFERROR(__xludf.DUMMYFUNCTION("""COMPUTED_VALUE"""),"")</f>
        <v/>
      </c>
      <c r="C16129" s="12" t="str">
        <f ca="1">IFERROR(__xludf.DUMMYFUNCTION("""COMPUTED_VALUE"""),"")</f>
        <v/>
      </c>
      <c r="D16129" s="12" t="str">
        <f ca="1">IFERROR(__xludf.DUMMYFUNCTION("""COMPUTED_VALUE"""),"")</f>
        <v/>
      </c>
    </row>
    <row r="16130" spans="2:4" ht="13">
      <c r="B16130" s="12" t="str">
        <f ca="1">IFERROR(__xludf.DUMMYFUNCTION("""COMPUTED_VALUE"""),"")</f>
        <v/>
      </c>
      <c r="C16130" s="12" t="str">
        <f ca="1">IFERROR(__xludf.DUMMYFUNCTION("""COMPUTED_VALUE"""),"")</f>
        <v/>
      </c>
      <c r="D16130" s="12" t="str">
        <f ca="1">IFERROR(__xludf.DUMMYFUNCTION("""COMPUTED_VALUE"""),"")</f>
        <v/>
      </c>
    </row>
    <row r="16131" spans="2:4" ht="13">
      <c r="B16131" s="12" t="str">
        <f ca="1">IFERROR(__xludf.DUMMYFUNCTION("""COMPUTED_VALUE"""),"")</f>
        <v/>
      </c>
      <c r="C16131" s="12" t="str">
        <f ca="1">IFERROR(__xludf.DUMMYFUNCTION("""COMPUTED_VALUE"""),"")</f>
        <v/>
      </c>
      <c r="D16131" s="12" t="str">
        <f ca="1">IFERROR(__xludf.DUMMYFUNCTION("""COMPUTED_VALUE"""),"")</f>
        <v/>
      </c>
    </row>
    <row r="16132" spans="2:4" ht="13">
      <c r="B16132" s="12" t="str">
        <f ca="1">IFERROR(__xludf.DUMMYFUNCTION("""COMPUTED_VALUE"""),"")</f>
        <v/>
      </c>
      <c r="C16132" s="12" t="str">
        <f ca="1">IFERROR(__xludf.DUMMYFUNCTION("""COMPUTED_VALUE"""),"")</f>
        <v/>
      </c>
      <c r="D16132" s="12" t="str">
        <f ca="1">IFERROR(__xludf.DUMMYFUNCTION("""COMPUTED_VALUE"""),"")</f>
        <v/>
      </c>
    </row>
    <row r="16133" spans="2:4" ht="13">
      <c r="B16133" s="12" t="str">
        <f ca="1">IFERROR(__xludf.DUMMYFUNCTION("""COMPUTED_VALUE"""),"")</f>
        <v/>
      </c>
      <c r="C16133" s="12" t="str">
        <f ca="1">IFERROR(__xludf.DUMMYFUNCTION("""COMPUTED_VALUE"""),"")</f>
        <v/>
      </c>
      <c r="D16133" s="12" t="str">
        <f ca="1">IFERROR(__xludf.DUMMYFUNCTION("""COMPUTED_VALUE"""),"")</f>
        <v/>
      </c>
    </row>
    <row r="16134" spans="2:4" ht="13">
      <c r="B16134" s="12" t="str">
        <f ca="1">IFERROR(__xludf.DUMMYFUNCTION("""COMPUTED_VALUE"""),"")</f>
        <v/>
      </c>
      <c r="C16134" s="12" t="str">
        <f ca="1">IFERROR(__xludf.DUMMYFUNCTION("""COMPUTED_VALUE"""),"")</f>
        <v/>
      </c>
      <c r="D16134" s="12" t="str">
        <f ca="1">IFERROR(__xludf.DUMMYFUNCTION("""COMPUTED_VALUE"""),"")</f>
        <v/>
      </c>
    </row>
    <row r="16135" spans="2:4" ht="13">
      <c r="B16135" s="12" t="str">
        <f ca="1">IFERROR(__xludf.DUMMYFUNCTION("""COMPUTED_VALUE"""),"")</f>
        <v/>
      </c>
      <c r="C16135" s="12" t="str">
        <f ca="1">IFERROR(__xludf.DUMMYFUNCTION("""COMPUTED_VALUE"""),"")</f>
        <v/>
      </c>
      <c r="D16135" s="12" t="str">
        <f ca="1">IFERROR(__xludf.DUMMYFUNCTION("""COMPUTED_VALUE"""),"")</f>
        <v/>
      </c>
    </row>
    <row r="16136" spans="2:4" ht="13">
      <c r="B16136" s="12" t="str">
        <f ca="1">IFERROR(__xludf.DUMMYFUNCTION("""COMPUTED_VALUE"""),"")</f>
        <v/>
      </c>
      <c r="C16136" s="12" t="str">
        <f ca="1">IFERROR(__xludf.DUMMYFUNCTION("""COMPUTED_VALUE"""),"")</f>
        <v/>
      </c>
      <c r="D16136" s="12" t="str">
        <f ca="1">IFERROR(__xludf.DUMMYFUNCTION("""COMPUTED_VALUE"""),"")</f>
        <v/>
      </c>
    </row>
    <row r="16137" spans="2:4" ht="13">
      <c r="B16137" s="12" t="str">
        <f ca="1">IFERROR(__xludf.DUMMYFUNCTION("""COMPUTED_VALUE"""),"")</f>
        <v/>
      </c>
      <c r="C16137" s="12" t="str">
        <f ca="1">IFERROR(__xludf.DUMMYFUNCTION("""COMPUTED_VALUE"""),"")</f>
        <v/>
      </c>
      <c r="D16137" s="12" t="str">
        <f ca="1">IFERROR(__xludf.DUMMYFUNCTION("""COMPUTED_VALUE"""),"")</f>
        <v/>
      </c>
    </row>
    <row r="16138" spans="2:4" ht="13">
      <c r="B16138" s="12" t="str">
        <f ca="1">IFERROR(__xludf.DUMMYFUNCTION("""COMPUTED_VALUE"""),"")</f>
        <v/>
      </c>
      <c r="C16138" s="12" t="str">
        <f ca="1">IFERROR(__xludf.DUMMYFUNCTION("""COMPUTED_VALUE"""),"")</f>
        <v/>
      </c>
      <c r="D16138" s="12" t="str">
        <f ca="1">IFERROR(__xludf.DUMMYFUNCTION("""COMPUTED_VALUE"""),"")</f>
        <v/>
      </c>
    </row>
    <row r="16139" spans="2:4" ht="13">
      <c r="B16139" s="12" t="str">
        <f ca="1">IFERROR(__xludf.DUMMYFUNCTION("""COMPUTED_VALUE"""),"")</f>
        <v/>
      </c>
      <c r="C16139" s="12" t="str">
        <f ca="1">IFERROR(__xludf.DUMMYFUNCTION("""COMPUTED_VALUE"""),"")</f>
        <v/>
      </c>
      <c r="D16139" s="12" t="str">
        <f ca="1">IFERROR(__xludf.DUMMYFUNCTION("""COMPUTED_VALUE"""),"")</f>
        <v/>
      </c>
    </row>
    <row r="16140" spans="2:4" ht="13">
      <c r="B16140" s="12" t="str">
        <f ca="1">IFERROR(__xludf.DUMMYFUNCTION("""COMPUTED_VALUE"""),"")</f>
        <v/>
      </c>
      <c r="C16140" s="12" t="str">
        <f ca="1">IFERROR(__xludf.DUMMYFUNCTION("""COMPUTED_VALUE"""),"")</f>
        <v/>
      </c>
      <c r="D16140" s="12" t="str">
        <f ca="1">IFERROR(__xludf.DUMMYFUNCTION("""COMPUTED_VALUE"""),"")</f>
        <v/>
      </c>
    </row>
    <row r="16141" spans="2:4" ht="13">
      <c r="B16141" s="12" t="str">
        <f ca="1">IFERROR(__xludf.DUMMYFUNCTION("""COMPUTED_VALUE"""),"")</f>
        <v/>
      </c>
      <c r="C16141" s="12" t="str">
        <f ca="1">IFERROR(__xludf.DUMMYFUNCTION("""COMPUTED_VALUE"""),"")</f>
        <v/>
      </c>
      <c r="D16141" s="12" t="str">
        <f ca="1">IFERROR(__xludf.DUMMYFUNCTION("""COMPUTED_VALUE"""),"")</f>
        <v/>
      </c>
    </row>
    <row r="16142" spans="2:4" ht="13">
      <c r="B16142" s="12" t="str">
        <f ca="1">IFERROR(__xludf.DUMMYFUNCTION("""COMPUTED_VALUE"""),"")</f>
        <v/>
      </c>
      <c r="C16142" s="12" t="str">
        <f ca="1">IFERROR(__xludf.DUMMYFUNCTION("""COMPUTED_VALUE"""),"")</f>
        <v/>
      </c>
      <c r="D16142" s="12" t="str">
        <f ca="1">IFERROR(__xludf.DUMMYFUNCTION("""COMPUTED_VALUE"""),"")</f>
        <v/>
      </c>
    </row>
    <row r="16143" spans="2:4" ht="13">
      <c r="B16143" s="12" t="str">
        <f ca="1">IFERROR(__xludf.DUMMYFUNCTION("""COMPUTED_VALUE"""),"")</f>
        <v/>
      </c>
      <c r="C16143" s="12" t="str">
        <f ca="1">IFERROR(__xludf.DUMMYFUNCTION("""COMPUTED_VALUE"""),"")</f>
        <v/>
      </c>
      <c r="D16143" s="12" t="str">
        <f ca="1">IFERROR(__xludf.DUMMYFUNCTION("""COMPUTED_VALUE"""),"")</f>
        <v/>
      </c>
    </row>
    <row r="16144" spans="2:4" ht="13">
      <c r="B16144" s="12" t="str">
        <f ca="1">IFERROR(__xludf.DUMMYFUNCTION("""COMPUTED_VALUE"""),"")</f>
        <v/>
      </c>
      <c r="C16144" s="12" t="str">
        <f ca="1">IFERROR(__xludf.DUMMYFUNCTION("""COMPUTED_VALUE"""),"")</f>
        <v/>
      </c>
      <c r="D16144" s="12" t="str">
        <f ca="1">IFERROR(__xludf.DUMMYFUNCTION("""COMPUTED_VALUE"""),"")</f>
        <v/>
      </c>
    </row>
    <row r="16145" spans="2:4" ht="13">
      <c r="B16145" s="12" t="str">
        <f ca="1">IFERROR(__xludf.DUMMYFUNCTION("""COMPUTED_VALUE"""),"")</f>
        <v/>
      </c>
      <c r="C16145" s="12" t="str">
        <f ca="1">IFERROR(__xludf.DUMMYFUNCTION("""COMPUTED_VALUE"""),"")</f>
        <v/>
      </c>
      <c r="D16145" s="12" t="str">
        <f ca="1">IFERROR(__xludf.DUMMYFUNCTION("""COMPUTED_VALUE"""),"")</f>
        <v/>
      </c>
    </row>
    <row r="16146" spans="2:4" ht="13">
      <c r="B16146" s="12" t="str">
        <f ca="1">IFERROR(__xludf.DUMMYFUNCTION("""COMPUTED_VALUE"""),"")</f>
        <v/>
      </c>
      <c r="C16146" s="12" t="str">
        <f ca="1">IFERROR(__xludf.DUMMYFUNCTION("""COMPUTED_VALUE"""),"")</f>
        <v/>
      </c>
      <c r="D16146" s="12" t="str">
        <f ca="1">IFERROR(__xludf.DUMMYFUNCTION("""COMPUTED_VALUE"""),"")</f>
        <v/>
      </c>
    </row>
    <row r="16147" spans="2:4" ht="13">
      <c r="B16147" s="12" t="str">
        <f ca="1">IFERROR(__xludf.DUMMYFUNCTION("""COMPUTED_VALUE"""),"")</f>
        <v/>
      </c>
      <c r="C16147" s="12" t="str">
        <f ca="1">IFERROR(__xludf.DUMMYFUNCTION("""COMPUTED_VALUE"""),"")</f>
        <v/>
      </c>
      <c r="D16147" s="12" t="str">
        <f ca="1">IFERROR(__xludf.DUMMYFUNCTION("""COMPUTED_VALUE"""),"")</f>
        <v/>
      </c>
    </row>
    <row r="16148" spans="2:4" ht="13">
      <c r="B16148" s="12" t="str">
        <f ca="1">IFERROR(__xludf.DUMMYFUNCTION("""COMPUTED_VALUE"""),"")</f>
        <v/>
      </c>
      <c r="C16148" s="12" t="str">
        <f ca="1">IFERROR(__xludf.DUMMYFUNCTION("""COMPUTED_VALUE"""),"")</f>
        <v/>
      </c>
      <c r="D16148" s="12" t="str">
        <f ca="1">IFERROR(__xludf.DUMMYFUNCTION("""COMPUTED_VALUE"""),"")</f>
        <v/>
      </c>
    </row>
    <row r="16149" spans="2:4" ht="13">
      <c r="B16149" s="12" t="str">
        <f ca="1">IFERROR(__xludf.DUMMYFUNCTION("""COMPUTED_VALUE"""),"")</f>
        <v/>
      </c>
      <c r="C16149" s="12" t="str">
        <f ca="1">IFERROR(__xludf.DUMMYFUNCTION("""COMPUTED_VALUE"""),"")</f>
        <v/>
      </c>
      <c r="D16149" s="12" t="str">
        <f ca="1">IFERROR(__xludf.DUMMYFUNCTION("""COMPUTED_VALUE"""),"")</f>
        <v/>
      </c>
    </row>
    <row r="16150" spans="2:4" ht="13">
      <c r="B16150" s="12" t="str">
        <f ca="1">IFERROR(__xludf.DUMMYFUNCTION("""COMPUTED_VALUE"""),"")</f>
        <v/>
      </c>
      <c r="C16150" s="12" t="str">
        <f ca="1">IFERROR(__xludf.DUMMYFUNCTION("""COMPUTED_VALUE"""),"")</f>
        <v/>
      </c>
      <c r="D16150" s="12" t="str">
        <f ca="1">IFERROR(__xludf.DUMMYFUNCTION("""COMPUTED_VALUE"""),"")</f>
        <v/>
      </c>
    </row>
    <row r="16151" spans="2:4" ht="13">
      <c r="B16151" s="12" t="str">
        <f ca="1">IFERROR(__xludf.DUMMYFUNCTION("""COMPUTED_VALUE"""),"")</f>
        <v/>
      </c>
      <c r="C16151" s="12" t="str">
        <f ca="1">IFERROR(__xludf.DUMMYFUNCTION("""COMPUTED_VALUE"""),"")</f>
        <v/>
      </c>
      <c r="D16151" s="12" t="str">
        <f ca="1">IFERROR(__xludf.DUMMYFUNCTION("""COMPUTED_VALUE"""),"")</f>
        <v/>
      </c>
    </row>
    <row r="16152" spans="2:4" ht="13">
      <c r="B16152" s="12" t="str">
        <f ca="1">IFERROR(__xludf.DUMMYFUNCTION("""COMPUTED_VALUE"""),"")</f>
        <v/>
      </c>
      <c r="C16152" s="12" t="str">
        <f ca="1">IFERROR(__xludf.DUMMYFUNCTION("""COMPUTED_VALUE"""),"")</f>
        <v/>
      </c>
      <c r="D16152" s="12" t="str">
        <f ca="1">IFERROR(__xludf.DUMMYFUNCTION("""COMPUTED_VALUE"""),"")</f>
        <v/>
      </c>
    </row>
    <row r="16153" spans="2:4" ht="13">
      <c r="B16153" s="12" t="str">
        <f ca="1">IFERROR(__xludf.DUMMYFUNCTION("""COMPUTED_VALUE"""),"")</f>
        <v/>
      </c>
      <c r="C16153" s="12" t="str">
        <f ca="1">IFERROR(__xludf.DUMMYFUNCTION("""COMPUTED_VALUE"""),"")</f>
        <v/>
      </c>
      <c r="D16153" s="12" t="str">
        <f ca="1">IFERROR(__xludf.DUMMYFUNCTION("""COMPUTED_VALUE"""),"")</f>
        <v/>
      </c>
    </row>
    <row r="16154" spans="2:4" ht="13">
      <c r="B16154" s="12" t="str">
        <f ca="1">IFERROR(__xludf.DUMMYFUNCTION("""COMPUTED_VALUE"""),"")</f>
        <v/>
      </c>
      <c r="C16154" s="12" t="str">
        <f ca="1">IFERROR(__xludf.DUMMYFUNCTION("""COMPUTED_VALUE"""),"")</f>
        <v/>
      </c>
      <c r="D16154" s="12" t="str">
        <f ca="1">IFERROR(__xludf.DUMMYFUNCTION("""COMPUTED_VALUE"""),"")</f>
        <v/>
      </c>
    </row>
    <row r="16155" spans="2:4" ht="13">
      <c r="B16155" s="12" t="str">
        <f ca="1">IFERROR(__xludf.DUMMYFUNCTION("""COMPUTED_VALUE"""),"")</f>
        <v/>
      </c>
      <c r="C16155" s="12" t="str">
        <f ca="1">IFERROR(__xludf.DUMMYFUNCTION("""COMPUTED_VALUE"""),"")</f>
        <v/>
      </c>
      <c r="D16155" s="12" t="str">
        <f ca="1">IFERROR(__xludf.DUMMYFUNCTION("""COMPUTED_VALUE"""),"")</f>
        <v/>
      </c>
    </row>
    <row r="16156" spans="2:4" ht="13">
      <c r="B16156" s="12" t="str">
        <f ca="1">IFERROR(__xludf.DUMMYFUNCTION("""COMPUTED_VALUE"""),"")</f>
        <v/>
      </c>
      <c r="C16156" s="12" t="str">
        <f ca="1">IFERROR(__xludf.DUMMYFUNCTION("""COMPUTED_VALUE"""),"")</f>
        <v/>
      </c>
      <c r="D16156" s="12" t="str">
        <f ca="1">IFERROR(__xludf.DUMMYFUNCTION("""COMPUTED_VALUE"""),"")</f>
        <v/>
      </c>
    </row>
    <row r="16157" spans="2:4" ht="13">
      <c r="B16157" s="12" t="str">
        <f ca="1">IFERROR(__xludf.DUMMYFUNCTION("""COMPUTED_VALUE"""),"")</f>
        <v/>
      </c>
      <c r="C16157" s="12" t="str">
        <f ca="1">IFERROR(__xludf.DUMMYFUNCTION("""COMPUTED_VALUE"""),"")</f>
        <v/>
      </c>
      <c r="D16157" s="12" t="str">
        <f ca="1">IFERROR(__xludf.DUMMYFUNCTION("""COMPUTED_VALUE"""),"")</f>
        <v/>
      </c>
    </row>
    <row r="16158" spans="2:4" ht="13">
      <c r="B16158" s="12" t="str">
        <f ca="1">IFERROR(__xludf.DUMMYFUNCTION("""COMPUTED_VALUE"""),"")</f>
        <v/>
      </c>
      <c r="C16158" s="12" t="str">
        <f ca="1">IFERROR(__xludf.DUMMYFUNCTION("""COMPUTED_VALUE"""),"")</f>
        <v/>
      </c>
      <c r="D16158" s="12" t="str">
        <f ca="1">IFERROR(__xludf.DUMMYFUNCTION("""COMPUTED_VALUE"""),"")</f>
        <v/>
      </c>
    </row>
    <row r="16159" spans="2:4" ht="13">
      <c r="B16159" s="12" t="str">
        <f ca="1">IFERROR(__xludf.DUMMYFUNCTION("""COMPUTED_VALUE"""),"")</f>
        <v/>
      </c>
      <c r="C16159" s="12" t="str">
        <f ca="1">IFERROR(__xludf.DUMMYFUNCTION("""COMPUTED_VALUE"""),"")</f>
        <v/>
      </c>
      <c r="D16159" s="12" t="str">
        <f ca="1">IFERROR(__xludf.DUMMYFUNCTION("""COMPUTED_VALUE"""),"")</f>
        <v/>
      </c>
    </row>
    <row r="16160" spans="2:4" ht="13">
      <c r="B16160" s="12" t="str">
        <f ca="1">IFERROR(__xludf.DUMMYFUNCTION("""COMPUTED_VALUE"""),"")</f>
        <v/>
      </c>
      <c r="C16160" s="12" t="str">
        <f ca="1">IFERROR(__xludf.DUMMYFUNCTION("""COMPUTED_VALUE"""),"")</f>
        <v/>
      </c>
      <c r="D16160" s="12" t="str">
        <f ca="1">IFERROR(__xludf.DUMMYFUNCTION("""COMPUTED_VALUE"""),"")</f>
        <v/>
      </c>
    </row>
    <row r="16161" spans="2:4" ht="13">
      <c r="B16161" s="12" t="str">
        <f ca="1">IFERROR(__xludf.DUMMYFUNCTION("""COMPUTED_VALUE"""),"")</f>
        <v/>
      </c>
      <c r="C16161" s="12" t="str">
        <f ca="1">IFERROR(__xludf.DUMMYFUNCTION("""COMPUTED_VALUE"""),"")</f>
        <v/>
      </c>
      <c r="D16161" s="12" t="str">
        <f ca="1">IFERROR(__xludf.DUMMYFUNCTION("""COMPUTED_VALUE"""),"")</f>
        <v/>
      </c>
    </row>
    <row r="16162" spans="2:4" ht="13">
      <c r="B16162" s="12" t="str">
        <f ca="1">IFERROR(__xludf.DUMMYFUNCTION("""COMPUTED_VALUE"""),"")</f>
        <v/>
      </c>
      <c r="C16162" s="12" t="str">
        <f ca="1">IFERROR(__xludf.DUMMYFUNCTION("""COMPUTED_VALUE"""),"")</f>
        <v/>
      </c>
      <c r="D16162" s="12" t="str">
        <f ca="1">IFERROR(__xludf.DUMMYFUNCTION("""COMPUTED_VALUE"""),"")</f>
        <v/>
      </c>
    </row>
    <row r="16163" spans="2:4" ht="13">
      <c r="B16163" s="12" t="str">
        <f ca="1">IFERROR(__xludf.DUMMYFUNCTION("""COMPUTED_VALUE"""),"")</f>
        <v/>
      </c>
      <c r="C16163" s="12" t="str">
        <f ca="1">IFERROR(__xludf.DUMMYFUNCTION("""COMPUTED_VALUE"""),"")</f>
        <v/>
      </c>
      <c r="D16163" s="12" t="str">
        <f ca="1">IFERROR(__xludf.DUMMYFUNCTION("""COMPUTED_VALUE"""),"")</f>
        <v/>
      </c>
    </row>
    <row r="16164" spans="2:4" ht="13">
      <c r="B16164" s="12" t="str">
        <f ca="1">IFERROR(__xludf.DUMMYFUNCTION("""COMPUTED_VALUE"""),"")</f>
        <v/>
      </c>
      <c r="C16164" s="12" t="str">
        <f ca="1">IFERROR(__xludf.DUMMYFUNCTION("""COMPUTED_VALUE"""),"")</f>
        <v/>
      </c>
      <c r="D16164" s="12" t="str">
        <f ca="1">IFERROR(__xludf.DUMMYFUNCTION("""COMPUTED_VALUE"""),"")</f>
        <v/>
      </c>
    </row>
    <row r="16165" spans="2:4" ht="13">
      <c r="B16165" s="12" t="str">
        <f ca="1">IFERROR(__xludf.DUMMYFUNCTION("""COMPUTED_VALUE"""),"")</f>
        <v/>
      </c>
      <c r="C16165" s="12" t="str">
        <f ca="1">IFERROR(__xludf.DUMMYFUNCTION("""COMPUTED_VALUE"""),"")</f>
        <v/>
      </c>
      <c r="D16165" s="12" t="str">
        <f ca="1">IFERROR(__xludf.DUMMYFUNCTION("""COMPUTED_VALUE"""),"")</f>
        <v/>
      </c>
    </row>
    <row r="16166" spans="2:4" ht="13">
      <c r="B16166" s="12" t="str">
        <f ca="1">IFERROR(__xludf.DUMMYFUNCTION("""COMPUTED_VALUE"""),"")</f>
        <v/>
      </c>
      <c r="C16166" s="12" t="str">
        <f ca="1">IFERROR(__xludf.DUMMYFUNCTION("""COMPUTED_VALUE"""),"")</f>
        <v/>
      </c>
      <c r="D16166" s="12" t="str">
        <f ca="1">IFERROR(__xludf.DUMMYFUNCTION("""COMPUTED_VALUE"""),"")</f>
        <v/>
      </c>
    </row>
    <row r="16167" spans="2:4" ht="13">
      <c r="B16167" s="12" t="str">
        <f ca="1">IFERROR(__xludf.DUMMYFUNCTION("""COMPUTED_VALUE"""),"")</f>
        <v/>
      </c>
      <c r="C16167" s="12" t="str">
        <f ca="1">IFERROR(__xludf.DUMMYFUNCTION("""COMPUTED_VALUE"""),"")</f>
        <v/>
      </c>
      <c r="D16167" s="12" t="str">
        <f ca="1">IFERROR(__xludf.DUMMYFUNCTION("""COMPUTED_VALUE"""),"")</f>
        <v/>
      </c>
    </row>
    <row r="16168" spans="2:4" ht="13">
      <c r="B16168" s="12" t="str">
        <f ca="1">IFERROR(__xludf.DUMMYFUNCTION("""COMPUTED_VALUE"""),"")</f>
        <v/>
      </c>
      <c r="C16168" s="12" t="str">
        <f ca="1">IFERROR(__xludf.DUMMYFUNCTION("""COMPUTED_VALUE"""),"")</f>
        <v/>
      </c>
      <c r="D16168" s="12" t="str">
        <f ca="1">IFERROR(__xludf.DUMMYFUNCTION("""COMPUTED_VALUE"""),"")</f>
        <v/>
      </c>
    </row>
    <row r="16169" spans="2:4" ht="13">
      <c r="B16169" s="12" t="str">
        <f ca="1">IFERROR(__xludf.DUMMYFUNCTION("""COMPUTED_VALUE"""),"")</f>
        <v/>
      </c>
      <c r="C16169" s="12" t="str">
        <f ca="1">IFERROR(__xludf.DUMMYFUNCTION("""COMPUTED_VALUE"""),"")</f>
        <v/>
      </c>
      <c r="D16169" s="12" t="str">
        <f ca="1">IFERROR(__xludf.DUMMYFUNCTION("""COMPUTED_VALUE"""),"")</f>
        <v/>
      </c>
    </row>
    <row r="16170" spans="2:4" ht="13">
      <c r="B16170" s="12" t="str">
        <f ca="1">IFERROR(__xludf.DUMMYFUNCTION("""COMPUTED_VALUE"""),"")</f>
        <v/>
      </c>
      <c r="C16170" s="12" t="str">
        <f ca="1">IFERROR(__xludf.DUMMYFUNCTION("""COMPUTED_VALUE"""),"")</f>
        <v/>
      </c>
      <c r="D16170" s="12" t="str">
        <f ca="1">IFERROR(__xludf.DUMMYFUNCTION("""COMPUTED_VALUE"""),"")</f>
        <v/>
      </c>
    </row>
    <row r="16171" spans="2:4" ht="13">
      <c r="B16171" s="12" t="str">
        <f ca="1">IFERROR(__xludf.DUMMYFUNCTION("""COMPUTED_VALUE"""),"")</f>
        <v/>
      </c>
      <c r="C16171" s="12" t="str">
        <f ca="1">IFERROR(__xludf.DUMMYFUNCTION("""COMPUTED_VALUE"""),"")</f>
        <v/>
      </c>
      <c r="D16171" s="12" t="str">
        <f ca="1">IFERROR(__xludf.DUMMYFUNCTION("""COMPUTED_VALUE"""),"")</f>
        <v/>
      </c>
    </row>
    <row r="16172" spans="2:4" ht="13">
      <c r="B16172" s="12" t="str">
        <f ca="1">IFERROR(__xludf.DUMMYFUNCTION("""COMPUTED_VALUE"""),"")</f>
        <v/>
      </c>
      <c r="C16172" s="12" t="str">
        <f ca="1">IFERROR(__xludf.DUMMYFUNCTION("""COMPUTED_VALUE"""),"")</f>
        <v/>
      </c>
      <c r="D16172" s="12" t="str">
        <f ca="1">IFERROR(__xludf.DUMMYFUNCTION("""COMPUTED_VALUE"""),"")</f>
        <v/>
      </c>
    </row>
    <row r="16173" spans="2:4" ht="13">
      <c r="B16173" s="12" t="str">
        <f ca="1">IFERROR(__xludf.DUMMYFUNCTION("""COMPUTED_VALUE"""),"")</f>
        <v/>
      </c>
      <c r="C16173" s="12" t="str">
        <f ca="1">IFERROR(__xludf.DUMMYFUNCTION("""COMPUTED_VALUE"""),"")</f>
        <v/>
      </c>
      <c r="D16173" s="12" t="str">
        <f ca="1">IFERROR(__xludf.DUMMYFUNCTION("""COMPUTED_VALUE"""),"")</f>
        <v/>
      </c>
    </row>
    <row r="16174" spans="2:4" ht="13">
      <c r="B16174" s="12" t="str">
        <f ca="1">IFERROR(__xludf.DUMMYFUNCTION("""COMPUTED_VALUE"""),"")</f>
        <v/>
      </c>
      <c r="C16174" s="12" t="str">
        <f ca="1">IFERROR(__xludf.DUMMYFUNCTION("""COMPUTED_VALUE"""),"")</f>
        <v/>
      </c>
      <c r="D16174" s="12" t="str">
        <f ca="1">IFERROR(__xludf.DUMMYFUNCTION("""COMPUTED_VALUE"""),"")</f>
        <v/>
      </c>
    </row>
    <row r="16175" spans="2:4" ht="13">
      <c r="B16175" s="12" t="str">
        <f ca="1">IFERROR(__xludf.DUMMYFUNCTION("""COMPUTED_VALUE"""),"")</f>
        <v/>
      </c>
      <c r="C16175" s="12" t="str">
        <f ca="1">IFERROR(__xludf.DUMMYFUNCTION("""COMPUTED_VALUE"""),"")</f>
        <v/>
      </c>
      <c r="D16175" s="12" t="str">
        <f ca="1">IFERROR(__xludf.DUMMYFUNCTION("""COMPUTED_VALUE"""),"")</f>
        <v/>
      </c>
    </row>
    <row r="16176" spans="2:4" ht="13">
      <c r="B16176" s="12" t="str">
        <f ca="1">IFERROR(__xludf.DUMMYFUNCTION("""COMPUTED_VALUE"""),"")</f>
        <v/>
      </c>
      <c r="C16176" s="12" t="str">
        <f ca="1">IFERROR(__xludf.DUMMYFUNCTION("""COMPUTED_VALUE"""),"")</f>
        <v/>
      </c>
      <c r="D16176" s="12" t="str">
        <f ca="1">IFERROR(__xludf.DUMMYFUNCTION("""COMPUTED_VALUE"""),"")</f>
        <v/>
      </c>
    </row>
    <row r="16177" spans="2:4" ht="13">
      <c r="B16177" s="12" t="str">
        <f ca="1">IFERROR(__xludf.DUMMYFUNCTION("""COMPUTED_VALUE"""),"")</f>
        <v/>
      </c>
      <c r="C16177" s="12" t="str">
        <f ca="1">IFERROR(__xludf.DUMMYFUNCTION("""COMPUTED_VALUE"""),"")</f>
        <v/>
      </c>
      <c r="D16177" s="12" t="str">
        <f ca="1">IFERROR(__xludf.DUMMYFUNCTION("""COMPUTED_VALUE"""),"")</f>
        <v/>
      </c>
    </row>
    <row r="16178" spans="2:4" ht="13">
      <c r="B16178" s="12" t="str">
        <f ca="1">IFERROR(__xludf.DUMMYFUNCTION("""COMPUTED_VALUE"""),"")</f>
        <v/>
      </c>
      <c r="C16178" s="12" t="str">
        <f ca="1">IFERROR(__xludf.DUMMYFUNCTION("""COMPUTED_VALUE"""),"")</f>
        <v/>
      </c>
      <c r="D16178" s="12" t="str">
        <f ca="1">IFERROR(__xludf.DUMMYFUNCTION("""COMPUTED_VALUE"""),"")</f>
        <v/>
      </c>
    </row>
    <row r="16179" spans="2:4" ht="13">
      <c r="B16179" s="12" t="str">
        <f ca="1">IFERROR(__xludf.DUMMYFUNCTION("""COMPUTED_VALUE"""),"")</f>
        <v/>
      </c>
      <c r="C16179" s="12" t="str">
        <f ca="1">IFERROR(__xludf.DUMMYFUNCTION("""COMPUTED_VALUE"""),"")</f>
        <v/>
      </c>
      <c r="D16179" s="12" t="str">
        <f ca="1">IFERROR(__xludf.DUMMYFUNCTION("""COMPUTED_VALUE"""),"")</f>
        <v/>
      </c>
    </row>
    <row r="16180" spans="2:4" ht="13">
      <c r="B16180" s="12" t="str">
        <f ca="1">IFERROR(__xludf.DUMMYFUNCTION("""COMPUTED_VALUE"""),"")</f>
        <v/>
      </c>
      <c r="C16180" s="12" t="str">
        <f ca="1">IFERROR(__xludf.DUMMYFUNCTION("""COMPUTED_VALUE"""),"")</f>
        <v/>
      </c>
      <c r="D16180" s="12" t="str">
        <f ca="1">IFERROR(__xludf.DUMMYFUNCTION("""COMPUTED_VALUE"""),"")</f>
        <v/>
      </c>
    </row>
    <row r="16181" spans="2:4" ht="13">
      <c r="B16181" s="12" t="str">
        <f ca="1">IFERROR(__xludf.DUMMYFUNCTION("""COMPUTED_VALUE"""),"")</f>
        <v/>
      </c>
      <c r="C16181" s="12" t="str">
        <f ca="1">IFERROR(__xludf.DUMMYFUNCTION("""COMPUTED_VALUE"""),"")</f>
        <v/>
      </c>
      <c r="D16181" s="12" t="str">
        <f ca="1">IFERROR(__xludf.DUMMYFUNCTION("""COMPUTED_VALUE"""),"")</f>
        <v/>
      </c>
    </row>
    <row r="16182" spans="2:4" ht="13">
      <c r="B16182" s="12" t="str">
        <f ca="1">IFERROR(__xludf.DUMMYFUNCTION("""COMPUTED_VALUE"""),"")</f>
        <v/>
      </c>
      <c r="C16182" s="12" t="str">
        <f ca="1">IFERROR(__xludf.DUMMYFUNCTION("""COMPUTED_VALUE"""),"")</f>
        <v/>
      </c>
      <c r="D16182" s="12" t="str">
        <f ca="1">IFERROR(__xludf.DUMMYFUNCTION("""COMPUTED_VALUE"""),"")</f>
        <v/>
      </c>
    </row>
    <row r="16183" spans="2:4" ht="13">
      <c r="B16183" s="12" t="str">
        <f ca="1">IFERROR(__xludf.DUMMYFUNCTION("""COMPUTED_VALUE"""),"")</f>
        <v/>
      </c>
      <c r="C16183" s="12" t="str">
        <f ca="1">IFERROR(__xludf.DUMMYFUNCTION("""COMPUTED_VALUE"""),"")</f>
        <v/>
      </c>
      <c r="D16183" s="12" t="str">
        <f ca="1">IFERROR(__xludf.DUMMYFUNCTION("""COMPUTED_VALUE"""),"")</f>
        <v/>
      </c>
    </row>
    <row r="16184" spans="2:4" ht="13">
      <c r="B16184" s="12" t="str">
        <f ca="1">IFERROR(__xludf.DUMMYFUNCTION("""COMPUTED_VALUE"""),"")</f>
        <v/>
      </c>
      <c r="C16184" s="12" t="str">
        <f ca="1">IFERROR(__xludf.DUMMYFUNCTION("""COMPUTED_VALUE"""),"")</f>
        <v/>
      </c>
      <c r="D16184" s="12" t="str">
        <f ca="1">IFERROR(__xludf.DUMMYFUNCTION("""COMPUTED_VALUE"""),"")</f>
        <v/>
      </c>
    </row>
    <row r="16185" spans="2:4" ht="13">
      <c r="B16185" s="12" t="str">
        <f ca="1">IFERROR(__xludf.DUMMYFUNCTION("""COMPUTED_VALUE"""),"")</f>
        <v/>
      </c>
      <c r="C16185" s="12" t="str">
        <f ca="1">IFERROR(__xludf.DUMMYFUNCTION("""COMPUTED_VALUE"""),"")</f>
        <v/>
      </c>
      <c r="D16185" s="12" t="str">
        <f ca="1">IFERROR(__xludf.DUMMYFUNCTION("""COMPUTED_VALUE"""),"")</f>
        <v/>
      </c>
    </row>
    <row r="16186" spans="2:4" ht="13">
      <c r="B16186" s="12" t="str">
        <f ca="1">IFERROR(__xludf.DUMMYFUNCTION("""COMPUTED_VALUE"""),"")</f>
        <v/>
      </c>
      <c r="C16186" s="12" t="str">
        <f ca="1">IFERROR(__xludf.DUMMYFUNCTION("""COMPUTED_VALUE"""),"")</f>
        <v/>
      </c>
      <c r="D16186" s="12" t="str">
        <f ca="1">IFERROR(__xludf.DUMMYFUNCTION("""COMPUTED_VALUE"""),"")</f>
        <v/>
      </c>
    </row>
    <row r="16187" spans="2:4" ht="13">
      <c r="B16187" s="12" t="str">
        <f ca="1">IFERROR(__xludf.DUMMYFUNCTION("""COMPUTED_VALUE"""),"")</f>
        <v/>
      </c>
      <c r="C16187" s="12" t="str">
        <f ca="1">IFERROR(__xludf.DUMMYFUNCTION("""COMPUTED_VALUE"""),"")</f>
        <v/>
      </c>
      <c r="D16187" s="12" t="str">
        <f ca="1">IFERROR(__xludf.DUMMYFUNCTION("""COMPUTED_VALUE"""),"")</f>
        <v/>
      </c>
    </row>
    <row r="16188" spans="2:4" ht="13">
      <c r="B16188" s="12" t="str">
        <f ca="1">IFERROR(__xludf.DUMMYFUNCTION("""COMPUTED_VALUE"""),"")</f>
        <v/>
      </c>
      <c r="C16188" s="12" t="str">
        <f ca="1">IFERROR(__xludf.DUMMYFUNCTION("""COMPUTED_VALUE"""),"")</f>
        <v/>
      </c>
      <c r="D16188" s="12" t="str">
        <f ca="1">IFERROR(__xludf.DUMMYFUNCTION("""COMPUTED_VALUE"""),"")</f>
        <v/>
      </c>
    </row>
    <row r="16189" spans="2:4" ht="13">
      <c r="B16189" s="12" t="str">
        <f ca="1">IFERROR(__xludf.DUMMYFUNCTION("""COMPUTED_VALUE"""),"")</f>
        <v/>
      </c>
      <c r="C16189" s="12" t="str">
        <f ca="1">IFERROR(__xludf.DUMMYFUNCTION("""COMPUTED_VALUE"""),"")</f>
        <v/>
      </c>
      <c r="D16189" s="12" t="str">
        <f ca="1">IFERROR(__xludf.DUMMYFUNCTION("""COMPUTED_VALUE"""),"")</f>
        <v/>
      </c>
    </row>
    <row r="16190" spans="2:4" ht="13">
      <c r="B16190" s="12" t="str">
        <f ca="1">IFERROR(__xludf.DUMMYFUNCTION("""COMPUTED_VALUE"""),"")</f>
        <v/>
      </c>
      <c r="C16190" s="12" t="str">
        <f ca="1">IFERROR(__xludf.DUMMYFUNCTION("""COMPUTED_VALUE"""),"")</f>
        <v/>
      </c>
      <c r="D16190" s="12" t="str">
        <f ca="1">IFERROR(__xludf.DUMMYFUNCTION("""COMPUTED_VALUE"""),"")</f>
        <v/>
      </c>
    </row>
    <row r="16191" spans="2:4" ht="13">
      <c r="B16191" s="12" t="str">
        <f ca="1">IFERROR(__xludf.DUMMYFUNCTION("""COMPUTED_VALUE"""),"")</f>
        <v/>
      </c>
      <c r="C16191" s="12" t="str">
        <f ca="1">IFERROR(__xludf.DUMMYFUNCTION("""COMPUTED_VALUE"""),"")</f>
        <v/>
      </c>
      <c r="D16191" s="12" t="str">
        <f ca="1">IFERROR(__xludf.DUMMYFUNCTION("""COMPUTED_VALUE"""),"")</f>
        <v/>
      </c>
    </row>
    <row r="16192" spans="2:4" ht="13">
      <c r="B16192" s="12" t="str">
        <f ca="1">IFERROR(__xludf.DUMMYFUNCTION("""COMPUTED_VALUE"""),"")</f>
        <v/>
      </c>
      <c r="C16192" s="12" t="str">
        <f ca="1">IFERROR(__xludf.DUMMYFUNCTION("""COMPUTED_VALUE"""),"")</f>
        <v/>
      </c>
      <c r="D16192" s="12" t="str">
        <f ca="1">IFERROR(__xludf.DUMMYFUNCTION("""COMPUTED_VALUE"""),"")</f>
        <v/>
      </c>
    </row>
    <row r="16193" spans="2:4" ht="13">
      <c r="B16193" s="12" t="str">
        <f ca="1">IFERROR(__xludf.DUMMYFUNCTION("""COMPUTED_VALUE"""),"")</f>
        <v/>
      </c>
      <c r="C16193" s="12" t="str">
        <f ca="1">IFERROR(__xludf.DUMMYFUNCTION("""COMPUTED_VALUE"""),"")</f>
        <v/>
      </c>
      <c r="D16193" s="12" t="str">
        <f ca="1">IFERROR(__xludf.DUMMYFUNCTION("""COMPUTED_VALUE"""),"")</f>
        <v/>
      </c>
    </row>
    <row r="16194" spans="2:4" ht="13">
      <c r="B16194" s="12" t="str">
        <f ca="1">IFERROR(__xludf.DUMMYFUNCTION("""COMPUTED_VALUE"""),"")</f>
        <v/>
      </c>
      <c r="C16194" s="12" t="str">
        <f ca="1">IFERROR(__xludf.DUMMYFUNCTION("""COMPUTED_VALUE"""),"")</f>
        <v/>
      </c>
      <c r="D16194" s="12" t="str">
        <f ca="1">IFERROR(__xludf.DUMMYFUNCTION("""COMPUTED_VALUE"""),"")</f>
        <v/>
      </c>
    </row>
    <row r="16195" spans="2:4" ht="13">
      <c r="B16195" s="12" t="str">
        <f ca="1">IFERROR(__xludf.DUMMYFUNCTION("""COMPUTED_VALUE"""),"")</f>
        <v/>
      </c>
      <c r="C16195" s="12" t="str">
        <f ca="1">IFERROR(__xludf.DUMMYFUNCTION("""COMPUTED_VALUE"""),"")</f>
        <v/>
      </c>
      <c r="D16195" s="12" t="str">
        <f ca="1">IFERROR(__xludf.DUMMYFUNCTION("""COMPUTED_VALUE"""),"")</f>
        <v/>
      </c>
    </row>
    <row r="16196" spans="2:4" ht="13">
      <c r="B16196" s="12" t="str">
        <f ca="1">IFERROR(__xludf.DUMMYFUNCTION("""COMPUTED_VALUE"""),"")</f>
        <v/>
      </c>
      <c r="C16196" s="12" t="str">
        <f ca="1">IFERROR(__xludf.DUMMYFUNCTION("""COMPUTED_VALUE"""),"")</f>
        <v/>
      </c>
      <c r="D16196" s="12" t="str">
        <f ca="1">IFERROR(__xludf.DUMMYFUNCTION("""COMPUTED_VALUE"""),"")</f>
        <v/>
      </c>
    </row>
    <row r="16197" spans="2:4" ht="13">
      <c r="B16197" s="12" t="str">
        <f ca="1">IFERROR(__xludf.DUMMYFUNCTION("""COMPUTED_VALUE"""),"")</f>
        <v/>
      </c>
      <c r="C16197" s="12" t="str">
        <f ca="1">IFERROR(__xludf.DUMMYFUNCTION("""COMPUTED_VALUE"""),"")</f>
        <v/>
      </c>
      <c r="D16197" s="12" t="str">
        <f ca="1">IFERROR(__xludf.DUMMYFUNCTION("""COMPUTED_VALUE"""),"")</f>
        <v/>
      </c>
    </row>
    <row r="16198" spans="2:4" ht="13">
      <c r="B16198" s="12" t="str">
        <f ca="1">IFERROR(__xludf.DUMMYFUNCTION("""COMPUTED_VALUE"""),"")</f>
        <v/>
      </c>
      <c r="C16198" s="12" t="str">
        <f ca="1">IFERROR(__xludf.DUMMYFUNCTION("""COMPUTED_VALUE"""),"")</f>
        <v/>
      </c>
      <c r="D16198" s="12" t="str">
        <f ca="1">IFERROR(__xludf.DUMMYFUNCTION("""COMPUTED_VALUE"""),"")</f>
        <v/>
      </c>
    </row>
    <row r="16199" spans="2:4" ht="13">
      <c r="B16199" s="12" t="str">
        <f ca="1">IFERROR(__xludf.DUMMYFUNCTION("""COMPUTED_VALUE"""),"")</f>
        <v/>
      </c>
      <c r="C16199" s="12" t="str">
        <f ca="1">IFERROR(__xludf.DUMMYFUNCTION("""COMPUTED_VALUE"""),"")</f>
        <v/>
      </c>
      <c r="D16199" s="12" t="str">
        <f ca="1">IFERROR(__xludf.DUMMYFUNCTION("""COMPUTED_VALUE"""),"")</f>
        <v/>
      </c>
    </row>
    <row r="16200" spans="2:4" ht="13">
      <c r="B16200" s="12" t="str">
        <f ca="1">IFERROR(__xludf.DUMMYFUNCTION("""COMPUTED_VALUE"""),"")</f>
        <v/>
      </c>
      <c r="C16200" s="12" t="str">
        <f ca="1">IFERROR(__xludf.DUMMYFUNCTION("""COMPUTED_VALUE"""),"")</f>
        <v/>
      </c>
      <c r="D16200" s="12" t="str">
        <f ca="1">IFERROR(__xludf.DUMMYFUNCTION("""COMPUTED_VALUE"""),"")</f>
        <v/>
      </c>
    </row>
    <row r="16201" spans="2:4" ht="13">
      <c r="B16201" s="12" t="str">
        <f ca="1">IFERROR(__xludf.DUMMYFUNCTION("""COMPUTED_VALUE"""),"")</f>
        <v/>
      </c>
      <c r="C16201" s="12" t="str">
        <f ca="1">IFERROR(__xludf.DUMMYFUNCTION("""COMPUTED_VALUE"""),"")</f>
        <v/>
      </c>
      <c r="D16201" s="12" t="str">
        <f ca="1">IFERROR(__xludf.DUMMYFUNCTION("""COMPUTED_VALUE"""),"")</f>
        <v/>
      </c>
    </row>
    <row r="16202" spans="2:4" ht="13">
      <c r="B16202" s="12" t="str">
        <f ca="1">IFERROR(__xludf.DUMMYFUNCTION("""COMPUTED_VALUE"""),"")</f>
        <v/>
      </c>
      <c r="C16202" s="12" t="str">
        <f ca="1">IFERROR(__xludf.DUMMYFUNCTION("""COMPUTED_VALUE"""),"")</f>
        <v/>
      </c>
      <c r="D16202" s="12" t="str">
        <f ca="1">IFERROR(__xludf.DUMMYFUNCTION("""COMPUTED_VALUE"""),"")</f>
        <v/>
      </c>
    </row>
    <row r="16203" spans="2:4" ht="13">
      <c r="B16203" s="12" t="str">
        <f ca="1">IFERROR(__xludf.DUMMYFUNCTION("""COMPUTED_VALUE"""),"")</f>
        <v/>
      </c>
      <c r="C16203" s="12" t="str">
        <f ca="1">IFERROR(__xludf.DUMMYFUNCTION("""COMPUTED_VALUE"""),"")</f>
        <v/>
      </c>
      <c r="D16203" s="12" t="str">
        <f ca="1">IFERROR(__xludf.DUMMYFUNCTION("""COMPUTED_VALUE"""),"")</f>
        <v/>
      </c>
    </row>
    <row r="16204" spans="2:4" ht="13">
      <c r="B16204" s="12" t="str">
        <f ca="1">IFERROR(__xludf.DUMMYFUNCTION("""COMPUTED_VALUE"""),"")</f>
        <v/>
      </c>
      <c r="C16204" s="12" t="str">
        <f ca="1">IFERROR(__xludf.DUMMYFUNCTION("""COMPUTED_VALUE"""),"")</f>
        <v/>
      </c>
      <c r="D16204" s="12" t="str">
        <f ca="1">IFERROR(__xludf.DUMMYFUNCTION("""COMPUTED_VALUE"""),"")</f>
        <v/>
      </c>
    </row>
    <row r="16205" spans="2:4" ht="13">
      <c r="B16205" s="12" t="str">
        <f ca="1">IFERROR(__xludf.DUMMYFUNCTION("""COMPUTED_VALUE"""),"")</f>
        <v/>
      </c>
      <c r="C16205" s="12" t="str">
        <f ca="1">IFERROR(__xludf.DUMMYFUNCTION("""COMPUTED_VALUE"""),"")</f>
        <v/>
      </c>
      <c r="D16205" s="12" t="str">
        <f ca="1">IFERROR(__xludf.DUMMYFUNCTION("""COMPUTED_VALUE"""),"")</f>
        <v/>
      </c>
    </row>
    <row r="16206" spans="2:4" ht="13">
      <c r="B16206" s="12" t="str">
        <f ca="1">IFERROR(__xludf.DUMMYFUNCTION("""COMPUTED_VALUE"""),"")</f>
        <v/>
      </c>
      <c r="C16206" s="12" t="str">
        <f ca="1">IFERROR(__xludf.DUMMYFUNCTION("""COMPUTED_VALUE"""),"")</f>
        <v/>
      </c>
      <c r="D16206" s="12" t="str">
        <f ca="1">IFERROR(__xludf.DUMMYFUNCTION("""COMPUTED_VALUE"""),"")</f>
        <v/>
      </c>
    </row>
    <row r="16207" spans="2:4" ht="13">
      <c r="B16207" s="12" t="str">
        <f ca="1">IFERROR(__xludf.DUMMYFUNCTION("""COMPUTED_VALUE"""),"")</f>
        <v/>
      </c>
      <c r="C16207" s="12" t="str">
        <f ca="1">IFERROR(__xludf.DUMMYFUNCTION("""COMPUTED_VALUE"""),"")</f>
        <v/>
      </c>
      <c r="D16207" s="12" t="str">
        <f ca="1">IFERROR(__xludf.DUMMYFUNCTION("""COMPUTED_VALUE"""),"")</f>
        <v/>
      </c>
    </row>
    <row r="16208" spans="2:4" ht="13">
      <c r="B16208" s="12" t="str">
        <f ca="1">IFERROR(__xludf.DUMMYFUNCTION("""COMPUTED_VALUE"""),"")</f>
        <v/>
      </c>
      <c r="C16208" s="12" t="str">
        <f ca="1">IFERROR(__xludf.DUMMYFUNCTION("""COMPUTED_VALUE"""),"")</f>
        <v/>
      </c>
      <c r="D16208" s="12" t="str">
        <f ca="1">IFERROR(__xludf.DUMMYFUNCTION("""COMPUTED_VALUE"""),"")</f>
        <v/>
      </c>
    </row>
    <row r="16209" spans="2:4" ht="13">
      <c r="B16209" s="12" t="str">
        <f ca="1">IFERROR(__xludf.DUMMYFUNCTION("""COMPUTED_VALUE"""),"")</f>
        <v/>
      </c>
      <c r="C16209" s="12" t="str">
        <f ca="1">IFERROR(__xludf.DUMMYFUNCTION("""COMPUTED_VALUE"""),"")</f>
        <v/>
      </c>
      <c r="D16209" s="12" t="str">
        <f ca="1">IFERROR(__xludf.DUMMYFUNCTION("""COMPUTED_VALUE"""),"")</f>
        <v/>
      </c>
    </row>
    <row r="16210" spans="2:4" ht="13">
      <c r="B16210" s="12" t="str">
        <f ca="1">IFERROR(__xludf.DUMMYFUNCTION("""COMPUTED_VALUE"""),"")</f>
        <v/>
      </c>
      <c r="C16210" s="12" t="str">
        <f ca="1">IFERROR(__xludf.DUMMYFUNCTION("""COMPUTED_VALUE"""),"")</f>
        <v/>
      </c>
      <c r="D16210" s="12" t="str">
        <f ca="1">IFERROR(__xludf.DUMMYFUNCTION("""COMPUTED_VALUE"""),"")</f>
        <v/>
      </c>
    </row>
    <row r="16211" spans="2:4" ht="13">
      <c r="B16211" s="12" t="str">
        <f ca="1">IFERROR(__xludf.DUMMYFUNCTION("""COMPUTED_VALUE"""),"")</f>
        <v/>
      </c>
      <c r="C16211" s="12" t="str">
        <f ca="1">IFERROR(__xludf.DUMMYFUNCTION("""COMPUTED_VALUE"""),"")</f>
        <v/>
      </c>
      <c r="D16211" s="12" t="str">
        <f ca="1">IFERROR(__xludf.DUMMYFUNCTION("""COMPUTED_VALUE"""),"")</f>
        <v/>
      </c>
    </row>
    <row r="16212" spans="2:4" ht="13">
      <c r="B16212" s="12" t="str">
        <f ca="1">IFERROR(__xludf.DUMMYFUNCTION("""COMPUTED_VALUE"""),"")</f>
        <v/>
      </c>
      <c r="C16212" s="12" t="str">
        <f ca="1">IFERROR(__xludf.DUMMYFUNCTION("""COMPUTED_VALUE"""),"")</f>
        <v/>
      </c>
      <c r="D16212" s="12" t="str">
        <f ca="1">IFERROR(__xludf.DUMMYFUNCTION("""COMPUTED_VALUE"""),"")</f>
        <v/>
      </c>
    </row>
    <row r="16213" spans="2:4" ht="13">
      <c r="B16213" s="12" t="str">
        <f ca="1">IFERROR(__xludf.DUMMYFUNCTION("""COMPUTED_VALUE"""),"")</f>
        <v/>
      </c>
      <c r="C16213" s="12" t="str">
        <f ca="1">IFERROR(__xludf.DUMMYFUNCTION("""COMPUTED_VALUE"""),"")</f>
        <v/>
      </c>
      <c r="D16213" s="12" t="str">
        <f ca="1">IFERROR(__xludf.DUMMYFUNCTION("""COMPUTED_VALUE"""),"")</f>
        <v/>
      </c>
    </row>
    <row r="16214" spans="2:4" ht="13">
      <c r="B16214" s="12" t="str">
        <f ca="1">IFERROR(__xludf.DUMMYFUNCTION("""COMPUTED_VALUE"""),"")</f>
        <v/>
      </c>
      <c r="C16214" s="12" t="str">
        <f ca="1">IFERROR(__xludf.DUMMYFUNCTION("""COMPUTED_VALUE"""),"")</f>
        <v/>
      </c>
      <c r="D16214" s="12" t="str">
        <f ca="1">IFERROR(__xludf.DUMMYFUNCTION("""COMPUTED_VALUE"""),"")</f>
        <v/>
      </c>
    </row>
    <row r="16215" spans="2:4" ht="13">
      <c r="B16215" s="12" t="str">
        <f ca="1">IFERROR(__xludf.DUMMYFUNCTION("""COMPUTED_VALUE"""),"")</f>
        <v/>
      </c>
      <c r="C16215" s="12" t="str">
        <f ca="1">IFERROR(__xludf.DUMMYFUNCTION("""COMPUTED_VALUE"""),"")</f>
        <v/>
      </c>
      <c r="D16215" s="12" t="str">
        <f ca="1">IFERROR(__xludf.DUMMYFUNCTION("""COMPUTED_VALUE"""),"")</f>
        <v/>
      </c>
    </row>
    <row r="16216" spans="2:4" ht="13">
      <c r="B16216" s="12" t="str">
        <f ca="1">IFERROR(__xludf.DUMMYFUNCTION("""COMPUTED_VALUE"""),"")</f>
        <v/>
      </c>
      <c r="C16216" s="12" t="str">
        <f ca="1">IFERROR(__xludf.DUMMYFUNCTION("""COMPUTED_VALUE"""),"")</f>
        <v/>
      </c>
      <c r="D16216" s="12" t="str">
        <f ca="1">IFERROR(__xludf.DUMMYFUNCTION("""COMPUTED_VALUE"""),"")</f>
        <v/>
      </c>
    </row>
    <row r="16217" spans="2:4" ht="13">
      <c r="B16217" s="12" t="str">
        <f ca="1">IFERROR(__xludf.DUMMYFUNCTION("""COMPUTED_VALUE"""),"")</f>
        <v/>
      </c>
      <c r="C16217" s="12" t="str">
        <f ca="1">IFERROR(__xludf.DUMMYFUNCTION("""COMPUTED_VALUE"""),"")</f>
        <v/>
      </c>
      <c r="D16217" s="12" t="str">
        <f ca="1">IFERROR(__xludf.DUMMYFUNCTION("""COMPUTED_VALUE"""),"")</f>
        <v/>
      </c>
    </row>
    <row r="16218" spans="2:4" ht="13">
      <c r="B16218" s="12" t="str">
        <f ca="1">IFERROR(__xludf.DUMMYFUNCTION("""COMPUTED_VALUE"""),"")</f>
        <v/>
      </c>
      <c r="C16218" s="12" t="str">
        <f ca="1">IFERROR(__xludf.DUMMYFUNCTION("""COMPUTED_VALUE"""),"")</f>
        <v/>
      </c>
      <c r="D16218" s="12" t="str">
        <f ca="1">IFERROR(__xludf.DUMMYFUNCTION("""COMPUTED_VALUE"""),"")</f>
        <v/>
      </c>
    </row>
    <row r="16219" spans="2:4" ht="13">
      <c r="B16219" s="12" t="str">
        <f ca="1">IFERROR(__xludf.DUMMYFUNCTION("""COMPUTED_VALUE"""),"")</f>
        <v/>
      </c>
      <c r="C16219" s="12" t="str">
        <f ca="1">IFERROR(__xludf.DUMMYFUNCTION("""COMPUTED_VALUE"""),"")</f>
        <v/>
      </c>
      <c r="D16219" s="12" t="str">
        <f ca="1">IFERROR(__xludf.DUMMYFUNCTION("""COMPUTED_VALUE"""),"")</f>
        <v/>
      </c>
    </row>
    <row r="16220" spans="2:4" ht="13">
      <c r="B16220" s="12" t="str">
        <f ca="1">IFERROR(__xludf.DUMMYFUNCTION("""COMPUTED_VALUE"""),"")</f>
        <v/>
      </c>
      <c r="C16220" s="12" t="str">
        <f ca="1">IFERROR(__xludf.DUMMYFUNCTION("""COMPUTED_VALUE"""),"")</f>
        <v/>
      </c>
      <c r="D16220" s="12" t="str">
        <f ca="1">IFERROR(__xludf.DUMMYFUNCTION("""COMPUTED_VALUE"""),"")</f>
        <v/>
      </c>
    </row>
    <row r="16221" spans="2:4" ht="13">
      <c r="B16221" s="12" t="str">
        <f ca="1">IFERROR(__xludf.DUMMYFUNCTION("""COMPUTED_VALUE"""),"")</f>
        <v/>
      </c>
      <c r="C16221" s="12" t="str">
        <f ca="1">IFERROR(__xludf.DUMMYFUNCTION("""COMPUTED_VALUE"""),"")</f>
        <v/>
      </c>
      <c r="D16221" s="12" t="str">
        <f ca="1">IFERROR(__xludf.DUMMYFUNCTION("""COMPUTED_VALUE"""),"")</f>
        <v/>
      </c>
    </row>
    <row r="16222" spans="2:4" ht="13">
      <c r="B16222" s="12" t="str">
        <f ca="1">IFERROR(__xludf.DUMMYFUNCTION("""COMPUTED_VALUE"""),"")</f>
        <v/>
      </c>
      <c r="C16222" s="12" t="str">
        <f ca="1">IFERROR(__xludf.DUMMYFUNCTION("""COMPUTED_VALUE"""),"")</f>
        <v/>
      </c>
      <c r="D16222" s="12" t="str">
        <f ca="1">IFERROR(__xludf.DUMMYFUNCTION("""COMPUTED_VALUE"""),"")</f>
        <v/>
      </c>
    </row>
    <row r="16223" spans="2:4" ht="13">
      <c r="B16223" s="12" t="str">
        <f ca="1">IFERROR(__xludf.DUMMYFUNCTION("""COMPUTED_VALUE"""),"")</f>
        <v/>
      </c>
      <c r="C16223" s="12" t="str">
        <f ca="1">IFERROR(__xludf.DUMMYFUNCTION("""COMPUTED_VALUE"""),"")</f>
        <v/>
      </c>
      <c r="D16223" s="12" t="str">
        <f ca="1">IFERROR(__xludf.DUMMYFUNCTION("""COMPUTED_VALUE"""),"")</f>
        <v/>
      </c>
    </row>
    <row r="16224" spans="2:4" ht="13">
      <c r="B16224" s="12" t="str">
        <f ca="1">IFERROR(__xludf.DUMMYFUNCTION("""COMPUTED_VALUE"""),"")</f>
        <v/>
      </c>
      <c r="C16224" s="12" t="str">
        <f ca="1">IFERROR(__xludf.DUMMYFUNCTION("""COMPUTED_VALUE"""),"")</f>
        <v/>
      </c>
      <c r="D16224" s="12" t="str">
        <f ca="1">IFERROR(__xludf.DUMMYFUNCTION("""COMPUTED_VALUE"""),"")</f>
        <v/>
      </c>
    </row>
    <row r="16225" spans="2:4" ht="13">
      <c r="B16225" s="12" t="str">
        <f ca="1">IFERROR(__xludf.DUMMYFUNCTION("""COMPUTED_VALUE"""),"")</f>
        <v/>
      </c>
      <c r="C16225" s="12" t="str">
        <f ca="1">IFERROR(__xludf.DUMMYFUNCTION("""COMPUTED_VALUE"""),"")</f>
        <v/>
      </c>
      <c r="D16225" s="12" t="str">
        <f ca="1">IFERROR(__xludf.DUMMYFUNCTION("""COMPUTED_VALUE"""),"")</f>
        <v/>
      </c>
    </row>
    <row r="16226" spans="2:4" ht="13">
      <c r="B16226" s="12" t="str">
        <f ca="1">IFERROR(__xludf.DUMMYFUNCTION("""COMPUTED_VALUE"""),"")</f>
        <v/>
      </c>
      <c r="C16226" s="12" t="str">
        <f ca="1">IFERROR(__xludf.DUMMYFUNCTION("""COMPUTED_VALUE"""),"")</f>
        <v/>
      </c>
      <c r="D16226" s="12" t="str">
        <f ca="1">IFERROR(__xludf.DUMMYFUNCTION("""COMPUTED_VALUE"""),"")</f>
        <v/>
      </c>
    </row>
    <row r="16227" spans="2:4" ht="13">
      <c r="B16227" s="12" t="str">
        <f ca="1">IFERROR(__xludf.DUMMYFUNCTION("""COMPUTED_VALUE"""),"")</f>
        <v/>
      </c>
      <c r="C16227" s="12" t="str">
        <f ca="1">IFERROR(__xludf.DUMMYFUNCTION("""COMPUTED_VALUE"""),"")</f>
        <v/>
      </c>
      <c r="D16227" s="12" t="str">
        <f ca="1">IFERROR(__xludf.DUMMYFUNCTION("""COMPUTED_VALUE"""),"")</f>
        <v/>
      </c>
    </row>
    <row r="16228" spans="2:4" ht="13">
      <c r="B16228" s="12" t="str">
        <f ca="1">IFERROR(__xludf.DUMMYFUNCTION("""COMPUTED_VALUE"""),"")</f>
        <v/>
      </c>
      <c r="C16228" s="12" t="str">
        <f ca="1">IFERROR(__xludf.DUMMYFUNCTION("""COMPUTED_VALUE"""),"")</f>
        <v/>
      </c>
      <c r="D16228" s="12" t="str">
        <f ca="1">IFERROR(__xludf.DUMMYFUNCTION("""COMPUTED_VALUE"""),"")</f>
        <v/>
      </c>
    </row>
    <row r="16229" spans="2:4" ht="13">
      <c r="B16229" s="12" t="str">
        <f ca="1">IFERROR(__xludf.DUMMYFUNCTION("""COMPUTED_VALUE"""),"")</f>
        <v/>
      </c>
      <c r="C16229" s="12" t="str">
        <f ca="1">IFERROR(__xludf.DUMMYFUNCTION("""COMPUTED_VALUE"""),"")</f>
        <v/>
      </c>
      <c r="D16229" s="12" t="str">
        <f ca="1">IFERROR(__xludf.DUMMYFUNCTION("""COMPUTED_VALUE"""),"")</f>
        <v/>
      </c>
    </row>
    <row r="16230" spans="2:4" ht="13">
      <c r="B16230" s="12" t="str">
        <f ca="1">IFERROR(__xludf.DUMMYFUNCTION("""COMPUTED_VALUE"""),"")</f>
        <v/>
      </c>
      <c r="C16230" s="12" t="str">
        <f ca="1">IFERROR(__xludf.DUMMYFUNCTION("""COMPUTED_VALUE"""),"")</f>
        <v/>
      </c>
      <c r="D16230" s="12" t="str">
        <f ca="1">IFERROR(__xludf.DUMMYFUNCTION("""COMPUTED_VALUE"""),"")</f>
        <v/>
      </c>
    </row>
    <row r="16231" spans="2:4" ht="13">
      <c r="B16231" s="12" t="str">
        <f ca="1">IFERROR(__xludf.DUMMYFUNCTION("""COMPUTED_VALUE"""),"")</f>
        <v/>
      </c>
      <c r="C16231" s="12" t="str">
        <f ca="1">IFERROR(__xludf.DUMMYFUNCTION("""COMPUTED_VALUE"""),"")</f>
        <v/>
      </c>
      <c r="D16231" s="12" t="str">
        <f ca="1">IFERROR(__xludf.DUMMYFUNCTION("""COMPUTED_VALUE"""),"")</f>
        <v/>
      </c>
    </row>
    <row r="16232" spans="2:4" ht="13">
      <c r="B16232" s="12" t="str">
        <f ca="1">IFERROR(__xludf.DUMMYFUNCTION("""COMPUTED_VALUE"""),"")</f>
        <v/>
      </c>
      <c r="C16232" s="12" t="str">
        <f ca="1">IFERROR(__xludf.DUMMYFUNCTION("""COMPUTED_VALUE"""),"")</f>
        <v/>
      </c>
      <c r="D16232" s="12" t="str">
        <f ca="1">IFERROR(__xludf.DUMMYFUNCTION("""COMPUTED_VALUE"""),"")</f>
        <v/>
      </c>
    </row>
    <row r="16233" spans="2:4" ht="13">
      <c r="B16233" s="12" t="str">
        <f ca="1">IFERROR(__xludf.DUMMYFUNCTION("""COMPUTED_VALUE"""),"")</f>
        <v/>
      </c>
      <c r="C16233" s="12" t="str">
        <f ca="1">IFERROR(__xludf.DUMMYFUNCTION("""COMPUTED_VALUE"""),"")</f>
        <v/>
      </c>
      <c r="D16233" s="12" t="str">
        <f ca="1">IFERROR(__xludf.DUMMYFUNCTION("""COMPUTED_VALUE"""),"")</f>
        <v/>
      </c>
    </row>
    <row r="16234" spans="2:4" ht="13">
      <c r="B16234" s="12" t="str">
        <f ca="1">IFERROR(__xludf.DUMMYFUNCTION("""COMPUTED_VALUE"""),"")</f>
        <v/>
      </c>
      <c r="C16234" s="12" t="str">
        <f ca="1">IFERROR(__xludf.DUMMYFUNCTION("""COMPUTED_VALUE"""),"")</f>
        <v/>
      </c>
      <c r="D16234" s="12" t="str">
        <f ca="1">IFERROR(__xludf.DUMMYFUNCTION("""COMPUTED_VALUE"""),"")</f>
        <v/>
      </c>
    </row>
    <row r="16235" spans="2:4" ht="13">
      <c r="B16235" s="12" t="str">
        <f ca="1">IFERROR(__xludf.DUMMYFUNCTION("""COMPUTED_VALUE"""),"")</f>
        <v/>
      </c>
      <c r="C16235" s="12" t="str">
        <f ca="1">IFERROR(__xludf.DUMMYFUNCTION("""COMPUTED_VALUE"""),"")</f>
        <v/>
      </c>
      <c r="D16235" s="12" t="str">
        <f ca="1">IFERROR(__xludf.DUMMYFUNCTION("""COMPUTED_VALUE"""),"")</f>
        <v/>
      </c>
    </row>
    <row r="16236" spans="2:4" ht="13">
      <c r="B16236" s="12" t="str">
        <f ca="1">IFERROR(__xludf.DUMMYFUNCTION("""COMPUTED_VALUE"""),"")</f>
        <v/>
      </c>
      <c r="C16236" s="12" t="str">
        <f ca="1">IFERROR(__xludf.DUMMYFUNCTION("""COMPUTED_VALUE"""),"")</f>
        <v/>
      </c>
      <c r="D16236" s="12" t="str">
        <f ca="1">IFERROR(__xludf.DUMMYFUNCTION("""COMPUTED_VALUE"""),"")</f>
        <v/>
      </c>
    </row>
    <row r="16237" spans="2:4" ht="13">
      <c r="B16237" s="12" t="str">
        <f ca="1">IFERROR(__xludf.DUMMYFUNCTION("""COMPUTED_VALUE"""),"")</f>
        <v/>
      </c>
      <c r="C16237" s="12" t="str">
        <f ca="1">IFERROR(__xludf.DUMMYFUNCTION("""COMPUTED_VALUE"""),"")</f>
        <v/>
      </c>
      <c r="D16237" s="12" t="str">
        <f ca="1">IFERROR(__xludf.DUMMYFUNCTION("""COMPUTED_VALUE"""),"")</f>
        <v/>
      </c>
    </row>
    <row r="16238" spans="2:4" ht="13">
      <c r="B16238" s="12" t="str">
        <f ca="1">IFERROR(__xludf.DUMMYFUNCTION("""COMPUTED_VALUE"""),"")</f>
        <v/>
      </c>
      <c r="C16238" s="12" t="str">
        <f ca="1">IFERROR(__xludf.DUMMYFUNCTION("""COMPUTED_VALUE"""),"")</f>
        <v/>
      </c>
      <c r="D16238" s="12" t="str">
        <f ca="1">IFERROR(__xludf.DUMMYFUNCTION("""COMPUTED_VALUE"""),"")</f>
        <v/>
      </c>
    </row>
    <row r="16239" spans="2:4" ht="13">
      <c r="B16239" s="12" t="str">
        <f ca="1">IFERROR(__xludf.DUMMYFUNCTION("""COMPUTED_VALUE"""),"")</f>
        <v/>
      </c>
      <c r="C16239" s="12" t="str">
        <f ca="1">IFERROR(__xludf.DUMMYFUNCTION("""COMPUTED_VALUE"""),"")</f>
        <v/>
      </c>
      <c r="D16239" s="12" t="str">
        <f ca="1">IFERROR(__xludf.DUMMYFUNCTION("""COMPUTED_VALUE"""),"")</f>
        <v/>
      </c>
    </row>
    <row r="16240" spans="2:4" ht="13">
      <c r="B16240" s="12" t="str">
        <f ca="1">IFERROR(__xludf.DUMMYFUNCTION("""COMPUTED_VALUE"""),"")</f>
        <v/>
      </c>
      <c r="C16240" s="12" t="str">
        <f ca="1">IFERROR(__xludf.DUMMYFUNCTION("""COMPUTED_VALUE"""),"")</f>
        <v/>
      </c>
      <c r="D16240" s="12" t="str">
        <f ca="1">IFERROR(__xludf.DUMMYFUNCTION("""COMPUTED_VALUE"""),"")</f>
        <v/>
      </c>
    </row>
    <row r="16241" spans="2:4" ht="13">
      <c r="B16241" s="12" t="str">
        <f ca="1">IFERROR(__xludf.DUMMYFUNCTION("""COMPUTED_VALUE"""),"")</f>
        <v/>
      </c>
      <c r="C16241" s="12" t="str">
        <f ca="1">IFERROR(__xludf.DUMMYFUNCTION("""COMPUTED_VALUE"""),"")</f>
        <v/>
      </c>
      <c r="D16241" s="12" t="str">
        <f ca="1">IFERROR(__xludf.DUMMYFUNCTION("""COMPUTED_VALUE"""),"")</f>
        <v/>
      </c>
    </row>
    <row r="16242" spans="2:4" ht="13">
      <c r="B16242" s="12" t="str">
        <f ca="1">IFERROR(__xludf.DUMMYFUNCTION("""COMPUTED_VALUE"""),"")</f>
        <v/>
      </c>
      <c r="C16242" s="12" t="str">
        <f ca="1">IFERROR(__xludf.DUMMYFUNCTION("""COMPUTED_VALUE"""),"")</f>
        <v/>
      </c>
      <c r="D16242" s="12" t="str">
        <f ca="1">IFERROR(__xludf.DUMMYFUNCTION("""COMPUTED_VALUE"""),"")</f>
        <v/>
      </c>
    </row>
    <row r="16243" spans="2:4" ht="13">
      <c r="B16243" s="12" t="str">
        <f ca="1">IFERROR(__xludf.DUMMYFUNCTION("""COMPUTED_VALUE"""),"")</f>
        <v/>
      </c>
      <c r="C16243" s="12" t="str">
        <f ca="1">IFERROR(__xludf.DUMMYFUNCTION("""COMPUTED_VALUE"""),"")</f>
        <v/>
      </c>
      <c r="D16243" s="12" t="str">
        <f ca="1">IFERROR(__xludf.DUMMYFUNCTION("""COMPUTED_VALUE"""),"")</f>
        <v/>
      </c>
    </row>
    <row r="16244" spans="2:4" ht="13">
      <c r="B16244" s="12" t="str">
        <f ca="1">IFERROR(__xludf.DUMMYFUNCTION("""COMPUTED_VALUE"""),"")</f>
        <v/>
      </c>
      <c r="C16244" s="12" t="str">
        <f ca="1">IFERROR(__xludf.DUMMYFUNCTION("""COMPUTED_VALUE"""),"")</f>
        <v/>
      </c>
      <c r="D16244" s="12" t="str">
        <f ca="1">IFERROR(__xludf.DUMMYFUNCTION("""COMPUTED_VALUE"""),"")</f>
        <v/>
      </c>
    </row>
    <row r="16245" spans="2:4" ht="13">
      <c r="B16245" s="12" t="str">
        <f ca="1">IFERROR(__xludf.DUMMYFUNCTION("""COMPUTED_VALUE"""),"")</f>
        <v/>
      </c>
      <c r="C16245" s="12" t="str">
        <f ca="1">IFERROR(__xludf.DUMMYFUNCTION("""COMPUTED_VALUE"""),"")</f>
        <v/>
      </c>
      <c r="D16245" s="12" t="str">
        <f ca="1">IFERROR(__xludf.DUMMYFUNCTION("""COMPUTED_VALUE"""),"")</f>
        <v/>
      </c>
    </row>
    <row r="16246" spans="2:4" ht="13">
      <c r="B16246" s="12" t="str">
        <f ca="1">IFERROR(__xludf.DUMMYFUNCTION("""COMPUTED_VALUE"""),"")</f>
        <v/>
      </c>
      <c r="C16246" s="12" t="str">
        <f ca="1">IFERROR(__xludf.DUMMYFUNCTION("""COMPUTED_VALUE"""),"")</f>
        <v/>
      </c>
      <c r="D16246" s="12" t="str">
        <f ca="1">IFERROR(__xludf.DUMMYFUNCTION("""COMPUTED_VALUE"""),"")</f>
        <v/>
      </c>
    </row>
    <row r="16247" spans="2:4" ht="13">
      <c r="B16247" s="12" t="str">
        <f ca="1">IFERROR(__xludf.DUMMYFUNCTION("""COMPUTED_VALUE"""),"")</f>
        <v/>
      </c>
      <c r="C16247" s="12" t="str">
        <f ca="1">IFERROR(__xludf.DUMMYFUNCTION("""COMPUTED_VALUE"""),"")</f>
        <v/>
      </c>
      <c r="D16247" s="12" t="str">
        <f ca="1">IFERROR(__xludf.DUMMYFUNCTION("""COMPUTED_VALUE"""),"")</f>
        <v/>
      </c>
    </row>
    <row r="16248" spans="2:4" ht="13">
      <c r="B16248" s="12" t="str">
        <f ca="1">IFERROR(__xludf.DUMMYFUNCTION("""COMPUTED_VALUE"""),"")</f>
        <v/>
      </c>
      <c r="C16248" s="12" t="str">
        <f ca="1">IFERROR(__xludf.DUMMYFUNCTION("""COMPUTED_VALUE"""),"")</f>
        <v/>
      </c>
      <c r="D16248" s="12" t="str">
        <f ca="1">IFERROR(__xludf.DUMMYFUNCTION("""COMPUTED_VALUE"""),"")</f>
        <v/>
      </c>
    </row>
    <row r="16249" spans="2:4" ht="13">
      <c r="B16249" s="12" t="str">
        <f ca="1">IFERROR(__xludf.DUMMYFUNCTION("""COMPUTED_VALUE"""),"")</f>
        <v/>
      </c>
      <c r="C16249" s="12" t="str">
        <f ca="1">IFERROR(__xludf.DUMMYFUNCTION("""COMPUTED_VALUE"""),"")</f>
        <v/>
      </c>
      <c r="D16249" s="12" t="str">
        <f ca="1">IFERROR(__xludf.DUMMYFUNCTION("""COMPUTED_VALUE"""),"")</f>
        <v/>
      </c>
    </row>
    <row r="16250" spans="2:4" ht="13">
      <c r="B16250" s="12" t="str">
        <f ca="1">IFERROR(__xludf.DUMMYFUNCTION("""COMPUTED_VALUE"""),"")</f>
        <v/>
      </c>
      <c r="C16250" s="12" t="str">
        <f ca="1">IFERROR(__xludf.DUMMYFUNCTION("""COMPUTED_VALUE"""),"")</f>
        <v/>
      </c>
      <c r="D16250" s="12" t="str">
        <f ca="1">IFERROR(__xludf.DUMMYFUNCTION("""COMPUTED_VALUE"""),"")</f>
        <v/>
      </c>
    </row>
    <row r="16251" spans="2:4" ht="13">
      <c r="B16251" s="12" t="str">
        <f ca="1">IFERROR(__xludf.DUMMYFUNCTION("""COMPUTED_VALUE"""),"")</f>
        <v/>
      </c>
      <c r="C16251" s="12" t="str">
        <f ca="1">IFERROR(__xludf.DUMMYFUNCTION("""COMPUTED_VALUE"""),"")</f>
        <v/>
      </c>
      <c r="D16251" s="12" t="str">
        <f ca="1">IFERROR(__xludf.DUMMYFUNCTION("""COMPUTED_VALUE"""),"")</f>
        <v/>
      </c>
    </row>
    <row r="16252" spans="2:4" ht="13">
      <c r="B16252" s="12" t="str">
        <f ca="1">IFERROR(__xludf.DUMMYFUNCTION("""COMPUTED_VALUE"""),"")</f>
        <v/>
      </c>
      <c r="C16252" s="12" t="str">
        <f ca="1">IFERROR(__xludf.DUMMYFUNCTION("""COMPUTED_VALUE"""),"")</f>
        <v/>
      </c>
      <c r="D16252" s="12" t="str">
        <f ca="1">IFERROR(__xludf.DUMMYFUNCTION("""COMPUTED_VALUE"""),"")</f>
        <v/>
      </c>
    </row>
    <row r="16253" spans="2:4" ht="13">
      <c r="B16253" s="12" t="str">
        <f ca="1">IFERROR(__xludf.DUMMYFUNCTION("""COMPUTED_VALUE"""),"")</f>
        <v/>
      </c>
      <c r="C16253" s="12" t="str">
        <f ca="1">IFERROR(__xludf.DUMMYFUNCTION("""COMPUTED_VALUE"""),"")</f>
        <v/>
      </c>
      <c r="D16253" s="12" t="str">
        <f ca="1">IFERROR(__xludf.DUMMYFUNCTION("""COMPUTED_VALUE"""),"")</f>
        <v/>
      </c>
    </row>
    <row r="16254" spans="2:4" ht="13">
      <c r="B16254" s="12" t="str">
        <f ca="1">IFERROR(__xludf.DUMMYFUNCTION("""COMPUTED_VALUE"""),"")</f>
        <v/>
      </c>
      <c r="C16254" s="12" t="str">
        <f ca="1">IFERROR(__xludf.DUMMYFUNCTION("""COMPUTED_VALUE"""),"")</f>
        <v/>
      </c>
      <c r="D16254" s="12" t="str">
        <f ca="1">IFERROR(__xludf.DUMMYFUNCTION("""COMPUTED_VALUE"""),"")</f>
        <v/>
      </c>
    </row>
    <row r="16255" spans="2:4" ht="13">
      <c r="B16255" s="12" t="str">
        <f ca="1">IFERROR(__xludf.DUMMYFUNCTION("""COMPUTED_VALUE"""),"")</f>
        <v/>
      </c>
      <c r="C16255" s="12" t="str">
        <f ca="1">IFERROR(__xludf.DUMMYFUNCTION("""COMPUTED_VALUE"""),"")</f>
        <v/>
      </c>
      <c r="D16255" s="12" t="str">
        <f ca="1">IFERROR(__xludf.DUMMYFUNCTION("""COMPUTED_VALUE"""),"")</f>
        <v/>
      </c>
    </row>
    <row r="16256" spans="2:4" ht="13">
      <c r="B16256" s="12" t="str">
        <f ca="1">IFERROR(__xludf.DUMMYFUNCTION("""COMPUTED_VALUE"""),"")</f>
        <v/>
      </c>
      <c r="C16256" s="12" t="str">
        <f ca="1">IFERROR(__xludf.DUMMYFUNCTION("""COMPUTED_VALUE"""),"")</f>
        <v/>
      </c>
      <c r="D16256" s="12" t="str">
        <f ca="1">IFERROR(__xludf.DUMMYFUNCTION("""COMPUTED_VALUE"""),"")</f>
        <v/>
      </c>
    </row>
    <row r="16257" spans="2:4" ht="13">
      <c r="B16257" s="12" t="str">
        <f ca="1">IFERROR(__xludf.DUMMYFUNCTION("""COMPUTED_VALUE"""),"")</f>
        <v/>
      </c>
      <c r="C16257" s="12" t="str">
        <f ca="1">IFERROR(__xludf.DUMMYFUNCTION("""COMPUTED_VALUE"""),"")</f>
        <v/>
      </c>
      <c r="D16257" s="12" t="str">
        <f ca="1">IFERROR(__xludf.DUMMYFUNCTION("""COMPUTED_VALUE"""),"")</f>
        <v/>
      </c>
    </row>
    <row r="16258" spans="2:4" ht="13">
      <c r="B16258" s="12" t="str">
        <f ca="1">IFERROR(__xludf.DUMMYFUNCTION("""COMPUTED_VALUE"""),"")</f>
        <v/>
      </c>
      <c r="C16258" s="12" t="str">
        <f ca="1">IFERROR(__xludf.DUMMYFUNCTION("""COMPUTED_VALUE"""),"")</f>
        <v/>
      </c>
      <c r="D16258" s="12" t="str">
        <f ca="1">IFERROR(__xludf.DUMMYFUNCTION("""COMPUTED_VALUE"""),"")</f>
        <v/>
      </c>
    </row>
    <row r="16259" spans="2:4" ht="13">
      <c r="B16259" s="12" t="str">
        <f ca="1">IFERROR(__xludf.DUMMYFUNCTION("""COMPUTED_VALUE"""),"")</f>
        <v/>
      </c>
      <c r="C16259" s="12" t="str">
        <f ca="1">IFERROR(__xludf.DUMMYFUNCTION("""COMPUTED_VALUE"""),"")</f>
        <v/>
      </c>
      <c r="D16259" s="12" t="str">
        <f ca="1">IFERROR(__xludf.DUMMYFUNCTION("""COMPUTED_VALUE"""),"")</f>
        <v/>
      </c>
    </row>
    <row r="16260" spans="2:4" ht="13">
      <c r="B16260" s="12" t="str">
        <f ca="1">IFERROR(__xludf.DUMMYFUNCTION("""COMPUTED_VALUE"""),"")</f>
        <v/>
      </c>
      <c r="C16260" s="12" t="str">
        <f ca="1">IFERROR(__xludf.DUMMYFUNCTION("""COMPUTED_VALUE"""),"")</f>
        <v/>
      </c>
      <c r="D16260" s="12" t="str">
        <f ca="1">IFERROR(__xludf.DUMMYFUNCTION("""COMPUTED_VALUE"""),"")</f>
        <v/>
      </c>
    </row>
    <row r="16261" spans="2:4" ht="13">
      <c r="B16261" s="12" t="str">
        <f ca="1">IFERROR(__xludf.DUMMYFUNCTION("""COMPUTED_VALUE"""),"")</f>
        <v/>
      </c>
      <c r="C16261" s="12" t="str">
        <f ca="1">IFERROR(__xludf.DUMMYFUNCTION("""COMPUTED_VALUE"""),"")</f>
        <v/>
      </c>
      <c r="D16261" s="12" t="str">
        <f ca="1">IFERROR(__xludf.DUMMYFUNCTION("""COMPUTED_VALUE"""),"")</f>
        <v/>
      </c>
    </row>
    <row r="16262" spans="2:4" ht="13">
      <c r="B16262" s="12" t="str">
        <f ca="1">IFERROR(__xludf.DUMMYFUNCTION("""COMPUTED_VALUE"""),"")</f>
        <v/>
      </c>
      <c r="C16262" s="12" t="str">
        <f ca="1">IFERROR(__xludf.DUMMYFUNCTION("""COMPUTED_VALUE"""),"")</f>
        <v/>
      </c>
      <c r="D16262" s="12" t="str">
        <f ca="1">IFERROR(__xludf.DUMMYFUNCTION("""COMPUTED_VALUE"""),"")</f>
        <v/>
      </c>
    </row>
    <row r="16263" spans="2:4" ht="13">
      <c r="B16263" s="12" t="str">
        <f ca="1">IFERROR(__xludf.DUMMYFUNCTION("""COMPUTED_VALUE"""),"")</f>
        <v/>
      </c>
      <c r="C16263" s="12" t="str">
        <f ca="1">IFERROR(__xludf.DUMMYFUNCTION("""COMPUTED_VALUE"""),"")</f>
        <v/>
      </c>
      <c r="D16263" s="12" t="str">
        <f ca="1">IFERROR(__xludf.DUMMYFUNCTION("""COMPUTED_VALUE"""),"")</f>
        <v/>
      </c>
    </row>
    <row r="16264" spans="2:4" ht="13">
      <c r="B16264" s="12" t="str">
        <f ca="1">IFERROR(__xludf.DUMMYFUNCTION("""COMPUTED_VALUE"""),"")</f>
        <v/>
      </c>
      <c r="C16264" s="12" t="str">
        <f ca="1">IFERROR(__xludf.DUMMYFUNCTION("""COMPUTED_VALUE"""),"")</f>
        <v/>
      </c>
      <c r="D16264" s="12" t="str">
        <f ca="1">IFERROR(__xludf.DUMMYFUNCTION("""COMPUTED_VALUE"""),"")</f>
        <v/>
      </c>
    </row>
    <row r="16265" spans="2:4" ht="13">
      <c r="B16265" s="12" t="str">
        <f ca="1">IFERROR(__xludf.DUMMYFUNCTION("""COMPUTED_VALUE"""),"")</f>
        <v/>
      </c>
      <c r="C16265" s="12" t="str">
        <f ca="1">IFERROR(__xludf.DUMMYFUNCTION("""COMPUTED_VALUE"""),"")</f>
        <v/>
      </c>
      <c r="D16265" s="12" t="str">
        <f ca="1">IFERROR(__xludf.DUMMYFUNCTION("""COMPUTED_VALUE"""),"")</f>
        <v/>
      </c>
    </row>
    <row r="16266" spans="2:4" ht="13">
      <c r="B16266" s="12" t="str">
        <f ca="1">IFERROR(__xludf.DUMMYFUNCTION("""COMPUTED_VALUE"""),"")</f>
        <v/>
      </c>
      <c r="C16266" s="12" t="str">
        <f ca="1">IFERROR(__xludf.DUMMYFUNCTION("""COMPUTED_VALUE"""),"")</f>
        <v/>
      </c>
      <c r="D16266" s="12" t="str">
        <f ca="1">IFERROR(__xludf.DUMMYFUNCTION("""COMPUTED_VALUE"""),"")</f>
        <v/>
      </c>
    </row>
    <row r="16267" spans="2:4" ht="13">
      <c r="B16267" s="12" t="str">
        <f ca="1">IFERROR(__xludf.DUMMYFUNCTION("""COMPUTED_VALUE"""),"")</f>
        <v/>
      </c>
      <c r="C16267" s="12" t="str">
        <f ca="1">IFERROR(__xludf.DUMMYFUNCTION("""COMPUTED_VALUE"""),"")</f>
        <v/>
      </c>
      <c r="D16267" s="12" t="str">
        <f ca="1">IFERROR(__xludf.DUMMYFUNCTION("""COMPUTED_VALUE"""),"")</f>
        <v/>
      </c>
    </row>
    <row r="16268" spans="2:4" ht="13">
      <c r="B16268" s="12" t="str">
        <f ca="1">IFERROR(__xludf.DUMMYFUNCTION("""COMPUTED_VALUE"""),"")</f>
        <v/>
      </c>
      <c r="C16268" s="12" t="str">
        <f ca="1">IFERROR(__xludf.DUMMYFUNCTION("""COMPUTED_VALUE"""),"")</f>
        <v/>
      </c>
      <c r="D16268" s="12" t="str">
        <f ca="1">IFERROR(__xludf.DUMMYFUNCTION("""COMPUTED_VALUE"""),"")</f>
        <v/>
      </c>
    </row>
    <row r="16269" spans="2:4" ht="13">
      <c r="B16269" s="12" t="str">
        <f ca="1">IFERROR(__xludf.DUMMYFUNCTION("""COMPUTED_VALUE"""),"")</f>
        <v/>
      </c>
      <c r="C16269" s="12" t="str">
        <f ca="1">IFERROR(__xludf.DUMMYFUNCTION("""COMPUTED_VALUE"""),"")</f>
        <v/>
      </c>
      <c r="D16269" s="12" t="str">
        <f ca="1">IFERROR(__xludf.DUMMYFUNCTION("""COMPUTED_VALUE"""),"")</f>
        <v/>
      </c>
    </row>
    <row r="16270" spans="2:4" ht="13">
      <c r="B16270" s="12" t="str">
        <f ca="1">IFERROR(__xludf.DUMMYFUNCTION("""COMPUTED_VALUE"""),"")</f>
        <v/>
      </c>
      <c r="C16270" s="12" t="str">
        <f ca="1">IFERROR(__xludf.DUMMYFUNCTION("""COMPUTED_VALUE"""),"")</f>
        <v/>
      </c>
      <c r="D16270" s="12" t="str">
        <f ca="1">IFERROR(__xludf.DUMMYFUNCTION("""COMPUTED_VALUE"""),"")</f>
        <v/>
      </c>
    </row>
    <row r="16271" spans="2:4" ht="13">
      <c r="B16271" s="12" t="str">
        <f ca="1">IFERROR(__xludf.DUMMYFUNCTION("""COMPUTED_VALUE"""),"")</f>
        <v/>
      </c>
      <c r="C16271" s="12" t="str">
        <f ca="1">IFERROR(__xludf.DUMMYFUNCTION("""COMPUTED_VALUE"""),"")</f>
        <v/>
      </c>
      <c r="D16271" s="12" t="str">
        <f ca="1">IFERROR(__xludf.DUMMYFUNCTION("""COMPUTED_VALUE"""),"")</f>
        <v/>
      </c>
    </row>
    <row r="16272" spans="2:4" ht="13">
      <c r="B16272" s="12" t="str">
        <f ca="1">IFERROR(__xludf.DUMMYFUNCTION("""COMPUTED_VALUE"""),"")</f>
        <v/>
      </c>
      <c r="C16272" s="12" t="str">
        <f ca="1">IFERROR(__xludf.DUMMYFUNCTION("""COMPUTED_VALUE"""),"")</f>
        <v/>
      </c>
      <c r="D16272" s="12" t="str">
        <f ca="1">IFERROR(__xludf.DUMMYFUNCTION("""COMPUTED_VALUE"""),"")</f>
        <v/>
      </c>
    </row>
    <row r="16273" spans="2:4" ht="13">
      <c r="B16273" s="12" t="str">
        <f ca="1">IFERROR(__xludf.DUMMYFUNCTION("""COMPUTED_VALUE"""),"")</f>
        <v/>
      </c>
      <c r="C16273" s="12" t="str">
        <f ca="1">IFERROR(__xludf.DUMMYFUNCTION("""COMPUTED_VALUE"""),"")</f>
        <v/>
      </c>
      <c r="D16273" s="12" t="str">
        <f ca="1">IFERROR(__xludf.DUMMYFUNCTION("""COMPUTED_VALUE"""),"")</f>
        <v/>
      </c>
    </row>
    <row r="16274" spans="2:4" ht="13">
      <c r="B16274" s="12" t="str">
        <f ca="1">IFERROR(__xludf.DUMMYFUNCTION("""COMPUTED_VALUE"""),"")</f>
        <v/>
      </c>
      <c r="C16274" s="12" t="str">
        <f ca="1">IFERROR(__xludf.DUMMYFUNCTION("""COMPUTED_VALUE"""),"")</f>
        <v/>
      </c>
      <c r="D16274" s="12" t="str">
        <f ca="1">IFERROR(__xludf.DUMMYFUNCTION("""COMPUTED_VALUE"""),"")</f>
        <v/>
      </c>
    </row>
    <row r="16275" spans="2:4" ht="13">
      <c r="B16275" s="12" t="str">
        <f ca="1">IFERROR(__xludf.DUMMYFUNCTION("""COMPUTED_VALUE"""),"")</f>
        <v/>
      </c>
      <c r="C16275" s="12" t="str">
        <f ca="1">IFERROR(__xludf.DUMMYFUNCTION("""COMPUTED_VALUE"""),"")</f>
        <v/>
      </c>
      <c r="D16275" s="12" t="str">
        <f ca="1">IFERROR(__xludf.DUMMYFUNCTION("""COMPUTED_VALUE"""),"")</f>
        <v/>
      </c>
    </row>
    <row r="16276" spans="2:4" ht="13">
      <c r="B16276" s="12" t="str">
        <f ca="1">IFERROR(__xludf.DUMMYFUNCTION("""COMPUTED_VALUE"""),"")</f>
        <v/>
      </c>
      <c r="C16276" s="12" t="str">
        <f ca="1">IFERROR(__xludf.DUMMYFUNCTION("""COMPUTED_VALUE"""),"")</f>
        <v/>
      </c>
      <c r="D16276" s="12" t="str">
        <f ca="1">IFERROR(__xludf.DUMMYFUNCTION("""COMPUTED_VALUE"""),"")</f>
        <v/>
      </c>
    </row>
    <row r="16277" spans="2:4" ht="13">
      <c r="B16277" s="12" t="str">
        <f ca="1">IFERROR(__xludf.DUMMYFUNCTION("""COMPUTED_VALUE"""),"")</f>
        <v/>
      </c>
      <c r="C16277" s="12" t="str">
        <f ca="1">IFERROR(__xludf.DUMMYFUNCTION("""COMPUTED_VALUE"""),"")</f>
        <v/>
      </c>
      <c r="D16277" s="12" t="str">
        <f ca="1">IFERROR(__xludf.DUMMYFUNCTION("""COMPUTED_VALUE"""),"")</f>
        <v/>
      </c>
    </row>
    <row r="16278" spans="2:4" ht="13">
      <c r="B16278" s="12" t="str">
        <f ca="1">IFERROR(__xludf.DUMMYFUNCTION("""COMPUTED_VALUE"""),"")</f>
        <v/>
      </c>
      <c r="C16278" s="12" t="str">
        <f ca="1">IFERROR(__xludf.DUMMYFUNCTION("""COMPUTED_VALUE"""),"")</f>
        <v/>
      </c>
      <c r="D16278" s="12" t="str">
        <f ca="1">IFERROR(__xludf.DUMMYFUNCTION("""COMPUTED_VALUE"""),"")</f>
        <v/>
      </c>
    </row>
    <row r="16279" spans="2:4" ht="13">
      <c r="B16279" s="12" t="str">
        <f ca="1">IFERROR(__xludf.DUMMYFUNCTION("""COMPUTED_VALUE"""),"")</f>
        <v/>
      </c>
      <c r="C16279" s="12" t="str">
        <f ca="1">IFERROR(__xludf.DUMMYFUNCTION("""COMPUTED_VALUE"""),"")</f>
        <v/>
      </c>
      <c r="D16279" s="12" t="str">
        <f ca="1">IFERROR(__xludf.DUMMYFUNCTION("""COMPUTED_VALUE"""),"")</f>
        <v/>
      </c>
    </row>
    <row r="16280" spans="2:4" ht="13">
      <c r="B16280" s="12" t="str">
        <f ca="1">IFERROR(__xludf.DUMMYFUNCTION("""COMPUTED_VALUE"""),"")</f>
        <v/>
      </c>
      <c r="C16280" s="12" t="str">
        <f ca="1">IFERROR(__xludf.DUMMYFUNCTION("""COMPUTED_VALUE"""),"")</f>
        <v/>
      </c>
      <c r="D16280" s="12" t="str">
        <f ca="1">IFERROR(__xludf.DUMMYFUNCTION("""COMPUTED_VALUE"""),"")</f>
        <v/>
      </c>
    </row>
    <row r="16281" spans="2:4" ht="13">
      <c r="B16281" s="12" t="str">
        <f ca="1">IFERROR(__xludf.DUMMYFUNCTION("""COMPUTED_VALUE"""),"")</f>
        <v/>
      </c>
      <c r="C16281" s="12" t="str">
        <f ca="1">IFERROR(__xludf.DUMMYFUNCTION("""COMPUTED_VALUE"""),"")</f>
        <v/>
      </c>
      <c r="D16281" s="12" t="str">
        <f ca="1">IFERROR(__xludf.DUMMYFUNCTION("""COMPUTED_VALUE"""),"")</f>
        <v/>
      </c>
    </row>
    <row r="16282" spans="2:4" ht="13">
      <c r="B16282" s="12" t="str">
        <f ca="1">IFERROR(__xludf.DUMMYFUNCTION("""COMPUTED_VALUE"""),"")</f>
        <v/>
      </c>
      <c r="C16282" s="12" t="str">
        <f ca="1">IFERROR(__xludf.DUMMYFUNCTION("""COMPUTED_VALUE"""),"")</f>
        <v/>
      </c>
      <c r="D16282" s="12" t="str">
        <f ca="1">IFERROR(__xludf.DUMMYFUNCTION("""COMPUTED_VALUE"""),"")</f>
        <v/>
      </c>
    </row>
    <row r="16283" spans="2:4" ht="13">
      <c r="B16283" s="12" t="str">
        <f ca="1">IFERROR(__xludf.DUMMYFUNCTION("""COMPUTED_VALUE"""),"")</f>
        <v/>
      </c>
      <c r="C16283" s="12" t="str">
        <f ca="1">IFERROR(__xludf.DUMMYFUNCTION("""COMPUTED_VALUE"""),"")</f>
        <v/>
      </c>
      <c r="D16283" s="12" t="str">
        <f ca="1">IFERROR(__xludf.DUMMYFUNCTION("""COMPUTED_VALUE"""),"")</f>
        <v/>
      </c>
    </row>
    <row r="16284" spans="2:4" ht="13">
      <c r="B16284" s="12" t="str">
        <f ca="1">IFERROR(__xludf.DUMMYFUNCTION("""COMPUTED_VALUE"""),"")</f>
        <v/>
      </c>
      <c r="C16284" s="12" t="str">
        <f ca="1">IFERROR(__xludf.DUMMYFUNCTION("""COMPUTED_VALUE"""),"")</f>
        <v/>
      </c>
      <c r="D16284" s="12" t="str">
        <f ca="1">IFERROR(__xludf.DUMMYFUNCTION("""COMPUTED_VALUE"""),"")</f>
        <v/>
      </c>
    </row>
    <row r="16285" spans="2:4" ht="13">
      <c r="B16285" s="12" t="str">
        <f ca="1">IFERROR(__xludf.DUMMYFUNCTION("""COMPUTED_VALUE"""),"")</f>
        <v/>
      </c>
      <c r="C16285" s="12" t="str">
        <f ca="1">IFERROR(__xludf.DUMMYFUNCTION("""COMPUTED_VALUE"""),"")</f>
        <v/>
      </c>
      <c r="D16285" s="12" t="str">
        <f ca="1">IFERROR(__xludf.DUMMYFUNCTION("""COMPUTED_VALUE"""),"")</f>
        <v/>
      </c>
    </row>
    <row r="16286" spans="2:4" ht="13">
      <c r="B16286" s="12" t="str">
        <f ca="1">IFERROR(__xludf.DUMMYFUNCTION("""COMPUTED_VALUE"""),"")</f>
        <v/>
      </c>
      <c r="C16286" s="12" t="str">
        <f ca="1">IFERROR(__xludf.DUMMYFUNCTION("""COMPUTED_VALUE"""),"")</f>
        <v/>
      </c>
      <c r="D16286" s="12" t="str">
        <f ca="1">IFERROR(__xludf.DUMMYFUNCTION("""COMPUTED_VALUE"""),"")</f>
        <v/>
      </c>
    </row>
    <row r="16287" spans="2:4" ht="13">
      <c r="B16287" s="12" t="str">
        <f ca="1">IFERROR(__xludf.DUMMYFUNCTION("""COMPUTED_VALUE"""),"")</f>
        <v/>
      </c>
      <c r="C16287" s="12" t="str">
        <f ca="1">IFERROR(__xludf.DUMMYFUNCTION("""COMPUTED_VALUE"""),"")</f>
        <v/>
      </c>
      <c r="D16287" s="12" t="str">
        <f ca="1">IFERROR(__xludf.DUMMYFUNCTION("""COMPUTED_VALUE"""),"")</f>
        <v/>
      </c>
    </row>
    <row r="16288" spans="2:4" ht="13">
      <c r="B16288" s="12" t="str">
        <f ca="1">IFERROR(__xludf.DUMMYFUNCTION("""COMPUTED_VALUE"""),"")</f>
        <v/>
      </c>
      <c r="C16288" s="12" t="str">
        <f ca="1">IFERROR(__xludf.DUMMYFUNCTION("""COMPUTED_VALUE"""),"")</f>
        <v/>
      </c>
      <c r="D16288" s="12" t="str">
        <f ca="1">IFERROR(__xludf.DUMMYFUNCTION("""COMPUTED_VALUE"""),"")</f>
        <v/>
      </c>
    </row>
    <row r="16289" spans="2:4" ht="13">
      <c r="B16289" s="12" t="str">
        <f ca="1">IFERROR(__xludf.DUMMYFUNCTION("""COMPUTED_VALUE"""),"")</f>
        <v/>
      </c>
      <c r="C16289" s="12" t="str">
        <f ca="1">IFERROR(__xludf.DUMMYFUNCTION("""COMPUTED_VALUE"""),"")</f>
        <v/>
      </c>
      <c r="D16289" s="12" t="str">
        <f ca="1">IFERROR(__xludf.DUMMYFUNCTION("""COMPUTED_VALUE"""),"")</f>
        <v/>
      </c>
    </row>
    <row r="16290" spans="2:4" ht="13">
      <c r="B16290" s="12" t="str">
        <f ca="1">IFERROR(__xludf.DUMMYFUNCTION("""COMPUTED_VALUE"""),"")</f>
        <v/>
      </c>
      <c r="C16290" s="12" t="str">
        <f ca="1">IFERROR(__xludf.DUMMYFUNCTION("""COMPUTED_VALUE"""),"")</f>
        <v/>
      </c>
      <c r="D16290" s="12" t="str">
        <f ca="1">IFERROR(__xludf.DUMMYFUNCTION("""COMPUTED_VALUE"""),"")</f>
        <v/>
      </c>
    </row>
    <row r="16291" spans="2:4" ht="13">
      <c r="B16291" s="12" t="str">
        <f ca="1">IFERROR(__xludf.DUMMYFUNCTION("""COMPUTED_VALUE"""),"")</f>
        <v/>
      </c>
      <c r="C16291" s="12" t="str">
        <f ca="1">IFERROR(__xludf.DUMMYFUNCTION("""COMPUTED_VALUE"""),"")</f>
        <v/>
      </c>
      <c r="D16291" s="12" t="str">
        <f ca="1">IFERROR(__xludf.DUMMYFUNCTION("""COMPUTED_VALUE"""),"")</f>
        <v/>
      </c>
    </row>
    <row r="16292" spans="2:4" ht="13">
      <c r="B16292" s="12" t="str">
        <f ca="1">IFERROR(__xludf.DUMMYFUNCTION("""COMPUTED_VALUE"""),"")</f>
        <v/>
      </c>
      <c r="C16292" s="12" t="str">
        <f ca="1">IFERROR(__xludf.DUMMYFUNCTION("""COMPUTED_VALUE"""),"")</f>
        <v/>
      </c>
      <c r="D16292" s="12" t="str">
        <f ca="1">IFERROR(__xludf.DUMMYFUNCTION("""COMPUTED_VALUE"""),"")</f>
        <v/>
      </c>
    </row>
    <row r="16293" spans="2:4" ht="13">
      <c r="B16293" s="12" t="str">
        <f ca="1">IFERROR(__xludf.DUMMYFUNCTION("""COMPUTED_VALUE"""),"")</f>
        <v/>
      </c>
      <c r="C16293" s="12" t="str">
        <f ca="1">IFERROR(__xludf.DUMMYFUNCTION("""COMPUTED_VALUE"""),"")</f>
        <v/>
      </c>
      <c r="D16293" s="12" t="str">
        <f ca="1">IFERROR(__xludf.DUMMYFUNCTION("""COMPUTED_VALUE"""),"")</f>
        <v/>
      </c>
    </row>
    <row r="16294" spans="2:4" ht="13">
      <c r="B16294" s="12" t="str">
        <f ca="1">IFERROR(__xludf.DUMMYFUNCTION("""COMPUTED_VALUE"""),"")</f>
        <v/>
      </c>
      <c r="C16294" s="12" t="str">
        <f ca="1">IFERROR(__xludf.DUMMYFUNCTION("""COMPUTED_VALUE"""),"")</f>
        <v/>
      </c>
      <c r="D16294" s="12" t="str">
        <f ca="1">IFERROR(__xludf.DUMMYFUNCTION("""COMPUTED_VALUE"""),"")</f>
        <v/>
      </c>
    </row>
    <row r="16295" spans="2:4" ht="13">
      <c r="B16295" s="12" t="str">
        <f ca="1">IFERROR(__xludf.DUMMYFUNCTION("""COMPUTED_VALUE"""),"")</f>
        <v/>
      </c>
      <c r="C16295" s="12" t="str">
        <f ca="1">IFERROR(__xludf.DUMMYFUNCTION("""COMPUTED_VALUE"""),"")</f>
        <v/>
      </c>
      <c r="D16295" s="12" t="str">
        <f ca="1">IFERROR(__xludf.DUMMYFUNCTION("""COMPUTED_VALUE"""),"")</f>
        <v/>
      </c>
    </row>
    <row r="16296" spans="2:4" ht="13">
      <c r="B16296" s="12" t="str">
        <f ca="1">IFERROR(__xludf.DUMMYFUNCTION("""COMPUTED_VALUE"""),"")</f>
        <v/>
      </c>
      <c r="C16296" s="12" t="str">
        <f ca="1">IFERROR(__xludf.DUMMYFUNCTION("""COMPUTED_VALUE"""),"")</f>
        <v/>
      </c>
      <c r="D16296" s="12" t="str">
        <f ca="1">IFERROR(__xludf.DUMMYFUNCTION("""COMPUTED_VALUE"""),"")</f>
        <v/>
      </c>
    </row>
    <row r="16297" spans="2:4" ht="13">
      <c r="B16297" s="12" t="str">
        <f ca="1">IFERROR(__xludf.DUMMYFUNCTION("""COMPUTED_VALUE"""),"")</f>
        <v/>
      </c>
      <c r="C16297" s="12" t="str">
        <f ca="1">IFERROR(__xludf.DUMMYFUNCTION("""COMPUTED_VALUE"""),"")</f>
        <v/>
      </c>
      <c r="D16297" s="12" t="str">
        <f ca="1">IFERROR(__xludf.DUMMYFUNCTION("""COMPUTED_VALUE"""),"")</f>
        <v/>
      </c>
    </row>
    <row r="16298" spans="2:4" ht="13">
      <c r="B16298" s="12" t="str">
        <f ca="1">IFERROR(__xludf.DUMMYFUNCTION("""COMPUTED_VALUE"""),"")</f>
        <v/>
      </c>
      <c r="C16298" s="12" t="str">
        <f ca="1">IFERROR(__xludf.DUMMYFUNCTION("""COMPUTED_VALUE"""),"")</f>
        <v/>
      </c>
      <c r="D16298" s="12" t="str">
        <f ca="1">IFERROR(__xludf.DUMMYFUNCTION("""COMPUTED_VALUE"""),"")</f>
        <v/>
      </c>
    </row>
    <row r="16299" spans="2:4" ht="13">
      <c r="B16299" s="12" t="str">
        <f ca="1">IFERROR(__xludf.DUMMYFUNCTION("""COMPUTED_VALUE"""),"")</f>
        <v/>
      </c>
      <c r="C16299" s="12" t="str">
        <f ca="1">IFERROR(__xludf.DUMMYFUNCTION("""COMPUTED_VALUE"""),"")</f>
        <v/>
      </c>
      <c r="D16299" s="12" t="str">
        <f ca="1">IFERROR(__xludf.DUMMYFUNCTION("""COMPUTED_VALUE"""),"")</f>
        <v/>
      </c>
    </row>
    <row r="16300" spans="2:4" ht="13">
      <c r="B16300" s="12" t="str">
        <f ca="1">IFERROR(__xludf.DUMMYFUNCTION("""COMPUTED_VALUE"""),"")</f>
        <v/>
      </c>
      <c r="C16300" s="12" t="str">
        <f ca="1">IFERROR(__xludf.DUMMYFUNCTION("""COMPUTED_VALUE"""),"")</f>
        <v/>
      </c>
      <c r="D16300" s="12" t="str">
        <f ca="1">IFERROR(__xludf.DUMMYFUNCTION("""COMPUTED_VALUE"""),"")</f>
        <v/>
      </c>
    </row>
    <row r="16301" spans="2:4" ht="13">
      <c r="B16301" s="12" t="str">
        <f ca="1">IFERROR(__xludf.DUMMYFUNCTION("""COMPUTED_VALUE"""),"")</f>
        <v/>
      </c>
      <c r="C16301" s="12" t="str">
        <f ca="1">IFERROR(__xludf.DUMMYFUNCTION("""COMPUTED_VALUE"""),"")</f>
        <v/>
      </c>
      <c r="D16301" s="12" t="str">
        <f ca="1">IFERROR(__xludf.DUMMYFUNCTION("""COMPUTED_VALUE"""),"")</f>
        <v/>
      </c>
    </row>
    <row r="16302" spans="2:4" ht="13">
      <c r="B16302" s="12" t="str">
        <f ca="1">IFERROR(__xludf.DUMMYFUNCTION("""COMPUTED_VALUE"""),"")</f>
        <v/>
      </c>
      <c r="C16302" s="12" t="str">
        <f ca="1">IFERROR(__xludf.DUMMYFUNCTION("""COMPUTED_VALUE"""),"")</f>
        <v/>
      </c>
      <c r="D16302" s="12" t="str">
        <f ca="1">IFERROR(__xludf.DUMMYFUNCTION("""COMPUTED_VALUE"""),"")</f>
        <v/>
      </c>
    </row>
    <row r="16303" spans="2:4" ht="13">
      <c r="B16303" s="12" t="str">
        <f ca="1">IFERROR(__xludf.DUMMYFUNCTION("""COMPUTED_VALUE"""),"")</f>
        <v/>
      </c>
      <c r="C16303" s="12" t="str">
        <f ca="1">IFERROR(__xludf.DUMMYFUNCTION("""COMPUTED_VALUE"""),"")</f>
        <v/>
      </c>
      <c r="D16303" s="12" t="str">
        <f ca="1">IFERROR(__xludf.DUMMYFUNCTION("""COMPUTED_VALUE"""),"")</f>
        <v/>
      </c>
    </row>
    <row r="16304" spans="2:4" ht="13">
      <c r="B16304" s="12" t="str">
        <f ca="1">IFERROR(__xludf.DUMMYFUNCTION("""COMPUTED_VALUE"""),"")</f>
        <v/>
      </c>
      <c r="C16304" s="12" t="str">
        <f ca="1">IFERROR(__xludf.DUMMYFUNCTION("""COMPUTED_VALUE"""),"")</f>
        <v/>
      </c>
      <c r="D16304" s="12" t="str">
        <f ca="1">IFERROR(__xludf.DUMMYFUNCTION("""COMPUTED_VALUE"""),"")</f>
        <v/>
      </c>
    </row>
    <row r="16305" spans="2:4" ht="13">
      <c r="B16305" s="12" t="str">
        <f ca="1">IFERROR(__xludf.DUMMYFUNCTION("""COMPUTED_VALUE"""),"")</f>
        <v/>
      </c>
      <c r="C16305" s="12" t="str">
        <f ca="1">IFERROR(__xludf.DUMMYFUNCTION("""COMPUTED_VALUE"""),"")</f>
        <v/>
      </c>
      <c r="D16305" s="12" t="str">
        <f ca="1">IFERROR(__xludf.DUMMYFUNCTION("""COMPUTED_VALUE"""),"")</f>
        <v/>
      </c>
    </row>
    <row r="16306" spans="2:4" ht="13">
      <c r="B16306" s="12" t="str">
        <f ca="1">IFERROR(__xludf.DUMMYFUNCTION("""COMPUTED_VALUE"""),"")</f>
        <v/>
      </c>
      <c r="C16306" s="12" t="str">
        <f ca="1">IFERROR(__xludf.DUMMYFUNCTION("""COMPUTED_VALUE"""),"")</f>
        <v/>
      </c>
      <c r="D16306" s="12" t="str">
        <f ca="1">IFERROR(__xludf.DUMMYFUNCTION("""COMPUTED_VALUE"""),"")</f>
        <v/>
      </c>
    </row>
    <row r="16307" spans="2:4" ht="13">
      <c r="B16307" s="12" t="str">
        <f ca="1">IFERROR(__xludf.DUMMYFUNCTION("""COMPUTED_VALUE"""),"")</f>
        <v/>
      </c>
      <c r="C16307" s="12" t="str">
        <f ca="1">IFERROR(__xludf.DUMMYFUNCTION("""COMPUTED_VALUE"""),"")</f>
        <v/>
      </c>
      <c r="D16307" s="12" t="str">
        <f ca="1">IFERROR(__xludf.DUMMYFUNCTION("""COMPUTED_VALUE"""),"")</f>
        <v/>
      </c>
    </row>
    <row r="16308" spans="2:4" ht="13">
      <c r="B16308" s="12" t="str">
        <f ca="1">IFERROR(__xludf.DUMMYFUNCTION("""COMPUTED_VALUE"""),"")</f>
        <v/>
      </c>
      <c r="C16308" s="12" t="str">
        <f ca="1">IFERROR(__xludf.DUMMYFUNCTION("""COMPUTED_VALUE"""),"")</f>
        <v/>
      </c>
      <c r="D16308" s="12" t="str">
        <f ca="1">IFERROR(__xludf.DUMMYFUNCTION("""COMPUTED_VALUE"""),"")</f>
        <v/>
      </c>
    </row>
    <row r="16309" spans="2:4" ht="13">
      <c r="B16309" s="12" t="str">
        <f ca="1">IFERROR(__xludf.DUMMYFUNCTION("""COMPUTED_VALUE"""),"")</f>
        <v/>
      </c>
      <c r="C16309" s="12" t="str">
        <f ca="1">IFERROR(__xludf.DUMMYFUNCTION("""COMPUTED_VALUE"""),"")</f>
        <v/>
      </c>
      <c r="D16309" s="12" t="str">
        <f ca="1">IFERROR(__xludf.DUMMYFUNCTION("""COMPUTED_VALUE"""),"")</f>
        <v/>
      </c>
    </row>
    <row r="16310" spans="2:4" ht="13">
      <c r="B16310" s="12" t="str">
        <f ca="1">IFERROR(__xludf.DUMMYFUNCTION("""COMPUTED_VALUE"""),"")</f>
        <v/>
      </c>
      <c r="C16310" s="12" t="str">
        <f ca="1">IFERROR(__xludf.DUMMYFUNCTION("""COMPUTED_VALUE"""),"")</f>
        <v/>
      </c>
      <c r="D16310" s="12" t="str">
        <f ca="1">IFERROR(__xludf.DUMMYFUNCTION("""COMPUTED_VALUE"""),"")</f>
        <v/>
      </c>
    </row>
    <row r="16311" spans="2:4" ht="13">
      <c r="B16311" s="12" t="str">
        <f ca="1">IFERROR(__xludf.DUMMYFUNCTION("""COMPUTED_VALUE"""),"")</f>
        <v/>
      </c>
      <c r="C16311" s="12" t="str">
        <f ca="1">IFERROR(__xludf.DUMMYFUNCTION("""COMPUTED_VALUE"""),"")</f>
        <v/>
      </c>
      <c r="D16311" s="12" t="str">
        <f ca="1">IFERROR(__xludf.DUMMYFUNCTION("""COMPUTED_VALUE"""),"")</f>
        <v/>
      </c>
    </row>
    <row r="16312" spans="2:4" ht="13">
      <c r="B16312" s="12" t="str">
        <f ca="1">IFERROR(__xludf.DUMMYFUNCTION("""COMPUTED_VALUE"""),"")</f>
        <v/>
      </c>
      <c r="C16312" s="12" t="str">
        <f ca="1">IFERROR(__xludf.DUMMYFUNCTION("""COMPUTED_VALUE"""),"")</f>
        <v/>
      </c>
      <c r="D16312" s="12" t="str">
        <f ca="1">IFERROR(__xludf.DUMMYFUNCTION("""COMPUTED_VALUE"""),"")</f>
        <v/>
      </c>
    </row>
    <row r="16313" spans="2:4" ht="13">
      <c r="B16313" s="12" t="str">
        <f ca="1">IFERROR(__xludf.DUMMYFUNCTION("""COMPUTED_VALUE"""),"")</f>
        <v/>
      </c>
      <c r="C16313" s="12" t="str">
        <f ca="1">IFERROR(__xludf.DUMMYFUNCTION("""COMPUTED_VALUE"""),"")</f>
        <v/>
      </c>
      <c r="D16313" s="12" t="str">
        <f ca="1">IFERROR(__xludf.DUMMYFUNCTION("""COMPUTED_VALUE"""),"")</f>
        <v/>
      </c>
    </row>
    <row r="16314" spans="2:4" ht="13">
      <c r="B16314" s="12" t="str">
        <f ca="1">IFERROR(__xludf.DUMMYFUNCTION("""COMPUTED_VALUE"""),"")</f>
        <v/>
      </c>
      <c r="C16314" s="12" t="str">
        <f ca="1">IFERROR(__xludf.DUMMYFUNCTION("""COMPUTED_VALUE"""),"")</f>
        <v/>
      </c>
      <c r="D16314" s="12" t="str">
        <f ca="1">IFERROR(__xludf.DUMMYFUNCTION("""COMPUTED_VALUE"""),"")</f>
        <v/>
      </c>
    </row>
    <row r="16315" spans="2:4" ht="13">
      <c r="B16315" s="12" t="str">
        <f ca="1">IFERROR(__xludf.DUMMYFUNCTION("""COMPUTED_VALUE"""),"")</f>
        <v/>
      </c>
      <c r="C16315" s="12" t="str">
        <f ca="1">IFERROR(__xludf.DUMMYFUNCTION("""COMPUTED_VALUE"""),"")</f>
        <v/>
      </c>
      <c r="D16315" s="12" t="str">
        <f ca="1">IFERROR(__xludf.DUMMYFUNCTION("""COMPUTED_VALUE"""),"")</f>
        <v/>
      </c>
    </row>
    <row r="16316" spans="2:4" ht="13">
      <c r="B16316" s="12" t="str">
        <f ca="1">IFERROR(__xludf.DUMMYFUNCTION("""COMPUTED_VALUE"""),"")</f>
        <v/>
      </c>
      <c r="C16316" s="12" t="str">
        <f ca="1">IFERROR(__xludf.DUMMYFUNCTION("""COMPUTED_VALUE"""),"")</f>
        <v/>
      </c>
      <c r="D16316" s="12" t="str">
        <f ca="1">IFERROR(__xludf.DUMMYFUNCTION("""COMPUTED_VALUE"""),"")</f>
        <v/>
      </c>
    </row>
    <row r="16317" spans="2:4" ht="13">
      <c r="B16317" s="12" t="str">
        <f ca="1">IFERROR(__xludf.DUMMYFUNCTION("""COMPUTED_VALUE"""),"")</f>
        <v/>
      </c>
      <c r="C16317" s="12" t="str">
        <f ca="1">IFERROR(__xludf.DUMMYFUNCTION("""COMPUTED_VALUE"""),"")</f>
        <v/>
      </c>
      <c r="D16317" s="12" t="str">
        <f ca="1">IFERROR(__xludf.DUMMYFUNCTION("""COMPUTED_VALUE"""),"")</f>
        <v/>
      </c>
    </row>
    <row r="16318" spans="2:4" ht="13">
      <c r="B16318" s="12" t="str">
        <f ca="1">IFERROR(__xludf.DUMMYFUNCTION("""COMPUTED_VALUE"""),"")</f>
        <v/>
      </c>
      <c r="C16318" s="12" t="str">
        <f ca="1">IFERROR(__xludf.DUMMYFUNCTION("""COMPUTED_VALUE"""),"")</f>
        <v/>
      </c>
      <c r="D16318" s="12" t="str">
        <f ca="1">IFERROR(__xludf.DUMMYFUNCTION("""COMPUTED_VALUE"""),"")</f>
        <v/>
      </c>
    </row>
    <row r="16319" spans="2:4" ht="13">
      <c r="B16319" s="12" t="str">
        <f ca="1">IFERROR(__xludf.DUMMYFUNCTION("""COMPUTED_VALUE"""),"")</f>
        <v/>
      </c>
      <c r="C16319" s="12" t="str">
        <f ca="1">IFERROR(__xludf.DUMMYFUNCTION("""COMPUTED_VALUE"""),"")</f>
        <v/>
      </c>
      <c r="D16319" s="12" t="str">
        <f ca="1">IFERROR(__xludf.DUMMYFUNCTION("""COMPUTED_VALUE"""),"")</f>
        <v/>
      </c>
    </row>
    <row r="16320" spans="2:4" ht="13">
      <c r="B16320" s="12" t="str">
        <f ca="1">IFERROR(__xludf.DUMMYFUNCTION("""COMPUTED_VALUE"""),"")</f>
        <v/>
      </c>
      <c r="C16320" s="12" t="str">
        <f ca="1">IFERROR(__xludf.DUMMYFUNCTION("""COMPUTED_VALUE"""),"")</f>
        <v/>
      </c>
      <c r="D16320" s="12" t="str">
        <f ca="1">IFERROR(__xludf.DUMMYFUNCTION("""COMPUTED_VALUE"""),"")</f>
        <v/>
      </c>
    </row>
    <row r="16321" spans="2:4" ht="13">
      <c r="B16321" s="12" t="str">
        <f ca="1">IFERROR(__xludf.DUMMYFUNCTION("""COMPUTED_VALUE"""),"")</f>
        <v/>
      </c>
      <c r="C16321" s="12" t="str">
        <f ca="1">IFERROR(__xludf.DUMMYFUNCTION("""COMPUTED_VALUE"""),"")</f>
        <v/>
      </c>
      <c r="D16321" s="12" t="str">
        <f ca="1">IFERROR(__xludf.DUMMYFUNCTION("""COMPUTED_VALUE"""),"")</f>
        <v/>
      </c>
    </row>
    <row r="16322" spans="2:4" ht="13">
      <c r="B16322" s="12" t="str">
        <f ca="1">IFERROR(__xludf.DUMMYFUNCTION("""COMPUTED_VALUE"""),"")</f>
        <v/>
      </c>
      <c r="C16322" s="12" t="str">
        <f ca="1">IFERROR(__xludf.DUMMYFUNCTION("""COMPUTED_VALUE"""),"")</f>
        <v/>
      </c>
      <c r="D16322" s="12" t="str">
        <f ca="1">IFERROR(__xludf.DUMMYFUNCTION("""COMPUTED_VALUE"""),"")</f>
        <v/>
      </c>
    </row>
    <row r="16323" spans="2:4" ht="13">
      <c r="B16323" s="12" t="str">
        <f ca="1">IFERROR(__xludf.DUMMYFUNCTION("""COMPUTED_VALUE"""),"")</f>
        <v/>
      </c>
      <c r="C16323" s="12" t="str">
        <f ca="1">IFERROR(__xludf.DUMMYFUNCTION("""COMPUTED_VALUE"""),"")</f>
        <v/>
      </c>
      <c r="D16323" s="12" t="str">
        <f ca="1">IFERROR(__xludf.DUMMYFUNCTION("""COMPUTED_VALUE"""),"")</f>
        <v/>
      </c>
    </row>
    <row r="16324" spans="2:4" ht="13">
      <c r="B16324" s="12" t="str">
        <f ca="1">IFERROR(__xludf.DUMMYFUNCTION("""COMPUTED_VALUE"""),"")</f>
        <v/>
      </c>
      <c r="C16324" s="12" t="str">
        <f ca="1">IFERROR(__xludf.DUMMYFUNCTION("""COMPUTED_VALUE"""),"")</f>
        <v/>
      </c>
      <c r="D16324" s="12" t="str">
        <f ca="1">IFERROR(__xludf.DUMMYFUNCTION("""COMPUTED_VALUE"""),"")</f>
        <v/>
      </c>
    </row>
    <row r="16325" spans="2:4" ht="13">
      <c r="B16325" s="12" t="str">
        <f ca="1">IFERROR(__xludf.DUMMYFUNCTION("""COMPUTED_VALUE"""),"")</f>
        <v/>
      </c>
      <c r="C16325" s="12" t="str">
        <f ca="1">IFERROR(__xludf.DUMMYFUNCTION("""COMPUTED_VALUE"""),"")</f>
        <v/>
      </c>
      <c r="D16325" s="12" t="str">
        <f ca="1">IFERROR(__xludf.DUMMYFUNCTION("""COMPUTED_VALUE"""),"")</f>
        <v/>
      </c>
    </row>
    <row r="16326" spans="2:4" ht="13">
      <c r="B16326" s="12" t="str">
        <f ca="1">IFERROR(__xludf.DUMMYFUNCTION("""COMPUTED_VALUE"""),"")</f>
        <v/>
      </c>
      <c r="C16326" s="12" t="str">
        <f ca="1">IFERROR(__xludf.DUMMYFUNCTION("""COMPUTED_VALUE"""),"")</f>
        <v/>
      </c>
      <c r="D16326" s="12" t="str">
        <f ca="1">IFERROR(__xludf.DUMMYFUNCTION("""COMPUTED_VALUE"""),"")</f>
        <v/>
      </c>
    </row>
    <row r="16327" spans="2:4" ht="13">
      <c r="B16327" s="12" t="str">
        <f ca="1">IFERROR(__xludf.DUMMYFUNCTION("""COMPUTED_VALUE"""),"")</f>
        <v/>
      </c>
      <c r="C16327" s="12" t="str">
        <f ca="1">IFERROR(__xludf.DUMMYFUNCTION("""COMPUTED_VALUE"""),"")</f>
        <v/>
      </c>
      <c r="D16327" s="12" t="str">
        <f ca="1">IFERROR(__xludf.DUMMYFUNCTION("""COMPUTED_VALUE"""),"")</f>
        <v/>
      </c>
    </row>
    <row r="16328" spans="2:4" ht="13">
      <c r="B16328" s="12" t="str">
        <f ca="1">IFERROR(__xludf.DUMMYFUNCTION("""COMPUTED_VALUE"""),"")</f>
        <v/>
      </c>
      <c r="C16328" s="12" t="str">
        <f ca="1">IFERROR(__xludf.DUMMYFUNCTION("""COMPUTED_VALUE"""),"")</f>
        <v/>
      </c>
      <c r="D16328" s="12" t="str">
        <f ca="1">IFERROR(__xludf.DUMMYFUNCTION("""COMPUTED_VALUE"""),"")</f>
        <v/>
      </c>
    </row>
    <row r="16329" spans="2:4" ht="13">
      <c r="B16329" s="12" t="str">
        <f ca="1">IFERROR(__xludf.DUMMYFUNCTION("""COMPUTED_VALUE"""),"")</f>
        <v/>
      </c>
      <c r="C16329" s="12" t="str">
        <f ca="1">IFERROR(__xludf.DUMMYFUNCTION("""COMPUTED_VALUE"""),"")</f>
        <v/>
      </c>
      <c r="D16329" s="12" t="str">
        <f ca="1">IFERROR(__xludf.DUMMYFUNCTION("""COMPUTED_VALUE"""),"")</f>
        <v/>
      </c>
    </row>
    <row r="16330" spans="2:4" ht="13">
      <c r="B16330" s="12" t="str">
        <f ca="1">IFERROR(__xludf.DUMMYFUNCTION("""COMPUTED_VALUE"""),"")</f>
        <v/>
      </c>
      <c r="C16330" s="12" t="str">
        <f ca="1">IFERROR(__xludf.DUMMYFUNCTION("""COMPUTED_VALUE"""),"")</f>
        <v/>
      </c>
      <c r="D16330" s="12" t="str">
        <f ca="1">IFERROR(__xludf.DUMMYFUNCTION("""COMPUTED_VALUE"""),"")</f>
        <v/>
      </c>
    </row>
    <row r="16331" spans="2:4" ht="13">
      <c r="B16331" s="12" t="str">
        <f ca="1">IFERROR(__xludf.DUMMYFUNCTION("""COMPUTED_VALUE"""),"")</f>
        <v/>
      </c>
      <c r="C16331" s="12" t="str">
        <f ca="1">IFERROR(__xludf.DUMMYFUNCTION("""COMPUTED_VALUE"""),"")</f>
        <v/>
      </c>
      <c r="D16331" s="12" t="str">
        <f ca="1">IFERROR(__xludf.DUMMYFUNCTION("""COMPUTED_VALUE"""),"")</f>
        <v/>
      </c>
    </row>
    <row r="16332" spans="2:4" ht="13">
      <c r="B16332" s="12" t="str">
        <f ca="1">IFERROR(__xludf.DUMMYFUNCTION("""COMPUTED_VALUE"""),"")</f>
        <v/>
      </c>
      <c r="C16332" s="12" t="str">
        <f ca="1">IFERROR(__xludf.DUMMYFUNCTION("""COMPUTED_VALUE"""),"")</f>
        <v/>
      </c>
      <c r="D16332" s="12" t="str">
        <f ca="1">IFERROR(__xludf.DUMMYFUNCTION("""COMPUTED_VALUE"""),"")</f>
        <v/>
      </c>
    </row>
    <row r="16333" spans="2:4" ht="13">
      <c r="B16333" s="12" t="str">
        <f ca="1">IFERROR(__xludf.DUMMYFUNCTION("""COMPUTED_VALUE"""),"")</f>
        <v/>
      </c>
      <c r="C16333" s="12" t="str">
        <f ca="1">IFERROR(__xludf.DUMMYFUNCTION("""COMPUTED_VALUE"""),"")</f>
        <v/>
      </c>
      <c r="D16333" s="12" t="str">
        <f ca="1">IFERROR(__xludf.DUMMYFUNCTION("""COMPUTED_VALUE"""),"")</f>
        <v/>
      </c>
    </row>
    <row r="16334" spans="2:4" ht="13">
      <c r="B16334" s="12" t="str">
        <f ca="1">IFERROR(__xludf.DUMMYFUNCTION("""COMPUTED_VALUE"""),"")</f>
        <v/>
      </c>
      <c r="C16334" s="12" t="str">
        <f ca="1">IFERROR(__xludf.DUMMYFUNCTION("""COMPUTED_VALUE"""),"")</f>
        <v/>
      </c>
      <c r="D16334" s="12" t="str">
        <f ca="1">IFERROR(__xludf.DUMMYFUNCTION("""COMPUTED_VALUE"""),"")</f>
        <v/>
      </c>
    </row>
    <row r="16335" spans="2:4" ht="13">
      <c r="B16335" s="12" t="str">
        <f ca="1">IFERROR(__xludf.DUMMYFUNCTION("""COMPUTED_VALUE"""),"")</f>
        <v/>
      </c>
      <c r="C16335" s="12" t="str">
        <f ca="1">IFERROR(__xludf.DUMMYFUNCTION("""COMPUTED_VALUE"""),"")</f>
        <v/>
      </c>
      <c r="D16335" s="12" t="str">
        <f ca="1">IFERROR(__xludf.DUMMYFUNCTION("""COMPUTED_VALUE"""),"")</f>
        <v/>
      </c>
    </row>
    <row r="16336" spans="2:4" ht="13">
      <c r="B16336" s="12" t="str">
        <f ca="1">IFERROR(__xludf.DUMMYFUNCTION("""COMPUTED_VALUE"""),"")</f>
        <v/>
      </c>
      <c r="C16336" s="12" t="str">
        <f ca="1">IFERROR(__xludf.DUMMYFUNCTION("""COMPUTED_VALUE"""),"")</f>
        <v/>
      </c>
      <c r="D16336" s="12" t="str">
        <f ca="1">IFERROR(__xludf.DUMMYFUNCTION("""COMPUTED_VALUE"""),"")</f>
        <v/>
      </c>
    </row>
    <row r="16337" spans="2:4" ht="13">
      <c r="B16337" s="12" t="str">
        <f ca="1">IFERROR(__xludf.DUMMYFUNCTION("""COMPUTED_VALUE"""),"")</f>
        <v/>
      </c>
      <c r="C16337" s="12" t="str">
        <f ca="1">IFERROR(__xludf.DUMMYFUNCTION("""COMPUTED_VALUE"""),"")</f>
        <v/>
      </c>
      <c r="D16337" s="12" t="str">
        <f ca="1">IFERROR(__xludf.DUMMYFUNCTION("""COMPUTED_VALUE"""),"")</f>
        <v/>
      </c>
    </row>
    <row r="16338" spans="2:4" ht="13">
      <c r="B16338" s="12" t="str">
        <f ca="1">IFERROR(__xludf.DUMMYFUNCTION("""COMPUTED_VALUE"""),"")</f>
        <v/>
      </c>
      <c r="C16338" s="12" t="str">
        <f ca="1">IFERROR(__xludf.DUMMYFUNCTION("""COMPUTED_VALUE"""),"")</f>
        <v/>
      </c>
      <c r="D16338" s="12" t="str">
        <f ca="1">IFERROR(__xludf.DUMMYFUNCTION("""COMPUTED_VALUE"""),"")</f>
        <v/>
      </c>
    </row>
    <row r="16339" spans="2:4" ht="13">
      <c r="B16339" s="12" t="str">
        <f ca="1">IFERROR(__xludf.DUMMYFUNCTION("""COMPUTED_VALUE"""),"")</f>
        <v/>
      </c>
      <c r="C16339" s="12" t="str">
        <f ca="1">IFERROR(__xludf.DUMMYFUNCTION("""COMPUTED_VALUE"""),"")</f>
        <v/>
      </c>
      <c r="D16339" s="12" t="str">
        <f ca="1">IFERROR(__xludf.DUMMYFUNCTION("""COMPUTED_VALUE"""),"")</f>
        <v/>
      </c>
    </row>
    <row r="16340" spans="2:4" ht="13">
      <c r="B16340" s="12" t="str">
        <f ca="1">IFERROR(__xludf.DUMMYFUNCTION("""COMPUTED_VALUE"""),"")</f>
        <v/>
      </c>
      <c r="C16340" s="12" t="str">
        <f ca="1">IFERROR(__xludf.DUMMYFUNCTION("""COMPUTED_VALUE"""),"")</f>
        <v/>
      </c>
      <c r="D16340" s="12" t="str">
        <f ca="1">IFERROR(__xludf.DUMMYFUNCTION("""COMPUTED_VALUE"""),"")</f>
        <v/>
      </c>
    </row>
    <row r="16341" spans="2:4" ht="13">
      <c r="B16341" s="12" t="str">
        <f ca="1">IFERROR(__xludf.DUMMYFUNCTION("""COMPUTED_VALUE"""),"")</f>
        <v/>
      </c>
      <c r="C16341" s="12" t="str">
        <f ca="1">IFERROR(__xludf.DUMMYFUNCTION("""COMPUTED_VALUE"""),"")</f>
        <v/>
      </c>
      <c r="D16341" s="12" t="str">
        <f ca="1">IFERROR(__xludf.DUMMYFUNCTION("""COMPUTED_VALUE"""),"")</f>
        <v/>
      </c>
    </row>
    <row r="16342" spans="2:4" ht="13">
      <c r="B16342" s="12" t="str">
        <f ca="1">IFERROR(__xludf.DUMMYFUNCTION("""COMPUTED_VALUE"""),"")</f>
        <v/>
      </c>
      <c r="C16342" s="12" t="str">
        <f ca="1">IFERROR(__xludf.DUMMYFUNCTION("""COMPUTED_VALUE"""),"")</f>
        <v/>
      </c>
      <c r="D16342" s="12" t="str">
        <f ca="1">IFERROR(__xludf.DUMMYFUNCTION("""COMPUTED_VALUE"""),"")</f>
        <v/>
      </c>
    </row>
    <row r="16343" spans="2:4" ht="13">
      <c r="B16343" s="12" t="str">
        <f ca="1">IFERROR(__xludf.DUMMYFUNCTION("""COMPUTED_VALUE"""),"")</f>
        <v/>
      </c>
      <c r="C16343" s="12" t="str">
        <f ca="1">IFERROR(__xludf.DUMMYFUNCTION("""COMPUTED_VALUE"""),"")</f>
        <v/>
      </c>
      <c r="D16343" s="12" t="str">
        <f ca="1">IFERROR(__xludf.DUMMYFUNCTION("""COMPUTED_VALUE"""),"")</f>
        <v/>
      </c>
    </row>
    <row r="16344" spans="2:4" ht="13">
      <c r="B16344" s="12" t="str">
        <f ca="1">IFERROR(__xludf.DUMMYFUNCTION("""COMPUTED_VALUE"""),"")</f>
        <v/>
      </c>
      <c r="C16344" s="12" t="str">
        <f ca="1">IFERROR(__xludf.DUMMYFUNCTION("""COMPUTED_VALUE"""),"")</f>
        <v/>
      </c>
      <c r="D16344" s="12" t="str">
        <f ca="1">IFERROR(__xludf.DUMMYFUNCTION("""COMPUTED_VALUE"""),"")</f>
        <v/>
      </c>
    </row>
    <row r="16345" spans="2:4" ht="13">
      <c r="B16345" s="12" t="str">
        <f ca="1">IFERROR(__xludf.DUMMYFUNCTION("""COMPUTED_VALUE"""),"")</f>
        <v/>
      </c>
      <c r="C16345" s="12" t="str">
        <f ca="1">IFERROR(__xludf.DUMMYFUNCTION("""COMPUTED_VALUE"""),"")</f>
        <v/>
      </c>
      <c r="D16345" s="12" t="str">
        <f ca="1">IFERROR(__xludf.DUMMYFUNCTION("""COMPUTED_VALUE"""),"")</f>
        <v/>
      </c>
    </row>
    <row r="16346" spans="2:4" ht="13">
      <c r="B16346" s="12" t="str">
        <f ca="1">IFERROR(__xludf.DUMMYFUNCTION("""COMPUTED_VALUE"""),"")</f>
        <v/>
      </c>
      <c r="C16346" s="12" t="str">
        <f ca="1">IFERROR(__xludf.DUMMYFUNCTION("""COMPUTED_VALUE"""),"")</f>
        <v/>
      </c>
      <c r="D16346" s="12" t="str">
        <f ca="1">IFERROR(__xludf.DUMMYFUNCTION("""COMPUTED_VALUE"""),"")</f>
        <v/>
      </c>
    </row>
    <row r="16347" spans="2:4" ht="13">
      <c r="B16347" s="12" t="str">
        <f ca="1">IFERROR(__xludf.DUMMYFUNCTION("""COMPUTED_VALUE"""),"")</f>
        <v/>
      </c>
      <c r="C16347" s="12" t="str">
        <f ca="1">IFERROR(__xludf.DUMMYFUNCTION("""COMPUTED_VALUE"""),"")</f>
        <v/>
      </c>
      <c r="D16347" s="12" t="str">
        <f ca="1">IFERROR(__xludf.DUMMYFUNCTION("""COMPUTED_VALUE"""),"")</f>
        <v/>
      </c>
    </row>
    <row r="16348" spans="2:4" ht="13">
      <c r="B16348" s="12" t="str">
        <f ca="1">IFERROR(__xludf.DUMMYFUNCTION("""COMPUTED_VALUE"""),"")</f>
        <v/>
      </c>
      <c r="C16348" s="12" t="str">
        <f ca="1">IFERROR(__xludf.DUMMYFUNCTION("""COMPUTED_VALUE"""),"")</f>
        <v/>
      </c>
      <c r="D16348" s="12" t="str">
        <f ca="1">IFERROR(__xludf.DUMMYFUNCTION("""COMPUTED_VALUE"""),"")</f>
        <v/>
      </c>
    </row>
    <row r="16349" spans="2:4" ht="13">
      <c r="B16349" s="12" t="str">
        <f ca="1">IFERROR(__xludf.DUMMYFUNCTION("""COMPUTED_VALUE"""),"")</f>
        <v/>
      </c>
      <c r="C16349" s="12" t="str">
        <f ca="1">IFERROR(__xludf.DUMMYFUNCTION("""COMPUTED_VALUE"""),"")</f>
        <v/>
      </c>
      <c r="D16349" s="12" t="str">
        <f ca="1">IFERROR(__xludf.DUMMYFUNCTION("""COMPUTED_VALUE"""),"")</f>
        <v/>
      </c>
    </row>
    <row r="16350" spans="2:4" ht="13">
      <c r="B16350" s="12" t="str">
        <f ca="1">IFERROR(__xludf.DUMMYFUNCTION("""COMPUTED_VALUE"""),"")</f>
        <v/>
      </c>
      <c r="C16350" s="12" t="str">
        <f ca="1">IFERROR(__xludf.DUMMYFUNCTION("""COMPUTED_VALUE"""),"")</f>
        <v/>
      </c>
      <c r="D16350" s="12" t="str">
        <f ca="1">IFERROR(__xludf.DUMMYFUNCTION("""COMPUTED_VALUE"""),"")</f>
        <v/>
      </c>
    </row>
    <row r="16351" spans="2:4" ht="13">
      <c r="B16351" s="12" t="str">
        <f ca="1">IFERROR(__xludf.DUMMYFUNCTION("""COMPUTED_VALUE"""),"")</f>
        <v/>
      </c>
      <c r="C16351" s="12" t="str">
        <f ca="1">IFERROR(__xludf.DUMMYFUNCTION("""COMPUTED_VALUE"""),"")</f>
        <v/>
      </c>
      <c r="D16351" s="12" t="str">
        <f ca="1">IFERROR(__xludf.DUMMYFUNCTION("""COMPUTED_VALUE"""),"")</f>
        <v/>
      </c>
    </row>
    <row r="16352" spans="2:4" ht="13">
      <c r="B16352" s="12" t="str">
        <f ca="1">IFERROR(__xludf.DUMMYFUNCTION("""COMPUTED_VALUE"""),"")</f>
        <v/>
      </c>
      <c r="C16352" s="12" t="str">
        <f ca="1">IFERROR(__xludf.DUMMYFUNCTION("""COMPUTED_VALUE"""),"")</f>
        <v/>
      </c>
      <c r="D16352" s="12" t="str">
        <f ca="1">IFERROR(__xludf.DUMMYFUNCTION("""COMPUTED_VALUE"""),"")</f>
        <v/>
      </c>
    </row>
    <row r="16353" spans="2:4" ht="13">
      <c r="B16353" s="12" t="str">
        <f ca="1">IFERROR(__xludf.DUMMYFUNCTION("""COMPUTED_VALUE"""),"")</f>
        <v/>
      </c>
      <c r="C16353" s="12" t="str">
        <f ca="1">IFERROR(__xludf.DUMMYFUNCTION("""COMPUTED_VALUE"""),"")</f>
        <v/>
      </c>
      <c r="D16353" s="12" t="str">
        <f ca="1">IFERROR(__xludf.DUMMYFUNCTION("""COMPUTED_VALUE"""),"")</f>
        <v/>
      </c>
    </row>
    <row r="16354" spans="2:4" ht="13">
      <c r="B16354" s="12" t="str">
        <f ca="1">IFERROR(__xludf.DUMMYFUNCTION("""COMPUTED_VALUE"""),"")</f>
        <v/>
      </c>
      <c r="C16354" s="12" t="str">
        <f ca="1">IFERROR(__xludf.DUMMYFUNCTION("""COMPUTED_VALUE"""),"")</f>
        <v/>
      </c>
      <c r="D16354" s="12" t="str">
        <f ca="1">IFERROR(__xludf.DUMMYFUNCTION("""COMPUTED_VALUE"""),"")</f>
        <v/>
      </c>
    </row>
    <row r="16355" spans="2:4" ht="13">
      <c r="B16355" s="12" t="str">
        <f ca="1">IFERROR(__xludf.DUMMYFUNCTION("""COMPUTED_VALUE"""),"")</f>
        <v/>
      </c>
      <c r="C16355" s="12" t="str">
        <f ca="1">IFERROR(__xludf.DUMMYFUNCTION("""COMPUTED_VALUE"""),"")</f>
        <v/>
      </c>
      <c r="D16355" s="12" t="str">
        <f ca="1">IFERROR(__xludf.DUMMYFUNCTION("""COMPUTED_VALUE"""),"")</f>
        <v/>
      </c>
    </row>
    <row r="16356" spans="2:4" ht="13">
      <c r="B16356" s="12" t="str">
        <f ca="1">IFERROR(__xludf.DUMMYFUNCTION("""COMPUTED_VALUE"""),"")</f>
        <v/>
      </c>
      <c r="C16356" s="12" t="str">
        <f ca="1">IFERROR(__xludf.DUMMYFUNCTION("""COMPUTED_VALUE"""),"")</f>
        <v/>
      </c>
      <c r="D16356" s="12" t="str">
        <f ca="1">IFERROR(__xludf.DUMMYFUNCTION("""COMPUTED_VALUE"""),"")</f>
        <v/>
      </c>
    </row>
    <row r="16357" spans="2:4" ht="13">
      <c r="B16357" s="12" t="str">
        <f ca="1">IFERROR(__xludf.DUMMYFUNCTION("""COMPUTED_VALUE"""),"")</f>
        <v/>
      </c>
      <c r="C16357" s="12" t="str">
        <f ca="1">IFERROR(__xludf.DUMMYFUNCTION("""COMPUTED_VALUE"""),"")</f>
        <v/>
      </c>
      <c r="D16357" s="12" t="str">
        <f ca="1">IFERROR(__xludf.DUMMYFUNCTION("""COMPUTED_VALUE"""),"")</f>
        <v/>
      </c>
    </row>
    <row r="16358" spans="2:4" ht="13">
      <c r="B16358" s="12" t="str">
        <f ca="1">IFERROR(__xludf.DUMMYFUNCTION("""COMPUTED_VALUE"""),"")</f>
        <v/>
      </c>
      <c r="C16358" s="12" t="str">
        <f ca="1">IFERROR(__xludf.DUMMYFUNCTION("""COMPUTED_VALUE"""),"")</f>
        <v/>
      </c>
      <c r="D16358" s="12" t="str">
        <f ca="1">IFERROR(__xludf.DUMMYFUNCTION("""COMPUTED_VALUE"""),"")</f>
        <v/>
      </c>
    </row>
    <row r="16359" spans="2:4" ht="13">
      <c r="B16359" s="12" t="str">
        <f ca="1">IFERROR(__xludf.DUMMYFUNCTION("""COMPUTED_VALUE"""),"")</f>
        <v/>
      </c>
      <c r="C16359" s="12" t="str">
        <f ca="1">IFERROR(__xludf.DUMMYFUNCTION("""COMPUTED_VALUE"""),"")</f>
        <v/>
      </c>
      <c r="D16359" s="12" t="str">
        <f ca="1">IFERROR(__xludf.DUMMYFUNCTION("""COMPUTED_VALUE"""),"")</f>
        <v/>
      </c>
    </row>
    <row r="16360" spans="2:4" ht="13">
      <c r="B16360" s="12" t="str">
        <f ca="1">IFERROR(__xludf.DUMMYFUNCTION("""COMPUTED_VALUE"""),"")</f>
        <v/>
      </c>
      <c r="C16360" s="12" t="str">
        <f ca="1">IFERROR(__xludf.DUMMYFUNCTION("""COMPUTED_VALUE"""),"")</f>
        <v/>
      </c>
      <c r="D16360" s="12" t="str">
        <f ca="1">IFERROR(__xludf.DUMMYFUNCTION("""COMPUTED_VALUE"""),"")</f>
        <v/>
      </c>
    </row>
    <row r="16361" spans="2:4" ht="13">
      <c r="B16361" s="12" t="str">
        <f ca="1">IFERROR(__xludf.DUMMYFUNCTION("""COMPUTED_VALUE"""),"")</f>
        <v/>
      </c>
      <c r="C16361" s="12" t="str">
        <f ca="1">IFERROR(__xludf.DUMMYFUNCTION("""COMPUTED_VALUE"""),"")</f>
        <v/>
      </c>
      <c r="D16361" s="12" t="str">
        <f ca="1">IFERROR(__xludf.DUMMYFUNCTION("""COMPUTED_VALUE"""),"")</f>
        <v/>
      </c>
    </row>
    <row r="16362" spans="2:4" ht="13">
      <c r="B16362" s="12" t="str">
        <f ca="1">IFERROR(__xludf.DUMMYFUNCTION("""COMPUTED_VALUE"""),"")</f>
        <v/>
      </c>
      <c r="C16362" s="12" t="str">
        <f ca="1">IFERROR(__xludf.DUMMYFUNCTION("""COMPUTED_VALUE"""),"")</f>
        <v/>
      </c>
      <c r="D16362" s="12" t="str">
        <f ca="1">IFERROR(__xludf.DUMMYFUNCTION("""COMPUTED_VALUE"""),"")</f>
        <v/>
      </c>
    </row>
    <row r="16363" spans="2:4" ht="13">
      <c r="B16363" s="12" t="str">
        <f ca="1">IFERROR(__xludf.DUMMYFUNCTION("""COMPUTED_VALUE"""),"")</f>
        <v/>
      </c>
      <c r="C16363" s="12" t="str">
        <f ca="1">IFERROR(__xludf.DUMMYFUNCTION("""COMPUTED_VALUE"""),"")</f>
        <v/>
      </c>
      <c r="D16363" s="12" t="str">
        <f ca="1">IFERROR(__xludf.DUMMYFUNCTION("""COMPUTED_VALUE"""),"")</f>
        <v/>
      </c>
    </row>
    <row r="16364" spans="2:4" ht="13">
      <c r="B16364" s="12" t="str">
        <f ca="1">IFERROR(__xludf.DUMMYFUNCTION("""COMPUTED_VALUE"""),"")</f>
        <v/>
      </c>
      <c r="C16364" s="12" t="str">
        <f ca="1">IFERROR(__xludf.DUMMYFUNCTION("""COMPUTED_VALUE"""),"")</f>
        <v/>
      </c>
      <c r="D16364" s="12" t="str">
        <f ca="1">IFERROR(__xludf.DUMMYFUNCTION("""COMPUTED_VALUE"""),"")</f>
        <v/>
      </c>
    </row>
    <row r="16365" spans="2:4" ht="13">
      <c r="B16365" s="12" t="str">
        <f ca="1">IFERROR(__xludf.DUMMYFUNCTION("""COMPUTED_VALUE"""),"")</f>
        <v/>
      </c>
      <c r="C16365" s="12" t="str">
        <f ca="1">IFERROR(__xludf.DUMMYFUNCTION("""COMPUTED_VALUE"""),"")</f>
        <v/>
      </c>
      <c r="D16365" s="12" t="str">
        <f ca="1">IFERROR(__xludf.DUMMYFUNCTION("""COMPUTED_VALUE"""),"")</f>
        <v/>
      </c>
    </row>
    <row r="16366" spans="2:4" ht="13">
      <c r="B16366" s="12" t="str">
        <f ca="1">IFERROR(__xludf.DUMMYFUNCTION("""COMPUTED_VALUE"""),"")</f>
        <v/>
      </c>
      <c r="C16366" s="12" t="str">
        <f ca="1">IFERROR(__xludf.DUMMYFUNCTION("""COMPUTED_VALUE"""),"")</f>
        <v/>
      </c>
      <c r="D16366" s="12" t="str">
        <f ca="1">IFERROR(__xludf.DUMMYFUNCTION("""COMPUTED_VALUE"""),"")</f>
        <v/>
      </c>
    </row>
    <row r="16367" spans="2:4" ht="13">
      <c r="B16367" s="12" t="str">
        <f ca="1">IFERROR(__xludf.DUMMYFUNCTION("""COMPUTED_VALUE"""),"")</f>
        <v/>
      </c>
      <c r="C16367" s="12" t="str">
        <f ca="1">IFERROR(__xludf.DUMMYFUNCTION("""COMPUTED_VALUE"""),"")</f>
        <v/>
      </c>
      <c r="D16367" s="12" t="str">
        <f ca="1">IFERROR(__xludf.DUMMYFUNCTION("""COMPUTED_VALUE"""),"")</f>
        <v/>
      </c>
    </row>
    <row r="16368" spans="2:4" ht="13">
      <c r="B16368" s="12" t="str">
        <f ca="1">IFERROR(__xludf.DUMMYFUNCTION("""COMPUTED_VALUE"""),"")</f>
        <v/>
      </c>
      <c r="C16368" s="12" t="str">
        <f ca="1">IFERROR(__xludf.DUMMYFUNCTION("""COMPUTED_VALUE"""),"")</f>
        <v/>
      </c>
      <c r="D16368" s="12" t="str">
        <f ca="1">IFERROR(__xludf.DUMMYFUNCTION("""COMPUTED_VALUE"""),"")</f>
        <v/>
      </c>
    </row>
    <row r="16369" spans="2:4" ht="13">
      <c r="B16369" s="12" t="str">
        <f ca="1">IFERROR(__xludf.DUMMYFUNCTION("""COMPUTED_VALUE"""),"")</f>
        <v/>
      </c>
      <c r="C16369" s="12" t="str">
        <f ca="1">IFERROR(__xludf.DUMMYFUNCTION("""COMPUTED_VALUE"""),"")</f>
        <v/>
      </c>
      <c r="D16369" s="12" t="str">
        <f ca="1">IFERROR(__xludf.DUMMYFUNCTION("""COMPUTED_VALUE"""),"")</f>
        <v/>
      </c>
    </row>
    <row r="16370" spans="2:4" ht="13">
      <c r="B16370" s="12" t="str">
        <f ca="1">IFERROR(__xludf.DUMMYFUNCTION("""COMPUTED_VALUE"""),"")</f>
        <v/>
      </c>
      <c r="C16370" s="12" t="str">
        <f ca="1">IFERROR(__xludf.DUMMYFUNCTION("""COMPUTED_VALUE"""),"")</f>
        <v/>
      </c>
      <c r="D16370" s="12" t="str">
        <f ca="1">IFERROR(__xludf.DUMMYFUNCTION("""COMPUTED_VALUE"""),"")</f>
        <v/>
      </c>
    </row>
    <row r="16371" spans="2:4" ht="13">
      <c r="B16371" s="12" t="str">
        <f ca="1">IFERROR(__xludf.DUMMYFUNCTION("""COMPUTED_VALUE"""),"")</f>
        <v/>
      </c>
      <c r="C16371" s="12" t="str">
        <f ca="1">IFERROR(__xludf.DUMMYFUNCTION("""COMPUTED_VALUE"""),"")</f>
        <v/>
      </c>
      <c r="D16371" s="12" t="str">
        <f ca="1">IFERROR(__xludf.DUMMYFUNCTION("""COMPUTED_VALUE"""),"")</f>
        <v/>
      </c>
    </row>
    <row r="16372" spans="2:4" ht="13">
      <c r="B16372" s="12" t="str">
        <f ca="1">IFERROR(__xludf.DUMMYFUNCTION("""COMPUTED_VALUE"""),"")</f>
        <v/>
      </c>
      <c r="C16372" s="12" t="str">
        <f ca="1">IFERROR(__xludf.DUMMYFUNCTION("""COMPUTED_VALUE"""),"")</f>
        <v/>
      </c>
      <c r="D16372" s="12" t="str">
        <f ca="1">IFERROR(__xludf.DUMMYFUNCTION("""COMPUTED_VALUE"""),"")</f>
        <v/>
      </c>
    </row>
    <row r="16373" spans="2:4" ht="13">
      <c r="B16373" s="12" t="str">
        <f ca="1">IFERROR(__xludf.DUMMYFUNCTION("""COMPUTED_VALUE"""),"")</f>
        <v/>
      </c>
      <c r="C16373" s="12" t="str">
        <f ca="1">IFERROR(__xludf.DUMMYFUNCTION("""COMPUTED_VALUE"""),"")</f>
        <v/>
      </c>
      <c r="D16373" s="12" t="str">
        <f ca="1">IFERROR(__xludf.DUMMYFUNCTION("""COMPUTED_VALUE"""),"")</f>
        <v/>
      </c>
    </row>
    <row r="16374" spans="2:4" ht="13">
      <c r="B16374" s="12" t="str">
        <f ca="1">IFERROR(__xludf.DUMMYFUNCTION("""COMPUTED_VALUE"""),"")</f>
        <v/>
      </c>
      <c r="C16374" s="12" t="str">
        <f ca="1">IFERROR(__xludf.DUMMYFUNCTION("""COMPUTED_VALUE"""),"")</f>
        <v/>
      </c>
      <c r="D16374" s="12" t="str">
        <f ca="1">IFERROR(__xludf.DUMMYFUNCTION("""COMPUTED_VALUE"""),"")</f>
        <v/>
      </c>
    </row>
    <row r="16375" spans="2:4" ht="13">
      <c r="B16375" s="12" t="str">
        <f ca="1">IFERROR(__xludf.DUMMYFUNCTION("""COMPUTED_VALUE"""),"")</f>
        <v/>
      </c>
      <c r="C16375" s="12" t="str">
        <f ca="1">IFERROR(__xludf.DUMMYFUNCTION("""COMPUTED_VALUE"""),"")</f>
        <v/>
      </c>
      <c r="D16375" s="12" t="str">
        <f ca="1">IFERROR(__xludf.DUMMYFUNCTION("""COMPUTED_VALUE"""),"")</f>
        <v/>
      </c>
    </row>
    <row r="16376" spans="2:4" ht="13">
      <c r="B16376" s="12" t="str">
        <f ca="1">IFERROR(__xludf.DUMMYFUNCTION("""COMPUTED_VALUE"""),"")</f>
        <v/>
      </c>
      <c r="C16376" s="12" t="str">
        <f ca="1">IFERROR(__xludf.DUMMYFUNCTION("""COMPUTED_VALUE"""),"")</f>
        <v/>
      </c>
      <c r="D16376" s="12" t="str">
        <f ca="1">IFERROR(__xludf.DUMMYFUNCTION("""COMPUTED_VALUE"""),"")</f>
        <v/>
      </c>
    </row>
    <row r="16377" spans="2:4" ht="13">
      <c r="B16377" s="12" t="str">
        <f ca="1">IFERROR(__xludf.DUMMYFUNCTION("""COMPUTED_VALUE"""),"")</f>
        <v/>
      </c>
      <c r="C16377" s="12" t="str">
        <f ca="1">IFERROR(__xludf.DUMMYFUNCTION("""COMPUTED_VALUE"""),"")</f>
        <v/>
      </c>
      <c r="D16377" s="12" t="str">
        <f ca="1">IFERROR(__xludf.DUMMYFUNCTION("""COMPUTED_VALUE"""),"")</f>
        <v/>
      </c>
    </row>
    <row r="16378" spans="2:4" ht="13">
      <c r="B16378" s="12" t="str">
        <f ca="1">IFERROR(__xludf.DUMMYFUNCTION("""COMPUTED_VALUE"""),"")</f>
        <v/>
      </c>
      <c r="C16378" s="12" t="str">
        <f ca="1">IFERROR(__xludf.DUMMYFUNCTION("""COMPUTED_VALUE"""),"")</f>
        <v/>
      </c>
      <c r="D16378" s="12" t="str">
        <f ca="1">IFERROR(__xludf.DUMMYFUNCTION("""COMPUTED_VALUE"""),"")</f>
        <v/>
      </c>
    </row>
    <row r="16379" spans="2:4" ht="13">
      <c r="B16379" s="12" t="str">
        <f ca="1">IFERROR(__xludf.DUMMYFUNCTION("""COMPUTED_VALUE"""),"")</f>
        <v/>
      </c>
      <c r="C16379" s="12" t="str">
        <f ca="1">IFERROR(__xludf.DUMMYFUNCTION("""COMPUTED_VALUE"""),"")</f>
        <v/>
      </c>
      <c r="D16379" s="12" t="str">
        <f ca="1">IFERROR(__xludf.DUMMYFUNCTION("""COMPUTED_VALUE"""),"")</f>
        <v/>
      </c>
    </row>
    <row r="16380" spans="2:4" ht="13">
      <c r="B16380" s="12" t="str">
        <f ca="1">IFERROR(__xludf.DUMMYFUNCTION("""COMPUTED_VALUE"""),"")</f>
        <v/>
      </c>
      <c r="C16380" s="12" t="str">
        <f ca="1">IFERROR(__xludf.DUMMYFUNCTION("""COMPUTED_VALUE"""),"")</f>
        <v/>
      </c>
      <c r="D16380" s="12" t="str">
        <f ca="1">IFERROR(__xludf.DUMMYFUNCTION("""COMPUTED_VALUE"""),"")</f>
        <v/>
      </c>
    </row>
    <row r="16381" spans="2:4" ht="13">
      <c r="B16381" s="12" t="str">
        <f ca="1">IFERROR(__xludf.DUMMYFUNCTION("""COMPUTED_VALUE"""),"")</f>
        <v/>
      </c>
      <c r="C16381" s="12" t="str">
        <f ca="1">IFERROR(__xludf.DUMMYFUNCTION("""COMPUTED_VALUE"""),"")</f>
        <v/>
      </c>
      <c r="D16381" s="12" t="str">
        <f ca="1">IFERROR(__xludf.DUMMYFUNCTION("""COMPUTED_VALUE"""),"")</f>
        <v/>
      </c>
    </row>
    <row r="16382" spans="2:4" ht="13">
      <c r="B16382" s="12" t="str">
        <f ca="1">IFERROR(__xludf.DUMMYFUNCTION("""COMPUTED_VALUE"""),"")</f>
        <v/>
      </c>
      <c r="C16382" s="12" t="str">
        <f ca="1">IFERROR(__xludf.DUMMYFUNCTION("""COMPUTED_VALUE"""),"")</f>
        <v/>
      </c>
      <c r="D16382" s="12" t="str">
        <f ca="1">IFERROR(__xludf.DUMMYFUNCTION("""COMPUTED_VALUE"""),"")</f>
        <v/>
      </c>
    </row>
    <row r="16383" spans="2:4" ht="13">
      <c r="B16383" s="12" t="str">
        <f ca="1">IFERROR(__xludf.DUMMYFUNCTION("""COMPUTED_VALUE"""),"")</f>
        <v/>
      </c>
      <c r="C16383" s="12" t="str">
        <f ca="1">IFERROR(__xludf.DUMMYFUNCTION("""COMPUTED_VALUE"""),"")</f>
        <v/>
      </c>
      <c r="D16383" s="12" t="str">
        <f ca="1">IFERROR(__xludf.DUMMYFUNCTION("""COMPUTED_VALUE"""),"")</f>
        <v/>
      </c>
    </row>
    <row r="16384" spans="2:4" ht="13">
      <c r="B16384" s="12" t="str">
        <f ca="1">IFERROR(__xludf.DUMMYFUNCTION("""COMPUTED_VALUE"""),"")</f>
        <v/>
      </c>
      <c r="C16384" s="12" t="str">
        <f ca="1">IFERROR(__xludf.DUMMYFUNCTION("""COMPUTED_VALUE"""),"")</f>
        <v/>
      </c>
      <c r="D16384" s="12" t="str">
        <f ca="1">IFERROR(__xludf.DUMMYFUNCTION("""COMPUTED_VALUE"""),"")</f>
        <v/>
      </c>
    </row>
    <row r="16385" spans="2:4" ht="13">
      <c r="B16385" s="12" t="str">
        <f ca="1">IFERROR(__xludf.DUMMYFUNCTION("""COMPUTED_VALUE"""),"")</f>
        <v/>
      </c>
      <c r="C16385" s="12" t="str">
        <f ca="1">IFERROR(__xludf.DUMMYFUNCTION("""COMPUTED_VALUE"""),"")</f>
        <v/>
      </c>
      <c r="D16385" s="12" t="str">
        <f ca="1">IFERROR(__xludf.DUMMYFUNCTION("""COMPUTED_VALUE"""),"")</f>
        <v/>
      </c>
    </row>
    <row r="16386" spans="2:4" ht="13">
      <c r="B16386" s="12" t="str">
        <f ca="1">IFERROR(__xludf.DUMMYFUNCTION("""COMPUTED_VALUE"""),"")</f>
        <v/>
      </c>
      <c r="C16386" s="12" t="str">
        <f ca="1">IFERROR(__xludf.DUMMYFUNCTION("""COMPUTED_VALUE"""),"")</f>
        <v/>
      </c>
      <c r="D16386" s="12" t="str">
        <f ca="1">IFERROR(__xludf.DUMMYFUNCTION("""COMPUTED_VALUE"""),"")</f>
        <v/>
      </c>
    </row>
    <row r="16387" spans="2:4" ht="13">
      <c r="B16387" s="12" t="str">
        <f ca="1">IFERROR(__xludf.DUMMYFUNCTION("""COMPUTED_VALUE"""),"")</f>
        <v/>
      </c>
      <c r="C16387" s="12" t="str">
        <f ca="1">IFERROR(__xludf.DUMMYFUNCTION("""COMPUTED_VALUE"""),"")</f>
        <v/>
      </c>
      <c r="D16387" s="12" t="str">
        <f ca="1">IFERROR(__xludf.DUMMYFUNCTION("""COMPUTED_VALUE"""),"")</f>
        <v/>
      </c>
    </row>
    <row r="16388" spans="2:4" ht="13">
      <c r="B16388" s="12" t="str">
        <f ca="1">IFERROR(__xludf.DUMMYFUNCTION("""COMPUTED_VALUE"""),"")</f>
        <v/>
      </c>
      <c r="C16388" s="12" t="str">
        <f ca="1">IFERROR(__xludf.DUMMYFUNCTION("""COMPUTED_VALUE"""),"")</f>
        <v/>
      </c>
      <c r="D16388" s="12" t="str">
        <f ca="1">IFERROR(__xludf.DUMMYFUNCTION("""COMPUTED_VALUE"""),"")</f>
        <v/>
      </c>
    </row>
    <row r="16389" spans="2:4" ht="13">
      <c r="B16389" s="12" t="str">
        <f ca="1">IFERROR(__xludf.DUMMYFUNCTION("""COMPUTED_VALUE"""),"")</f>
        <v/>
      </c>
      <c r="C16389" s="12" t="str">
        <f ca="1">IFERROR(__xludf.DUMMYFUNCTION("""COMPUTED_VALUE"""),"")</f>
        <v/>
      </c>
      <c r="D16389" s="12" t="str">
        <f ca="1">IFERROR(__xludf.DUMMYFUNCTION("""COMPUTED_VALUE"""),"")</f>
        <v/>
      </c>
    </row>
    <row r="16390" spans="2:4" ht="13">
      <c r="B16390" s="12" t="str">
        <f ca="1">IFERROR(__xludf.DUMMYFUNCTION("""COMPUTED_VALUE"""),"")</f>
        <v/>
      </c>
      <c r="C16390" s="12" t="str">
        <f ca="1">IFERROR(__xludf.DUMMYFUNCTION("""COMPUTED_VALUE"""),"")</f>
        <v/>
      </c>
      <c r="D16390" s="12" t="str">
        <f ca="1">IFERROR(__xludf.DUMMYFUNCTION("""COMPUTED_VALUE"""),"")</f>
        <v/>
      </c>
    </row>
    <row r="16391" spans="2:4" ht="13">
      <c r="B16391" s="12" t="str">
        <f ca="1">IFERROR(__xludf.DUMMYFUNCTION("""COMPUTED_VALUE"""),"")</f>
        <v/>
      </c>
      <c r="C16391" s="12" t="str">
        <f ca="1">IFERROR(__xludf.DUMMYFUNCTION("""COMPUTED_VALUE"""),"")</f>
        <v/>
      </c>
      <c r="D16391" s="12" t="str">
        <f ca="1">IFERROR(__xludf.DUMMYFUNCTION("""COMPUTED_VALUE"""),"")</f>
        <v/>
      </c>
    </row>
    <row r="16392" spans="2:4" ht="13">
      <c r="B16392" s="12" t="str">
        <f ca="1">IFERROR(__xludf.DUMMYFUNCTION("""COMPUTED_VALUE"""),"")</f>
        <v/>
      </c>
      <c r="C16392" s="12" t="str">
        <f ca="1">IFERROR(__xludf.DUMMYFUNCTION("""COMPUTED_VALUE"""),"")</f>
        <v/>
      </c>
      <c r="D16392" s="12" t="str">
        <f ca="1">IFERROR(__xludf.DUMMYFUNCTION("""COMPUTED_VALUE"""),"")</f>
        <v/>
      </c>
    </row>
    <row r="16393" spans="2:4" ht="13">
      <c r="B16393" s="12" t="str">
        <f ca="1">IFERROR(__xludf.DUMMYFUNCTION("""COMPUTED_VALUE"""),"")</f>
        <v/>
      </c>
      <c r="C16393" s="12" t="str">
        <f ca="1">IFERROR(__xludf.DUMMYFUNCTION("""COMPUTED_VALUE"""),"")</f>
        <v/>
      </c>
      <c r="D16393" s="12" t="str">
        <f ca="1">IFERROR(__xludf.DUMMYFUNCTION("""COMPUTED_VALUE"""),"")</f>
        <v/>
      </c>
    </row>
    <row r="16394" spans="2:4" ht="13">
      <c r="B16394" s="12" t="str">
        <f ca="1">IFERROR(__xludf.DUMMYFUNCTION("""COMPUTED_VALUE"""),"")</f>
        <v/>
      </c>
      <c r="C16394" s="12" t="str">
        <f ca="1">IFERROR(__xludf.DUMMYFUNCTION("""COMPUTED_VALUE"""),"")</f>
        <v/>
      </c>
      <c r="D16394" s="12" t="str">
        <f ca="1">IFERROR(__xludf.DUMMYFUNCTION("""COMPUTED_VALUE"""),"")</f>
        <v/>
      </c>
    </row>
    <row r="16395" spans="2:4" ht="13">
      <c r="B16395" s="12" t="str">
        <f ca="1">IFERROR(__xludf.DUMMYFUNCTION("""COMPUTED_VALUE"""),"")</f>
        <v/>
      </c>
      <c r="C16395" s="12" t="str">
        <f ca="1">IFERROR(__xludf.DUMMYFUNCTION("""COMPUTED_VALUE"""),"")</f>
        <v/>
      </c>
      <c r="D16395" s="12" t="str">
        <f ca="1">IFERROR(__xludf.DUMMYFUNCTION("""COMPUTED_VALUE"""),"")</f>
        <v/>
      </c>
    </row>
    <row r="16396" spans="2:4" ht="13">
      <c r="B16396" s="12" t="str">
        <f ca="1">IFERROR(__xludf.DUMMYFUNCTION("""COMPUTED_VALUE"""),"")</f>
        <v/>
      </c>
      <c r="C16396" s="12" t="str">
        <f ca="1">IFERROR(__xludf.DUMMYFUNCTION("""COMPUTED_VALUE"""),"")</f>
        <v/>
      </c>
      <c r="D16396" s="12" t="str">
        <f ca="1">IFERROR(__xludf.DUMMYFUNCTION("""COMPUTED_VALUE"""),"")</f>
        <v/>
      </c>
    </row>
    <row r="16397" spans="2:4" ht="13">
      <c r="B16397" s="12" t="str">
        <f ca="1">IFERROR(__xludf.DUMMYFUNCTION("""COMPUTED_VALUE"""),"")</f>
        <v/>
      </c>
      <c r="C16397" s="12" t="str">
        <f ca="1">IFERROR(__xludf.DUMMYFUNCTION("""COMPUTED_VALUE"""),"")</f>
        <v/>
      </c>
      <c r="D16397" s="12" t="str">
        <f ca="1">IFERROR(__xludf.DUMMYFUNCTION("""COMPUTED_VALUE"""),"")</f>
        <v/>
      </c>
    </row>
    <row r="16398" spans="2:4" ht="13">
      <c r="B16398" s="12" t="str">
        <f ca="1">IFERROR(__xludf.DUMMYFUNCTION("""COMPUTED_VALUE"""),"")</f>
        <v/>
      </c>
      <c r="C16398" s="12" t="str">
        <f ca="1">IFERROR(__xludf.DUMMYFUNCTION("""COMPUTED_VALUE"""),"")</f>
        <v/>
      </c>
      <c r="D16398" s="12" t="str">
        <f ca="1">IFERROR(__xludf.DUMMYFUNCTION("""COMPUTED_VALUE"""),"")</f>
        <v/>
      </c>
    </row>
    <row r="16399" spans="2:4" ht="13">
      <c r="B16399" s="12" t="str">
        <f ca="1">IFERROR(__xludf.DUMMYFUNCTION("""COMPUTED_VALUE"""),"")</f>
        <v/>
      </c>
      <c r="C16399" s="12" t="str">
        <f ca="1">IFERROR(__xludf.DUMMYFUNCTION("""COMPUTED_VALUE"""),"")</f>
        <v/>
      </c>
      <c r="D16399" s="12" t="str">
        <f ca="1">IFERROR(__xludf.DUMMYFUNCTION("""COMPUTED_VALUE"""),"")</f>
        <v/>
      </c>
    </row>
    <row r="16400" spans="2:4" ht="13">
      <c r="B16400" s="12" t="str">
        <f ca="1">IFERROR(__xludf.DUMMYFUNCTION("""COMPUTED_VALUE"""),"")</f>
        <v/>
      </c>
      <c r="C16400" s="12" t="str">
        <f ca="1">IFERROR(__xludf.DUMMYFUNCTION("""COMPUTED_VALUE"""),"")</f>
        <v/>
      </c>
      <c r="D16400" s="12" t="str">
        <f ca="1">IFERROR(__xludf.DUMMYFUNCTION("""COMPUTED_VALUE"""),"")</f>
        <v/>
      </c>
    </row>
    <row r="16401" spans="2:4" ht="13">
      <c r="B16401" s="12" t="str">
        <f ca="1">IFERROR(__xludf.DUMMYFUNCTION("""COMPUTED_VALUE"""),"")</f>
        <v/>
      </c>
      <c r="C16401" s="12" t="str">
        <f ca="1">IFERROR(__xludf.DUMMYFUNCTION("""COMPUTED_VALUE"""),"")</f>
        <v/>
      </c>
      <c r="D16401" s="12" t="str">
        <f ca="1">IFERROR(__xludf.DUMMYFUNCTION("""COMPUTED_VALUE"""),"")</f>
        <v/>
      </c>
    </row>
    <row r="16402" spans="2:4" ht="13">
      <c r="B16402" s="12" t="str">
        <f ca="1">IFERROR(__xludf.DUMMYFUNCTION("""COMPUTED_VALUE"""),"")</f>
        <v/>
      </c>
      <c r="C16402" s="12" t="str">
        <f ca="1">IFERROR(__xludf.DUMMYFUNCTION("""COMPUTED_VALUE"""),"")</f>
        <v/>
      </c>
      <c r="D16402" s="12" t="str">
        <f ca="1">IFERROR(__xludf.DUMMYFUNCTION("""COMPUTED_VALUE"""),"")</f>
        <v/>
      </c>
    </row>
    <row r="16403" spans="2:4" ht="13">
      <c r="B16403" s="12" t="str">
        <f ca="1">IFERROR(__xludf.DUMMYFUNCTION("""COMPUTED_VALUE"""),"")</f>
        <v/>
      </c>
      <c r="C16403" s="12" t="str">
        <f ca="1">IFERROR(__xludf.DUMMYFUNCTION("""COMPUTED_VALUE"""),"")</f>
        <v/>
      </c>
      <c r="D16403" s="12" t="str">
        <f ca="1">IFERROR(__xludf.DUMMYFUNCTION("""COMPUTED_VALUE"""),"")</f>
        <v/>
      </c>
    </row>
    <row r="16404" spans="2:4" ht="13">
      <c r="B16404" s="12" t="str">
        <f ca="1">IFERROR(__xludf.DUMMYFUNCTION("""COMPUTED_VALUE"""),"")</f>
        <v/>
      </c>
      <c r="C16404" s="12" t="str">
        <f ca="1">IFERROR(__xludf.DUMMYFUNCTION("""COMPUTED_VALUE"""),"")</f>
        <v/>
      </c>
      <c r="D16404" s="12" t="str">
        <f ca="1">IFERROR(__xludf.DUMMYFUNCTION("""COMPUTED_VALUE"""),"")</f>
        <v/>
      </c>
    </row>
    <row r="16405" spans="2:4" ht="13">
      <c r="B16405" s="12" t="str">
        <f ca="1">IFERROR(__xludf.DUMMYFUNCTION("""COMPUTED_VALUE"""),"")</f>
        <v/>
      </c>
      <c r="C16405" s="12" t="str">
        <f ca="1">IFERROR(__xludf.DUMMYFUNCTION("""COMPUTED_VALUE"""),"")</f>
        <v/>
      </c>
      <c r="D16405" s="12" t="str">
        <f ca="1">IFERROR(__xludf.DUMMYFUNCTION("""COMPUTED_VALUE"""),"")</f>
        <v/>
      </c>
    </row>
    <row r="16406" spans="2:4" ht="13">
      <c r="B16406" s="12" t="str">
        <f ca="1">IFERROR(__xludf.DUMMYFUNCTION("""COMPUTED_VALUE"""),"")</f>
        <v/>
      </c>
      <c r="C16406" s="12" t="str">
        <f ca="1">IFERROR(__xludf.DUMMYFUNCTION("""COMPUTED_VALUE"""),"")</f>
        <v/>
      </c>
      <c r="D16406" s="12" t="str">
        <f ca="1">IFERROR(__xludf.DUMMYFUNCTION("""COMPUTED_VALUE"""),"")</f>
        <v/>
      </c>
    </row>
    <row r="16407" spans="2:4" ht="13">
      <c r="B16407" s="12" t="str">
        <f ca="1">IFERROR(__xludf.DUMMYFUNCTION("""COMPUTED_VALUE"""),"")</f>
        <v/>
      </c>
      <c r="C16407" s="12" t="str">
        <f ca="1">IFERROR(__xludf.DUMMYFUNCTION("""COMPUTED_VALUE"""),"")</f>
        <v/>
      </c>
      <c r="D16407" s="12" t="str">
        <f ca="1">IFERROR(__xludf.DUMMYFUNCTION("""COMPUTED_VALUE"""),"")</f>
        <v/>
      </c>
    </row>
    <row r="16408" spans="2:4" ht="13">
      <c r="B16408" s="12" t="str">
        <f ca="1">IFERROR(__xludf.DUMMYFUNCTION("""COMPUTED_VALUE"""),"")</f>
        <v/>
      </c>
      <c r="C16408" s="12" t="str">
        <f ca="1">IFERROR(__xludf.DUMMYFUNCTION("""COMPUTED_VALUE"""),"")</f>
        <v/>
      </c>
      <c r="D16408" s="12" t="str">
        <f ca="1">IFERROR(__xludf.DUMMYFUNCTION("""COMPUTED_VALUE"""),"")</f>
        <v/>
      </c>
    </row>
    <row r="16409" spans="2:4" ht="13">
      <c r="B16409" s="12" t="str">
        <f ca="1">IFERROR(__xludf.DUMMYFUNCTION("""COMPUTED_VALUE"""),"")</f>
        <v/>
      </c>
      <c r="C16409" s="12" t="str">
        <f ca="1">IFERROR(__xludf.DUMMYFUNCTION("""COMPUTED_VALUE"""),"")</f>
        <v/>
      </c>
      <c r="D16409" s="12" t="str">
        <f ca="1">IFERROR(__xludf.DUMMYFUNCTION("""COMPUTED_VALUE"""),"")</f>
        <v/>
      </c>
    </row>
    <row r="16410" spans="2:4" ht="13">
      <c r="B16410" s="12" t="str">
        <f ca="1">IFERROR(__xludf.DUMMYFUNCTION("""COMPUTED_VALUE"""),"")</f>
        <v/>
      </c>
      <c r="C16410" s="12" t="str">
        <f ca="1">IFERROR(__xludf.DUMMYFUNCTION("""COMPUTED_VALUE"""),"")</f>
        <v/>
      </c>
      <c r="D16410" s="12" t="str">
        <f ca="1">IFERROR(__xludf.DUMMYFUNCTION("""COMPUTED_VALUE"""),"")</f>
        <v/>
      </c>
    </row>
    <row r="16411" spans="2:4" ht="13">
      <c r="B16411" s="12" t="str">
        <f ca="1">IFERROR(__xludf.DUMMYFUNCTION("""COMPUTED_VALUE"""),"")</f>
        <v/>
      </c>
      <c r="C16411" s="12" t="str">
        <f ca="1">IFERROR(__xludf.DUMMYFUNCTION("""COMPUTED_VALUE"""),"")</f>
        <v/>
      </c>
      <c r="D16411" s="12" t="str">
        <f ca="1">IFERROR(__xludf.DUMMYFUNCTION("""COMPUTED_VALUE"""),"")</f>
        <v/>
      </c>
    </row>
    <row r="16412" spans="2:4" ht="13">
      <c r="B16412" s="12" t="str">
        <f ca="1">IFERROR(__xludf.DUMMYFUNCTION("""COMPUTED_VALUE"""),"")</f>
        <v/>
      </c>
      <c r="C16412" s="12" t="str">
        <f ca="1">IFERROR(__xludf.DUMMYFUNCTION("""COMPUTED_VALUE"""),"")</f>
        <v/>
      </c>
      <c r="D16412" s="12" t="str">
        <f ca="1">IFERROR(__xludf.DUMMYFUNCTION("""COMPUTED_VALUE"""),"")</f>
        <v/>
      </c>
    </row>
    <row r="16413" spans="2:4" ht="13">
      <c r="B16413" s="12" t="str">
        <f ca="1">IFERROR(__xludf.DUMMYFUNCTION("""COMPUTED_VALUE"""),"")</f>
        <v/>
      </c>
      <c r="C16413" s="12" t="str">
        <f ca="1">IFERROR(__xludf.DUMMYFUNCTION("""COMPUTED_VALUE"""),"")</f>
        <v/>
      </c>
      <c r="D16413" s="12" t="str">
        <f ca="1">IFERROR(__xludf.DUMMYFUNCTION("""COMPUTED_VALUE"""),"")</f>
        <v/>
      </c>
    </row>
    <row r="16414" spans="2:4" ht="13">
      <c r="B16414" s="12" t="str">
        <f ca="1">IFERROR(__xludf.DUMMYFUNCTION("""COMPUTED_VALUE"""),"")</f>
        <v/>
      </c>
      <c r="C16414" s="12" t="str">
        <f ca="1">IFERROR(__xludf.DUMMYFUNCTION("""COMPUTED_VALUE"""),"")</f>
        <v/>
      </c>
      <c r="D16414" s="12" t="str">
        <f ca="1">IFERROR(__xludf.DUMMYFUNCTION("""COMPUTED_VALUE"""),"")</f>
        <v/>
      </c>
    </row>
    <row r="16415" spans="2:4" ht="13">
      <c r="B16415" s="12" t="str">
        <f ca="1">IFERROR(__xludf.DUMMYFUNCTION("""COMPUTED_VALUE"""),"")</f>
        <v/>
      </c>
      <c r="C16415" s="12" t="str">
        <f ca="1">IFERROR(__xludf.DUMMYFUNCTION("""COMPUTED_VALUE"""),"")</f>
        <v/>
      </c>
      <c r="D16415" s="12" t="str">
        <f ca="1">IFERROR(__xludf.DUMMYFUNCTION("""COMPUTED_VALUE"""),"")</f>
        <v/>
      </c>
    </row>
    <row r="16416" spans="2:4" ht="13">
      <c r="B16416" s="12" t="str">
        <f ca="1">IFERROR(__xludf.DUMMYFUNCTION("""COMPUTED_VALUE"""),"")</f>
        <v/>
      </c>
      <c r="C16416" s="12" t="str">
        <f ca="1">IFERROR(__xludf.DUMMYFUNCTION("""COMPUTED_VALUE"""),"")</f>
        <v/>
      </c>
      <c r="D16416" s="12" t="str">
        <f ca="1">IFERROR(__xludf.DUMMYFUNCTION("""COMPUTED_VALUE"""),"")</f>
        <v/>
      </c>
    </row>
    <row r="16417" spans="2:4" ht="13">
      <c r="B16417" s="12" t="str">
        <f ca="1">IFERROR(__xludf.DUMMYFUNCTION("""COMPUTED_VALUE"""),"")</f>
        <v/>
      </c>
      <c r="C16417" s="12" t="str">
        <f ca="1">IFERROR(__xludf.DUMMYFUNCTION("""COMPUTED_VALUE"""),"")</f>
        <v/>
      </c>
      <c r="D16417" s="12" t="str">
        <f ca="1">IFERROR(__xludf.DUMMYFUNCTION("""COMPUTED_VALUE"""),"")</f>
        <v/>
      </c>
    </row>
    <row r="16418" spans="2:4" ht="13">
      <c r="B16418" s="12" t="str">
        <f ca="1">IFERROR(__xludf.DUMMYFUNCTION("""COMPUTED_VALUE"""),"")</f>
        <v/>
      </c>
      <c r="C16418" s="12" t="str">
        <f ca="1">IFERROR(__xludf.DUMMYFUNCTION("""COMPUTED_VALUE"""),"")</f>
        <v/>
      </c>
      <c r="D16418" s="12" t="str">
        <f ca="1">IFERROR(__xludf.DUMMYFUNCTION("""COMPUTED_VALUE"""),"")</f>
        <v/>
      </c>
    </row>
    <row r="16419" spans="2:4" ht="13">
      <c r="B16419" s="12" t="str">
        <f ca="1">IFERROR(__xludf.DUMMYFUNCTION("""COMPUTED_VALUE"""),"")</f>
        <v/>
      </c>
      <c r="C16419" s="12" t="str">
        <f ca="1">IFERROR(__xludf.DUMMYFUNCTION("""COMPUTED_VALUE"""),"")</f>
        <v/>
      </c>
      <c r="D16419" s="12" t="str">
        <f ca="1">IFERROR(__xludf.DUMMYFUNCTION("""COMPUTED_VALUE"""),"")</f>
        <v/>
      </c>
    </row>
    <row r="16420" spans="2:4" ht="13">
      <c r="B16420" s="12" t="str">
        <f ca="1">IFERROR(__xludf.DUMMYFUNCTION("""COMPUTED_VALUE"""),"")</f>
        <v/>
      </c>
      <c r="C16420" s="12" t="str">
        <f ca="1">IFERROR(__xludf.DUMMYFUNCTION("""COMPUTED_VALUE"""),"")</f>
        <v/>
      </c>
      <c r="D16420" s="12" t="str">
        <f ca="1">IFERROR(__xludf.DUMMYFUNCTION("""COMPUTED_VALUE"""),"")</f>
        <v/>
      </c>
    </row>
    <row r="16421" spans="2:4" ht="13">
      <c r="B16421" s="12" t="str">
        <f ca="1">IFERROR(__xludf.DUMMYFUNCTION("""COMPUTED_VALUE"""),"")</f>
        <v/>
      </c>
      <c r="C16421" s="12" t="str">
        <f ca="1">IFERROR(__xludf.DUMMYFUNCTION("""COMPUTED_VALUE"""),"")</f>
        <v/>
      </c>
      <c r="D16421" s="12" t="str">
        <f ca="1">IFERROR(__xludf.DUMMYFUNCTION("""COMPUTED_VALUE"""),"")</f>
        <v/>
      </c>
    </row>
    <row r="16422" spans="2:4" ht="13">
      <c r="B16422" s="12" t="str">
        <f ca="1">IFERROR(__xludf.DUMMYFUNCTION("""COMPUTED_VALUE"""),"")</f>
        <v/>
      </c>
      <c r="C16422" s="12" t="str">
        <f ca="1">IFERROR(__xludf.DUMMYFUNCTION("""COMPUTED_VALUE"""),"")</f>
        <v/>
      </c>
      <c r="D16422" s="12" t="str">
        <f ca="1">IFERROR(__xludf.DUMMYFUNCTION("""COMPUTED_VALUE"""),"")</f>
        <v/>
      </c>
    </row>
    <row r="16423" spans="2:4" ht="13">
      <c r="B16423" s="12" t="str">
        <f ca="1">IFERROR(__xludf.DUMMYFUNCTION("""COMPUTED_VALUE"""),"")</f>
        <v/>
      </c>
      <c r="C16423" s="12" t="str">
        <f ca="1">IFERROR(__xludf.DUMMYFUNCTION("""COMPUTED_VALUE"""),"")</f>
        <v/>
      </c>
      <c r="D16423" s="12" t="str">
        <f ca="1">IFERROR(__xludf.DUMMYFUNCTION("""COMPUTED_VALUE"""),"")</f>
        <v/>
      </c>
    </row>
    <row r="16424" spans="2:4" ht="13">
      <c r="B16424" s="12" t="str">
        <f ca="1">IFERROR(__xludf.DUMMYFUNCTION("""COMPUTED_VALUE"""),"")</f>
        <v/>
      </c>
      <c r="C16424" s="12" t="str">
        <f ca="1">IFERROR(__xludf.DUMMYFUNCTION("""COMPUTED_VALUE"""),"")</f>
        <v/>
      </c>
      <c r="D16424" s="12" t="str">
        <f ca="1">IFERROR(__xludf.DUMMYFUNCTION("""COMPUTED_VALUE"""),"")</f>
        <v/>
      </c>
    </row>
    <row r="16425" spans="2:4" ht="13">
      <c r="B16425" s="12" t="str">
        <f ca="1">IFERROR(__xludf.DUMMYFUNCTION("""COMPUTED_VALUE"""),"")</f>
        <v/>
      </c>
      <c r="C16425" s="12" t="str">
        <f ca="1">IFERROR(__xludf.DUMMYFUNCTION("""COMPUTED_VALUE"""),"")</f>
        <v/>
      </c>
      <c r="D16425" s="12" t="str">
        <f ca="1">IFERROR(__xludf.DUMMYFUNCTION("""COMPUTED_VALUE"""),"")</f>
        <v/>
      </c>
    </row>
    <row r="16426" spans="2:4" ht="13">
      <c r="B16426" s="12" t="str">
        <f ca="1">IFERROR(__xludf.DUMMYFUNCTION("""COMPUTED_VALUE"""),"")</f>
        <v/>
      </c>
      <c r="C16426" s="12" t="str">
        <f ca="1">IFERROR(__xludf.DUMMYFUNCTION("""COMPUTED_VALUE"""),"")</f>
        <v/>
      </c>
      <c r="D16426" s="12" t="str">
        <f ca="1">IFERROR(__xludf.DUMMYFUNCTION("""COMPUTED_VALUE"""),"")</f>
        <v/>
      </c>
    </row>
    <row r="16427" spans="2:4" ht="13">
      <c r="B16427" s="12" t="str">
        <f ca="1">IFERROR(__xludf.DUMMYFUNCTION("""COMPUTED_VALUE"""),"")</f>
        <v/>
      </c>
      <c r="C16427" s="12" t="str">
        <f ca="1">IFERROR(__xludf.DUMMYFUNCTION("""COMPUTED_VALUE"""),"")</f>
        <v/>
      </c>
      <c r="D16427" s="12" t="str">
        <f ca="1">IFERROR(__xludf.DUMMYFUNCTION("""COMPUTED_VALUE"""),"")</f>
        <v/>
      </c>
    </row>
    <row r="16428" spans="2:4" ht="13">
      <c r="B16428" s="12" t="str">
        <f ca="1">IFERROR(__xludf.DUMMYFUNCTION("""COMPUTED_VALUE"""),"")</f>
        <v/>
      </c>
      <c r="C16428" s="12" t="str">
        <f ca="1">IFERROR(__xludf.DUMMYFUNCTION("""COMPUTED_VALUE"""),"")</f>
        <v/>
      </c>
      <c r="D16428" s="12" t="str">
        <f ca="1">IFERROR(__xludf.DUMMYFUNCTION("""COMPUTED_VALUE"""),"")</f>
        <v/>
      </c>
    </row>
    <row r="16429" spans="2:4" ht="13">
      <c r="B16429" s="12" t="str">
        <f ca="1">IFERROR(__xludf.DUMMYFUNCTION("""COMPUTED_VALUE"""),"")</f>
        <v/>
      </c>
      <c r="C16429" s="12" t="str">
        <f ca="1">IFERROR(__xludf.DUMMYFUNCTION("""COMPUTED_VALUE"""),"")</f>
        <v/>
      </c>
      <c r="D16429" s="12" t="str">
        <f ca="1">IFERROR(__xludf.DUMMYFUNCTION("""COMPUTED_VALUE"""),"")</f>
        <v/>
      </c>
    </row>
    <row r="16430" spans="2:4" ht="13">
      <c r="B16430" s="12" t="str">
        <f ca="1">IFERROR(__xludf.DUMMYFUNCTION("""COMPUTED_VALUE"""),"")</f>
        <v/>
      </c>
      <c r="C16430" s="12" t="str">
        <f ca="1">IFERROR(__xludf.DUMMYFUNCTION("""COMPUTED_VALUE"""),"")</f>
        <v/>
      </c>
      <c r="D16430" s="12" t="str">
        <f ca="1">IFERROR(__xludf.DUMMYFUNCTION("""COMPUTED_VALUE"""),"")</f>
        <v/>
      </c>
    </row>
    <row r="16431" spans="2:4" ht="13">
      <c r="B16431" s="12" t="str">
        <f ca="1">IFERROR(__xludf.DUMMYFUNCTION("""COMPUTED_VALUE"""),"")</f>
        <v/>
      </c>
      <c r="C16431" s="12" t="str">
        <f ca="1">IFERROR(__xludf.DUMMYFUNCTION("""COMPUTED_VALUE"""),"")</f>
        <v/>
      </c>
      <c r="D16431" s="12" t="str">
        <f ca="1">IFERROR(__xludf.DUMMYFUNCTION("""COMPUTED_VALUE"""),"")</f>
        <v/>
      </c>
    </row>
    <row r="16432" spans="2:4" ht="13">
      <c r="B16432" s="12" t="str">
        <f ca="1">IFERROR(__xludf.DUMMYFUNCTION("""COMPUTED_VALUE"""),"")</f>
        <v/>
      </c>
      <c r="C16432" s="12" t="str">
        <f ca="1">IFERROR(__xludf.DUMMYFUNCTION("""COMPUTED_VALUE"""),"")</f>
        <v/>
      </c>
      <c r="D16432" s="12" t="str">
        <f ca="1">IFERROR(__xludf.DUMMYFUNCTION("""COMPUTED_VALUE"""),"")</f>
        <v/>
      </c>
    </row>
    <row r="16433" spans="2:4" ht="13">
      <c r="B16433" s="12" t="str">
        <f ca="1">IFERROR(__xludf.DUMMYFUNCTION("""COMPUTED_VALUE"""),"")</f>
        <v/>
      </c>
      <c r="C16433" s="12" t="str">
        <f ca="1">IFERROR(__xludf.DUMMYFUNCTION("""COMPUTED_VALUE"""),"")</f>
        <v/>
      </c>
      <c r="D16433" s="12" t="str">
        <f ca="1">IFERROR(__xludf.DUMMYFUNCTION("""COMPUTED_VALUE"""),"")</f>
        <v/>
      </c>
    </row>
    <row r="16434" spans="2:4" ht="13">
      <c r="B16434" s="12" t="str">
        <f ca="1">IFERROR(__xludf.DUMMYFUNCTION("""COMPUTED_VALUE"""),"")</f>
        <v/>
      </c>
      <c r="C16434" s="12" t="str">
        <f ca="1">IFERROR(__xludf.DUMMYFUNCTION("""COMPUTED_VALUE"""),"")</f>
        <v/>
      </c>
      <c r="D16434" s="12" t="str">
        <f ca="1">IFERROR(__xludf.DUMMYFUNCTION("""COMPUTED_VALUE"""),"")</f>
        <v/>
      </c>
    </row>
    <row r="16435" spans="2:4" ht="13">
      <c r="B16435" s="12" t="str">
        <f ca="1">IFERROR(__xludf.DUMMYFUNCTION("""COMPUTED_VALUE"""),"")</f>
        <v/>
      </c>
      <c r="C16435" s="12" t="str">
        <f ca="1">IFERROR(__xludf.DUMMYFUNCTION("""COMPUTED_VALUE"""),"")</f>
        <v/>
      </c>
      <c r="D16435" s="12" t="str">
        <f ca="1">IFERROR(__xludf.DUMMYFUNCTION("""COMPUTED_VALUE"""),"")</f>
        <v/>
      </c>
    </row>
    <row r="16436" spans="2:4" ht="13">
      <c r="B16436" s="12" t="str">
        <f ca="1">IFERROR(__xludf.DUMMYFUNCTION("""COMPUTED_VALUE"""),"")</f>
        <v/>
      </c>
      <c r="C16436" s="12" t="str">
        <f ca="1">IFERROR(__xludf.DUMMYFUNCTION("""COMPUTED_VALUE"""),"")</f>
        <v/>
      </c>
      <c r="D16436" s="12" t="str">
        <f ca="1">IFERROR(__xludf.DUMMYFUNCTION("""COMPUTED_VALUE"""),"")</f>
        <v/>
      </c>
    </row>
    <row r="16437" spans="2:4" ht="13">
      <c r="B16437" s="12" t="str">
        <f ca="1">IFERROR(__xludf.DUMMYFUNCTION("""COMPUTED_VALUE"""),"")</f>
        <v/>
      </c>
      <c r="C16437" s="12" t="str">
        <f ca="1">IFERROR(__xludf.DUMMYFUNCTION("""COMPUTED_VALUE"""),"")</f>
        <v/>
      </c>
      <c r="D16437" s="12" t="str">
        <f ca="1">IFERROR(__xludf.DUMMYFUNCTION("""COMPUTED_VALUE"""),"")</f>
        <v/>
      </c>
    </row>
    <row r="16438" spans="2:4" ht="13">
      <c r="B16438" s="12" t="str">
        <f ca="1">IFERROR(__xludf.DUMMYFUNCTION("""COMPUTED_VALUE"""),"")</f>
        <v/>
      </c>
      <c r="C16438" s="12" t="str">
        <f ca="1">IFERROR(__xludf.DUMMYFUNCTION("""COMPUTED_VALUE"""),"")</f>
        <v/>
      </c>
      <c r="D16438" s="12" t="str">
        <f ca="1">IFERROR(__xludf.DUMMYFUNCTION("""COMPUTED_VALUE"""),"")</f>
        <v/>
      </c>
    </row>
    <row r="16439" spans="2:4" ht="13">
      <c r="B16439" s="12" t="str">
        <f ca="1">IFERROR(__xludf.DUMMYFUNCTION("""COMPUTED_VALUE"""),"")</f>
        <v/>
      </c>
      <c r="C16439" s="12" t="str">
        <f ca="1">IFERROR(__xludf.DUMMYFUNCTION("""COMPUTED_VALUE"""),"")</f>
        <v/>
      </c>
      <c r="D16439" s="12" t="str">
        <f ca="1">IFERROR(__xludf.DUMMYFUNCTION("""COMPUTED_VALUE"""),"")</f>
        <v/>
      </c>
    </row>
    <row r="16440" spans="2:4" ht="13">
      <c r="B16440" s="12" t="str">
        <f ca="1">IFERROR(__xludf.DUMMYFUNCTION("""COMPUTED_VALUE"""),"")</f>
        <v/>
      </c>
      <c r="C16440" s="12" t="str">
        <f ca="1">IFERROR(__xludf.DUMMYFUNCTION("""COMPUTED_VALUE"""),"")</f>
        <v/>
      </c>
      <c r="D16440" s="12" t="str">
        <f ca="1">IFERROR(__xludf.DUMMYFUNCTION("""COMPUTED_VALUE"""),"")</f>
        <v/>
      </c>
    </row>
    <row r="16441" spans="2:4" ht="13">
      <c r="B16441" s="12" t="str">
        <f ca="1">IFERROR(__xludf.DUMMYFUNCTION("""COMPUTED_VALUE"""),"")</f>
        <v/>
      </c>
      <c r="C16441" s="12" t="str">
        <f ca="1">IFERROR(__xludf.DUMMYFUNCTION("""COMPUTED_VALUE"""),"")</f>
        <v/>
      </c>
      <c r="D16441" s="12" t="str">
        <f ca="1">IFERROR(__xludf.DUMMYFUNCTION("""COMPUTED_VALUE"""),"")</f>
        <v/>
      </c>
    </row>
    <row r="16442" spans="2:4" ht="13">
      <c r="B16442" s="12" t="str">
        <f ca="1">IFERROR(__xludf.DUMMYFUNCTION("""COMPUTED_VALUE"""),"")</f>
        <v/>
      </c>
      <c r="C16442" s="12" t="str">
        <f ca="1">IFERROR(__xludf.DUMMYFUNCTION("""COMPUTED_VALUE"""),"")</f>
        <v/>
      </c>
      <c r="D16442" s="12" t="str">
        <f ca="1">IFERROR(__xludf.DUMMYFUNCTION("""COMPUTED_VALUE"""),"")</f>
        <v/>
      </c>
    </row>
    <row r="16443" spans="2:4" ht="13">
      <c r="B16443" s="12" t="str">
        <f ca="1">IFERROR(__xludf.DUMMYFUNCTION("""COMPUTED_VALUE"""),"")</f>
        <v/>
      </c>
      <c r="C16443" s="12" t="str">
        <f ca="1">IFERROR(__xludf.DUMMYFUNCTION("""COMPUTED_VALUE"""),"")</f>
        <v/>
      </c>
      <c r="D16443" s="12" t="str">
        <f ca="1">IFERROR(__xludf.DUMMYFUNCTION("""COMPUTED_VALUE"""),"")</f>
        <v/>
      </c>
    </row>
    <row r="16444" spans="2:4" ht="13">
      <c r="B16444" s="12" t="str">
        <f ca="1">IFERROR(__xludf.DUMMYFUNCTION("""COMPUTED_VALUE"""),"")</f>
        <v/>
      </c>
      <c r="C16444" s="12" t="str">
        <f ca="1">IFERROR(__xludf.DUMMYFUNCTION("""COMPUTED_VALUE"""),"")</f>
        <v/>
      </c>
      <c r="D16444" s="12" t="str">
        <f ca="1">IFERROR(__xludf.DUMMYFUNCTION("""COMPUTED_VALUE"""),"")</f>
        <v/>
      </c>
    </row>
    <row r="16445" spans="2:4" ht="13">
      <c r="B16445" s="12" t="str">
        <f ca="1">IFERROR(__xludf.DUMMYFUNCTION("""COMPUTED_VALUE"""),"")</f>
        <v/>
      </c>
      <c r="C16445" s="12" t="str">
        <f ca="1">IFERROR(__xludf.DUMMYFUNCTION("""COMPUTED_VALUE"""),"")</f>
        <v/>
      </c>
      <c r="D16445" s="12" t="str">
        <f ca="1">IFERROR(__xludf.DUMMYFUNCTION("""COMPUTED_VALUE"""),"")</f>
        <v/>
      </c>
    </row>
    <row r="16446" spans="2:4" ht="13">
      <c r="B16446" s="12" t="str">
        <f ca="1">IFERROR(__xludf.DUMMYFUNCTION("""COMPUTED_VALUE"""),"")</f>
        <v/>
      </c>
      <c r="C16446" s="12" t="str">
        <f ca="1">IFERROR(__xludf.DUMMYFUNCTION("""COMPUTED_VALUE"""),"")</f>
        <v/>
      </c>
      <c r="D16446" s="12" t="str">
        <f ca="1">IFERROR(__xludf.DUMMYFUNCTION("""COMPUTED_VALUE"""),"")</f>
        <v/>
      </c>
    </row>
    <row r="16447" spans="2:4" ht="13">
      <c r="B16447" s="12" t="str">
        <f ca="1">IFERROR(__xludf.DUMMYFUNCTION("""COMPUTED_VALUE"""),"")</f>
        <v/>
      </c>
      <c r="C16447" s="12" t="str">
        <f ca="1">IFERROR(__xludf.DUMMYFUNCTION("""COMPUTED_VALUE"""),"")</f>
        <v/>
      </c>
      <c r="D16447" s="12" t="str">
        <f ca="1">IFERROR(__xludf.DUMMYFUNCTION("""COMPUTED_VALUE"""),"")</f>
        <v/>
      </c>
    </row>
    <row r="16448" spans="2:4" ht="13">
      <c r="B16448" s="12" t="str">
        <f ca="1">IFERROR(__xludf.DUMMYFUNCTION("""COMPUTED_VALUE"""),"")</f>
        <v/>
      </c>
      <c r="C16448" s="12" t="str">
        <f ca="1">IFERROR(__xludf.DUMMYFUNCTION("""COMPUTED_VALUE"""),"")</f>
        <v/>
      </c>
      <c r="D16448" s="12" t="str">
        <f ca="1">IFERROR(__xludf.DUMMYFUNCTION("""COMPUTED_VALUE"""),"")</f>
        <v/>
      </c>
    </row>
    <row r="16449" spans="2:4" ht="13">
      <c r="B16449" s="12" t="str">
        <f ca="1">IFERROR(__xludf.DUMMYFUNCTION("""COMPUTED_VALUE"""),"")</f>
        <v/>
      </c>
      <c r="C16449" s="12" t="str">
        <f ca="1">IFERROR(__xludf.DUMMYFUNCTION("""COMPUTED_VALUE"""),"")</f>
        <v/>
      </c>
      <c r="D16449" s="12" t="str">
        <f ca="1">IFERROR(__xludf.DUMMYFUNCTION("""COMPUTED_VALUE"""),"")</f>
        <v/>
      </c>
    </row>
    <row r="16450" spans="2:4" ht="13">
      <c r="B16450" s="12" t="str">
        <f ca="1">IFERROR(__xludf.DUMMYFUNCTION("""COMPUTED_VALUE"""),"")</f>
        <v/>
      </c>
      <c r="C16450" s="12" t="str">
        <f ca="1">IFERROR(__xludf.DUMMYFUNCTION("""COMPUTED_VALUE"""),"")</f>
        <v/>
      </c>
      <c r="D16450" s="12" t="str">
        <f ca="1">IFERROR(__xludf.DUMMYFUNCTION("""COMPUTED_VALUE"""),"")</f>
        <v/>
      </c>
    </row>
    <row r="16451" spans="2:4" ht="13">
      <c r="B16451" s="12" t="str">
        <f ca="1">IFERROR(__xludf.DUMMYFUNCTION("""COMPUTED_VALUE"""),"")</f>
        <v/>
      </c>
      <c r="C16451" s="12" t="str">
        <f ca="1">IFERROR(__xludf.DUMMYFUNCTION("""COMPUTED_VALUE"""),"")</f>
        <v/>
      </c>
      <c r="D16451" s="12" t="str">
        <f ca="1">IFERROR(__xludf.DUMMYFUNCTION("""COMPUTED_VALUE"""),"")</f>
        <v/>
      </c>
    </row>
    <row r="16452" spans="2:4" ht="13">
      <c r="B16452" s="12" t="str">
        <f ca="1">IFERROR(__xludf.DUMMYFUNCTION("""COMPUTED_VALUE"""),"")</f>
        <v/>
      </c>
      <c r="C16452" s="12" t="str">
        <f ca="1">IFERROR(__xludf.DUMMYFUNCTION("""COMPUTED_VALUE"""),"")</f>
        <v/>
      </c>
      <c r="D16452" s="12" t="str">
        <f ca="1">IFERROR(__xludf.DUMMYFUNCTION("""COMPUTED_VALUE"""),"")</f>
        <v/>
      </c>
    </row>
    <row r="16453" spans="2:4" ht="13">
      <c r="B16453" s="12" t="str">
        <f ca="1">IFERROR(__xludf.DUMMYFUNCTION("""COMPUTED_VALUE"""),"")</f>
        <v/>
      </c>
      <c r="C16453" s="12" t="str">
        <f ca="1">IFERROR(__xludf.DUMMYFUNCTION("""COMPUTED_VALUE"""),"")</f>
        <v/>
      </c>
      <c r="D16453" s="12" t="str">
        <f ca="1">IFERROR(__xludf.DUMMYFUNCTION("""COMPUTED_VALUE"""),"")</f>
        <v/>
      </c>
    </row>
    <row r="16454" spans="2:4" ht="13">
      <c r="B16454" s="12" t="str">
        <f ca="1">IFERROR(__xludf.DUMMYFUNCTION("""COMPUTED_VALUE"""),"")</f>
        <v/>
      </c>
      <c r="C16454" s="12" t="str">
        <f ca="1">IFERROR(__xludf.DUMMYFUNCTION("""COMPUTED_VALUE"""),"")</f>
        <v/>
      </c>
      <c r="D16454" s="12" t="str">
        <f ca="1">IFERROR(__xludf.DUMMYFUNCTION("""COMPUTED_VALUE"""),"")</f>
        <v/>
      </c>
    </row>
    <row r="16455" spans="2:4" ht="13">
      <c r="B16455" s="12" t="str">
        <f ca="1">IFERROR(__xludf.DUMMYFUNCTION("""COMPUTED_VALUE"""),"")</f>
        <v/>
      </c>
      <c r="C16455" s="12" t="str">
        <f ca="1">IFERROR(__xludf.DUMMYFUNCTION("""COMPUTED_VALUE"""),"")</f>
        <v/>
      </c>
      <c r="D16455" s="12" t="str">
        <f ca="1">IFERROR(__xludf.DUMMYFUNCTION("""COMPUTED_VALUE"""),"")</f>
        <v/>
      </c>
    </row>
    <row r="16456" spans="2:4" ht="13">
      <c r="B16456" s="12" t="str">
        <f ca="1">IFERROR(__xludf.DUMMYFUNCTION("""COMPUTED_VALUE"""),"")</f>
        <v/>
      </c>
      <c r="C16456" s="12" t="str">
        <f ca="1">IFERROR(__xludf.DUMMYFUNCTION("""COMPUTED_VALUE"""),"")</f>
        <v/>
      </c>
      <c r="D16456" s="12" t="str">
        <f ca="1">IFERROR(__xludf.DUMMYFUNCTION("""COMPUTED_VALUE"""),"")</f>
        <v/>
      </c>
    </row>
    <row r="16457" spans="2:4" ht="13">
      <c r="B16457" s="12" t="str">
        <f ca="1">IFERROR(__xludf.DUMMYFUNCTION("""COMPUTED_VALUE"""),"")</f>
        <v/>
      </c>
      <c r="C16457" s="12" t="str">
        <f ca="1">IFERROR(__xludf.DUMMYFUNCTION("""COMPUTED_VALUE"""),"")</f>
        <v/>
      </c>
      <c r="D16457" s="12" t="str">
        <f ca="1">IFERROR(__xludf.DUMMYFUNCTION("""COMPUTED_VALUE"""),"")</f>
        <v/>
      </c>
    </row>
    <row r="16458" spans="2:4" ht="13">
      <c r="B16458" s="12" t="str">
        <f ca="1">IFERROR(__xludf.DUMMYFUNCTION("""COMPUTED_VALUE"""),"")</f>
        <v/>
      </c>
      <c r="C16458" s="12" t="str">
        <f ca="1">IFERROR(__xludf.DUMMYFUNCTION("""COMPUTED_VALUE"""),"")</f>
        <v/>
      </c>
      <c r="D16458" s="12" t="str">
        <f ca="1">IFERROR(__xludf.DUMMYFUNCTION("""COMPUTED_VALUE"""),"")</f>
        <v/>
      </c>
    </row>
    <row r="16459" spans="2:4" ht="13">
      <c r="B16459" s="12" t="str">
        <f ca="1">IFERROR(__xludf.DUMMYFUNCTION("""COMPUTED_VALUE"""),"")</f>
        <v/>
      </c>
      <c r="C16459" s="12" t="str">
        <f ca="1">IFERROR(__xludf.DUMMYFUNCTION("""COMPUTED_VALUE"""),"")</f>
        <v/>
      </c>
      <c r="D16459" s="12" t="str">
        <f ca="1">IFERROR(__xludf.DUMMYFUNCTION("""COMPUTED_VALUE"""),"")</f>
        <v/>
      </c>
    </row>
    <row r="16460" spans="2:4" ht="13">
      <c r="B16460" s="12" t="str">
        <f ca="1">IFERROR(__xludf.DUMMYFUNCTION("""COMPUTED_VALUE"""),"")</f>
        <v/>
      </c>
      <c r="C16460" s="12" t="str">
        <f ca="1">IFERROR(__xludf.DUMMYFUNCTION("""COMPUTED_VALUE"""),"")</f>
        <v/>
      </c>
      <c r="D16460" s="12" t="str">
        <f ca="1">IFERROR(__xludf.DUMMYFUNCTION("""COMPUTED_VALUE"""),"")</f>
        <v/>
      </c>
    </row>
    <row r="16461" spans="2:4" ht="13">
      <c r="B16461" s="12" t="str">
        <f ca="1">IFERROR(__xludf.DUMMYFUNCTION("""COMPUTED_VALUE"""),"")</f>
        <v/>
      </c>
      <c r="C16461" s="12" t="str">
        <f ca="1">IFERROR(__xludf.DUMMYFUNCTION("""COMPUTED_VALUE"""),"")</f>
        <v/>
      </c>
      <c r="D16461" s="12" t="str">
        <f ca="1">IFERROR(__xludf.DUMMYFUNCTION("""COMPUTED_VALUE"""),"")</f>
        <v/>
      </c>
    </row>
    <row r="16462" spans="2:4" ht="13">
      <c r="B16462" s="12" t="str">
        <f ca="1">IFERROR(__xludf.DUMMYFUNCTION("""COMPUTED_VALUE"""),"")</f>
        <v/>
      </c>
      <c r="C16462" s="12" t="str">
        <f ca="1">IFERROR(__xludf.DUMMYFUNCTION("""COMPUTED_VALUE"""),"")</f>
        <v/>
      </c>
      <c r="D16462" s="12" t="str">
        <f ca="1">IFERROR(__xludf.DUMMYFUNCTION("""COMPUTED_VALUE"""),"")</f>
        <v/>
      </c>
    </row>
    <row r="16463" spans="2:4" ht="13">
      <c r="B16463" s="12" t="str">
        <f ca="1">IFERROR(__xludf.DUMMYFUNCTION("""COMPUTED_VALUE"""),"")</f>
        <v/>
      </c>
      <c r="C16463" s="12" t="str">
        <f ca="1">IFERROR(__xludf.DUMMYFUNCTION("""COMPUTED_VALUE"""),"")</f>
        <v/>
      </c>
      <c r="D16463" s="12" t="str">
        <f ca="1">IFERROR(__xludf.DUMMYFUNCTION("""COMPUTED_VALUE"""),"")</f>
        <v/>
      </c>
    </row>
    <row r="16464" spans="2:4" ht="13">
      <c r="B16464" s="12" t="str">
        <f ca="1">IFERROR(__xludf.DUMMYFUNCTION("""COMPUTED_VALUE"""),"")</f>
        <v/>
      </c>
      <c r="C16464" s="12" t="str">
        <f ca="1">IFERROR(__xludf.DUMMYFUNCTION("""COMPUTED_VALUE"""),"")</f>
        <v/>
      </c>
      <c r="D16464" s="12" t="str">
        <f ca="1">IFERROR(__xludf.DUMMYFUNCTION("""COMPUTED_VALUE"""),"")</f>
        <v/>
      </c>
    </row>
    <row r="16465" spans="2:4" ht="13">
      <c r="B16465" s="12" t="str">
        <f ca="1">IFERROR(__xludf.DUMMYFUNCTION("""COMPUTED_VALUE"""),"")</f>
        <v/>
      </c>
      <c r="C16465" s="12" t="str">
        <f ca="1">IFERROR(__xludf.DUMMYFUNCTION("""COMPUTED_VALUE"""),"")</f>
        <v/>
      </c>
      <c r="D16465" s="12" t="str">
        <f ca="1">IFERROR(__xludf.DUMMYFUNCTION("""COMPUTED_VALUE"""),"")</f>
        <v/>
      </c>
    </row>
    <row r="16466" spans="2:4" ht="13">
      <c r="B16466" s="12" t="str">
        <f ca="1">IFERROR(__xludf.DUMMYFUNCTION("""COMPUTED_VALUE"""),"")</f>
        <v/>
      </c>
      <c r="C16466" s="12" t="str">
        <f ca="1">IFERROR(__xludf.DUMMYFUNCTION("""COMPUTED_VALUE"""),"")</f>
        <v/>
      </c>
      <c r="D16466" s="12" t="str">
        <f ca="1">IFERROR(__xludf.DUMMYFUNCTION("""COMPUTED_VALUE"""),"")</f>
        <v/>
      </c>
    </row>
    <row r="16467" spans="2:4" ht="13">
      <c r="B16467" s="12" t="str">
        <f ca="1">IFERROR(__xludf.DUMMYFUNCTION("""COMPUTED_VALUE"""),"")</f>
        <v/>
      </c>
      <c r="C16467" s="12" t="str">
        <f ca="1">IFERROR(__xludf.DUMMYFUNCTION("""COMPUTED_VALUE"""),"")</f>
        <v/>
      </c>
      <c r="D16467" s="12" t="str">
        <f ca="1">IFERROR(__xludf.DUMMYFUNCTION("""COMPUTED_VALUE"""),"")</f>
        <v/>
      </c>
    </row>
    <row r="16468" spans="2:4" ht="13">
      <c r="B16468" s="12" t="str">
        <f ca="1">IFERROR(__xludf.DUMMYFUNCTION("""COMPUTED_VALUE"""),"")</f>
        <v/>
      </c>
      <c r="C16468" s="12" t="str">
        <f ca="1">IFERROR(__xludf.DUMMYFUNCTION("""COMPUTED_VALUE"""),"")</f>
        <v/>
      </c>
      <c r="D16468" s="12" t="str">
        <f ca="1">IFERROR(__xludf.DUMMYFUNCTION("""COMPUTED_VALUE"""),"")</f>
        <v/>
      </c>
    </row>
    <row r="16469" spans="2:4" ht="13">
      <c r="B16469" s="12" t="str">
        <f ca="1">IFERROR(__xludf.DUMMYFUNCTION("""COMPUTED_VALUE"""),"")</f>
        <v/>
      </c>
      <c r="C16469" s="12" t="str">
        <f ca="1">IFERROR(__xludf.DUMMYFUNCTION("""COMPUTED_VALUE"""),"")</f>
        <v/>
      </c>
      <c r="D16469" s="12" t="str">
        <f ca="1">IFERROR(__xludf.DUMMYFUNCTION("""COMPUTED_VALUE"""),"")</f>
        <v/>
      </c>
    </row>
    <row r="16470" spans="2:4" ht="13">
      <c r="B16470" s="12" t="str">
        <f ca="1">IFERROR(__xludf.DUMMYFUNCTION("""COMPUTED_VALUE"""),"")</f>
        <v/>
      </c>
      <c r="C16470" s="12" t="str">
        <f ca="1">IFERROR(__xludf.DUMMYFUNCTION("""COMPUTED_VALUE"""),"")</f>
        <v/>
      </c>
      <c r="D16470" s="12" t="str">
        <f ca="1">IFERROR(__xludf.DUMMYFUNCTION("""COMPUTED_VALUE"""),"")</f>
        <v/>
      </c>
    </row>
    <row r="16471" spans="2:4" ht="13">
      <c r="B16471" s="12" t="str">
        <f ca="1">IFERROR(__xludf.DUMMYFUNCTION("""COMPUTED_VALUE"""),"")</f>
        <v/>
      </c>
      <c r="C16471" s="12" t="str">
        <f ca="1">IFERROR(__xludf.DUMMYFUNCTION("""COMPUTED_VALUE"""),"")</f>
        <v/>
      </c>
      <c r="D16471" s="12" t="str">
        <f ca="1">IFERROR(__xludf.DUMMYFUNCTION("""COMPUTED_VALUE"""),"")</f>
        <v/>
      </c>
    </row>
    <row r="16472" spans="2:4" ht="13">
      <c r="B16472" s="12" t="str">
        <f ca="1">IFERROR(__xludf.DUMMYFUNCTION("""COMPUTED_VALUE"""),"")</f>
        <v/>
      </c>
      <c r="C16472" s="12" t="str">
        <f ca="1">IFERROR(__xludf.DUMMYFUNCTION("""COMPUTED_VALUE"""),"")</f>
        <v/>
      </c>
      <c r="D16472" s="12" t="str">
        <f ca="1">IFERROR(__xludf.DUMMYFUNCTION("""COMPUTED_VALUE"""),"")</f>
        <v/>
      </c>
    </row>
    <row r="16473" spans="2:4" ht="13">
      <c r="B16473" s="12" t="str">
        <f ca="1">IFERROR(__xludf.DUMMYFUNCTION("""COMPUTED_VALUE"""),"")</f>
        <v/>
      </c>
      <c r="C16473" s="12" t="str">
        <f ca="1">IFERROR(__xludf.DUMMYFUNCTION("""COMPUTED_VALUE"""),"")</f>
        <v/>
      </c>
      <c r="D16473" s="12" t="str">
        <f ca="1">IFERROR(__xludf.DUMMYFUNCTION("""COMPUTED_VALUE"""),"")</f>
        <v/>
      </c>
    </row>
    <row r="16474" spans="2:4" ht="13">
      <c r="B16474" s="12" t="str">
        <f ca="1">IFERROR(__xludf.DUMMYFUNCTION("""COMPUTED_VALUE"""),"")</f>
        <v/>
      </c>
      <c r="C16474" s="12" t="str">
        <f ca="1">IFERROR(__xludf.DUMMYFUNCTION("""COMPUTED_VALUE"""),"")</f>
        <v/>
      </c>
      <c r="D16474" s="12" t="str">
        <f ca="1">IFERROR(__xludf.DUMMYFUNCTION("""COMPUTED_VALUE"""),"")</f>
        <v/>
      </c>
    </row>
    <row r="16475" spans="2:4" ht="13">
      <c r="B16475" s="12" t="str">
        <f ca="1">IFERROR(__xludf.DUMMYFUNCTION("""COMPUTED_VALUE"""),"")</f>
        <v/>
      </c>
      <c r="C16475" s="12" t="str">
        <f ca="1">IFERROR(__xludf.DUMMYFUNCTION("""COMPUTED_VALUE"""),"")</f>
        <v/>
      </c>
      <c r="D16475" s="12" t="str">
        <f ca="1">IFERROR(__xludf.DUMMYFUNCTION("""COMPUTED_VALUE"""),"")</f>
        <v/>
      </c>
    </row>
    <row r="16476" spans="2:4" ht="13">
      <c r="B16476" s="12" t="str">
        <f ca="1">IFERROR(__xludf.DUMMYFUNCTION("""COMPUTED_VALUE"""),"")</f>
        <v/>
      </c>
      <c r="C16476" s="12" t="str">
        <f ca="1">IFERROR(__xludf.DUMMYFUNCTION("""COMPUTED_VALUE"""),"")</f>
        <v/>
      </c>
      <c r="D16476" s="12" t="str">
        <f ca="1">IFERROR(__xludf.DUMMYFUNCTION("""COMPUTED_VALUE"""),"")</f>
        <v/>
      </c>
    </row>
    <row r="16477" spans="2:4" ht="13">
      <c r="B16477" s="12" t="str">
        <f ca="1">IFERROR(__xludf.DUMMYFUNCTION("""COMPUTED_VALUE"""),"")</f>
        <v/>
      </c>
      <c r="C16477" s="12" t="str">
        <f ca="1">IFERROR(__xludf.DUMMYFUNCTION("""COMPUTED_VALUE"""),"")</f>
        <v/>
      </c>
      <c r="D16477" s="12" t="str">
        <f ca="1">IFERROR(__xludf.DUMMYFUNCTION("""COMPUTED_VALUE"""),"")</f>
        <v/>
      </c>
    </row>
    <row r="16478" spans="2:4" ht="13">
      <c r="B16478" s="12" t="str">
        <f ca="1">IFERROR(__xludf.DUMMYFUNCTION("""COMPUTED_VALUE"""),"")</f>
        <v/>
      </c>
      <c r="C16478" s="12" t="str">
        <f ca="1">IFERROR(__xludf.DUMMYFUNCTION("""COMPUTED_VALUE"""),"")</f>
        <v/>
      </c>
      <c r="D16478" s="12" t="str">
        <f ca="1">IFERROR(__xludf.DUMMYFUNCTION("""COMPUTED_VALUE"""),"")</f>
        <v/>
      </c>
    </row>
    <row r="16479" spans="2:4" ht="13">
      <c r="B16479" s="12" t="str">
        <f ca="1">IFERROR(__xludf.DUMMYFUNCTION("""COMPUTED_VALUE"""),"")</f>
        <v/>
      </c>
      <c r="C16479" s="12" t="str">
        <f ca="1">IFERROR(__xludf.DUMMYFUNCTION("""COMPUTED_VALUE"""),"")</f>
        <v/>
      </c>
      <c r="D16479" s="12" t="str">
        <f ca="1">IFERROR(__xludf.DUMMYFUNCTION("""COMPUTED_VALUE"""),"")</f>
        <v/>
      </c>
    </row>
    <row r="16480" spans="2:4" ht="13">
      <c r="B16480" s="12" t="str">
        <f ca="1">IFERROR(__xludf.DUMMYFUNCTION("""COMPUTED_VALUE"""),"")</f>
        <v/>
      </c>
      <c r="C16480" s="12" t="str">
        <f ca="1">IFERROR(__xludf.DUMMYFUNCTION("""COMPUTED_VALUE"""),"")</f>
        <v/>
      </c>
      <c r="D16480" s="12" t="str">
        <f ca="1">IFERROR(__xludf.DUMMYFUNCTION("""COMPUTED_VALUE"""),"")</f>
        <v/>
      </c>
    </row>
    <row r="16481" spans="2:4" ht="13">
      <c r="B16481" s="12" t="str">
        <f ca="1">IFERROR(__xludf.DUMMYFUNCTION("""COMPUTED_VALUE"""),"")</f>
        <v/>
      </c>
      <c r="C16481" s="12" t="str">
        <f ca="1">IFERROR(__xludf.DUMMYFUNCTION("""COMPUTED_VALUE"""),"")</f>
        <v/>
      </c>
      <c r="D16481" s="12" t="str">
        <f ca="1">IFERROR(__xludf.DUMMYFUNCTION("""COMPUTED_VALUE"""),"")</f>
        <v/>
      </c>
    </row>
    <row r="16482" spans="2:4" ht="13">
      <c r="B16482" s="12" t="str">
        <f ca="1">IFERROR(__xludf.DUMMYFUNCTION("""COMPUTED_VALUE"""),"")</f>
        <v/>
      </c>
      <c r="C16482" s="12" t="str">
        <f ca="1">IFERROR(__xludf.DUMMYFUNCTION("""COMPUTED_VALUE"""),"")</f>
        <v/>
      </c>
      <c r="D16482" s="12" t="str">
        <f ca="1">IFERROR(__xludf.DUMMYFUNCTION("""COMPUTED_VALUE"""),"")</f>
        <v/>
      </c>
    </row>
    <row r="16483" spans="2:4" ht="13">
      <c r="B16483" s="12" t="str">
        <f ca="1">IFERROR(__xludf.DUMMYFUNCTION("""COMPUTED_VALUE"""),"")</f>
        <v/>
      </c>
      <c r="C16483" s="12" t="str">
        <f ca="1">IFERROR(__xludf.DUMMYFUNCTION("""COMPUTED_VALUE"""),"")</f>
        <v/>
      </c>
      <c r="D16483" s="12" t="str">
        <f ca="1">IFERROR(__xludf.DUMMYFUNCTION("""COMPUTED_VALUE"""),"")</f>
        <v/>
      </c>
    </row>
    <row r="16484" spans="2:4" ht="13">
      <c r="B16484" s="12" t="str">
        <f ca="1">IFERROR(__xludf.DUMMYFUNCTION("""COMPUTED_VALUE"""),"")</f>
        <v/>
      </c>
      <c r="C16484" s="12" t="str">
        <f ca="1">IFERROR(__xludf.DUMMYFUNCTION("""COMPUTED_VALUE"""),"")</f>
        <v/>
      </c>
      <c r="D16484" s="12" t="str">
        <f ca="1">IFERROR(__xludf.DUMMYFUNCTION("""COMPUTED_VALUE"""),"")</f>
        <v/>
      </c>
    </row>
    <row r="16485" spans="2:4" ht="13">
      <c r="B16485" s="12" t="str">
        <f ca="1">IFERROR(__xludf.DUMMYFUNCTION("""COMPUTED_VALUE"""),"")</f>
        <v/>
      </c>
      <c r="C16485" s="12" t="str">
        <f ca="1">IFERROR(__xludf.DUMMYFUNCTION("""COMPUTED_VALUE"""),"")</f>
        <v/>
      </c>
      <c r="D16485" s="12" t="str">
        <f ca="1">IFERROR(__xludf.DUMMYFUNCTION("""COMPUTED_VALUE"""),"")</f>
        <v/>
      </c>
    </row>
    <row r="16486" spans="2:4" ht="13">
      <c r="B16486" s="12" t="str">
        <f ca="1">IFERROR(__xludf.DUMMYFUNCTION("""COMPUTED_VALUE"""),"")</f>
        <v/>
      </c>
      <c r="C16486" s="12" t="str">
        <f ca="1">IFERROR(__xludf.DUMMYFUNCTION("""COMPUTED_VALUE"""),"")</f>
        <v/>
      </c>
      <c r="D16486" s="12" t="str">
        <f ca="1">IFERROR(__xludf.DUMMYFUNCTION("""COMPUTED_VALUE"""),"")</f>
        <v/>
      </c>
    </row>
    <row r="16487" spans="2:4" ht="13">
      <c r="B16487" s="12" t="str">
        <f ca="1">IFERROR(__xludf.DUMMYFUNCTION("""COMPUTED_VALUE"""),"")</f>
        <v/>
      </c>
      <c r="C16487" s="12" t="str">
        <f ca="1">IFERROR(__xludf.DUMMYFUNCTION("""COMPUTED_VALUE"""),"")</f>
        <v/>
      </c>
      <c r="D16487" s="12" t="str">
        <f ca="1">IFERROR(__xludf.DUMMYFUNCTION("""COMPUTED_VALUE"""),"")</f>
        <v/>
      </c>
    </row>
    <row r="16488" spans="2:4" ht="13">
      <c r="B16488" s="12" t="str">
        <f ca="1">IFERROR(__xludf.DUMMYFUNCTION("""COMPUTED_VALUE"""),"")</f>
        <v/>
      </c>
      <c r="C16488" s="12" t="str">
        <f ca="1">IFERROR(__xludf.DUMMYFUNCTION("""COMPUTED_VALUE"""),"")</f>
        <v/>
      </c>
      <c r="D16488" s="12" t="str">
        <f ca="1">IFERROR(__xludf.DUMMYFUNCTION("""COMPUTED_VALUE"""),"")</f>
        <v/>
      </c>
    </row>
    <row r="16489" spans="2:4" ht="13">
      <c r="B16489" s="12" t="str">
        <f ca="1">IFERROR(__xludf.DUMMYFUNCTION("""COMPUTED_VALUE"""),"")</f>
        <v/>
      </c>
      <c r="C16489" s="12" t="str">
        <f ca="1">IFERROR(__xludf.DUMMYFUNCTION("""COMPUTED_VALUE"""),"")</f>
        <v/>
      </c>
      <c r="D16489" s="12" t="str">
        <f ca="1">IFERROR(__xludf.DUMMYFUNCTION("""COMPUTED_VALUE"""),"")</f>
        <v/>
      </c>
    </row>
    <row r="16490" spans="2:4" ht="13">
      <c r="B16490" s="12" t="str">
        <f ca="1">IFERROR(__xludf.DUMMYFUNCTION("""COMPUTED_VALUE"""),"")</f>
        <v/>
      </c>
      <c r="C16490" s="12" t="str">
        <f ca="1">IFERROR(__xludf.DUMMYFUNCTION("""COMPUTED_VALUE"""),"")</f>
        <v/>
      </c>
      <c r="D16490" s="12" t="str">
        <f ca="1">IFERROR(__xludf.DUMMYFUNCTION("""COMPUTED_VALUE"""),"")</f>
        <v/>
      </c>
    </row>
    <row r="16491" spans="2:4" ht="13">
      <c r="B16491" s="12" t="str">
        <f ca="1">IFERROR(__xludf.DUMMYFUNCTION("""COMPUTED_VALUE"""),"")</f>
        <v/>
      </c>
      <c r="C16491" s="12" t="str">
        <f ca="1">IFERROR(__xludf.DUMMYFUNCTION("""COMPUTED_VALUE"""),"")</f>
        <v/>
      </c>
      <c r="D16491" s="12" t="str">
        <f ca="1">IFERROR(__xludf.DUMMYFUNCTION("""COMPUTED_VALUE"""),"")</f>
        <v/>
      </c>
    </row>
    <row r="16492" spans="2:4" ht="13">
      <c r="B16492" s="12" t="str">
        <f ca="1">IFERROR(__xludf.DUMMYFUNCTION("""COMPUTED_VALUE"""),"")</f>
        <v/>
      </c>
      <c r="C16492" s="12" t="str">
        <f ca="1">IFERROR(__xludf.DUMMYFUNCTION("""COMPUTED_VALUE"""),"")</f>
        <v/>
      </c>
      <c r="D16492" s="12" t="str">
        <f ca="1">IFERROR(__xludf.DUMMYFUNCTION("""COMPUTED_VALUE"""),"")</f>
        <v/>
      </c>
    </row>
    <row r="16493" spans="2:4" ht="13">
      <c r="B16493" s="12" t="str">
        <f ca="1">IFERROR(__xludf.DUMMYFUNCTION("""COMPUTED_VALUE"""),"")</f>
        <v/>
      </c>
      <c r="C16493" s="12" t="str">
        <f ca="1">IFERROR(__xludf.DUMMYFUNCTION("""COMPUTED_VALUE"""),"")</f>
        <v/>
      </c>
      <c r="D16493" s="12" t="str">
        <f ca="1">IFERROR(__xludf.DUMMYFUNCTION("""COMPUTED_VALUE"""),"")</f>
        <v/>
      </c>
    </row>
    <row r="16494" spans="2:4" ht="13">
      <c r="B16494" s="12" t="str">
        <f ca="1">IFERROR(__xludf.DUMMYFUNCTION("""COMPUTED_VALUE"""),"")</f>
        <v/>
      </c>
      <c r="C16494" s="12" t="str">
        <f ca="1">IFERROR(__xludf.DUMMYFUNCTION("""COMPUTED_VALUE"""),"")</f>
        <v/>
      </c>
      <c r="D16494" s="12" t="str">
        <f ca="1">IFERROR(__xludf.DUMMYFUNCTION("""COMPUTED_VALUE"""),"")</f>
        <v/>
      </c>
    </row>
    <row r="16495" spans="2:4" ht="13">
      <c r="B16495" s="12" t="str">
        <f ca="1">IFERROR(__xludf.DUMMYFUNCTION("""COMPUTED_VALUE"""),"")</f>
        <v/>
      </c>
      <c r="C16495" s="12" t="str">
        <f ca="1">IFERROR(__xludf.DUMMYFUNCTION("""COMPUTED_VALUE"""),"")</f>
        <v/>
      </c>
      <c r="D16495" s="12" t="str">
        <f ca="1">IFERROR(__xludf.DUMMYFUNCTION("""COMPUTED_VALUE"""),"")</f>
        <v/>
      </c>
    </row>
    <row r="16496" spans="2:4" ht="13">
      <c r="B16496" s="12" t="str">
        <f ca="1">IFERROR(__xludf.DUMMYFUNCTION("""COMPUTED_VALUE"""),"")</f>
        <v/>
      </c>
      <c r="C16496" s="12" t="str">
        <f ca="1">IFERROR(__xludf.DUMMYFUNCTION("""COMPUTED_VALUE"""),"")</f>
        <v/>
      </c>
      <c r="D16496" s="12" t="str">
        <f ca="1">IFERROR(__xludf.DUMMYFUNCTION("""COMPUTED_VALUE"""),"")</f>
        <v/>
      </c>
    </row>
    <row r="16497" spans="2:4" ht="13">
      <c r="B16497" s="12" t="str">
        <f ca="1">IFERROR(__xludf.DUMMYFUNCTION("""COMPUTED_VALUE"""),"")</f>
        <v/>
      </c>
      <c r="C16497" s="12" t="str">
        <f ca="1">IFERROR(__xludf.DUMMYFUNCTION("""COMPUTED_VALUE"""),"")</f>
        <v/>
      </c>
      <c r="D16497" s="12" t="str">
        <f ca="1">IFERROR(__xludf.DUMMYFUNCTION("""COMPUTED_VALUE"""),"")</f>
        <v/>
      </c>
    </row>
    <row r="16498" spans="2:4" ht="13">
      <c r="B16498" s="12" t="str">
        <f ca="1">IFERROR(__xludf.DUMMYFUNCTION("""COMPUTED_VALUE"""),"")</f>
        <v/>
      </c>
      <c r="C16498" s="12" t="str">
        <f ca="1">IFERROR(__xludf.DUMMYFUNCTION("""COMPUTED_VALUE"""),"")</f>
        <v/>
      </c>
      <c r="D16498" s="12" t="str">
        <f ca="1">IFERROR(__xludf.DUMMYFUNCTION("""COMPUTED_VALUE"""),"")</f>
        <v/>
      </c>
    </row>
    <row r="16499" spans="2:4" ht="13">
      <c r="B16499" s="12" t="str">
        <f ca="1">IFERROR(__xludf.DUMMYFUNCTION("""COMPUTED_VALUE"""),"")</f>
        <v/>
      </c>
      <c r="C16499" s="12" t="str">
        <f ca="1">IFERROR(__xludf.DUMMYFUNCTION("""COMPUTED_VALUE"""),"")</f>
        <v/>
      </c>
      <c r="D16499" s="12" t="str">
        <f ca="1">IFERROR(__xludf.DUMMYFUNCTION("""COMPUTED_VALUE"""),"")</f>
        <v/>
      </c>
    </row>
    <row r="16500" spans="2:4" ht="13">
      <c r="B16500" s="12" t="str">
        <f ca="1">IFERROR(__xludf.DUMMYFUNCTION("""COMPUTED_VALUE"""),"")</f>
        <v/>
      </c>
      <c r="C16500" s="12" t="str">
        <f ca="1">IFERROR(__xludf.DUMMYFUNCTION("""COMPUTED_VALUE"""),"")</f>
        <v/>
      </c>
      <c r="D16500" s="12" t="str">
        <f ca="1">IFERROR(__xludf.DUMMYFUNCTION("""COMPUTED_VALUE"""),"")</f>
        <v/>
      </c>
    </row>
    <row r="16501" spans="2:4" ht="13">
      <c r="B16501" s="12" t="str">
        <f ca="1">IFERROR(__xludf.DUMMYFUNCTION("""COMPUTED_VALUE"""),"")</f>
        <v/>
      </c>
      <c r="C16501" s="12" t="str">
        <f ca="1">IFERROR(__xludf.DUMMYFUNCTION("""COMPUTED_VALUE"""),"")</f>
        <v/>
      </c>
      <c r="D16501" s="12" t="str">
        <f ca="1">IFERROR(__xludf.DUMMYFUNCTION("""COMPUTED_VALUE"""),"")</f>
        <v/>
      </c>
    </row>
    <row r="16502" spans="2:4" ht="13">
      <c r="B16502" s="12" t="str">
        <f ca="1">IFERROR(__xludf.DUMMYFUNCTION("""COMPUTED_VALUE"""),"")</f>
        <v/>
      </c>
      <c r="C16502" s="12" t="str">
        <f ca="1">IFERROR(__xludf.DUMMYFUNCTION("""COMPUTED_VALUE"""),"")</f>
        <v/>
      </c>
      <c r="D16502" s="12" t="str">
        <f ca="1">IFERROR(__xludf.DUMMYFUNCTION("""COMPUTED_VALUE"""),"")</f>
        <v/>
      </c>
    </row>
    <row r="16503" spans="2:4" ht="13">
      <c r="B16503" s="12" t="str">
        <f ca="1">IFERROR(__xludf.DUMMYFUNCTION("""COMPUTED_VALUE"""),"")</f>
        <v/>
      </c>
      <c r="C16503" s="12" t="str">
        <f ca="1">IFERROR(__xludf.DUMMYFUNCTION("""COMPUTED_VALUE"""),"")</f>
        <v/>
      </c>
      <c r="D16503" s="12" t="str">
        <f ca="1">IFERROR(__xludf.DUMMYFUNCTION("""COMPUTED_VALUE"""),"")</f>
        <v/>
      </c>
    </row>
    <row r="16504" spans="2:4" ht="13">
      <c r="B16504" s="12" t="str">
        <f ca="1">IFERROR(__xludf.DUMMYFUNCTION("""COMPUTED_VALUE"""),"")</f>
        <v/>
      </c>
      <c r="C16504" s="12" t="str">
        <f ca="1">IFERROR(__xludf.DUMMYFUNCTION("""COMPUTED_VALUE"""),"")</f>
        <v/>
      </c>
      <c r="D16504" s="12" t="str">
        <f ca="1">IFERROR(__xludf.DUMMYFUNCTION("""COMPUTED_VALUE"""),"")</f>
        <v/>
      </c>
    </row>
    <row r="16505" spans="2:4" ht="13">
      <c r="B16505" s="12" t="str">
        <f ca="1">IFERROR(__xludf.DUMMYFUNCTION("""COMPUTED_VALUE"""),"")</f>
        <v/>
      </c>
      <c r="C16505" s="12" t="str">
        <f ca="1">IFERROR(__xludf.DUMMYFUNCTION("""COMPUTED_VALUE"""),"")</f>
        <v/>
      </c>
      <c r="D16505" s="12" t="str">
        <f ca="1">IFERROR(__xludf.DUMMYFUNCTION("""COMPUTED_VALUE"""),"")</f>
        <v/>
      </c>
    </row>
    <row r="16506" spans="2:4" ht="13">
      <c r="B16506" s="12" t="str">
        <f ca="1">IFERROR(__xludf.DUMMYFUNCTION("""COMPUTED_VALUE"""),"")</f>
        <v/>
      </c>
      <c r="C16506" s="12" t="str">
        <f ca="1">IFERROR(__xludf.DUMMYFUNCTION("""COMPUTED_VALUE"""),"")</f>
        <v/>
      </c>
      <c r="D16506" s="12" t="str">
        <f ca="1">IFERROR(__xludf.DUMMYFUNCTION("""COMPUTED_VALUE"""),"")</f>
        <v/>
      </c>
    </row>
    <row r="16507" spans="2:4" ht="13">
      <c r="B16507" s="12" t="str">
        <f ca="1">IFERROR(__xludf.DUMMYFUNCTION("""COMPUTED_VALUE"""),"")</f>
        <v/>
      </c>
      <c r="C16507" s="12" t="str">
        <f ca="1">IFERROR(__xludf.DUMMYFUNCTION("""COMPUTED_VALUE"""),"")</f>
        <v/>
      </c>
      <c r="D16507" s="12" t="str">
        <f ca="1">IFERROR(__xludf.DUMMYFUNCTION("""COMPUTED_VALUE"""),"")</f>
        <v/>
      </c>
    </row>
    <row r="16508" spans="2:4" ht="13">
      <c r="B16508" s="12" t="str">
        <f ca="1">IFERROR(__xludf.DUMMYFUNCTION("""COMPUTED_VALUE"""),"")</f>
        <v/>
      </c>
      <c r="C16508" s="12" t="str">
        <f ca="1">IFERROR(__xludf.DUMMYFUNCTION("""COMPUTED_VALUE"""),"")</f>
        <v/>
      </c>
      <c r="D16508" s="12" t="str">
        <f ca="1">IFERROR(__xludf.DUMMYFUNCTION("""COMPUTED_VALUE"""),"")</f>
        <v/>
      </c>
    </row>
    <row r="16509" spans="2:4" ht="13">
      <c r="B16509" s="12" t="str">
        <f ca="1">IFERROR(__xludf.DUMMYFUNCTION("""COMPUTED_VALUE"""),"")</f>
        <v/>
      </c>
      <c r="C16509" s="12" t="str">
        <f ca="1">IFERROR(__xludf.DUMMYFUNCTION("""COMPUTED_VALUE"""),"")</f>
        <v/>
      </c>
      <c r="D16509" s="12" t="str">
        <f ca="1">IFERROR(__xludf.DUMMYFUNCTION("""COMPUTED_VALUE"""),"")</f>
        <v/>
      </c>
    </row>
    <row r="16510" spans="2:4" ht="13">
      <c r="B16510" s="12" t="str">
        <f ca="1">IFERROR(__xludf.DUMMYFUNCTION("""COMPUTED_VALUE"""),"")</f>
        <v/>
      </c>
      <c r="C16510" s="12" t="str">
        <f ca="1">IFERROR(__xludf.DUMMYFUNCTION("""COMPUTED_VALUE"""),"")</f>
        <v/>
      </c>
      <c r="D16510" s="12" t="str">
        <f ca="1">IFERROR(__xludf.DUMMYFUNCTION("""COMPUTED_VALUE"""),"")</f>
        <v/>
      </c>
    </row>
    <row r="16511" spans="2:4" ht="13">
      <c r="B16511" s="12" t="str">
        <f ca="1">IFERROR(__xludf.DUMMYFUNCTION("""COMPUTED_VALUE"""),"")</f>
        <v/>
      </c>
      <c r="C16511" s="12" t="str">
        <f ca="1">IFERROR(__xludf.DUMMYFUNCTION("""COMPUTED_VALUE"""),"")</f>
        <v/>
      </c>
      <c r="D16511" s="12" t="str">
        <f ca="1">IFERROR(__xludf.DUMMYFUNCTION("""COMPUTED_VALUE"""),"")</f>
        <v/>
      </c>
    </row>
    <row r="16512" spans="2:4" ht="13">
      <c r="B16512" s="12" t="str">
        <f ca="1">IFERROR(__xludf.DUMMYFUNCTION("""COMPUTED_VALUE"""),"")</f>
        <v/>
      </c>
      <c r="C16512" s="12" t="str">
        <f ca="1">IFERROR(__xludf.DUMMYFUNCTION("""COMPUTED_VALUE"""),"")</f>
        <v/>
      </c>
      <c r="D16512" s="12" t="str">
        <f ca="1">IFERROR(__xludf.DUMMYFUNCTION("""COMPUTED_VALUE"""),"")</f>
        <v/>
      </c>
    </row>
    <row r="16513" spans="2:4" ht="13">
      <c r="B16513" s="12" t="str">
        <f ca="1">IFERROR(__xludf.DUMMYFUNCTION("""COMPUTED_VALUE"""),"")</f>
        <v/>
      </c>
      <c r="C16513" s="12" t="str">
        <f ca="1">IFERROR(__xludf.DUMMYFUNCTION("""COMPUTED_VALUE"""),"")</f>
        <v/>
      </c>
      <c r="D16513" s="12" t="str">
        <f ca="1">IFERROR(__xludf.DUMMYFUNCTION("""COMPUTED_VALUE"""),"")</f>
        <v/>
      </c>
    </row>
    <row r="16514" spans="2:4" ht="13">
      <c r="B16514" s="12" t="str">
        <f ca="1">IFERROR(__xludf.DUMMYFUNCTION("""COMPUTED_VALUE"""),"")</f>
        <v/>
      </c>
      <c r="C16514" s="12" t="str">
        <f ca="1">IFERROR(__xludf.DUMMYFUNCTION("""COMPUTED_VALUE"""),"")</f>
        <v/>
      </c>
      <c r="D16514" s="12" t="str">
        <f ca="1">IFERROR(__xludf.DUMMYFUNCTION("""COMPUTED_VALUE"""),"")</f>
        <v/>
      </c>
    </row>
    <row r="16515" spans="2:4" ht="13">
      <c r="B16515" s="12" t="str">
        <f ca="1">IFERROR(__xludf.DUMMYFUNCTION("""COMPUTED_VALUE"""),"")</f>
        <v/>
      </c>
      <c r="C16515" s="12" t="str">
        <f ca="1">IFERROR(__xludf.DUMMYFUNCTION("""COMPUTED_VALUE"""),"")</f>
        <v/>
      </c>
      <c r="D16515" s="12" t="str">
        <f ca="1">IFERROR(__xludf.DUMMYFUNCTION("""COMPUTED_VALUE"""),"")</f>
        <v/>
      </c>
    </row>
    <row r="16516" spans="2:4" ht="13">
      <c r="B16516" s="12" t="str">
        <f ca="1">IFERROR(__xludf.DUMMYFUNCTION("""COMPUTED_VALUE"""),"")</f>
        <v/>
      </c>
      <c r="C16516" s="12" t="str">
        <f ca="1">IFERROR(__xludf.DUMMYFUNCTION("""COMPUTED_VALUE"""),"")</f>
        <v/>
      </c>
      <c r="D16516" s="12" t="str">
        <f ca="1">IFERROR(__xludf.DUMMYFUNCTION("""COMPUTED_VALUE"""),"")</f>
        <v/>
      </c>
    </row>
    <row r="16517" spans="2:4" ht="13">
      <c r="B16517" s="12" t="str">
        <f ca="1">IFERROR(__xludf.DUMMYFUNCTION("""COMPUTED_VALUE"""),"")</f>
        <v/>
      </c>
      <c r="C16517" s="12" t="str">
        <f ca="1">IFERROR(__xludf.DUMMYFUNCTION("""COMPUTED_VALUE"""),"")</f>
        <v/>
      </c>
      <c r="D16517" s="12" t="str">
        <f ca="1">IFERROR(__xludf.DUMMYFUNCTION("""COMPUTED_VALUE"""),"")</f>
        <v/>
      </c>
    </row>
    <row r="16518" spans="2:4" ht="13">
      <c r="B16518" s="12" t="str">
        <f ca="1">IFERROR(__xludf.DUMMYFUNCTION("""COMPUTED_VALUE"""),"")</f>
        <v/>
      </c>
      <c r="C16518" s="12" t="str">
        <f ca="1">IFERROR(__xludf.DUMMYFUNCTION("""COMPUTED_VALUE"""),"")</f>
        <v/>
      </c>
      <c r="D16518" s="12" t="str">
        <f ca="1">IFERROR(__xludf.DUMMYFUNCTION("""COMPUTED_VALUE"""),"")</f>
        <v/>
      </c>
    </row>
    <row r="16519" spans="2:4" ht="13">
      <c r="B16519" s="12" t="str">
        <f ca="1">IFERROR(__xludf.DUMMYFUNCTION("""COMPUTED_VALUE"""),"")</f>
        <v/>
      </c>
      <c r="C16519" s="12" t="str">
        <f ca="1">IFERROR(__xludf.DUMMYFUNCTION("""COMPUTED_VALUE"""),"")</f>
        <v/>
      </c>
      <c r="D16519" s="12" t="str">
        <f ca="1">IFERROR(__xludf.DUMMYFUNCTION("""COMPUTED_VALUE"""),"")</f>
        <v/>
      </c>
    </row>
    <row r="16520" spans="2:4" ht="13">
      <c r="B16520" s="12" t="str">
        <f ca="1">IFERROR(__xludf.DUMMYFUNCTION("""COMPUTED_VALUE"""),"")</f>
        <v/>
      </c>
      <c r="C16520" s="12" t="str">
        <f ca="1">IFERROR(__xludf.DUMMYFUNCTION("""COMPUTED_VALUE"""),"")</f>
        <v/>
      </c>
      <c r="D16520" s="12" t="str">
        <f ca="1">IFERROR(__xludf.DUMMYFUNCTION("""COMPUTED_VALUE"""),"")</f>
        <v/>
      </c>
    </row>
    <row r="16521" spans="2:4" ht="13">
      <c r="B16521" s="12" t="str">
        <f ca="1">IFERROR(__xludf.DUMMYFUNCTION("""COMPUTED_VALUE"""),"")</f>
        <v/>
      </c>
      <c r="C16521" s="12" t="str">
        <f ca="1">IFERROR(__xludf.DUMMYFUNCTION("""COMPUTED_VALUE"""),"")</f>
        <v/>
      </c>
      <c r="D16521" s="12" t="str">
        <f ca="1">IFERROR(__xludf.DUMMYFUNCTION("""COMPUTED_VALUE"""),"")</f>
        <v/>
      </c>
    </row>
    <row r="16522" spans="2:4" ht="13">
      <c r="B16522" s="12" t="str">
        <f ca="1">IFERROR(__xludf.DUMMYFUNCTION("""COMPUTED_VALUE"""),"")</f>
        <v/>
      </c>
      <c r="C16522" s="12" t="str">
        <f ca="1">IFERROR(__xludf.DUMMYFUNCTION("""COMPUTED_VALUE"""),"")</f>
        <v/>
      </c>
      <c r="D16522" s="12" t="str">
        <f ca="1">IFERROR(__xludf.DUMMYFUNCTION("""COMPUTED_VALUE"""),"")</f>
        <v/>
      </c>
    </row>
    <row r="16523" spans="2:4" ht="13">
      <c r="B16523" s="12" t="str">
        <f ca="1">IFERROR(__xludf.DUMMYFUNCTION("""COMPUTED_VALUE"""),"")</f>
        <v/>
      </c>
      <c r="C16523" s="12" t="str">
        <f ca="1">IFERROR(__xludf.DUMMYFUNCTION("""COMPUTED_VALUE"""),"")</f>
        <v/>
      </c>
      <c r="D16523" s="12" t="str">
        <f ca="1">IFERROR(__xludf.DUMMYFUNCTION("""COMPUTED_VALUE"""),"")</f>
        <v/>
      </c>
    </row>
    <row r="16524" spans="2:4" ht="13">
      <c r="B16524" s="12" t="str">
        <f ca="1">IFERROR(__xludf.DUMMYFUNCTION("""COMPUTED_VALUE"""),"")</f>
        <v/>
      </c>
      <c r="C16524" s="12" t="str">
        <f ca="1">IFERROR(__xludf.DUMMYFUNCTION("""COMPUTED_VALUE"""),"")</f>
        <v/>
      </c>
      <c r="D16524" s="12" t="str">
        <f ca="1">IFERROR(__xludf.DUMMYFUNCTION("""COMPUTED_VALUE"""),"")</f>
        <v/>
      </c>
    </row>
    <row r="16525" spans="2:4" ht="13">
      <c r="B16525" s="12" t="str">
        <f ca="1">IFERROR(__xludf.DUMMYFUNCTION("""COMPUTED_VALUE"""),"")</f>
        <v/>
      </c>
      <c r="C16525" s="12" t="str">
        <f ca="1">IFERROR(__xludf.DUMMYFUNCTION("""COMPUTED_VALUE"""),"")</f>
        <v/>
      </c>
      <c r="D16525" s="12" t="str">
        <f ca="1">IFERROR(__xludf.DUMMYFUNCTION("""COMPUTED_VALUE"""),"")</f>
        <v/>
      </c>
    </row>
    <row r="16526" spans="2:4" ht="13">
      <c r="B16526" s="12" t="str">
        <f ca="1">IFERROR(__xludf.DUMMYFUNCTION("""COMPUTED_VALUE"""),"")</f>
        <v/>
      </c>
      <c r="C16526" s="12" t="str">
        <f ca="1">IFERROR(__xludf.DUMMYFUNCTION("""COMPUTED_VALUE"""),"")</f>
        <v/>
      </c>
      <c r="D16526" s="12" t="str">
        <f ca="1">IFERROR(__xludf.DUMMYFUNCTION("""COMPUTED_VALUE"""),"")</f>
        <v/>
      </c>
    </row>
    <row r="16527" spans="2:4" ht="13">
      <c r="B16527" s="12" t="str">
        <f ca="1">IFERROR(__xludf.DUMMYFUNCTION("""COMPUTED_VALUE"""),"")</f>
        <v/>
      </c>
      <c r="C16527" s="12" t="str">
        <f ca="1">IFERROR(__xludf.DUMMYFUNCTION("""COMPUTED_VALUE"""),"")</f>
        <v/>
      </c>
      <c r="D16527" s="12" t="str">
        <f ca="1">IFERROR(__xludf.DUMMYFUNCTION("""COMPUTED_VALUE"""),"")</f>
        <v/>
      </c>
    </row>
    <row r="16528" spans="2:4" ht="13">
      <c r="B16528" s="12" t="str">
        <f ca="1">IFERROR(__xludf.DUMMYFUNCTION("""COMPUTED_VALUE"""),"")</f>
        <v/>
      </c>
      <c r="C16528" s="12" t="str">
        <f ca="1">IFERROR(__xludf.DUMMYFUNCTION("""COMPUTED_VALUE"""),"")</f>
        <v/>
      </c>
      <c r="D16528" s="12" t="str">
        <f ca="1">IFERROR(__xludf.DUMMYFUNCTION("""COMPUTED_VALUE"""),"")</f>
        <v/>
      </c>
    </row>
    <row r="16529" spans="2:4" ht="13">
      <c r="B16529" s="12" t="str">
        <f ca="1">IFERROR(__xludf.DUMMYFUNCTION("""COMPUTED_VALUE"""),"")</f>
        <v/>
      </c>
      <c r="C16529" s="12" t="str">
        <f ca="1">IFERROR(__xludf.DUMMYFUNCTION("""COMPUTED_VALUE"""),"")</f>
        <v/>
      </c>
      <c r="D16529" s="12" t="str">
        <f ca="1">IFERROR(__xludf.DUMMYFUNCTION("""COMPUTED_VALUE"""),"")</f>
        <v/>
      </c>
    </row>
    <row r="16530" spans="2:4" ht="13">
      <c r="B16530" s="12" t="str">
        <f ca="1">IFERROR(__xludf.DUMMYFUNCTION("""COMPUTED_VALUE"""),"")</f>
        <v/>
      </c>
      <c r="C16530" s="12" t="str">
        <f ca="1">IFERROR(__xludf.DUMMYFUNCTION("""COMPUTED_VALUE"""),"")</f>
        <v/>
      </c>
      <c r="D16530" s="12" t="str">
        <f ca="1">IFERROR(__xludf.DUMMYFUNCTION("""COMPUTED_VALUE"""),"")</f>
        <v/>
      </c>
    </row>
    <row r="16531" spans="2:4" ht="13">
      <c r="B16531" s="12" t="str">
        <f ca="1">IFERROR(__xludf.DUMMYFUNCTION("""COMPUTED_VALUE"""),"")</f>
        <v/>
      </c>
      <c r="C16531" s="12" t="str">
        <f ca="1">IFERROR(__xludf.DUMMYFUNCTION("""COMPUTED_VALUE"""),"")</f>
        <v/>
      </c>
      <c r="D16531" s="12" t="str">
        <f ca="1">IFERROR(__xludf.DUMMYFUNCTION("""COMPUTED_VALUE"""),"")</f>
        <v/>
      </c>
    </row>
    <row r="16532" spans="2:4" ht="13">
      <c r="B16532" s="12" t="str">
        <f ca="1">IFERROR(__xludf.DUMMYFUNCTION("""COMPUTED_VALUE"""),"")</f>
        <v/>
      </c>
      <c r="C16532" s="12" t="str">
        <f ca="1">IFERROR(__xludf.DUMMYFUNCTION("""COMPUTED_VALUE"""),"")</f>
        <v/>
      </c>
      <c r="D16532" s="12" t="str">
        <f ca="1">IFERROR(__xludf.DUMMYFUNCTION("""COMPUTED_VALUE"""),"")</f>
        <v/>
      </c>
    </row>
    <row r="16533" spans="2:4" ht="13">
      <c r="B16533" s="12" t="str">
        <f ca="1">IFERROR(__xludf.DUMMYFUNCTION("""COMPUTED_VALUE"""),"")</f>
        <v/>
      </c>
      <c r="C16533" s="12" t="str">
        <f ca="1">IFERROR(__xludf.DUMMYFUNCTION("""COMPUTED_VALUE"""),"")</f>
        <v/>
      </c>
      <c r="D16533" s="12" t="str">
        <f ca="1">IFERROR(__xludf.DUMMYFUNCTION("""COMPUTED_VALUE"""),"")</f>
        <v/>
      </c>
    </row>
    <row r="16534" spans="2:4" ht="13">
      <c r="B16534" s="12" t="str">
        <f ca="1">IFERROR(__xludf.DUMMYFUNCTION("""COMPUTED_VALUE"""),"")</f>
        <v/>
      </c>
      <c r="C16534" s="12" t="str">
        <f ca="1">IFERROR(__xludf.DUMMYFUNCTION("""COMPUTED_VALUE"""),"")</f>
        <v/>
      </c>
      <c r="D16534" s="12" t="str">
        <f ca="1">IFERROR(__xludf.DUMMYFUNCTION("""COMPUTED_VALUE"""),"")</f>
        <v/>
      </c>
    </row>
    <row r="16535" spans="2:4" ht="13">
      <c r="B16535" s="12" t="str">
        <f ca="1">IFERROR(__xludf.DUMMYFUNCTION("""COMPUTED_VALUE"""),"")</f>
        <v/>
      </c>
      <c r="C16535" s="12" t="str">
        <f ca="1">IFERROR(__xludf.DUMMYFUNCTION("""COMPUTED_VALUE"""),"")</f>
        <v/>
      </c>
      <c r="D16535" s="12" t="str">
        <f ca="1">IFERROR(__xludf.DUMMYFUNCTION("""COMPUTED_VALUE"""),"")</f>
        <v/>
      </c>
    </row>
    <row r="16536" spans="2:4" ht="13">
      <c r="B16536" s="12" t="str">
        <f ca="1">IFERROR(__xludf.DUMMYFUNCTION("""COMPUTED_VALUE"""),"")</f>
        <v/>
      </c>
      <c r="C16536" s="12" t="str">
        <f ca="1">IFERROR(__xludf.DUMMYFUNCTION("""COMPUTED_VALUE"""),"")</f>
        <v/>
      </c>
      <c r="D16536" s="12" t="str">
        <f ca="1">IFERROR(__xludf.DUMMYFUNCTION("""COMPUTED_VALUE"""),"")</f>
        <v/>
      </c>
    </row>
    <row r="16537" spans="2:4" ht="13">
      <c r="B16537" s="12" t="str">
        <f ca="1">IFERROR(__xludf.DUMMYFUNCTION("""COMPUTED_VALUE"""),"")</f>
        <v/>
      </c>
      <c r="C16537" s="12" t="str">
        <f ca="1">IFERROR(__xludf.DUMMYFUNCTION("""COMPUTED_VALUE"""),"")</f>
        <v/>
      </c>
      <c r="D16537" s="12" t="str">
        <f ca="1">IFERROR(__xludf.DUMMYFUNCTION("""COMPUTED_VALUE"""),"")</f>
        <v/>
      </c>
    </row>
    <row r="16538" spans="2:4" ht="13">
      <c r="B16538" s="12" t="str">
        <f ca="1">IFERROR(__xludf.DUMMYFUNCTION("""COMPUTED_VALUE"""),"")</f>
        <v/>
      </c>
      <c r="C16538" s="12" t="str">
        <f ca="1">IFERROR(__xludf.DUMMYFUNCTION("""COMPUTED_VALUE"""),"")</f>
        <v/>
      </c>
      <c r="D16538" s="12" t="str">
        <f ca="1">IFERROR(__xludf.DUMMYFUNCTION("""COMPUTED_VALUE"""),"")</f>
        <v/>
      </c>
    </row>
    <row r="16539" spans="2:4" ht="13">
      <c r="B16539" s="12" t="str">
        <f ca="1">IFERROR(__xludf.DUMMYFUNCTION("""COMPUTED_VALUE"""),"")</f>
        <v/>
      </c>
      <c r="C16539" s="12" t="str">
        <f ca="1">IFERROR(__xludf.DUMMYFUNCTION("""COMPUTED_VALUE"""),"")</f>
        <v/>
      </c>
      <c r="D16539" s="12" t="str">
        <f ca="1">IFERROR(__xludf.DUMMYFUNCTION("""COMPUTED_VALUE"""),"")</f>
        <v/>
      </c>
    </row>
    <row r="16540" spans="2:4" ht="13">
      <c r="B16540" s="12" t="str">
        <f ca="1">IFERROR(__xludf.DUMMYFUNCTION("""COMPUTED_VALUE"""),"")</f>
        <v/>
      </c>
      <c r="C16540" s="12" t="str">
        <f ca="1">IFERROR(__xludf.DUMMYFUNCTION("""COMPUTED_VALUE"""),"")</f>
        <v/>
      </c>
      <c r="D16540" s="12" t="str">
        <f ca="1">IFERROR(__xludf.DUMMYFUNCTION("""COMPUTED_VALUE"""),"")</f>
        <v/>
      </c>
    </row>
    <row r="16541" spans="2:4" ht="13">
      <c r="B16541" s="12" t="str">
        <f ca="1">IFERROR(__xludf.DUMMYFUNCTION("""COMPUTED_VALUE"""),"")</f>
        <v/>
      </c>
      <c r="C16541" s="12" t="str">
        <f ca="1">IFERROR(__xludf.DUMMYFUNCTION("""COMPUTED_VALUE"""),"")</f>
        <v/>
      </c>
      <c r="D16541" s="12" t="str">
        <f ca="1">IFERROR(__xludf.DUMMYFUNCTION("""COMPUTED_VALUE"""),"")</f>
        <v/>
      </c>
    </row>
    <row r="16542" spans="2:4" ht="13">
      <c r="B16542" s="12" t="str">
        <f ca="1">IFERROR(__xludf.DUMMYFUNCTION("""COMPUTED_VALUE"""),"")</f>
        <v/>
      </c>
      <c r="C16542" s="12" t="str">
        <f ca="1">IFERROR(__xludf.DUMMYFUNCTION("""COMPUTED_VALUE"""),"")</f>
        <v/>
      </c>
      <c r="D16542" s="12" t="str">
        <f ca="1">IFERROR(__xludf.DUMMYFUNCTION("""COMPUTED_VALUE"""),"")</f>
        <v/>
      </c>
    </row>
    <row r="16543" spans="2:4" ht="13">
      <c r="B16543" s="12" t="str">
        <f ca="1">IFERROR(__xludf.DUMMYFUNCTION("""COMPUTED_VALUE"""),"")</f>
        <v/>
      </c>
      <c r="C16543" s="12" t="str">
        <f ca="1">IFERROR(__xludf.DUMMYFUNCTION("""COMPUTED_VALUE"""),"")</f>
        <v/>
      </c>
      <c r="D16543" s="12" t="str">
        <f ca="1">IFERROR(__xludf.DUMMYFUNCTION("""COMPUTED_VALUE"""),"")</f>
        <v/>
      </c>
    </row>
    <row r="16544" spans="2:4" ht="13">
      <c r="B16544" s="12" t="str">
        <f ca="1">IFERROR(__xludf.DUMMYFUNCTION("""COMPUTED_VALUE"""),"")</f>
        <v/>
      </c>
      <c r="C16544" s="12" t="str">
        <f ca="1">IFERROR(__xludf.DUMMYFUNCTION("""COMPUTED_VALUE"""),"")</f>
        <v/>
      </c>
      <c r="D16544" s="12" t="str">
        <f ca="1">IFERROR(__xludf.DUMMYFUNCTION("""COMPUTED_VALUE"""),"")</f>
        <v/>
      </c>
    </row>
    <row r="16545" spans="2:4" ht="13">
      <c r="B16545" s="12" t="str">
        <f ca="1">IFERROR(__xludf.DUMMYFUNCTION("""COMPUTED_VALUE"""),"")</f>
        <v/>
      </c>
      <c r="C16545" s="12" t="str">
        <f ca="1">IFERROR(__xludf.DUMMYFUNCTION("""COMPUTED_VALUE"""),"")</f>
        <v/>
      </c>
      <c r="D16545" s="12" t="str">
        <f ca="1">IFERROR(__xludf.DUMMYFUNCTION("""COMPUTED_VALUE"""),"")</f>
        <v/>
      </c>
    </row>
    <row r="16546" spans="2:4" ht="13">
      <c r="B16546" s="12" t="str">
        <f ca="1">IFERROR(__xludf.DUMMYFUNCTION("""COMPUTED_VALUE"""),"")</f>
        <v/>
      </c>
      <c r="C16546" s="12" t="str">
        <f ca="1">IFERROR(__xludf.DUMMYFUNCTION("""COMPUTED_VALUE"""),"")</f>
        <v/>
      </c>
      <c r="D16546" s="12" t="str">
        <f ca="1">IFERROR(__xludf.DUMMYFUNCTION("""COMPUTED_VALUE"""),"")</f>
        <v/>
      </c>
    </row>
    <row r="16547" spans="2:4" ht="13">
      <c r="B16547" s="12" t="str">
        <f ca="1">IFERROR(__xludf.DUMMYFUNCTION("""COMPUTED_VALUE"""),"")</f>
        <v/>
      </c>
      <c r="C16547" s="12" t="str">
        <f ca="1">IFERROR(__xludf.DUMMYFUNCTION("""COMPUTED_VALUE"""),"")</f>
        <v/>
      </c>
      <c r="D16547" s="12" t="str">
        <f ca="1">IFERROR(__xludf.DUMMYFUNCTION("""COMPUTED_VALUE"""),"")</f>
        <v/>
      </c>
    </row>
    <row r="16548" spans="2:4" ht="13">
      <c r="B16548" s="12" t="str">
        <f ca="1">IFERROR(__xludf.DUMMYFUNCTION("""COMPUTED_VALUE"""),"")</f>
        <v/>
      </c>
      <c r="C16548" s="12" t="str">
        <f ca="1">IFERROR(__xludf.DUMMYFUNCTION("""COMPUTED_VALUE"""),"")</f>
        <v/>
      </c>
      <c r="D16548" s="12" t="str">
        <f ca="1">IFERROR(__xludf.DUMMYFUNCTION("""COMPUTED_VALUE"""),"")</f>
        <v/>
      </c>
    </row>
    <row r="16549" spans="2:4" ht="13">
      <c r="B16549" s="12" t="str">
        <f ca="1">IFERROR(__xludf.DUMMYFUNCTION("""COMPUTED_VALUE"""),"")</f>
        <v/>
      </c>
      <c r="C16549" s="12" t="str">
        <f ca="1">IFERROR(__xludf.DUMMYFUNCTION("""COMPUTED_VALUE"""),"")</f>
        <v/>
      </c>
      <c r="D16549" s="12" t="str">
        <f ca="1">IFERROR(__xludf.DUMMYFUNCTION("""COMPUTED_VALUE"""),"")</f>
        <v/>
      </c>
    </row>
    <row r="16550" spans="2:4" ht="13">
      <c r="B16550" s="12" t="str">
        <f ca="1">IFERROR(__xludf.DUMMYFUNCTION("""COMPUTED_VALUE"""),"")</f>
        <v/>
      </c>
      <c r="C16550" s="12" t="str">
        <f ca="1">IFERROR(__xludf.DUMMYFUNCTION("""COMPUTED_VALUE"""),"")</f>
        <v/>
      </c>
      <c r="D16550" s="12" t="str">
        <f ca="1">IFERROR(__xludf.DUMMYFUNCTION("""COMPUTED_VALUE"""),"")</f>
        <v/>
      </c>
    </row>
    <row r="16551" spans="2:4" ht="13">
      <c r="B16551" s="12" t="str">
        <f ca="1">IFERROR(__xludf.DUMMYFUNCTION("""COMPUTED_VALUE"""),"")</f>
        <v/>
      </c>
      <c r="C16551" s="12" t="str">
        <f ca="1">IFERROR(__xludf.DUMMYFUNCTION("""COMPUTED_VALUE"""),"")</f>
        <v/>
      </c>
      <c r="D16551" s="12" t="str">
        <f ca="1">IFERROR(__xludf.DUMMYFUNCTION("""COMPUTED_VALUE"""),"")</f>
        <v/>
      </c>
    </row>
    <row r="16552" spans="2:4" ht="13">
      <c r="B16552" s="12" t="str">
        <f ca="1">IFERROR(__xludf.DUMMYFUNCTION("""COMPUTED_VALUE"""),"")</f>
        <v/>
      </c>
      <c r="C16552" s="12" t="str">
        <f ca="1">IFERROR(__xludf.DUMMYFUNCTION("""COMPUTED_VALUE"""),"")</f>
        <v/>
      </c>
      <c r="D16552" s="12" t="str">
        <f ca="1">IFERROR(__xludf.DUMMYFUNCTION("""COMPUTED_VALUE"""),"")</f>
        <v/>
      </c>
    </row>
    <row r="16553" spans="2:4" ht="13">
      <c r="B16553" s="12" t="str">
        <f ca="1">IFERROR(__xludf.DUMMYFUNCTION("""COMPUTED_VALUE"""),"")</f>
        <v/>
      </c>
      <c r="C16553" s="12" t="str">
        <f ca="1">IFERROR(__xludf.DUMMYFUNCTION("""COMPUTED_VALUE"""),"")</f>
        <v/>
      </c>
      <c r="D16553" s="12" t="str">
        <f ca="1">IFERROR(__xludf.DUMMYFUNCTION("""COMPUTED_VALUE"""),"")</f>
        <v/>
      </c>
    </row>
    <row r="16554" spans="2:4" ht="13">
      <c r="B16554" s="12" t="str">
        <f ca="1">IFERROR(__xludf.DUMMYFUNCTION("""COMPUTED_VALUE"""),"")</f>
        <v/>
      </c>
      <c r="C16554" s="12" t="str">
        <f ca="1">IFERROR(__xludf.DUMMYFUNCTION("""COMPUTED_VALUE"""),"")</f>
        <v/>
      </c>
      <c r="D16554" s="12" t="str">
        <f ca="1">IFERROR(__xludf.DUMMYFUNCTION("""COMPUTED_VALUE"""),"")</f>
        <v/>
      </c>
    </row>
    <row r="16555" spans="2:4" ht="13">
      <c r="B16555" s="12" t="str">
        <f ca="1">IFERROR(__xludf.DUMMYFUNCTION("""COMPUTED_VALUE"""),"")</f>
        <v/>
      </c>
      <c r="C16555" s="12" t="str">
        <f ca="1">IFERROR(__xludf.DUMMYFUNCTION("""COMPUTED_VALUE"""),"")</f>
        <v/>
      </c>
      <c r="D16555" s="12" t="str">
        <f ca="1">IFERROR(__xludf.DUMMYFUNCTION("""COMPUTED_VALUE"""),"")</f>
        <v/>
      </c>
    </row>
    <row r="16556" spans="2:4" ht="13">
      <c r="B16556" s="12" t="str">
        <f ca="1">IFERROR(__xludf.DUMMYFUNCTION("""COMPUTED_VALUE"""),"")</f>
        <v/>
      </c>
      <c r="C16556" s="12" t="str">
        <f ca="1">IFERROR(__xludf.DUMMYFUNCTION("""COMPUTED_VALUE"""),"")</f>
        <v/>
      </c>
      <c r="D16556" s="12" t="str">
        <f ca="1">IFERROR(__xludf.DUMMYFUNCTION("""COMPUTED_VALUE"""),"")</f>
        <v/>
      </c>
    </row>
    <row r="16557" spans="2:4" ht="13">
      <c r="B16557" s="12" t="str">
        <f ca="1">IFERROR(__xludf.DUMMYFUNCTION("""COMPUTED_VALUE"""),"")</f>
        <v/>
      </c>
      <c r="C16557" s="12" t="str">
        <f ca="1">IFERROR(__xludf.DUMMYFUNCTION("""COMPUTED_VALUE"""),"")</f>
        <v/>
      </c>
      <c r="D16557" s="12" t="str">
        <f ca="1">IFERROR(__xludf.DUMMYFUNCTION("""COMPUTED_VALUE"""),"")</f>
        <v/>
      </c>
    </row>
    <row r="16558" spans="2:4" ht="13">
      <c r="B16558" s="12" t="str">
        <f ca="1">IFERROR(__xludf.DUMMYFUNCTION("""COMPUTED_VALUE"""),"")</f>
        <v/>
      </c>
      <c r="C16558" s="12" t="str">
        <f ca="1">IFERROR(__xludf.DUMMYFUNCTION("""COMPUTED_VALUE"""),"")</f>
        <v/>
      </c>
      <c r="D16558" s="12" t="str">
        <f ca="1">IFERROR(__xludf.DUMMYFUNCTION("""COMPUTED_VALUE"""),"")</f>
        <v/>
      </c>
    </row>
    <row r="16559" spans="2:4" ht="13">
      <c r="B16559" s="12" t="str">
        <f ca="1">IFERROR(__xludf.DUMMYFUNCTION("""COMPUTED_VALUE"""),"")</f>
        <v/>
      </c>
      <c r="C16559" s="12" t="str">
        <f ca="1">IFERROR(__xludf.DUMMYFUNCTION("""COMPUTED_VALUE"""),"")</f>
        <v/>
      </c>
      <c r="D16559" s="12" t="str">
        <f ca="1">IFERROR(__xludf.DUMMYFUNCTION("""COMPUTED_VALUE"""),"")</f>
        <v/>
      </c>
    </row>
    <row r="16560" spans="2:4" ht="13">
      <c r="B16560" s="12" t="str">
        <f ca="1">IFERROR(__xludf.DUMMYFUNCTION("""COMPUTED_VALUE"""),"")</f>
        <v/>
      </c>
      <c r="C16560" s="12" t="str">
        <f ca="1">IFERROR(__xludf.DUMMYFUNCTION("""COMPUTED_VALUE"""),"")</f>
        <v/>
      </c>
      <c r="D16560" s="12" t="str">
        <f ca="1">IFERROR(__xludf.DUMMYFUNCTION("""COMPUTED_VALUE"""),"")</f>
        <v/>
      </c>
    </row>
    <row r="16561" spans="2:4" ht="13">
      <c r="B16561" s="12" t="str">
        <f ca="1">IFERROR(__xludf.DUMMYFUNCTION("""COMPUTED_VALUE"""),"")</f>
        <v/>
      </c>
      <c r="C16561" s="12" t="str">
        <f ca="1">IFERROR(__xludf.DUMMYFUNCTION("""COMPUTED_VALUE"""),"")</f>
        <v/>
      </c>
      <c r="D16561" s="12" t="str">
        <f ca="1">IFERROR(__xludf.DUMMYFUNCTION("""COMPUTED_VALUE"""),"")</f>
        <v/>
      </c>
    </row>
    <row r="16562" spans="2:4" ht="13">
      <c r="B16562" s="12" t="str">
        <f ca="1">IFERROR(__xludf.DUMMYFUNCTION("""COMPUTED_VALUE"""),"")</f>
        <v/>
      </c>
      <c r="C16562" s="12" t="str">
        <f ca="1">IFERROR(__xludf.DUMMYFUNCTION("""COMPUTED_VALUE"""),"")</f>
        <v/>
      </c>
      <c r="D16562" s="12" t="str">
        <f ca="1">IFERROR(__xludf.DUMMYFUNCTION("""COMPUTED_VALUE"""),"")</f>
        <v/>
      </c>
    </row>
    <row r="16563" spans="2:4" ht="13">
      <c r="B16563" s="12" t="str">
        <f ca="1">IFERROR(__xludf.DUMMYFUNCTION("""COMPUTED_VALUE"""),"")</f>
        <v/>
      </c>
      <c r="C16563" s="12" t="str">
        <f ca="1">IFERROR(__xludf.DUMMYFUNCTION("""COMPUTED_VALUE"""),"")</f>
        <v/>
      </c>
      <c r="D16563" s="12" t="str">
        <f ca="1">IFERROR(__xludf.DUMMYFUNCTION("""COMPUTED_VALUE"""),"")</f>
        <v/>
      </c>
    </row>
    <row r="16564" spans="2:4" ht="13">
      <c r="B16564" s="12" t="str">
        <f ca="1">IFERROR(__xludf.DUMMYFUNCTION("""COMPUTED_VALUE"""),"")</f>
        <v/>
      </c>
      <c r="C16564" s="12" t="str">
        <f ca="1">IFERROR(__xludf.DUMMYFUNCTION("""COMPUTED_VALUE"""),"")</f>
        <v/>
      </c>
      <c r="D16564" s="12" t="str">
        <f ca="1">IFERROR(__xludf.DUMMYFUNCTION("""COMPUTED_VALUE"""),"")</f>
        <v/>
      </c>
    </row>
    <row r="16565" spans="2:4" ht="13">
      <c r="B16565" s="12" t="str">
        <f ca="1">IFERROR(__xludf.DUMMYFUNCTION("""COMPUTED_VALUE"""),"")</f>
        <v/>
      </c>
      <c r="C16565" s="12" t="str">
        <f ca="1">IFERROR(__xludf.DUMMYFUNCTION("""COMPUTED_VALUE"""),"")</f>
        <v/>
      </c>
      <c r="D16565" s="12" t="str">
        <f ca="1">IFERROR(__xludf.DUMMYFUNCTION("""COMPUTED_VALUE"""),"")</f>
        <v/>
      </c>
    </row>
    <row r="16566" spans="2:4" ht="13">
      <c r="B16566" s="12" t="str">
        <f ca="1">IFERROR(__xludf.DUMMYFUNCTION("""COMPUTED_VALUE"""),"")</f>
        <v/>
      </c>
      <c r="C16566" s="12" t="str">
        <f ca="1">IFERROR(__xludf.DUMMYFUNCTION("""COMPUTED_VALUE"""),"")</f>
        <v/>
      </c>
      <c r="D16566" s="12" t="str">
        <f ca="1">IFERROR(__xludf.DUMMYFUNCTION("""COMPUTED_VALUE"""),"")</f>
        <v/>
      </c>
    </row>
    <row r="16567" spans="2:4" ht="13">
      <c r="B16567" s="12" t="str">
        <f ca="1">IFERROR(__xludf.DUMMYFUNCTION("""COMPUTED_VALUE"""),"")</f>
        <v/>
      </c>
      <c r="C16567" s="12" t="str">
        <f ca="1">IFERROR(__xludf.DUMMYFUNCTION("""COMPUTED_VALUE"""),"")</f>
        <v/>
      </c>
      <c r="D16567" s="12" t="str">
        <f ca="1">IFERROR(__xludf.DUMMYFUNCTION("""COMPUTED_VALUE"""),"")</f>
        <v/>
      </c>
    </row>
    <row r="16568" spans="2:4" ht="13">
      <c r="B16568" s="12" t="str">
        <f ca="1">IFERROR(__xludf.DUMMYFUNCTION("""COMPUTED_VALUE"""),"")</f>
        <v/>
      </c>
      <c r="C16568" s="12" t="str">
        <f ca="1">IFERROR(__xludf.DUMMYFUNCTION("""COMPUTED_VALUE"""),"")</f>
        <v/>
      </c>
      <c r="D16568" s="12" t="str">
        <f ca="1">IFERROR(__xludf.DUMMYFUNCTION("""COMPUTED_VALUE"""),"")</f>
        <v/>
      </c>
    </row>
    <row r="16569" spans="2:4" ht="13">
      <c r="B16569" s="12" t="str">
        <f ca="1">IFERROR(__xludf.DUMMYFUNCTION("""COMPUTED_VALUE"""),"")</f>
        <v/>
      </c>
      <c r="C16569" s="12" t="str">
        <f ca="1">IFERROR(__xludf.DUMMYFUNCTION("""COMPUTED_VALUE"""),"")</f>
        <v/>
      </c>
      <c r="D16569" s="12" t="str">
        <f ca="1">IFERROR(__xludf.DUMMYFUNCTION("""COMPUTED_VALUE"""),"")</f>
        <v/>
      </c>
    </row>
    <row r="16570" spans="2:4" ht="13">
      <c r="B16570" s="12" t="str">
        <f ca="1">IFERROR(__xludf.DUMMYFUNCTION("""COMPUTED_VALUE"""),"")</f>
        <v/>
      </c>
      <c r="C16570" s="12" t="str">
        <f ca="1">IFERROR(__xludf.DUMMYFUNCTION("""COMPUTED_VALUE"""),"")</f>
        <v/>
      </c>
      <c r="D16570" s="12" t="str">
        <f ca="1">IFERROR(__xludf.DUMMYFUNCTION("""COMPUTED_VALUE"""),"")</f>
        <v/>
      </c>
    </row>
    <row r="16571" spans="2:4" ht="13">
      <c r="B16571" s="12" t="str">
        <f ca="1">IFERROR(__xludf.DUMMYFUNCTION("""COMPUTED_VALUE"""),"")</f>
        <v/>
      </c>
      <c r="C16571" s="12" t="str">
        <f ca="1">IFERROR(__xludf.DUMMYFUNCTION("""COMPUTED_VALUE"""),"")</f>
        <v/>
      </c>
      <c r="D16571" s="12" t="str">
        <f ca="1">IFERROR(__xludf.DUMMYFUNCTION("""COMPUTED_VALUE"""),"")</f>
        <v/>
      </c>
    </row>
    <row r="16572" spans="2:4" ht="13">
      <c r="B16572" s="12" t="str">
        <f ca="1">IFERROR(__xludf.DUMMYFUNCTION("""COMPUTED_VALUE"""),"")</f>
        <v/>
      </c>
      <c r="C16572" s="12" t="str">
        <f ca="1">IFERROR(__xludf.DUMMYFUNCTION("""COMPUTED_VALUE"""),"")</f>
        <v/>
      </c>
      <c r="D16572" s="12" t="str">
        <f ca="1">IFERROR(__xludf.DUMMYFUNCTION("""COMPUTED_VALUE"""),"")</f>
        <v/>
      </c>
    </row>
    <row r="16573" spans="2:4" ht="13">
      <c r="B16573" s="12" t="str">
        <f ca="1">IFERROR(__xludf.DUMMYFUNCTION("""COMPUTED_VALUE"""),"")</f>
        <v/>
      </c>
      <c r="C16573" s="12" t="str">
        <f ca="1">IFERROR(__xludf.DUMMYFUNCTION("""COMPUTED_VALUE"""),"")</f>
        <v/>
      </c>
      <c r="D16573" s="12" t="str">
        <f ca="1">IFERROR(__xludf.DUMMYFUNCTION("""COMPUTED_VALUE"""),"")</f>
        <v/>
      </c>
    </row>
    <row r="16574" spans="2:4" ht="13">
      <c r="B16574" s="12" t="str">
        <f ca="1">IFERROR(__xludf.DUMMYFUNCTION("""COMPUTED_VALUE"""),"")</f>
        <v/>
      </c>
      <c r="C16574" s="12" t="str">
        <f ca="1">IFERROR(__xludf.DUMMYFUNCTION("""COMPUTED_VALUE"""),"")</f>
        <v/>
      </c>
      <c r="D16574" s="12" t="str">
        <f ca="1">IFERROR(__xludf.DUMMYFUNCTION("""COMPUTED_VALUE"""),"")</f>
        <v/>
      </c>
    </row>
    <row r="16575" spans="2:4" ht="13">
      <c r="B16575" s="12" t="str">
        <f ca="1">IFERROR(__xludf.DUMMYFUNCTION("""COMPUTED_VALUE"""),"")</f>
        <v/>
      </c>
      <c r="C16575" s="12" t="str">
        <f ca="1">IFERROR(__xludf.DUMMYFUNCTION("""COMPUTED_VALUE"""),"")</f>
        <v/>
      </c>
      <c r="D16575" s="12" t="str">
        <f ca="1">IFERROR(__xludf.DUMMYFUNCTION("""COMPUTED_VALUE"""),"")</f>
        <v/>
      </c>
    </row>
    <row r="16576" spans="2:4" ht="13">
      <c r="B16576" s="12" t="str">
        <f ca="1">IFERROR(__xludf.DUMMYFUNCTION("""COMPUTED_VALUE"""),"")</f>
        <v/>
      </c>
      <c r="C16576" s="12" t="str">
        <f ca="1">IFERROR(__xludf.DUMMYFUNCTION("""COMPUTED_VALUE"""),"")</f>
        <v/>
      </c>
      <c r="D16576" s="12" t="str">
        <f ca="1">IFERROR(__xludf.DUMMYFUNCTION("""COMPUTED_VALUE"""),"")</f>
        <v/>
      </c>
    </row>
    <row r="16577" spans="2:4" ht="13">
      <c r="B16577" s="12" t="str">
        <f ca="1">IFERROR(__xludf.DUMMYFUNCTION("""COMPUTED_VALUE"""),"")</f>
        <v/>
      </c>
      <c r="C16577" s="12" t="str">
        <f ca="1">IFERROR(__xludf.DUMMYFUNCTION("""COMPUTED_VALUE"""),"")</f>
        <v/>
      </c>
      <c r="D16577" s="12" t="str">
        <f ca="1">IFERROR(__xludf.DUMMYFUNCTION("""COMPUTED_VALUE"""),"")</f>
        <v/>
      </c>
    </row>
    <row r="16578" spans="2:4" ht="13">
      <c r="B16578" s="12" t="str">
        <f ca="1">IFERROR(__xludf.DUMMYFUNCTION("""COMPUTED_VALUE"""),"")</f>
        <v/>
      </c>
      <c r="C16578" s="12" t="str">
        <f ca="1">IFERROR(__xludf.DUMMYFUNCTION("""COMPUTED_VALUE"""),"")</f>
        <v/>
      </c>
      <c r="D16578" s="12" t="str">
        <f ca="1">IFERROR(__xludf.DUMMYFUNCTION("""COMPUTED_VALUE"""),"")</f>
        <v/>
      </c>
    </row>
    <row r="16579" spans="2:4" ht="13">
      <c r="B16579" s="12" t="str">
        <f ca="1">IFERROR(__xludf.DUMMYFUNCTION("""COMPUTED_VALUE"""),"")</f>
        <v/>
      </c>
      <c r="C16579" s="12" t="str">
        <f ca="1">IFERROR(__xludf.DUMMYFUNCTION("""COMPUTED_VALUE"""),"")</f>
        <v/>
      </c>
      <c r="D16579" s="12" t="str">
        <f ca="1">IFERROR(__xludf.DUMMYFUNCTION("""COMPUTED_VALUE"""),"")</f>
        <v/>
      </c>
    </row>
    <row r="16580" spans="2:4" ht="13">
      <c r="B16580" s="12" t="str">
        <f ca="1">IFERROR(__xludf.DUMMYFUNCTION("""COMPUTED_VALUE"""),"")</f>
        <v/>
      </c>
      <c r="C16580" s="12" t="str">
        <f ca="1">IFERROR(__xludf.DUMMYFUNCTION("""COMPUTED_VALUE"""),"")</f>
        <v/>
      </c>
      <c r="D16580" s="12" t="str">
        <f ca="1">IFERROR(__xludf.DUMMYFUNCTION("""COMPUTED_VALUE"""),"")</f>
        <v/>
      </c>
    </row>
    <row r="16581" spans="2:4" ht="13">
      <c r="B16581" s="12" t="str">
        <f ca="1">IFERROR(__xludf.DUMMYFUNCTION("""COMPUTED_VALUE"""),"")</f>
        <v/>
      </c>
      <c r="C16581" s="12" t="str">
        <f ca="1">IFERROR(__xludf.DUMMYFUNCTION("""COMPUTED_VALUE"""),"")</f>
        <v/>
      </c>
      <c r="D16581" s="12" t="str">
        <f ca="1">IFERROR(__xludf.DUMMYFUNCTION("""COMPUTED_VALUE"""),"")</f>
        <v/>
      </c>
    </row>
    <row r="16582" spans="2:4" ht="13">
      <c r="B16582" s="12" t="str">
        <f ca="1">IFERROR(__xludf.DUMMYFUNCTION("""COMPUTED_VALUE"""),"")</f>
        <v/>
      </c>
      <c r="C16582" s="12" t="str">
        <f ca="1">IFERROR(__xludf.DUMMYFUNCTION("""COMPUTED_VALUE"""),"")</f>
        <v/>
      </c>
      <c r="D16582" s="12" t="str">
        <f ca="1">IFERROR(__xludf.DUMMYFUNCTION("""COMPUTED_VALUE"""),"")</f>
        <v/>
      </c>
    </row>
    <row r="16583" spans="2:4" ht="13">
      <c r="B16583" s="12" t="str">
        <f ca="1">IFERROR(__xludf.DUMMYFUNCTION("""COMPUTED_VALUE"""),"")</f>
        <v/>
      </c>
      <c r="C16583" s="12" t="str">
        <f ca="1">IFERROR(__xludf.DUMMYFUNCTION("""COMPUTED_VALUE"""),"")</f>
        <v/>
      </c>
      <c r="D16583" s="12" t="str">
        <f ca="1">IFERROR(__xludf.DUMMYFUNCTION("""COMPUTED_VALUE"""),"")</f>
        <v/>
      </c>
    </row>
    <row r="16584" spans="2:4" ht="13">
      <c r="B16584" s="12" t="str">
        <f ca="1">IFERROR(__xludf.DUMMYFUNCTION("""COMPUTED_VALUE"""),"")</f>
        <v/>
      </c>
      <c r="C16584" s="12" t="str">
        <f ca="1">IFERROR(__xludf.DUMMYFUNCTION("""COMPUTED_VALUE"""),"")</f>
        <v/>
      </c>
      <c r="D16584" s="12" t="str">
        <f ca="1">IFERROR(__xludf.DUMMYFUNCTION("""COMPUTED_VALUE"""),"")</f>
        <v/>
      </c>
    </row>
    <row r="16585" spans="2:4" ht="13">
      <c r="B16585" s="12" t="str">
        <f ca="1">IFERROR(__xludf.DUMMYFUNCTION("""COMPUTED_VALUE"""),"")</f>
        <v/>
      </c>
      <c r="C16585" s="12" t="str">
        <f ca="1">IFERROR(__xludf.DUMMYFUNCTION("""COMPUTED_VALUE"""),"")</f>
        <v/>
      </c>
      <c r="D16585" s="12" t="str">
        <f ca="1">IFERROR(__xludf.DUMMYFUNCTION("""COMPUTED_VALUE"""),"")</f>
        <v/>
      </c>
    </row>
    <row r="16586" spans="2:4" ht="13">
      <c r="B16586" s="12" t="str">
        <f ca="1">IFERROR(__xludf.DUMMYFUNCTION("""COMPUTED_VALUE"""),"")</f>
        <v/>
      </c>
      <c r="C16586" s="12" t="str">
        <f ca="1">IFERROR(__xludf.DUMMYFUNCTION("""COMPUTED_VALUE"""),"")</f>
        <v/>
      </c>
      <c r="D16586" s="12" t="str">
        <f ca="1">IFERROR(__xludf.DUMMYFUNCTION("""COMPUTED_VALUE"""),"")</f>
        <v/>
      </c>
    </row>
    <row r="16587" spans="2:4" ht="13">
      <c r="B16587" s="12" t="str">
        <f ca="1">IFERROR(__xludf.DUMMYFUNCTION("""COMPUTED_VALUE"""),"")</f>
        <v/>
      </c>
      <c r="C16587" s="12" t="str">
        <f ca="1">IFERROR(__xludf.DUMMYFUNCTION("""COMPUTED_VALUE"""),"")</f>
        <v/>
      </c>
      <c r="D16587" s="12" t="str">
        <f ca="1">IFERROR(__xludf.DUMMYFUNCTION("""COMPUTED_VALUE"""),"")</f>
        <v/>
      </c>
    </row>
    <row r="16588" spans="2:4" ht="13">
      <c r="B16588" s="12" t="str">
        <f ca="1">IFERROR(__xludf.DUMMYFUNCTION("""COMPUTED_VALUE"""),"")</f>
        <v/>
      </c>
      <c r="C16588" s="12" t="str">
        <f ca="1">IFERROR(__xludf.DUMMYFUNCTION("""COMPUTED_VALUE"""),"")</f>
        <v/>
      </c>
      <c r="D16588" s="12" t="str">
        <f ca="1">IFERROR(__xludf.DUMMYFUNCTION("""COMPUTED_VALUE"""),"")</f>
        <v/>
      </c>
    </row>
    <row r="16589" spans="2:4" ht="13">
      <c r="B16589" s="12" t="str">
        <f ca="1">IFERROR(__xludf.DUMMYFUNCTION("""COMPUTED_VALUE"""),"")</f>
        <v/>
      </c>
      <c r="C16589" s="12" t="str">
        <f ca="1">IFERROR(__xludf.DUMMYFUNCTION("""COMPUTED_VALUE"""),"")</f>
        <v/>
      </c>
      <c r="D16589" s="12" t="str">
        <f ca="1">IFERROR(__xludf.DUMMYFUNCTION("""COMPUTED_VALUE"""),"")</f>
        <v/>
      </c>
    </row>
    <row r="16590" spans="2:4" ht="13">
      <c r="B16590" s="12" t="str">
        <f ca="1">IFERROR(__xludf.DUMMYFUNCTION("""COMPUTED_VALUE"""),"")</f>
        <v/>
      </c>
      <c r="C16590" s="12" t="str">
        <f ca="1">IFERROR(__xludf.DUMMYFUNCTION("""COMPUTED_VALUE"""),"")</f>
        <v/>
      </c>
      <c r="D16590" s="12" t="str">
        <f ca="1">IFERROR(__xludf.DUMMYFUNCTION("""COMPUTED_VALUE"""),"")</f>
        <v/>
      </c>
    </row>
    <row r="16591" spans="2:4" ht="13">
      <c r="B16591" s="12" t="str">
        <f ca="1">IFERROR(__xludf.DUMMYFUNCTION("""COMPUTED_VALUE"""),"")</f>
        <v/>
      </c>
      <c r="C16591" s="12" t="str">
        <f ca="1">IFERROR(__xludf.DUMMYFUNCTION("""COMPUTED_VALUE"""),"")</f>
        <v/>
      </c>
      <c r="D16591" s="12" t="str">
        <f ca="1">IFERROR(__xludf.DUMMYFUNCTION("""COMPUTED_VALUE"""),"")</f>
        <v/>
      </c>
    </row>
    <row r="16592" spans="2:4" ht="13">
      <c r="B16592" s="12" t="str">
        <f ca="1">IFERROR(__xludf.DUMMYFUNCTION("""COMPUTED_VALUE"""),"")</f>
        <v/>
      </c>
      <c r="C16592" s="12" t="str">
        <f ca="1">IFERROR(__xludf.DUMMYFUNCTION("""COMPUTED_VALUE"""),"")</f>
        <v/>
      </c>
      <c r="D16592" s="12" t="str">
        <f ca="1">IFERROR(__xludf.DUMMYFUNCTION("""COMPUTED_VALUE"""),"")</f>
        <v/>
      </c>
    </row>
    <row r="16593" spans="2:4" ht="13">
      <c r="B16593" s="12" t="str">
        <f ca="1">IFERROR(__xludf.DUMMYFUNCTION("""COMPUTED_VALUE"""),"")</f>
        <v/>
      </c>
      <c r="C16593" s="12" t="str">
        <f ca="1">IFERROR(__xludf.DUMMYFUNCTION("""COMPUTED_VALUE"""),"")</f>
        <v/>
      </c>
      <c r="D16593" s="12" t="str">
        <f ca="1">IFERROR(__xludf.DUMMYFUNCTION("""COMPUTED_VALUE"""),"")</f>
        <v/>
      </c>
    </row>
    <row r="16594" spans="2:4" ht="13">
      <c r="B16594" s="12" t="str">
        <f ca="1">IFERROR(__xludf.DUMMYFUNCTION("""COMPUTED_VALUE"""),"")</f>
        <v/>
      </c>
      <c r="C16594" s="12" t="str">
        <f ca="1">IFERROR(__xludf.DUMMYFUNCTION("""COMPUTED_VALUE"""),"")</f>
        <v/>
      </c>
      <c r="D16594" s="12" t="str">
        <f ca="1">IFERROR(__xludf.DUMMYFUNCTION("""COMPUTED_VALUE"""),"")</f>
        <v/>
      </c>
    </row>
    <row r="16595" spans="2:4" ht="13">
      <c r="B16595" s="12" t="str">
        <f ca="1">IFERROR(__xludf.DUMMYFUNCTION("""COMPUTED_VALUE"""),"")</f>
        <v/>
      </c>
      <c r="C16595" s="12" t="str">
        <f ca="1">IFERROR(__xludf.DUMMYFUNCTION("""COMPUTED_VALUE"""),"")</f>
        <v/>
      </c>
      <c r="D16595" s="12" t="str">
        <f ca="1">IFERROR(__xludf.DUMMYFUNCTION("""COMPUTED_VALUE"""),"")</f>
        <v/>
      </c>
    </row>
    <row r="16596" spans="2:4" ht="13">
      <c r="B16596" s="12" t="str">
        <f ca="1">IFERROR(__xludf.DUMMYFUNCTION("""COMPUTED_VALUE"""),"")</f>
        <v/>
      </c>
      <c r="C16596" s="12" t="str">
        <f ca="1">IFERROR(__xludf.DUMMYFUNCTION("""COMPUTED_VALUE"""),"")</f>
        <v/>
      </c>
      <c r="D16596" s="12" t="str">
        <f ca="1">IFERROR(__xludf.DUMMYFUNCTION("""COMPUTED_VALUE"""),"")</f>
        <v/>
      </c>
    </row>
    <row r="16597" spans="2:4" ht="13">
      <c r="B16597" s="12" t="str">
        <f ca="1">IFERROR(__xludf.DUMMYFUNCTION("""COMPUTED_VALUE"""),"")</f>
        <v/>
      </c>
      <c r="C16597" s="12" t="str">
        <f ca="1">IFERROR(__xludf.DUMMYFUNCTION("""COMPUTED_VALUE"""),"")</f>
        <v/>
      </c>
      <c r="D16597" s="12" t="str">
        <f ca="1">IFERROR(__xludf.DUMMYFUNCTION("""COMPUTED_VALUE"""),"")</f>
        <v/>
      </c>
    </row>
    <row r="16598" spans="2:4" ht="13">
      <c r="B16598" s="12" t="str">
        <f ca="1">IFERROR(__xludf.DUMMYFUNCTION("""COMPUTED_VALUE"""),"")</f>
        <v/>
      </c>
      <c r="C16598" s="12" t="str">
        <f ca="1">IFERROR(__xludf.DUMMYFUNCTION("""COMPUTED_VALUE"""),"")</f>
        <v/>
      </c>
      <c r="D16598" s="12" t="str">
        <f ca="1">IFERROR(__xludf.DUMMYFUNCTION("""COMPUTED_VALUE"""),"")</f>
        <v/>
      </c>
    </row>
    <row r="16599" spans="2:4" ht="13">
      <c r="B16599" s="12" t="str">
        <f ca="1">IFERROR(__xludf.DUMMYFUNCTION("""COMPUTED_VALUE"""),"")</f>
        <v/>
      </c>
      <c r="C16599" s="12" t="str">
        <f ca="1">IFERROR(__xludf.DUMMYFUNCTION("""COMPUTED_VALUE"""),"")</f>
        <v/>
      </c>
      <c r="D16599" s="12" t="str">
        <f ca="1">IFERROR(__xludf.DUMMYFUNCTION("""COMPUTED_VALUE"""),"")</f>
        <v/>
      </c>
    </row>
    <row r="16600" spans="2:4" ht="13">
      <c r="B16600" s="12" t="str">
        <f ca="1">IFERROR(__xludf.DUMMYFUNCTION("""COMPUTED_VALUE"""),"")</f>
        <v/>
      </c>
      <c r="C16600" s="12" t="str">
        <f ca="1">IFERROR(__xludf.DUMMYFUNCTION("""COMPUTED_VALUE"""),"")</f>
        <v/>
      </c>
      <c r="D16600" s="12" t="str">
        <f ca="1">IFERROR(__xludf.DUMMYFUNCTION("""COMPUTED_VALUE"""),"")</f>
        <v/>
      </c>
    </row>
    <row r="16601" spans="2:4" ht="13">
      <c r="B16601" s="12" t="str">
        <f ca="1">IFERROR(__xludf.DUMMYFUNCTION("""COMPUTED_VALUE"""),"")</f>
        <v/>
      </c>
      <c r="C16601" s="12" t="str">
        <f ca="1">IFERROR(__xludf.DUMMYFUNCTION("""COMPUTED_VALUE"""),"")</f>
        <v/>
      </c>
      <c r="D16601" s="12" t="str">
        <f ca="1">IFERROR(__xludf.DUMMYFUNCTION("""COMPUTED_VALUE"""),"")</f>
        <v/>
      </c>
    </row>
    <row r="16602" spans="2:4" ht="13">
      <c r="B16602" s="12" t="str">
        <f ca="1">IFERROR(__xludf.DUMMYFUNCTION("""COMPUTED_VALUE"""),"")</f>
        <v/>
      </c>
      <c r="C16602" s="12" t="str">
        <f ca="1">IFERROR(__xludf.DUMMYFUNCTION("""COMPUTED_VALUE"""),"")</f>
        <v/>
      </c>
      <c r="D16602" s="12" t="str">
        <f ca="1">IFERROR(__xludf.DUMMYFUNCTION("""COMPUTED_VALUE"""),"")</f>
        <v/>
      </c>
    </row>
    <row r="16603" spans="2:4" ht="13">
      <c r="B16603" s="12" t="str">
        <f ca="1">IFERROR(__xludf.DUMMYFUNCTION("""COMPUTED_VALUE"""),"")</f>
        <v/>
      </c>
      <c r="C16603" s="12" t="str">
        <f ca="1">IFERROR(__xludf.DUMMYFUNCTION("""COMPUTED_VALUE"""),"")</f>
        <v/>
      </c>
      <c r="D16603" s="12" t="str">
        <f ca="1">IFERROR(__xludf.DUMMYFUNCTION("""COMPUTED_VALUE"""),"")</f>
        <v/>
      </c>
    </row>
    <row r="16604" spans="2:4" ht="13">
      <c r="B16604" s="12" t="str">
        <f ca="1">IFERROR(__xludf.DUMMYFUNCTION("""COMPUTED_VALUE"""),"")</f>
        <v/>
      </c>
      <c r="C16604" s="12" t="str">
        <f ca="1">IFERROR(__xludf.DUMMYFUNCTION("""COMPUTED_VALUE"""),"")</f>
        <v/>
      </c>
      <c r="D16604" s="12" t="str">
        <f ca="1">IFERROR(__xludf.DUMMYFUNCTION("""COMPUTED_VALUE"""),"")</f>
        <v/>
      </c>
    </row>
    <row r="16605" spans="2:4" ht="13">
      <c r="B16605" s="12" t="str">
        <f ca="1">IFERROR(__xludf.DUMMYFUNCTION("""COMPUTED_VALUE"""),"")</f>
        <v/>
      </c>
      <c r="C16605" s="12" t="str">
        <f ca="1">IFERROR(__xludf.DUMMYFUNCTION("""COMPUTED_VALUE"""),"")</f>
        <v/>
      </c>
      <c r="D16605" s="12" t="str">
        <f ca="1">IFERROR(__xludf.DUMMYFUNCTION("""COMPUTED_VALUE"""),"")</f>
        <v/>
      </c>
    </row>
    <row r="16606" spans="2:4" ht="13">
      <c r="B16606" s="12" t="str">
        <f ca="1">IFERROR(__xludf.DUMMYFUNCTION("""COMPUTED_VALUE"""),"")</f>
        <v/>
      </c>
      <c r="C16606" s="12" t="str">
        <f ca="1">IFERROR(__xludf.DUMMYFUNCTION("""COMPUTED_VALUE"""),"")</f>
        <v/>
      </c>
      <c r="D16606" s="12" t="str">
        <f ca="1">IFERROR(__xludf.DUMMYFUNCTION("""COMPUTED_VALUE"""),"")</f>
        <v/>
      </c>
    </row>
    <row r="16607" spans="2:4" ht="13">
      <c r="B16607" s="12" t="str">
        <f ca="1">IFERROR(__xludf.DUMMYFUNCTION("""COMPUTED_VALUE"""),"")</f>
        <v/>
      </c>
      <c r="C16607" s="12" t="str">
        <f ca="1">IFERROR(__xludf.DUMMYFUNCTION("""COMPUTED_VALUE"""),"")</f>
        <v/>
      </c>
      <c r="D16607" s="12" t="str">
        <f ca="1">IFERROR(__xludf.DUMMYFUNCTION("""COMPUTED_VALUE"""),"")</f>
        <v/>
      </c>
    </row>
    <row r="16608" spans="2:4" ht="13">
      <c r="B16608" s="12" t="str">
        <f ca="1">IFERROR(__xludf.DUMMYFUNCTION("""COMPUTED_VALUE"""),"")</f>
        <v/>
      </c>
      <c r="C16608" s="12" t="str">
        <f ca="1">IFERROR(__xludf.DUMMYFUNCTION("""COMPUTED_VALUE"""),"")</f>
        <v/>
      </c>
      <c r="D16608" s="12" t="str">
        <f ca="1">IFERROR(__xludf.DUMMYFUNCTION("""COMPUTED_VALUE"""),"")</f>
        <v/>
      </c>
    </row>
    <row r="16609" spans="2:4" ht="13">
      <c r="B16609" s="12" t="str">
        <f ca="1">IFERROR(__xludf.DUMMYFUNCTION("""COMPUTED_VALUE"""),"")</f>
        <v/>
      </c>
      <c r="C16609" s="12" t="str">
        <f ca="1">IFERROR(__xludf.DUMMYFUNCTION("""COMPUTED_VALUE"""),"")</f>
        <v/>
      </c>
      <c r="D16609" s="12" t="str">
        <f ca="1">IFERROR(__xludf.DUMMYFUNCTION("""COMPUTED_VALUE"""),"")</f>
        <v/>
      </c>
    </row>
    <row r="16610" spans="2:4" ht="13">
      <c r="B16610" s="12" t="str">
        <f ca="1">IFERROR(__xludf.DUMMYFUNCTION("""COMPUTED_VALUE"""),"")</f>
        <v/>
      </c>
      <c r="C16610" s="12" t="str">
        <f ca="1">IFERROR(__xludf.DUMMYFUNCTION("""COMPUTED_VALUE"""),"")</f>
        <v/>
      </c>
      <c r="D16610" s="12" t="str">
        <f ca="1">IFERROR(__xludf.DUMMYFUNCTION("""COMPUTED_VALUE"""),"")</f>
        <v/>
      </c>
    </row>
    <row r="16611" spans="2:4" ht="13">
      <c r="B16611" s="12" t="str">
        <f ca="1">IFERROR(__xludf.DUMMYFUNCTION("""COMPUTED_VALUE"""),"")</f>
        <v/>
      </c>
      <c r="C16611" s="12" t="str">
        <f ca="1">IFERROR(__xludf.DUMMYFUNCTION("""COMPUTED_VALUE"""),"")</f>
        <v/>
      </c>
      <c r="D16611" s="12" t="str">
        <f ca="1">IFERROR(__xludf.DUMMYFUNCTION("""COMPUTED_VALUE"""),"")</f>
        <v/>
      </c>
    </row>
    <row r="16612" spans="2:4" ht="13">
      <c r="B16612" s="12" t="str">
        <f ca="1">IFERROR(__xludf.DUMMYFUNCTION("""COMPUTED_VALUE"""),"")</f>
        <v/>
      </c>
      <c r="C16612" s="12" t="str">
        <f ca="1">IFERROR(__xludf.DUMMYFUNCTION("""COMPUTED_VALUE"""),"")</f>
        <v/>
      </c>
      <c r="D16612" s="12" t="str">
        <f ca="1">IFERROR(__xludf.DUMMYFUNCTION("""COMPUTED_VALUE"""),"")</f>
        <v/>
      </c>
    </row>
    <row r="16613" spans="2:4" ht="13">
      <c r="B16613" s="12" t="str">
        <f ca="1">IFERROR(__xludf.DUMMYFUNCTION("""COMPUTED_VALUE"""),"")</f>
        <v/>
      </c>
      <c r="C16613" s="12" t="str">
        <f ca="1">IFERROR(__xludf.DUMMYFUNCTION("""COMPUTED_VALUE"""),"")</f>
        <v/>
      </c>
      <c r="D16613" s="12" t="str">
        <f ca="1">IFERROR(__xludf.DUMMYFUNCTION("""COMPUTED_VALUE"""),"")</f>
        <v/>
      </c>
    </row>
    <row r="16614" spans="2:4" ht="13">
      <c r="B16614" s="12" t="str">
        <f ca="1">IFERROR(__xludf.DUMMYFUNCTION("""COMPUTED_VALUE"""),"")</f>
        <v/>
      </c>
      <c r="C16614" s="12" t="str">
        <f ca="1">IFERROR(__xludf.DUMMYFUNCTION("""COMPUTED_VALUE"""),"")</f>
        <v/>
      </c>
      <c r="D16614" s="12" t="str">
        <f ca="1">IFERROR(__xludf.DUMMYFUNCTION("""COMPUTED_VALUE"""),"")</f>
        <v/>
      </c>
    </row>
    <row r="16615" spans="2:4" ht="13">
      <c r="B16615" s="12" t="str">
        <f ca="1">IFERROR(__xludf.DUMMYFUNCTION("""COMPUTED_VALUE"""),"")</f>
        <v/>
      </c>
      <c r="C16615" s="12" t="str">
        <f ca="1">IFERROR(__xludf.DUMMYFUNCTION("""COMPUTED_VALUE"""),"")</f>
        <v/>
      </c>
      <c r="D16615" s="12" t="str">
        <f ca="1">IFERROR(__xludf.DUMMYFUNCTION("""COMPUTED_VALUE"""),"")</f>
        <v/>
      </c>
    </row>
    <row r="16616" spans="2:4" ht="13">
      <c r="B16616" s="12" t="str">
        <f ca="1">IFERROR(__xludf.DUMMYFUNCTION("""COMPUTED_VALUE"""),"")</f>
        <v/>
      </c>
      <c r="C16616" s="12" t="str">
        <f ca="1">IFERROR(__xludf.DUMMYFUNCTION("""COMPUTED_VALUE"""),"")</f>
        <v/>
      </c>
      <c r="D16616" s="12" t="str">
        <f ca="1">IFERROR(__xludf.DUMMYFUNCTION("""COMPUTED_VALUE"""),"")</f>
        <v/>
      </c>
    </row>
    <row r="16617" spans="2:4" ht="13">
      <c r="B16617" s="12" t="str">
        <f ca="1">IFERROR(__xludf.DUMMYFUNCTION("""COMPUTED_VALUE"""),"")</f>
        <v/>
      </c>
      <c r="C16617" s="12" t="str">
        <f ca="1">IFERROR(__xludf.DUMMYFUNCTION("""COMPUTED_VALUE"""),"")</f>
        <v/>
      </c>
      <c r="D16617" s="12" t="str">
        <f ca="1">IFERROR(__xludf.DUMMYFUNCTION("""COMPUTED_VALUE"""),"")</f>
        <v/>
      </c>
    </row>
    <row r="16618" spans="2:4" ht="13">
      <c r="B16618" s="12" t="str">
        <f ca="1">IFERROR(__xludf.DUMMYFUNCTION("""COMPUTED_VALUE"""),"")</f>
        <v/>
      </c>
      <c r="C16618" s="12" t="str">
        <f ca="1">IFERROR(__xludf.DUMMYFUNCTION("""COMPUTED_VALUE"""),"")</f>
        <v/>
      </c>
      <c r="D16618" s="12" t="str">
        <f ca="1">IFERROR(__xludf.DUMMYFUNCTION("""COMPUTED_VALUE"""),"")</f>
        <v/>
      </c>
    </row>
    <row r="16619" spans="2:4" ht="13">
      <c r="B16619" s="12" t="str">
        <f ca="1">IFERROR(__xludf.DUMMYFUNCTION("""COMPUTED_VALUE"""),"")</f>
        <v/>
      </c>
      <c r="C16619" s="12" t="str">
        <f ca="1">IFERROR(__xludf.DUMMYFUNCTION("""COMPUTED_VALUE"""),"")</f>
        <v/>
      </c>
      <c r="D16619" s="12" t="str">
        <f ca="1">IFERROR(__xludf.DUMMYFUNCTION("""COMPUTED_VALUE"""),"")</f>
        <v/>
      </c>
    </row>
    <row r="16620" spans="2:4" ht="13">
      <c r="B16620" s="12" t="str">
        <f ca="1">IFERROR(__xludf.DUMMYFUNCTION("""COMPUTED_VALUE"""),"")</f>
        <v/>
      </c>
      <c r="C16620" s="12" t="str">
        <f ca="1">IFERROR(__xludf.DUMMYFUNCTION("""COMPUTED_VALUE"""),"")</f>
        <v/>
      </c>
      <c r="D16620" s="12" t="str">
        <f ca="1">IFERROR(__xludf.DUMMYFUNCTION("""COMPUTED_VALUE"""),"")</f>
        <v/>
      </c>
    </row>
    <row r="16621" spans="2:4" ht="13">
      <c r="B16621" s="12" t="str">
        <f ca="1">IFERROR(__xludf.DUMMYFUNCTION("""COMPUTED_VALUE"""),"")</f>
        <v/>
      </c>
      <c r="C16621" s="12" t="str">
        <f ca="1">IFERROR(__xludf.DUMMYFUNCTION("""COMPUTED_VALUE"""),"")</f>
        <v/>
      </c>
      <c r="D16621" s="12" t="str">
        <f ca="1">IFERROR(__xludf.DUMMYFUNCTION("""COMPUTED_VALUE"""),"")</f>
        <v/>
      </c>
    </row>
    <row r="16622" spans="2:4" ht="13">
      <c r="B16622" s="12" t="str">
        <f ca="1">IFERROR(__xludf.DUMMYFUNCTION("""COMPUTED_VALUE"""),"")</f>
        <v/>
      </c>
      <c r="C16622" s="12" t="str">
        <f ca="1">IFERROR(__xludf.DUMMYFUNCTION("""COMPUTED_VALUE"""),"")</f>
        <v/>
      </c>
      <c r="D16622" s="12" t="str">
        <f ca="1">IFERROR(__xludf.DUMMYFUNCTION("""COMPUTED_VALUE"""),"")</f>
        <v/>
      </c>
    </row>
    <row r="16623" spans="2:4" ht="13">
      <c r="B16623" s="12" t="str">
        <f ca="1">IFERROR(__xludf.DUMMYFUNCTION("""COMPUTED_VALUE"""),"")</f>
        <v/>
      </c>
      <c r="C16623" s="12" t="str">
        <f ca="1">IFERROR(__xludf.DUMMYFUNCTION("""COMPUTED_VALUE"""),"")</f>
        <v/>
      </c>
      <c r="D16623" s="12" t="str">
        <f ca="1">IFERROR(__xludf.DUMMYFUNCTION("""COMPUTED_VALUE"""),"")</f>
        <v/>
      </c>
    </row>
    <row r="16624" spans="2:4" ht="13">
      <c r="B16624" s="12" t="str">
        <f ca="1">IFERROR(__xludf.DUMMYFUNCTION("""COMPUTED_VALUE"""),"")</f>
        <v/>
      </c>
      <c r="C16624" s="12" t="str">
        <f ca="1">IFERROR(__xludf.DUMMYFUNCTION("""COMPUTED_VALUE"""),"")</f>
        <v/>
      </c>
      <c r="D16624" s="12" t="str">
        <f ca="1">IFERROR(__xludf.DUMMYFUNCTION("""COMPUTED_VALUE"""),"")</f>
        <v/>
      </c>
    </row>
    <row r="16625" spans="2:4" ht="13">
      <c r="B16625" s="12" t="str">
        <f ca="1">IFERROR(__xludf.DUMMYFUNCTION("""COMPUTED_VALUE"""),"")</f>
        <v/>
      </c>
      <c r="C16625" s="12" t="str">
        <f ca="1">IFERROR(__xludf.DUMMYFUNCTION("""COMPUTED_VALUE"""),"")</f>
        <v/>
      </c>
      <c r="D16625" s="12" t="str">
        <f ca="1">IFERROR(__xludf.DUMMYFUNCTION("""COMPUTED_VALUE"""),"")</f>
        <v/>
      </c>
    </row>
    <row r="16626" spans="2:4" ht="13">
      <c r="B16626" s="12" t="str">
        <f ca="1">IFERROR(__xludf.DUMMYFUNCTION("""COMPUTED_VALUE"""),"")</f>
        <v/>
      </c>
      <c r="C16626" s="12" t="str">
        <f ca="1">IFERROR(__xludf.DUMMYFUNCTION("""COMPUTED_VALUE"""),"")</f>
        <v/>
      </c>
      <c r="D16626" s="12" t="str">
        <f ca="1">IFERROR(__xludf.DUMMYFUNCTION("""COMPUTED_VALUE"""),"")</f>
        <v/>
      </c>
    </row>
    <row r="16627" spans="2:4" ht="13">
      <c r="B16627" s="12" t="str">
        <f ca="1">IFERROR(__xludf.DUMMYFUNCTION("""COMPUTED_VALUE"""),"")</f>
        <v/>
      </c>
      <c r="C16627" s="12" t="str">
        <f ca="1">IFERROR(__xludf.DUMMYFUNCTION("""COMPUTED_VALUE"""),"")</f>
        <v/>
      </c>
      <c r="D16627" s="12" t="str">
        <f ca="1">IFERROR(__xludf.DUMMYFUNCTION("""COMPUTED_VALUE"""),"")</f>
        <v/>
      </c>
    </row>
    <row r="16628" spans="2:4" ht="13">
      <c r="B16628" s="12" t="str">
        <f ca="1">IFERROR(__xludf.DUMMYFUNCTION("""COMPUTED_VALUE"""),"")</f>
        <v/>
      </c>
      <c r="C16628" s="12" t="str">
        <f ca="1">IFERROR(__xludf.DUMMYFUNCTION("""COMPUTED_VALUE"""),"")</f>
        <v/>
      </c>
      <c r="D16628" s="12" t="str">
        <f ca="1">IFERROR(__xludf.DUMMYFUNCTION("""COMPUTED_VALUE"""),"")</f>
        <v/>
      </c>
    </row>
    <row r="16629" spans="2:4" ht="13">
      <c r="B16629" s="12" t="str">
        <f ca="1">IFERROR(__xludf.DUMMYFUNCTION("""COMPUTED_VALUE"""),"")</f>
        <v/>
      </c>
      <c r="C16629" s="12" t="str">
        <f ca="1">IFERROR(__xludf.DUMMYFUNCTION("""COMPUTED_VALUE"""),"")</f>
        <v/>
      </c>
      <c r="D16629" s="12" t="str">
        <f ca="1">IFERROR(__xludf.DUMMYFUNCTION("""COMPUTED_VALUE"""),"")</f>
        <v/>
      </c>
    </row>
    <row r="16630" spans="2:4" ht="13">
      <c r="B16630" s="12" t="str">
        <f ca="1">IFERROR(__xludf.DUMMYFUNCTION("""COMPUTED_VALUE"""),"")</f>
        <v/>
      </c>
      <c r="C16630" s="12" t="str">
        <f ca="1">IFERROR(__xludf.DUMMYFUNCTION("""COMPUTED_VALUE"""),"")</f>
        <v/>
      </c>
      <c r="D16630" s="12" t="str">
        <f ca="1">IFERROR(__xludf.DUMMYFUNCTION("""COMPUTED_VALUE"""),"")</f>
        <v/>
      </c>
    </row>
    <row r="16631" spans="2:4" ht="13">
      <c r="B16631" s="12" t="str">
        <f ca="1">IFERROR(__xludf.DUMMYFUNCTION("""COMPUTED_VALUE"""),"")</f>
        <v/>
      </c>
      <c r="C16631" s="12" t="str">
        <f ca="1">IFERROR(__xludf.DUMMYFUNCTION("""COMPUTED_VALUE"""),"")</f>
        <v/>
      </c>
      <c r="D16631" s="12" t="str">
        <f ca="1">IFERROR(__xludf.DUMMYFUNCTION("""COMPUTED_VALUE"""),"")</f>
        <v/>
      </c>
    </row>
    <row r="16632" spans="2:4" ht="13">
      <c r="B16632" s="12" t="str">
        <f ca="1">IFERROR(__xludf.DUMMYFUNCTION("""COMPUTED_VALUE"""),"")</f>
        <v/>
      </c>
      <c r="C16632" s="12" t="str">
        <f ca="1">IFERROR(__xludf.DUMMYFUNCTION("""COMPUTED_VALUE"""),"")</f>
        <v/>
      </c>
      <c r="D16632" s="12" t="str">
        <f ca="1">IFERROR(__xludf.DUMMYFUNCTION("""COMPUTED_VALUE"""),"")</f>
        <v/>
      </c>
    </row>
    <row r="16633" spans="2:4" ht="13">
      <c r="B16633" s="12" t="str">
        <f ca="1">IFERROR(__xludf.DUMMYFUNCTION("""COMPUTED_VALUE"""),"")</f>
        <v/>
      </c>
      <c r="C16633" s="12" t="str">
        <f ca="1">IFERROR(__xludf.DUMMYFUNCTION("""COMPUTED_VALUE"""),"")</f>
        <v/>
      </c>
      <c r="D16633" s="12" t="str">
        <f ca="1">IFERROR(__xludf.DUMMYFUNCTION("""COMPUTED_VALUE"""),"")</f>
        <v/>
      </c>
    </row>
    <row r="16634" spans="2:4" ht="13">
      <c r="B16634" s="12" t="str">
        <f ca="1">IFERROR(__xludf.DUMMYFUNCTION("""COMPUTED_VALUE"""),"")</f>
        <v/>
      </c>
      <c r="C16634" s="12" t="str">
        <f ca="1">IFERROR(__xludf.DUMMYFUNCTION("""COMPUTED_VALUE"""),"")</f>
        <v/>
      </c>
      <c r="D16634" s="12" t="str">
        <f ca="1">IFERROR(__xludf.DUMMYFUNCTION("""COMPUTED_VALUE"""),"")</f>
        <v/>
      </c>
    </row>
    <row r="16635" spans="2:4" ht="13">
      <c r="B16635" s="12" t="str">
        <f ca="1">IFERROR(__xludf.DUMMYFUNCTION("""COMPUTED_VALUE"""),"")</f>
        <v/>
      </c>
      <c r="C16635" s="12" t="str">
        <f ca="1">IFERROR(__xludf.DUMMYFUNCTION("""COMPUTED_VALUE"""),"")</f>
        <v/>
      </c>
      <c r="D16635" s="12" t="str">
        <f ca="1">IFERROR(__xludf.DUMMYFUNCTION("""COMPUTED_VALUE"""),"")</f>
        <v/>
      </c>
    </row>
    <row r="16636" spans="2:4" ht="13">
      <c r="B16636" s="12" t="str">
        <f ca="1">IFERROR(__xludf.DUMMYFUNCTION("""COMPUTED_VALUE"""),"")</f>
        <v/>
      </c>
      <c r="C16636" s="12" t="str">
        <f ca="1">IFERROR(__xludf.DUMMYFUNCTION("""COMPUTED_VALUE"""),"")</f>
        <v/>
      </c>
      <c r="D16636" s="12" t="str">
        <f ca="1">IFERROR(__xludf.DUMMYFUNCTION("""COMPUTED_VALUE"""),"")</f>
        <v/>
      </c>
    </row>
    <row r="16637" spans="2:4" ht="13">
      <c r="B16637" s="12" t="str">
        <f ca="1">IFERROR(__xludf.DUMMYFUNCTION("""COMPUTED_VALUE"""),"")</f>
        <v/>
      </c>
      <c r="C16637" s="12" t="str">
        <f ca="1">IFERROR(__xludf.DUMMYFUNCTION("""COMPUTED_VALUE"""),"")</f>
        <v/>
      </c>
      <c r="D16637" s="12" t="str">
        <f ca="1">IFERROR(__xludf.DUMMYFUNCTION("""COMPUTED_VALUE"""),"")</f>
        <v/>
      </c>
    </row>
    <row r="16638" spans="2:4" ht="13">
      <c r="B16638" s="12" t="str">
        <f ca="1">IFERROR(__xludf.DUMMYFUNCTION("""COMPUTED_VALUE"""),"")</f>
        <v/>
      </c>
      <c r="C16638" s="12" t="str">
        <f ca="1">IFERROR(__xludf.DUMMYFUNCTION("""COMPUTED_VALUE"""),"")</f>
        <v/>
      </c>
      <c r="D16638" s="12" t="str">
        <f ca="1">IFERROR(__xludf.DUMMYFUNCTION("""COMPUTED_VALUE"""),"")</f>
        <v/>
      </c>
    </row>
    <row r="16639" spans="2:4" ht="13">
      <c r="B16639" s="12" t="str">
        <f ca="1">IFERROR(__xludf.DUMMYFUNCTION("""COMPUTED_VALUE"""),"")</f>
        <v/>
      </c>
      <c r="C16639" s="12" t="str">
        <f ca="1">IFERROR(__xludf.DUMMYFUNCTION("""COMPUTED_VALUE"""),"")</f>
        <v/>
      </c>
      <c r="D16639" s="12" t="str">
        <f ca="1">IFERROR(__xludf.DUMMYFUNCTION("""COMPUTED_VALUE"""),"")</f>
        <v/>
      </c>
    </row>
    <row r="16640" spans="2:4" ht="13">
      <c r="B16640" s="12" t="str">
        <f ca="1">IFERROR(__xludf.DUMMYFUNCTION("""COMPUTED_VALUE"""),"")</f>
        <v/>
      </c>
      <c r="C16640" s="12" t="str">
        <f ca="1">IFERROR(__xludf.DUMMYFUNCTION("""COMPUTED_VALUE"""),"")</f>
        <v/>
      </c>
      <c r="D16640" s="12" t="str">
        <f ca="1">IFERROR(__xludf.DUMMYFUNCTION("""COMPUTED_VALUE"""),"")</f>
        <v/>
      </c>
    </row>
    <row r="16641" spans="2:4" ht="13">
      <c r="B16641" s="12" t="str">
        <f ca="1">IFERROR(__xludf.DUMMYFUNCTION("""COMPUTED_VALUE"""),"")</f>
        <v/>
      </c>
      <c r="C16641" s="12" t="str">
        <f ca="1">IFERROR(__xludf.DUMMYFUNCTION("""COMPUTED_VALUE"""),"")</f>
        <v/>
      </c>
      <c r="D16641" s="12" t="str">
        <f ca="1">IFERROR(__xludf.DUMMYFUNCTION("""COMPUTED_VALUE"""),"")</f>
        <v/>
      </c>
    </row>
    <row r="16642" spans="2:4" ht="13">
      <c r="B16642" s="12" t="str">
        <f ca="1">IFERROR(__xludf.DUMMYFUNCTION("""COMPUTED_VALUE"""),"")</f>
        <v/>
      </c>
      <c r="C16642" s="12" t="str">
        <f ca="1">IFERROR(__xludf.DUMMYFUNCTION("""COMPUTED_VALUE"""),"")</f>
        <v/>
      </c>
      <c r="D16642" s="12" t="str">
        <f ca="1">IFERROR(__xludf.DUMMYFUNCTION("""COMPUTED_VALUE"""),"")</f>
        <v/>
      </c>
    </row>
    <row r="16643" spans="2:4" ht="13">
      <c r="B16643" s="12" t="str">
        <f ca="1">IFERROR(__xludf.DUMMYFUNCTION("""COMPUTED_VALUE"""),"")</f>
        <v/>
      </c>
      <c r="C16643" s="12" t="str">
        <f ca="1">IFERROR(__xludf.DUMMYFUNCTION("""COMPUTED_VALUE"""),"")</f>
        <v/>
      </c>
      <c r="D16643" s="12" t="str">
        <f ca="1">IFERROR(__xludf.DUMMYFUNCTION("""COMPUTED_VALUE"""),"")</f>
        <v/>
      </c>
    </row>
    <row r="16644" spans="2:4" ht="13">
      <c r="B16644" s="12" t="str">
        <f ca="1">IFERROR(__xludf.DUMMYFUNCTION("""COMPUTED_VALUE"""),"")</f>
        <v/>
      </c>
      <c r="C16644" s="12" t="str">
        <f ca="1">IFERROR(__xludf.DUMMYFUNCTION("""COMPUTED_VALUE"""),"")</f>
        <v/>
      </c>
      <c r="D16644" s="12" t="str">
        <f ca="1">IFERROR(__xludf.DUMMYFUNCTION("""COMPUTED_VALUE"""),"")</f>
        <v/>
      </c>
    </row>
    <row r="16645" spans="2:4" ht="13">
      <c r="B16645" s="12" t="str">
        <f ca="1">IFERROR(__xludf.DUMMYFUNCTION("""COMPUTED_VALUE"""),"")</f>
        <v/>
      </c>
      <c r="C16645" s="12" t="str">
        <f ca="1">IFERROR(__xludf.DUMMYFUNCTION("""COMPUTED_VALUE"""),"")</f>
        <v/>
      </c>
      <c r="D16645" s="12" t="str">
        <f ca="1">IFERROR(__xludf.DUMMYFUNCTION("""COMPUTED_VALUE"""),"")</f>
        <v/>
      </c>
    </row>
    <row r="16646" spans="2:4" ht="13">
      <c r="B16646" s="12" t="str">
        <f ca="1">IFERROR(__xludf.DUMMYFUNCTION("""COMPUTED_VALUE"""),"")</f>
        <v/>
      </c>
      <c r="C16646" s="12" t="str">
        <f ca="1">IFERROR(__xludf.DUMMYFUNCTION("""COMPUTED_VALUE"""),"")</f>
        <v/>
      </c>
      <c r="D16646" s="12" t="str">
        <f ca="1">IFERROR(__xludf.DUMMYFUNCTION("""COMPUTED_VALUE"""),"")</f>
        <v/>
      </c>
    </row>
    <row r="16647" spans="2:4" ht="13">
      <c r="B16647" s="12" t="str">
        <f ca="1">IFERROR(__xludf.DUMMYFUNCTION("""COMPUTED_VALUE"""),"")</f>
        <v/>
      </c>
      <c r="C16647" s="12" t="str">
        <f ca="1">IFERROR(__xludf.DUMMYFUNCTION("""COMPUTED_VALUE"""),"")</f>
        <v/>
      </c>
      <c r="D16647" s="12" t="str">
        <f ca="1">IFERROR(__xludf.DUMMYFUNCTION("""COMPUTED_VALUE"""),"")</f>
        <v/>
      </c>
    </row>
    <row r="16648" spans="2:4" ht="13">
      <c r="B16648" s="12" t="str">
        <f ca="1">IFERROR(__xludf.DUMMYFUNCTION("""COMPUTED_VALUE"""),"")</f>
        <v/>
      </c>
      <c r="C16648" s="12" t="str">
        <f ca="1">IFERROR(__xludf.DUMMYFUNCTION("""COMPUTED_VALUE"""),"")</f>
        <v/>
      </c>
      <c r="D16648" s="12" t="str">
        <f ca="1">IFERROR(__xludf.DUMMYFUNCTION("""COMPUTED_VALUE"""),"")</f>
        <v/>
      </c>
    </row>
    <row r="16649" spans="2:4" ht="13">
      <c r="B16649" s="12" t="str">
        <f ca="1">IFERROR(__xludf.DUMMYFUNCTION("""COMPUTED_VALUE"""),"")</f>
        <v/>
      </c>
      <c r="C16649" s="12" t="str">
        <f ca="1">IFERROR(__xludf.DUMMYFUNCTION("""COMPUTED_VALUE"""),"")</f>
        <v/>
      </c>
      <c r="D16649" s="12" t="str">
        <f ca="1">IFERROR(__xludf.DUMMYFUNCTION("""COMPUTED_VALUE"""),"")</f>
        <v/>
      </c>
    </row>
    <row r="16650" spans="2:4" ht="13">
      <c r="B16650" s="12" t="str">
        <f ca="1">IFERROR(__xludf.DUMMYFUNCTION("""COMPUTED_VALUE"""),"")</f>
        <v/>
      </c>
      <c r="C16650" s="12" t="str">
        <f ca="1">IFERROR(__xludf.DUMMYFUNCTION("""COMPUTED_VALUE"""),"")</f>
        <v/>
      </c>
      <c r="D16650" s="12" t="str">
        <f ca="1">IFERROR(__xludf.DUMMYFUNCTION("""COMPUTED_VALUE"""),"")</f>
        <v/>
      </c>
    </row>
    <row r="16651" spans="2:4" ht="13">
      <c r="B16651" s="12" t="str">
        <f ca="1">IFERROR(__xludf.DUMMYFUNCTION("""COMPUTED_VALUE"""),"")</f>
        <v/>
      </c>
      <c r="C16651" s="12" t="str">
        <f ca="1">IFERROR(__xludf.DUMMYFUNCTION("""COMPUTED_VALUE"""),"")</f>
        <v/>
      </c>
      <c r="D16651" s="12" t="str">
        <f ca="1">IFERROR(__xludf.DUMMYFUNCTION("""COMPUTED_VALUE"""),"")</f>
        <v/>
      </c>
    </row>
    <row r="16652" spans="2:4" ht="13">
      <c r="B16652" s="12" t="str">
        <f ca="1">IFERROR(__xludf.DUMMYFUNCTION("""COMPUTED_VALUE"""),"")</f>
        <v/>
      </c>
      <c r="C16652" s="12" t="str">
        <f ca="1">IFERROR(__xludf.DUMMYFUNCTION("""COMPUTED_VALUE"""),"")</f>
        <v/>
      </c>
      <c r="D16652" s="12" t="str">
        <f ca="1">IFERROR(__xludf.DUMMYFUNCTION("""COMPUTED_VALUE"""),"")</f>
        <v/>
      </c>
    </row>
    <row r="16653" spans="2:4" ht="13">
      <c r="B16653" s="12" t="str">
        <f ca="1">IFERROR(__xludf.DUMMYFUNCTION("""COMPUTED_VALUE"""),"")</f>
        <v/>
      </c>
      <c r="C16653" s="12" t="str">
        <f ca="1">IFERROR(__xludf.DUMMYFUNCTION("""COMPUTED_VALUE"""),"")</f>
        <v/>
      </c>
      <c r="D16653" s="12" t="str">
        <f ca="1">IFERROR(__xludf.DUMMYFUNCTION("""COMPUTED_VALUE"""),"")</f>
        <v/>
      </c>
    </row>
    <row r="16654" spans="2:4" ht="13">
      <c r="B16654" s="12" t="str">
        <f ca="1">IFERROR(__xludf.DUMMYFUNCTION("""COMPUTED_VALUE"""),"")</f>
        <v/>
      </c>
      <c r="C16654" s="12" t="str">
        <f ca="1">IFERROR(__xludf.DUMMYFUNCTION("""COMPUTED_VALUE"""),"")</f>
        <v/>
      </c>
      <c r="D16654" s="12" t="str">
        <f ca="1">IFERROR(__xludf.DUMMYFUNCTION("""COMPUTED_VALUE"""),"")</f>
        <v/>
      </c>
    </row>
    <row r="16655" spans="2:4" ht="13">
      <c r="B16655" s="12" t="str">
        <f ca="1">IFERROR(__xludf.DUMMYFUNCTION("""COMPUTED_VALUE"""),"")</f>
        <v/>
      </c>
      <c r="C16655" s="12" t="str">
        <f ca="1">IFERROR(__xludf.DUMMYFUNCTION("""COMPUTED_VALUE"""),"")</f>
        <v/>
      </c>
      <c r="D16655" s="12" t="str">
        <f ca="1">IFERROR(__xludf.DUMMYFUNCTION("""COMPUTED_VALUE"""),"")</f>
        <v/>
      </c>
    </row>
    <row r="16656" spans="2:4" ht="13">
      <c r="B16656" s="12" t="str">
        <f ca="1">IFERROR(__xludf.DUMMYFUNCTION("""COMPUTED_VALUE"""),"")</f>
        <v/>
      </c>
      <c r="C16656" s="12" t="str">
        <f ca="1">IFERROR(__xludf.DUMMYFUNCTION("""COMPUTED_VALUE"""),"")</f>
        <v/>
      </c>
      <c r="D16656" s="12" t="str">
        <f ca="1">IFERROR(__xludf.DUMMYFUNCTION("""COMPUTED_VALUE"""),"")</f>
        <v/>
      </c>
    </row>
    <row r="16657" spans="2:4" ht="13">
      <c r="B16657" s="12" t="str">
        <f ca="1">IFERROR(__xludf.DUMMYFUNCTION("""COMPUTED_VALUE"""),"")</f>
        <v/>
      </c>
      <c r="C16657" s="12" t="str">
        <f ca="1">IFERROR(__xludf.DUMMYFUNCTION("""COMPUTED_VALUE"""),"")</f>
        <v/>
      </c>
      <c r="D16657" s="12" t="str">
        <f ca="1">IFERROR(__xludf.DUMMYFUNCTION("""COMPUTED_VALUE"""),"")</f>
        <v/>
      </c>
    </row>
    <row r="16658" spans="2:4" ht="13">
      <c r="B16658" s="12" t="str">
        <f ca="1">IFERROR(__xludf.DUMMYFUNCTION("""COMPUTED_VALUE"""),"")</f>
        <v/>
      </c>
      <c r="C16658" s="12" t="str">
        <f ca="1">IFERROR(__xludf.DUMMYFUNCTION("""COMPUTED_VALUE"""),"")</f>
        <v/>
      </c>
      <c r="D16658" s="12" t="str">
        <f ca="1">IFERROR(__xludf.DUMMYFUNCTION("""COMPUTED_VALUE"""),"")</f>
        <v/>
      </c>
    </row>
    <row r="16659" spans="2:4" ht="13">
      <c r="B16659" s="12" t="str">
        <f ca="1">IFERROR(__xludf.DUMMYFUNCTION("""COMPUTED_VALUE"""),"")</f>
        <v/>
      </c>
      <c r="C16659" s="12" t="str">
        <f ca="1">IFERROR(__xludf.DUMMYFUNCTION("""COMPUTED_VALUE"""),"")</f>
        <v/>
      </c>
      <c r="D16659" s="12" t="str">
        <f ca="1">IFERROR(__xludf.DUMMYFUNCTION("""COMPUTED_VALUE"""),"")</f>
        <v/>
      </c>
    </row>
    <row r="16660" spans="2:4" ht="13">
      <c r="B16660" s="12" t="str">
        <f ca="1">IFERROR(__xludf.DUMMYFUNCTION("""COMPUTED_VALUE"""),"")</f>
        <v/>
      </c>
      <c r="C16660" s="12" t="str">
        <f ca="1">IFERROR(__xludf.DUMMYFUNCTION("""COMPUTED_VALUE"""),"")</f>
        <v/>
      </c>
      <c r="D16660" s="12" t="str">
        <f ca="1">IFERROR(__xludf.DUMMYFUNCTION("""COMPUTED_VALUE"""),"")</f>
        <v/>
      </c>
    </row>
    <row r="16661" spans="2:4" ht="13">
      <c r="B16661" s="12" t="str">
        <f ca="1">IFERROR(__xludf.DUMMYFUNCTION("""COMPUTED_VALUE"""),"")</f>
        <v/>
      </c>
      <c r="C16661" s="12" t="str">
        <f ca="1">IFERROR(__xludf.DUMMYFUNCTION("""COMPUTED_VALUE"""),"")</f>
        <v/>
      </c>
      <c r="D16661" s="12" t="str">
        <f ca="1">IFERROR(__xludf.DUMMYFUNCTION("""COMPUTED_VALUE"""),"")</f>
        <v/>
      </c>
    </row>
    <row r="16662" spans="2:4" ht="13">
      <c r="B16662" s="12" t="str">
        <f ca="1">IFERROR(__xludf.DUMMYFUNCTION("""COMPUTED_VALUE"""),"")</f>
        <v/>
      </c>
      <c r="C16662" s="12" t="str">
        <f ca="1">IFERROR(__xludf.DUMMYFUNCTION("""COMPUTED_VALUE"""),"")</f>
        <v/>
      </c>
      <c r="D16662" s="12" t="str">
        <f ca="1">IFERROR(__xludf.DUMMYFUNCTION("""COMPUTED_VALUE"""),"")</f>
        <v/>
      </c>
    </row>
    <row r="16663" spans="2:4" ht="13">
      <c r="B16663" s="12" t="str">
        <f ca="1">IFERROR(__xludf.DUMMYFUNCTION("""COMPUTED_VALUE"""),"")</f>
        <v/>
      </c>
      <c r="C16663" s="12" t="str">
        <f ca="1">IFERROR(__xludf.DUMMYFUNCTION("""COMPUTED_VALUE"""),"")</f>
        <v/>
      </c>
      <c r="D16663" s="12" t="str">
        <f ca="1">IFERROR(__xludf.DUMMYFUNCTION("""COMPUTED_VALUE"""),"")</f>
        <v/>
      </c>
    </row>
    <row r="16664" spans="2:4" ht="13">
      <c r="B16664" s="12" t="str">
        <f ca="1">IFERROR(__xludf.DUMMYFUNCTION("""COMPUTED_VALUE"""),"")</f>
        <v/>
      </c>
      <c r="C16664" s="12" t="str">
        <f ca="1">IFERROR(__xludf.DUMMYFUNCTION("""COMPUTED_VALUE"""),"")</f>
        <v/>
      </c>
      <c r="D16664" s="12" t="str">
        <f ca="1">IFERROR(__xludf.DUMMYFUNCTION("""COMPUTED_VALUE"""),"")</f>
        <v/>
      </c>
    </row>
    <row r="16665" spans="2:4" ht="13">
      <c r="B16665" s="12" t="str">
        <f ca="1">IFERROR(__xludf.DUMMYFUNCTION("""COMPUTED_VALUE"""),"")</f>
        <v/>
      </c>
      <c r="C16665" s="12" t="str">
        <f ca="1">IFERROR(__xludf.DUMMYFUNCTION("""COMPUTED_VALUE"""),"")</f>
        <v/>
      </c>
      <c r="D16665" s="12" t="str">
        <f ca="1">IFERROR(__xludf.DUMMYFUNCTION("""COMPUTED_VALUE"""),"")</f>
        <v/>
      </c>
    </row>
    <row r="16666" spans="2:4" ht="13">
      <c r="B16666" s="12" t="str">
        <f ca="1">IFERROR(__xludf.DUMMYFUNCTION("""COMPUTED_VALUE"""),"")</f>
        <v/>
      </c>
      <c r="C16666" s="12" t="str">
        <f ca="1">IFERROR(__xludf.DUMMYFUNCTION("""COMPUTED_VALUE"""),"")</f>
        <v/>
      </c>
      <c r="D16666" s="12" t="str">
        <f ca="1">IFERROR(__xludf.DUMMYFUNCTION("""COMPUTED_VALUE"""),"")</f>
        <v/>
      </c>
    </row>
    <row r="16667" spans="2:4" ht="13">
      <c r="B16667" s="12" t="str">
        <f ca="1">IFERROR(__xludf.DUMMYFUNCTION("""COMPUTED_VALUE"""),"")</f>
        <v/>
      </c>
      <c r="C16667" s="12" t="str">
        <f ca="1">IFERROR(__xludf.DUMMYFUNCTION("""COMPUTED_VALUE"""),"")</f>
        <v/>
      </c>
      <c r="D16667" s="12" t="str">
        <f ca="1">IFERROR(__xludf.DUMMYFUNCTION("""COMPUTED_VALUE"""),"")</f>
        <v/>
      </c>
    </row>
    <row r="16668" spans="2:4" ht="13">
      <c r="B16668" s="12" t="str">
        <f ca="1">IFERROR(__xludf.DUMMYFUNCTION("""COMPUTED_VALUE"""),"")</f>
        <v/>
      </c>
      <c r="C16668" s="12" t="str">
        <f ca="1">IFERROR(__xludf.DUMMYFUNCTION("""COMPUTED_VALUE"""),"")</f>
        <v/>
      </c>
      <c r="D16668" s="12" t="str">
        <f ca="1">IFERROR(__xludf.DUMMYFUNCTION("""COMPUTED_VALUE"""),"")</f>
        <v/>
      </c>
    </row>
    <row r="16669" spans="2:4" ht="13">
      <c r="B16669" s="12" t="str">
        <f ca="1">IFERROR(__xludf.DUMMYFUNCTION("""COMPUTED_VALUE"""),"")</f>
        <v/>
      </c>
      <c r="C16669" s="12" t="str">
        <f ca="1">IFERROR(__xludf.DUMMYFUNCTION("""COMPUTED_VALUE"""),"")</f>
        <v/>
      </c>
      <c r="D16669" s="12" t="str">
        <f ca="1">IFERROR(__xludf.DUMMYFUNCTION("""COMPUTED_VALUE"""),"")</f>
        <v/>
      </c>
    </row>
    <row r="16670" spans="2:4" ht="13">
      <c r="B16670" s="12" t="str">
        <f ca="1">IFERROR(__xludf.DUMMYFUNCTION("""COMPUTED_VALUE"""),"")</f>
        <v/>
      </c>
      <c r="C16670" s="12" t="str">
        <f ca="1">IFERROR(__xludf.DUMMYFUNCTION("""COMPUTED_VALUE"""),"")</f>
        <v/>
      </c>
      <c r="D16670" s="12" t="str">
        <f ca="1">IFERROR(__xludf.DUMMYFUNCTION("""COMPUTED_VALUE"""),"")</f>
        <v/>
      </c>
    </row>
    <row r="16671" spans="2:4" ht="13">
      <c r="B16671" s="12" t="str">
        <f ca="1">IFERROR(__xludf.DUMMYFUNCTION("""COMPUTED_VALUE"""),"")</f>
        <v/>
      </c>
      <c r="C16671" s="12" t="str">
        <f ca="1">IFERROR(__xludf.DUMMYFUNCTION("""COMPUTED_VALUE"""),"")</f>
        <v/>
      </c>
      <c r="D16671" s="12" t="str">
        <f ca="1">IFERROR(__xludf.DUMMYFUNCTION("""COMPUTED_VALUE"""),"")</f>
        <v/>
      </c>
    </row>
    <row r="16672" spans="2:4" ht="13">
      <c r="B16672" s="12" t="str">
        <f ca="1">IFERROR(__xludf.DUMMYFUNCTION("""COMPUTED_VALUE"""),"")</f>
        <v/>
      </c>
      <c r="C16672" s="12" t="str">
        <f ca="1">IFERROR(__xludf.DUMMYFUNCTION("""COMPUTED_VALUE"""),"")</f>
        <v/>
      </c>
      <c r="D16672" s="12" t="str">
        <f ca="1">IFERROR(__xludf.DUMMYFUNCTION("""COMPUTED_VALUE"""),"")</f>
        <v/>
      </c>
    </row>
    <row r="16673" spans="2:4" ht="13">
      <c r="B16673" s="12" t="str">
        <f ca="1">IFERROR(__xludf.DUMMYFUNCTION("""COMPUTED_VALUE"""),"")</f>
        <v/>
      </c>
      <c r="C16673" s="12" t="str">
        <f ca="1">IFERROR(__xludf.DUMMYFUNCTION("""COMPUTED_VALUE"""),"")</f>
        <v/>
      </c>
      <c r="D16673" s="12" t="str">
        <f ca="1">IFERROR(__xludf.DUMMYFUNCTION("""COMPUTED_VALUE"""),"")</f>
        <v/>
      </c>
    </row>
    <row r="16674" spans="2:4" ht="13">
      <c r="B16674" s="12" t="str">
        <f ca="1">IFERROR(__xludf.DUMMYFUNCTION("""COMPUTED_VALUE"""),"")</f>
        <v/>
      </c>
      <c r="C16674" s="12" t="str">
        <f ca="1">IFERROR(__xludf.DUMMYFUNCTION("""COMPUTED_VALUE"""),"")</f>
        <v/>
      </c>
      <c r="D16674" s="12" t="str">
        <f ca="1">IFERROR(__xludf.DUMMYFUNCTION("""COMPUTED_VALUE"""),"")</f>
        <v/>
      </c>
    </row>
    <row r="16675" spans="2:4" ht="13">
      <c r="B16675" s="12" t="str">
        <f ca="1">IFERROR(__xludf.DUMMYFUNCTION("""COMPUTED_VALUE"""),"")</f>
        <v/>
      </c>
      <c r="C16675" s="12" t="str">
        <f ca="1">IFERROR(__xludf.DUMMYFUNCTION("""COMPUTED_VALUE"""),"")</f>
        <v/>
      </c>
      <c r="D16675" s="12" t="str">
        <f ca="1">IFERROR(__xludf.DUMMYFUNCTION("""COMPUTED_VALUE"""),"")</f>
        <v/>
      </c>
    </row>
    <row r="16676" spans="2:4" ht="13">
      <c r="B16676" s="12" t="str">
        <f ca="1">IFERROR(__xludf.DUMMYFUNCTION("""COMPUTED_VALUE"""),"")</f>
        <v/>
      </c>
      <c r="C16676" s="12" t="str">
        <f ca="1">IFERROR(__xludf.DUMMYFUNCTION("""COMPUTED_VALUE"""),"")</f>
        <v/>
      </c>
      <c r="D16676" s="12" t="str">
        <f ca="1">IFERROR(__xludf.DUMMYFUNCTION("""COMPUTED_VALUE"""),"")</f>
        <v/>
      </c>
    </row>
    <row r="16677" spans="2:4" ht="13">
      <c r="B16677" s="12" t="str">
        <f ca="1">IFERROR(__xludf.DUMMYFUNCTION("""COMPUTED_VALUE"""),"")</f>
        <v/>
      </c>
      <c r="C16677" s="12" t="str">
        <f ca="1">IFERROR(__xludf.DUMMYFUNCTION("""COMPUTED_VALUE"""),"")</f>
        <v/>
      </c>
      <c r="D16677" s="12" t="str">
        <f ca="1">IFERROR(__xludf.DUMMYFUNCTION("""COMPUTED_VALUE"""),"")</f>
        <v/>
      </c>
    </row>
    <row r="16678" spans="2:4" ht="13">
      <c r="B16678" s="12" t="str">
        <f ca="1">IFERROR(__xludf.DUMMYFUNCTION("""COMPUTED_VALUE"""),"")</f>
        <v/>
      </c>
      <c r="C16678" s="12" t="str">
        <f ca="1">IFERROR(__xludf.DUMMYFUNCTION("""COMPUTED_VALUE"""),"")</f>
        <v/>
      </c>
      <c r="D16678" s="12" t="str">
        <f ca="1">IFERROR(__xludf.DUMMYFUNCTION("""COMPUTED_VALUE"""),"")</f>
        <v/>
      </c>
    </row>
    <row r="16679" spans="2:4" ht="13">
      <c r="B16679" s="12" t="str">
        <f ca="1">IFERROR(__xludf.DUMMYFUNCTION("""COMPUTED_VALUE"""),"")</f>
        <v/>
      </c>
      <c r="C16679" s="12" t="str">
        <f ca="1">IFERROR(__xludf.DUMMYFUNCTION("""COMPUTED_VALUE"""),"")</f>
        <v/>
      </c>
      <c r="D16679" s="12" t="str">
        <f ca="1">IFERROR(__xludf.DUMMYFUNCTION("""COMPUTED_VALUE"""),"")</f>
        <v/>
      </c>
    </row>
    <row r="16680" spans="2:4" ht="13">
      <c r="B16680" s="12" t="str">
        <f ca="1">IFERROR(__xludf.DUMMYFUNCTION("""COMPUTED_VALUE"""),"")</f>
        <v/>
      </c>
      <c r="C16680" s="12" t="str">
        <f ca="1">IFERROR(__xludf.DUMMYFUNCTION("""COMPUTED_VALUE"""),"")</f>
        <v/>
      </c>
      <c r="D16680" s="12" t="str">
        <f ca="1">IFERROR(__xludf.DUMMYFUNCTION("""COMPUTED_VALUE"""),"")</f>
        <v/>
      </c>
    </row>
    <row r="16681" spans="2:4" ht="13">
      <c r="B16681" s="12" t="str">
        <f ca="1">IFERROR(__xludf.DUMMYFUNCTION("""COMPUTED_VALUE"""),"")</f>
        <v/>
      </c>
      <c r="C16681" s="12" t="str">
        <f ca="1">IFERROR(__xludf.DUMMYFUNCTION("""COMPUTED_VALUE"""),"")</f>
        <v/>
      </c>
      <c r="D16681" s="12" t="str">
        <f ca="1">IFERROR(__xludf.DUMMYFUNCTION("""COMPUTED_VALUE"""),"")</f>
        <v/>
      </c>
    </row>
    <row r="16682" spans="2:4" ht="13">
      <c r="B16682" s="12" t="str">
        <f ca="1">IFERROR(__xludf.DUMMYFUNCTION("""COMPUTED_VALUE"""),"")</f>
        <v/>
      </c>
      <c r="C16682" s="12" t="str">
        <f ca="1">IFERROR(__xludf.DUMMYFUNCTION("""COMPUTED_VALUE"""),"")</f>
        <v/>
      </c>
      <c r="D16682" s="12" t="str">
        <f ca="1">IFERROR(__xludf.DUMMYFUNCTION("""COMPUTED_VALUE"""),"")</f>
        <v/>
      </c>
    </row>
    <row r="16683" spans="2:4" ht="13">
      <c r="B16683" s="12" t="str">
        <f ca="1">IFERROR(__xludf.DUMMYFUNCTION("""COMPUTED_VALUE"""),"")</f>
        <v/>
      </c>
      <c r="C16683" s="12" t="str">
        <f ca="1">IFERROR(__xludf.DUMMYFUNCTION("""COMPUTED_VALUE"""),"")</f>
        <v/>
      </c>
      <c r="D16683" s="12" t="str">
        <f ca="1">IFERROR(__xludf.DUMMYFUNCTION("""COMPUTED_VALUE"""),"")</f>
        <v/>
      </c>
    </row>
    <row r="16684" spans="2:4" ht="13">
      <c r="B16684" s="12" t="str">
        <f ca="1">IFERROR(__xludf.DUMMYFUNCTION("""COMPUTED_VALUE"""),"")</f>
        <v/>
      </c>
      <c r="C16684" s="12" t="str">
        <f ca="1">IFERROR(__xludf.DUMMYFUNCTION("""COMPUTED_VALUE"""),"")</f>
        <v/>
      </c>
      <c r="D16684" s="12" t="str">
        <f ca="1">IFERROR(__xludf.DUMMYFUNCTION("""COMPUTED_VALUE"""),"")</f>
        <v/>
      </c>
    </row>
    <row r="16685" spans="2:4" ht="13">
      <c r="B16685" s="12" t="str">
        <f ca="1">IFERROR(__xludf.DUMMYFUNCTION("""COMPUTED_VALUE"""),"")</f>
        <v/>
      </c>
      <c r="C16685" s="12" t="str">
        <f ca="1">IFERROR(__xludf.DUMMYFUNCTION("""COMPUTED_VALUE"""),"")</f>
        <v/>
      </c>
      <c r="D16685" s="12" t="str">
        <f ca="1">IFERROR(__xludf.DUMMYFUNCTION("""COMPUTED_VALUE"""),"")</f>
        <v/>
      </c>
    </row>
    <row r="16686" spans="2:4" ht="13">
      <c r="B16686" s="12" t="str">
        <f ca="1">IFERROR(__xludf.DUMMYFUNCTION("""COMPUTED_VALUE"""),"")</f>
        <v/>
      </c>
      <c r="C16686" s="12" t="str">
        <f ca="1">IFERROR(__xludf.DUMMYFUNCTION("""COMPUTED_VALUE"""),"")</f>
        <v/>
      </c>
      <c r="D16686" s="12" t="str">
        <f ca="1">IFERROR(__xludf.DUMMYFUNCTION("""COMPUTED_VALUE"""),"")</f>
        <v/>
      </c>
    </row>
    <row r="16687" spans="2:4" ht="13">
      <c r="B16687" s="12" t="str">
        <f ca="1">IFERROR(__xludf.DUMMYFUNCTION("""COMPUTED_VALUE"""),"")</f>
        <v/>
      </c>
      <c r="C16687" s="12" t="str">
        <f ca="1">IFERROR(__xludf.DUMMYFUNCTION("""COMPUTED_VALUE"""),"")</f>
        <v/>
      </c>
      <c r="D16687" s="12" t="str">
        <f ca="1">IFERROR(__xludf.DUMMYFUNCTION("""COMPUTED_VALUE"""),"")</f>
        <v/>
      </c>
    </row>
    <row r="16688" spans="2:4" ht="13">
      <c r="B16688" s="12" t="str">
        <f ca="1">IFERROR(__xludf.DUMMYFUNCTION("""COMPUTED_VALUE"""),"")</f>
        <v/>
      </c>
      <c r="C16688" s="12" t="str">
        <f ca="1">IFERROR(__xludf.DUMMYFUNCTION("""COMPUTED_VALUE"""),"")</f>
        <v/>
      </c>
      <c r="D16688" s="12" t="str">
        <f ca="1">IFERROR(__xludf.DUMMYFUNCTION("""COMPUTED_VALUE"""),"")</f>
        <v/>
      </c>
    </row>
    <row r="16689" spans="2:4" ht="13">
      <c r="B16689" s="12" t="str">
        <f ca="1">IFERROR(__xludf.DUMMYFUNCTION("""COMPUTED_VALUE"""),"")</f>
        <v/>
      </c>
      <c r="C16689" s="12" t="str">
        <f ca="1">IFERROR(__xludf.DUMMYFUNCTION("""COMPUTED_VALUE"""),"")</f>
        <v/>
      </c>
      <c r="D16689" s="12" t="str">
        <f ca="1">IFERROR(__xludf.DUMMYFUNCTION("""COMPUTED_VALUE"""),"")</f>
        <v/>
      </c>
    </row>
    <row r="16690" spans="2:4" ht="13">
      <c r="B16690" s="12" t="str">
        <f ca="1">IFERROR(__xludf.DUMMYFUNCTION("""COMPUTED_VALUE"""),"")</f>
        <v/>
      </c>
      <c r="C16690" s="12" t="str">
        <f ca="1">IFERROR(__xludf.DUMMYFUNCTION("""COMPUTED_VALUE"""),"")</f>
        <v/>
      </c>
      <c r="D16690" s="12" t="str">
        <f ca="1">IFERROR(__xludf.DUMMYFUNCTION("""COMPUTED_VALUE"""),"")</f>
        <v/>
      </c>
    </row>
    <row r="16691" spans="2:4" ht="13">
      <c r="B16691" s="12" t="str">
        <f ca="1">IFERROR(__xludf.DUMMYFUNCTION("""COMPUTED_VALUE"""),"")</f>
        <v/>
      </c>
      <c r="C16691" s="12" t="str">
        <f ca="1">IFERROR(__xludf.DUMMYFUNCTION("""COMPUTED_VALUE"""),"")</f>
        <v/>
      </c>
      <c r="D16691" s="12" t="str">
        <f ca="1">IFERROR(__xludf.DUMMYFUNCTION("""COMPUTED_VALUE"""),"")</f>
        <v/>
      </c>
    </row>
    <row r="16692" spans="2:4" ht="13">
      <c r="B16692" s="12" t="str">
        <f ca="1">IFERROR(__xludf.DUMMYFUNCTION("""COMPUTED_VALUE"""),"")</f>
        <v/>
      </c>
      <c r="C16692" s="12" t="str">
        <f ca="1">IFERROR(__xludf.DUMMYFUNCTION("""COMPUTED_VALUE"""),"")</f>
        <v/>
      </c>
      <c r="D16692" s="12" t="str">
        <f ca="1">IFERROR(__xludf.DUMMYFUNCTION("""COMPUTED_VALUE"""),"")</f>
        <v/>
      </c>
    </row>
    <row r="16693" spans="2:4" ht="13">
      <c r="B16693" s="12" t="str">
        <f ca="1">IFERROR(__xludf.DUMMYFUNCTION("""COMPUTED_VALUE"""),"")</f>
        <v/>
      </c>
      <c r="C16693" s="12" t="str">
        <f ca="1">IFERROR(__xludf.DUMMYFUNCTION("""COMPUTED_VALUE"""),"")</f>
        <v/>
      </c>
      <c r="D16693" s="12" t="str">
        <f ca="1">IFERROR(__xludf.DUMMYFUNCTION("""COMPUTED_VALUE"""),"")</f>
        <v/>
      </c>
    </row>
    <row r="16694" spans="2:4" ht="13">
      <c r="B16694" s="12" t="str">
        <f ca="1">IFERROR(__xludf.DUMMYFUNCTION("""COMPUTED_VALUE"""),"")</f>
        <v/>
      </c>
      <c r="C16694" s="12" t="str">
        <f ca="1">IFERROR(__xludf.DUMMYFUNCTION("""COMPUTED_VALUE"""),"")</f>
        <v/>
      </c>
      <c r="D16694" s="12" t="str">
        <f ca="1">IFERROR(__xludf.DUMMYFUNCTION("""COMPUTED_VALUE"""),"")</f>
        <v/>
      </c>
    </row>
    <row r="16695" spans="2:4" ht="13">
      <c r="B16695" s="12" t="str">
        <f ca="1">IFERROR(__xludf.DUMMYFUNCTION("""COMPUTED_VALUE"""),"")</f>
        <v/>
      </c>
      <c r="C16695" s="12" t="str">
        <f ca="1">IFERROR(__xludf.DUMMYFUNCTION("""COMPUTED_VALUE"""),"")</f>
        <v/>
      </c>
      <c r="D16695" s="12" t="str">
        <f ca="1">IFERROR(__xludf.DUMMYFUNCTION("""COMPUTED_VALUE"""),"")</f>
        <v/>
      </c>
    </row>
    <row r="16696" spans="2:4" ht="13">
      <c r="B16696" s="12" t="str">
        <f ca="1">IFERROR(__xludf.DUMMYFUNCTION("""COMPUTED_VALUE"""),"")</f>
        <v/>
      </c>
      <c r="C16696" s="12" t="str">
        <f ca="1">IFERROR(__xludf.DUMMYFUNCTION("""COMPUTED_VALUE"""),"")</f>
        <v/>
      </c>
      <c r="D16696" s="12" t="str">
        <f ca="1">IFERROR(__xludf.DUMMYFUNCTION("""COMPUTED_VALUE"""),"")</f>
        <v/>
      </c>
    </row>
    <row r="16697" spans="2:4" ht="13">
      <c r="B16697" s="12" t="str">
        <f ca="1">IFERROR(__xludf.DUMMYFUNCTION("""COMPUTED_VALUE"""),"")</f>
        <v/>
      </c>
      <c r="C16697" s="12" t="str">
        <f ca="1">IFERROR(__xludf.DUMMYFUNCTION("""COMPUTED_VALUE"""),"")</f>
        <v/>
      </c>
      <c r="D16697" s="12" t="str">
        <f ca="1">IFERROR(__xludf.DUMMYFUNCTION("""COMPUTED_VALUE"""),"")</f>
        <v/>
      </c>
    </row>
    <row r="16698" spans="2:4" ht="13">
      <c r="B16698" s="12" t="str">
        <f ca="1">IFERROR(__xludf.DUMMYFUNCTION("""COMPUTED_VALUE"""),"")</f>
        <v/>
      </c>
      <c r="C16698" s="12" t="str">
        <f ca="1">IFERROR(__xludf.DUMMYFUNCTION("""COMPUTED_VALUE"""),"")</f>
        <v/>
      </c>
      <c r="D16698" s="12" t="str">
        <f ca="1">IFERROR(__xludf.DUMMYFUNCTION("""COMPUTED_VALUE"""),"")</f>
        <v/>
      </c>
    </row>
    <row r="16699" spans="2:4" ht="13">
      <c r="B16699" s="12" t="str">
        <f ca="1">IFERROR(__xludf.DUMMYFUNCTION("""COMPUTED_VALUE"""),"")</f>
        <v/>
      </c>
      <c r="C16699" s="12" t="str">
        <f ca="1">IFERROR(__xludf.DUMMYFUNCTION("""COMPUTED_VALUE"""),"")</f>
        <v/>
      </c>
      <c r="D16699" s="12" t="str">
        <f ca="1">IFERROR(__xludf.DUMMYFUNCTION("""COMPUTED_VALUE"""),"")</f>
        <v/>
      </c>
    </row>
    <row r="16700" spans="2:4" ht="13">
      <c r="B16700" s="12" t="str">
        <f ca="1">IFERROR(__xludf.DUMMYFUNCTION("""COMPUTED_VALUE"""),"")</f>
        <v/>
      </c>
      <c r="C16700" s="12" t="str">
        <f ca="1">IFERROR(__xludf.DUMMYFUNCTION("""COMPUTED_VALUE"""),"")</f>
        <v/>
      </c>
      <c r="D16700" s="12" t="str">
        <f ca="1">IFERROR(__xludf.DUMMYFUNCTION("""COMPUTED_VALUE"""),"")</f>
        <v/>
      </c>
    </row>
    <row r="16701" spans="2:4" ht="13">
      <c r="B16701" s="12" t="str">
        <f ca="1">IFERROR(__xludf.DUMMYFUNCTION("""COMPUTED_VALUE"""),"")</f>
        <v/>
      </c>
      <c r="C16701" s="12" t="str">
        <f ca="1">IFERROR(__xludf.DUMMYFUNCTION("""COMPUTED_VALUE"""),"")</f>
        <v/>
      </c>
      <c r="D16701" s="12" t="str">
        <f ca="1">IFERROR(__xludf.DUMMYFUNCTION("""COMPUTED_VALUE"""),"")</f>
        <v/>
      </c>
    </row>
    <row r="16702" spans="2:4" ht="13">
      <c r="B16702" s="12" t="str">
        <f ca="1">IFERROR(__xludf.DUMMYFUNCTION("""COMPUTED_VALUE"""),"")</f>
        <v/>
      </c>
      <c r="C16702" s="12" t="str">
        <f ca="1">IFERROR(__xludf.DUMMYFUNCTION("""COMPUTED_VALUE"""),"")</f>
        <v/>
      </c>
      <c r="D16702" s="12" t="str">
        <f ca="1">IFERROR(__xludf.DUMMYFUNCTION("""COMPUTED_VALUE"""),"")</f>
        <v/>
      </c>
    </row>
    <row r="16703" spans="2:4" ht="13">
      <c r="B16703" s="12" t="str">
        <f ca="1">IFERROR(__xludf.DUMMYFUNCTION("""COMPUTED_VALUE"""),"")</f>
        <v/>
      </c>
      <c r="C16703" s="12" t="str">
        <f ca="1">IFERROR(__xludf.DUMMYFUNCTION("""COMPUTED_VALUE"""),"")</f>
        <v/>
      </c>
      <c r="D16703" s="12" t="str">
        <f ca="1">IFERROR(__xludf.DUMMYFUNCTION("""COMPUTED_VALUE"""),"")</f>
        <v/>
      </c>
    </row>
    <row r="16704" spans="2:4" ht="13">
      <c r="B16704" s="12" t="str">
        <f ca="1">IFERROR(__xludf.DUMMYFUNCTION("""COMPUTED_VALUE"""),"")</f>
        <v/>
      </c>
      <c r="C16704" s="12" t="str">
        <f ca="1">IFERROR(__xludf.DUMMYFUNCTION("""COMPUTED_VALUE"""),"")</f>
        <v/>
      </c>
      <c r="D16704" s="12" t="str">
        <f ca="1">IFERROR(__xludf.DUMMYFUNCTION("""COMPUTED_VALUE"""),"")</f>
        <v/>
      </c>
    </row>
    <row r="16705" spans="2:4" ht="13">
      <c r="B16705" s="12" t="str">
        <f ca="1">IFERROR(__xludf.DUMMYFUNCTION("""COMPUTED_VALUE"""),"")</f>
        <v/>
      </c>
      <c r="C16705" s="12" t="str">
        <f ca="1">IFERROR(__xludf.DUMMYFUNCTION("""COMPUTED_VALUE"""),"")</f>
        <v/>
      </c>
      <c r="D16705" s="12" t="str">
        <f ca="1">IFERROR(__xludf.DUMMYFUNCTION("""COMPUTED_VALUE"""),"")</f>
        <v/>
      </c>
    </row>
    <row r="16706" spans="2:4" ht="13">
      <c r="B16706" s="12" t="str">
        <f ca="1">IFERROR(__xludf.DUMMYFUNCTION("""COMPUTED_VALUE"""),"")</f>
        <v/>
      </c>
      <c r="C16706" s="12" t="str">
        <f ca="1">IFERROR(__xludf.DUMMYFUNCTION("""COMPUTED_VALUE"""),"")</f>
        <v/>
      </c>
      <c r="D16706" s="12" t="str">
        <f ca="1">IFERROR(__xludf.DUMMYFUNCTION("""COMPUTED_VALUE"""),"")</f>
        <v/>
      </c>
    </row>
    <row r="16707" spans="2:4" ht="13">
      <c r="B16707" s="12" t="str">
        <f ca="1">IFERROR(__xludf.DUMMYFUNCTION("""COMPUTED_VALUE"""),"")</f>
        <v/>
      </c>
      <c r="C16707" s="12" t="str">
        <f ca="1">IFERROR(__xludf.DUMMYFUNCTION("""COMPUTED_VALUE"""),"")</f>
        <v/>
      </c>
      <c r="D16707" s="12" t="str">
        <f ca="1">IFERROR(__xludf.DUMMYFUNCTION("""COMPUTED_VALUE"""),"")</f>
        <v/>
      </c>
    </row>
    <row r="16708" spans="2:4" ht="13">
      <c r="B16708" s="12" t="str">
        <f ca="1">IFERROR(__xludf.DUMMYFUNCTION("""COMPUTED_VALUE"""),"")</f>
        <v/>
      </c>
      <c r="C16708" s="12" t="str">
        <f ca="1">IFERROR(__xludf.DUMMYFUNCTION("""COMPUTED_VALUE"""),"")</f>
        <v/>
      </c>
      <c r="D16708" s="12" t="str">
        <f ca="1">IFERROR(__xludf.DUMMYFUNCTION("""COMPUTED_VALUE"""),"")</f>
        <v/>
      </c>
    </row>
    <row r="16709" spans="2:4" ht="13">
      <c r="B16709" s="12" t="str">
        <f ca="1">IFERROR(__xludf.DUMMYFUNCTION("""COMPUTED_VALUE"""),"")</f>
        <v/>
      </c>
      <c r="C16709" s="12" t="str">
        <f ca="1">IFERROR(__xludf.DUMMYFUNCTION("""COMPUTED_VALUE"""),"")</f>
        <v/>
      </c>
      <c r="D16709" s="12" t="str">
        <f ca="1">IFERROR(__xludf.DUMMYFUNCTION("""COMPUTED_VALUE"""),"")</f>
        <v/>
      </c>
    </row>
    <row r="16710" spans="2:4" ht="13">
      <c r="B16710" s="12" t="str">
        <f ca="1">IFERROR(__xludf.DUMMYFUNCTION("""COMPUTED_VALUE"""),"")</f>
        <v/>
      </c>
      <c r="C16710" s="12" t="str">
        <f ca="1">IFERROR(__xludf.DUMMYFUNCTION("""COMPUTED_VALUE"""),"")</f>
        <v/>
      </c>
      <c r="D16710" s="12" t="str">
        <f ca="1">IFERROR(__xludf.DUMMYFUNCTION("""COMPUTED_VALUE"""),"")</f>
        <v/>
      </c>
    </row>
    <row r="16711" spans="2:4" ht="13">
      <c r="B16711" s="12" t="str">
        <f ca="1">IFERROR(__xludf.DUMMYFUNCTION("""COMPUTED_VALUE"""),"")</f>
        <v/>
      </c>
      <c r="C16711" s="12" t="str">
        <f ca="1">IFERROR(__xludf.DUMMYFUNCTION("""COMPUTED_VALUE"""),"")</f>
        <v/>
      </c>
      <c r="D16711" s="12" t="str">
        <f ca="1">IFERROR(__xludf.DUMMYFUNCTION("""COMPUTED_VALUE"""),"")</f>
        <v/>
      </c>
    </row>
    <row r="16712" spans="2:4" ht="13">
      <c r="B16712" s="12" t="str">
        <f ca="1">IFERROR(__xludf.DUMMYFUNCTION("""COMPUTED_VALUE"""),"")</f>
        <v/>
      </c>
      <c r="C16712" s="12" t="str">
        <f ca="1">IFERROR(__xludf.DUMMYFUNCTION("""COMPUTED_VALUE"""),"")</f>
        <v/>
      </c>
      <c r="D16712" s="12" t="str">
        <f ca="1">IFERROR(__xludf.DUMMYFUNCTION("""COMPUTED_VALUE"""),"")</f>
        <v/>
      </c>
    </row>
    <row r="16713" spans="2:4" ht="13">
      <c r="B16713" s="12" t="str">
        <f ca="1">IFERROR(__xludf.DUMMYFUNCTION("""COMPUTED_VALUE"""),"")</f>
        <v/>
      </c>
      <c r="C16713" s="12" t="str">
        <f ca="1">IFERROR(__xludf.DUMMYFUNCTION("""COMPUTED_VALUE"""),"")</f>
        <v/>
      </c>
      <c r="D16713" s="12" t="str">
        <f ca="1">IFERROR(__xludf.DUMMYFUNCTION("""COMPUTED_VALUE"""),"")</f>
        <v/>
      </c>
    </row>
    <row r="16714" spans="2:4" ht="13">
      <c r="B16714" s="12" t="str">
        <f ca="1">IFERROR(__xludf.DUMMYFUNCTION("""COMPUTED_VALUE"""),"")</f>
        <v/>
      </c>
      <c r="C16714" s="12" t="str">
        <f ca="1">IFERROR(__xludf.DUMMYFUNCTION("""COMPUTED_VALUE"""),"")</f>
        <v/>
      </c>
      <c r="D16714" s="12" t="str">
        <f ca="1">IFERROR(__xludf.DUMMYFUNCTION("""COMPUTED_VALUE"""),"")</f>
        <v/>
      </c>
    </row>
    <row r="16715" spans="2:4" ht="13">
      <c r="B16715" s="12" t="str">
        <f ca="1">IFERROR(__xludf.DUMMYFUNCTION("""COMPUTED_VALUE"""),"")</f>
        <v/>
      </c>
      <c r="C16715" s="12" t="str">
        <f ca="1">IFERROR(__xludf.DUMMYFUNCTION("""COMPUTED_VALUE"""),"")</f>
        <v/>
      </c>
      <c r="D16715" s="12" t="str">
        <f ca="1">IFERROR(__xludf.DUMMYFUNCTION("""COMPUTED_VALUE"""),"")</f>
        <v/>
      </c>
    </row>
    <row r="16716" spans="2:4" ht="13">
      <c r="B16716" s="12" t="str">
        <f ca="1">IFERROR(__xludf.DUMMYFUNCTION("""COMPUTED_VALUE"""),"")</f>
        <v/>
      </c>
      <c r="C16716" s="12" t="str">
        <f ca="1">IFERROR(__xludf.DUMMYFUNCTION("""COMPUTED_VALUE"""),"")</f>
        <v/>
      </c>
      <c r="D16716" s="12" t="str">
        <f ca="1">IFERROR(__xludf.DUMMYFUNCTION("""COMPUTED_VALUE"""),"")</f>
        <v/>
      </c>
    </row>
    <row r="16717" spans="2:4" ht="13">
      <c r="B16717" s="12" t="str">
        <f ca="1">IFERROR(__xludf.DUMMYFUNCTION("""COMPUTED_VALUE"""),"")</f>
        <v/>
      </c>
      <c r="C16717" s="12" t="str">
        <f ca="1">IFERROR(__xludf.DUMMYFUNCTION("""COMPUTED_VALUE"""),"")</f>
        <v/>
      </c>
      <c r="D16717" s="12" t="str">
        <f ca="1">IFERROR(__xludf.DUMMYFUNCTION("""COMPUTED_VALUE"""),"")</f>
        <v/>
      </c>
    </row>
    <row r="16718" spans="2:4" ht="13">
      <c r="B16718" s="12" t="str">
        <f ca="1">IFERROR(__xludf.DUMMYFUNCTION("""COMPUTED_VALUE"""),"")</f>
        <v/>
      </c>
      <c r="C16718" s="12" t="str">
        <f ca="1">IFERROR(__xludf.DUMMYFUNCTION("""COMPUTED_VALUE"""),"")</f>
        <v/>
      </c>
      <c r="D16718" s="12" t="str">
        <f ca="1">IFERROR(__xludf.DUMMYFUNCTION("""COMPUTED_VALUE"""),"")</f>
        <v/>
      </c>
    </row>
    <row r="16719" spans="2:4" ht="13">
      <c r="B16719" s="12" t="str">
        <f ca="1">IFERROR(__xludf.DUMMYFUNCTION("""COMPUTED_VALUE"""),"")</f>
        <v/>
      </c>
      <c r="C16719" s="12" t="str">
        <f ca="1">IFERROR(__xludf.DUMMYFUNCTION("""COMPUTED_VALUE"""),"")</f>
        <v/>
      </c>
      <c r="D16719" s="12" t="str">
        <f ca="1">IFERROR(__xludf.DUMMYFUNCTION("""COMPUTED_VALUE"""),"")</f>
        <v/>
      </c>
    </row>
    <row r="16720" spans="2:4" ht="13">
      <c r="B16720" s="12" t="str">
        <f ca="1">IFERROR(__xludf.DUMMYFUNCTION("""COMPUTED_VALUE"""),"")</f>
        <v/>
      </c>
      <c r="C16720" s="12" t="str">
        <f ca="1">IFERROR(__xludf.DUMMYFUNCTION("""COMPUTED_VALUE"""),"")</f>
        <v/>
      </c>
      <c r="D16720" s="12" t="str">
        <f ca="1">IFERROR(__xludf.DUMMYFUNCTION("""COMPUTED_VALUE"""),"")</f>
        <v/>
      </c>
    </row>
    <row r="16721" spans="2:4" ht="13">
      <c r="B16721" s="12" t="str">
        <f ca="1">IFERROR(__xludf.DUMMYFUNCTION("""COMPUTED_VALUE"""),"")</f>
        <v/>
      </c>
      <c r="C16721" s="12" t="str">
        <f ca="1">IFERROR(__xludf.DUMMYFUNCTION("""COMPUTED_VALUE"""),"")</f>
        <v/>
      </c>
      <c r="D16721" s="12" t="str">
        <f ca="1">IFERROR(__xludf.DUMMYFUNCTION("""COMPUTED_VALUE"""),"")</f>
        <v/>
      </c>
    </row>
    <row r="16722" spans="2:4" ht="13">
      <c r="B16722" s="12" t="str">
        <f ca="1">IFERROR(__xludf.DUMMYFUNCTION("""COMPUTED_VALUE"""),"")</f>
        <v/>
      </c>
      <c r="C16722" s="12" t="str">
        <f ca="1">IFERROR(__xludf.DUMMYFUNCTION("""COMPUTED_VALUE"""),"")</f>
        <v/>
      </c>
      <c r="D16722" s="12" t="str">
        <f ca="1">IFERROR(__xludf.DUMMYFUNCTION("""COMPUTED_VALUE"""),"")</f>
        <v/>
      </c>
    </row>
    <row r="16723" spans="2:4" ht="13">
      <c r="B16723" s="12" t="str">
        <f ca="1">IFERROR(__xludf.DUMMYFUNCTION("""COMPUTED_VALUE"""),"")</f>
        <v/>
      </c>
      <c r="C16723" s="12" t="str">
        <f ca="1">IFERROR(__xludf.DUMMYFUNCTION("""COMPUTED_VALUE"""),"")</f>
        <v/>
      </c>
      <c r="D16723" s="12" t="str">
        <f ca="1">IFERROR(__xludf.DUMMYFUNCTION("""COMPUTED_VALUE"""),"")</f>
        <v/>
      </c>
    </row>
    <row r="16724" spans="2:4" ht="13">
      <c r="B16724" s="12" t="str">
        <f ca="1">IFERROR(__xludf.DUMMYFUNCTION("""COMPUTED_VALUE"""),"")</f>
        <v/>
      </c>
      <c r="C16724" s="12" t="str">
        <f ca="1">IFERROR(__xludf.DUMMYFUNCTION("""COMPUTED_VALUE"""),"")</f>
        <v/>
      </c>
      <c r="D16724" s="12" t="str">
        <f ca="1">IFERROR(__xludf.DUMMYFUNCTION("""COMPUTED_VALUE"""),"")</f>
        <v/>
      </c>
    </row>
    <row r="16725" spans="2:4" ht="13">
      <c r="B16725" s="12" t="str">
        <f ca="1">IFERROR(__xludf.DUMMYFUNCTION("""COMPUTED_VALUE"""),"")</f>
        <v/>
      </c>
      <c r="C16725" s="12" t="str">
        <f ca="1">IFERROR(__xludf.DUMMYFUNCTION("""COMPUTED_VALUE"""),"")</f>
        <v/>
      </c>
      <c r="D16725" s="12" t="str">
        <f ca="1">IFERROR(__xludf.DUMMYFUNCTION("""COMPUTED_VALUE"""),"")</f>
        <v/>
      </c>
    </row>
    <row r="16726" spans="2:4" ht="13">
      <c r="B16726" s="12" t="str">
        <f ca="1">IFERROR(__xludf.DUMMYFUNCTION("""COMPUTED_VALUE"""),"")</f>
        <v/>
      </c>
      <c r="C16726" s="12" t="str">
        <f ca="1">IFERROR(__xludf.DUMMYFUNCTION("""COMPUTED_VALUE"""),"")</f>
        <v/>
      </c>
      <c r="D16726" s="12" t="str">
        <f ca="1">IFERROR(__xludf.DUMMYFUNCTION("""COMPUTED_VALUE"""),"")</f>
        <v/>
      </c>
    </row>
    <row r="16727" spans="2:4" ht="13">
      <c r="B16727" s="12" t="str">
        <f ca="1">IFERROR(__xludf.DUMMYFUNCTION("""COMPUTED_VALUE"""),"")</f>
        <v/>
      </c>
      <c r="C16727" s="12" t="str">
        <f ca="1">IFERROR(__xludf.DUMMYFUNCTION("""COMPUTED_VALUE"""),"")</f>
        <v/>
      </c>
      <c r="D16727" s="12" t="str">
        <f ca="1">IFERROR(__xludf.DUMMYFUNCTION("""COMPUTED_VALUE"""),"")</f>
        <v/>
      </c>
    </row>
    <row r="16728" spans="2:4" ht="13">
      <c r="B16728" s="12" t="str">
        <f ca="1">IFERROR(__xludf.DUMMYFUNCTION("""COMPUTED_VALUE"""),"")</f>
        <v/>
      </c>
      <c r="C16728" s="12" t="str">
        <f ca="1">IFERROR(__xludf.DUMMYFUNCTION("""COMPUTED_VALUE"""),"")</f>
        <v/>
      </c>
      <c r="D16728" s="12" t="str">
        <f ca="1">IFERROR(__xludf.DUMMYFUNCTION("""COMPUTED_VALUE"""),"")</f>
        <v/>
      </c>
    </row>
    <row r="16729" spans="2:4" ht="13">
      <c r="B16729" s="12" t="str">
        <f ca="1">IFERROR(__xludf.DUMMYFUNCTION("""COMPUTED_VALUE"""),"")</f>
        <v/>
      </c>
      <c r="C16729" s="12" t="str">
        <f ca="1">IFERROR(__xludf.DUMMYFUNCTION("""COMPUTED_VALUE"""),"")</f>
        <v/>
      </c>
      <c r="D16729" s="12" t="str">
        <f ca="1">IFERROR(__xludf.DUMMYFUNCTION("""COMPUTED_VALUE"""),"")</f>
        <v/>
      </c>
    </row>
    <row r="16730" spans="2:4" ht="13">
      <c r="B16730" s="12" t="str">
        <f ca="1">IFERROR(__xludf.DUMMYFUNCTION("""COMPUTED_VALUE"""),"")</f>
        <v/>
      </c>
      <c r="C16730" s="12" t="str">
        <f ca="1">IFERROR(__xludf.DUMMYFUNCTION("""COMPUTED_VALUE"""),"")</f>
        <v/>
      </c>
      <c r="D16730" s="12" t="str">
        <f ca="1">IFERROR(__xludf.DUMMYFUNCTION("""COMPUTED_VALUE"""),"")</f>
        <v/>
      </c>
    </row>
    <row r="16731" spans="2:4" ht="13">
      <c r="B16731" s="12" t="str">
        <f ca="1">IFERROR(__xludf.DUMMYFUNCTION("""COMPUTED_VALUE"""),"")</f>
        <v/>
      </c>
      <c r="C16731" s="12" t="str">
        <f ca="1">IFERROR(__xludf.DUMMYFUNCTION("""COMPUTED_VALUE"""),"")</f>
        <v/>
      </c>
      <c r="D16731" s="12" t="str">
        <f ca="1">IFERROR(__xludf.DUMMYFUNCTION("""COMPUTED_VALUE"""),"")</f>
        <v/>
      </c>
    </row>
    <row r="16732" spans="2:4" ht="13">
      <c r="B16732" s="12" t="str">
        <f ca="1">IFERROR(__xludf.DUMMYFUNCTION("""COMPUTED_VALUE"""),"")</f>
        <v/>
      </c>
      <c r="C16732" s="12" t="str">
        <f ca="1">IFERROR(__xludf.DUMMYFUNCTION("""COMPUTED_VALUE"""),"")</f>
        <v/>
      </c>
      <c r="D16732" s="12" t="str">
        <f ca="1">IFERROR(__xludf.DUMMYFUNCTION("""COMPUTED_VALUE"""),"")</f>
        <v/>
      </c>
    </row>
    <row r="16733" spans="2:4" ht="13">
      <c r="B16733" s="12" t="str">
        <f ca="1">IFERROR(__xludf.DUMMYFUNCTION("""COMPUTED_VALUE"""),"")</f>
        <v/>
      </c>
      <c r="C16733" s="12" t="str">
        <f ca="1">IFERROR(__xludf.DUMMYFUNCTION("""COMPUTED_VALUE"""),"")</f>
        <v/>
      </c>
      <c r="D16733" s="12" t="str">
        <f ca="1">IFERROR(__xludf.DUMMYFUNCTION("""COMPUTED_VALUE"""),"")</f>
        <v/>
      </c>
    </row>
    <row r="16734" spans="2:4" ht="13">
      <c r="B16734" s="12" t="str">
        <f ca="1">IFERROR(__xludf.DUMMYFUNCTION("""COMPUTED_VALUE"""),"")</f>
        <v/>
      </c>
      <c r="C16734" s="12" t="str">
        <f ca="1">IFERROR(__xludf.DUMMYFUNCTION("""COMPUTED_VALUE"""),"")</f>
        <v/>
      </c>
      <c r="D16734" s="12" t="str">
        <f ca="1">IFERROR(__xludf.DUMMYFUNCTION("""COMPUTED_VALUE"""),"")</f>
        <v/>
      </c>
    </row>
    <row r="16735" spans="2:4" ht="13">
      <c r="B16735" s="12" t="str">
        <f ca="1">IFERROR(__xludf.DUMMYFUNCTION("""COMPUTED_VALUE"""),"")</f>
        <v/>
      </c>
      <c r="C16735" s="12" t="str">
        <f ca="1">IFERROR(__xludf.DUMMYFUNCTION("""COMPUTED_VALUE"""),"")</f>
        <v/>
      </c>
      <c r="D16735" s="12" t="str">
        <f ca="1">IFERROR(__xludf.DUMMYFUNCTION("""COMPUTED_VALUE"""),"")</f>
        <v/>
      </c>
    </row>
    <row r="16736" spans="2:4" ht="13">
      <c r="B16736" s="12" t="str">
        <f ca="1">IFERROR(__xludf.DUMMYFUNCTION("""COMPUTED_VALUE"""),"")</f>
        <v/>
      </c>
      <c r="C16736" s="12" t="str">
        <f ca="1">IFERROR(__xludf.DUMMYFUNCTION("""COMPUTED_VALUE"""),"")</f>
        <v/>
      </c>
      <c r="D16736" s="12" t="str">
        <f ca="1">IFERROR(__xludf.DUMMYFUNCTION("""COMPUTED_VALUE"""),"")</f>
        <v/>
      </c>
    </row>
    <row r="16737" spans="2:4" ht="13">
      <c r="B16737" s="12" t="str">
        <f ca="1">IFERROR(__xludf.DUMMYFUNCTION("""COMPUTED_VALUE"""),"")</f>
        <v/>
      </c>
      <c r="C16737" s="12" t="str">
        <f ca="1">IFERROR(__xludf.DUMMYFUNCTION("""COMPUTED_VALUE"""),"")</f>
        <v/>
      </c>
      <c r="D16737" s="12" t="str">
        <f ca="1">IFERROR(__xludf.DUMMYFUNCTION("""COMPUTED_VALUE"""),"")</f>
        <v/>
      </c>
    </row>
    <row r="16738" spans="2:4" ht="13">
      <c r="B16738" s="12" t="str">
        <f ca="1">IFERROR(__xludf.DUMMYFUNCTION("""COMPUTED_VALUE"""),"")</f>
        <v/>
      </c>
      <c r="C16738" s="12" t="str">
        <f ca="1">IFERROR(__xludf.DUMMYFUNCTION("""COMPUTED_VALUE"""),"")</f>
        <v/>
      </c>
      <c r="D16738" s="12" t="str">
        <f ca="1">IFERROR(__xludf.DUMMYFUNCTION("""COMPUTED_VALUE"""),"")</f>
        <v/>
      </c>
    </row>
    <row r="16739" spans="2:4" ht="13">
      <c r="B16739" s="12" t="str">
        <f ca="1">IFERROR(__xludf.DUMMYFUNCTION("""COMPUTED_VALUE"""),"")</f>
        <v/>
      </c>
      <c r="C16739" s="12" t="str">
        <f ca="1">IFERROR(__xludf.DUMMYFUNCTION("""COMPUTED_VALUE"""),"")</f>
        <v/>
      </c>
      <c r="D16739" s="12" t="str">
        <f ca="1">IFERROR(__xludf.DUMMYFUNCTION("""COMPUTED_VALUE"""),"")</f>
        <v/>
      </c>
    </row>
    <row r="16740" spans="2:4" ht="13">
      <c r="B16740" s="12" t="str">
        <f ca="1">IFERROR(__xludf.DUMMYFUNCTION("""COMPUTED_VALUE"""),"")</f>
        <v/>
      </c>
      <c r="C16740" s="12" t="str">
        <f ca="1">IFERROR(__xludf.DUMMYFUNCTION("""COMPUTED_VALUE"""),"")</f>
        <v/>
      </c>
      <c r="D16740" s="12" t="str">
        <f ca="1">IFERROR(__xludf.DUMMYFUNCTION("""COMPUTED_VALUE"""),"")</f>
        <v/>
      </c>
    </row>
    <row r="16741" spans="2:4" ht="13">
      <c r="B16741" s="12" t="str">
        <f ca="1">IFERROR(__xludf.DUMMYFUNCTION("""COMPUTED_VALUE"""),"")</f>
        <v/>
      </c>
      <c r="C16741" s="12" t="str">
        <f ca="1">IFERROR(__xludf.DUMMYFUNCTION("""COMPUTED_VALUE"""),"")</f>
        <v/>
      </c>
      <c r="D16741" s="12" t="str">
        <f ca="1">IFERROR(__xludf.DUMMYFUNCTION("""COMPUTED_VALUE"""),"")</f>
        <v/>
      </c>
    </row>
    <row r="16742" spans="2:4" ht="13">
      <c r="B16742" s="12" t="str">
        <f ca="1">IFERROR(__xludf.DUMMYFUNCTION("""COMPUTED_VALUE"""),"")</f>
        <v/>
      </c>
      <c r="C16742" s="12" t="str">
        <f ca="1">IFERROR(__xludf.DUMMYFUNCTION("""COMPUTED_VALUE"""),"")</f>
        <v/>
      </c>
      <c r="D16742" s="12" t="str">
        <f ca="1">IFERROR(__xludf.DUMMYFUNCTION("""COMPUTED_VALUE"""),"")</f>
        <v/>
      </c>
    </row>
    <row r="16743" spans="2:4" ht="13">
      <c r="B16743" s="12" t="str">
        <f ca="1">IFERROR(__xludf.DUMMYFUNCTION("""COMPUTED_VALUE"""),"")</f>
        <v/>
      </c>
      <c r="C16743" s="12" t="str">
        <f ca="1">IFERROR(__xludf.DUMMYFUNCTION("""COMPUTED_VALUE"""),"")</f>
        <v/>
      </c>
      <c r="D16743" s="12" t="str">
        <f ca="1">IFERROR(__xludf.DUMMYFUNCTION("""COMPUTED_VALUE"""),"")</f>
        <v/>
      </c>
    </row>
    <row r="16744" spans="2:4" ht="13">
      <c r="B16744" s="12" t="str">
        <f ca="1">IFERROR(__xludf.DUMMYFUNCTION("""COMPUTED_VALUE"""),"")</f>
        <v/>
      </c>
      <c r="C16744" s="12" t="str">
        <f ca="1">IFERROR(__xludf.DUMMYFUNCTION("""COMPUTED_VALUE"""),"")</f>
        <v/>
      </c>
      <c r="D16744" s="12" t="str">
        <f ca="1">IFERROR(__xludf.DUMMYFUNCTION("""COMPUTED_VALUE"""),"")</f>
        <v/>
      </c>
    </row>
    <row r="16745" spans="2:4" ht="13">
      <c r="B16745" s="12" t="str">
        <f ca="1">IFERROR(__xludf.DUMMYFUNCTION("""COMPUTED_VALUE"""),"")</f>
        <v/>
      </c>
      <c r="C16745" s="12" t="str">
        <f ca="1">IFERROR(__xludf.DUMMYFUNCTION("""COMPUTED_VALUE"""),"")</f>
        <v/>
      </c>
      <c r="D16745" s="12" t="str">
        <f ca="1">IFERROR(__xludf.DUMMYFUNCTION("""COMPUTED_VALUE"""),"")</f>
        <v/>
      </c>
    </row>
    <row r="16746" spans="2:4" ht="13">
      <c r="B16746" s="12" t="str">
        <f ca="1">IFERROR(__xludf.DUMMYFUNCTION("""COMPUTED_VALUE"""),"")</f>
        <v/>
      </c>
      <c r="C16746" s="12" t="str">
        <f ca="1">IFERROR(__xludf.DUMMYFUNCTION("""COMPUTED_VALUE"""),"")</f>
        <v/>
      </c>
      <c r="D16746" s="12" t="str">
        <f ca="1">IFERROR(__xludf.DUMMYFUNCTION("""COMPUTED_VALUE"""),"")</f>
        <v/>
      </c>
    </row>
    <row r="16747" spans="2:4" ht="13">
      <c r="B16747" s="12" t="str">
        <f ca="1">IFERROR(__xludf.DUMMYFUNCTION("""COMPUTED_VALUE"""),"")</f>
        <v/>
      </c>
      <c r="C16747" s="12" t="str">
        <f ca="1">IFERROR(__xludf.DUMMYFUNCTION("""COMPUTED_VALUE"""),"")</f>
        <v/>
      </c>
      <c r="D16747" s="12" t="str">
        <f ca="1">IFERROR(__xludf.DUMMYFUNCTION("""COMPUTED_VALUE"""),"")</f>
        <v/>
      </c>
    </row>
    <row r="16748" spans="2:4" ht="13">
      <c r="B16748" s="12" t="str">
        <f ca="1">IFERROR(__xludf.DUMMYFUNCTION("""COMPUTED_VALUE"""),"")</f>
        <v/>
      </c>
      <c r="C16748" s="12" t="str">
        <f ca="1">IFERROR(__xludf.DUMMYFUNCTION("""COMPUTED_VALUE"""),"")</f>
        <v/>
      </c>
      <c r="D16748" s="12" t="str">
        <f ca="1">IFERROR(__xludf.DUMMYFUNCTION("""COMPUTED_VALUE"""),"")</f>
        <v/>
      </c>
    </row>
    <row r="16749" spans="2:4" ht="13">
      <c r="B16749" s="12" t="str">
        <f ca="1">IFERROR(__xludf.DUMMYFUNCTION("""COMPUTED_VALUE"""),"")</f>
        <v/>
      </c>
      <c r="C16749" s="12" t="str">
        <f ca="1">IFERROR(__xludf.DUMMYFUNCTION("""COMPUTED_VALUE"""),"")</f>
        <v/>
      </c>
      <c r="D16749" s="12" t="str">
        <f ca="1">IFERROR(__xludf.DUMMYFUNCTION("""COMPUTED_VALUE"""),"")</f>
        <v/>
      </c>
    </row>
    <row r="16750" spans="2:4" ht="13">
      <c r="B16750" s="12" t="str">
        <f ca="1">IFERROR(__xludf.DUMMYFUNCTION("""COMPUTED_VALUE"""),"")</f>
        <v/>
      </c>
      <c r="C16750" s="12" t="str">
        <f ca="1">IFERROR(__xludf.DUMMYFUNCTION("""COMPUTED_VALUE"""),"")</f>
        <v/>
      </c>
      <c r="D16750" s="12" t="str">
        <f ca="1">IFERROR(__xludf.DUMMYFUNCTION("""COMPUTED_VALUE"""),"")</f>
        <v/>
      </c>
    </row>
    <row r="16751" spans="2:4" ht="13">
      <c r="B16751" s="12" t="str">
        <f ca="1">IFERROR(__xludf.DUMMYFUNCTION("""COMPUTED_VALUE"""),"")</f>
        <v/>
      </c>
      <c r="C16751" s="12" t="str">
        <f ca="1">IFERROR(__xludf.DUMMYFUNCTION("""COMPUTED_VALUE"""),"")</f>
        <v/>
      </c>
      <c r="D16751" s="12" t="str">
        <f ca="1">IFERROR(__xludf.DUMMYFUNCTION("""COMPUTED_VALUE"""),"")</f>
        <v/>
      </c>
    </row>
    <row r="16752" spans="2:4" ht="13">
      <c r="B16752" s="12" t="str">
        <f ca="1">IFERROR(__xludf.DUMMYFUNCTION("""COMPUTED_VALUE"""),"")</f>
        <v/>
      </c>
      <c r="C16752" s="12" t="str">
        <f ca="1">IFERROR(__xludf.DUMMYFUNCTION("""COMPUTED_VALUE"""),"")</f>
        <v/>
      </c>
      <c r="D16752" s="12" t="str">
        <f ca="1">IFERROR(__xludf.DUMMYFUNCTION("""COMPUTED_VALUE"""),"")</f>
        <v/>
      </c>
    </row>
    <row r="16753" spans="2:4" ht="13">
      <c r="B16753" s="12" t="str">
        <f ca="1">IFERROR(__xludf.DUMMYFUNCTION("""COMPUTED_VALUE"""),"")</f>
        <v/>
      </c>
      <c r="C16753" s="12" t="str">
        <f ca="1">IFERROR(__xludf.DUMMYFUNCTION("""COMPUTED_VALUE"""),"")</f>
        <v/>
      </c>
      <c r="D16753" s="12" t="str">
        <f ca="1">IFERROR(__xludf.DUMMYFUNCTION("""COMPUTED_VALUE"""),"")</f>
        <v/>
      </c>
    </row>
    <row r="16754" spans="2:4" ht="13">
      <c r="B16754" s="12" t="str">
        <f ca="1">IFERROR(__xludf.DUMMYFUNCTION("""COMPUTED_VALUE"""),"")</f>
        <v/>
      </c>
      <c r="C16754" s="12" t="str">
        <f ca="1">IFERROR(__xludf.DUMMYFUNCTION("""COMPUTED_VALUE"""),"")</f>
        <v/>
      </c>
      <c r="D16754" s="12" t="str">
        <f ca="1">IFERROR(__xludf.DUMMYFUNCTION("""COMPUTED_VALUE"""),"")</f>
        <v/>
      </c>
    </row>
    <row r="16755" spans="2:4" ht="13">
      <c r="B16755" s="12" t="str">
        <f ca="1">IFERROR(__xludf.DUMMYFUNCTION("""COMPUTED_VALUE"""),"")</f>
        <v/>
      </c>
      <c r="C16755" s="12" t="str">
        <f ca="1">IFERROR(__xludf.DUMMYFUNCTION("""COMPUTED_VALUE"""),"")</f>
        <v/>
      </c>
      <c r="D16755" s="12" t="str">
        <f ca="1">IFERROR(__xludf.DUMMYFUNCTION("""COMPUTED_VALUE"""),"")</f>
        <v/>
      </c>
    </row>
    <row r="16756" spans="2:4" ht="13">
      <c r="B16756" s="12" t="str">
        <f ca="1">IFERROR(__xludf.DUMMYFUNCTION("""COMPUTED_VALUE"""),"")</f>
        <v/>
      </c>
      <c r="C16756" s="12" t="str">
        <f ca="1">IFERROR(__xludf.DUMMYFUNCTION("""COMPUTED_VALUE"""),"")</f>
        <v/>
      </c>
      <c r="D16756" s="12" t="str">
        <f ca="1">IFERROR(__xludf.DUMMYFUNCTION("""COMPUTED_VALUE"""),"")</f>
        <v/>
      </c>
    </row>
    <row r="16757" spans="2:4" ht="13">
      <c r="B16757" s="12" t="str">
        <f ca="1">IFERROR(__xludf.DUMMYFUNCTION("""COMPUTED_VALUE"""),"")</f>
        <v/>
      </c>
      <c r="C16757" s="12" t="str">
        <f ca="1">IFERROR(__xludf.DUMMYFUNCTION("""COMPUTED_VALUE"""),"")</f>
        <v/>
      </c>
      <c r="D16757" s="12" t="str">
        <f ca="1">IFERROR(__xludf.DUMMYFUNCTION("""COMPUTED_VALUE"""),"")</f>
        <v/>
      </c>
    </row>
    <row r="16758" spans="2:4" ht="13">
      <c r="B16758" s="12" t="str">
        <f ca="1">IFERROR(__xludf.DUMMYFUNCTION("""COMPUTED_VALUE"""),"")</f>
        <v/>
      </c>
      <c r="C16758" s="12" t="str">
        <f ca="1">IFERROR(__xludf.DUMMYFUNCTION("""COMPUTED_VALUE"""),"")</f>
        <v/>
      </c>
      <c r="D16758" s="12" t="str">
        <f ca="1">IFERROR(__xludf.DUMMYFUNCTION("""COMPUTED_VALUE"""),"")</f>
        <v/>
      </c>
    </row>
    <row r="16759" spans="2:4" ht="13">
      <c r="B16759" s="12" t="str">
        <f ca="1">IFERROR(__xludf.DUMMYFUNCTION("""COMPUTED_VALUE"""),"")</f>
        <v/>
      </c>
      <c r="C16759" s="12" t="str">
        <f ca="1">IFERROR(__xludf.DUMMYFUNCTION("""COMPUTED_VALUE"""),"")</f>
        <v/>
      </c>
      <c r="D16759" s="12" t="str">
        <f ca="1">IFERROR(__xludf.DUMMYFUNCTION("""COMPUTED_VALUE"""),"")</f>
        <v/>
      </c>
    </row>
    <row r="16760" spans="2:4" ht="13">
      <c r="B16760" s="12" t="str">
        <f ca="1">IFERROR(__xludf.DUMMYFUNCTION("""COMPUTED_VALUE"""),"")</f>
        <v/>
      </c>
      <c r="C16760" s="12" t="str">
        <f ca="1">IFERROR(__xludf.DUMMYFUNCTION("""COMPUTED_VALUE"""),"")</f>
        <v/>
      </c>
      <c r="D16760" s="12" t="str">
        <f ca="1">IFERROR(__xludf.DUMMYFUNCTION("""COMPUTED_VALUE"""),"")</f>
        <v/>
      </c>
    </row>
    <row r="16761" spans="2:4" ht="13">
      <c r="B16761" s="12" t="str">
        <f ca="1">IFERROR(__xludf.DUMMYFUNCTION("""COMPUTED_VALUE"""),"")</f>
        <v/>
      </c>
      <c r="C16761" s="12" t="str">
        <f ca="1">IFERROR(__xludf.DUMMYFUNCTION("""COMPUTED_VALUE"""),"")</f>
        <v/>
      </c>
      <c r="D16761" s="12" t="str">
        <f ca="1">IFERROR(__xludf.DUMMYFUNCTION("""COMPUTED_VALUE"""),"")</f>
        <v/>
      </c>
    </row>
    <row r="16762" spans="2:4" ht="13">
      <c r="B16762" s="12" t="str">
        <f ca="1">IFERROR(__xludf.DUMMYFUNCTION("""COMPUTED_VALUE"""),"")</f>
        <v/>
      </c>
      <c r="C16762" s="12" t="str">
        <f ca="1">IFERROR(__xludf.DUMMYFUNCTION("""COMPUTED_VALUE"""),"")</f>
        <v/>
      </c>
      <c r="D16762" s="12" t="str">
        <f ca="1">IFERROR(__xludf.DUMMYFUNCTION("""COMPUTED_VALUE"""),"")</f>
        <v/>
      </c>
    </row>
    <row r="16763" spans="2:4" ht="13">
      <c r="B16763" s="12" t="str">
        <f ca="1">IFERROR(__xludf.DUMMYFUNCTION("""COMPUTED_VALUE"""),"")</f>
        <v/>
      </c>
      <c r="C16763" s="12" t="str">
        <f ca="1">IFERROR(__xludf.DUMMYFUNCTION("""COMPUTED_VALUE"""),"")</f>
        <v/>
      </c>
      <c r="D16763" s="12" t="str">
        <f ca="1">IFERROR(__xludf.DUMMYFUNCTION("""COMPUTED_VALUE"""),"")</f>
        <v/>
      </c>
    </row>
    <row r="16764" spans="2:4" ht="13">
      <c r="B16764" s="12" t="str">
        <f ca="1">IFERROR(__xludf.DUMMYFUNCTION("""COMPUTED_VALUE"""),"")</f>
        <v/>
      </c>
      <c r="C16764" s="12" t="str">
        <f ca="1">IFERROR(__xludf.DUMMYFUNCTION("""COMPUTED_VALUE"""),"")</f>
        <v/>
      </c>
      <c r="D16764" s="12" t="str">
        <f ca="1">IFERROR(__xludf.DUMMYFUNCTION("""COMPUTED_VALUE"""),"")</f>
        <v/>
      </c>
    </row>
    <row r="16765" spans="2:4" ht="13">
      <c r="B16765" s="12" t="str">
        <f ca="1">IFERROR(__xludf.DUMMYFUNCTION("""COMPUTED_VALUE"""),"")</f>
        <v/>
      </c>
      <c r="C16765" s="12" t="str">
        <f ca="1">IFERROR(__xludf.DUMMYFUNCTION("""COMPUTED_VALUE"""),"")</f>
        <v/>
      </c>
      <c r="D16765" s="12" t="str">
        <f ca="1">IFERROR(__xludf.DUMMYFUNCTION("""COMPUTED_VALUE"""),"")</f>
        <v/>
      </c>
    </row>
    <row r="16766" spans="2:4" ht="13">
      <c r="B16766" s="12" t="str">
        <f ca="1">IFERROR(__xludf.DUMMYFUNCTION("""COMPUTED_VALUE"""),"")</f>
        <v/>
      </c>
      <c r="C16766" s="12" t="str">
        <f ca="1">IFERROR(__xludf.DUMMYFUNCTION("""COMPUTED_VALUE"""),"")</f>
        <v/>
      </c>
      <c r="D16766" s="12" t="str">
        <f ca="1">IFERROR(__xludf.DUMMYFUNCTION("""COMPUTED_VALUE"""),"")</f>
        <v/>
      </c>
    </row>
    <row r="16767" spans="2:4" ht="13">
      <c r="B16767" s="12" t="str">
        <f ca="1">IFERROR(__xludf.DUMMYFUNCTION("""COMPUTED_VALUE"""),"")</f>
        <v/>
      </c>
      <c r="C16767" s="12" t="str">
        <f ca="1">IFERROR(__xludf.DUMMYFUNCTION("""COMPUTED_VALUE"""),"")</f>
        <v/>
      </c>
      <c r="D16767" s="12" t="str">
        <f ca="1">IFERROR(__xludf.DUMMYFUNCTION("""COMPUTED_VALUE"""),"")</f>
        <v/>
      </c>
    </row>
    <row r="16768" spans="2:4" ht="13">
      <c r="B16768" s="12" t="str">
        <f ca="1">IFERROR(__xludf.DUMMYFUNCTION("""COMPUTED_VALUE"""),"")</f>
        <v/>
      </c>
      <c r="C16768" s="12" t="str">
        <f ca="1">IFERROR(__xludf.DUMMYFUNCTION("""COMPUTED_VALUE"""),"")</f>
        <v/>
      </c>
      <c r="D16768" s="12" t="str">
        <f ca="1">IFERROR(__xludf.DUMMYFUNCTION("""COMPUTED_VALUE"""),"")</f>
        <v/>
      </c>
    </row>
    <row r="16769" spans="2:4" ht="13">
      <c r="B16769" s="12" t="str">
        <f ca="1">IFERROR(__xludf.DUMMYFUNCTION("""COMPUTED_VALUE"""),"")</f>
        <v/>
      </c>
      <c r="C16769" s="12" t="str">
        <f ca="1">IFERROR(__xludf.DUMMYFUNCTION("""COMPUTED_VALUE"""),"")</f>
        <v/>
      </c>
      <c r="D16769" s="12" t="str">
        <f ca="1">IFERROR(__xludf.DUMMYFUNCTION("""COMPUTED_VALUE"""),"")</f>
        <v/>
      </c>
    </row>
    <row r="16770" spans="2:4" ht="13">
      <c r="B16770" s="12" t="str">
        <f ca="1">IFERROR(__xludf.DUMMYFUNCTION("""COMPUTED_VALUE"""),"")</f>
        <v/>
      </c>
      <c r="C16770" s="12" t="str">
        <f ca="1">IFERROR(__xludf.DUMMYFUNCTION("""COMPUTED_VALUE"""),"")</f>
        <v/>
      </c>
      <c r="D16770" s="12" t="str">
        <f ca="1">IFERROR(__xludf.DUMMYFUNCTION("""COMPUTED_VALUE"""),"")</f>
        <v/>
      </c>
    </row>
    <row r="16771" spans="2:4" ht="13">
      <c r="B16771" s="12" t="str">
        <f ca="1">IFERROR(__xludf.DUMMYFUNCTION("""COMPUTED_VALUE"""),"")</f>
        <v/>
      </c>
      <c r="C16771" s="12" t="str">
        <f ca="1">IFERROR(__xludf.DUMMYFUNCTION("""COMPUTED_VALUE"""),"")</f>
        <v/>
      </c>
      <c r="D16771" s="12" t="str">
        <f ca="1">IFERROR(__xludf.DUMMYFUNCTION("""COMPUTED_VALUE"""),"")</f>
        <v/>
      </c>
    </row>
    <row r="16772" spans="2:4" ht="13">
      <c r="B16772" s="12" t="str">
        <f ca="1">IFERROR(__xludf.DUMMYFUNCTION("""COMPUTED_VALUE"""),"")</f>
        <v/>
      </c>
      <c r="C16772" s="12" t="str">
        <f ca="1">IFERROR(__xludf.DUMMYFUNCTION("""COMPUTED_VALUE"""),"")</f>
        <v/>
      </c>
      <c r="D16772" s="12" t="str">
        <f ca="1">IFERROR(__xludf.DUMMYFUNCTION("""COMPUTED_VALUE"""),"")</f>
        <v/>
      </c>
    </row>
    <row r="16773" spans="2:4" ht="13">
      <c r="B16773" s="12" t="str">
        <f ca="1">IFERROR(__xludf.DUMMYFUNCTION("""COMPUTED_VALUE"""),"")</f>
        <v/>
      </c>
      <c r="C16773" s="12" t="str">
        <f ca="1">IFERROR(__xludf.DUMMYFUNCTION("""COMPUTED_VALUE"""),"")</f>
        <v/>
      </c>
      <c r="D16773" s="12" t="str">
        <f ca="1">IFERROR(__xludf.DUMMYFUNCTION("""COMPUTED_VALUE"""),"")</f>
        <v/>
      </c>
    </row>
    <row r="16774" spans="2:4" ht="13">
      <c r="B16774" s="12" t="str">
        <f ca="1">IFERROR(__xludf.DUMMYFUNCTION("""COMPUTED_VALUE"""),"")</f>
        <v/>
      </c>
      <c r="C16774" s="12" t="str">
        <f ca="1">IFERROR(__xludf.DUMMYFUNCTION("""COMPUTED_VALUE"""),"")</f>
        <v/>
      </c>
      <c r="D16774" s="12" t="str">
        <f ca="1">IFERROR(__xludf.DUMMYFUNCTION("""COMPUTED_VALUE"""),"")</f>
        <v/>
      </c>
    </row>
    <row r="16775" spans="2:4" ht="13">
      <c r="B16775" s="12" t="str">
        <f ca="1">IFERROR(__xludf.DUMMYFUNCTION("""COMPUTED_VALUE"""),"")</f>
        <v/>
      </c>
      <c r="C16775" s="12" t="str">
        <f ca="1">IFERROR(__xludf.DUMMYFUNCTION("""COMPUTED_VALUE"""),"")</f>
        <v/>
      </c>
      <c r="D16775" s="12" t="str">
        <f ca="1">IFERROR(__xludf.DUMMYFUNCTION("""COMPUTED_VALUE"""),"")</f>
        <v/>
      </c>
    </row>
    <row r="16776" spans="2:4" ht="13">
      <c r="B16776" s="12" t="str">
        <f ca="1">IFERROR(__xludf.DUMMYFUNCTION("""COMPUTED_VALUE"""),"")</f>
        <v/>
      </c>
      <c r="C16776" s="12" t="str">
        <f ca="1">IFERROR(__xludf.DUMMYFUNCTION("""COMPUTED_VALUE"""),"")</f>
        <v/>
      </c>
      <c r="D16776" s="12" t="str">
        <f ca="1">IFERROR(__xludf.DUMMYFUNCTION("""COMPUTED_VALUE"""),"")</f>
        <v/>
      </c>
    </row>
    <row r="16777" spans="2:4" ht="13">
      <c r="B16777" s="12" t="str">
        <f ca="1">IFERROR(__xludf.DUMMYFUNCTION("""COMPUTED_VALUE"""),"")</f>
        <v/>
      </c>
      <c r="C16777" s="12" t="str">
        <f ca="1">IFERROR(__xludf.DUMMYFUNCTION("""COMPUTED_VALUE"""),"")</f>
        <v/>
      </c>
      <c r="D16777" s="12" t="str">
        <f ca="1">IFERROR(__xludf.DUMMYFUNCTION("""COMPUTED_VALUE"""),"")</f>
        <v/>
      </c>
    </row>
    <row r="16778" spans="2:4" ht="13">
      <c r="B16778" s="12" t="str">
        <f ca="1">IFERROR(__xludf.DUMMYFUNCTION("""COMPUTED_VALUE"""),"")</f>
        <v/>
      </c>
      <c r="C16778" s="12" t="str">
        <f ca="1">IFERROR(__xludf.DUMMYFUNCTION("""COMPUTED_VALUE"""),"")</f>
        <v/>
      </c>
      <c r="D16778" s="12" t="str">
        <f ca="1">IFERROR(__xludf.DUMMYFUNCTION("""COMPUTED_VALUE"""),"")</f>
        <v/>
      </c>
    </row>
    <row r="16779" spans="2:4" ht="13">
      <c r="B16779" s="12" t="str">
        <f ca="1">IFERROR(__xludf.DUMMYFUNCTION("""COMPUTED_VALUE"""),"")</f>
        <v/>
      </c>
      <c r="C16779" s="12" t="str">
        <f ca="1">IFERROR(__xludf.DUMMYFUNCTION("""COMPUTED_VALUE"""),"")</f>
        <v/>
      </c>
      <c r="D16779" s="12" t="str">
        <f ca="1">IFERROR(__xludf.DUMMYFUNCTION("""COMPUTED_VALUE"""),"")</f>
        <v/>
      </c>
    </row>
    <row r="16780" spans="2:4" ht="13">
      <c r="B16780" s="12" t="str">
        <f ca="1">IFERROR(__xludf.DUMMYFUNCTION("""COMPUTED_VALUE"""),"")</f>
        <v/>
      </c>
      <c r="C16780" s="12" t="str">
        <f ca="1">IFERROR(__xludf.DUMMYFUNCTION("""COMPUTED_VALUE"""),"")</f>
        <v/>
      </c>
      <c r="D16780" s="12" t="str">
        <f ca="1">IFERROR(__xludf.DUMMYFUNCTION("""COMPUTED_VALUE"""),"")</f>
        <v/>
      </c>
    </row>
    <row r="16781" spans="2:4" ht="13">
      <c r="B16781" s="12" t="str">
        <f ca="1">IFERROR(__xludf.DUMMYFUNCTION("""COMPUTED_VALUE"""),"")</f>
        <v/>
      </c>
      <c r="C16781" s="12" t="str">
        <f ca="1">IFERROR(__xludf.DUMMYFUNCTION("""COMPUTED_VALUE"""),"")</f>
        <v/>
      </c>
      <c r="D16781" s="12" t="str">
        <f ca="1">IFERROR(__xludf.DUMMYFUNCTION("""COMPUTED_VALUE"""),"")</f>
        <v/>
      </c>
    </row>
    <row r="16782" spans="2:4" ht="13">
      <c r="B16782" s="12" t="str">
        <f ca="1">IFERROR(__xludf.DUMMYFUNCTION("""COMPUTED_VALUE"""),"")</f>
        <v/>
      </c>
      <c r="C16782" s="12" t="str">
        <f ca="1">IFERROR(__xludf.DUMMYFUNCTION("""COMPUTED_VALUE"""),"")</f>
        <v/>
      </c>
      <c r="D16782" s="12" t="str">
        <f ca="1">IFERROR(__xludf.DUMMYFUNCTION("""COMPUTED_VALUE"""),"")</f>
        <v/>
      </c>
    </row>
    <row r="16783" spans="2:4" ht="13">
      <c r="B16783" s="12" t="str">
        <f ca="1">IFERROR(__xludf.DUMMYFUNCTION("""COMPUTED_VALUE"""),"")</f>
        <v/>
      </c>
      <c r="C16783" s="12" t="str">
        <f ca="1">IFERROR(__xludf.DUMMYFUNCTION("""COMPUTED_VALUE"""),"")</f>
        <v/>
      </c>
      <c r="D16783" s="12" t="str">
        <f ca="1">IFERROR(__xludf.DUMMYFUNCTION("""COMPUTED_VALUE"""),"")</f>
        <v/>
      </c>
    </row>
    <row r="16784" spans="2:4" ht="13">
      <c r="B16784" s="12" t="str">
        <f ca="1">IFERROR(__xludf.DUMMYFUNCTION("""COMPUTED_VALUE"""),"")</f>
        <v/>
      </c>
      <c r="C16784" s="12" t="str">
        <f ca="1">IFERROR(__xludf.DUMMYFUNCTION("""COMPUTED_VALUE"""),"")</f>
        <v/>
      </c>
      <c r="D16784" s="12" t="str">
        <f ca="1">IFERROR(__xludf.DUMMYFUNCTION("""COMPUTED_VALUE"""),"")</f>
        <v/>
      </c>
    </row>
    <row r="16785" spans="2:4" ht="13">
      <c r="B16785" s="12" t="str">
        <f ca="1">IFERROR(__xludf.DUMMYFUNCTION("""COMPUTED_VALUE"""),"")</f>
        <v/>
      </c>
      <c r="C16785" s="12" t="str">
        <f ca="1">IFERROR(__xludf.DUMMYFUNCTION("""COMPUTED_VALUE"""),"")</f>
        <v/>
      </c>
      <c r="D16785" s="12" t="str">
        <f ca="1">IFERROR(__xludf.DUMMYFUNCTION("""COMPUTED_VALUE"""),"")</f>
        <v/>
      </c>
    </row>
    <row r="16786" spans="2:4" ht="13">
      <c r="B16786" s="12" t="str">
        <f ca="1">IFERROR(__xludf.DUMMYFUNCTION("""COMPUTED_VALUE"""),"")</f>
        <v/>
      </c>
      <c r="C16786" s="12" t="str">
        <f ca="1">IFERROR(__xludf.DUMMYFUNCTION("""COMPUTED_VALUE"""),"")</f>
        <v/>
      </c>
      <c r="D16786" s="12" t="str">
        <f ca="1">IFERROR(__xludf.DUMMYFUNCTION("""COMPUTED_VALUE"""),"")</f>
        <v/>
      </c>
    </row>
    <row r="16787" spans="2:4" ht="13">
      <c r="B16787" s="12" t="str">
        <f ca="1">IFERROR(__xludf.DUMMYFUNCTION("""COMPUTED_VALUE"""),"")</f>
        <v/>
      </c>
      <c r="C16787" s="12" t="str">
        <f ca="1">IFERROR(__xludf.DUMMYFUNCTION("""COMPUTED_VALUE"""),"")</f>
        <v/>
      </c>
      <c r="D16787" s="12" t="str">
        <f ca="1">IFERROR(__xludf.DUMMYFUNCTION("""COMPUTED_VALUE"""),"")</f>
        <v/>
      </c>
    </row>
    <row r="16788" spans="2:4" ht="13">
      <c r="B16788" s="12" t="str">
        <f ca="1">IFERROR(__xludf.DUMMYFUNCTION("""COMPUTED_VALUE"""),"")</f>
        <v/>
      </c>
      <c r="C16788" s="12" t="str">
        <f ca="1">IFERROR(__xludf.DUMMYFUNCTION("""COMPUTED_VALUE"""),"")</f>
        <v/>
      </c>
      <c r="D16788" s="12" t="str">
        <f ca="1">IFERROR(__xludf.DUMMYFUNCTION("""COMPUTED_VALUE"""),"")</f>
        <v/>
      </c>
    </row>
    <row r="16789" spans="2:4" ht="13">
      <c r="B16789" s="12" t="str">
        <f ca="1">IFERROR(__xludf.DUMMYFUNCTION("""COMPUTED_VALUE"""),"")</f>
        <v/>
      </c>
      <c r="C16789" s="12" t="str">
        <f ca="1">IFERROR(__xludf.DUMMYFUNCTION("""COMPUTED_VALUE"""),"")</f>
        <v/>
      </c>
      <c r="D16789" s="12" t="str">
        <f ca="1">IFERROR(__xludf.DUMMYFUNCTION("""COMPUTED_VALUE"""),"")</f>
        <v/>
      </c>
    </row>
    <row r="16790" spans="2:4" ht="13">
      <c r="B16790" s="12" t="str">
        <f ca="1">IFERROR(__xludf.DUMMYFUNCTION("""COMPUTED_VALUE"""),"")</f>
        <v/>
      </c>
      <c r="C16790" s="12" t="str">
        <f ca="1">IFERROR(__xludf.DUMMYFUNCTION("""COMPUTED_VALUE"""),"")</f>
        <v/>
      </c>
      <c r="D16790" s="12" t="str">
        <f ca="1">IFERROR(__xludf.DUMMYFUNCTION("""COMPUTED_VALUE"""),"")</f>
        <v/>
      </c>
    </row>
    <row r="16791" spans="2:4" ht="13">
      <c r="B16791" s="12" t="str">
        <f ca="1">IFERROR(__xludf.DUMMYFUNCTION("""COMPUTED_VALUE"""),"")</f>
        <v/>
      </c>
      <c r="C16791" s="12" t="str">
        <f ca="1">IFERROR(__xludf.DUMMYFUNCTION("""COMPUTED_VALUE"""),"")</f>
        <v/>
      </c>
      <c r="D16791" s="12" t="str">
        <f ca="1">IFERROR(__xludf.DUMMYFUNCTION("""COMPUTED_VALUE"""),"")</f>
        <v/>
      </c>
    </row>
    <row r="16792" spans="2:4" ht="13">
      <c r="B16792" s="12" t="str">
        <f ca="1">IFERROR(__xludf.DUMMYFUNCTION("""COMPUTED_VALUE"""),"")</f>
        <v/>
      </c>
      <c r="C16792" s="12" t="str">
        <f ca="1">IFERROR(__xludf.DUMMYFUNCTION("""COMPUTED_VALUE"""),"")</f>
        <v/>
      </c>
      <c r="D16792" s="12" t="str">
        <f ca="1">IFERROR(__xludf.DUMMYFUNCTION("""COMPUTED_VALUE"""),"")</f>
        <v/>
      </c>
    </row>
    <row r="16793" spans="2:4" ht="13">
      <c r="B16793" s="12" t="str">
        <f ca="1">IFERROR(__xludf.DUMMYFUNCTION("""COMPUTED_VALUE"""),"")</f>
        <v/>
      </c>
      <c r="C16793" s="12" t="str">
        <f ca="1">IFERROR(__xludf.DUMMYFUNCTION("""COMPUTED_VALUE"""),"")</f>
        <v/>
      </c>
      <c r="D16793" s="12" t="str">
        <f ca="1">IFERROR(__xludf.DUMMYFUNCTION("""COMPUTED_VALUE"""),"")</f>
        <v/>
      </c>
    </row>
    <row r="16794" spans="2:4" ht="13">
      <c r="B16794" s="12" t="str">
        <f ca="1">IFERROR(__xludf.DUMMYFUNCTION("""COMPUTED_VALUE"""),"")</f>
        <v/>
      </c>
      <c r="C16794" s="12" t="str">
        <f ca="1">IFERROR(__xludf.DUMMYFUNCTION("""COMPUTED_VALUE"""),"")</f>
        <v/>
      </c>
      <c r="D16794" s="12" t="str">
        <f ca="1">IFERROR(__xludf.DUMMYFUNCTION("""COMPUTED_VALUE"""),"")</f>
        <v/>
      </c>
    </row>
    <row r="16795" spans="2:4" ht="13">
      <c r="B16795" s="12" t="str">
        <f ca="1">IFERROR(__xludf.DUMMYFUNCTION("""COMPUTED_VALUE"""),"")</f>
        <v/>
      </c>
      <c r="C16795" s="12" t="str">
        <f ca="1">IFERROR(__xludf.DUMMYFUNCTION("""COMPUTED_VALUE"""),"")</f>
        <v/>
      </c>
      <c r="D16795" s="12" t="str">
        <f ca="1">IFERROR(__xludf.DUMMYFUNCTION("""COMPUTED_VALUE"""),"")</f>
        <v/>
      </c>
    </row>
    <row r="16796" spans="2:4" ht="13">
      <c r="B16796" s="12" t="str">
        <f ca="1">IFERROR(__xludf.DUMMYFUNCTION("""COMPUTED_VALUE"""),"")</f>
        <v/>
      </c>
      <c r="C16796" s="12" t="str">
        <f ca="1">IFERROR(__xludf.DUMMYFUNCTION("""COMPUTED_VALUE"""),"")</f>
        <v/>
      </c>
      <c r="D16796" s="12" t="str">
        <f ca="1">IFERROR(__xludf.DUMMYFUNCTION("""COMPUTED_VALUE"""),"")</f>
        <v/>
      </c>
    </row>
    <row r="16797" spans="2:4" ht="13">
      <c r="B16797" s="12" t="str">
        <f ca="1">IFERROR(__xludf.DUMMYFUNCTION("""COMPUTED_VALUE"""),"")</f>
        <v/>
      </c>
      <c r="C16797" s="12" t="str">
        <f ca="1">IFERROR(__xludf.DUMMYFUNCTION("""COMPUTED_VALUE"""),"")</f>
        <v/>
      </c>
      <c r="D16797" s="12" t="str">
        <f ca="1">IFERROR(__xludf.DUMMYFUNCTION("""COMPUTED_VALUE"""),"")</f>
        <v/>
      </c>
    </row>
    <row r="16798" spans="2:4" ht="13">
      <c r="B16798" s="12" t="str">
        <f ca="1">IFERROR(__xludf.DUMMYFUNCTION("""COMPUTED_VALUE"""),"")</f>
        <v/>
      </c>
      <c r="C16798" s="12" t="str">
        <f ca="1">IFERROR(__xludf.DUMMYFUNCTION("""COMPUTED_VALUE"""),"")</f>
        <v/>
      </c>
      <c r="D16798" s="12" t="str">
        <f ca="1">IFERROR(__xludf.DUMMYFUNCTION("""COMPUTED_VALUE"""),"")</f>
        <v/>
      </c>
    </row>
    <row r="16799" spans="2:4" ht="13">
      <c r="B16799" s="12" t="str">
        <f ca="1">IFERROR(__xludf.DUMMYFUNCTION("""COMPUTED_VALUE"""),"")</f>
        <v/>
      </c>
      <c r="C16799" s="12" t="str">
        <f ca="1">IFERROR(__xludf.DUMMYFUNCTION("""COMPUTED_VALUE"""),"")</f>
        <v/>
      </c>
      <c r="D16799" s="12" t="str">
        <f ca="1">IFERROR(__xludf.DUMMYFUNCTION("""COMPUTED_VALUE"""),"")</f>
        <v/>
      </c>
    </row>
    <row r="16800" spans="2:4" ht="13">
      <c r="B16800" s="12" t="str">
        <f ca="1">IFERROR(__xludf.DUMMYFUNCTION("""COMPUTED_VALUE"""),"")</f>
        <v/>
      </c>
      <c r="C16800" s="12" t="str">
        <f ca="1">IFERROR(__xludf.DUMMYFUNCTION("""COMPUTED_VALUE"""),"")</f>
        <v/>
      </c>
      <c r="D16800" s="12" t="str">
        <f ca="1">IFERROR(__xludf.DUMMYFUNCTION("""COMPUTED_VALUE"""),"")</f>
        <v/>
      </c>
    </row>
    <row r="16801" spans="2:4" ht="13">
      <c r="B16801" s="12" t="str">
        <f ca="1">IFERROR(__xludf.DUMMYFUNCTION("""COMPUTED_VALUE"""),"")</f>
        <v/>
      </c>
      <c r="C16801" s="12" t="str">
        <f ca="1">IFERROR(__xludf.DUMMYFUNCTION("""COMPUTED_VALUE"""),"")</f>
        <v/>
      </c>
      <c r="D16801" s="12" t="str">
        <f ca="1">IFERROR(__xludf.DUMMYFUNCTION("""COMPUTED_VALUE"""),"")</f>
        <v/>
      </c>
    </row>
    <row r="16802" spans="2:4" ht="13">
      <c r="B16802" s="12" t="str">
        <f ca="1">IFERROR(__xludf.DUMMYFUNCTION("""COMPUTED_VALUE"""),"")</f>
        <v/>
      </c>
      <c r="C16802" s="12" t="str">
        <f ca="1">IFERROR(__xludf.DUMMYFUNCTION("""COMPUTED_VALUE"""),"")</f>
        <v/>
      </c>
      <c r="D16802" s="12" t="str">
        <f ca="1">IFERROR(__xludf.DUMMYFUNCTION("""COMPUTED_VALUE"""),"")</f>
        <v/>
      </c>
    </row>
    <row r="16803" spans="2:4" ht="13">
      <c r="B16803" s="12" t="str">
        <f ca="1">IFERROR(__xludf.DUMMYFUNCTION("""COMPUTED_VALUE"""),"")</f>
        <v/>
      </c>
      <c r="C16803" s="12" t="str">
        <f ca="1">IFERROR(__xludf.DUMMYFUNCTION("""COMPUTED_VALUE"""),"")</f>
        <v/>
      </c>
      <c r="D16803" s="12" t="str">
        <f ca="1">IFERROR(__xludf.DUMMYFUNCTION("""COMPUTED_VALUE"""),"")</f>
        <v/>
      </c>
    </row>
    <row r="16804" spans="2:4" ht="13">
      <c r="B16804" s="12" t="str">
        <f ca="1">IFERROR(__xludf.DUMMYFUNCTION("""COMPUTED_VALUE"""),"")</f>
        <v/>
      </c>
      <c r="C16804" s="12" t="str">
        <f ca="1">IFERROR(__xludf.DUMMYFUNCTION("""COMPUTED_VALUE"""),"")</f>
        <v/>
      </c>
      <c r="D16804" s="12" t="str">
        <f ca="1">IFERROR(__xludf.DUMMYFUNCTION("""COMPUTED_VALUE"""),"")</f>
        <v/>
      </c>
    </row>
    <row r="16805" spans="2:4" ht="13">
      <c r="B16805" s="12" t="str">
        <f ca="1">IFERROR(__xludf.DUMMYFUNCTION("""COMPUTED_VALUE"""),"")</f>
        <v/>
      </c>
      <c r="C16805" s="12" t="str">
        <f ca="1">IFERROR(__xludf.DUMMYFUNCTION("""COMPUTED_VALUE"""),"")</f>
        <v/>
      </c>
      <c r="D16805" s="12" t="str">
        <f ca="1">IFERROR(__xludf.DUMMYFUNCTION("""COMPUTED_VALUE"""),"")</f>
        <v/>
      </c>
    </row>
    <row r="16806" spans="2:4" ht="13">
      <c r="B16806" s="12" t="str">
        <f ca="1">IFERROR(__xludf.DUMMYFUNCTION("""COMPUTED_VALUE"""),"")</f>
        <v/>
      </c>
      <c r="C16806" s="12" t="str">
        <f ca="1">IFERROR(__xludf.DUMMYFUNCTION("""COMPUTED_VALUE"""),"")</f>
        <v/>
      </c>
      <c r="D16806" s="12" t="str">
        <f ca="1">IFERROR(__xludf.DUMMYFUNCTION("""COMPUTED_VALUE"""),"")</f>
        <v/>
      </c>
    </row>
    <row r="16807" spans="2:4" ht="13">
      <c r="B16807" s="12" t="str">
        <f ca="1">IFERROR(__xludf.DUMMYFUNCTION("""COMPUTED_VALUE"""),"")</f>
        <v/>
      </c>
      <c r="C16807" s="12" t="str">
        <f ca="1">IFERROR(__xludf.DUMMYFUNCTION("""COMPUTED_VALUE"""),"")</f>
        <v/>
      </c>
      <c r="D16807" s="12" t="str">
        <f ca="1">IFERROR(__xludf.DUMMYFUNCTION("""COMPUTED_VALUE"""),"")</f>
        <v/>
      </c>
    </row>
    <row r="16808" spans="2:4" ht="13">
      <c r="B16808" s="12" t="str">
        <f ca="1">IFERROR(__xludf.DUMMYFUNCTION("""COMPUTED_VALUE"""),"")</f>
        <v/>
      </c>
      <c r="C16808" s="12" t="str">
        <f ca="1">IFERROR(__xludf.DUMMYFUNCTION("""COMPUTED_VALUE"""),"")</f>
        <v/>
      </c>
      <c r="D16808" s="12" t="str">
        <f ca="1">IFERROR(__xludf.DUMMYFUNCTION("""COMPUTED_VALUE"""),"")</f>
        <v/>
      </c>
    </row>
    <row r="16809" spans="2:4" ht="13">
      <c r="B16809" s="12" t="str">
        <f ca="1">IFERROR(__xludf.DUMMYFUNCTION("""COMPUTED_VALUE"""),"")</f>
        <v/>
      </c>
      <c r="C16809" s="12" t="str">
        <f ca="1">IFERROR(__xludf.DUMMYFUNCTION("""COMPUTED_VALUE"""),"")</f>
        <v/>
      </c>
      <c r="D16809" s="12" t="str">
        <f ca="1">IFERROR(__xludf.DUMMYFUNCTION("""COMPUTED_VALUE"""),"")</f>
        <v/>
      </c>
    </row>
    <row r="16810" spans="2:4" ht="13">
      <c r="B16810" s="12" t="str">
        <f ca="1">IFERROR(__xludf.DUMMYFUNCTION("""COMPUTED_VALUE"""),"")</f>
        <v/>
      </c>
      <c r="C16810" s="12" t="str">
        <f ca="1">IFERROR(__xludf.DUMMYFUNCTION("""COMPUTED_VALUE"""),"")</f>
        <v/>
      </c>
      <c r="D16810" s="12" t="str">
        <f ca="1">IFERROR(__xludf.DUMMYFUNCTION("""COMPUTED_VALUE"""),"")</f>
        <v/>
      </c>
    </row>
    <row r="16811" spans="2:4" ht="13">
      <c r="B16811" s="12" t="str">
        <f ca="1">IFERROR(__xludf.DUMMYFUNCTION("""COMPUTED_VALUE"""),"")</f>
        <v/>
      </c>
      <c r="C16811" s="12" t="str">
        <f ca="1">IFERROR(__xludf.DUMMYFUNCTION("""COMPUTED_VALUE"""),"")</f>
        <v/>
      </c>
      <c r="D16811" s="12" t="str">
        <f ca="1">IFERROR(__xludf.DUMMYFUNCTION("""COMPUTED_VALUE"""),"")</f>
        <v/>
      </c>
    </row>
    <row r="16812" spans="2:4" ht="13">
      <c r="B16812" s="12" t="str">
        <f ca="1">IFERROR(__xludf.DUMMYFUNCTION("""COMPUTED_VALUE"""),"")</f>
        <v/>
      </c>
      <c r="C16812" s="12" t="str">
        <f ca="1">IFERROR(__xludf.DUMMYFUNCTION("""COMPUTED_VALUE"""),"")</f>
        <v/>
      </c>
      <c r="D16812" s="12" t="str">
        <f ca="1">IFERROR(__xludf.DUMMYFUNCTION("""COMPUTED_VALUE"""),"")</f>
        <v/>
      </c>
    </row>
    <row r="16813" spans="2:4" ht="13">
      <c r="B16813" s="12" t="str">
        <f ca="1">IFERROR(__xludf.DUMMYFUNCTION("""COMPUTED_VALUE"""),"")</f>
        <v/>
      </c>
      <c r="C16813" s="12" t="str">
        <f ca="1">IFERROR(__xludf.DUMMYFUNCTION("""COMPUTED_VALUE"""),"")</f>
        <v/>
      </c>
      <c r="D16813" s="12" t="str">
        <f ca="1">IFERROR(__xludf.DUMMYFUNCTION("""COMPUTED_VALUE"""),"")</f>
        <v/>
      </c>
    </row>
    <row r="16814" spans="2:4" ht="13">
      <c r="B16814" s="12" t="str">
        <f ca="1">IFERROR(__xludf.DUMMYFUNCTION("""COMPUTED_VALUE"""),"")</f>
        <v/>
      </c>
      <c r="C16814" s="12" t="str">
        <f ca="1">IFERROR(__xludf.DUMMYFUNCTION("""COMPUTED_VALUE"""),"")</f>
        <v/>
      </c>
      <c r="D16814" s="12" t="str">
        <f ca="1">IFERROR(__xludf.DUMMYFUNCTION("""COMPUTED_VALUE"""),"")</f>
        <v/>
      </c>
    </row>
    <row r="16815" spans="2:4" ht="13">
      <c r="B16815" s="12" t="str">
        <f ca="1">IFERROR(__xludf.DUMMYFUNCTION("""COMPUTED_VALUE"""),"")</f>
        <v/>
      </c>
      <c r="C16815" s="12" t="str">
        <f ca="1">IFERROR(__xludf.DUMMYFUNCTION("""COMPUTED_VALUE"""),"")</f>
        <v/>
      </c>
      <c r="D16815" s="12" t="str">
        <f ca="1">IFERROR(__xludf.DUMMYFUNCTION("""COMPUTED_VALUE"""),"")</f>
        <v/>
      </c>
    </row>
    <row r="16816" spans="2:4" ht="13">
      <c r="B16816" s="12" t="str">
        <f ca="1">IFERROR(__xludf.DUMMYFUNCTION("""COMPUTED_VALUE"""),"")</f>
        <v/>
      </c>
      <c r="C16816" s="12" t="str">
        <f ca="1">IFERROR(__xludf.DUMMYFUNCTION("""COMPUTED_VALUE"""),"")</f>
        <v/>
      </c>
      <c r="D16816" s="12" t="str">
        <f ca="1">IFERROR(__xludf.DUMMYFUNCTION("""COMPUTED_VALUE"""),"")</f>
        <v/>
      </c>
    </row>
    <row r="16817" spans="2:4" ht="13">
      <c r="B16817" s="12" t="str">
        <f ca="1">IFERROR(__xludf.DUMMYFUNCTION("""COMPUTED_VALUE"""),"")</f>
        <v/>
      </c>
      <c r="C16817" s="12" t="str">
        <f ca="1">IFERROR(__xludf.DUMMYFUNCTION("""COMPUTED_VALUE"""),"")</f>
        <v/>
      </c>
      <c r="D16817" s="12" t="str">
        <f ca="1">IFERROR(__xludf.DUMMYFUNCTION("""COMPUTED_VALUE"""),"")</f>
        <v/>
      </c>
    </row>
    <row r="16818" spans="2:4" ht="13">
      <c r="B16818" s="12" t="str">
        <f ca="1">IFERROR(__xludf.DUMMYFUNCTION("""COMPUTED_VALUE"""),"")</f>
        <v/>
      </c>
      <c r="C16818" s="12" t="str">
        <f ca="1">IFERROR(__xludf.DUMMYFUNCTION("""COMPUTED_VALUE"""),"")</f>
        <v/>
      </c>
      <c r="D16818" s="12" t="str">
        <f ca="1">IFERROR(__xludf.DUMMYFUNCTION("""COMPUTED_VALUE"""),"")</f>
        <v/>
      </c>
    </row>
    <row r="16819" spans="2:4" ht="13">
      <c r="B16819" s="12" t="str">
        <f ca="1">IFERROR(__xludf.DUMMYFUNCTION("""COMPUTED_VALUE"""),"")</f>
        <v/>
      </c>
      <c r="C16819" s="12" t="str">
        <f ca="1">IFERROR(__xludf.DUMMYFUNCTION("""COMPUTED_VALUE"""),"")</f>
        <v/>
      </c>
      <c r="D16819" s="12" t="str">
        <f ca="1">IFERROR(__xludf.DUMMYFUNCTION("""COMPUTED_VALUE"""),"")</f>
        <v/>
      </c>
    </row>
    <row r="16820" spans="2:4" ht="13">
      <c r="B16820" s="12" t="str">
        <f ca="1">IFERROR(__xludf.DUMMYFUNCTION("""COMPUTED_VALUE"""),"")</f>
        <v/>
      </c>
      <c r="C16820" s="12" t="str">
        <f ca="1">IFERROR(__xludf.DUMMYFUNCTION("""COMPUTED_VALUE"""),"")</f>
        <v/>
      </c>
      <c r="D16820" s="12" t="str">
        <f ca="1">IFERROR(__xludf.DUMMYFUNCTION("""COMPUTED_VALUE"""),"")</f>
        <v/>
      </c>
    </row>
    <row r="16821" spans="2:4" ht="13">
      <c r="B16821" s="12" t="str">
        <f ca="1">IFERROR(__xludf.DUMMYFUNCTION("""COMPUTED_VALUE"""),"")</f>
        <v/>
      </c>
      <c r="C16821" s="12" t="str">
        <f ca="1">IFERROR(__xludf.DUMMYFUNCTION("""COMPUTED_VALUE"""),"")</f>
        <v/>
      </c>
      <c r="D16821" s="12" t="str">
        <f ca="1">IFERROR(__xludf.DUMMYFUNCTION("""COMPUTED_VALUE"""),"")</f>
        <v/>
      </c>
    </row>
    <row r="16822" spans="2:4" ht="13">
      <c r="B16822" s="12" t="str">
        <f ca="1">IFERROR(__xludf.DUMMYFUNCTION("""COMPUTED_VALUE"""),"")</f>
        <v/>
      </c>
      <c r="C16822" s="12" t="str">
        <f ca="1">IFERROR(__xludf.DUMMYFUNCTION("""COMPUTED_VALUE"""),"")</f>
        <v/>
      </c>
      <c r="D16822" s="12" t="str">
        <f ca="1">IFERROR(__xludf.DUMMYFUNCTION("""COMPUTED_VALUE"""),"")</f>
        <v/>
      </c>
    </row>
    <row r="16823" spans="2:4" ht="13">
      <c r="B16823" s="12" t="str">
        <f ca="1">IFERROR(__xludf.DUMMYFUNCTION("""COMPUTED_VALUE"""),"")</f>
        <v/>
      </c>
      <c r="C16823" s="12" t="str">
        <f ca="1">IFERROR(__xludf.DUMMYFUNCTION("""COMPUTED_VALUE"""),"")</f>
        <v/>
      </c>
      <c r="D16823" s="12" t="str">
        <f ca="1">IFERROR(__xludf.DUMMYFUNCTION("""COMPUTED_VALUE"""),"")</f>
        <v/>
      </c>
    </row>
    <row r="16824" spans="2:4" ht="13">
      <c r="B16824" s="12" t="str">
        <f ca="1">IFERROR(__xludf.DUMMYFUNCTION("""COMPUTED_VALUE"""),"")</f>
        <v/>
      </c>
      <c r="C16824" s="12" t="str">
        <f ca="1">IFERROR(__xludf.DUMMYFUNCTION("""COMPUTED_VALUE"""),"")</f>
        <v/>
      </c>
      <c r="D16824" s="12" t="str">
        <f ca="1">IFERROR(__xludf.DUMMYFUNCTION("""COMPUTED_VALUE"""),"")</f>
        <v/>
      </c>
    </row>
    <row r="16825" spans="2:4" ht="13">
      <c r="B16825" s="12" t="str">
        <f ca="1">IFERROR(__xludf.DUMMYFUNCTION("""COMPUTED_VALUE"""),"")</f>
        <v/>
      </c>
      <c r="C16825" s="12" t="str">
        <f ca="1">IFERROR(__xludf.DUMMYFUNCTION("""COMPUTED_VALUE"""),"")</f>
        <v/>
      </c>
      <c r="D16825" s="12" t="str">
        <f ca="1">IFERROR(__xludf.DUMMYFUNCTION("""COMPUTED_VALUE"""),"")</f>
        <v/>
      </c>
    </row>
    <row r="16826" spans="2:4" ht="13">
      <c r="B16826" s="12" t="str">
        <f ca="1">IFERROR(__xludf.DUMMYFUNCTION("""COMPUTED_VALUE"""),"")</f>
        <v/>
      </c>
      <c r="C16826" s="12" t="str">
        <f ca="1">IFERROR(__xludf.DUMMYFUNCTION("""COMPUTED_VALUE"""),"")</f>
        <v/>
      </c>
      <c r="D16826" s="12" t="str">
        <f ca="1">IFERROR(__xludf.DUMMYFUNCTION("""COMPUTED_VALUE"""),"")</f>
        <v/>
      </c>
    </row>
    <row r="16827" spans="2:4" ht="13">
      <c r="B16827" s="12" t="str">
        <f ca="1">IFERROR(__xludf.DUMMYFUNCTION("""COMPUTED_VALUE"""),"")</f>
        <v/>
      </c>
      <c r="C16827" s="12" t="str">
        <f ca="1">IFERROR(__xludf.DUMMYFUNCTION("""COMPUTED_VALUE"""),"")</f>
        <v/>
      </c>
      <c r="D16827" s="12" t="str">
        <f ca="1">IFERROR(__xludf.DUMMYFUNCTION("""COMPUTED_VALUE"""),"")</f>
        <v/>
      </c>
    </row>
    <row r="16828" spans="2:4" ht="13">
      <c r="B16828" s="12" t="str">
        <f ca="1">IFERROR(__xludf.DUMMYFUNCTION("""COMPUTED_VALUE"""),"")</f>
        <v/>
      </c>
      <c r="C16828" s="12" t="str">
        <f ca="1">IFERROR(__xludf.DUMMYFUNCTION("""COMPUTED_VALUE"""),"")</f>
        <v/>
      </c>
      <c r="D16828" s="12" t="str">
        <f ca="1">IFERROR(__xludf.DUMMYFUNCTION("""COMPUTED_VALUE"""),"")</f>
        <v/>
      </c>
    </row>
    <row r="16829" spans="2:4" ht="13">
      <c r="B16829" s="12" t="str">
        <f ca="1">IFERROR(__xludf.DUMMYFUNCTION("""COMPUTED_VALUE"""),"")</f>
        <v/>
      </c>
      <c r="C16829" s="12" t="str">
        <f ca="1">IFERROR(__xludf.DUMMYFUNCTION("""COMPUTED_VALUE"""),"")</f>
        <v/>
      </c>
      <c r="D16829" s="12" t="str">
        <f ca="1">IFERROR(__xludf.DUMMYFUNCTION("""COMPUTED_VALUE"""),"")</f>
        <v/>
      </c>
    </row>
    <row r="16830" spans="2:4" ht="13">
      <c r="B16830" s="12" t="str">
        <f ca="1">IFERROR(__xludf.DUMMYFUNCTION("""COMPUTED_VALUE"""),"")</f>
        <v/>
      </c>
      <c r="C16830" s="12" t="str">
        <f ca="1">IFERROR(__xludf.DUMMYFUNCTION("""COMPUTED_VALUE"""),"")</f>
        <v/>
      </c>
      <c r="D16830" s="12" t="str">
        <f ca="1">IFERROR(__xludf.DUMMYFUNCTION("""COMPUTED_VALUE"""),"")</f>
        <v/>
      </c>
    </row>
    <row r="16831" spans="2:4" ht="13">
      <c r="B16831" s="12" t="str">
        <f ca="1">IFERROR(__xludf.DUMMYFUNCTION("""COMPUTED_VALUE"""),"")</f>
        <v/>
      </c>
      <c r="C16831" s="12" t="str">
        <f ca="1">IFERROR(__xludf.DUMMYFUNCTION("""COMPUTED_VALUE"""),"")</f>
        <v/>
      </c>
      <c r="D16831" s="12" t="str">
        <f ca="1">IFERROR(__xludf.DUMMYFUNCTION("""COMPUTED_VALUE"""),"")</f>
        <v/>
      </c>
    </row>
    <row r="16832" spans="2:4" ht="13">
      <c r="B16832" s="12" t="str">
        <f ca="1">IFERROR(__xludf.DUMMYFUNCTION("""COMPUTED_VALUE"""),"")</f>
        <v/>
      </c>
      <c r="C16832" s="12" t="str">
        <f ca="1">IFERROR(__xludf.DUMMYFUNCTION("""COMPUTED_VALUE"""),"")</f>
        <v/>
      </c>
      <c r="D16832" s="12" t="str">
        <f ca="1">IFERROR(__xludf.DUMMYFUNCTION("""COMPUTED_VALUE"""),"")</f>
        <v/>
      </c>
    </row>
    <row r="16833" spans="2:4" ht="13">
      <c r="B16833" s="12" t="str">
        <f ca="1">IFERROR(__xludf.DUMMYFUNCTION("""COMPUTED_VALUE"""),"")</f>
        <v/>
      </c>
      <c r="C16833" s="12" t="str">
        <f ca="1">IFERROR(__xludf.DUMMYFUNCTION("""COMPUTED_VALUE"""),"")</f>
        <v/>
      </c>
      <c r="D16833" s="12" t="str">
        <f ca="1">IFERROR(__xludf.DUMMYFUNCTION("""COMPUTED_VALUE"""),"")</f>
        <v/>
      </c>
    </row>
    <row r="16834" spans="2:4" ht="13">
      <c r="B16834" s="12" t="str">
        <f ca="1">IFERROR(__xludf.DUMMYFUNCTION("""COMPUTED_VALUE"""),"")</f>
        <v/>
      </c>
      <c r="C16834" s="12" t="str">
        <f ca="1">IFERROR(__xludf.DUMMYFUNCTION("""COMPUTED_VALUE"""),"")</f>
        <v/>
      </c>
      <c r="D16834" s="12" t="str">
        <f ca="1">IFERROR(__xludf.DUMMYFUNCTION("""COMPUTED_VALUE"""),"")</f>
        <v/>
      </c>
    </row>
    <row r="16835" spans="2:4" ht="13">
      <c r="B16835" s="12" t="str">
        <f ca="1">IFERROR(__xludf.DUMMYFUNCTION("""COMPUTED_VALUE"""),"")</f>
        <v/>
      </c>
      <c r="C16835" s="12" t="str">
        <f ca="1">IFERROR(__xludf.DUMMYFUNCTION("""COMPUTED_VALUE"""),"")</f>
        <v/>
      </c>
      <c r="D16835" s="12" t="str">
        <f ca="1">IFERROR(__xludf.DUMMYFUNCTION("""COMPUTED_VALUE"""),"")</f>
        <v/>
      </c>
    </row>
    <row r="16836" spans="2:4" ht="13">
      <c r="B16836" s="12" t="str">
        <f ca="1">IFERROR(__xludf.DUMMYFUNCTION("""COMPUTED_VALUE"""),"")</f>
        <v/>
      </c>
      <c r="C16836" s="12" t="str">
        <f ca="1">IFERROR(__xludf.DUMMYFUNCTION("""COMPUTED_VALUE"""),"")</f>
        <v/>
      </c>
      <c r="D16836" s="12" t="str">
        <f ca="1">IFERROR(__xludf.DUMMYFUNCTION("""COMPUTED_VALUE"""),"")</f>
        <v/>
      </c>
    </row>
    <row r="16837" spans="2:4" ht="13">
      <c r="B16837" s="12" t="str">
        <f ca="1">IFERROR(__xludf.DUMMYFUNCTION("""COMPUTED_VALUE"""),"")</f>
        <v/>
      </c>
      <c r="C16837" s="12" t="str">
        <f ca="1">IFERROR(__xludf.DUMMYFUNCTION("""COMPUTED_VALUE"""),"")</f>
        <v/>
      </c>
      <c r="D16837" s="12" t="str">
        <f ca="1">IFERROR(__xludf.DUMMYFUNCTION("""COMPUTED_VALUE"""),"")</f>
        <v/>
      </c>
    </row>
    <row r="16838" spans="2:4" ht="13">
      <c r="B16838" s="12" t="str">
        <f ca="1">IFERROR(__xludf.DUMMYFUNCTION("""COMPUTED_VALUE"""),"")</f>
        <v/>
      </c>
      <c r="C16838" s="12" t="str">
        <f ca="1">IFERROR(__xludf.DUMMYFUNCTION("""COMPUTED_VALUE"""),"")</f>
        <v/>
      </c>
      <c r="D16838" s="12" t="str">
        <f ca="1">IFERROR(__xludf.DUMMYFUNCTION("""COMPUTED_VALUE"""),"")</f>
        <v/>
      </c>
    </row>
    <row r="16839" spans="2:4" ht="13">
      <c r="B16839" s="12" t="str">
        <f ca="1">IFERROR(__xludf.DUMMYFUNCTION("""COMPUTED_VALUE"""),"")</f>
        <v/>
      </c>
      <c r="C16839" s="12" t="str">
        <f ca="1">IFERROR(__xludf.DUMMYFUNCTION("""COMPUTED_VALUE"""),"")</f>
        <v/>
      </c>
      <c r="D16839" s="12" t="str">
        <f ca="1">IFERROR(__xludf.DUMMYFUNCTION("""COMPUTED_VALUE"""),"")</f>
        <v/>
      </c>
    </row>
    <row r="16840" spans="2:4" ht="13">
      <c r="B16840" s="12" t="str">
        <f ca="1">IFERROR(__xludf.DUMMYFUNCTION("""COMPUTED_VALUE"""),"")</f>
        <v/>
      </c>
      <c r="C16840" s="12" t="str">
        <f ca="1">IFERROR(__xludf.DUMMYFUNCTION("""COMPUTED_VALUE"""),"")</f>
        <v/>
      </c>
      <c r="D16840" s="12" t="str">
        <f ca="1">IFERROR(__xludf.DUMMYFUNCTION("""COMPUTED_VALUE"""),"")</f>
        <v/>
      </c>
    </row>
    <row r="16841" spans="2:4" ht="13">
      <c r="B16841" s="12" t="str">
        <f ca="1">IFERROR(__xludf.DUMMYFUNCTION("""COMPUTED_VALUE"""),"")</f>
        <v/>
      </c>
      <c r="C16841" s="12" t="str">
        <f ca="1">IFERROR(__xludf.DUMMYFUNCTION("""COMPUTED_VALUE"""),"")</f>
        <v/>
      </c>
      <c r="D16841" s="12" t="str">
        <f ca="1">IFERROR(__xludf.DUMMYFUNCTION("""COMPUTED_VALUE"""),"")</f>
        <v/>
      </c>
    </row>
    <row r="16842" spans="2:4" ht="13">
      <c r="B16842" s="12" t="str">
        <f ca="1">IFERROR(__xludf.DUMMYFUNCTION("""COMPUTED_VALUE"""),"")</f>
        <v/>
      </c>
      <c r="C16842" s="12" t="str">
        <f ca="1">IFERROR(__xludf.DUMMYFUNCTION("""COMPUTED_VALUE"""),"")</f>
        <v/>
      </c>
      <c r="D16842" s="12" t="str">
        <f ca="1">IFERROR(__xludf.DUMMYFUNCTION("""COMPUTED_VALUE"""),"")</f>
        <v/>
      </c>
    </row>
    <row r="16843" spans="2:4" ht="13">
      <c r="B16843" s="12" t="str">
        <f ca="1">IFERROR(__xludf.DUMMYFUNCTION("""COMPUTED_VALUE"""),"")</f>
        <v/>
      </c>
      <c r="C16843" s="12" t="str">
        <f ca="1">IFERROR(__xludf.DUMMYFUNCTION("""COMPUTED_VALUE"""),"")</f>
        <v/>
      </c>
      <c r="D16843" s="12" t="str">
        <f ca="1">IFERROR(__xludf.DUMMYFUNCTION("""COMPUTED_VALUE"""),"")</f>
        <v/>
      </c>
    </row>
    <row r="16844" spans="2:4" ht="13">
      <c r="B16844" s="12" t="str">
        <f ca="1">IFERROR(__xludf.DUMMYFUNCTION("""COMPUTED_VALUE"""),"")</f>
        <v/>
      </c>
      <c r="C16844" s="12" t="str">
        <f ca="1">IFERROR(__xludf.DUMMYFUNCTION("""COMPUTED_VALUE"""),"")</f>
        <v/>
      </c>
      <c r="D16844" s="12" t="str">
        <f ca="1">IFERROR(__xludf.DUMMYFUNCTION("""COMPUTED_VALUE"""),"")</f>
        <v/>
      </c>
    </row>
    <row r="16845" spans="2:4" ht="13">
      <c r="B16845" s="12" t="str">
        <f ca="1">IFERROR(__xludf.DUMMYFUNCTION("""COMPUTED_VALUE"""),"")</f>
        <v/>
      </c>
      <c r="C16845" s="12" t="str">
        <f ca="1">IFERROR(__xludf.DUMMYFUNCTION("""COMPUTED_VALUE"""),"")</f>
        <v/>
      </c>
      <c r="D16845" s="12" t="str">
        <f ca="1">IFERROR(__xludf.DUMMYFUNCTION("""COMPUTED_VALUE"""),"")</f>
        <v/>
      </c>
    </row>
    <row r="16846" spans="2:4" ht="13">
      <c r="B16846" s="12" t="str">
        <f ca="1">IFERROR(__xludf.DUMMYFUNCTION("""COMPUTED_VALUE"""),"")</f>
        <v/>
      </c>
      <c r="C16846" s="12" t="str">
        <f ca="1">IFERROR(__xludf.DUMMYFUNCTION("""COMPUTED_VALUE"""),"")</f>
        <v/>
      </c>
      <c r="D16846" s="12" t="str">
        <f ca="1">IFERROR(__xludf.DUMMYFUNCTION("""COMPUTED_VALUE"""),"")</f>
        <v/>
      </c>
    </row>
    <row r="16847" spans="2:4" ht="13">
      <c r="B16847" s="12" t="str">
        <f ca="1">IFERROR(__xludf.DUMMYFUNCTION("""COMPUTED_VALUE"""),"")</f>
        <v/>
      </c>
      <c r="C16847" s="12" t="str">
        <f ca="1">IFERROR(__xludf.DUMMYFUNCTION("""COMPUTED_VALUE"""),"")</f>
        <v/>
      </c>
      <c r="D16847" s="12" t="str">
        <f ca="1">IFERROR(__xludf.DUMMYFUNCTION("""COMPUTED_VALUE"""),"")</f>
        <v/>
      </c>
    </row>
    <row r="16848" spans="2:4" ht="13">
      <c r="B16848" s="12" t="str">
        <f ca="1">IFERROR(__xludf.DUMMYFUNCTION("""COMPUTED_VALUE"""),"")</f>
        <v/>
      </c>
      <c r="C16848" s="12" t="str">
        <f ca="1">IFERROR(__xludf.DUMMYFUNCTION("""COMPUTED_VALUE"""),"")</f>
        <v/>
      </c>
      <c r="D16848" s="12" t="str">
        <f ca="1">IFERROR(__xludf.DUMMYFUNCTION("""COMPUTED_VALUE"""),"")</f>
        <v/>
      </c>
    </row>
    <row r="16849" spans="2:4" ht="13">
      <c r="B16849" s="12" t="str">
        <f ca="1">IFERROR(__xludf.DUMMYFUNCTION("""COMPUTED_VALUE"""),"")</f>
        <v/>
      </c>
      <c r="C16849" s="12" t="str">
        <f ca="1">IFERROR(__xludf.DUMMYFUNCTION("""COMPUTED_VALUE"""),"")</f>
        <v/>
      </c>
      <c r="D16849" s="12" t="str">
        <f ca="1">IFERROR(__xludf.DUMMYFUNCTION("""COMPUTED_VALUE"""),"")</f>
        <v/>
      </c>
    </row>
    <row r="16850" spans="2:4" ht="13">
      <c r="B16850" s="12" t="str">
        <f ca="1">IFERROR(__xludf.DUMMYFUNCTION("""COMPUTED_VALUE"""),"")</f>
        <v/>
      </c>
      <c r="C16850" s="12" t="str">
        <f ca="1">IFERROR(__xludf.DUMMYFUNCTION("""COMPUTED_VALUE"""),"")</f>
        <v/>
      </c>
      <c r="D16850" s="12" t="str">
        <f ca="1">IFERROR(__xludf.DUMMYFUNCTION("""COMPUTED_VALUE"""),"")</f>
        <v/>
      </c>
    </row>
    <row r="16851" spans="2:4" ht="13">
      <c r="B16851" s="12" t="str">
        <f ca="1">IFERROR(__xludf.DUMMYFUNCTION("""COMPUTED_VALUE"""),"")</f>
        <v/>
      </c>
      <c r="C16851" s="12" t="str">
        <f ca="1">IFERROR(__xludf.DUMMYFUNCTION("""COMPUTED_VALUE"""),"")</f>
        <v/>
      </c>
      <c r="D16851" s="12" t="str">
        <f ca="1">IFERROR(__xludf.DUMMYFUNCTION("""COMPUTED_VALUE"""),"")</f>
        <v/>
      </c>
    </row>
    <row r="16852" spans="2:4" ht="13">
      <c r="B16852" s="12" t="str">
        <f ca="1">IFERROR(__xludf.DUMMYFUNCTION("""COMPUTED_VALUE"""),"")</f>
        <v/>
      </c>
      <c r="C16852" s="12" t="str">
        <f ca="1">IFERROR(__xludf.DUMMYFUNCTION("""COMPUTED_VALUE"""),"")</f>
        <v/>
      </c>
      <c r="D16852" s="12" t="str">
        <f ca="1">IFERROR(__xludf.DUMMYFUNCTION("""COMPUTED_VALUE"""),"")</f>
        <v/>
      </c>
    </row>
    <row r="16853" spans="2:4" ht="13">
      <c r="B16853" s="12" t="str">
        <f ca="1">IFERROR(__xludf.DUMMYFUNCTION("""COMPUTED_VALUE"""),"")</f>
        <v/>
      </c>
      <c r="C16853" s="12" t="str">
        <f ca="1">IFERROR(__xludf.DUMMYFUNCTION("""COMPUTED_VALUE"""),"")</f>
        <v/>
      </c>
      <c r="D16853" s="12" t="str">
        <f ca="1">IFERROR(__xludf.DUMMYFUNCTION("""COMPUTED_VALUE"""),"")</f>
        <v/>
      </c>
    </row>
    <row r="16854" spans="2:4" ht="13">
      <c r="B16854" s="12" t="str">
        <f ca="1">IFERROR(__xludf.DUMMYFUNCTION("""COMPUTED_VALUE"""),"")</f>
        <v/>
      </c>
      <c r="C16854" s="12" t="str">
        <f ca="1">IFERROR(__xludf.DUMMYFUNCTION("""COMPUTED_VALUE"""),"")</f>
        <v/>
      </c>
      <c r="D16854" s="12" t="str">
        <f ca="1">IFERROR(__xludf.DUMMYFUNCTION("""COMPUTED_VALUE"""),"")</f>
        <v/>
      </c>
    </row>
    <row r="16855" spans="2:4" ht="13">
      <c r="B16855" s="12" t="str">
        <f ca="1">IFERROR(__xludf.DUMMYFUNCTION("""COMPUTED_VALUE"""),"")</f>
        <v/>
      </c>
      <c r="C16855" s="12" t="str">
        <f ca="1">IFERROR(__xludf.DUMMYFUNCTION("""COMPUTED_VALUE"""),"")</f>
        <v/>
      </c>
      <c r="D16855" s="12" t="str">
        <f ca="1">IFERROR(__xludf.DUMMYFUNCTION("""COMPUTED_VALUE"""),"")</f>
        <v/>
      </c>
    </row>
    <row r="16856" spans="2:4" ht="13">
      <c r="B16856" s="12" t="str">
        <f ca="1">IFERROR(__xludf.DUMMYFUNCTION("""COMPUTED_VALUE"""),"")</f>
        <v/>
      </c>
      <c r="C16856" s="12" t="str">
        <f ca="1">IFERROR(__xludf.DUMMYFUNCTION("""COMPUTED_VALUE"""),"")</f>
        <v/>
      </c>
      <c r="D16856" s="12" t="str">
        <f ca="1">IFERROR(__xludf.DUMMYFUNCTION("""COMPUTED_VALUE"""),"")</f>
        <v/>
      </c>
    </row>
    <row r="16857" spans="2:4" ht="13">
      <c r="B16857" s="12" t="str">
        <f ca="1">IFERROR(__xludf.DUMMYFUNCTION("""COMPUTED_VALUE"""),"")</f>
        <v/>
      </c>
      <c r="C16857" s="12" t="str">
        <f ca="1">IFERROR(__xludf.DUMMYFUNCTION("""COMPUTED_VALUE"""),"")</f>
        <v/>
      </c>
      <c r="D16857" s="12" t="str">
        <f ca="1">IFERROR(__xludf.DUMMYFUNCTION("""COMPUTED_VALUE"""),"")</f>
        <v/>
      </c>
    </row>
    <row r="16858" spans="2:4" ht="13">
      <c r="B16858" s="12" t="str">
        <f ca="1">IFERROR(__xludf.DUMMYFUNCTION("""COMPUTED_VALUE"""),"")</f>
        <v/>
      </c>
      <c r="C16858" s="12" t="str">
        <f ca="1">IFERROR(__xludf.DUMMYFUNCTION("""COMPUTED_VALUE"""),"")</f>
        <v/>
      </c>
      <c r="D16858" s="12" t="str">
        <f ca="1">IFERROR(__xludf.DUMMYFUNCTION("""COMPUTED_VALUE"""),"")</f>
        <v/>
      </c>
    </row>
    <row r="16859" spans="2:4" ht="13">
      <c r="B16859" s="12" t="str">
        <f ca="1">IFERROR(__xludf.DUMMYFUNCTION("""COMPUTED_VALUE"""),"")</f>
        <v/>
      </c>
      <c r="C16859" s="12" t="str">
        <f ca="1">IFERROR(__xludf.DUMMYFUNCTION("""COMPUTED_VALUE"""),"")</f>
        <v/>
      </c>
      <c r="D16859" s="12" t="str">
        <f ca="1">IFERROR(__xludf.DUMMYFUNCTION("""COMPUTED_VALUE"""),"")</f>
        <v/>
      </c>
    </row>
    <row r="16860" spans="2:4" ht="13">
      <c r="B16860" s="12" t="str">
        <f ca="1">IFERROR(__xludf.DUMMYFUNCTION("""COMPUTED_VALUE"""),"")</f>
        <v/>
      </c>
      <c r="C16860" s="12" t="str">
        <f ca="1">IFERROR(__xludf.DUMMYFUNCTION("""COMPUTED_VALUE"""),"")</f>
        <v/>
      </c>
      <c r="D16860" s="12" t="str">
        <f ca="1">IFERROR(__xludf.DUMMYFUNCTION("""COMPUTED_VALUE"""),"")</f>
        <v/>
      </c>
    </row>
    <row r="16861" spans="2:4" ht="13">
      <c r="B16861" s="12" t="str">
        <f ca="1">IFERROR(__xludf.DUMMYFUNCTION("""COMPUTED_VALUE"""),"")</f>
        <v/>
      </c>
      <c r="C16861" s="12" t="str">
        <f ca="1">IFERROR(__xludf.DUMMYFUNCTION("""COMPUTED_VALUE"""),"")</f>
        <v/>
      </c>
      <c r="D16861" s="12" t="str">
        <f ca="1">IFERROR(__xludf.DUMMYFUNCTION("""COMPUTED_VALUE"""),"")</f>
        <v/>
      </c>
    </row>
    <row r="16862" spans="2:4" ht="13">
      <c r="B16862" s="12" t="str">
        <f ca="1">IFERROR(__xludf.DUMMYFUNCTION("""COMPUTED_VALUE"""),"")</f>
        <v/>
      </c>
      <c r="C16862" s="12" t="str">
        <f ca="1">IFERROR(__xludf.DUMMYFUNCTION("""COMPUTED_VALUE"""),"")</f>
        <v/>
      </c>
      <c r="D16862" s="12" t="str">
        <f ca="1">IFERROR(__xludf.DUMMYFUNCTION("""COMPUTED_VALUE"""),"")</f>
        <v/>
      </c>
    </row>
    <row r="16863" spans="2:4" ht="13">
      <c r="B16863" s="12" t="str">
        <f ca="1">IFERROR(__xludf.DUMMYFUNCTION("""COMPUTED_VALUE"""),"")</f>
        <v/>
      </c>
      <c r="C16863" s="12" t="str">
        <f ca="1">IFERROR(__xludf.DUMMYFUNCTION("""COMPUTED_VALUE"""),"")</f>
        <v/>
      </c>
      <c r="D16863" s="12" t="str">
        <f ca="1">IFERROR(__xludf.DUMMYFUNCTION("""COMPUTED_VALUE"""),"")</f>
        <v/>
      </c>
    </row>
    <row r="16864" spans="2:4" ht="13">
      <c r="B16864" s="12" t="str">
        <f ca="1">IFERROR(__xludf.DUMMYFUNCTION("""COMPUTED_VALUE"""),"")</f>
        <v/>
      </c>
      <c r="C16864" s="12" t="str">
        <f ca="1">IFERROR(__xludf.DUMMYFUNCTION("""COMPUTED_VALUE"""),"")</f>
        <v/>
      </c>
      <c r="D16864" s="12" t="str">
        <f ca="1">IFERROR(__xludf.DUMMYFUNCTION("""COMPUTED_VALUE"""),"")</f>
        <v/>
      </c>
    </row>
    <row r="16865" spans="2:4" ht="13">
      <c r="B16865" s="12" t="str">
        <f ca="1">IFERROR(__xludf.DUMMYFUNCTION("""COMPUTED_VALUE"""),"")</f>
        <v/>
      </c>
      <c r="C16865" s="12" t="str">
        <f ca="1">IFERROR(__xludf.DUMMYFUNCTION("""COMPUTED_VALUE"""),"")</f>
        <v/>
      </c>
      <c r="D16865" s="12" t="str">
        <f ca="1">IFERROR(__xludf.DUMMYFUNCTION("""COMPUTED_VALUE"""),"")</f>
        <v/>
      </c>
    </row>
    <row r="16866" spans="2:4" ht="13">
      <c r="B16866" s="12" t="str">
        <f ca="1">IFERROR(__xludf.DUMMYFUNCTION("""COMPUTED_VALUE"""),"")</f>
        <v/>
      </c>
      <c r="C16866" s="12" t="str">
        <f ca="1">IFERROR(__xludf.DUMMYFUNCTION("""COMPUTED_VALUE"""),"")</f>
        <v/>
      </c>
      <c r="D16866" s="12" t="str">
        <f ca="1">IFERROR(__xludf.DUMMYFUNCTION("""COMPUTED_VALUE"""),"")</f>
        <v/>
      </c>
    </row>
    <row r="16867" spans="2:4" ht="13">
      <c r="B16867" s="12" t="str">
        <f ca="1">IFERROR(__xludf.DUMMYFUNCTION("""COMPUTED_VALUE"""),"")</f>
        <v/>
      </c>
      <c r="C16867" s="12" t="str">
        <f ca="1">IFERROR(__xludf.DUMMYFUNCTION("""COMPUTED_VALUE"""),"")</f>
        <v/>
      </c>
      <c r="D16867" s="12" t="str">
        <f ca="1">IFERROR(__xludf.DUMMYFUNCTION("""COMPUTED_VALUE"""),"")</f>
        <v/>
      </c>
    </row>
    <row r="16868" spans="2:4" ht="13">
      <c r="B16868" s="12" t="str">
        <f ca="1">IFERROR(__xludf.DUMMYFUNCTION("""COMPUTED_VALUE"""),"")</f>
        <v/>
      </c>
      <c r="C16868" s="12" t="str">
        <f ca="1">IFERROR(__xludf.DUMMYFUNCTION("""COMPUTED_VALUE"""),"")</f>
        <v/>
      </c>
      <c r="D16868" s="12" t="str">
        <f ca="1">IFERROR(__xludf.DUMMYFUNCTION("""COMPUTED_VALUE"""),"")</f>
        <v/>
      </c>
    </row>
    <row r="16869" spans="2:4" ht="13">
      <c r="B16869" s="12" t="str">
        <f ca="1">IFERROR(__xludf.DUMMYFUNCTION("""COMPUTED_VALUE"""),"")</f>
        <v/>
      </c>
      <c r="C16869" s="12" t="str">
        <f ca="1">IFERROR(__xludf.DUMMYFUNCTION("""COMPUTED_VALUE"""),"")</f>
        <v/>
      </c>
      <c r="D16869" s="12" t="str">
        <f ca="1">IFERROR(__xludf.DUMMYFUNCTION("""COMPUTED_VALUE"""),"")</f>
        <v/>
      </c>
    </row>
    <row r="16870" spans="2:4" ht="13">
      <c r="B16870" s="12" t="str">
        <f ca="1">IFERROR(__xludf.DUMMYFUNCTION("""COMPUTED_VALUE"""),"")</f>
        <v/>
      </c>
      <c r="C16870" s="12" t="str">
        <f ca="1">IFERROR(__xludf.DUMMYFUNCTION("""COMPUTED_VALUE"""),"")</f>
        <v/>
      </c>
      <c r="D16870" s="12" t="str">
        <f ca="1">IFERROR(__xludf.DUMMYFUNCTION("""COMPUTED_VALUE"""),"")</f>
        <v/>
      </c>
    </row>
    <row r="16871" spans="2:4" ht="13">
      <c r="B16871" s="12" t="str">
        <f ca="1">IFERROR(__xludf.DUMMYFUNCTION("""COMPUTED_VALUE"""),"")</f>
        <v/>
      </c>
      <c r="C16871" s="12" t="str">
        <f ca="1">IFERROR(__xludf.DUMMYFUNCTION("""COMPUTED_VALUE"""),"")</f>
        <v/>
      </c>
      <c r="D16871" s="12" t="str">
        <f ca="1">IFERROR(__xludf.DUMMYFUNCTION("""COMPUTED_VALUE"""),"")</f>
        <v/>
      </c>
    </row>
    <row r="16872" spans="2:4" ht="13">
      <c r="B16872" s="12" t="str">
        <f ca="1">IFERROR(__xludf.DUMMYFUNCTION("""COMPUTED_VALUE"""),"")</f>
        <v/>
      </c>
      <c r="C16872" s="12" t="str">
        <f ca="1">IFERROR(__xludf.DUMMYFUNCTION("""COMPUTED_VALUE"""),"")</f>
        <v/>
      </c>
      <c r="D16872" s="12" t="str">
        <f ca="1">IFERROR(__xludf.DUMMYFUNCTION("""COMPUTED_VALUE"""),"")</f>
        <v/>
      </c>
    </row>
    <row r="16873" spans="2:4" ht="13">
      <c r="B16873" s="12" t="str">
        <f ca="1">IFERROR(__xludf.DUMMYFUNCTION("""COMPUTED_VALUE"""),"")</f>
        <v/>
      </c>
      <c r="C16873" s="12" t="str">
        <f ca="1">IFERROR(__xludf.DUMMYFUNCTION("""COMPUTED_VALUE"""),"")</f>
        <v/>
      </c>
      <c r="D16873" s="12" t="str">
        <f ca="1">IFERROR(__xludf.DUMMYFUNCTION("""COMPUTED_VALUE"""),"")</f>
        <v/>
      </c>
    </row>
    <row r="16874" spans="2:4" ht="13">
      <c r="B16874" s="12" t="str">
        <f ca="1">IFERROR(__xludf.DUMMYFUNCTION("""COMPUTED_VALUE"""),"")</f>
        <v/>
      </c>
      <c r="C16874" s="12" t="str">
        <f ca="1">IFERROR(__xludf.DUMMYFUNCTION("""COMPUTED_VALUE"""),"")</f>
        <v/>
      </c>
      <c r="D16874" s="12" t="str">
        <f ca="1">IFERROR(__xludf.DUMMYFUNCTION("""COMPUTED_VALUE"""),"")</f>
        <v/>
      </c>
    </row>
    <row r="16875" spans="2:4" ht="13">
      <c r="B16875" s="12" t="str">
        <f ca="1">IFERROR(__xludf.DUMMYFUNCTION("""COMPUTED_VALUE"""),"")</f>
        <v/>
      </c>
      <c r="C16875" s="12" t="str">
        <f ca="1">IFERROR(__xludf.DUMMYFUNCTION("""COMPUTED_VALUE"""),"")</f>
        <v/>
      </c>
      <c r="D16875" s="12" t="str">
        <f ca="1">IFERROR(__xludf.DUMMYFUNCTION("""COMPUTED_VALUE"""),"")</f>
        <v/>
      </c>
    </row>
    <row r="16876" spans="2:4" ht="13">
      <c r="B16876" s="12" t="str">
        <f ca="1">IFERROR(__xludf.DUMMYFUNCTION("""COMPUTED_VALUE"""),"")</f>
        <v/>
      </c>
      <c r="C16876" s="12" t="str">
        <f ca="1">IFERROR(__xludf.DUMMYFUNCTION("""COMPUTED_VALUE"""),"")</f>
        <v/>
      </c>
      <c r="D16876" s="12" t="str">
        <f ca="1">IFERROR(__xludf.DUMMYFUNCTION("""COMPUTED_VALUE"""),"")</f>
        <v/>
      </c>
    </row>
    <row r="16877" spans="2:4" ht="13">
      <c r="B16877" s="12" t="str">
        <f ca="1">IFERROR(__xludf.DUMMYFUNCTION("""COMPUTED_VALUE"""),"")</f>
        <v/>
      </c>
      <c r="C16877" s="12" t="str">
        <f ca="1">IFERROR(__xludf.DUMMYFUNCTION("""COMPUTED_VALUE"""),"")</f>
        <v/>
      </c>
      <c r="D16877" s="12" t="str">
        <f ca="1">IFERROR(__xludf.DUMMYFUNCTION("""COMPUTED_VALUE"""),"")</f>
        <v/>
      </c>
    </row>
    <row r="16878" spans="2:4" ht="13">
      <c r="B16878" s="12" t="str">
        <f ca="1">IFERROR(__xludf.DUMMYFUNCTION("""COMPUTED_VALUE"""),"")</f>
        <v/>
      </c>
      <c r="C16878" s="12" t="str">
        <f ca="1">IFERROR(__xludf.DUMMYFUNCTION("""COMPUTED_VALUE"""),"")</f>
        <v/>
      </c>
      <c r="D16878" s="12" t="str">
        <f ca="1">IFERROR(__xludf.DUMMYFUNCTION("""COMPUTED_VALUE"""),"")</f>
        <v/>
      </c>
    </row>
    <row r="16879" spans="2:4" ht="13">
      <c r="B16879" s="12" t="str">
        <f ca="1">IFERROR(__xludf.DUMMYFUNCTION("""COMPUTED_VALUE"""),"")</f>
        <v/>
      </c>
      <c r="C16879" s="12" t="str">
        <f ca="1">IFERROR(__xludf.DUMMYFUNCTION("""COMPUTED_VALUE"""),"")</f>
        <v/>
      </c>
      <c r="D16879" s="12" t="str">
        <f ca="1">IFERROR(__xludf.DUMMYFUNCTION("""COMPUTED_VALUE"""),"")</f>
        <v/>
      </c>
    </row>
    <row r="16880" spans="2:4" ht="13">
      <c r="B16880" s="12" t="str">
        <f ca="1">IFERROR(__xludf.DUMMYFUNCTION("""COMPUTED_VALUE"""),"")</f>
        <v/>
      </c>
      <c r="C16880" s="12" t="str">
        <f ca="1">IFERROR(__xludf.DUMMYFUNCTION("""COMPUTED_VALUE"""),"")</f>
        <v/>
      </c>
      <c r="D16880" s="12" t="str">
        <f ca="1">IFERROR(__xludf.DUMMYFUNCTION("""COMPUTED_VALUE"""),"")</f>
        <v/>
      </c>
    </row>
    <row r="16881" spans="2:4" ht="13">
      <c r="B16881" s="12" t="str">
        <f ca="1">IFERROR(__xludf.DUMMYFUNCTION("""COMPUTED_VALUE"""),"")</f>
        <v/>
      </c>
      <c r="C16881" s="12" t="str">
        <f ca="1">IFERROR(__xludf.DUMMYFUNCTION("""COMPUTED_VALUE"""),"")</f>
        <v/>
      </c>
      <c r="D16881" s="12" t="str">
        <f ca="1">IFERROR(__xludf.DUMMYFUNCTION("""COMPUTED_VALUE"""),"")</f>
        <v/>
      </c>
    </row>
    <row r="16882" spans="2:4" ht="13">
      <c r="B16882" s="12" t="str">
        <f ca="1">IFERROR(__xludf.DUMMYFUNCTION("""COMPUTED_VALUE"""),"")</f>
        <v/>
      </c>
      <c r="C16882" s="12" t="str">
        <f ca="1">IFERROR(__xludf.DUMMYFUNCTION("""COMPUTED_VALUE"""),"")</f>
        <v/>
      </c>
      <c r="D16882" s="12" t="str">
        <f ca="1">IFERROR(__xludf.DUMMYFUNCTION("""COMPUTED_VALUE"""),"")</f>
        <v/>
      </c>
    </row>
    <row r="16883" spans="2:4" ht="13">
      <c r="B16883" s="12" t="str">
        <f ca="1">IFERROR(__xludf.DUMMYFUNCTION("""COMPUTED_VALUE"""),"")</f>
        <v/>
      </c>
      <c r="C16883" s="12" t="str">
        <f ca="1">IFERROR(__xludf.DUMMYFUNCTION("""COMPUTED_VALUE"""),"")</f>
        <v/>
      </c>
      <c r="D16883" s="12" t="str">
        <f ca="1">IFERROR(__xludf.DUMMYFUNCTION("""COMPUTED_VALUE"""),"")</f>
        <v/>
      </c>
    </row>
    <row r="16884" spans="2:4" ht="13">
      <c r="B16884" s="12" t="str">
        <f ca="1">IFERROR(__xludf.DUMMYFUNCTION("""COMPUTED_VALUE"""),"")</f>
        <v/>
      </c>
      <c r="C16884" s="12" t="str">
        <f ca="1">IFERROR(__xludf.DUMMYFUNCTION("""COMPUTED_VALUE"""),"")</f>
        <v/>
      </c>
      <c r="D16884" s="12" t="str">
        <f ca="1">IFERROR(__xludf.DUMMYFUNCTION("""COMPUTED_VALUE"""),"")</f>
        <v/>
      </c>
    </row>
    <row r="16885" spans="2:4" ht="13">
      <c r="B16885" s="12" t="str">
        <f ca="1">IFERROR(__xludf.DUMMYFUNCTION("""COMPUTED_VALUE"""),"")</f>
        <v/>
      </c>
      <c r="C16885" s="12" t="str">
        <f ca="1">IFERROR(__xludf.DUMMYFUNCTION("""COMPUTED_VALUE"""),"")</f>
        <v/>
      </c>
      <c r="D16885" s="12" t="str">
        <f ca="1">IFERROR(__xludf.DUMMYFUNCTION("""COMPUTED_VALUE"""),"")</f>
        <v/>
      </c>
    </row>
    <row r="16886" spans="2:4" ht="13">
      <c r="B16886" s="12" t="str">
        <f ca="1">IFERROR(__xludf.DUMMYFUNCTION("""COMPUTED_VALUE"""),"")</f>
        <v/>
      </c>
      <c r="C16886" s="12" t="str">
        <f ca="1">IFERROR(__xludf.DUMMYFUNCTION("""COMPUTED_VALUE"""),"")</f>
        <v/>
      </c>
      <c r="D16886" s="12" t="str">
        <f ca="1">IFERROR(__xludf.DUMMYFUNCTION("""COMPUTED_VALUE"""),"")</f>
        <v/>
      </c>
    </row>
    <row r="16887" spans="2:4" ht="13">
      <c r="B16887" s="12" t="str">
        <f ca="1">IFERROR(__xludf.DUMMYFUNCTION("""COMPUTED_VALUE"""),"")</f>
        <v/>
      </c>
      <c r="C16887" s="12" t="str">
        <f ca="1">IFERROR(__xludf.DUMMYFUNCTION("""COMPUTED_VALUE"""),"")</f>
        <v/>
      </c>
      <c r="D16887" s="12" t="str">
        <f ca="1">IFERROR(__xludf.DUMMYFUNCTION("""COMPUTED_VALUE"""),"")</f>
        <v/>
      </c>
    </row>
    <row r="16888" spans="2:4" ht="13">
      <c r="B16888" s="12" t="str">
        <f ca="1">IFERROR(__xludf.DUMMYFUNCTION("""COMPUTED_VALUE"""),"")</f>
        <v/>
      </c>
      <c r="C16888" s="12" t="str">
        <f ca="1">IFERROR(__xludf.DUMMYFUNCTION("""COMPUTED_VALUE"""),"")</f>
        <v/>
      </c>
      <c r="D16888" s="12" t="str">
        <f ca="1">IFERROR(__xludf.DUMMYFUNCTION("""COMPUTED_VALUE"""),"")</f>
        <v/>
      </c>
    </row>
    <row r="16889" spans="2:4" ht="13">
      <c r="B16889" s="12" t="str">
        <f ca="1">IFERROR(__xludf.DUMMYFUNCTION("""COMPUTED_VALUE"""),"")</f>
        <v/>
      </c>
      <c r="C16889" s="12" t="str">
        <f ca="1">IFERROR(__xludf.DUMMYFUNCTION("""COMPUTED_VALUE"""),"")</f>
        <v/>
      </c>
      <c r="D16889" s="12" t="str">
        <f ca="1">IFERROR(__xludf.DUMMYFUNCTION("""COMPUTED_VALUE"""),"")</f>
        <v/>
      </c>
    </row>
    <row r="16890" spans="2:4" ht="13">
      <c r="B16890" s="12" t="str">
        <f ca="1">IFERROR(__xludf.DUMMYFUNCTION("""COMPUTED_VALUE"""),"")</f>
        <v/>
      </c>
      <c r="C16890" s="12" t="str">
        <f ca="1">IFERROR(__xludf.DUMMYFUNCTION("""COMPUTED_VALUE"""),"")</f>
        <v/>
      </c>
      <c r="D16890" s="12" t="str">
        <f ca="1">IFERROR(__xludf.DUMMYFUNCTION("""COMPUTED_VALUE"""),"")</f>
        <v/>
      </c>
    </row>
    <row r="16891" spans="2:4" ht="13">
      <c r="B16891" s="12" t="str">
        <f ca="1">IFERROR(__xludf.DUMMYFUNCTION("""COMPUTED_VALUE"""),"")</f>
        <v/>
      </c>
      <c r="C16891" s="12" t="str">
        <f ca="1">IFERROR(__xludf.DUMMYFUNCTION("""COMPUTED_VALUE"""),"")</f>
        <v/>
      </c>
      <c r="D16891" s="12" t="str">
        <f ca="1">IFERROR(__xludf.DUMMYFUNCTION("""COMPUTED_VALUE"""),"")</f>
        <v/>
      </c>
    </row>
    <row r="16892" spans="2:4" ht="13">
      <c r="B16892" s="12" t="str">
        <f ca="1">IFERROR(__xludf.DUMMYFUNCTION("""COMPUTED_VALUE"""),"")</f>
        <v/>
      </c>
      <c r="C16892" s="12" t="str">
        <f ca="1">IFERROR(__xludf.DUMMYFUNCTION("""COMPUTED_VALUE"""),"")</f>
        <v/>
      </c>
      <c r="D16892" s="12" t="str">
        <f ca="1">IFERROR(__xludf.DUMMYFUNCTION("""COMPUTED_VALUE"""),"")</f>
        <v/>
      </c>
    </row>
    <row r="16893" spans="2:4" ht="13">
      <c r="B16893" s="12" t="str">
        <f ca="1">IFERROR(__xludf.DUMMYFUNCTION("""COMPUTED_VALUE"""),"")</f>
        <v/>
      </c>
      <c r="C16893" s="12" t="str">
        <f ca="1">IFERROR(__xludf.DUMMYFUNCTION("""COMPUTED_VALUE"""),"")</f>
        <v/>
      </c>
      <c r="D16893" s="12" t="str">
        <f ca="1">IFERROR(__xludf.DUMMYFUNCTION("""COMPUTED_VALUE"""),"")</f>
        <v/>
      </c>
    </row>
    <row r="16894" spans="2:4" ht="13">
      <c r="B16894" s="12" t="str">
        <f ca="1">IFERROR(__xludf.DUMMYFUNCTION("""COMPUTED_VALUE"""),"")</f>
        <v/>
      </c>
      <c r="C16894" s="12" t="str">
        <f ca="1">IFERROR(__xludf.DUMMYFUNCTION("""COMPUTED_VALUE"""),"")</f>
        <v/>
      </c>
      <c r="D16894" s="12" t="str">
        <f ca="1">IFERROR(__xludf.DUMMYFUNCTION("""COMPUTED_VALUE"""),"")</f>
        <v/>
      </c>
    </row>
    <row r="16895" spans="2:4" ht="13">
      <c r="B16895" s="12" t="str">
        <f ca="1">IFERROR(__xludf.DUMMYFUNCTION("""COMPUTED_VALUE"""),"")</f>
        <v/>
      </c>
      <c r="C16895" s="12" t="str">
        <f ca="1">IFERROR(__xludf.DUMMYFUNCTION("""COMPUTED_VALUE"""),"")</f>
        <v/>
      </c>
      <c r="D16895" s="12" t="str">
        <f ca="1">IFERROR(__xludf.DUMMYFUNCTION("""COMPUTED_VALUE"""),"")</f>
        <v/>
      </c>
    </row>
    <row r="16896" spans="2:4" ht="13">
      <c r="B16896" s="12" t="str">
        <f ca="1">IFERROR(__xludf.DUMMYFUNCTION("""COMPUTED_VALUE"""),"")</f>
        <v/>
      </c>
      <c r="C16896" s="12" t="str">
        <f ca="1">IFERROR(__xludf.DUMMYFUNCTION("""COMPUTED_VALUE"""),"")</f>
        <v/>
      </c>
      <c r="D16896" s="12" t="str">
        <f ca="1">IFERROR(__xludf.DUMMYFUNCTION("""COMPUTED_VALUE"""),"")</f>
        <v/>
      </c>
    </row>
    <row r="16897" spans="2:4" ht="13">
      <c r="B16897" s="12" t="str">
        <f ca="1">IFERROR(__xludf.DUMMYFUNCTION("""COMPUTED_VALUE"""),"")</f>
        <v/>
      </c>
      <c r="C16897" s="12" t="str">
        <f ca="1">IFERROR(__xludf.DUMMYFUNCTION("""COMPUTED_VALUE"""),"")</f>
        <v/>
      </c>
      <c r="D16897" s="12" t="str">
        <f ca="1">IFERROR(__xludf.DUMMYFUNCTION("""COMPUTED_VALUE"""),"")</f>
        <v/>
      </c>
    </row>
    <row r="16898" spans="2:4" ht="13">
      <c r="B16898" s="12" t="str">
        <f ca="1">IFERROR(__xludf.DUMMYFUNCTION("""COMPUTED_VALUE"""),"")</f>
        <v/>
      </c>
      <c r="C16898" s="12" t="str">
        <f ca="1">IFERROR(__xludf.DUMMYFUNCTION("""COMPUTED_VALUE"""),"")</f>
        <v/>
      </c>
      <c r="D16898" s="12" t="str">
        <f ca="1">IFERROR(__xludf.DUMMYFUNCTION("""COMPUTED_VALUE"""),"")</f>
        <v/>
      </c>
    </row>
    <row r="16899" spans="2:4" ht="13">
      <c r="B16899" s="12" t="str">
        <f ca="1">IFERROR(__xludf.DUMMYFUNCTION("""COMPUTED_VALUE"""),"")</f>
        <v/>
      </c>
      <c r="C16899" s="12" t="str">
        <f ca="1">IFERROR(__xludf.DUMMYFUNCTION("""COMPUTED_VALUE"""),"")</f>
        <v/>
      </c>
      <c r="D16899" s="12" t="str">
        <f ca="1">IFERROR(__xludf.DUMMYFUNCTION("""COMPUTED_VALUE"""),"")</f>
        <v/>
      </c>
    </row>
    <row r="16900" spans="2:4" ht="13">
      <c r="B16900" s="12" t="str">
        <f ca="1">IFERROR(__xludf.DUMMYFUNCTION("""COMPUTED_VALUE"""),"")</f>
        <v/>
      </c>
      <c r="C16900" s="12" t="str">
        <f ca="1">IFERROR(__xludf.DUMMYFUNCTION("""COMPUTED_VALUE"""),"")</f>
        <v/>
      </c>
      <c r="D16900" s="12" t="str">
        <f ca="1">IFERROR(__xludf.DUMMYFUNCTION("""COMPUTED_VALUE"""),"")</f>
        <v/>
      </c>
    </row>
    <row r="16901" spans="2:4" ht="13">
      <c r="B16901" s="12" t="str">
        <f ca="1">IFERROR(__xludf.DUMMYFUNCTION("""COMPUTED_VALUE"""),"")</f>
        <v/>
      </c>
      <c r="C16901" s="12" t="str">
        <f ca="1">IFERROR(__xludf.DUMMYFUNCTION("""COMPUTED_VALUE"""),"")</f>
        <v/>
      </c>
      <c r="D16901" s="12" t="str">
        <f ca="1">IFERROR(__xludf.DUMMYFUNCTION("""COMPUTED_VALUE"""),"")</f>
        <v/>
      </c>
    </row>
    <row r="16902" spans="2:4" ht="13">
      <c r="B16902" s="12" t="str">
        <f ca="1">IFERROR(__xludf.DUMMYFUNCTION("""COMPUTED_VALUE"""),"")</f>
        <v/>
      </c>
      <c r="C16902" s="12" t="str">
        <f ca="1">IFERROR(__xludf.DUMMYFUNCTION("""COMPUTED_VALUE"""),"")</f>
        <v/>
      </c>
      <c r="D16902" s="12" t="str">
        <f ca="1">IFERROR(__xludf.DUMMYFUNCTION("""COMPUTED_VALUE"""),"")</f>
        <v/>
      </c>
    </row>
    <row r="16903" spans="2:4" ht="13">
      <c r="B16903" s="12" t="str">
        <f ca="1">IFERROR(__xludf.DUMMYFUNCTION("""COMPUTED_VALUE"""),"")</f>
        <v/>
      </c>
      <c r="C16903" s="12" t="str">
        <f ca="1">IFERROR(__xludf.DUMMYFUNCTION("""COMPUTED_VALUE"""),"")</f>
        <v/>
      </c>
      <c r="D16903" s="12" t="str">
        <f ca="1">IFERROR(__xludf.DUMMYFUNCTION("""COMPUTED_VALUE"""),"")</f>
        <v/>
      </c>
    </row>
    <row r="16904" spans="2:4" ht="13">
      <c r="B16904" s="12" t="str">
        <f ca="1">IFERROR(__xludf.DUMMYFUNCTION("""COMPUTED_VALUE"""),"")</f>
        <v/>
      </c>
      <c r="C16904" s="12" t="str">
        <f ca="1">IFERROR(__xludf.DUMMYFUNCTION("""COMPUTED_VALUE"""),"")</f>
        <v/>
      </c>
      <c r="D16904" s="12" t="str">
        <f ca="1">IFERROR(__xludf.DUMMYFUNCTION("""COMPUTED_VALUE"""),"")</f>
        <v/>
      </c>
    </row>
    <row r="16905" spans="2:4" ht="13">
      <c r="B16905" s="12" t="str">
        <f ca="1">IFERROR(__xludf.DUMMYFUNCTION("""COMPUTED_VALUE"""),"")</f>
        <v/>
      </c>
      <c r="C16905" s="12" t="str">
        <f ca="1">IFERROR(__xludf.DUMMYFUNCTION("""COMPUTED_VALUE"""),"")</f>
        <v/>
      </c>
      <c r="D16905" s="12" t="str">
        <f ca="1">IFERROR(__xludf.DUMMYFUNCTION("""COMPUTED_VALUE"""),"")</f>
        <v/>
      </c>
    </row>
    <row r="16906" spans="2:4" ht="13">
      <c r="B16906" s="12" t="str">
        <f ca="1">IFERROR(__xludf.DUMMYFUNCTION("""COMPUTED_VALUE"""),"")</f>
        <v/>
      </c>
      <c r="C16906" s="12" t="str">
        <f ca="1">IFERROR(__xludf.DUMMYFUNCTION("""COMPUTED_VALUE"""),"")</f>
        <v/>
      </c>
      <c r="D16906" s="12" t="str">
        <f ca="1">IFERROR(__xludf.DUMMYFUNCTION("""COMPUTED_VALUE"""),"")</f>
        <v/>
      </c>
    </row>
    <row r="16907" spans="2:4" ht="13">
      <c r="B16907" s="12" t="str">
        <f ca="1">IFERROR(__xludf.DUMMYFUNCTION("""COMPUTED_VALUE"""),"")</f>
        <v/>
      </c>
      <c r="C16907" s="12" t="str">
        <f ca="1">IFERROR(__xludf.DUMMYFUNCTION("""COMPUTED_VALUE"""),"")</f>
        <v/>
      </c>
      <c r="D16907" s="12" t="str">
        <f ca="1">IFERROR(__xludf.DUMMYFUNCTION("""COMPUTED_VALUE"""),"")</f>
        <v/>
      </c>
    </row>
    <row r="16908" spans="2:4" ht="13">
      <c r="B16908" s="12" t="str">
        <f ca="1">IFERROR(__xludf.DUMMYFUNCTION("""COMPUTED_VALUE"""),"")</f>
        <v/>
      </c>
      <c r="C16908" s="12" t="str">
        <f ca="1">IFERROR(__xludf.DUMMYFUNCTION("""COMPUTED_VALUE"""),"")</f>
        <v/>
      </c>
      <c r="D16908" s="12" t="str">
        <f ca="1">IFERROR(__xludf.DUMMYFUNCTION("""COMPUTED_VALUE"""),"")</f>
        <v/>
      </c>
    </row>
    <row r="16909" spans="2:4" ht="13">
      <c r="B16909" s="12" t="str">
        <f ca="1">IFERROR(__xludf.DUMMYFUNCTION("""COMPUTED_VALUE"""),"")</f>
        <v/>
      </c>
      <c r="C16909" s="12" t="str">
        <f ca="1">IFERROR(__xludf.DUMMYFUNCTION("""COMPUTED_VALUE"""),"")</f>
        <v/>
      </c>
      <c r="D16909" s="12" t="str">
        <f ca="1">IFERROR(__xludf.DUMMYFUNCTION("""COMPUTED_VALUE"""),"")</f>
        <v/>
      </c>
    </row>
    <row r="16910" spans="2:4" ht="13">
      <c r="B16910" s="12" t="str">
        <f ca="1">IFERROR(__xludf.DUMMYFUNCTION("""COMPUTED_VALUE"""),"")</f>
        <v/>
      </c>
      <c r="C16910" s="12" t="str">
        <f ca="1">IFERROR(__xludf.DUMMYFUNCTION("""COMPUTED_VALUE"""),"")</f>
        <v/>
      </c>
      <c r="D16910" s="12" t="str">
        <f ca="1">IFERROR(__xludf.DUMMYFUNCTION("""COMPUTED_VALUE"""),"")</f>
        <v/>
      </c>
    </row>
    <row r="16911" spans="2:4" ht="13">
      <c r="B16911" s="12" t="str">
        <f ca="1">IFERROR(__xludf.DUMMYFUNCTION("""COMPUTED_VALUE"""),"")</f>
        <v/>
      </c>
      <c r="C16911" s="12" t="str">
        <f ca="1">IFERROR(__xludf.DUMMYFUNCTION("""COMPUTED_VALUE"""),"")</f>
        <v/>
      </c>
      <c r="D16911" s="12" t="str">
        <f ca="1">IFERROR(__xludf.DUMMYFUNCTION("""COMPUTED_VALUE"""),"")</f>
        <v/>
      </c>
    </row>
    <row r="16912" spans="2:4" ht="13">
      <c r="B16912" s="12" t="str">
        <f ca="1">IFERROR(__xludf.DUMMYFUNCTION("""COMPUTED_VALUE"""),"")</f>
        <v/>
      </c>
      <c r="C16912" s="12" t="str">
        <f ca="1">IFERROR(__xludf.DUMMYFUNCTION("""COMPUTED_VALUE"""),"")</f>
        <v/>
      </c>
      <c r="D16912" s="12" t="str">
        <f ca="1">IFERROR(__xludf.DUMMYFUNCTION("""COMPUTED_VALUE"""),"")</f>
        <v/>
      </c>
    </row>
    <row r="16913" spans="2:4" ht="13">
      <c r="B16913" s="12" t="str">
        <f ca="1">IFERROR(__xludf.DUMMYFUNCTION("""COMPUTED_VALUE"""),"")</f>
        <v/>
      </c>
      <c r="C16913" s="12" t="str">
        <f ca="1">IFERROR(__xludf.DUMMYFUNCTION("""COMPUTED_VALUE"""),"")</f>
        <v/>
      </c>
      <c r="D16913" s="12" t="str">
        <f ca="1">IFERROR(__xludf.DUMMYFUNCTION("""COMPUTED_VALUE"""),"")</f>
        <v/>
      </c>
    </row>
    <row r="16914" spans="2:4" ht="13">
      <c r="B16914" s="12" t="str">
        <f ca="1">IFERROR(__xludf.DUMMYFUNCTION("""COMPUTED_VALUE"""),"")</f>
        <v/>
      </c>
      <c r="C16914" s="12" t="str">
        <f ca="1">IFERROR(__xludf.DUMMYFUNCTION("""COMPUTED_VALUE"""),"")</f>
        <v/>
      </c>
      <c r="D16914" s="12" t="str">
        <f ca="1">IFERROR(__xludf.DUMMYFUNCTION("""COMPUTED_VALUE"""),"")</f>
        <v/>
      </c>
    </row>
    <row r="16915" spans="2:4" ht="13">
      <c r="B16915" s="12" t="str">
        <f ca="1">IFERROR(__xludf.DUMMYFUNCTION("""COMPUTED_VALUE"""),"")</f>
        <v/>
      </c>
      <c r="C16915" s="12" t="str">
        <f ca="1">IFERROR(__xludf.DUMMYFUNCTION("""COMPUTED_VALUE"""),"")</f>
        <v/>
      </c>
      <c r="D16915" s="12" t="str">
        <f ca="1">IFERROR(__xludf.DUMMYFUNCTION("""COMPUTED_VALUE"""),"")</f>
        <v/>
      </c>
    </row>
    <row r="16916" spans="2:4" ht="13">
      <c r="B16916" s="12" t="str">
        <f ca="1">IFERROR(__xludf.DUMMYFUNCTION("""COMPUTED_VALUE"""),"")</f>
        <v/>
      </c>
      <c r="C16916" s="12" t="str">
        <f ca="1">IFERROR(__xludf.DUMMYFUNCTION("""COMPUTED_VALUE"""),"")</f>
        <v/>
      </c>
      <c r="D16916" s="12" t="str">
        <f ca="1">IFERROR(__xludf.DUMMYFUNCTION("""COMPUTED_VALUE"""),"")</f>
        <v/>
      </c>
    </row>
    <row r="16917" spans="2:4" ht="13">
      <c r="B16917" s="12" t="str">
        <f ca="1">IFERROR(__xludf.DUMMYFUNCTION("""COMPUTED_VALUE"""),"")</f>
        <v/>
      </c>
      <c r="C16917" s="12" t="str">
        <f ca="1">IFERROR(__xludf.DUMMYFUNCTION("""COMPUTED_VALUE"""),"")</f>
        <v/>
      </c>
      <c r="D16917" s="12" t="str">
        <f ca="1">IFERROR(__xludf.DUMMYFUNCTION("""COMPUTED_VALUE"""),"")</f>
        <v/>
      </c>
    </row>
    <row r="16918" spans="2:4" ht="13">
      <c r="B16918" s="12" t="str">
        <f ca="1">IFERROR(__xludf.DUMMYFUNCTION("""COMPUTED_VALUE"""),"")</f>
        <v/>
      </c>
      <c r="C16918" s="12" t="str">
        <f ca="1">IFERROR(__xludf.DUMMYFUNCTION("""COMPUTED_VALUE"""),"")</f>
        <v/>
      </c>
      <c r="D16918" s="12" t="str">
        <f ca="1">IFERROR(__xludf.DUMMYFUNCTION("""COMPUTED_VALUE"""),"")</f>
        <v/>
      </c>
    </row>
    <row r="16919" spans="2:4" ht="13">
      <c r="B16919" s="12" t="str">
        <f ca="1">IFERROR(__xludf.DUMMYFUNCTION("""COMPUTED_VALUE"""),"")</f>
        <v/>
      </c>
      <c r="C16919" s="12" t="str">
        <f ca="1">IFERROR(__xludf.DUMMYFUNCTION("""COMPUTED_VALUE"""),"")</f>
        <v/>
      </c>
      <c r="D16919" s="12" t="str">
        <f ca="1">IFERROR(__xludf.DUMMYFUNCTION("""COMPUTED_VALUE"""),"")</f>
        <v/>
      </c>
    </row>
    <row r="16920" spans="2:4" ht="13">
      <c r="B16920" s="12" t="str">
        <f ca="1">IFERROR(__xludf.DUMMYFUNCTION("""COMPUTED_VALUE"""),"")</f>
        <v/>
      </c>
      <c r="C16920" s="12" t="str">
        <f ca="1">IFERROR(__xludf.DUMMYFUNCTION("""COMPUTED_VALUE"""),"")</f>
        <v/>
      </c>
      <c r="D16920" s="12" t="str">
        <f ca="1">IFERROR(__xludf.DUMMYFUNCTION("""COMPUTED_VALUE"""),"")</f>
        <v/>
      </c>
    </row>
    <row r="16921" spans="2:4" ht="13">
      <c r="B16921" s="12" t="str">
        <f ca="1">IFERROR(__xludf.DUMMYFUNCTION("""COMPUTED_VALUE"""),"")</f>
        <v/>
      </c>
      <c r="C16921" s="12" t="str">
        <f ca="1">IFERROR(__xludf.DUMMYFUNCTION("""COMPUTED_VALUE"""),"")</f>
        <v/>
      </c>
      <c r="D16921" s="12" t="str">
        <f ca="1">IFERROR(__xludf.DUMMYFUNCTION("""COMPUTED_VALUE"""),"")</f>
        <v/>
      </c>
    </row>
    <row r="16922" spans="2:4" ht="13">
      <c r="B16922" s="12" t="str">
        <f ca="1">IFERROR(__xludf.DUMMYFUNCTION("""COMPUTED_VALUE"""),"")</f>
        <v/>
      </c>
      <c r="C16922" s="12" t="str">
        <f ca="1">IFERROR(__xludf.DUMMYFUNCTION("""COMPUTED_VALUE"""),"")</f>
        <v/>
      </c>
      <c r="D16922" s="12" t="str">
        <f ca="1">IFERROR(__xludf.DUMMYFUNCTION("""COMPUTED_VALUE"""),"")</f>
        <v/>
      </c>
    </row>
    <row r="16923" spans="2:4" ht="13">
      <c r="B16923" s="12" t="str">
        <f ca="1">IFERROR(__xludf.DUMMYFUNCTION("""COMPUTED_VALUE"""),"")</f>
        <v/>
      </c>
      <c r="C16923" s="12" t="str">
        <f ca="1">IFERROR(__xludf.DUMMYFUNCTION("""COMPUTED_VALUE"""),"")</f>
        <v/>
      </c>
      <c r="D16923" s="12" t="str">
        <f ca="1">IFERROR(__xludf.DUMMYFUNCTION("""COMPUTED_VALUE"""),"")</f>
        <v/>
      </c>
    </row>
    <row r="16924" spans="2:4" ht="13">
      <c r="B16924" s="12" t="str">
        <f ca="1">IFERROR(__xludf.DUMMYFUNCTION("""COMPUTED_VALUE"""),"")</f>
        <v/>
      </c>
      <c r="C16924" s="12" t="str">
        <f ca="1">IFERROR(__xludf.DUMMYFUNCTION("""COMPUTED_VALUE"""),"")</f>
        <v/>
      </c>
      <c r="D16924" s="12" t="str">
        <f ca="1">IFERROR(__xludf.DUMMYFUNCTION("""COMPUTED_VALUE"""),"")</f>
        <v/>
      </c>
    </row>
    <row r="16925" spans="2:4" ht="13">
      <c r="B16925" s="12" t="str">
        <f ca="1">IFERROR(__xludf.DUMMYFUNCTION("""COMPUTED_VALUE"""),"")</f>
        <v/>
      </c>
      <c r="C16925" s="12" t="str">
        <f ca="1">IFERROR(__xludf.DUMMYFUNCTION("""COMPUTED_VALUE"""),"")</f>
        <v/>
      </c>
      <c r="D16925" s="12" t="str">
        <f ca="1">IFERROR(__xludf.DUMMYFUNCTION("""COMPUTED_VALUE"""),"")</f>
        <v/>
      </c>
    </row>
    <row r="16926" spans="2:4" ht="13">
      <c r="B16926" s="12" t="str">
        <f ca="1">IFERROR(__xludf.DUMMYFUNCTION("""COMPUTED_VALUE"""),"")</f>
        <v/>
      </c>
      <c r="C16926" s="12" t="str">
        <f ca="1">IFERROR(__xludf.DUMMYFUNCTION("""COMPUTED_VALUE"""),"")</f>
        <v/>
      </c>
      <c r="D16926" s="12" t="str">
        <f ca="1">IFERROR(__xludf.DUMMYFUNCTION("""COMPUTED_VALUE"""),"")</f>
        <v/>
      </c>
    </row>
    <row r="16927" spans="2:4" ht="13">
      <c r="B16927" s="12" t="str">
        <f ca="1">IFERROR(__xludf.DUMMYFUNCTION("""COMPUTED_VALUE"""),"")</f>
        <v/>
      </c>
      <c r="C16927" s="12" t="str">
        <f ca="1">IFERROR(__xludf.DUMMYFUNCTION("""COMPUTED_VALUE"""),"")</f>
        <v/>
      </c>
      <c r="D16927" s="12" t="str">
        <f ca="1">IFERROR(__xludf.DUMMYFUNCTION("""COMPUTED_VALUE"""),"")</f>
        <v/>
      </c>
    </row>
    <row r="16928" spans="2:4" ht="13">
      <c r="B16928" s="12" t="str">
        <f ca="1">IFERROR(__xludf.DUMMYFUNCTION("""COMPUTED_VALUE"""),"")</f>
        <v/>
      </c>
      <c r="C16928" s="12" t="str">
        <f ca="1">IFERROR(__xludf.DUMMYFUNCTION("""COMPUTED_VALUE"""),"")</f>
        <v/>
      </c>
      <c r="D16928" s="12" t="str">
        <f ca="1">IFERROR(__xludf.DUMMYFUNCTION("""COMPUTED_VALUE"""),"")</f>
        <v/>
      </c>
    </row>
    <row r="16929" spans="2:4" ht="13">
      <c r="B16929" s="12" t="str">
        <f ca="1">IFERROR(__xludf.DUMMYFUNCTION("""COMPUTED_VALUE"""),"")</f>
        <v/>
      </c>
      <c r="C16929" s="12" t="str">
        <f ca="1">IFERROR(__xludf.DUMMYFUNCTION("""COMPUTED_VALUE"""),"")</f>
        <v/>
      </c>
      <c r="D16929" s="12" t="str">
        <f ca="1">IFERROR(__xludf.DUMMYFUNCTION("""COMPUTED_VALUE"""),"")</f>
        <v/>
      </c>
    </row>
    <row r="16930" spans="2:4" ht="13">
      <c r="B16930" s="12" t="str">
        <f ca="1">IFERROR(__xludf.DUMMYFUNCTION("""COMPUTED_VALUE"""),"")</f>
        <v/>
      </c>
      <c r="C16930" s="12" t="str">
        <f ca="1">IFERROR(__xludf.DUMMYFUNCTION("""COMPUTED_VALUE"""),"")</f>
        <v/>
      </c>
      <c r="D16930" s="12" t="str">
        <f ca="1">IFERROR(__xludf.DUMMYFUNCTION("""COMPUTED_VALUE"""),"")</f>
        <v/>
      </c>
    </row>
    <row r="16931" spans="2:4" ht="13">
      <c r="B16931" s="12" t="str">
        <f ca="1">IFERROR(__xludf.DUMMYFUNCTION("""COMPUTED_VALUE"""),"")</f>
        <v/>
      </c>
      <c r="C16931" s="12" t="str">
        <f ca="1">IFERROR(__xludf.DUMMYFUNCTION("""COMPUTED_VALUE"""),"")</f>
        <v/>
      </c>
      <c r="D16931" s="12" t="str">
        <f ca="1">IFERROR(__xludf.DUMMYFUNCTION("""COMPUTED_VALUE"""),"")</f>
        <v/>
      </c>
    </row>
    <row r="16932" spans="2:4" ht="13">
      <c r="B16932" s="12" t="str">
        <f ca="1">IFERROR(__xludf.DUMMYFUNCTION("""COMPUTED_VALUE"""),"")</f>
        <v/>
      </c>
      <c r="C16932" s="12" t="str">
        <f ca="1">IFERROR(__xludf.DUMMYFUNCTION("""COMPUTED_VALUE"""),"")</f>
        <v/>
      </c>
      <c r="D16932" s="12" t="str">
        <f ca="1">IFERROR(__xludf.DUMMYFUNCTION("""COMPUTED_VALUE"""),"")</f>
        <v/>
      </c>
    </row>
    <row r="16933" spans="2:4" ht="13">
      <c r="B16933" s="12" t="str">
        <f ca="1">IFERROR(__xludf.DUMMYFUNCTION("""COMPUTED_VALUE"""),"")</f>
        <v/>
      </c>
      <c r="C16933" s="12" t="str">
        <f ca="1">IFERROR(__xludf.DUMMYFUNCTION("""COMPUTED_VALUE"""),"")</f>
        <v/>
      </c>
      <c r="D16933" s="12" t="str">
        <f ca="1">IFERROR(__xludf.DUMMYFUNCTION("""COMPUTED_VALUE"""),"")</f>
        <v/>
      </c>
    </row>
    <row r="16934" spans="2:4" ht="13">
      <c r="B16934" s="12" t="str">
        <f ca="1">IFERROR(__xludf.DUMMYFUNCTION("""COMPUTED_VALUE"""),"")</f>
        <v/>
      </c>
      <c r="C16934" s="12" t="str">
        <f ca="1">IFERROR(__xludf.DUMMYFUNCTION("""COMPUTED_VALUE"""),"")</f>
        <v/>
      </c>
      <c r="D16934" s="12" t="str">
        <f ca="1">IFERROR(__xludf.DUMMYFUNCTION("""COMPUTED_VALUE"""),"")</f>
        <v/>
      </c>
    </row>
    <row r="16935" spans="2:4" ht="13">
      <c r="B16935" s="12" t="str">
        <f ca="1">IFERROR(__xludf.DUMMYFUNCTION("""COMPUTED_VALUE"""),"")</f>
        <v/>
      </c>
      <c r="C16935" s="12" t="str">
        <f ca="1">IFERROR(__xludf.DUMMYFUNCTION("""COMPUTED_VALUE"""),"")</f>
        <v/>
      </c>
      <c r="D16935" s="12" t="str">
        <f ca="1">IFERROR(__xludf.DUMMYFUNCTION("""COMPUTED_VALUE"""),"")</f>
        <v/>
      </c>
    </row>
    <row r="16936" spans="2:4" ht="13">
      <c r="B16936" s="12" t="str">
        <f ca="1">IFERROR(__xludf.DUMMYFUNCTION("""COMPUTED_VALUE"""),"")</f>
        <v/>
      </c>
      <c r="C16936" s="12" t="str">
        <f ca="1">IFERROR(__xludf.DUMMYFUNCTION("""COMPUTED_VALUE"""),"")</f>
        <v/>
      </c>
      <c r="D16936" s="12" t="str">
        <f ca="1">IFERROR(__xludf.DUMMYFUNCTION("""COMPUTED_VALUE"""),"")</f>
        <v/>
      </c>
    </row>
    <row r="16937" spans="2:4" ht="13">
      <c r="B16937" s="12" t="str">
        <f ca="1">IFERROR(__xludf.DUMMYFUNCTION("""COMPUTED_VALUE"""),"")</f>
        <v/>
      </c>
      <c r="C16937" s="12" t="str">
        <f ca="1">IFERROR(__xludf.DUMMYFUNCTION("""COMPUTED_VALUE"""),"")</f>
        <v/>
      </c>
      <c r="D16937" s="12" t="str">
        <f ca="1">IFERROR(__xludf.DUMMYFUNCTION("""COMPUTED_VALUE"""),"")</f>
        <v/>
      </c>
    </row>
    <row r="16938" spans="2:4" ht="13">
      <c r="B16938" s="12" t="str">
        <f ca="1">IFERROR(__xludf.DUMMYFUNCTION("""COMPUTED_VALUE"""),"")</f>
        <v/>
      </c>
      <c r="C16938" s="12" t="str">
        <f ca="1">IFERROR(__xludf.DUMMYFUNCTION("""COMPUTED_VALUE"""),"")</f>
        <v/>
      </c>
      <c r="D16938" s="12" t="str">
        <f ca="1">IFERROR(__xludf.DUMMYFUNCTION("""COMPUTED_VALUE"""),"")</f>
        <v/>
      </c>
    </row>
    <row r="16939" spans="2:4" ht="13">
      <c r="B16939" s="12" t="str">
        <f ca="1">IFERROR(__xludf.DUMMYFUNCTION("""COMPUTED_VALUE"""),"")</f>
        <v/>
      </c>
      <c r="C16939" s="12" t="str">
        <f ca="1">IFERROR(__xludf.DUMMYFUNCTION("""COMPUTED_VALUE"""),"")</f>
        <v/>
      </c>
      <c r="D16939" s="12" t="str">
        <f ca="1">IFERROR(__xludf.DUMMYFUNCTION("""COMPUTED_VALUE"""),"")</f>
        <v/>
      </c>
    </row>
    <row r="16940" spans="2:4" ht="13">
      <c r="B16940" s="12" t="str">
        <f ca="1">IFERROR(__xludf.DUMMYFUNCTION("""COMPUTED_VALUE"""),"")</f>
        <v/>
      </c>
      <c r="C16940" s="12" t="str">
        <f ca="1">IFERROR(__xludf.DUMMYFUNCTION("""COMPUTED_VALUE"""),"")</f>
        <v/>
      </c>
      <c r="D16940" s="12" t="str">
        <f ca="1">IFERROR(__xludf.DUMMYFUNCTION("""COMPUTED_VALUE"""),"")</f>
        <v/>
      </c>
    </row>
    <row r="16941" spans="2:4" ht="13">
      <c r="B16941" s="12" t="str">
        <f ca="1">IFERROR(__xludf.DUMMYFUNCTION("""COMPUTED_VALUE"""),"")</f>
        <v/>
      </c>
      <c r="C16941" s="12" t="str">
        <f ca="1">IFERROR(__xludf.DUMMYFUNCTION("""COMPUTED_VALUE"""),"")</f>
        <v/>
      </c>
      <c r="D16941" s="12" t="str">
        <f ca="1">IFERROR(__xludf.DUMMYFUNCTION("""COMPUTED_VALUE"""),"")</f>
        <v/>
      </c>
    </row>
    <row r="16942" spans="2:4" ht="13">
      <c r="B16942" s="12" t="str">
        <f ca="1">IFERROR(__xludf.DUMMYFUNCTION("""COMPUTED_VALUE"""),"")</f>
        <v/>
      </c>
      <c r="C16942" s="12" t="str">
        <f ca="1">IFERROR(__xludf.DUMMYFUNCTION("""COMPUTED_VALUE"""),"")</f>
        <v/>
      </c>
      <c r="D16942" s="12" t="str">
        <f ca="1">IFERROR(__xludf.DUMMYFUNCTION("""COMPUTED_VALUE"""),"")</f>
        <v/>
      </c>
    </row>
    <row r="16943" spans="2:4" ht="13">
      <c r="B16943" s="12" t="str">
        <f ca="1">IFERROR(__xludf.DUMMYFUNCTION("""COMPUTED_VALUE"""),"")</f>
        <v/>
      </c>
      <c r="C16943" s="12" t="str">
        <f ca="1">IFERROR(__xludf.DUMMYFUNCTION("""COMPUTED_VALUE"""),"")</f>
        <v/>
      </c>
      <c r="D16943" s="12" t="str">
        <f ca="1">IFERROR(__xludf.DUMMYFUNCTION("""COMPUTED_VALUE"""),"")</f>
        <v/>
      </c>
    </row>
    <row r="16944" spans="2:4" ht="13">
      <c r="B16944" s="12" t="str">
        <f ca="1">IFERROR(__xludf.DUMMYFUNCTION("""COMPUTED_VALUE"""),"")</f>
        <v/>
      </c>
      <c r="C16944" s="12" t="str">
        <f ca="1">IFERROR(__xludf.DUMMYFUNCTION("""COMPUTED_VALUE"""),"")</f>
        <v/>
      </c>
      <c r="D16944" s="12" t="str">
        <f ca="1">IFERROR(__xludf.DUMMYFUNCTION("""COMPUTED_VALUE"""),"")</f>
        <v/>
      </c>
    </row>
    <row r="16945" spans="2:4" ht="13">
      <c r="B16945" s="12" t="str">
        <f ca="1">IFERROR(__xludf.DUMMYFUNCTION("""COMPUTED_VALUE"""),"")</f>
        <v/>
      </c>
      <c r="C16945" s="12" t="str">
        <f ca="1">IFERROR(__xludf.DUMMYFUNCTION("""COMPUTED_VALUE"""),"")</f>
        <v/>
      </c>
      <c r="D16945" s="12" t="str">
        <f ca="1">IFERROR(__xludf.DUMMYFUNCTION("""COMPUTED_VALUE"""),"")</f>
        <v/>
      </c>
    </row>
    <row r="16946" spans="2:4" ht="13">
      <c r="B16946" s="12" t="str">
        <f ca="1">IFERROR(__xludf.DUMMYFUNCTION("""COMPUTED_VALUE"""),"")</f>
        <v/>
      </c>
      <c r="C16946" s="12" t="str">
        <f ca="1">IFERROR(__xludf.DUMMYFUNCTION("""COMPUTED_VALUE"""),"")</f>
        <v/>
      </c>
      <c r="D16946" s="12" t="str">
        <f ca="1">IFERROR(__xludf.DUMMYFUNCTION("""COMPUTED_VALUE"""),"")</f>
        <v/>
      </c>
    </row>
    <row r="16947" spans="2:4" ht="13">
      <c r="B16947" s="12" t="str">
        <f ca="1">IFERROR(__xludf.DUMMYFUNCTION("""COMPUTED_VALUE"""),"")</f>
        <v/>
      </c>
      <c r="C16947" s="12" t="str">
        <f ca="1">IFERROR(__xludf.DUMMYFUNCTION("""COMPUTED_VALUE"""),"")</f>
        <v/>
      </c>
      <c r="D16947" s="12" t="str">
        <f ca="1">IFERROR(__xludf.DUMMYFUNCTION("""COMPUTED_VALUE"""),"")</f>
        <v/>
      </c>
    </row>
    <row r="16948" spans="2:4" ht="13">
      <c r="B16948" s="12" t="str">
        <f ca="1">IFERROR(__xludf.DUMMYFUNCTION("""COMPUTED_VALUE"""),"")</f>
        <v/>
      </c>
      <c r="C16948" s="12" t="str">
        <f ca="1">IFERROR(__xludf.DUMMYFUNCTION("""COMPUTED_VALUE"""),"")</f>
        <v/>
      </c>
      <c r="D16948" s="12" t="str">
        <f ca="1">IFERROR(__xludf.DUMMYFUNCTION("""COMPUTED_VALUE"""),"")</f>
        <v/>
      </c>
    </row>
    <row r="16949" spans="2:4" ht="13">
      <c r="B16949" s="12" t="str">
        <f ca="1">IFERROR(__xludf.DUMMYFUNCTION("""COMPUTED_VALUE"""),"")</f>
        <v/>
      </c>
      <c r="C16949" s="12" t="str">
        <f ca="1">IFERROR(__xludf.DUMMYFUNCTION("""COMPUTED_VALUE"""),"")</f>
        <v/>
      </c>
      <c r="D16949" s="12" t="str">
        <f ca="1">IFERROR(__xludf.DUMMYFUNCTION("""COMPUTED_VALUE"""),"")</f>
        <v/>
      </c>
    </row>
    <row r="16950" spans="2:4" ht="13">
      <c r="B16950" s="12" t="str">
        <f ca="1">IFERROR(__xludf.DUMMYFUNCTION("""COMPUTED_VALUE"""),"")</f>
        <v/>
      </c>
      <c r="C16950" s="12" t="str">
        <f ca="1">IFERROR(__xludf.DUMMYFUNCTION("""COMPUTED_VALUE"""),"")</f>
        <v/>
      </c>
      <c r="D16950" s="12" t="str">
        <f ca="1">IFERROR(__xludf.DUMMYFUNCTION("""COMPUTED_VALUE"""),"")</f>
        <v/>
      </c>
    </row>
    <row r="16951" spans="2:4" ht="13">
      <c r="B16951" s="12" t="str">
        <f ca="1">IFERROR(__xludf.DUMMYFUNCTION("""COMPUTED_VALUE"""),"")</f>
        <v/>
      </c>
      <c r="C16951" s="12" t="str">
        <f ca="1">IFERROR(__xludf.DUMMYFUNCTION("""COMPUTED_VALUE"""),"")</f>
        <v/>
      </c>
      <c r="D16951" s="12" t="str">
        <f ca="1">IFERROR(__xludf.DUMMYFUNCTION("""COMPUTED_VALUE"""),"")</f>
        <v/>
      </c>
    </row>
    <row r="16952" spans="2:4" ht="13">
      <c r="B16952" s="12" t="str">
        <f ca="1">IFERROR(__xludf.DUMMYFUNCTION("""COMPUTED_VALUE"""),"")</f>
        <v/>
      </c>
      <c r="C16952" s="12" t="str">
        <f ca="1">IFERROR(__xludf.DUMMYFUNCTION("""COMPUTED_VALUE"""),"")</f>
        <v/>
      </c>
      <c r="D16952" s="12" t="str">
        <f ca="1">IFERROR(__xludf.DUMMYFUNCTION("""COMPUTED_VALUE"""),"")</f>
        <v/>
      </c>
    </row>
    <row r="16953" spans="2:4" ht="13">
      <c r="B16953" s="12" t="str">
        <f ca="1">IFERROR(__xludf.DUMMYFUNCTION("""COMPUTED_VALUE"""),"")</f>
        <v/>
      </c>
      <c r="C16953" s="12" t="str">
        <f ca="1">IFERROR(__xludf.DUMMYFUNCTION("""COMPUTED_VALUE"""),"")</f>
        <v/>
      </c>
      <c r="D16953" s="12" t="str">
        <f ca="1">IFERROR(__xludf.DUMMYFUNCTION("""COMPUTED_VALUE"""),"")</f>
        <v/>
      </c>
    </row>
    <row r="16954" spans="2:4" ht="13">
      <c r="B16954" s="12" t="str">
        <f ca="1">IFERROR(__xludf.DUMMYFUNCTION("""COMPUTED_VALUE"""),"")</f>
        <v/>
      </c>
      <c r="C16954" s="12" t="str">
        <f ca="1">IFERROR(__xludf.DUMMYFUNCTION("""COMPUTED_VALUE"""),"")</f>
        <v/>
      </c>
      <c r="D16954" s="12" t="str">
        <f ca="1">IFERROR(__xludf.DUMMYFUNCTION("""COMPUTED_VALUE"""),"")</f>
        <v/>
      </c>
    </row>
    <row r="16955" spans="2:4" ht="13">
      <c r="B16955" s="12" t="str">
        <f ca="1">IFERROR(__xludf.DUMMYFUNCTION("""COMPUTED_VALUE"""),"")</f>
        <v/>
      </c>
      <c r="C16955" s="12" t="str">
        <f ca="1">IFERROR(__xludf.DUMMYFUNCTION("""COMPUTED_VALUE"""),"")</f>
        <v/>
      </c>
      <c r="D16955" s="12" t="str">
        <f ca="1">IFERROR(__xludf.DUMMYFUNCTION("""COMPUTED_VALUE"""),"")</f>
        <v/>
      </c>
    </row>
    <row r="16956" spans="2:4" ht="13">
      <c r="B16956" s="12" t="str">
        <f ca="1">IFERROR(__xludf.DUMMYFUNCTION("""COMPUTED_VALUE"""),"")</f>
        <v/>
      </c>
      <c r="C16956" s="12" t="str">
        <f ca="1">IFERROR(__xludf.DUMMYFUNCTION("""COMPUTED_VALUE"""),"")</f>
        <v/>
      </c>
      <c r="D16956" s="12" t="str">
        <f ca="1">IFERROR(__xludf.DUMMYFUNCTION("""COMPUTED_VALUE"""),"")</f>
        <v/>
      </c>
    </row>
    <row r="16957" spans="2:4" ht="13">
      <c r="B16957" s="12" t="str">
        <f ca="1">IFERROR(__xludf.DUMMYFUNCTION("""COMPUTED_VALUE"""),"")</f>
        <v/>
      </c>
      <c r="C16957" s="12" t="str">
        <f ca="1">IFERROR(__xludf.DUMMYFUNCTION("""COMPUTED_VALUE"""),"")</f>
        <v/>
      </c>
      <c r="D16957" s="12" t="str">
        <f ca="1">IFERROR(__xludf.DUMMYFUNCTION("""COMPUTED_VALUE"""),"")</f>
        <v/>
      </c>
    </row>
    <row r="16958" spans="2:4" ht="13">
      <c r="B16958" s="12" t="str">
        <f ca="1">IFERROR(__xludf.DUMMYFUNCTION("""COMPUTED_VALUE"""),"")</f>
        <v/>
      </c>
      <c r="C16958" s="12" t="str">
        <f ca="1">IFERROR(__xludf.DUMMYFUNCTION("""COMPUTED_VALUE"""),"")</f>
        <v/>
      </c>
      <c r="D16958" s="12" t="str">
        <f ca="1">IFERROR(__xludf.DUMMYFUNCTION("""COMPUTED_VALUE"""),"")</f>
        <v/>
      </c>
    </row>
    <row r="16959" spans="2:4" ht="13">
      <c r="B16959" s="12" t="str">
        <f ca="1">IFERROR(__xludf.DUMMYFUNCTION("""COMPUTED_VALUE"""),"")</f>
        <v/>
      </c>
      <c r="C16959" s="12" t="str">
        <f ca="1">IFERROR(__xludf.DUMMYFUNCTION("""COMPUTED_VALUE"""),"")</f>
        <v/>
      </c>
      <c r="D16959" s="12" t="str">
        <f ca="1">IFERROR(__xludf.DUMMYFUNCTION("""COMPUTED_VALUE"""),"")</f>
        <v/>
      </c>
    </row>
    <row r="16960" spans="2:4" ht="13">
      <c r="B16960" s="12" t="str">
        <f ca="1">IFERROR(__xludf.DUMMYFUNCTION("""COMPUTED_VALUE"""),"")</f>
        <v/>
      </c>
      <c r="C16960" s="12" t="str">
        <f ca="1">IFERROR(__xludf.DUMMYFUNCTION("""COMPUTED_VALUE"""),"")</f>
        <v/>
      </c>
      <c r="D16960" s="12" t="str">
        <f ca="1">IFERROR(__xludf.DUMMYFUNCTION("""COMPUTED_VALUE"""),"")</f>
        <v/>
      </c>
    </row>
    <row r="16961" spans="2:4" ht="13">
      <c r="B16961" s="12" t="str">
        <f ca="1">IFERROR(__xludf.DUMMYFUNCTION("""COMPUTED_VALUE"""),"")</f>
        <v/>
      </c>
      <c r="C16961" s="12" t="str">
        <f ca="1">IFERROR(__xludf.DUMMYFUNCTION("""COMPUTED_VALUE"""),"")</f>
        <v/>
      </c>
      <c r="D16961" s="12" t="str">
        <f ca="1">IFERROR(__xludf.DUMMYFUNCTION("""COMPUTED_VALUE"""),"")</f>
        <v/>
      </c>
    </row>
    <row r="16962" spans="2:4" ht="13">
      <c r="B16962" s="12" t="str">
        <f ca="1">IFERROR(__xludf.DUMMYFUNCTION("""COMPUTED_VALUE"""),"")</f>
        <v/>
      </c>
      <c r="C16962" s="12" t="str">
        <f ca="1">IFERROR(__xludf.DUMMYFUNCTION("""COMPUTED_VALUE"""),"")</f>
        <v/>
      </c>
      <c r="D16962" s="12" t="str">
        <f ca="1">IFERROR(__xludf.DUMMYFUNCTION("""COMPUTED_VALUE"""),"")</f>
        <v/>
      </c>
    </row>
    <row r="16963" spans="2:4" ht="13">
      <c r="B16963" s="12" t="str">
        <f ca="1">IFERROR(__xludf.DUMMYFUNCTION("""COMPUTED_VALUE"""),"")</f>
        <v/>
      </c>
      <c r="C16963" s="12" t="str">
        <f ca="1">IFERROR(__xludf.DUMMYFUNCTION("""COMPUTED_VALUE"""),"")</f>
        <v/>
      </c>
      <c r="D16963" s="12" t="str">
        <f ca="1">IFERROR(__xludf.DUMMYFUNCTION("""COMPUTED_VALUE"""),"")</f>
        <v/>
      </c>
    </row>
    <row r="16964" spans="2:4" ht="13">
      <c r="B16964" s="12" t="str">
        <f ca="1">IFERROR(__xludf.DUMMYFUNCTION("""COMPUTED_VALUE"""),"")</f>
        <v/>
      </c>
      <c r="C16964" s="12" t="str">
        <f ca="1">IFERROR(__xludf.DUMMYFUNCTION("""COMPUTED_VALUE"""),"")</f>
        <v/>
      </c>
      <c r="D16964" s="12" t="str">
        <f ca="1">IFERROR(__xludf.DUMMYFUNCTION("""COMPUTED_VALUE"""),"")</f>
        <v/>
      </c>
    </row>
    <row r="16965" spans="2:4" ht="13">
      <c r="B16965" s="12" t="str">
        <f ca="1">IFERROR(__xludf.DUMMYFUNCTION("""COMPUTED_VALUE"""),"")</f>
        <v/>
      </c>
      <c r="C16965" s="12" t="str">
        <f ca="1">IFERROR(__xludf.DUMMYFUNCTION("""COMPUTED_VALUE"""),"")</f>
        <v/>
      </c>
      <c r="D16965" s="12" t="str">
        <f ca="1">IFERROR(__xludf.DUMMYFUNCTION("""COMPUTED_VALUE"""),"")</f>
        <v/>
      </c>
    </row>
    <row r="16966" spans="2:4" ht="13">
      <c r="B16966" s="12" t="str">
        <f ca="1">IFERROR(__xludf.DUMMYFUNCTION("""COMPUTED_VALUE"""),"")</f>
        <v/>
      </c>
      <c r="C16966" s="12" t="str">
        <f ca="1">IFERROR(__xludf.DUMMYFUNCTION("""COMPUTED_VALUE"""),"")</f>
        <v/>
      </c>
      <c r="D16966" s="12" t="str">
        <f ca="1">IFERROR(__xludf.DUMMYFUNCTION("""COMPUTED_VALUE"""),"")</f>
        <v/>
      </c>
    </row>
    <row r="16967" spans="2:4" ht="13">
      <c r="B16967" s="12" t="str">
        <f ca="1">IFERROR(__xludf.DUMMYFUNCTION("""COMPUTED_VALUE"""),"")</f>
        <v/>
      </c>
      <c r="C16967" s="12" t="str">
        <f ca="1">IFERROR(__xludf.DUMMYFUNCTION("""COMPUTED_VALUE"""),"")</f>
        <v/>
      </c>
      <c r="D16967" s="12" t="str">
        <f ca="1">IFERROR(__xludf.DUMMYFUNCTION("""COMPUTED_VALUE"""),"")</f>
        <v/>
      </c>
    </row>
    <row r="16968" spans="2:4" ht="13">
      <c r="B16968" s="12" t="str">
        <f ca="1">IFERROR(__xludf.DUMMYFUNCTION("""COMPUTED_VALUE"""),"")</f>
        <v/>
      </c>
      <c r="C16968" s="12" t="str">
        <f ca="1">IFERROR(__xludf.DUMMYFUNCTION("""COMPUTED_VALUE"""),"")</f>
        <v/>
      </c>
      <c r="D16968" s="12" t="str">
        <f ca="1">IFERROR(__xludf.DUMMYFUNCTION("""COMPUTED_VALUE"""),"")</f>
        <v/>
      </c>
    </row>
    <row r="16969" spans="2:4" ht="13">
      <c r="B16969" s="12" t="str">
        <f ca="1">IFERROR(__xludf.DUMMYFUNCTION("""COMPUTED_VALUE"""),"")</f>
        <v/>
      </c>
      <c r="C16969" s="12" t="str">
        <f ca="1">IFERROR(__xludf.DUMMYFUNCTION("""COMPUTED_VALUE"""),"")</f>
        <v/>
      </c>
      <c r="D16969" s="12" t="str">
        <f ca="1">IFERROR(__xludf.DUMMYFUNCTION("""COMPUTED_VALUE"""),"")</f>
        <v/>
      </c>
    </row>
    <row r="16970" spans="2:4" ht="13">
      <c r="B16970" s="12" t="str">
        <f ca="1">IFERROR(__xludf.DUMMYFUNCTION("""COMPUTED_VALUE"""),"")</f>
        <v/>
      </c>
      <c r="C16970" s="12" t="str">
        <f ca="1">IFERROR(__xludf.DUMMYFUNCTION("""COMPUTED_VALUE"""),"")</f>
        <v/>
      </c>
      <c r="D16970" s="12" t="str">
        <f ca="1">IFERROR(__xludf.DUMMYFUNCTION("""COMPUTED_VALUE"""),"")</f>
        <v/>
      </c>
    </row>
    <row r="16971" spans="2:4" ht="13">
      <c r="B16971" s="12" t="str">
        <f ca="1">IFERROR(__xludf.DUMMYFUNCTION("""COMPUTED_VALUE"""),"")</f>
        <v/>
      </c>
      <c r="C16971" s="12" t="str">
        <f ca="1">IFERROR(__xludf.DUMMYFUNCTION("""COMPUTED_VALUE"""),"")</f>
        <v/>
      </c>
      <c r="D16971" s="12" t="str">
        <f ca="1">IFERROR(__xludf.DUMMYFUNCTION("""COMPUTED_VALUE"""),"")</f>
        <v/>
      </c>
    </row>
    <row r="16972" spans="2:4" ht="13">
      <c r="B16972" s="12" t="str">
        <f ca="1">IFERROR(__xludf.DUMMYFUNCTION("""COMPUTED_VALUE"""),"")</f>
        <v/>
      </c>
      <c r="C16972" s="12" t="str">
        <f ca="1">IFERROR(__xludf.DUMMYFUNCTION("""COMPUTED_VALUE"""),"")</f>
        <v/>
      </c>
      <c r="D16972" s="12" t="str">
        <f ca="1">IFERROR(__xludf.DUMMYFUNCTION("""COMPUTED_VALUE"""),"")</f>
        <v/>
      </c>
    </row>
    <row r="16973" spans="2:4" ht="13">
      <c r="B16973" s="12" t="str">
        <f ca="1">IFERROR(__xludf.DUMMYFUNCTION("""COMPUTED_VALUE"""),"")</f>
        <v/>
      </c>
      <c r="C16973" s="12" t="str">
        <f ca="1">IFERROR(__xludf.DUMMYFUNCTION("""COMPUTED_VALUE"""),"")</f>
        <v/>
      </c>
      <c r="D16973" s="12" t="str">
        <f ca="1">IFERROR(__xludf.DUMMYFUNCTION("""COMPUTED_VALUE"""),"")</f>
        <v/>
      </c>
    </row>
    <row r="16974" spans="2:4" ht="13">
      <c r="B16974" s="12" t="str">
        <f ca="1">IFERROR(__xludf.DUMMYFUNCTION("""COMPUTED_VALUE"""),"")</f>
        <v/>
      </c>
      <c r="C16974" s="12" t="str">
        <f ca="1">IFERROR(__xludf.DUMMYFUNCTION("""COMPUTED_VALUE"""),"")</f>
        <v/>
      </c>
      <c r="D16974" s="12" t="str">
        <f ca="1">IFERROR(__xludf.DUMMYFUNCTION("""COMPUTED_VALUE"""),"")</f>
        <v/>
      </c>
    </row>
    <row r="16975" spans="2:4" ht="13">
      <c r="B16975" s="12" t="str">
        <f ca="1">IFERROR(__xludf.DUMMYFUNCTION("""COMPUTED_VALUE"""),"")</f>
        <v/>
      </c>
      <c r="C16975" s="12" t="str">
        <f ca="1">IFERROR(__xludf.DUMMYFUNCTION("""COMPUTED_VALUE"""),"")</f>
        <v/>
      </c>
      <c r="D16975" s="12" t="str">
        <f ca="1">IFERROR(__xludf.DUMMYFUNCTION("""COMPUTED_VALUE"""),"")</f>
        <v/>
      </c>
    </row>
    <row r="16976" spans="2:4" ht="13">
      <c r="B16976" s="12" t="str">
        <f ca="1">IFERROR(__xludf.DUMMYFUNCTION("""COMPUTED_VALUE"""),"")</f>
        <v/>
      </c>
      <c r="C16976" s="12" t="str">
        <f ca="1">IFERROR(__xludf.DUMMYFUNCTION("""COMPUTED_VALUE"""),"")</f>
        <v/>
      </c>
      <c r="D16976" s="12" t="str">
        <f ca="1">IFERROR(__xludf.DUMMYFUNCTION("""COMPUTED_VALUE"""),"")</f>
        <v/>
      </c>
    </row>
    <row r="16977" spans="2:4" ht="13">
      <c r="B16977" s="12" t="str">
        <f ca="1">IFERROR(__xludf.DUMMYFUNCTION("""COMPUTED_VALUE"""),"")</f>
        <v/>
      </c>
      <c r="C16977" s="12" t="str">
        <f ca="1">IFERROR(__xludf.DUMMYFUNCTION("""COMPUTED_VALUE"""),"")</f>
        <v/>
      </c>
      <c r="D16977" s="12" t="str">
        <f ca="1">IFERROR(__xludf.DUMMYFUNCTION("""COMPUTED_VALUE"""),"")</f>
        <v/>
      </c>
    </row>
    <row r="16978" spans="2:4" ht="13">
      <c r="B16978" s="12" t="str">
        <f ca="1">IFERROR(__xludf.DUMMYFUNCTION("""COMPUTED_VALUE"""),"")</f>
        <v/>
      </c>
      <c r="C16978" s="12" t="str">
        <f ca="1">IFERROR(__xludf.DUMMYFUNCTION("""COMPUTED_VALUE"""),"")</f>
        <v/>
      </c>
      <c r="D16978" s="12" t="str">
        <f ca="1">IFERROR(__xludf.DUMMYFUNCTION("""COMPUTED_VALUE"""),"")</f>
        <v/>
      </c>
    </row>
    <row r="16979" spans="2:4" ht="13">
      <c r="B16979" s="12" t="str">
        <f ca="1">IFERROR(__xludf.DUMMYFUNCTION("""COMPUTED_VALUE"""),"")</f>
        <v/>
      </c>
      <c r="C16979" s="12" t="str">
        <f ca="1">IFERROR(__xludf.DUMMYFUNCTION("""COMPUTED_VALUE"""),"")</f>
        <v/>
      </c>
      <c r="D16979" s="12" t="str">
        <f ca="1">IFERROR(__xludf.DUMMYFUNCTION("""COMPUTED_VALUE"""),"")</f>
        <v/>
      </c>
    </row>
    <row r="16980" spans="2:4" ht="13">
      <c r="B16980" s="12" t="str">
        <f ca="1">IFERROR(__xludf.DUMMYFUNCTION("""COMPUTED_VALUE"""),"")</f>
        <v/>
      </c>
      <c r="C16980" s="12" t="str">
        <f ca="1">IFERROR(__xludf.DUMMYFUNCTION("""COMPUTED_VALUE"""),"")</f>
        <v/>
      </c>
      <c r="D16980" s="12" t="str">
        <f ca="1">IFERROR(__xludf.DUMMYFUNCTION("""COMPUTED_VALUE"""),"")</f>
        <v/>
      </c>
    </row>
    <row r="16981" spans="2:4" ht="13">
      <c r="B16981" s="12" t="str">
        <f ca="1">IFERROR(__xludf.DUMMYFUNCTION("""COMPUTED_VALUE"""),"")</f>
        <v/>
      </c>
      <c r="C16981" s="12" t="str">
        <f ca="1">IFERROR(__xludf.DUMMYFUNCTION("""COMPUTED_VALUE"""),"")</f>
        <v/>
      </c>
      <c r="D16981" s="12" t="str">
        <f ca="1">IFERROR(__xludf.DUMMYFUNCTION("""COMPUTED_VALUE"""),"")</f>
        <v/>
      </c>
    </row>
    <row r="16982" spans="2:4" ht="13">
      <c r="B16982" s="12" t="str">
        <f ca="1">IFERROR(__xludf.DUMMYFUNCTION("""COMPUTED_VALUE"""),"")</f>
        <v/>
      </c>
      <c r="C16982" s="12" t="str">
        <f ca="1">IFERROR(__xludf.DUMMYFUNCTION("""COMPUTED_VALUE"""),"")</f>
        <v/>
      </c>
      <c r="D16982" s="12" t="str">
        <f ca="1">IFERROR(__xludf.DUMMYFUNCTION("""COMPUTED_VALUE"""),"")</f>
        <v/>
      </c>
    </row>
    <row r="16983" spans="2:4" ht="13">
      <c r="B16983" s="12" t="str">
        <f ca="1">IFERROR(__xludf.DUMMYFUNCTION("""COMPUTED_VALUE"""),"")</f>
        <v/>
      </c>
      <c r="C16983" s="12" t="str">
        <f ca="1">IFERROR(__xludf.DUMMYFUNCTION("""COMPUTED_VALUE"""),"")</f>
        <v/>
      </c>
      <c r="D16983" s="12" t="str">
        <f ca="1">IFERROR(__xludf.DUMMYFUNCTION("""COMPUTED_VALUE"""),"")</f>
        <v/>
      </c>
    </row>
    <row r="16984" spans="2:4" ht="13">
      <c r="B16984" s="12" t="str">
        <f ca="1">IFERROR(__xludf.DUMMYFUNCTION("""COMPUTED_VALUE"""),"")</f>
        <v/>
      </c>
      <c r="C16984" s="12" t="str">
        <f ca="1">IFERROR(__xludf.DUMMYFUNCTION("""COMPUTED_VALUE"""),"")</f>
        <v/>
      </c>
      <c r="D16984" s="12" t="str">
        <f ca="1">IFERROR(__xludf.DUMMYFUNCTION("""COMPUTED_VALUE"""),"")</f>
        <v/>
      </c>
    </row>
    <row r="16985" spans="2:4" ht="13">
      <c r="B16985" s="12" t="str">
        <f ca="1">IFERROR(__xludf.DUMMYFUNCTION("""COMPUTED_VALUE"""),"")</f>
        <v/>
      </c>
      <c r="C16985" s="12" t="str">
        <f ca="1">IFERROR(__xludf.DUMMYFUNCTION("""COMPUTED_VALUE"""),"")</f>
        <v/>
      </c>
      <c r="D16985" s="12" t="str">
        <f ca="1">IFERROR(__xludf.DUMMYFUNCTION("""COMPUTED_VALUE"""),"")</f>
        <v/>
      </c>
    </row>
    <row r="16986" spans="2:4" ht="13">
      <c r="B16986" s="12" t="str">
        <f ca="1">IFERROR(__xludf.DUMMYFUNCTION("""COMPUTED_VALUE"""),"")</f>
        <v/>
      </c>
      <c r="C16986" s="12" t="str">
        <f ca="1">IFERROR(__xludf.DUMMYFUNCTION("""COMPUTED_VALUE"""),"")</f>
        <v/>
      </c>
      <c r="D16986" s="12" t="str">
        <f ca="1">IFERROR(__xludf.DUMMYFUNCTION("""COMPUTED_VALUE"""),"")</f>
        <v/>
      </c>
    </row>
    <row r="16987" spans="2:4" ht="13">
      <c r="B16987" s="12" t="str">
        <f ca="1">IFERROR(__xludf.DUMMYFUNCTION("""COMPUTED_VALUE"""),"")</f>
        <v/>
      </c>
      <c r="C16987" s="12" t="str">
        <f ca="1">IFERROR(__xludf.DUMMYFUNCTION("""COMPUTED_VALUE"""),"")</f>
        <v/>
      </c>
      <c r="D16987" s="12" t="str">
        <f ca="1">IFERROR(__xludf.DUMMYFUNCTION("""COMPUTED_VALUE"""),"")</f>
        <v/>
      </c>
    </row>
    <row r="16988" spans="2:4" ht="13">
      <c r="B16988" s="12" t="str">
        <f ca="1">IFERROR(__xludf.DUMMYFUNCTION("""COMPUTED_VALUE"""),"")</f>
        <v/>
      </c>
      <c r="C16988" s="12" t="str">
        <f ca="1">IFERROR(__xludf.DUMMYFUNCTION("""COMPUTED_VALUE"""),"")</f>
        <v/>
      </c>
      <c r="D16988" s="12" t="str">
        <f ca="1">IFERROR(__xludf.DUMMYFUNCTION("""COMPUTED_VALUE"""),"")</f>
        <v/>
      </c>
    </row>
    <row r="16989" spans="2:4" ht="13">
      <c r="B16989" s="12" t="str">
        <f ca="1">IFERROR(__xludf.DUMMYFUNCTION("""COMPUTED_VALUE"""),"")</f>
        <v/>
      </c>
      <c r="C16989" s="12" t="str">
        <f ca="1">IFERROR(__xludf.DUMMYFUNCTION("""COMPUTED_VALUE"""),"")</f>
        <v/>
      </c>
      <c r="D16989" s="12" t="str">
        <f ca="1">IFERROR(__xludf.DUMMYFUNCTION("""COMPUTED_VALUE"""),"")</f>
        <v/>
      </c>
    </row>
    <row r="16990" spans="2:4" ht="13">
      <c r="B16990" s="12" t="str">
        <f ca="1">IFERROR(__xludf.DUMMYFUNCTION("""COMPUTED_VALUE"""),"")</f>
        <v/>
      </c>
      <c r="C16990" s="12" t="str">
        <f ca="1">IFERROR(__xludf.DUMMYFUNCTION("""COMPUTED_VALUE"""),"")</f>
        <v/>
      </c>
      <c r="D16990" s="12" t="str">
        <f ca="1">IFERROR(__xludf.DUMMYFUNCTION("""COMPUTED_VALUE"""),"")</f>
        <v/>
      </c>
    </row>
    <row r="16991" spans="2:4" ht="13">
      <c r="B16991" s="12" t="str">
        <f ca="1">IFERROR(__xludf.DUMMYFUNCTION("""COMPUTED_VALUE"""),"")</f>
        <v/>
      </c>
      <c r="C16991" s="12" t="str">
        <f ca="1">IFERROR(__xludf.DUMMYFUNCTION("""COMPUTED_VALUE"""),"")</f>
        <v/>
      </c>
      <c r="D16991" s="12" t="str">
        <f ca="1">IFERROR(__xludf.DUMMYFUNCTION("""COMPUTED_VALUE"""),"")</f>
        <v/>
      </c>
    </row>
    <row r="16992" spans="2:4" ht="13">
      <c r="B16992" s="12" t="str">
        <f ca="1">IFERROR(__xludf.DUMMYFUNCTION("""COMPUTED_VALUE"""),"")</f>
        <v/>
      </c>
      <c r="C16992" s="12" t="str">
        <f ca="1">IFERROR(__xludf.DUMMYFUNCTION("""COMPUTED_VALUE"""),"")</f>
        <v/>
      </c>
      <c r="D16992" s="12" t="str">
        <f ca="1">IFERROR(__xludf.DUMMYFUNCTION("""COMPUTED_VALUE"""),"")</f>
        <v/>
      </c>
    </row>
    <row r="16993" spans="2:4" ht="13">
      <c r="B16993" s="12" t="str">
        <f ca="1">IFERROR(__xludf.DUMMYFUNCTION("""COMPUTED_VALUE"""),"")</f>
        <v/>
      </c>
      <c r="C16993" s="12" t="str">
        <f ca="1">IFERROR(__xludf.DUMMYFUNCTION("""COMPUTED_VALUE"""),"")</f>
        <v/>
      </c>
      <c r="D16993" s="12" t="str">
        <f ca="1">IFERROR(__xludf.DUMMYFUNCTION("""COMPUTED_VALUE"""),"")</f>
        <v/>
      </c>
    </row>
    <row r="16994" spans="2:4" ht="13">
      <c r="B16994" s="12" t="str">
        <f ca="1">IFERROR(__xludf.DUMMYFUNCTION("""COMPUTED_VALUE"""),"")</f>
        <v/>
      </c>
      <c r="C16994" s="12" t="str">
        <f ca="1">IFERROR(__xludf.DUMMYFUNCTION("""COMPUTED_VALUE"""),"")</f>
        <v/>
      </c>
      <c r="D16994" s="12" t="str">
        <f ca="1">IFERROR(__xludf.DUMMYFUNCTION("""COMPUTED_VALUE"""),"")</f>
        <v/>
      </c>
    </row>
    <row r="16995" spans="2:4" ht="13">
      <c r="B16995" s="12" t="str">
        <f ca="1">IFERROR(__xludf.DUMMYFUNCTION("""COMPUTED_VALUE"""),"")</f>
        <v/>
      </c>
      <c r="C16995" s="12" t="str">
        <f ca="1">IFERROR(__xludf.DUMMYFUNCTION("""COMPUTED_VALUE"""),"")</f>
        <v/>
      </c>
      <c r="D16995" s="12" t="str">
        <f ca="1">IFERROR(__xludf.DUMMYFUNCTION("""COMPUTED_VALUE"""),"")</f>
        <v/>
      </c>
    </row>
    <row r="16996" spans="2:4" ht="13">
      <c r="B16996" s="12" t="str">
        <f ca="1">IFERROR(__xludf.DUMMYFUNCTION("""COMPUTED_VALUE"""),"")</f>
        <v/>
      </c>
      <c r="C16996" s="12" t="str">
        <f ca="1">IFERROR(__xludf.DUMMYFUNCTION("""COMPUTED_VALUE"""),"")</f>
        <v/>
      </c>
      <c r="D16996" s="12" t="str">
        <f ca="1">IFERROR(__xludf.DUMMYFUNCTION("""COMPUTED_VALUE"""),"")</f>
        <v/>
      </c>
    </row>
    <row r="16997" spans="2:4" ht="13">
      <c r="B16997" s="12" t="str">
        <f ca="1">IFERROR(__xludf.DUMMYFUNCTION("""COMPUTED_VALUE"""),"")</f>
        <v/>
      </c>
      <c r="C16997" s="12" t="str">
        <f ca="1">IFERROR(__xludf.DUMMYFUNCTION("""COMPUTED_VALUE"""),"")</f>
        <v/>
      </c>
      <c r="D16997" s="12" t="str">
        <f ca="1">IFERROR(__xludf.DUMMYFUNCTION("""COMPUTED_VALUE"""),"")</f>
        <v/>
      </c>
    </row>
    <row r="16998" spans="2:4" ht="13">
      <c r="B16998" s="12" t="str">
        <f ca="1">IFERROR(__xludf.DUMMYFUNCTION("""COMPUTED_VALUE"""),"")</f>
        <v/>
      </c>
      <c r="C16998" s="12" t="str">
        <f ca="1">IFERROR(__xludf.DUMMYFUNCTION("""COMPUTED_VALUE"""),"")</f>
        <v/>
      </c>
      <c r="D16998" s="12" t="str">
        <f ca="1">IFERROR(__xludf.DUMMYFUNCTION("""COMPUTED_VALUE"""),"")</f>
        <v/>
      </c>
    </row>
    <row r="16999" spans="2:4" ht="13">
      <c r="B16999" s="12" t="str">
        <f ca="1">IFERROR(__xludf.DUMMYFUNCTION("""COMPUTED_VALUE"""),"")</f>
        <v/>
      </c>
      <c r="C16999" s="12" t="str">
        <f ca="1">IFERROR(__xludf.DUMMYFUNCTION("""COMPUTED_VALUE"""),"")</f>
        <v/>
      </c>
      <c r="D16999" s="12" t="str">
        <f ca="1">IFERROR(__xludf.DUMMYFUNCTION("""COMPUTED_VALUE"""),"")</f>
        <v/>
      </c>
    </row>
    <row r="17000" spans="2:4" ht="13">
      <c r="B17000" s="12" t="str">
        <f ca="1">IFERROR(__xludf.DUMMYFUNCTION("""COMPUTED_VALUE"""),"")</f>
        <v/>
      </c>
      <c r="C17000" s="12" t="str">
        <f ca="1">IFERROR(__xludf.DUMMYFUNCTION("""COMPUTED_VALUE"""),"")</f>
        <v/>
      </c>
      <c r="D17000" s="12" t="str">
        <f ca="1">IFERROR(__xludf.DUMMYFUNCTION("""COMPUTED_VALUE"""),"")</f>
        <v/>
      </c>
    </row>
    <row r="17001" spans="2:4" ht="13">
      <c r="B17001" s="12" t="str">
        <f ca="1">IFERROR(__xludf.DUMMYFUNCTION("""COMPUTED_VALUE"""),"")</f>
        <v/>
      </c>
      <c r="C17001" s="12" t="str">
        <f ca="1">IFERROR(__xludf.DUMMYFUNCTION("""COMPUTED_VALUE"""),"")</f>
        <v/>
      </c>
      <c r="D17001" s="12" t="str">
        <f ca="1">IFERROR(__xludf.DUMMYFUNCTION("""COMPUTED_VALUE"""),"")</f>
        <v/>
      </c>
    </row>
    <row r="17002" spans="2:4" ht="13">
      <c r="B17002" s="12" t="str">
        <f ca="1">IFERROR(__xludf.DUMMYFUNCTION("""COMPUTED_VALUE"""),"")</f>
        <v/>
      </c>
      <c r="C17002" s="12" t="str">
        <f ca="1">IFERROR(__xludf.DUMMYFUNCTION("""COMPUTED_VALUE"""),"")</f>
        <v/>
      </c>
      <c r="D17002" s="12" t="str">
        <f ca="1">IFERROR(__xludf.DUMMYFUNCTION("""COMPUTED_VALUE"""),"")</f>
        <v/>
      </c>
    </row>
    <row r="17003" spans="2:4" ht="13">
      <c r="B17003" s="12" t="str">
        <f ca="1">IFERROR(__xludf.DUMMYFUNCTION("""COMPUTED_VALUE"""),"")</f>
        <v/>
      </c>
      <c r="C17003" s="12" t="str">
        <f ca="1">IFERROR(__xludf.DUMMYFUNCTION("""COMPUTED_VALUE"""),"")</f>
        <v/>
      </c>
      <c r="D17003" s="12" t="str">
        <f ca="1">IFERROR(__xludf.DUMMYFUNCTION("""COMPUTED_VALUE"""),"")</f>
        <v/>
      </c>
    </row>
    <row r="17004" spans="2:4" ht="13">
      <c r="B17004" s="12" t="str">
        <f ca="1">IFERROR(__xludf.DUMMYFUNCTION("""COMPUTED_VALUE"""),"")</f>
        <v/>
      </c>
      <c r="C17004" s="12" t="str">
        <f ca="1">IFERROR(__xludf.DUMMYFUNCTION("""COMPUTED_VALUE"""),"")</f>
        <v/>
      </c>
      <c r="D17004" s="12" t="str">
        <f ca="1">IFERROR(__xludf.DUMMYFUNCTION("""COMPUTED_VALUE"""),"")</f>
        <v/>
      </c>
    </row>
    <row r="17005" spans="2:4" ht="13">
      <c r="B17005" s="12" t="str">
        <f ca="1">IFERROR(__xludf.DUMMYFUNCTION("""COMPUTED_VALUE"""),"")</f>
        <v/>
      </c>
      <c r="C17005" s="12" t="str">
        <f ca="1">IFERROR(__xludf.DUMMYFUNCTION("""COMPUTED_VALUE"""),"")</f>
        <v/>
      </c>
      <c r="D17005" s="12" t="str">
        <f ca="1">IFERROR(__xludf.DUMMYFUNCTION("""COMPUTED_VALUE"""),"")</f>
        <v/>
      </c>
    </row>
    <row r="17006" spans="2:4" ht="13">
      <c r="B17006" s="12" t="str">
        <f ca="1">IFERROR(__xludf.DUMMYFUNCTION("""COMPUTED_VALUE"""),"")</f>
        <v/>
      </c>
      <c r="C17006" s="12" t="str">
        <f ca="1">IFERROR(__xludf.DUMMYFUNCTION("""COMPUTED_VALUE"""),"")</f>
        <v/>
      </c>
      <c r="D17006" s="12" t="str">
        <f ca="1">IFERROR(__xludf.DUMMYFUNCTION("""COMPUTED_VALUE"""),"")</f>
        <v/>
      </c>
    </row>
    <row r="17007" spans="2:4" ht="13">
      <c r="B17007" s="12" t="str">
        <f ca="1">IFERROR(__xludf.DUMMYFUNCTION("""COMPUTED_VALUE"""),"")</f>
        <v/>
      </c>
      <c r="C17007" s="12" t="str">
        <f ca="1">IFERROR(__xludf.DUMMYFUNCTION("""COMPUTED_VALUE"""),"")</f>
        <v/>
      </c>
      <c r="D17007" s="12" t="str">
        <f ca="1">IFERROR(__xludf.DUMMYFUNCTION("""COMPUTED_VALUE"""),"")</f>
        <v/>
      </c>
    </row>
    <row r="17008" spans="2:4" ht="13">
      <c r="B17008" s="12" t="str">
        <f ca="1">IFERROR(__xludf.DUMMYFUNCTION("""COMPUTED_VALUE"""),"")</f>
        <v/>
      </c>
      <c r="C17008" s="12" t="str">
        <f ca="1">IFERROR(__xludf.DUMMYFUNCTION("""COMPUTED_VALUE"""),"")</f>
        <v/>
      </c>
      <c r="D17008" s="12" t="str">
        <f ca="1">IFERROR(__xludf.DUMMYFUNCTION("""COMPUTED_VALUE"""),"")</f>
        <v/>
      </c>
    </row>
    <row r="17009" spans="2:4" ht="13">
      <c r="B17009" s="12" t="str">
        <f ca="1">IFERROR(__xludf.DUMMYFUNCTION("""COMPUTED_VALUE"""),"")</f>
        <v/>
      </c>
      <c r="C17009" s="12" t="str">
        <f ca="1">IFERROR(__xludf.DUMMYFUNCTION("""COMPUTED_VALUE"""),"")</f>
        <v/>
      </c>
      <c r="D17009" s="12" t="str">
        <f ca="1">IFERROR(__xludf.DUMMYFUNCTION("""COMPUTED_VALUE"""),"")</f>
        <v/>
      </c>
    </row>
    <row r="17010" spans="2:4" ht="13">
      <c r="B17010" s="12" t="str">
        <f ca="1">IFERROR(__xludf.DUMMYFUNCTION("""COMPUTED_VALUE"""),"")</f>
        <v/>
      </c>
      <c r="C17010" s="12" t="str">
        <f ca="1">IFERROR(__xludf.DUMMYFUNCTION("""COMPUTED_VALUE"""),"")</f>
        <v/>
      </c>
      <c r="D17010" s="12" t="str">
        <f ca="1">IFERROR(__xludf.DUMMYFUNCTION("""COMPUTED_VALUE"""),"")</f>
        <v/>
      </c>
    </row>
    <row r="17011" spans="2:4" ht="13">
      <c r="B17011" s="12" t="str">
        <f ca="1">IFERROR(__xludf.DUMMYFUNCTION("""COMPUTED_VALUE"""),"")</f>
        <v/>
      </c>
      <c r="C17011" s="12" t="str">
        <f ca="1">IFERROR(__xludf.DUMMYFUNCTION("""COMPUTED_VALUE"""),"")</f>
        <v/>
      </c>
      <c r="D17011" s="12" t="str">
        <f ca="1">IFERROR(__xludf.DUMMYFUNCTION("""COMPUTED_VALUE"""),"")</f>
        <v/>
      </c>
    </row>
    <row r="17012" spans="2:4" ht="13">
      <c r="B17012" s="12" t="str">
        <f ca="1">IFERROR(__xludf.DUMMYFUNCTION("""COMPUTED_VALUE"""),"")</f>
        <v/>
      </c>
      <c r="C17012" s="12" t="str">
        <f ca="1">IFERROR(__xludf.DUMMYFUNCTION("""COMPUTED_VALUE"""),"")</f>
        <v/>
      </c>
      <c r="D17012" s="12" t="str">
        <f ca="1">IFERROR(__xludf.DUMMYFUNCTION("""COMPUTED_VALUE"""),"")</f>
        <v/>
      </c>
    </row>
    <row r="17013" spans="2:4" ht="13">
      <c r="B17013" s="12" t="str">
        <f ca="1">IFERROR(__xludf.DUMMYFUNCTION("""COMPUTED_VALUE"""),"")</f>
        <v/>
      </c>
      <c r="C17013" s="12" t="str">
        <f ca="1">IFERROR(__xludf.DUMMYFUNCTION("""COMPUTED_VALUE"""),"")</f>
        <v/>
      </c>
      <c r="D17013" s="12" t="str">
        <f ca="1">IFERROR(__xludf.DUMMYFUNCTION("""COMPUTED_VALUE"""),"")</f>
        <v/>
      </c>
    </row>
    <row r="17014" spans="2:4" ht="13">
      <c r="B17014" s="12" t="str">
        <f ca="1">IFERROR(__xludf.DUMMYFUNCTION("""COMPUTED_VALUE"""),"")</f>
        <v/>
      </c>
      <c r="C17014" s="12" t="str">
        <f ca="1">IFERROR(__xludf.DUMMYFUNCTION("""COMPUTED_VALUE"""),"")</f>
        <v/>
      </c>
      <c r="D17014" s="12" t="str">
        <f ca="1">IFERROR(__xludf.DUMMYFUNCTION("""COMPUTED_VALUE"""),"")</f>
        <v/>
      </c>
    </row>
    <row r="17015" spans="2:4" ht="13">
      <c r="B17015" s="12" t="str">
        <f ca="1">IFERROR(__xludf.DUMMYFUNCTION("""COMPUTED_VALUE"""),"")</f>
        <v/>
      </c>
      <c r="C17015" s="12" t="str">
        <f ca="1">IFERROR(__xludf.DUMMYFUNCTION("""COMPUTED_VALUE"""),"")</f>
        <v/>
      </c>
      <c r="D17015" s="12" t="str">
        <f ca="1">IFERROR(__xludf.DUMMYFUNCTION("""COMPUTED_VALUE"""),"")</f>
        <v/>
      </c>
    </row>
    <row r="17016" spans="2:4" ht="13">
      <c r="B17016" s="12" t="str">
        <f ca="1">IFERROR(__xludf.DUMMYFUNCTION("""COMPUTED_VALUE"""),"")</f>
        <v/>
      </c>
      <c r="C17016" s="12" t="str">
        <f ca="1">IFERROR(__xludf.DUMMYFUNCTION("""COMPUTED_VALUE"""),"")</f>
        <v/>
      </c>
      <c r="D17016" s="12" t="str">
        <f ca="1">IFERROR(__xludf.DUMMYFUNCTION("""COMPUTED_VALUE"""),"")</f>
        <v/>
      </c>
    </row>
    <row r="17017" spans="2:4" ht="13">
      <c r="B17017" s="12" t="str">
        <f ca="1">IFERROR(__xludf.DUMMYFUNCTION("""COMPUTED_VALUE"""),"")</f>
        <v/>
      </c>
      <c r="C17017" s="12" t="str">
        <f ca="1">IFERROR(__xludf.DUMMYFUNCTION("""COMPUTED_VALUE"""),"")</f>
        <v/>
      </c>
      <c r="D17017" s="12" t="str">
        <f ca="1">IFERROR(__xludf.DUMMYFUNCTION("""COMPUTED_VALUE"""),"")</f>
        <v/>
      </c>
    </row>
    <row r="17018" spans="2:4" ht="13">
      <c r="B17018" s="12" t="str">
        <f ca="1">IFERROR(__xludf.DUMMYFUNCTION("""COMPUTED_VALUE"""),"")</f>
        <v/>
      </c>
      <c r="C17018" s="12" t="str">
        <f ca="1">IFERROR(__xludf.DUMMYFUNCTION("""COMPUTED_VALUE"""),"")</f>
        <v/>
      </c>
      <c r="D17018" s="12" t="str">
        <f ca="1">IFERROR(__xludf.DUMMYFUNCTION("""COMPUTED_VALUE"""),"")</f>
        <v/>
      </c>
    </row>
    <row r="17019" spans="2:4" ht="13">
      <c r="B17019" s="12" t="str">
        <f ca="1">IFERROR(__xludf.DUMMYFUNCTION("""COMPUTED_VALUE"""),"")</f>
        <v/>
      </c>
      <c r="C17019" s="12" t="str">
        <f ca="1">IFERROR(__xludf.DUMMYFUNCTION("""COMPUTED_VALUE"""),"")</f>
        <v/>
      </c>
      <c r="D17019" s="12" t="str">
        <f ca="1">IFERROR(__xludf.DUMMYFUNCTION("""COMPUTED_VALUE"""),"")</f>
        <v/>
      </c>
    </row>
    <row r="17020" spans="2:4" ht="13">
      <c r="B17020" s="12" t="str">
        <f ca="1">IFERROR(__xludf.DUMMYFUNCTION("""COMPUTED_VALUE"""),"")</f>
        <v/>
      </c>
      <c r="C17020" s="12" t="str">
        <f ca="1">IFERROR(__xludf.DUMMYFUNCTION("""COMPUTED_VALUE"""),"")</f>
        <v/>
      </c>
      <c r="D17020" s="12" t="str">
        <f ca="1">IFERROR(__xludf.DUMMYFUNCTION("""COMPUTED_VALUE"""),"")</f>
        <v/>
      </c>
    </row>
    <row r="17021" spans="2:4" ht="13">
      <c r="B17021" s="12" t="str">
        <f ca="1">IFERROR(__xludf.DUMMYFUNCTION("""COMPUTED_VALUE"""),"")</f>
        <v/>
      </c>
      <c r="C17021" s="12" t="str">
        <f ca="1">IFERROR(__xludf.DUMMYFUNCTION("""COMPUTED_VALUE"""),"")</f>
        <v/>
      </c>
      <c r="D17021" s="12" t="str">
        <f ca="1">IFERROR(__xludf.DUMMYFUNCTION("""COMPUTED_VALUE"""),"")</f>
        <v/>
      </c>
    </row>
    <row r="17022" spans="2:4" ht="13">
      <c r="B17022" s="12" t="str">
        <f ca="1">IFERROR(__xludf.DUMMYFUNCTION("""COMPUTED_VALUE"""),"")</f>
        <v/>
      </c>
      <c r="C17022" s="12" t="str">
        <f ca="1">IFERROR(__xludf.DUMMYFUNCTION("""COMPUTED_VALUE"""),"")</f>
        <v/>
      </c>
      <c r="D17022" s="12" t="str">
        <f ca="1">IFERROR(__xludf.DUMMYFUNCTION("""COMPUTED_VALUE"""),"")</f>
        <v/>
      </c>
    </row>
    <row r="17023" spans="2:4" ht="13">
      <c r="B17023" s="12" t="str">
        <f ca="1">IFERROR(__xludf.DUMMYFUNCTION("""COMPUTED_VALUE"""),"")</f>
        <v/>
      </c>
      <c r="C17023" s="12" t="str">
        <f ca="1">IFERROR(__xludf.DUMMYFUNCTION("""COMPUTED_VALUE"""),"")</f>
        <v/>
      </c>
      <c r="D17023" s="12" t="str">
        <f ca="1">IFERROR(__xludf.DUMMYFUNCTION("""COMPUTED_VALUE"""),"")</f>
        <v/>
      </c>
    </row>
    <row r="17024" spans="2:4" ht="13">
      <c r="B17024" s="12" t="str">
        <f ca="1">IFERROR(__xludf.DUMMYFUNCTION("""COMPUTED_VALUE"""),"")</f>
        <v/>
      </c>
      <c r="C17024" s="12" t="str">
        <f ca="1">IFERROR(__xludf.DUMMYFUNCTION("""COMPUTED_VALUE"""),"")</f>
        <v/>
      </c>
      <c r="D17024" s="12" t="str">
        <f ca="1">IFERROR(__xludf.DUMMYFUNCTION("""COMPUTED_VALUE"""),"")</f>
        <v/>
      </c>
    </row>
    <row r="17025" spans="2:4" ht="13">
      <c r="B17025" s="12" t="str">
        <f ca="1">IFERROR(__xludf.DUMMYFUNCTION("""COMPUTED_VALUE"""),"")</f>
        <v/>
      </c>
      <c r="C17025" s="12" t="str">
        <f ca="1">IFERROR(__xludf.DUMMYFUNCTION("""COMPUTED_VALUE"""),"")</f>
        <v/>
      </c>
      <c r="D17025" s="12" t="str">
        <f ca="1">IFERROR(__xludf.DUMMYFUNCTION("""COMPUTED_VALUE"""),"")</f>
        <v/>
      </c>
    </row>
    <row r="17026" spans="2:4" ht="13">
      <c r="B17026" s="12" t="str">
        <f ca="1">IFERROR(__xludf.DUMMYFUNCTION("""COMPUTED_VALUE"""),"")</f>
        <v/>
      </c>
      <c r="C17026" s="12" t="str">
        <f ca="1">IFERROR(__xludf.DUMMYFUNCTION("""COMPUTED_VALUE"""),"")</f>
        <v/>
      </c>
      <c r="D17026" s="12" t="str">
        <f ca="1">IFERROR(__xludf.DUMMYFUNCTION("""COMPUTED_VALUE"""),"")</f>
        <v/>
      </c>
    </row>
    <row r="17027" spans="2:4" ht="13">
      <c r="B17027" s="12" t="str">
        <f ca="1">IFERROR(__xludf.DUMMYFUNCTION("""COMPUTED_VALUE"""),"")</f>
        <v/>
      </c>
      <c r="C17027" s="12" t="str">
        <f ca="1">IFERROR(__xludf.DUMMYFUNCTION("""COMPUTED_VALUE"""),"")</f>
        <v/>
      </c>
      <c r="D17027" s="12" t="str">
        <f ca="1">IFERROR(__xludf.DUMMYFUNCTION("""COMPUTED_VALUE"""),"")</f>
        <v/>
      </c>
    </row>
    <row r="17028" spans="2:4" ht="13">
      <c r="B17028" s="12" t="str">
        <f ca="1">IFERROR(__xludf.DUMMYFUNCTION("""COMPUTED_VALUE"""),"")</f>
        <v/>
      </c>
      <c r="C17028" s="12" t="str">
        <f ca="1">IFERROR(__xludf.DUMMYFUNCTION("""COMPUTED_VALUE"""),"")</f>
        <v/>
      </c>
      <c r="D17028" s="12" t="str">
        <f ca="1">IFERROR(__xludf.DUMMYFUNCTION("""COMPUTED_VALUE"""),"")</f>
        <v/>
      </c>
    </row>
    <row r="17029" spans="2:4" ht="13">
      <c r="B17029" s="12" t="str">
        <f ca="1">IFERROR(__xludf.DUMMYFUNCTION("""COMPUTED_VALUE"""),"")</f>
        <v/>
      </c>
      <c r="C17029" s="12" t="str">
        <f ca="1">IFERROR(__xludf.DUMMYFUNCTION("""COMPUTED_VALUE"""),"")</f>
        <v/>
      </c>
      <c r="D17029" s="12" t="str">
        <f ca="1">IFERROR(__xludf.DUMMYFUNCTION("""COMPUTED_VALUE"""),"")</f>
        <v/>
      </c>
    </row>
    <row r="17030" spans="2:4" ht="13">
      <c r="B17030" s="12" t="str">
        <f ca="1">IFERROR(__xludf.DUMMYFUNCTION("""COMPUTED_VALUE"""),"")</f>
        <v/>
      </c>
      <c r="C17030" s="12" t="str">
        <f ca="1">IFERROR(__xludf.DUMMYFUNCTION("""COMPUTED_VALUE"""),"")</f>
        <v/>
      </c>
      <c r="D17030" s="12" t="str">
        <f ca="1">IFERROR(__xludf.DUMMYFUNCTION("""COMPUTED_VALUE"""),"")</f>
        <v/>
      </c>
    </row>
    <row r="17031" spans="2:4" ht="13">
      <c r="B17031" s="12" t="str">
        <f ca="1">IFERROR(__xludf.DUMMYFUNCTION("""COMPUTED_VALUE"""),"")</f>
        <v/>
      </c>
      <c r="C17031" s="12" t="str">
        <f ca="1">IFERROR(__xludf.DUMMYFUNCTION("""COMPUTED_VALUE"""),"")</f>
        <v/>
      </c>
      <c r="D17031" s="12" t="str">
        <f ca="1">IFERROR(__xludf.DUMMYFUNCTION("""COMPUTED_VALUE"""),"")</f>
        <v/>
      </c>
    </row>
    <row r="17032" spans="2:4" ht="13">
      <c r="B17032" s="12" t="str">
        <f ca="1">IFERROR(__xludf.DUMMYFUNCTION("""COMPUTED_VALUE"""),"")</f>
        <v/>
      </c>
      <c r="C17032" s="12" t="str">
        <f ca="1">IFERROR(__xludf.DUMMYFUNCTION("""COMPUTED_VALUE"""),"")</f>
        <v/>
      </c>
      <c r="D17032" s="12" t="str">
        <f ca="1">IFERROR(__xludf.DUMMYFUNCTION("""COMPUTED_VALUE"""),"")</f>
        <v/>
      </c>
    </row>
    <row r="17033" spans="2:4" ht="13">
      <c r="B17033" s="12" t="str">
        <f ca="1">IFERROR(__xludf.DUMMYFUNCTION("""COMPUTED_VALUE"""),"")</f>
        <v/>
      </c>
      <c r="C17033" s="12" t="str">
        <f ca="1">IFERROR(__xludf.DUMMYFUNCTION("""COMPUTED_VALUE"""),"")</f>
        <v/>
      </c>
      <c r="D17033" s="12" t="str">
        <f ca="1">IFERROR(__xludf.DUMMYFUNCTION("""COMPUTED_VALUE"""),"")</f>
        <v/>
      </c>
    </row>
    <row r="17034" spans="2:4" ht="13">
      <c r="B17034" s="12" t="str">
        <f ca="1">IFERROR(__xludf.DUMMYFUNCTION("""COMPUTED_VALUE"""),"")</f>
        <v/>
      </c>
      <c r="C17034" s="12" t="str">
        <f ca="1">IFERROR(__xludf.DUMMYFUNCTION("""COMPUTED_VALUE"""),"")</f>
        <v/>
      </c>
      <c r="D17034" s="12" t="str">
        <f ca="1">IFERROR(__xludf.DUMMYFUNCTION("""COMPUTED_VALUE"""),"")</f>
        <v/>
      </c>
    </row>
    <row r="17035" spans="2:4" ht="13">
      <c r="B17035" s="12" t="str">
        <f ca="1">IFERROR(__xludf.DUMMYFUNCTION("""COMPUTED_VALUE"""),"")</f>
        <v/>
      </c>
      <c r="C17035" s="12" t="str">
        <f ca="1">IFERROR(__xludf.DUMMYFUNCTION("""COMPUTED_VALUE"""),"")</f>
        <v/>
      </c>
      <c r="D17035" s="12" t="str">
        <f ca="1">IFERROR(__xludf.DUMMYFUNCTION("""COMPUTED_VALUE"""),"")</f>
        <v/>
      </c>
    </row>
    <row r="17036" spans="2:4" ht="13">
      <c r="B17036" s="12" t="str">
        <f ca="1">IFERROR(__xludf.DUMMYFUNCTION("""COMPUTED_VALUE"""),"")</f>
        <v/>
      </c>
      <c r="C17036" s="12" t="str">
        <f ca="1">IFERROR(__xludf.DUMMYFUNCTION("""COMPUTED_VALUE"""),"")</f>
        <v/>
      </c>
      <c r="D17036" s="12" t="str">
        <f ca="1">IFERROR(__xludf.DUMMYFUNCTION("""COMPUTED_VALUE"""),"")</f>
        <v/>
      </c>
    </row>
    <row r="17037" spans="2:4" ht="13">
      <c r="B17037" s="12" t="str">
        <f ca="1">IFERROR(__xludf.DUMMYFUNCTION("""COMPUTED_VALUE"""),"")</f>
        <v/>
      </c>
      <c r="C17037" s="12" t="str">
        <f ca="1">IFERROR(__xludf.DUMMYFUNCTION("""COMPUTED_VALUE"""),"")</f>
        <v/>
      </c>
      <c r="D17037" s="12" t="str">
        <f ca="1">IFERROR(__xludf.DUMMYFUNCTION("""COMPUTED_VALUE"""),"")</f>
        <v/>
      </c>
    </row>
    <row r="17038" spans="2:4" ht="13">
      <c r="B17038" s="12" t="str">
        <f ca="1">IFERROR(__xludf.DUMMYFUNCTION("""COMPUTED_VALUE"""),"")</f>
        <v/>
      </c>
      <c r="C17038" s="12" t="str">
        <f ca="1">IFERROR(__xludf.DUMMYFUNCTION("""COMPUTED_VALUE"""),"")</f>
        <v/>
      </c>
      <c r="D17038" s="12" t="str">
        <f ca="1">IFERROR(__xludf.DUMMYFUNCTION("""COMPUTED_VALUE"""),"")</f>
        <v/>
      </c>
    </row>
    <row r="17039" spans="2:4" ht="13">
      <c r="B17039" s="12" t="str">
        <f ca="1">IFERROR(__xludf.DUMMYFUNCTION("""COMPUTED_VALUE"""),"")</f>
        <v/>
      </c>
      <c r="C17039" s="12" t="str">
        <f ca="1">IFERROR(__xludf.DUMMYFUNCTION("""COMPUTED_VALUE"""),"")</f>
        <v/>
      </c>
      <c r="D17039" s="12" t="str">
        <f ca="1">IFERROR(__xludf.DUMMYFUNCTION("""COMPUTED_VALUE"""),"")</f>
        <v/>
      </c>
    </row>
    <row r="17040" spans="2:4" ht="13">
      <c r="B17040" s="12" t="str">
        <f ca="1">IFERROR(__xludf.DUMMYFUNCTION("""COMPUTED_VALUE"""),"")</f>
        <v/>
      </c>
      <c r="C17040" s="12" t="str">
        <f ca="1">IFERROR(__xludf.DUMMYFUNCTION("""COMPUTED_VALUE"""),"")</f>
        <v/>
      </c>
      <c r="D17040" s="12" t="str">
        <f ca="1">IFERROR(__xludf.DUMMYFUNCTION("""COMPUTED_VALUE"""),"")</f>
        <v/>
      </c>
    </row>
    <row r="17041" spans="2:4" ht="13">
      <c r="B17041" s="12" t="str">
        <f ca="1">IFERROR(__xludf.DUMMYFUNCTION("""COMPUTED_VALUE"""),"")</f>
        <v/>
      </c>
      <c r="C17041" s="12" t="str">
        <f ca="1">IFERROR(__xludf.DUMMYFUNCTION("""COMPUTED_VALUE"""),"")</f>
        <v/>
      </c>
      <c r="D17041" s="12" t="str">
        <f ca="1">IFERROR(__xludf.DUMMYFUNCTION("""COMPUTED_VALUE"""),"")</f>
        <v/>
      </c>
    </row>
    <row r="17042" spans="2:4" ht="13">
      <c r="B17042" s="12" t="str">
        <f ca="1">IFERROR(__xludf.DUMMYFUNCTION("""COMPUTED_VALUE"""),"")</f>
        <v/>
      </c>
      <c r="C17042" s="12" t="str">
        <f ca="1">IFERROR(__xludf.DUMMYFUNCTION("""COMPUTED_VALUE"""),"")</f>
        <v/>
      </c>
      <c r="D17042" s="12" t="str">
        <f ca="1">IFERROR(__xludf.DUMMYFUNCTION("""COMPUTED_VALUE"""),"")</f>
        <v/>
      </c>
    </row>
    <row r="17043" spans="2:4" ht="13">
      <c r="B17043" s="12" t="str">
        <f ca="1">IFERROR(__xludf.DUMMYFUNCTION("""COMPUTED_VALUE"""),"")</f>
        <v/>
      </c>
      <c r="C17043" s="12" t="str">
        <f ca="1">IFERROR(__xludf.DUMMYFUNCTION("""COMPUTED_VALUE"""),"")</f>
        <v/>
      </c>
      <c r="D17043" s="12" t="str">
        <f ca="1">IFERROR(__xludf.DUMMYFUNCTION("""COMPUTED_VALUE"""),"")</f>
        <v/>
      </c>
    </row>
    <row r="17044" spans="2:4" ht="13">
      <c r="B17044" s="12" t="str">
        <f ca="1">IFERROR(__xludf.DUMMYFUNCTION("""COMPUTED_VALUE"""),"")</f>
        <v/>
      </c>
      <c r="C17044" s="12" t="str">
        <f ca="1">IFERROR(__xludf.DUMMYFUNCTION("""COMPUTED_VALUE"""),"")</f>
        <v/>
      </c>
      <c r="D17044" s="12" t="str">
        <f ca="1">IFERROR(__xludf.DUMMYFUNCTION("""COMPUTED_VALUE"""),"")</f>
        <v/>
      </c>
    </row>
    <row r="17045" spans="2:4" ht="13">
      <c r="B17045" s="12" t="str">
        <f ca="1">IFERROR(__xludf.DUMMYFUNCTION("""COMPUTED_VALUE"""),"")</f>
        <v/>
      </c>
      <c r="C17045" s="12" t="str">
        <f ca="1">IFERROR(__xludf.DUMMYFUNCTION("""COMPUTED_VALUE"""),"")</f>
        <v/>
      </c>
      <c r="D17045" s="12" t="str">
        <f ca="1">IFERROR(__xludf.DUMMYFUNCTION("""COMPUTED_VALUE"""),"")</f>
        <v/>
      </c>
    </row>
    <row r="17046" spans="2:4" ht="13">
      <c r="B17046" s="12" t="str">
        <f ca="1">IFERROR(__xludf.DUMMYFUNCTION("""COMPUTED_VALUE"""),"")</f>
        <v/>
      </c>
      <c r="C17046" s="12" t="str">
        <f ca="1">IFERROR(__xludf.DUMMYFUNCTION("""COMPUTED_VALUE"""),"")</f>
        <v/>
      </c>
      <c r="D17046" s="12" t="str">
        <f ca="1">IFERROR(__xludf.DUMMYFUNCTION("""COMPUTED_VALUE"""),"")</f>
        <v/>
      </c>
    </row>
    <row r="17047" spans="2:4" ht="13">
      <c r="B17047" s="12" t="str">
        <f ca="1">IFERROR(__xludf.DUMMYFUNCTION("""COMPUTED_VALUE"""),"")</f>
        <v/>
      </c>
      <c r="C17047" s="12" t="str">
        <f ca="1">IFERROR(__xludf.DUMMYFUNCTION("""COMPUTED_VALUE"""),"")</f>
        <v/>
      </c>
      <c r="D17047" s="12" t="str">
        <f ca="1">IFERROR(__xludf.DUMMYFUNCTION("""COMPUTED_VALUE"""),"")</f>
        <v/>
      </c>
    </row>
    <row r="17048" spans="2:4" ht="13">
      <c r="B17048" s="12" t="str">
        <f ca="1">IFERROR(__xludf.DUMMYFUNCTION("""COMPUTED_VALUE"""),"")</f>
        <v/>
      </c>
      <c r="C17048" s="12" t="str">
        <f ca="1">IFERROR(__xludf.DUMMYFUNCTION("""COMPUTED_VALUE"""),"")</f>
        <v/>
      </c>
      <c r="D17048" s="12" t="str">
        <f ca="1">IFERROR(__xludf.DUMMYFUNCTION("""COMPUTED_VALUE"""),"")</f>
        <v/>
      </c>
    </row>
    <row r="17049" spans="2:4" ht="13">
      <c r="B17049" s="12" t="str">
        <f ca="1">IFERROR(__xludf.DUMMYFUNCTION("""COMPUTED_VALUE"""),"")</f>
        <v/>
      </c>
      <c r="C17049" s="12" t="str">
        <f ca="1">IFERROR(__xludf.DUMMYFUNCTION("""COMPUTED_VALUE"""),"")</f>
        <v/>
      </c>
      <c r="D17049" s="12" t="str">
        <f ca="1">IFERROR(__xludf.DUMMYFUNCTION("""COMPUTED_VALUE"""),"")</f>
        <v/>
      </c>
    </row>
    <row r="17050" spans="2:4" ht="13">
      <c r="B17050" s="12" t="str">
        <f ca="1">IFERROR(__xludf.DUMMYFUNCTION("""COMPUTED_VALUE"""),"")</f>
        <v/>
      </c>
      <c r="C17050" s="12" t="str">
        <f ca="1">IFERROR(__xludf.DUMMYFUNCTION("""COMPUTED_VALUE"""),"")</f>
        <v/>
      </c>
      <c r="D17050" s="12" t="str">
        <f ca="1">IFERROR(__xludf.DUMMYFUNCTION("""COMPUTED_VALUE"""),"")</f>
        <v/>
      </c>
    </row>
    <row r="17051" spans="2:4" ht="13">
      <c r="B17051" s="12" t="str">
        <f ca="1">IFERROR(__xludf.DUMMYFUNCTION("""COMPUTED_VALUE"""),"")</f>
        <v/>
      </c>
      <c r="C17051" s="12" t="str">
        <f ca="1">IFERROR(__xludf.DUMMYFUNCTION("""COMPUTED_VALUE"""),"")</f>
        <v/>
      </c>
      <c r="D17051" s="12" t="str">
        <f ca="1">IFERROR(__xludf.DUMMYFUNCTION("""COMPUTED_VALUE"""),"")</f>
        <v/>
      </c>
    </row>
    <row r="17052" spans="2:4" ht="13">
      <c r="B17052" s="12" t="str">
        <f ca="1">IFERROR(__xludf.DUMMYFUNCTION("""COMPUTED_VALUE"""),"")</f>
        <v/>
      </c>
      <c r="C17052" s="12" t="str">
        <f ca="1">IFERROR(__xludf.DUMMYFUNCTION("""COMPUTED_VALUE"""),"")</f>
        <v/>
      </c>
      <c r="D17052" s="12" t="str">
        <f ca="1">IFERROR(__xludf.DUMMYFUNCTION("""COMPUTED_VALUE"""),"")</f>
        <v/>
      </c>
    </row>
    <row r="17053" spans="2:4" ht="13">
      <c r="B17053" s="12" t="str">
        <f ca="1">IFERROR(__xludf.DUMMYFUNCTION("""COMPUTED_VALUE"""),"")</f>
        <v/>
      </c>
      <c r="C17053" s="12" t="str">
        <f ca="1">IFERROR(__xludf.DUMMYFUNCTION("""COMPUTED_VALUE"""),"")</f>
        <v/>
      </c>
      <c r="D17053" s="12" t="str">
        <f ca="1">IFERROR(__xludf.DUMMYFUNCTION("""COMPUTED_VALUE"""),"")</f>
        <v/>
      </c>
    </row>
    <row r="17054" spans="2:4" ht="13">
      <c r="B17054" s="12" t="str">
        <f ca="1">IFERROR(__xludf.DUMMYFUNCTION("""COMPUTED_VALUE"""),"")</f>
        <v/>
      </c>
      <c r="C17054" s="12" t="str">
        <f ca="1">IFERROR(__xludf.DUMMYFUNCTION("""COMPUTED_VALUE"""),"")</f>
        <v/>
      </c>
      <c r="D17054" s="12" t="str">
        <f ca="1">IFERROR(__xludf.DUMMYFUNCTION("""COMPUTED_VALUE"""),"")</f>
        <v/>
      </c>
    </row>
    <row r="17055" spans="2:4" ht="13">
      <c r="B17055" s="12" t="str">
        <f ca="1">IFERROR(__xludf.DUMMYFUNCTION("""COMPUTED_VALUE"""),"")</f>
        <v/>
      </c>
      <c r="C17055" s="12" t="str">
        <f ca="1">IFERROR(__xludf.DUMMYFUNCTION("""COMPUTED_VALUE"""),"")</f>
        <v/>
      </c>
      <c r="D17055" s="12" t="str">
        <f ca="1">IFERROR(__xludf.DUMMYFUNCTION("""COMPUTED_VALUE"""),"")</f>
        <v/>
      </c>
    </row>
    <row r="17056" spans="2:4" ht="13">
      <c r="B17056" s="12" t="str">
        <f ca="1">IFERROR(__xludf.DUMMYFUNCTION("""COMPUTED_VALUE"""),"")</f>
        <v/>
      </c>
      <c r="C17056" s="12" t="str">
        <f ca="1">IFERROR(__xludf.DUMMYFUNCTION("""COMPUTED_VALUE"""),"")</f>
        <v/>
      </c>
      <c r="D17056" s="12" t="str">
        <f ca="1">IFERROR(__xludf.DUMMYFUNCTION("""COMPUTED_VALUE"""),"")</f>
        <v/>
      </c>
    </row>
    <row r="17057" spans="2:4" ht="13">
      <c r="B17057" s="12" t="str">
        <f ca="1">IFERROR(__xludf.DUMMYFUNCTION("""COMPUTED_VALUE"""),"")</f>
        <v/>
      </c>
      <c r="C17057" s="12" t="str">
        <f ca="1">IFERROR(__xludf.DUMMYFUNCTION("""COMPUTED_VALUE"""),"")</f>
        <v/>
      </c>
      <c r="D17057" s="12" t="str">
        <f ca="1">IFERROR(__xludf.DUMMYFUNCTION("""COMPUTED_VALUE"""),"")</f>
        <v/>
      </c>
    </row>
    <row r="17058" spans="2:4" ht="13">
      <c r="B17058" s="12" t="str">
        <f ca="1">IFERROR(__xludf.DUMMYFUNCTION("""COMPUTED_VALUE"""),"")</f>
        <v/>
      </c>
      <c r="C17058" s="12" t="str">
        <f ca="1">IFERROR(__xludf.DUMMYFUNCTION("""COMPUTED_VALUE"""),"")</f>
        <v/>
      </c>
      <c r="D17058" s="12" t="str">
        <f ca="1">IFERROR(__xludf.DUMMYFUNCTION("""COMPUTED_VALUE"""),"")</f>
        <v/>
      </c>
    </row>
    <row r="17059" spans="2:4" ht="13">
      <c r="B17059" s="12" t="str">
        <f ca="1">IFERROR(__xludf.DUMMYFUNCTION("""COMPUTED_VALUE"""),"")</f>
        <v/>
      </c>
      <c r="C17059" s="12" t="str">
        <f ca="1">IFERROR(__xludf.DUMMYFUNCTION("""COMPUTED_VALUE"""),"")</f>
        <v/>
      </c>
      <c r="D17059" s="12" t="str">
        <f ca="1">IFERROR(__xludf.DUMMYFUNCTION("""COMPUTED_VALUE"""),"")</f>
        <v/>
      </c>
    </row>
    <row r="17060" spans="2:4" ht="13">
      <c r="B17060" s="12" t="str">
        <f ca="1">IFERROR(__xludf.DUMMYFUNCTION("""COMPUTED_VALUE"""),"")</f>
        <v/>
      </c>
      <c r="C17060" s="12" t="str">
        <f ca="1">IFERROR(__xludf.DUMMYFUNCTION("""COMPUTED_VALUE"""),"")</f>
        <v/>
      </c>
      <c r="D17060" s="12" t="str">
        <f ca="1">IFERROR(__xludf.DUMMYFUNCTION("""COMPUTED_VALUE"""),"")</f>
        <v/>
      </c>
    </row>
    <row r="17061" spans="2:4" ht="13">
      <c r="B17061" s="12" t="str">
        <f ca="1">IFERROR(__xludf.DUMMYFUNCTION("""COMPUTED_VALUE"""),"")</f>
        <v/>
      </c>
      <c r="C17061" s="12" t="str">
        <f ca="1">IFERROR(__xludf.DUMMYFUNCTION("""COMPUTED_VALUE"""),"")</f>
        <v/>
      </c>
      <c r="D17061" s="12" t="str">
        <f ca="1">IFERROR(__xludf.DUMMYFUNCTION("""COMPUTED_VALUE"""),"")</f>
        <v/>
      </c>
    </row>
    <row r="17062" spans="2:4" ht="13">
      <c r="B17062" s="12" t="str">
        <f ca="1">IFERROR(__xludf.DUMMYFUNCTION("""COMPUTED_VALUE"""),"")</f>
        <v/>
      </c>
      <c r="C17062" s="12" t="str">
        <f ca="1">IFERROR(__xludf.DUMMYFUNCTION("""COMPUTED_VALUE"""),"")</f>
        <v/>
      </c>
      <c r="D17062" s="12" t="str">
        <f ca="1">IFERROR(__xludf.DUMMYFUNCTION("""COMPUTED_VALUE"""),"")</f>
        <v/>
      </c>
    </row>
    <row r="17063" spans="2:4" ht="13">
      <c r="B17063" s="12" t="str">
        <f ca="1">IFERROR(__xludf.DUMMYFUNCTION("""COMPUTED_VALUE"""),"")</f>
        <v/>
      </c>
      <c r="C17063" s="12" t="str">
        <f ca="1">IFERROR(__xludf.DUMMYFUNCTION("""COMPUTED_VALUE"""),"")</f>
        <v/>
      </c>
      <c r="D17063" s="12" t="str">
        <f ca="1">IFERROR(__xludf.DUMMYFUNCTION("""COMPUTED_VALUE"""),"")</f>
        <v/>
      </c>
    </row>
    <row r="17064" spans="2:4" ht="13">
      <c r="B17064" s="12" t="str">
        <f ca="1">IFERROR(__xludf.DUMMYFUNCTION("""COMPUTED_VALUE"""),"")</f>
        <v/>
      </c>
      <c r="C17064" s="12" t="str">
        <f ca="1">IFERROR(__xludf.DUMMYFUNCTION("""COMPUTED_VALUE"""),"")</f>
        <v/>
      </c>
      <c r="D17064" s="12" t="str">
        <f ca="1">IFERROR(__xludf.DUMMYFUNCTION("""COMPUTED_VALUE"""),"")</f>
        <v/>
      </c>
    </row>
    <row r="17065" spans="2:4" ht="13">
      <c r="B17065" s="12" t="str">
        <f ca="1">IFERROR(__xludf.DUMMYFUNCTION("""COMPUTED_VALUE"""),"")</f>
        <v/>
      </c>
      <c r="C17065" s="12" t="str">
        <f ca="1">IFERROR(__xludf.DUMMYFUNCTION("""COMPUTED_VALUE"""),"")</f>
        <v/>
      </c>
      <c r="D17065" s="12" t="str">
        <f ca="1">IFERROR(__xludf.DUMMYFUNCTION("""COMPUTED_VALUE"""),"")</f>
        <v/>
      </c>
    </row>
    <row r="17066" spans="2:4" ht="13">
      <c r="B17066" s="12" t="str">
        <f ca="1">IFERROR(__xludf.DUMMYFUNCTION("""COMPUTED_VALUE"""),"")</f>
        <v/>
      </c>
      <c r="C17066" s="12" t="str">
        <f ca="1">IFERROR(__xludf.DUMMYFUNCTION("""COMPUTED_VALUE"""),"")</f>
        <v/>
      </c>
      <c r="D17066" s="12" t="str">
        <f ca="1">IFERROR(__xludf.DUMMYFUNCTION("""COMPUTED_VALUE"""),"")</f>
        <v/>
      </c>
    </row>
    <row r="17067" spans="2:4" ht="13">
      <c r="B17067" s="12" t="str">
        <f ca="1">IFERROR(__xludf.DUMMYFUNCTION("""COMPUTED_VALUE"""),"")</f>
        <v/>
      </c>
      <c r="C17067" s="12" t="str">
        <f ca="1">IFERROR(__xludf.DUMMYFUNCTION("""COMPUTED_VALUE"""),"")</f>
        <v/>
      </c>
      <c r="D17067" s="12" t="str">
        <f ca="1">IFERROR(__xludf.DUMMYFUNCTION("""COMPUTED_VALUE"""),"")</f>
        <v/>
      </c>
    </row>
    <row r="17068" spans="2:4" ht="13">
      <c r="B17068" s="12" t="str">
        <f ca="1">IFERROR(__xludf.DUMMYFUNCTION("""COMPUTED_VALUE"""),"")</f>
        <v/>
      </c>
      <c r="C17068" s="12" t="str">
        <f ca="1">IFERROR(__xludf.DUMMYFUNCTION("""COMPUTED_VALUE"""),"")</f>
        <v/>
      </c>
      <c r="D17068" s="12" t="str">
        <f ca="1">IFERROR(__xludf.DUMMYFUNCTION("""COMPUTED_VALUE"""),"")</f>
        <v/>
      </c>
    </row>
    <row r="17069" spans="2:4" ht="13">
      <c r="B17069" s="12" t="str">
        <f ca="1">IFERROR(__xludf.DUMMYFUNCTION("""COMPUTED_VALUE"""),"")</f>
        <v/>
      </c>
      <c r="C17069" s="12" t="str">
        <f ca="1">IFERROR(__xludf.DUMMYFUNCTION("""COMPUTED_VALUE"""),"")</f>
        <v/>
      </c>
      <c r="D17069" s="12" t="str">
        <f ca="1">IFERROR(__xludf.DUMMYFUNCTION("""COMPUTED_VALUE"""),"")</f>
        <v/>
      </c>
    </row>
    <row r="17070" spans="2:4" ht="13">
      <c r="B17070" s="12" t="str">
        <f ca="1">IFERROR(__xludf.DUMMYFUNCTION("""COMPUTED_VALUE"""),"")</f>
        <v/>
      </c>
      <c r="C17070" s="12" t="str">
        <f ca="1">IFERROR(__xludf.DUMMYFUNCTION("""COMPUTED_VALUE"""),"")</f>
        <v/>
      </c>
      <c r="D17070" s="12" t="str">
        <f ca="1">IFERROR(__xludf.DUMMYFUNCTION("""COMPUTED_VALUE"""),"")</f>
        <v/>
      </c>
    </row>
    <row r="17071" spans="2:4" ht="13">
      <c r="B17071" s="12" t="str">
        <f ca="1">IFERROR(__xludf.DUMMYFUNCTION("""COMPUTED_VALUE"""),"")</f>
        <v/>
      </c>
      <c r="C17071" s="12" t="str">
        <f ca="1">IFERROR(__xludf.DUMMYFUNCTION("""COMPUTED_VALUE"""),"")</f>
        <v/>
      </c>
      <c r="D17071" s="12" t="str">
        <f ca="1">IFERROR(__xludf.DUMMYFUNCTION("""COMPUTED_VALUE"""),"")</f>
        <v/>
      </c>
    </row>
    <row r="17072" spans="2:4" ht="13">
      <c r="B17072" s="12" t="str">
        <f ca="1">IFERROR(__xludf.DUMMYFUNCTION("""COMPUTED_VALUE"""),"")</f>
        <v/>
      </c>
      <c r="C17072" s="12" t="str">
        <f ca="1">IFERROR(__xludf.DUMMYFUNCTION("""COMPUTED_VALUE"""),"")</f>
        <v/>
      </c>
      <c r="D17072" s="12" t="str">
        <f ca="1">IFERROR(__xludf.DUMMYFUNCTION("""COMPUTED_VALUE"""),"")</f>
        <v/>
      </c>
    </row>
    <row r="17073" spans="2:4" ht="13">
      <c r="B17073" s="12" t="str">
        <f ca="1">IFERROR(__xludf.DUMMYFUNCTION("""COMPUTED_VALUE"""),"")</f>
        <v/>
      </c>
      <c r="C17073" s="12" t="str">
        <f ca="1">IFERROR(__xludf.DUMMYFUNCTION("""COMPUTED_VALUE"""),"")</f>
        <v/>
      </c>
      <c r="D17073" s="12" t="str">
        <f ca="1">IFERROR(__xludf.DUMMYFUNCTION("""COMPUTED_VALUE"""),"")</f>
        <v/>
      </c>
    </row>
    <row r="17074" spans="2:4" ht="13">
      <c r="B17074" s="12" t="str">
        <f ca="1">IFERROR(__xludf.DUMMYFUNCTION("""COMPUTED_VALUE"""),"")</f>
        <v/>
      </c>
      <c r="C17074" s="12" t="str">
        <f ca="1">IFERROR(__xludf.DUMMYFUNCTION("""COMPUTED_VALUE"""),"")</f>
        <v/>
      </c>
      <c r="D17074" s="12" t="str">
        <f ca="1">IFERROR(__xludf.DUMMYFUNCTION("""COMPUTED_VALUE"""),"")</f>
        <v/>
      </c>
    </row>
    <row r="17075" spans="2:4" ht="13">
      <c r="B17075" s="12" t="str">
        <f ca="1">IFERROR(__xludf.DUMMYFUNCTION("""COMPUTED_VALUE"""),"")</f>
        <v/>
      </c>
      <c r="C17075" s="12" t="str">
        <f ca="1">IFERROR(__xludf.DUMMYFUNCTION("""COMPUTED_VALUE"""),"")</f>
        <v/>
      </c>
      <c r="D17075" s="12" t="str">
        <f ca="1">IFERROR(__xludf.DUMMYFUNCTION("""COMPUTED_VALUE"""),"")</f>
        <v/>
      </c>
    </row>
    <row r="17076" spans="2:4" ht="13">
      <c r="B17076" s="12" t="str">
        <f ca="1">IFERROR(__xludf.DUMMYFUNCTION("""COMPUTED_VALUE"""),"")</f>
        <v/>
      </c>
      <c r="C17076" s="12" t="str">
        <f ca="1">IFERROR(__xludf.DUMMYFUNCTION("""COMPUTED_VALUE"""),"")</f>
        <v/>
      </c>
      <c r="D17076" s="12" t="str">
        <f ca="1">IFERROR(__xludf.DUMMYFUNCTION("""COMPUTED_VALUE"""),"")</f>
        <v/>
      </c>
    </row>
    <row r="17077" spans="2:4" ht="13">
      <c r="B17077" s="12" t="str">
        <f ca="1">IFERROR(__xludf.DUMMYFUNCTION("""COMPUTED_VALUE"""),"")</f>
        <v/>
      </c>
      <c r="C17077" s="12" t="str">
        <f ca="1">IFERROR(__xludf.DUMMYFUNCTION("""COMPUTED_VALUE"""),"")</f>
        <v/>
      </c>
      <c r="D17077" s="12" t="str">
        <f ca="1">IFERROR(__xludf.DUMMYFUNCTION("""COMPUTED_VALUE"""),"")</f>
        <v/>
      </c>
    </row>
    <row r="17078" spans="2:4" ht="13">
      <c r="B17078" s="12" t="str">
        <f ca="1">IFERROR(__xludf.DUMMYFUNCTION("""COMPUTED_VALUE"""),"")</f>
        <v/>
      </c>
      <c r="C17078" s="12" t="str">
        <f ca="1">IFERROR(__xludf.DUMMYFUNCTION("""COMPUTED_VALUE"""),"")</f>
        <v/>
      </c>
      <c r="D17078" s="12" t="str">
        <f ca="1">IFERROR(__xludf.DUMMYFUNCTION("""COMPUTED_VALUE"""),"")</f>
        <v/>
      </c>
    </row>
    <row r="17079" spans="2:4" ht="13">
      <c r="B17079" s="12" t="str">
        <f ca="1">IFERROR(__xludf.DUMMYFUNCTION("""COMPUTED_VALUE"""),"")</f>
        <v/>
      </c>
      <c r="C17079" s="12" t="str">
        <f ca="1">IFERROR(__xludf.DUMMYFUNCTION("""COMPUTED_VALUE"""),"")</f>
        <v/>
      </c>
      <c r="D17079" s="12" t="str">
        <f ca="1">IFERROR(__xludf.DUMMYFUNCTION("""COMPUTED_VALUE"""),"")</f>
        <v/>
      </c>
    </row>
    <row r="17080" spans="2:4" ht="13">
      <c r="B17080" s="12" t="str">
        <f ca="1">IFERROR(__xludf.DUMMYFUNCTION("""COMPUTED_VALUE"""),"")</f>
        <v/>
      </c>
      <c r="C17080" s="12" t="str">
        <f ca="1">IFERROR(__xludf.DUMMYFUNCTION("""COMPUTED_VALUE"""),"")</f>
        <v/>
      </c>
      <c r="D17080" s="12" t="str">
        <f ca="1">IFERROR(__xludf.DUMMYFUNCTION("""COMPUTED_VALUE"""),"")</f>
        <v/>
      </c>
    </row>
    <row r="17081" spans="2:4" ht="13">
      <c r="B17081" s="12" t="str">
        <f ca="1">IFERROR(__xludf.DUMMYFUNCTION("""COMPUTED_VALUE"""),"")</f>
        <v/>
      </c>
      <c r="C17081" s="12" t="str">
        <f ca="1">IFERROR(__xludf.DUMMYFUNCTION("""COMPUTED_VALUE"""),"")</f>
        <v/>
      </c>
      <c r="D17081" s="12" t="str">
        <f ca="1">IFERROR(__xludf.DUMMYFUNCTION("""COMPUTED_VALUE"""),"")</f>
        <v/>
      </c>
    </row>
    <row r="17082" spans="2:4" ht="13">
      <c r="B17082" s="12" t="str">
        <f ca="1">IFERROR(__xludf.DUMMYFUNCTION("""COMPUTED_VALUE"""),"")</f>
        <v/>
      </c>
      <c r="C17082" s="12" t="str">
        <f ca="1">IFERROR(__xludf.DUMMYFUNCTION("""COMPUTED_VALUE"""),"")</f>
        <v/>
      </c>
      <c r="D17082" s="12" t="str">
        <f ca="1">IFERROR(__xludf.DUMMYFUNCTION("""COMPUTED_VALUE"""),"")</f>
        <v/>
      </c>
    </row>
    <row r="17083" spans="2:4" ht="13">
      <c r="B17083" s="12" t="str">
        <f ca="1">IFERROR(__xludf.DUMMYFUNCTION("""COMPUTED_VALUE"""),"")</f>
        <v/>
      </c>
      <c r="C17083" s="12" t="str">
        <f ca="1">IFERROR(__xludf.DUMMYFUNCTION("""COMPUTED_VALUE"""),"")</f>
        <v/>
      </c>
      <c r="D17083" s="12" t="str">
        <f ca="1">IFERROR(__xludf.DUMMYFUNCTION("""COMPUTED_VALUE"""),"")</f>
        <v/>
      </c>
    </row>
    <row r="17084" spans="2:4" ht="13">
      <c r="B17084" s="12" t="str">
        <f ca="1">IFERROR(__xludf.DUMMYFUNCTION("""COMPUTED_VALUE"""),"")</f>
        <v/>
      </c>
      <c r="C17084" s="12" t="str">
        <f ca="1">IFERROR(__xludf.DUMMYFUNCTION("""COMPUTED_VALUE"""),"")</f>
        <v/>
      </c>
      <c r="D17084" s="12" t="str">
        <f ca="1">IFERROR(__xludf.DUMMYFUNCTION("""COMPUTED_VALUE"""),"")</f>
        <v/>
      </c>
    </row>
    <row r="17085" spans="2:4" ht="13">
      <c r="B17085" s="12" t="str">
        <f ca="1">IFERROR(__xludf.DUMMYFUNCTION("""COMPUTED_VALUE"""),"")</f>
        <v/>
      </c>
      <c r="C17085" s="12" t="str">
        <f ca="1">IFERROR(__xludf.DUMMYFUNCTION("""COMPUTED_VALUE"""),"")</f>
        <v/>
      </c>
      <c r="D17085" s="12" t="str">
        <f ca="1">IFERROR(__xludf.DUMMYFUNCTION("""COMPUTED_VALUE"""),"")</f>
        <v/>
      </c>
    </row>
    <row r="17086" spans="2:4" ht="13">
      <c r="B17086" s="12" t="str">
        <f ca="1">IFERROR(__xludf.DUMMYFUNCTION("""COMPUTED_VALUE"""),"")</f>
        <v/>
      </c>
      <c r="C17086" s="12" t="str">
        <f ca="1">IFERROR(__xludf.DUMMYFUNCTION("""COMPUTED_VALUE"""),"")</f>
        <v/>
      </c>
      <c r="D17086" s="12" t="str">
        <f ca="1">IFERROR(__xludf.DUMMYFUNCTION("""COMPUTED_VALUE"""),"")</f>
        <v/>
      </c>
    </row>
    <row r="17087" spans="2:4" ht="13">
      <c r="B17087" s="12" t="str">
        <f ca="1">IFERROR(__xludf.DUMMYFUNCTION("""COMPUTED_VALUE"""),"")</f>
        <v/>
      </c>
      <c r="C17087" s="12" t="str">
        <f ca="1">IFERROR(__xludf.DUMMYFUNCTION("""COMPUTED_VALUE"""),"")</f>
        <v/>
      </c>
      <c r="D17087" s="12" t="str">
        <f ca="1">IFERROR(__xludf.DUMMYFUNCTION("""COMPUTED_VALUE"""),"")</f>
        <v/>
      </c>
    </row>
    <row r="17088" spans="2:4" ht="13">
      <c r="B17088" s="12" t="str">
        <f ca="1">IFERROR(__xludf.DUMMYFUNCTION("""COMPUTED_VALUE"""),"")</f>
        <v/>
      </c>
      <c r="C17088" s="12" t="str">
        <f ca="1">IFERROR(__xludf.DUMMYFUNCTION("""COMPUTED_VALUE"""),"")</f>
        <v/>
      </c>
      <c r="D17088" s="12" t="str">
        <f ca="1">IFERROR(__xludf.DUMMYFUNCTION("""COMPUTED_VALUE"""),"")</f>
        <v/>
      </c>
    </row>
    <row r="17089" spans="2:4" ht="13">
      <c r="B17089" s="12" t="str">
        <f ca="1">IFERROR(__xludf.DUMMYFUNCTION("""COMPUTED_VALUE"""),"")</f>
        <v/>
      </c>
      <c r="C17089" s="12" t="str">
        <f ca="1">IFERROR(__xludf.DUMMYFUNCTION("""COMPUTED_VALUE"""),"")</f>
        <v/>
      </c>
      <c r="D17089" s="12" t="str">
        <f ca="1">IFERROR(__xludf.DUMMYFUNCTION("""COMPUTED_VALUE"""),"")</f>
        <v/>
      </c>
    </row>
    <row r="17090" spans="2:4" ht="13">
      <c r="B17090" s="12" t="str">
        <f ca="1">IFERROR(__xludf.DUMMYFUNCTION("""COMPUTED_VALUE"""),"")</f>
        <v/>
      </c>
      <c r="C17090" s="12" t="str">
        <f ca="1">IFERROR(__xludf.DUMMYFUNCTION("""COMPUTED_VALUE"""),"")</f>
        <v/>
      </c>
      <c r="D17090" s="12" t="str">
        <f ca="1">IFERROR(__xludf.DUMMYFUNCTION("""COMPUTED_VALUE"""),"")</f>
        <v/>
      </c>
    </row>
    <row r="17091" spans="2:4" ht="13">
      <c r="B17091" s="12" t="str">
        <f ca="1">IFERROR(__xludf.DUMMYFUNCTION("""COMPUTED_VALUE"""),"")</f>
        <v/>
      </c>
      <c r="C17091" s="12" t="str">
        <f ca="1">IFERROR(__xludf.DUMMYFUNCTION("""COMPUTED_VALUE"""),"")</f>
        <v/>
      </c>
      <c r="D17091" s="12" t="str">
        <f ca="1">IFERROR(__xludf.DUMMYFUNCTION("""COMPUTED_VALUE"""),"")</f>
        <v/>
      </c>
    </row>
    <row r="17092" spans="2:4" ht="13">
      <c r="B17092" s="12" t="str">
        <f ca="1">IFERROR(__xludf.DUMMYFUNCTION("""COMPUTED_VALUE"""),"")</f>
        <v/>
      </c>
      <c r="C17092" s="12" t="str">
        <f ca="1">IFERROR(__xludf.DUMMYFUNCTION("""COMPUTED_VALUE"""),"")</f>
        <v/>
      </c>
      <c r="D17092" s="12" t="str">
        <f ca="1">IFERROR(__xludf.DUMMYFUNCTION("""COMPUTED_VALUE"""),"")</f>
        <v/>
      </c>
    </row>
    <row r="17093" spans="2:4" ht="13">
      <c r="B17093" s="12" t="str">
        <f ca="1">IFERROR(__xludf.DUMMYFUNCTION("""COMPUTED_VALUE"""),"")</f>
        <v/>
      </c>
      <c r="C17093" s="12" t="str">
        <f ca="1">IFERROR(__xludf.DUMMYFUNCTION("""COMPUTED_VALUE"""),"")</f>
        <v/>
      </c>
      <c r="D17093" s="12" t="str">
        <f ca="1">IFERROR(__xludf.DUMMYFUNCTION("""COMPUTED_VALUE"""),"")</f>
        <v/>
      </c>
    </row>
    <row r="17094" spans="2:4" ht="13">
      <c r="B17094" s="12" t="str">
        <f ca="1">IFERROR(__xludf.DUMMYFUNCTION("""COMPUTED_VALUE"""),"")</f>
        <v/>
      </c>
      <c r="C17094" s="12" t="str">
        <f ca="1">IFERROR(__xludf.DUMMYFUNCTION("""COMPUTED_VALUE"""),"")</f>
        <v/>
      </c>
      <c r="D17094" s="12" t="str">
        <f ca="1">IFERROR(__xludf.DUMMYFUNCTION("""COMPUTED_VALUE"""),"")</f>
        <v/>
      </c>
    </row>
    <row r="17095" spans="2:4" ht="13">
      <c r="B17095" s="12" t="str">
        <f ca="1">IFERROR(__xludf.DUMMYFUNCTION("""COMPUTED_VALUE"""),"")</f>
        <v/>
      </c>
      <c r="C17095" s="12" t="str">
        <f ca="1">IFERROR(__xludf.DUMMYFUNCTION("""COMPUTED_VALUE"""),"")</f>
        <v/>
      </c>
      <c r="D17095" s="12" t="str">
        <f ca="1">IFERROR(__xludf.DUMMYFUNCTION("""COMPUTED_VALUE"""),"")</f>
        <v/>
      </c>
    </row>
    <row r="17096" spans="2:4" ht="13">
      <c r="B17096" s="12" t="str">
        <f ca="1">IFERROR(__xludf.DUMMYFUNCTION("""COMPUTED_VALUE"""),"")</f>
        <v/>
      </c>
      <c r="C17096" s="12" t="str">
        <f ca="1">IFERROR(__xludf.DUMMYFUNCTION("""COMPUTED_VALUE"""),"")</f>
        <v/>
      </c>
      <c r="D17096" s="12" t="str">
        <f ca="1">IFERROR(__xludf.DUMMYFUNCTION("""COMPUTED_VALUE"""),"")</f>
        <v/>
      </c>
    </row>
    <row r="17097" spans="2:4" ht="13">
      <c r="B17097" s="12" t="str">
        <f ca="1">IFERROR(__xludf.DUMMYFUNCTION("""COMPUTED_VALUE"""),"")</f>
        <v/>
      </c>
      <c r="C17097" s="12" t="str">
        <f ca="1">IFERROR(__xludf.DUMMYFUNCTION("""COMPUTED_VALUE"""),"")</f>
        <v/>
      </c>
      <c r="D17097" s="12" t="str">
        <f ca="1">IFERROR(__xludf.DUMMYFUNCTION("""COMPUTED_VALUE"""),"")</f>
        <v/>
      </c>
    </row>
    <row r="17098" spans="2:4" ht="13">
      <c r="B17098" s="12" t="str">
        <f ca="1">IFERROR(__xludf.DUMMYFUNCTION("""COMPUTED_VALUE"""),"")</f>
        <v/>
      </c>
      <c r="C17098" s="12" t="str">
        <f ca="1">IFERROR(__xludf.DUMMYFUNCTION("""COMPUTED_VALUE"""),"")</f>
        <v/>
      </c>
      <c r="D17098" s="12" t="str">
        <f ca="1">IFERROR(__xludf.DUMMYFUNCTION("""COMPUTED_VALUE"""),"")</f>
        <v/>
      </c>
    </row>
    <row r="17099" spans="2:4" ht="13">
      <c r="B17099" s="12" t="str">
        <f ca="1">IFERROR(__xludf.DUMMYFUNCTION("""COMPUTED_VALUE"""),"")</f>
        <v/>
      </c>
      <c r="C17099" s="12" t="str">
        <f ca="1">IFERROR(__xludf.DUMMYFUNCTION("""COMPUTED_VALUE"""),"")</f>
        <v/>
      </c>
      <c r="D17099" s="12" t="str">
        <f ca="1">IFERROR(__xludf.DUMMYFUNCTION("""COMPUTED_VALUE"""),"")</f>
        <v/>
      </c>
    </row>
    <row r="17100" spans="2:4" ht="13">
      <c r="B17100" s="12" t="str">
        <f ca="1">IFERROR(__xludf.DUMMYFUNCTION("""COMPUTED_VALUE"""),"")</f>
        <v/>
      </c>
      <c r="C17100" s="12" t="str">
        <f ca="1">IFERROR(__xludf.DUMMYFUNCTION("""COMPUTED_VALUE"""),"")</f>
        <v/>
      </c>
      <c r="D17100" s="12" t="str">
        <f ca="1">IFERROR(__xludf.DUMMYFUNCTION("""COMPUTED_VALUE"""),"")</f>
        <v/>
      </c>
    </row>
    <row r="17101" spans="2:4" ht="13">
      <c r="B17101" s="12" t="str">
        <f ca="1">IFERROR(__xludf.DUMMYFUNCTION("""COMPUTED_VALUE"""),"")</f>
        <v/>
      </c>
      <c r="C17101" s="12" t="str">
        <f ca="1">IFERROR(__xludf.DUMMYFUNCTION("""COMPUTED_VALUE"""),"")</f>
        <v/>
      </c>
      <c r="D17101" s="12" t="str">
        <f ca="1">IFERROR(__xludf.DUMMYFUNCTION("""COMPUTED_VALUE"""),"")</f>
        <v/>
      </c>
    </row>
    <row r="17102" spans="2:4" ht="13">
      <c r="B17102" s="12" t="str">
        <f ca="1">IFERROR(__xludf.DUMMYFUNCTION("""COMPUTED_VALUE"""),"")</f>
        <v/>
      </c>
      <c r="C17102" s="12" t="str">
        <f ca="1">IFERROR(__xludf.DUMMYFUNCTION("""COMPUTED_VALUE"""),"")</f>
        <v/>
      </c>
      <c r="D17102" s="12" t="str">
        <f ca="1">IFERROR(__xludf.DUMMYFUNCTION("""COMPUTED_VALUE"""),"")</f>
        <v/>
      </c>
    </row>
    <row r="17103" spans="2:4" ht="13">
      <c r="B17103" s="12" t="str">
        <f ca="1">IFERROR(__xludf.DUMMYFUNCTION("""COMPUTED_VALUE"""),"")</f>
        <v/>
      </c>
      <c r="C17103" s="12" t="str">
        <f ca="1">IFERROR(__xludf.DUMMYFUNCTION("""COMPUTED_VALUE"""),"")</f>
        <v/>
      </c>
      <c r="D17103" s="12" t="str">
        <f ca="1">IFERROR(__xludf.DUMMYFUNCTION("""COMPUTED_VALUE"""),"")</f>
        <v/>
      </c>
    </row>
    <row r="17104" spans="2:4" ht="13">
      <c r="B17104" s="12" t="str">
        <f ca="1">IFERROR(__xludf.DUMMYFUNCTION("""COMPUTED_VALUE"""),"")</f>
        <v/>
      </c>
      <c r="C17104" s="12" t="str">
        <f ca="1">IFERROR(__xludf.DUMMYFUNCTION("""COMPUTED_VALUE"""),"")</f>
        <v/>
      </c>
      <c r="D17104" s="12" t="str">
        <f ca="1">IFERROR(__xludf.DUMMYFUNCTION("""COMPUTED_VALUE"""),"")</f>
        <v/>
      </c>
    </row>
    <row r="17105" spans="2:4" ht="13">
      <c r="B17105" s="12" t="str">
        <f ca="1">IFERROR(__xludf.DUMMYFUNCTION("""COMPUTED_VALUE"""),"")</f>
        <v/>
      </c>
      <c r="C17105" s="12" t="str">
        <f ca="1">IFERROR(__xludf.DUMMYFUNCTION("""COMPUTED_VALUE"""),"")</f>
        <v/>
      </c>
      <c r="D17105" s="12" t="str">
        <f ca="1">IFERROR(__xludf.DUMMYFUNCTION("""COMPUTED_VALUE"""),"")</f>
        <v/>
      </c>
    </row>
    <row r="17106" spans="2:4" ht="13">
      <c r="B17106" s="12" t="str">
        <f ca="1">IFERROR(__xludf.DUMMYFUNCTION("""COMPUTED_VALUE"""),"")</f>
        <v/>
      </c>
      <c r="C17106" s="12" t="str">
        <f ca="1">IFERROR(__xludf.DUMMYFUNCTION("""COMPUTED_VALUE"""),"")</f>
        <v/>
      </c>
      <c r="D17106" s="12" t="str">
        <f ca="1">IFERROR(__xludf.DUMMYFUNCTION("""COMPUTED_VALUE"""),"")</f>
        <v/>
      </c>
    </row>
    <row r="17107" spans="2:4" ht="13">
      <c r="B17107" s="12" t="str">
        <f ca="1">IFERROR(__xludf.DUMMYFUNCTION("""COMPUTED_VALUE"""),"")</f>
        <v/>
      </c>
      <c r="C17107" s="12" t="str">
        <f ca="1">IFERROR(__xludf.DUMMYFUNCTION("""COMPUTED_VALUE"""),"")</f>
        <v/>
      </c>
      <c r="D17107" s="12" t="str">
        <f ca="1">IFERROR(__xludf.DUMMYFUNCTION("""COMPUTED_VALUE"""),"")</f>
        <v/>
      </c>
    </row>
    <row r="17108" spans="2:4" ht="13">
      <c r="B17108" s="12" t="str">
        <f ca="1">IFERROR(__xludf.DUMMYFUNCTION("""COMPUTED_VALUE"""),"")</f>
        <v/>
      </c>
      <c r="C17108" s="12" t="str">
        <f ca="1">IFERROR(__xludf.DUMMYFUNCTION("""COMPUTED_VALUE"""),"")</f>
        <v/>
      </c>
      <c r="D17108" s="12" t="str">
        <f ca="1">IFERROR(__xludf.DUMMYFUNCTION("""COMPUTED_VALUE"""),"")</f>
        <v/>
      </c>
    </row>
    <row r="17109" spans="2:4" ht="13">
      <c r="B17109" s="12" t="str">
        <f ca="1">IFERROR(__xludf.DUMMYFUNCTION("""COMPUTED_VALUE"""),"")</f>
        <v/>
      </c>
      <c r="C17109" s="12" t="str">
        <f ca="1">IFERROR(__xludf.DUMMYFUNCTION("""COMPUTED_VALUE"""),"")</f>
        <v/>
      </c>
      <c r="D17109" s="12" t="str">
        <f ca="1">IFERROR(__xludf.DUMMYFUNCTION("""COMPUTED_VALUE"""),"")</f>
        <v/>
      </c>
    </row>
    <row r="17110" spans="2:4" ht="13">
      <c r="B17110" s="12" t="str">
        <f ca="1">IFERROR(__xludf.DUMMYFUNCTION("""COMPUTED_VALUE"""),"")</f>
        <v/>
      </c>
      <c r="C17110" s="12" t="str">
        <f ca="1">IFERROR(__xludf.DUMMYFUNCTION("""COMPUTED_VALUE"""),"")</f>
        <v/>
      </c>
      <c r="D17110" s="12" t="str">
        <f ca="1">IFERROR(__xludf.DUMMYFUNCTION("""COMPUTED_VALUE"""),"")</f>
        <v/>
      </c>
    </row>
    <row r="17111" spans="2:4" ht="13">
      <c r="B17111" s="12" t="str">
        <f ca="1">IFERROR(__xludf.DUMMYFUNCTION("""COMPUTED_VALUE"""),"")</f>
        <v/>
      </c>
      <c r="C17111" s="12" t="str">
        <f ca="1">IFERROR(__xludf.DUMMYFUNCTION("""COMPUTED_VALUE"""),"")</f>
        <v/>
      </c>
      <c r="D17111" s="12" t="str">
        <f ca="1">IFERROR(__xludf.DUMMYFUNCTION("""COMPUTED_VALUE"""),"")</f>
        <v/>
      </c>
    </row>
    <row r="17112" spans="2:4" ht="13">
      <c r="B17112" s="12" t="str">
        <f ca="1">IFERROR(__xludf.DUMMYFUNCTION("""COMPUTED_VALUE"""),"")</f>
        <v/>
      </c>
      <c r="C17112" s="12" t="str">
        <f ca="1">IFERROR(__xludf.DUMMYFUNCTION("""COMPUTED_VALUE"""),"")</f>
        <v/>
      </c>
      <c r="D17112" s="12" t="str">
        <f ca="1">IFERROR(__xludf.DUMMYFUNCTION("""COMPUTED_VALUE"""),"")</f>
        <v/>
      </c>
    </row>
    <row r="17113" spans="2:4" ht="13">
      <c r="B17113" s="12" t="str">
        <f ca="1">IFERROR(__xludf.DUMMYFUNCTION("""COMPUTED_VALUE"""),"")</f>
        <v/>
      </c>
      <c r="C17113" s="12" t="str">
        <f ca="1">IFERROR(__xludf.DUMMYFUNCTION("""COMPUTED_VALUE"""),"")</f>
        <v/>
      </c>
      <c r="D17113" s="12" t="str">
        <f ca="1">IFERROR(__xludf.DUMMYFUNCTION("""COMPUTED_VALUE"""),"")</f>
        <v/>
      </c>
    </row>
    <row r="17114" spans="2:4" ht="13">
      <c r="B17114" s="12" t="str">
        <f ca="1">IFERROR(__xludf.DUMMYFUNCTION("""COMPUTED_VALUE"""),"")</f>
        <v/>
      </c>
      <c r="C17114" s="12" t="str">
        <f ca="1">IFERROR(__xludf.DUMMYFUNCTION("""COMPUTED_VALUE"""),"")</f>
        <v/>
      </c>
      <c r="D17114" s="12" t="str">
        <f ca="1">IFERROR(__xludf.DUMMYFUNCTION("""COMPUTED_VALUE"""),"")</f>
        <v/>
      </c>
    </row>
    <row r="17115" spans="2:4" ht="13">
      <c r="B17115" s="12" t="str">
        <f ca="1">IFERROR(__xludf.DUMMYFUNCTION("""COMPUTED_VALUE"""),"")</f>
        <v/>
      </c>
      <c r="C17115" s="12" t="str">
        <f ca="1">IFERROR(__xludf.DUMMYFUNCTION("""COMPUTED_VALUE"""),"")</f>
        <v/>
      </c>
      <c r="D17115" s="12" t="str">
        <f ca="1">IFERROR(__xludf.DUMMYFUNCTION("""COMPUTED_VALUE"""),"")</f>
        <v/>
      </c>
    </row>
    <row r="17116" spans="2:4" ht="13">
      <c r="B17116" s="12" t="str">
        <f ca="1">IFERROR(__xludf.DUMMYFUNCTION("""COMPUTED_VALUE"""),"")</f>
        <v/>
      </c>
      <c r="C17116" s="12" t="str">
        <f ca="1">IFERROR(__xludf.DUMMYFUNCTION("""COMPUTED_VALUE"""),"")</f>
        <v/>
      </c>
      <c r="D17116" s="12" t="str">
        <f ca="1">IFERROR(__xludf.DUMMYFUNCTION("""COMPUTED_VALUE"""),"")</f>
        <v/>
      </c>
    </row>
    <row r="17117" spans="2:4" ht="13">
      <c r="B17117" s="12" t="str">
        <f ca="1">IFERROR(__xludf.DUMMYFUNCTION("""COMPUTED_VALUE"""),"")</f>
        <v/>
      </c>
      <c r="C17117" s="12" t="str">
        <f ca="1">IFERROR(__xludf.DUMMYFUNCTION("""COMPUTED_VALUE"""),"")</f>
        <v/>
      </c>
      <c r="D17117" s="12" t="str">
        <f ca="1">IFERROR(__xludf.DUMMYFUNCTION("""COMPUTED_VALUE"""),"")</f>
        <v/>
      </c>
    </row>
    <row r="17118" spans="2:4" ht="13">
      <c r="B17118" s="12" t="str">
        <f ca="1">IFERROR(__xludf.DUMMYFUNCTION("""COMPUTED_VALUE"""),"")</f>
        <v/>
      </c>
      <c r="C17118" s="12" t="str">
        <f ca="1">IFERROR(__xludf.DUMMYFUNCTION("""COMPUTED_VALUE"""),"")</f>
        <v/>
      </c>
      <c r="D17118" s="12" t="str">
        <f ca="1">IFERROR(__xludf.DUMMYFUNCTION("""COMPUTED_VALUE"""),"")</f>
        <v/>
      </c>
    </row>
    <row r="17119" spans="2:4" ht="13">
      <c r="B17119" s="12" t="str">
        <f ca="1">IFERROR(__xludf.DUMMYFUNCTION("""COMPUTED_VALUE"""),"")</f>
        <v/>
      </c>
      <c r="C17119" s="12" t="str">
        <f ca="1">IFERROR(__xludf.DUMMYFUNCTION("""COMPUTED_VALUE"""),"")</f>
        <v/>
      </c>
      <c r="D17119" s="12" t="str">
        <f ca="1">IFERROR(__xludf.DUMMYFUNCTION("""COMPUTED_VALUE"""),"")</f>
        <v/>
      </c>
    </row>
    <row r="17120" spans="2:4" ht="13">
      <c r="B17120" s="12" t="str">
        <f ca="1">IFERROR(__xludf.DUMMYFUNCTION("""COMPUTED_VALUE"""),"")</f>
        <v/>
      </c>
      <c r="C17120" s="12" t="str">
        <f ca="1">IFERROR(__xludf.DUMMYFUNCTION("""COMPUTED_VALUE"""),"")</f>
        <v/>
      </c>
      <c r="D17120" s="12" t="str">
        <f ca="1">IFERROR(__xludf.DUMMYFUNCTION("""COMPUTED_VALUE"""),"")</f>
        <v/>
      </c>
    </row>
    <row r="17121" spans="2:4" ht="13">
      <c r="B17121" s="12" t="str">
        <f ca="1">IFERROR(__xludf.DUMMYFUNCTION("""COMPUTED_VALUE"""),"")</f>
        <v/>
      </c>
      <c r="C17121" s="12" t="str">
        <f ca="1">IFERROR(__xludf.DUMMYFUNCTION("""COMPUTED_VALUE"""),"")</f>
        <v/>
      </c>
      <c r="D17121" s="12" t="str">
        <f ca="1">IFERROR(__xludf.DUMMYFUNCTION("""COMPUTED_VALUE"""),"")</f>
        <v/>
      </c>
    </row>
    <row r="17122" spans="2:4" ht="13">
      <c r="B17122" s="12" t="str">
        <f ca="1">IFERROR(__xludf.DUMMYFUNCTION("""COMPUTED_VALUE"""),"")</f>
        <v/>
      </c>
      <c r="C17122" s="12" t="str">
        <f ca="1">IFERROR(__xludf.DUMMYFUNCTION("""COMPUTED_VALUE"""),"")</f>
        <v/>
      </c>
      <c r="D17122" s="12" t="str">
        <f ca="1">IFERROR(__xludf.DUMMYFUNCTION("""COMPUTED_VALUE"""),"")</f>
        <v/>
      </c>
    </row>
    <row r="17123" spans="2:4" ht="13">
      <c r="B17123" s="12" t="str">
        <f ca="1">IFERROR(__xludf.DUMMYFUNCTION("""COMPUTED_VALUE"""),"")</f>
        <v/>
      </c>
      <c r="C17123" s="12" t="str">
        <f ca="1">IFERROR(__xludf.DUMMYFUNCTION("""COMPUTED_VALUE"""),"")</f>
        <v/>
      </c>
      <c r="D17123" s="12" t="str">
        <f ca="1">IFERROR(__xludf.DUMMYFUNCTION("""COMPUTED_VALUE"""),"")</f>
        <v/>
      </c>
    </row>
    <row r="17124" spans="2:4" ht="13">
      <c r="B17124" s="12" t="str">
        <f ca="1">IFERROR(__xludf.DUMMYFUNCTION("""COMPUTED_VALUE"""),"")</f>
        <v/>
      </c>
      <c r="C17124" s="12" t="str">
        <f ca="1">IFERROR(__xludf.DUMMYFUNCTION("""COMPUTED_VALUE"""),"")</f>
        <v/>
      </c>
      <c r="D17124" s="12" t="str">
        <f ca="1">IFERROR(__xludf.DUMMYFUNCTION("""COMPUTED_VALUE"""),"")</f>
        <v/>
      </c>
    </row>
    <row r="17125" spans="2:4" ht="13">
      <c r="B17125" s="12" t="str">
        <f ca="1">IFERROR(__xludf.DUMMYFUNCTION("""COMPUTED_VALUE"""),"")</f>
        <v/>
      </c>
      <c r="C17125" s="12" t="str">
        <f ca="1">IFERROR(__xludf.DUMMYFUNCTION("""COMPUTED_VALUE"""),"")</f>
        <v/>
      </c>
      <c r="D17125" s="12" t="str">
        <f ca="1">IFERROR(__xludf.DUMMYFUNCTION("""COMPUTED_VALUE"""),"")</f>
        <v/>
      </c>
    </row>
    <row r="17126" spans="2:4" ht="13">
      <c r="B17126" s="12" t="str">
        <f ca="1">IFERROR(__xludf.DUMMYFUNCTION("""COMPUTED_VALUE"""),"")</f>
        <v/>
      </c>
      <c r="C17126" s="12" t="str">
        <f ca="1">IFERROR(__xludf.DUMMYFUNCTION("""COMPUTED_VALUE"""),"")</f>
        <v/>
      </c>
      <c r="D17126" s="12" t="str">
        <f ca="1">IFERROR(__xludf.DUMMYFUNCTION("""COMPUTED_VALUE"""),"")</f>
        <v/>
      </c>
    </row>
    <row r="17127" spans="2:4" ht="13">
      <c r="B17127" s="12" t="str">
        <f ca="1">IFERROR(__xludf.DUMMYFUNCTION("""COMPUTED_VALUE"""),"")</f>
        <v/>
      </c>
      <c r="C17127" s="12" t="str">
        <f ca="1">IFERROR(__xludf.DUMMYFUNCTION("""COMPUTED_VALUE"""),"")</f>
        <v/>
      </c>
      <c r="D17127" s="12" t="str">
        <f ca="1">IFERROR(__xludf.DUMMYFUNCTION("""COMPUTED_VALUE"""),"")</f>
        <v/>
      </c>
    </row>
    <row r="17128" spans="2:4" ht="13">
      <c r="B17128" s="12" t="str">
        <f ca="1">IFERROR(__xludf.DUMMYFUNCTION("""COMPUTED_VALUE"""),"")</f>
        <v/>
      </c>
      <c r="C17128" s="12" t="str">
        <f ca="1">IFERROR(__xludf.DUMMYFUNCTION("""COMPUTED_VALUE"""),"")</f>
        <v/>
      </c>
      <c r="D17128" s="12" t="str">
        <f ca="1">IFERROR(__xludf.DUMMYFUNCTION("""COMPUTED_VALUE"""),"")</f>
        <v/>
      </c>
    </row>
    <row r="17129" spans="2:4" ht="13">
      <c r="B17129" s="12" t="str">
        <f ca="1">IFERROR(__xludf.DUMMYFUNCTION("""COMPUTED_VALUE"""),"")</f>
        <v/>
      </c>
      <c r="C17129" s="12" t="str">
        <f ca="1">IFERROR(__xludf.DUMMYFUNCTION("""COMPUTED_VALUE"""),"")</f>
        <v/>
      </c>
      <c r="D17129" s="12" t="str">
        <f ca="1">IFERROR(__xludf.DUMMYFUNCTION("""COMPUTED_VALUE"""),"")</f>
        <v/>
      </c>
    </row>
    <row r="17130" spans="2:4" ht="13">
      <c r="B17130" s="12" t="str">
        <f ca="1">IFERROR(__xludf.DUMMYFUNCTION("""COMPUTED_VALUE"""),"")</f>
        <v/>
      </c>
      <c r="C17130" s="12" t="str">
        <f ca="1">IFERROR(__xludf.DUMMYFUNCTION("""COMPUTED_VALUE"""),"")</f>
        <v/>
      </c>
      <c r="D17130" s="12" t="str">
        <f ca="1">IFERROR(__xludf.DUMMYFUNCTION("""COMPUTED_VALUE"""),"")</f>
        <v/>
      </c>
    </row>
    <row r="17131" spans="2:4" ht="13">
      <c r="B17131" s="12" t="str">
        <f ca="1">IFERROR(__xludf.DUMMYFUNCTION("""COMPUTED_VALUE"""),"")</f>
        <v/>
      </c>
      <c r="C17131" s="12" t="str">
        <f ca="1">IFERROR(__xludf.DUMMYFUNCTION("""COMPUTED_VALUE"""),"")</f>
        <v/>
      </c>
      <c r="D17131" s="12" t="str">
        <f ca="1">IFERROR(__xludf.DUMMYFUNCTION("""COMPUTED_VALUE"""),"")</f>
        <v/>
      </c>
    </row>
    <row r="17132" spans="2:4" ht="13">
      <c r="B17132" s="12" t="str">
        <f ca="1">IFERROR(__xludf.DUMMYFUNCTION("""COMPUTED_VALUE"""),"")</f>
        <v/>
      </c>
      <c r="C17132" s="12" t="str">
        <f ca="1">IFERROR(__xludf.DUMMYFUNCTION("""COMPUTED_VALUE"""),"")</f>
        <v/>
      </c>
      <c r="D17132" s="12" t="str">
        <f ca="1">IFERROR(__xludf.DUMMYFUNCTION("""COMPUTED_VALUE"""),"")</f>
        <v/>
      </c>
    </row>
    <row r="17133" spans="2:4" ht="13">
      <c r="B17133" s="12" t="str">
        <f ca="1">IFERROR(__xludf.DUMMYFUNCTION("""COMPUTED_VALUE"""),"")</f>
        <v/>
      </c>
      <c r="C17133" s="12" t="str">
        <f ca="1">IFERROR(__xludf.DUMMYFUNCTION("""COMPUTED_VALUE"""),"")</f>
        <v/>
      </c>
      <c r="D17133" s="12" t="str">
        <f ca="1">IFERROR(__xludf.DUMMYFUNCTION("""COMPUTED_VALUE"""),"")</f>
        <v/>
      </c>
    </row>
    <row r="17134" spans="2:4" ht="13">
      <c r="B17134" s="12" t="str">
        <f ca="1">IFERROR(__xludf.DUMMYFUNCTION("""COMPUTED_VALUE"""),"")</f>
        <v/>
      </c>
      <c r="C17134" s="12" t="str">
        <f ca="1">IFERROR(__xludf.DUMMYFUNCTION("""COMPUTED_VALUE"""),"")</f>
        <v/>
      </c>
      <c r="D17134" s="12" t="str">
        <f ca="1">IFERROR(__xludf.DUMMYFUNCTION("""COMPUTED_VALUE"""),"")</f>
        <v/>
      </c>
    </row>
    <row r="17135" spans="2:4" ht="13">
      <c r="B17135" s="12" t="str">
        <f ca="1">IFERROR(__xludf.DUMMYFUNCTION("""COMPUTED_VALUE"""),"")</f>
        <v/>
      </c>
      <c r="C17135" s="12" t="str">
        <f ca="1">IFERROR(__xludf.DUMMYFUNCTION("""COMPUTED_VALUE"""),"")</f>
        <v/>
      </c>
      <c r="D17135" s="12" t="str">
        <f ca="1">IFERROR(__xludf.DUMMYFUNCTION("""COMPUTED_VALUE"""),"")</f>
        <v/>
      </c>
    </row>
    <row r="17136" spans="2:4" ht="13">
      <c r="B17136" s="12" t="str">
        <f ca="1">IFERROR(__xludf.DUMMYFUNCTION("""COMPUTED_VALUE"""),"")</f>
        <v/>
      </c>
      <c r="C17136" s="12" t="str">
        <f ca="1">IFERROR(__xludf.DUMMYFUNCTION("""COMPUTED_VALUE"""),"")</f>
        <v/>
      </c>
      <c r="D17136" s="12" t="str">
        <f ca="1">IFERROR(__xludf.DUMMYFUNCTION("""COMPUTED_VALUE"""),"")</f>
        <v/>
      </c>
    </row>
    <row r="17137" spans="2:4" ht="13">
      <c r="B17137" s="12" t="str">
        <f ca="1">IFERROR(__xludf.DUMMYFUNCTION("""COMPUTED_VALUE"""),"")</f>
        <v/>
      </c>
      <c r="C17137" s="12" t="str">
        <f ca="1">IFERROR(__xludf.DUMMYFUNCTION("""COMPUTED_VALUE"""),"")</f>
        <v/>
      </c>
      <c r="D17137" s="12" t="str">
        <f ca="1">IFERROR(__xludf.DUMMYFUNCTION("""COMPUTED_VALUE"""),"")</f>
        <v/>
      </c>
    </row>
    <row r="17138" spans="2:4" ht="13">
      <c r="B17138" s="12" t="str">
        <f ca="1">IFERROR(__xludf.DUMMYFUNCTION("""COMPUTED_VALUE"""),"")</f>
        <v/>
      </c>
      <c r="C17138" s="12" t="str">
        <f ca="1">IFERROR(__xludf.DUMMYFUNCTION("""COMPUTED_VALUE"""),"")</f>
        <v/>
      </c>
      <c r="D17138" s="12" t="str">
        <f ca="1">IFERROR(__xludf.DUMMYFUNCTION("""COMPUTED_VALUE"""),"")</f>
        <v/>
      </c>
    </row>
    <row r="17139" spans="2:4" ht="13">
      <c r="B17139" s="12" t="str">
        <f ca="1">IFERROR(__xludf.DUMMYFUNCTION("""COMPUTED_VALUE"""),"")</f>
        <v/>
      </c>
      <c r="C17139" s="12" t="str">
        <f ca="1">IFERROR(__xludf.DUMMYFUNCTION("""COMPUTED_VALUE"""),"")</f>
        <v/>
      </c>
      <c r="D17139" s="12" t="str">
        <f ca="1">IFERROR(__xludf.DUMMYFUNCTION("""COMPUTED_VALUE"""),"")</f>
        <v/>
      </c>
    </row>
    <row r="17140" spans="2:4" ht="13">
      <c r="B17140" s="12" t="str">
        <f ca="1">IFERROR(__xludf.DUMMYFUNCTION("""COMPUTED_VALUE"""),"")</f>
        <v/>
      </c>
      <c r="C17140" s="12" t="str">
        <f ca="1">IFERROR(__xludf.DUMMYFUNCTION("""COMPUTED_VALUE"""),"")</f>
        <v/>
      </c>
      <c r="D17140" s="12" t="str">
        <f ca="1">IFERROR(__xludf.DUMMYFUNCTION("""COMPUTED_VALUE"""),"")</f>
        <v/>
      </c>
    </row>
    <row r="17141" spans="2:4" ht="13">
      <c r="B17141" s="12" t="str">
        <f ca="1">IFERROR(__xludf.DUMMYFUNCTION("""COMPUTED_VALUE"""),"")</f>
        <v/>
      </c>
      <c r="C17141" s="12" t="str">
        <f ca="1">IFERROR(__xludf.DUMMYFUNCTION("""COMPUTED_VALUE"""),"")</f>
        <v/>
      </c>
      <c r="D17141" s="12" t="str">
        <f ca="1">IFERROR(__xludf.DUMMYFUNCTION("""COMPUTED_VALUE"""),"")</f>
        <v/>
      </c>
    </row>
    <row r="17142" spans="2:4" ht="13">
      <c r="B17142" s="12" t="str">
        <f ca="1">IFERROR(__xludf.DUMMYFUNCTION("""COMPUTED_VALUE"""),"")</f>
        <v/>
      </c>
      <c r="C17142" s="12" t="str">
        <f ca="1">IFERROR(__xludf.DUMMYFUNCTION("""COMPUTED_VALUE"""),"")</f>
        <v/>
      </c>
      <c r="D17142" s="12" t="str">
        <f ca="1">IFERROR(__xludf.DUMMYFUNCTION("""COMPUTED_VALUE"""),"")</f>
        <v/>
      </c>
    </row>
    <row r="17143" spans="2:4" ht="13">
      <c r="B17143" s="12" t="str">
        <f ca="1">IFERROR(__xludf.DUMMYFUNCTION("""COMPUTED_VALUE"""),"")</f>
        <v/>
      </c>
      <c r="C17143" s="12" t="str">
        <f ca="1">IFERROR(__xludf.DUMMYFUNCTION("""COMPUTED_VALUE"""),"")</f>
        <v/>
      </c>
      <c r="D17143" s="12" t="str">
        <f ca="1">IFERROR(__xludf.DUMMYFUNCTION("""COMPUTED_VALUE"""),"")</f>
        <v/>
      </c>
    </row>
    <row r="17144" spans="2:4" ht="13">
      <c r="B17144" s="12" t="str">
        <f ca="1">IFERROR(__xludf.DUMMYFUNCTION("""COMPUTED_VALUE"""),"")</f>
        <v/>
      </c>
      <c r="C17144" s="12" t="str">
        <f ca="1">IFERROR(__xludf.DUMMYFUNCTION("""COMPUTED_VALUE"""),"")</f>
        <v/>
      </c>
      <c r="D17144" s="12" t="str">
        <f ca="1">IFERROR(__xludf.DUMMYFUNCTION("""COMPUTED_VALUE"""),"")</f>
        <v/>
      </c>
    </row>
    <row r="17145" spans="2:4" ht="13">
      <c r="B17145" s="12" t="str">
        <f ca="1">IFERROR(__xludf.DUMMYFUNCTION("""COMPUTED_VALUE"""),"")</f>
        <v/>
      </c>
      <c r="C17145" s="12" t="str">
        <f ca="1">IFERROR(__xludf.DUMMYFUNCTION("""COMPUTED_VALUE"""),"")</f>
        <v/>
      </c>
      <c r="D17145" s="12" t="str">
        <f ca="1">IFERROR(__xludf.DUMMYFUNCTION("""COMPUTED_VALUE"""),"")</f>
        <v/>
      </c>
    </row>
    <row r="17146" spans="2:4" ht="13">
      <c r="B17146" s="12" t="str">
        <f ca="1">IFERROR(__xludf.DUMMYFUNCTION("""COMPUTED_VALUE"""),"")</f>
        <v/>
      </c>
      <c r="C17146" s="12" t="str">
        <f ca="1">IFERROR(__xludf.DUMMYFUNCTION("""COMPUTED_VALUE"""),"")</f>
        <v/>
      </c>
      <c r="D17146" s="12" t="str">
        <f ca="1">IFERROR(__xludf.DUMMYFUNCTION("""COMPUTED_VALUE"""),"")</f>
        <v/>
      </c>
    </row>
    <row r="17147" spans="2:4" ht="13">
      <c r="B17147" s="12" t="str">
        <f ca="1">IFERROR(__xludf.DUMMYFUNCTION("""COMPUTED_VALUE"""),"")</f>
        <v/>
      </c>
      <c r="C17147" s="12" t="str">
        <f ca="1">IFERROR(__xludf.DUMMYFUNCTION("""COMPUTED_VALUE"""),"")</f>
        <v/>
      </c>
      <c r="D17147" s="12" t="str">
        <f ca="1">IFERROR(__xludf.DUMMYFUNCTION("""COMPUTED_VALUE"""),"")</f>
        <v/>
      </c>
    </row>
    <row r="17148" spans="2:4" ht="13">
      <c r="B17148" s="12" t="str">
        <f ca="1">IFERROR(__xludf.DUMMYFUNCTION("""COMPUTED_VALUE"""),"")</f>
        <v/>
      </c>
      <c r="C17148" s="12" t="str">
        <f ca="1">IFERROR(__xludf.DUMMYFUNCTION("""COMPUTED_VALUE"""),"")</f>
        <v/>
      </c>
      <c r="D17148" s="12" t="str">
        <f ca="1">IFERROR(__xludf.DUMMYFUNCTION("""COMPUTED_VALUE"""),"")</f>
        <v/>
      </c>
    </row>
    <row r="17149" spans="2:4" ht="13">
      <c r="B17149" s="12" t="str">
        <f ca="1">IFERROR(__xludf.DUMMYFUNCTION("""COMPUTED_VALUE"""),"")</f>
        <v/>
      </c>
      <c r="C17149" s="12" t="str">
        <f ca="1">IFERROR(__xludf.DUMMYFUNCTION("""COMPUTED_VALUE"""),"")</f>
        <v/>
      </c>
      <c r="D17149" s="12" t="str">
        <f ca="1">IFERROR(__xludf.DUMMYFUNCTION("""COMPUTED_VALUE"""),"")</f>
        <v/>
      </c>
    </row>
    <row r="17150" spans="2:4" ht="13">
      <c r="B17150" s="12" t="str">
        <f ca="1">IFERROR(__xludf.DUMMYFUNCTION("""COMPUTED_VALUE"""),"")</f>
        <v/>
      </c>
      <c r="C17150" s="12" t="str">
        <f ca="1">IFERROR(__xludf.DUMMYFUNCTION("""COMPUTED_VALUE"""),"")</f>
        <v/>
      </c>
      <c r="D17150" s="12" t="str">
        <f ca="1">IFERROR(__xludf.DUMMYFUNCTION("""COMPUTED_VALUE"""),"")</f>
        <v/>
      </c>
    </row>
    <row r="17151" spans="2:4" ht="13">
      <c r="B17151" s="12" t="str">
        <f ca="1">IFERROR(__xludf.DUMMYFUNCTION("""COMPUTED_VALUE"""),"")</f>
        <v/>
      </c>
      <c r="C17151" s="12" t="str">
        <f ca="1">IFERROR(__xludf.DUMMYFUNCTION("""COMPUTED_VALUE"""),"")</f>
        <v/>
      </c>
      <c r="D17151" s="12" t="str">
        <f ca="1">IFERROR(__xludf.DUMMYFUNCTION("""COMPUTED_VALUE"""),"")</f>
        <v/>
      </c>
    </row>
    <row r="17152" spans="2:4" ht="13">
      <c r="B17152" s="12" t="str">
        <f ca="1">IFERROR(__xludf.DUMMYFUNCTION("""COMPUTED_VALUE"""),"")</f>
        <v/>
      </c>
      <c r="C17152" s="12" t="str">
        <f ca="1">IFERROR(__xludf.DUMMYFUNCTION("""COMPUTED_VALUE"""),"")</f>
        <v/>
      </c>
      <c r="D17152" s="12" t="str">
        <f ca="1">IFERROR(__xludf.DUMMYFUNCTION("""COMPUTED_VALUE"""),"")</f>
        <v/>
      </c>
    </row>
    <row r="17153" spans="2:4" ht="13">
      <c r="B17153" s="12" t="str">
        <f ca="1">IFERROR(__xludf.DUMMYFUNCTION("""COMPUTED_VALUE"""),"")</f>
        <v/>
      </c>
      <c r="C17153" s="12" t="str">
        <f ca="1">IFERROR(__xludf.DUMMYFUNCTION("""COMPUTED_VALUE"""),"")</f>
        <v/>
      </c>
      <c r="D17153" s="12" t="str">
        <f ca="1">IFERROR(__xludf.DUMMYFUNCTION("""COMPUTED_VALUE"""),"")</f>
        <v/>
      </c>
    </row>
    <row r="17154" spans="2:4" ht="13">
      <c r="B17154" s="12" t="str">
        <f ca="1">IFERROR(__xludf.DUMMYFUNCTION("""COMPUTED_VALUE"""),"")</f>
        <v/>
      </c>
      <c r="C17154" s="12" t="str">
        <f ca="1">IFERROR(__xludf.DUMMYFUNCTION("""COMPUTED_VALUE"""),"")</f>
        <v/>
      </c>
      <c r="D17154" s="12" t="str">
        <f ca="1">IFERROR(__xludf.DUMMYFUNCTION("""COMPUTED_VALUE"""),"")</f>
        <v/>
      </c>
    </row>
    <row r="17155" spans="2:4" ht="13">
      <c r="B17155" s="12" t="str">
        <f ca="1">IFERROR(__xludf.DUMMYFUNCTION("""COMPUTED_VALUE"""),"")</f>
        <v/>
      </c>
      <c r="C17155" s="12" t="str">
        <f ca="1">IFERROR(__xludf.DUMMYFUNCTION("""COMPUTED_VALUE"""),"")</f>
        <v/>
      </c>
      <c r="D17155" s="12" t="str">
        <f ca="1">IFERROR(__xludf.DUMMYFUNCTION("""COMPUTED_VALUE"""),"")</f>
        <v/>
      </c>
    </row>
    <row r="17156" spans="2:4" ht="13">
      <c r="B17156" s="12" t="str">
        <f ca="1">IFERROR(__xludf.DUMMYFUNCTION("""COMPUTED_VALUE"""),"")</f>
        <v/>
      </c>
      <c r="C17156" s="12" t="str">
        <f ca="1">IFERROR(__xludf.DUMMYFUNCTION("""COMPUTED_VALUE"""),"")</f>
        <v/>
      </c>
      <c r="D17156" s="12" t="str">
        <f ca="1">IFERROR(__xludf.DUMMYFUNCTION("""COMPUTED_VALUE"""),"")</f>
        <v/>
      </c>
    </row>
    <row r="17157" spans="2:4" ht="13">
      <c r="B17157" s="12" t="str">
        <f ca="1">IFERROR(__xludf.DUMMYFUNCTION("""COMPUTED_VALUE"""),"")</f>
        <v/>
      </c>
      <c r="C17157" s="12" t="str">
        <f ca="1">IFERROR(__xludf.DUMMYFUNCTION("""COMPUTED_VALUE"""),"")</f>
        <v/>
      </c>
      <c r="D17157" s="12" t="str">
        <f ca="1">IFERROR(__xludf.DUMMYFUNCTION("""COMPUTED_VALUE"""),"")</f>
        <v/>
      </c>
    </row>
    <row r="17158" spans="2:4" ht="13">
      <c r="B17158" s="12" t="str">
        <f ca="1">IFERROR(__xludf.DUMMYFUNCTION("""COMPUTED_VALUE"""),"")</f>
        <v/>
      </c>
      <c r="C17158" s="12" t="str">
        <f ca="1">IFERROR(__xludf.DUMMYFUNCTION("""COMPUTED_VALUE"""),"")</f>
        <v/>
      </c>
      <c r="D17158" s="12" t="str">
        <f ca="1">IFERROR(__xludf.DUMMYFUNCTION("""COMPUTED_VALUE"""),"")</f>
        <v/>
      </c>
    </row>
    <row r="17159" spans="2:4" ht="13">
      <c r="B17159" s="12" t="str">
        <f ca="1">IFERROR(__xludf.DUMMYFUNCTION("""COMPUTED_VALUE"""),"")</f>
        <v/>
      </c>
      <c r="C17159" s="12" t="str">
        <f ca="1">IFERROR(__xludf.DUMMYFUNCTION("""COMPUTED_VALUE"""),"")</f>
        <v/>
      </c>
      <c r="D17159" s="12" t="str">
        <f ca="1">IFERROR(__xludf.DUMMYFUNCTION("""COMPUTED_VALUE"""),"")</f>
        <v/>
      </c>
    </row>
    <row r="17160" spans="2:4" ht="13">
      <c r="B17160" s="12" t="str">
        <f ca="1">IFERROR(__xludf.DUMMYFUNCTION("""COMPUTED_VALUE"""),"")</f>
        <v/>
      </c>
      <c r="C17160" s="12" t="str">
        <f ca="1">IFERROR(__xludf.DUMMYFUNCTION("""COMPUTED_VALUE"""),"")</f>
        <v/>
      </c>
      <c r="D17160" s="12" t="str">
        <f ca="1">IFERROR(__xludf.DUMMYFUNCTION("""COMPUTED_VALUE"""),"")</f>
        <v/>
      </c>
    </row>
    <row r="17161" spans="2:4" ht="13">
      <c r="B17161" s="12" t="str">
        <f ca="1">IFERROR(__xludf.DUMMYFUNCTION("""COMPUTED_VALUE"""),"")</f>
        <v/>
      </c>
      <c r="C17161" s="12" t="str">
        <f ca="1">IFERROR(__xludf.DUMMYFUNCTION("""COMPUTED_VALUE"""),"")</f>
        <v/>
      </c>
      <c r="D17161" s="12" t="str">
        <f ca="1">IFERROR(__xludf.DUMMYFUNCTION("""COMPUTED_VALUE"""),"")</f>
        <v/>
      </c>
    </row>
    <row r="17162" spans="2:4" ht="13">
      <c r="B17162" s="12" t="str">
        <f ca="1">IFERROR(__xludf.DUMMYFUNCTION("""COMPUTED_VALUE"""),"")</f>
        <v/>
      </c>
      <c r="C17162" s="12" t="str">
        <f ca="1">IFERROR(__xludf.DUMMYFUNCTION("""COMPUTED_VALUE"""),"")</f>
        <v/>
      </c>
      <c r="D17162" s="12" t="str">
        <f ca="1">IFERROR(__xludf.DUMMYFUNCTION("""COMPUTED_VALUE"""),"")</f>
        <v/>
      </c>
    </row>
    <row r="17163" spans="2:4" ht="13">
      <c r="B17163" s="12" t="str">
        <f ca="1">IFERROR(__xludf.DUMMYFUNCTION("""COMPUTED_VALUE"""),"")</f>
        <v/>
      </c>
      <c r="C17163" s="12" t="str">
        <f ca="1">IFERROR(__xludf.DUMMYFUNCTION("""COMPUTED_VALUE"""),"")</f>
        <v/>
      </c>
      <c r="D17163" s="12" t="str">
        <f ca="1">IFERROR(__xludf.DUMMYFUNCTION("""COMPUTED_VALUE"""),"")</f>
        <v/>
      </c>
    </row>
    <row r="17164" spans="2:4" ht="13">
      <c r="B17164" s="12" t="str">
        <f ca="1">IFERROR(__xludf.DUMMYFUNCTION("""COMPUTED_VALUE"""),"")</f>
        <v/>
      </c>
      <c r="C17164" s="12" t="str">
        <f ca="1">IFERROR(__xludf.DUMMYFUNCTION("""COMPUTED_VALUE"""),"")</f>
        <v/>
      </c>
      <c r="D17164" s="12" t="str">
        <f ca="1">IFERROR(__xludf.DUMMYFUNCTION("""COMPUTED_VALUE"""),"")</f>
        <v/>
      </c>
    </row>
    <row r="17165" spans="2:4" ht="13">
      <c r="B17165" s="12" t="str">
        <f ca="1">IFERROR(__xludf.DUMMYFUNCTION("""COMPUTED_VALUE"""),"")</f>
        <v/>
      </c>
      <c r="C17165" s="12" t="str">
        <f ca="1">IFERROR(__xludf.DUMMYFUNCTION("""COMPUTED_VALUE"""),"")</f>
        <v/>
      </c>
      <c r="D17165" s="12" t="str">
        <f ca="1">IFERROR(__xludf.DUMMYFUNCTION("""COMPUTED_VALUE"""),"")</f>
        <v/>
      </c>
    </row>
    <row r="17166" spans="2:4" ht="13">
      <c r="B17166" s="12" t="str">
        <f ca="1">IFERROR(__xludf.DUMMYFUNCTION("""COMPUTED_VALUE"""),"")</f>
        <v/>
      </c>
      <c r="C17166" s="12" t="str">
        <f ca="1">IFERROR(__xludf.DUMMYFUNCTION("""COMPUTED_VALUE"""),"")</f>
        <v/>
      </c>
      <c r="D17166" s="12" t="str">
        <f ca="1">IFERROR(__xludf.DUMMYFUNCTION("""COMPUTED_VALUE"""),"")</f>
        <v/>
      </c>
    </row>
    <row r="17167" spans="2:4" ht="13">
      <c r="B17167" s="12" t="str">
        <f ca="1">IFERROR(__xludf.DUMMYFUNCTION("""COMPUTED_VALUE"""),"")</f>
        <v/>
      </c>
      <c r="C17167" s="12" t="str">
        <f ca="1">IFERROR(__xludf.DUMMYFUNCTION("""COMPUTED_VALUE"""),"")</f>
        <v/>
      </c>
      <c r="D17167" s="12" t="str">
        <f ca="1">IFERROR(__xludf.DUMMYFUNCTION("""COMPUTED_VALUE"""),"")</f>
        <v/>
      </c>
    </row>
    <row r="17168" spans="2:4" ht="13">
      <c r="B17168" s="12" t="str">
        <f ca="1">IFERROR(__xludf.DUMMYFUNCTION("""COMPUTED_VALUE"""),"")</f>
        <v/>
      </c>
      <c r="C17168" s="12" t="str">
        <f ca="1">IFERROR(__xludf.DUMMYFUNCTION("""COMPUTED_VALUE"""),"")</f>
        <v/>
      </c>
      <c r="D17168" s="12" t="str">
        <f ca="1">IFERROR(__xludf.DUMMYFUNCTION("""COMPUTED_VALUE"""),"")</f>
        <v/>
      </c>
    </row>
    <row r="17169" spans="2:4" ht="13">
      <c r="B17169" s="12" t="str">
        <f ca="1">IFERROR(__xludf.DUMMYFUNCTION("""COMPUTED_VALUE"""),"")</f>
        <v/>
      </c>
      <c r="C17169" s="12" t="str">
        <f ca="1">IFERROR(__xludf.DUMMYFUNCTION("""COMPUTED_VALUE"""),"")</f>
        <v/>
      </c>
      <c r="D17169" s="12" t="str">
        <f ca="1">IFERROR(__xludf.DUMMYFUNCTION("""COMPUTED_VALUE"""),"")</f>
        <v/>
      </c>
    </row>
    <row r="17170" spans="2:4" ht="13">
      <c r="B17170" s="12" t="str">
        <f ca="1">IFERROR(__xludf.DUMMYFUNCTION("""COMPUTED_VALUE"""),"")</f>
        <v/>
      </c>
      <c r="C17170" s="12" t="str">
        <f ca="1">IFERROR(__xludf.DUMMYFUNCTION("""COMPUTED_VALUE"""),"")</f>
        <v/>
      </c>
      <c r="D17170" s="12" t="str">
        <f ca="1">IFERROR(__xludf.DUMMYFUNCTION("""COMPUTED_VALUE"""),"")</f>
        <v/>
      </c>
    </row>
    <row r="17171" spans="2:4" ht="13">
      <c r="B17171" s="12" t="str">
        <f ca="1">IFERROR(__xludf.DUMMYFUNCTION("""COMPUTED_VALUE"""),"")</f>
        <v/>
      </c>
      <c r="C17171" s="12" t="str">
        <f ca="1">IFERROR(__xludf.DUMMYFUNCTION("""COMPUTED_VALUE"""),"")</f>
        <v/>
      </c>
      <c r="D17171" s="12" t="str">
        <f ca="1">IFERROR(__xludf.DUMMYFUNCTION("""COMPUTED_VALUE"""),"")</f>
        <v/>
      </c>
    </row>
    <row r="17172" spans="2:4" ht="13">
      <c r="B17172" s="12" t="str">
        <f ca="1">IFERROR(__xludf.DUMMYFUNCTION("""COMPUTED_VALUE"""),"")</f>
        <v/>
      </c>
      <c r="C17172" s="12" t="str">
        <f ca="1">IFERROR(__xludf.DUMMYFUNCTION("""COMPUTED_VALUE"""),"")</f>
        <v/>
      </c>
      <c r="D17172" s="12" t="str">
        <f ca="1">IFERROR(__xludf.DUMMYFUNCTION("""COMPUTED_VALUE"""),"")</f>
        <v/>
      </c>
    </row>
    <row r="17173" spans="2:4" ht="13">
      <c r="B17173" s="12" t="str">
        <f ca="1">IFERROR(__xludf.DUMMYFUNCTION("""COMPUTED_VALUE"""),"")</f>
        <v/>
      </c>
      <c r="C17173" s="12" t="str">
        <f ca="1">IFERROR(__xludf.DUMMYFUNCTION("""COMPUTED_VALUE"""),"")</f>
        <v/>
      </c>
      <c r="D17173" s="12" t="str">
        <f ca="1">IFERROR(__xludf.DUMMYFUNCTION("""COMPUTED_VALUE"""),"")</f>
        <v/>
      </c>
    </row>
    <row r="17174" spans="2:4" ht="13">
      <c r="B17174" s="12" t="str">
        <f ca="1">IFERROR(__xludf.DUMMYFUNCTION("""COMPUTED_VALUE"""),"")</f>
        <v/>
      </c>
      <c r="C17174" s="12" t="str">
        <f ca="1">IFERROR(__xludf.DUMMYFUNCTION("""COMPUTED_VALUE"""),"")</f>
        <v/>
      </c>
      <c r="D17174" s="12" t="str">
        <f ca="1">IFERROR(__xludf.DUMMYFUNCTION("""COMPUTED_VALUE"""),"")</f>
        <v/>
      </c>
    </row>
    <row r="17175" spans="2:4" ht="13">
      <c r="B17175" s="12" t="str">
        <f ca="1">IFERROR(__xludf.DUMMYFUNCTION("""COMPUTED_VALUE"""),"")</f>
        <v/>
      </c>
      <c r="C17175" s="12" t="str">
        <f ca="1">IFERROR(__xludf.DUMMYFUNCTION("""COMPUTED_VALUE"""),"")</f>
        <v/>
      </c>
      <c r="D17175" s="12" t="str">
        <f ca="1">IFERROR(__xludf.DUMMYFUNCTION("""COMPUTED_VALUE"""),"")</f>
        <v/>
      </c>
    </row>
    <row r="17176" spans="2:4" ht="13">
      <c r="B17176" s="12" t="str">
        <f ca="1">IFERROR(__xludf.DUMMYFUNCTION("""COMPUTED_VALUE"""),"")</f>
        <v/>
      </c>
      <c r="C17176" s="12" t="str">
        <f ca="1">IFERROR(__xludf.DUMMYFUNCTION("""COMPUTED_VALUE"""),"")</f>
        <v/>
      </c>
      <c r="D17176" s="12" t="str">
        <f ca="1">IFERROR(__xludf.DUMMYFUNCTION("""COMPUTED_VALUE"""),"")</f>
        <v/>
      </c>
    </row>
    <row r="17177" spans="2:4" ht="13">
      <c r="B17177" s="12" t="str">
        <f ca="1">IFERROR(__xludf.DUMMYFUNCTION("""COMPUTED_VALUE"""),"")</f>
        <v/>
      </c>
      <c r="C17177" s="12" t="str">
        <f ca="1">IFERROR(__xludf.DUMMYFUNCTION("""COMPUTED_VALUE"""),"")</f>
        <v/>
      </c>
      <c r="D17177" s="12" t="str">
        <f ca="1">IFERROR(__xludf.DUMMYFUNCTION("""COMPUTED_VALUE"""),"")</f>
        <v/>
      </c>
    </row>
    <row r="17178" spans="2:4" ht="13">
      <c r="B17178" s="12" t="str">
        <f ca="1">IFERROR(__xludf.DUMMYFUNCTION("""COMPUTED_VALUE"""),"")</f>
        <v/>
      </c>
      <c r="C17178" s="12" t="str">
        <f ca="1">IFERROR(__xludf.DUMMYFUNCTION("""COMPUTED_VALUE"""),"")</f>
        <v/>
      </c>
      <c r="D17178" s="12" t="str">
        <f ca="1">IFERROR(__xludf.DUMMYFUNCTION("""COMPUTED_VALUE"""),"")</f>
        <v/>
      </c>
    </row>
    <row r="17179" spans="2:4" ht="13">
      <c r="B17179" s="12" t="str">
        <f ca="1">IFERROR(__xludf.DUMMYFUNCTION("""COMPUTED_VALUE"""),"")</f>
        <v/>
      </c>
      <c r="C17179" s="12" t="str">
        <f ca="1">IFERROR(__xludf.DUMMYFUNCTION("""COMPUTED_VALUE"""),"")</f>
        <v/>
      </c>
      <c r="D17179" s="12" t="str">
        <f ca="1">IFERROR(__xludf.DUMMYFUNCTION("""COMPUTED_VALUE"""),"")</f>
        <v/>
      </c>
    </row>
    <row r="17180" spans="2:4" ht="13">
      <c r="B17180" s="12" t="str">
        <f ca="1">IFERROR(__xludf.DUMMYFUNCTION("""COMPUTED_VALUE"""),"")</f>
        <v/>
      </c>
      <c r="C17180" s="12" t="str">
        <f ca="1">IFERROR(__xludf.DUMMYFUNCTION("""COMPUTED_VALUE"""),"")</f>
        <v/>
      </c>
      <c r="D17180" s="12" t="str">
        <f ca="1">IFERROR(__xludf.DUMMYFUNCTION("""COMPUTED_VALUE"""),"")</f>
        <v/>
      </c>
    </row>
    <row r="17181" spans="2:4" ht="13">
      <c r="B17181" s="12" t="str">
        <f ca="1">IFERROR(__xludf.DUMMYFUNCTION("""COMPUTED_VALUE"""),"")</f>
        <v/>
      </c>
      <c r="C17181" s="12" t="str">
        <f ca="1">IFERROR(__xludf.DUMMYFUNCTION("""COMPUTED_VALUE"""),"")</f>
        <v/>
      </c>
      <c r="D17181" s="12" t="str">
        <f ca="1">IFERROR(__xludf.DUMMYFUNCTION("""COMPUTED_VALUE"""),"")</f>
        <v/>
      </c>
    </row>
    <row r="17182" spans="2:4" ht="13">
      <c r="B17182" s="12" t="str">
        <f ca="1">IFERROR(__xludf.DUMMYFUNCTION("""COMPUTED_VALUE"""),"")</f>
        <v/>
      </c>
      <c r="C17182" s="12" t="str">
        <f ca="1">IFERROR(__xludf.DUMMYFUNCTION("""COMPUTED_VALUE"""),"")</f>
        <v/>
      </c>
      <c r="D17182" s="12" t="str">
        <f ca="1">IFERROR(__xludf.DUMMYFUNCTION("""COMPUTED_VALUE"""),"")</f>
        <v/>
      </c>
    </row>
    <row r="17183" spans="2:4" ht="13">
      <c r="B17183" s="12" t="str">
        <f ca="1">IFERROR(__xludf.DUMMYFUNCTION("""COMPUTED_VALUE"""),"")</f>
        <v/>
      </c>
      <c r="C17183" s="12" t="str">
        <f ca="1">IFERROR(__xludf.DUMMYFUNCTION("""COMPUTED_VALUE"""),"")</f>
        <v/>
      </c>
      <c r="D17183" s="12" t="str">
        <f ca="1">IFERROR(__xludf.DUMMYFUNCTION("""COMPUTED_VALUE"""),"")</f>
        <v/>
      </c>
    </row>
    <row r="17184" spans="2:4" ht="13">
      <c r="B17184" s="12" t="str">
        <f ca="1">IFERROR(__xludf.DUMMYFUNCTION("""COMPUTED_VALUE"""),"")</f>
        <v/>
      </c>
      <c r="C17184" s="12" t="str">
        <f ca="1">IFERROR(__xludf.DUMMYFUNCTION("""COMPUTED_VALUE"""),"")</f>
        <v/>
      </c>
      <c r="D17184" s="12" t="str">
        <f ca="1">IFERROR(__xludf.DUMMYFUNCTION("""COMPUTED_VALUE"""),"")</f>
        <v/>
      </c>
    </row>
    <row r="17185" spans="2:4" ht="13">
      <c r="B17185" s="12" t="str">
        <f ca="1">IFERROR(__xludf.DUMMYFUNCTION("""COMPUTED_VALUE"""),"")</f>
        <v/>
      </c>
      <c r="C17185" s="12" t="str">
        <f ca="1">IFERROR(__xludf.DUMMYFUNCTION("""COMPUTED_VALUE"""),"")</f>
        <v/>
      </c>
      <c r="D17185" s="12" t="str">
        <f ca="1">IFERROR(__xludf.DUMMYFUNCTION("""COMPUTED_VALUE"""),"")</f>
        <v/>
      </c>
    </row>
    <row r="17186" spans="2:4" ht="13">
      <c r="B17186" s="12" t="str">
        <f ca="1">IFERROR(__xludf.DUMMYFUNCTION("""COMPUTED_VALUE"""),"")</f>
        <v/>
      </c>
      <c r="C17186" s="12" t="str">
        <f ca="1">IFERROR(__xludf.DUMMYFUNCTION("""COMPUTED_VALUE"""),"")</f>
        <v/>
      </c>
      <c r="D17186" s="12" t="str">
        <f ca="1">IFERROR(__xludf.DUMMYFUNCTION("""COMPUTED_VALUE"""),"")</f>
        <v/>
      </c>
    </row>
    <row r="17187" spans="2:4" ht="13">
      <c r="B17187" s="12" t="str">
        <f ca="1">IFERROR(__xludf.DUMMYFUNCTION("""COMPUTED_VALUE"""),"")</f>
        <v/>
      </c>
      <c r="C17187" s="12" t="str">
        <f ca="1">IFERROR(__xludf.DUMMYFUNCTION("""COMPUTED_VALUE"""),"")</f>
        <v/>
      </c>
      <c r="D17187" s="12" t="str">
        <f ca="1">IFERROR(__xludf.DUMMYFUNCTION("""COMPUTED_VALUE"""),"")</f>
        <v/>
      </c>
    </row>
    <row r="17188" spans="2:4" ht="13">
      <c r="B17188" s="12" t="str">
        <f ca="1">IFERROR(__xludf.DUMMYFUNCTION("""COMPUTED_VALUE"""),"")</f>
        <v/>
      </c>
      <c r="C17188" s="12" t="str">
        <f ca="1">IFERROR(__xludf.DUMMYFUNCTION("""COMPUTED_VALUE"""),"")</f>
        <v/>
      </c>
      <c r="D17188" s="12" t="str">
        <f ca="1">IFERROR(__xludf.DUMMYFUNCTION("""COMPUTED_VALUE"""),"")</f>
        <v/>
      </c>
    </row>
    <row r="17189" spans="2:4" ht="13">
      <c r="B17189" s="12" t="str">
        <f ca="1">IFERROR(__xludf.DUMMYFUNCTION("""COMPUTED_VALUE"""),"")</f>
        <v/>
      </c>
      <c r="C17189" s="12" t="str">
        <f ca="1">IFERROR(__xludf.DUMMYFUNCTION("""COMPUTED_VALUE"""),"")</f>
        <v/>
      </c>
      <c r="D17189" s="12" t="str">
        <f ca="1">IFERROR(__xludf.DUMMYFUNCTION("""COMPUTED_VALUE"""),"")</f>
        <v/>
      </c>
    </row>
    <row r="17190" spans="2:4" ht="13">
      <c r="B17190" s="12" t="str">
        <f ca="1">IFERROR(__xludf.DUMMYFUNCTION("""COMPUTED_VALUE"""),"")</f>
        <v/>
      </c>
      <c r="C17190" s="12" t="str">
        <f ca="1">IFERROR(__xludf.DUMMYFUNCTION("""COMPUTED_VALUE"""),"")</f>
        <v/>
      </c>
      <c r="D17190" s="12" t="str">
        <f ca="1">IFERROR(__xludf.DUMMYFUNCTION("""COMPUTED_VALUE"""),"")</f>
        <v/>
      </c>
    </row>
    <row r="17191" spans="2:4" ht="13">
      <c r="B17191" s="12" t="str">
        <f ca="1">IFERROR(__xludf.DUMMYFUNCTION("""COMPUTED_VALUE"""),"")</f>
        <v/>
      </c>
      <c r="C17191" s="12" t="str">
        <f ca="1">IFERROR(__xludf.DUMMYFUNCTION("""COMPUTED_VALUE"""),"")</f>
        <v/>
      </c>
      <c r="D17191" s="12" t="str">
        <f ca="1">IFERROR(__xludf.DUMMYFUNCTION("""COMPUTED_VALUE"""),"")</f>
        <v/>
      </c>
    </row>
    <row r="17192" spans="2:4" ht="13">
      <c r="B17192" s="12" t="str">
        <f ca="1">IFERROR(__xludf.DUMMYFUNCTION("""COMPUTED_VALUE"""),"")</f>
        <v/>
      </c>
      <c r="C17192" s="12" t="str">
        <f ca="1">IFERROR(__xludf.DUMMYFUNCTION("""COMPUTED_VALUE"""),"")</f>
        <v/>
      </c>
      <c r="D17192" s="12" t="str">
        <f ca="1">IFERROR(__xludf.DUMMYFUNCTION("""COMPUTED_VALUE"""),"")</f>
        <v/>
      </c>
    </row>
    <row r="17193" spans="2:4" ht="13">
      <c r="B17193" s="12" t="str">
        <f ca="1">IFERROR(__xludf.DUMMYFUNCTION("""COMPUTED_VALUE"""),"")</f>
        <v/>
      </c>
      <c r="C17193" s="12" t="str">
        <f ca="1">IFERROR(__xludf.DUMMYFUNCTION("""COMPUTED_VALUE"""),"")</f>
        <v/>
      </c>
      <c r="D17193" s="12" t="str">
        <f ca="1">IFERROR(__xludf.DUMMYFUNCTION("""COMPUTED_VALUE"""),"")</f>
        <v/>
      </c>
    </row>
    <row r="17194" spans="2:4" ht="13">
      <c r="B17194" s="12" t="str">
        <f ca="1">IFERROR(__xludf.DUMMYFUNCTION("""COMPUTED_VALUE"""),"")</f>
        <v/>
      </c>
      <c r="C17194" s="12" t="str">
        <f ca="1">IFERROR(__xludf.DUMMYFUNCTION("""COMPUTED_VALUE"""),"")</f>
        <v/>
      </c>
      <c r="D17194" s="12" t="str">
        <f ca="1">IFERROR(__xludf.DUMMYFUNCTION("""COMPUTED_VALUE"""),"")</f>
        <v/>
      </c>
    </row>
    <row r="17195" spans="2:4" ht="13">
      <c r="B17195" s="12" t="str">
        <f ca="1">IFERROR(__xludf.DUMMYFUNCTION("""COMPUTED_VALUE"""),"")</f>
        <v/>
      </c>
      <c r="C17195" s="12" t="str">
        <f ca="1">IFERROR(__xludf.DUMMYFUNCTION("""COMPUTED_VALUE"""),"")</f>
        <v/>
      </c>
      <c r="D17195" s="12" t="str">
        <f ca="1">IFERROR(__xludf.DUMMYFUNCTION("""COMPUTED_VALUE"""),"")</f>
        <v/>
      </c>
    </row>
    <row r="17196" spans="2:4" ht="13">
      <c r="B17196" s="12" t="str">
        <f ca="1">IFERROR(__xludf.DUMMYFUNCTION("""COMPUTED_VALUE"""),"")</f>
        <v/>
      </c>
      <c r="C17196" s="12" t="str">
        <f ca="1">IFERROR(__xludf.DUMMYFUNCTION("""COMPUTED_VALUE"""),"")</f>
        <v/>
      </c>
      <c r="D17196" s="12" t="str">
        <f ca="1">IFERROR(__xludf.DUMMYFUNCTION("""COMPUTED_VALUE"""),"")</f>
        <v/>
      </c>
    </row>
    <row r="17197" spans="2:4" ht="13">
      <c r="B17197" s="12" t="str">
        <f ca="1">IFERROR(__xludf.DUMMYFUNCTION("""COMPUTED_VALUE"""),"")</f>
        <v/>
      </c>
      <c r="C17197" s="12" t="str">
        <f ca="1">IFERROR(__xludf.DUMMYFUNCTION("""COMPUTED_VALUE"""),"")</f>
        <v/>
      </c>
      <c r="D17197" s="12" t="str">
        <f ca="1">IFERROR(__xludf.DUMMYFUNCTION("""COMPUTED_VALUE"""),"")</f>
        <v/>
      </c>
    </row>
    <row r="17198" spans="2:4" ht="13">
      <c r="B17198" s="12" t="str">
        <f ca="1">IFERROR(__xludf.DUMMYFUNCTION("""COMPUTED_VALUE"""),"")</f>
        <v/>
      </c>
      <c r="C17198" s="12" t="str">
        <f ca="1">IFERROR(__xludf.DUMMYFUNCTION("""COMPUTED_VALUE"""),"")</f>
        <v/>
      </c>
      <c r="D17198" s="12" t="str">
        <f ca="1">IFERROR(__xludf.DUMMYFUNCTION("""COMPUTED_VALUE"""),"")</f>
        <v/>
      </c>
    </row>
    <row r="17199" spans="2:4" ht="13">
      <c r="B17199" s="12" t="str">
        <f ca="1">IFERROR(__xludf.DUMMYFUNCTION("""COMPUTED_VALUE"""),"")</f>
        <v/>
      </c>
      <c r="C17199" s="12" t="str">
        <f ca="1">IFERROR(__xludf.DUMMYFUNCTION("""COMPUTED_VALUE"""),"")</f>
        <v/>
      </c>
      <c r="D17199" s="12" t="str">
        <f ca="1">IFERROR(__xludf.DUMMYFUNCTION("""COMPUTED_VALUE"""),"")</f>
        <v/>
      </c>
    </row>
    <row r="17200" spans="2:4" ht="13">
      <c r="B17200" s="12" t="str">
        <f ca="1">IFERROR(__xludf.DUMMYFUNCTION("""COMPUTED_VALUE"""),"")</f>
        <v/>
      </c>
      <c r="C17200" s="12" t="str">
        <f ca="1">IFERROR(__xludf.DUMMYFUNCTION("""COMPUTED_VALUE"""),"")</f>
        <v/>
      </c>
      <c r="D17200" s="12" t="str">
        <f ca="1">IFERROR(__xludf.DUMMYFUNCTION("""COMPUTED_VALUE"""),"")</f>
        <v/>
      </c>
    </row>
    <row r="17201" spans="2:4" ht="13">
      <c r="B17201" s="12" t="str">
        <f ca="1">IFERROR(__xludf.DUMMYFUNCTION("""COMPUTED_VALUE"""),"")</f>
        <v/>
      </c>
      <c r="C17201" s="12" t="str">
        <f ca="1">IFERROR(__xludf.DUMMYFUNCTION("""COMPUTED_VALUE"""),"")</f>
        <v/>
      </c>
      <c r="D17201" s="12" t="str">
        <f ca="1">IFERROR(__xludf.DUMMYFUNCTION("""COMPUTED_VALUE"""),"")</f>
        <v/>
      </c>
    </row>
    <row r="17202" spans="2:4" ht="13">
      <c r="B17202" s="12" t="str">
        <f ca="1">IFERROR(__xludf.DUMMYFUNCTION("""COMPUTED_VALUE"""),"")</f>
        <v/>
      </c>
      <c r="C17202" s="12" t="str">
        <f ca="1">IFERROR(__xludf.DUMMYFUNCTION("""COMPUTED_VALUE"""),"")</f>
        <v/>
      </c>
      <c r="D17202" s="12" t="str">
        <f ca="1">IFERROR(__xludf.DUMMYFUNCTION("""COMPUTED_VALUE"""),"")</f>
        <v/>
      </c>
    </row>
    <row r="17203" spans="2:4" ht="13">
      <c r="B17203" s="12" t="str">
        <f ca="1">IFERROR(__xludf.DUMMYFUNCTION("""COMPUTED_VALUE"""),"")</f>
        <v/>
      </c>
      <c r="C17203" s="12" t="str">
        <f ca="1">IFERROR(__xludf.DUMMYFUNCTION("""COMPUTED_VALUE"""),"")</f>
        <v/>
      </c>
      <c r="D17203" s="12" t="str">
        <f ca="1">IFERROR(__xludf.DUMMYFUNCTION("""COMPUTED_VALUE"""),"")</f>
        <v/>
      </c>
    </row>
    <row r="17204" spans="2:4" ht="13">
      <c r="B17204" s="12" t="str">
        <f ca="1">IFERROR(__xludf.DUMMYFUNCTION("""COMPUTED_VALUE"""),"")</f>
        <v/>
      </c>
      <c r="C17204" s="12" t="str">
        <f ca="1">IFERROR(__xludf.DUMMYFUNCTION("""COMPUTED_VALUE"""),"")</f>
        <v/>
      </c>
      <c r="D17204" s="12" t="str">
        <f ca="1">IFERROR(__xludf.DUMMYFUNCTION("""COMPUTED_VALUE"""),"")</f>
        <v/>
      </c>
    </row>
    <row r="17205" spans="2:4" ht="13">
      <c r="B17205" s="12" t="str">
        <f ca="1">IFERROR(__xludf.DUMMYFUNCTION("""COMPUTED_VALUE"""),"")</f>
        <v/>
      </c>
      <c r="C17205" s="12" t="str">
        <f ca="1">IFERROR(__xludf.DUMMYFUNCTION("""COMPUTED_VALUE"""),"")</f>
        <v/>
      </c>
      <c r="D17205" s="12" t="str">
        <f ca="1">IFERROR(__xludf.DUMMYFUNCTION("""COMPUTED_VALUE"""),"")</f>
        <v/>
      </c>
    </row>
    <row r="17206" spans="2:4" ht="13">
      <c r="B17206" s="12" t="str">
        <f ca="1">IFERROR(__xludf.DUMMYFUNCTION("""COMPUTED_VALUE"""),"")</f>
        <v/>
      </c>
      <c r="C17206" s="12" t="str">
        <f ca="1">IFERROR(__xludf.DUMMYFUNCTION("""COMPUTED_VALUE"""),"")</f>
        <v/>
      </c>
      <c r="D17206" s="12" t="str">
        <f ca="1">IFERROR(__xludf.DUMMYFUNCTION("""COMPUTED_VALUE"""),"")</f>
        <v/>
      </c>
    </row>
    <row r="17207" spans="2:4" ht="13">
      <c r="B17207" s="12" t="str">
        <f ca="1">IFERROR(__xludf.DUMMYFUNCTION("""COMPUTED_VALUE"""),"")</f>
        <v/>
      </c>
      <c r="C17207" s="12" t="str">
        <f ca="1">IFERROR(__xludf.DUMMYFUNCTION("""COMPUTED_VALUE"""),"")</f>
        <v/>
      </c>
      <c r="D17207" s="12" t="str">
        <f ca="1">IFERROR(__xludf.DUMMYFUNCTION("""COMPUTED_VALUE"""),"")</f>
        <v/>
      </c>
    </row>
    <row r="17208" spans="2:4" ht="13">
      <c r="B17208" s="12" t="str">
        <f ca="1">IFERROR(__xludf.DUMMYFUNCTION("""COMPUTED_VALUE"""),"")</f>
        <v/>
      </c>
      <c r="C17208" s="12" t="str">
        <f ca="1">IFERROR(__xludf.DUMMYFUNCTION("""COMPUTED_VALUE"""),"")</f>
        <v/>
      </c>
      <c r="D17208" s="12" t="str">
        <f ca="1">IFERROR(__xludf.DUMMYFUNCTION("""COMPUTED_VALUE"""),"")</f>
        <v/>
      </c>
    </row>
    <row r="17209" spans="2:4" ht="13">
      <c r="B17209" s="12" t="str">
        <f ca="1">IFERROR(__xludf.DUMMYFUNCTION("""COMPUTED_VALUE"""),"")</f>
        <v/>
      </c>
      <c r="C17209" s="12" t="str">
        <f ca="1">IFERROR(__xludf.DUMMYFUNCTION("""COMPUTED_VALUE"""),"")</f>
        <v/>
      </c>
      <c r="D17209" s="12" t="str">
        <f ca="1">IFERROR(__xludf.DUMMYFUNCTION("""COMPUTED_VALUE"""),"")</f>
        <v/>
      </c>
    </row>
    <row r="17210" spans="2:4" ht="13">
      <c r="B17210" s="12" t="str">
        <f ca="1">IFERROR(__xludf.DUMMYFUNCTION("""COMPUTED_VALUE"""),"")</f>
        <v/>
      </c>
      <c r="C17210" s="12" t="str">
        <f ca="1">IFERROR(__xludf.DUMMYFUNCTION("""COMPUTED_VALUE"""),"")</f>
        <v/>
      </c>
      <c r="D17210" s="12" t="str">
        <f ca="1">IFERROR(__xludf.DUMMYFUNCTION("""COMPUTED_VALUE"""),"")</f>
        <v/>
      </c>
    </row>
    <row r="17211" spans="2:4" ht="13">
      <c r="B17211" s="12" t="str">
        <f ca="1">IFERROR(__xludf.DUMMYFUNCTION("""COMPUTED_VALUE"""),"")</f>
        <v/>
      </c>
      <c r="C17211" s="12" t="str">
        <f ca="1">IFERROR(__xludf.DUMMYFUNCTION("""COMPUTED_VALUE"""),"")</f>
        <v/>
      </c>
      <c r="D17211" s="12" t="str">
        <f ca="1">IFERROR(__xludf.DUMMYFUNCTION("""COMPUTED_VALUE"""),"")</f>
        <v/>
      </c>
    </row>
    <row r="17212" spans="2:4" ht="13">
      <c r="B17212" s="12" t="str">
        <f ca="1">IFERROR(__xludf.DUMMYFUNCTION("""COMPUTED_VALUE"""),"")</f>
        <v/>
      </c>
      <c r="C17212" s="12" t="str">
        <f ca="1">IFERROR(__xludf.DUMMYFUNCTION("""COMPUTED_VALUE"""),"")</f>
        <v/>
      </c>
      <c r="D17212" s="12" t="str">
        <f ca="1">IFERROR(__xludf.DUMMYFUNCTION("""COMPUTED_VALUE"""),"")</f>
        <v/>
      </c>
    </row>
    <row r="17213" spans="2:4" ht="13">
      <c r="B17213" s="12" t="str">
        <f ca="1">IFERROR(__xludf.DUMMYFUNCTION("""COMPUTED_VALUE"""),"")</f>
        <v/>
      </c>
      <c r="C17213" s="12" t="str">
        <f ca="1">IFERROR(__xludf.DUMMYFUNCTION("""COMPUTED_VALUE"""),"")</f>
        <v/>
      </c>
      <c r="D17213" s="12" t="str">
        <f ca="1">IFERROR(__xludf.DUMMYFUNCTION("""COMPUTED_VALUE"""),"")</f>
        <v/>
      </c>
    </row>
    <row r="17214" spans="2:4" ht="13">
      <c r="B17214" s="12" t="str">
        <f ca="1">IFERROR(__xludf.DUMMYFUNCTION("""COMPUTED_VALUE"""),"")</f>
        <v/>
      </c>
      <c r="C17214" s="12" t="str">
        <f ca="1">IFERROR(__xludf.DUMMYFUNCTION("""COMPUTED_VALUE"""),"")</f>
        <v/>
      </c>
      <c r="D17214" s="12" t="str">
        <f ca="1">IFERROR(__xludf.DUMMYFUNCTION("""COMPUTED_VALUE"""),"")</f>
        <v/>
      </c>
    </row>
    <row r="17215" spans="2:4" ht="13">
      <c r="B17215" s="12" t="str">
        <f ca="1">IFERROR(__xludf.DUMMYFUNCTION("""COMPUTED_VALUE"""),"")</f>
        <v/>
      </c>
      <c r="C17215" s="12" t="str">
        <f ca="1">IFERROR(__xludf.DUMMYFUNCTION("""COMPUTED_VALUE"""),"")</f>
        <v/>
      </c>
      <c r="D17215" s="12" t="str">
        <f ca="1">IFERROR(__xludf.DUMMYFUNCTION("""COMPUTED_VALUE"""),"")</f>
        <v/>
      </c>
    </row>
    <row r="17216" spans="2:4" ht="13">
      <c r="B17216" s="12" t="str">
        <f ca="1">IFERROR(__xludf.DUMMYFUNCTION("""COMPUTED_VALUE"""),"")</f>
        <v/>
      </c>
      <c r="C17216" s="12" t="str">
        <f ca="1">IFERROR(__xludf.DUMMYFUNCTION("""COMPUTED_VALUE"""),"")</f>
        <v/>
      </c>
      <c r="D17216" s="12" t="str">
        <f ca="1">IFERROR(__xludf.DUMMYFUNCTION("""COMPUTED_VALUE"""),"")</f>
        <v/>
      </c>
    </row>
    <row r="17217" spans="2:4" ht="13">
      <c r="B17217" s="12" t="str">
        <f ca="1">IFERROR(__xludf.DUMMYFUNCTION("""COMPUTED_VALUE"""),"")</f>
        <v/>
      </c>
      <c r="C17217" s="12" t="str">
        <f ca="1">IFERROR(__xludf.DUMMYFUNCTION("""COMPUTED_VALUE"""),"")</f>
        <v/>
      </c>
      <c r="D17217" s="12" t="str">
        <f ca="1">IFERROR(__xludf.DUMMYFUNCTION("""COMPUTED_VALUE"""),"")</f>
        <v/>
      </c>
    </row>
    <row r="17218" spans="2:4" ht="13">
      <c r="B17218" s="12" t="str">
        <f ca="1">IFERROR(__xludf.DUMMYFUNCTION("""COMPUTED_VALUE"""),"")</f>
        <v/>
      </c>
      <c r="C17218" s="12" t="str">
        <f ca="1">IFERROR(__xludf.DUMMYFUNCTION("""COMPUTED_VALUE"""),"")</f>
        <v/>
      </c>
      <c r="D17218" s="12" t="str">
        <f ca="1">IFERROR(__xludf.DUMMYFUNCTION("""COMPUTED_VALUE"""),"")</f>
        <v/>
      </c>
    </row>
    <row r="17219" spans="2:4" ht="13">
      <c r="B17219" s="12" t="str">
        <f ca="1">IFERROR(__xludf.DUMMYFUNCTION("""COMPUTED_VALUE"""),"")</f>
        <v/>
      </c>
      <c r="C17219" s="12" t="str">
        <f ca="1">IFERROR(__xludf.DUMMYFUNCTION("""COMPUTED_VALUE"""),"")</f>
        <v/>
      </c>
      <c r="D17219" s="12" t="str">
        <f ca="1">IFERROR(__xludf.DUMMYFUNCTION("""COMPUTED_VALUE"""),"")</f>
        <v/>
      </c>
    </row>
    <row r="17220" spans="2:4" ht="13">
      <c r="B17220" s="12" t="str">
        <f ca="1">IFERROR(__xludf.DUMMYFUNCTION("""COMPUTED_VALUE"""),"")</f>
        <v/>
      </c>
      <c r="C17220" s="12" t="str">
        <f ca="1">IFERROR(__xludf.DUMMYFUNCTION("""COMPUTED_VALUE"""),"")</f>
        <v/>
      </c>
      <c r="D17220" s="12" t="str">
        <f ca="1">IFERROR(__xludf.DUMMYFUNCTION("""COMPUTED_VALUE"""),"")</f>
        <v/>
      </c>
    </row>
    <row r="17221" spans="2:4" ht="13">
      <c r="B17221" s="12" t="str">
        <f ca="1">IFERROR(__xludf.DUMMYFUNCTION("""COMPUTED_VALUE"""),"")</f>
        <v/>
      </c>
      <c r="C17221" s="12" t="str">
        <f ca="1">IFERROR(__xludf.DUMMYFUNCTION("""COMPUTED_VALUE"""),"")</f>
        <v/>
      </c>
      <c r="D17221" s="12" t="str">
        <f ca="1">IFERROR(__xludf.DUMMYFUNCTION("""COMPUTED_VALUE"""),"")</f>
        <v/>
      </c>
    </row>
    <row r="17222" spans="2:4" ht="13">
      <c r="B17222" s="12" t="str">
        <f ca="1">IFERROR(__xludf.DUMMYFUNCTION("""COMPUTED_VALUE"""),"")</f>
        <v/>
      </c>
      <c r="C17222" s="12" t="str">
        <f ca="1">IFERROR(__xludf.DUMMYFUNCTION("""COMPUTED_VALUE"""),"")</f>
        <v/>
      </c>
      <c r="D17222" s="12" t="str">
        <f ca="1">IFERROR(__xludf.DUMMYFUNCTION("""COMPUTED_VALUE"""),"")</f>
        <v/>
      </c>
    </row>
    <row r="17223" spans="2:4" ht="13">
      <c r="B17223" s="12" t="str">
        <f ca="1">IFERROR(__xludf.DUMMYFUNCTION("""COMPUTED_VALUE"""),"")</f>
        <v/>
      </c>
      <c r="C17223" s="12" t="str">
        <f ca="1">IFERROR(__xludf.DUMMYFUNCTION("""COMPUTED_VALUE"""),"")</f>
        <v/>
      </c>
      <c r="D17223" s="12" t="str">
        <f ca="1">IFERROR(__xludf.DUMMYFUNCTION("""COMPUTED_VALUE"""),"")</f>
        <v/>
      </c>
    </row>
    <row r="17224" spans="2:4" ht="13">
      <c r="B17224" s="12" t="str">
        <f ca="1">IFERROR(__xludf.DUMMYFUNCTION("""COMPUTED_VALUE"""),"")</f>
        <v/>
      </c>
      <c r="C17224" s="12" t="str">
        <f ca="1">IFERROR(__xludf.DUMMYFUNCTION("""COMPUTED_VALUE"""),"")</f>
        <v/>
      </c>
      <c r="D17224" s="12" t="str">
        <f ca="1">IFERROR(__xludf.DUMMYFUNCTION("""COMPUTED_VALUE"""),"")</f>
        <v/>
      </c>
    </row>
    <row r="17225" spans="2:4" ht="13">
      <c r="B17225" s="12" t="str">
        <f ca="1">IFERROR(__xludf.DUMMYFUNCTION("""COMPUTED_VALUE"""),"")</f>
        <v/>
      </c>
      <c r="C17225" s="12" t="str">
        <f ca="1">IFERROR(__xludf.DUMMYFUNCTION("""COMPUTED_VALUE"""),"")</f>
        <v/>
      </c>
      <c r="D17225" s="12" t="str">
        <f ca="1">IFERROR(__xludf.DUMMYFUNCTION("""COMPUTED_VALUE"""),"")</f>
        <v/>
      </c>
    </row>
    <row r="17226" spans="2:4" ht="13">
      <c r="B17226" s="12" t="str">
        <f ca="1">IFERROR(__xludf.DUMMYFUNCTION("""COMPUTED_VALUE"""),"")</f>
        <v/>
      </c>
      <c r="C17226" s="12" t="str">
        <f ca="1">IFERROR(__xludf.DUMMYFUNCTION("""COMPUTED_VALUE"""),"")</f>
        <v/>
      </c>
      <c r="D17226" s="12" t="str">
        <f ca="1">IFERROR(__xludf.DUMMYFUNCTION("""COMPUTED_VALUE"""),"")</f>
        <v/>
      </c>
    </row>
    <row r="17227" spans="2:4" ht="13">
      <c r="B17227" s="12" t="str">
        <f ca="1">IFERROR(__xludf.DUMMYFUNCTION("""COMPUTED_VALUE"""),"")</f>
        <v/>
      </c>
      <c r="C17227" s="12" t="str">
        <f ca="1">IFERROR(__xludf.DUMMYFUNCTION("""COMPUTED_VALUE"""),"")</f>
        <v/>
      </c>
      <c r="D17227" s="12" t="str">
        <f ca="1">IFERROR(__xludf.DUMMYFUNCTION("""COMPUTED_VALUE"""),"")</f>
        <v/>
      </c>
    </row>
    <row r="17228" spans="2:4" ht="13">
      <c r="B17228" s="12" t="str">
        <f ca="1">IFERROR(__xludf.DUMMYFUNCTION("""COMPUTED_VALUE"""),"")</f>
        <v/>
      </c>
      <c r="C17228" s="12" t="str">
        <f ca="1">IFERROR(__xludf.DUMMYFUNCTION("""COMPUTED_VALUE"""),"")</f>
        <v/>
      </c>
      <c r="D17228" s="12" t="str">
        <f ca="1">IFERROR(__xludf.DUMMYFUNCTION("""COMPUTED_VALUE"""),"")</f>
        <v/>
      </c>
    </row>
    <row r="17229" spans="2:4" ht="13">
      <c r="B17229" s="12" t="str">
        <f ca="1">IFERROR(__xludf.DUMMYFUNCTION("""COMPUTED_VALUE"""),"")</f>
        <v/>
      </c>
      <c r="C17229" s="12" t="str">
        <f ca="1">IFERROR(__xludf.DUMMYFUNCTION("""COMPUTED_VALUE"""),"")</f>
        <v/>
      </c>
      <c r="D17229" s="12" t="str">
        <f ca="1">IFERROR(__xludf.DUMMYFUNCTION("""COMPUTED_VALUE"""),"")</f>
        <v/>
      </c>
    </row>
    <row r="17230" spans="2:4" ht="13">
      <c r="B17230" s="12" t="str">
        <f ca="1">IFERROR(__xludf.DUMMYFUNCTION("""COMPUTED_VALUE"""),"")</f>
        <v/>
      </c>
      <c r="C17230" s="12" t="str">
        <f ca="1">IFERROR(__xludf.DUMMYFUNCTION("""COMPUTED_VALUE"""),"")</f>
        <v/>
      </c>
      <c r="D17230" s="12" t="str">
        <f ca="1">IFERROR(__xludf.DUMMYFUNCTION("""COMPUTED_VALUE"""),"")</f>
        <v/>
      </c>
    </row>
    <row r="17231" spans="2:4" ht="13">
      <c r="B17231" s="12" t="str">
        <f ca="1">IFERROR(__xludf.DUMMYFUNCTION("""COMPUTED_VALUE"""),"")</f>
        <v/>
      </c>
      <c r="C17231" s="12" t="str">
        <f ca="1">IFERROR(__xludf.DUMMYFUNCTION("""COMPUTED_VALUE"""),"")</f>
        <v/>
      </c>
      <c r="D17231" s="12" t="str">
        <f ca="1">IFERROR(__xludf.DUMMYFUNCTION("""COMPUTED_VALUE"""),"")</f>
        <v/>
      </c>
    </row>
    <row r="17232" spans="2:4" ht="13">
      <c r="B17232" s="12" t="str">
        <f ca="1">IFERROR(__xludf.DUMMYFUNCTION("""COMPUTED_VALUE"""),"")</f>
        <v/>
      </c>
      <c r="C17232" s="12" t="str">
        <f ca="1">IFERROR(__xludf.DUMMYFUNCTION("""COMPUTED_VALUE"""),"")</f>
        <v/>
      </c>
      <c r="D17232" s="12" t="str">
        <f ca="1">IFERROR(__xludf.DUMMYFUNCTION("""COMPUTED_VALUE"""),"")</f>
        <v/>
      </c>
    </row>
    <row r="17233" spans="2:4" ht="13">
      <c r="B17233" s="12" t="str">
        <f ca="1">IFERROR(__xludf.DUMMYFUNCTION("""COMPUTED_VALUE"""),"")</f>
        <v/>
      </c>
      <c r="C17233" s="12" t="str">
        <f ca="1">IFERROR(__xludf.DUMMYFUNCTION("""COMPUTED_VALUE"""),"")</f>
        <v/>
      </c>
      <c r="D17233" s="12" t="str">
        <f ca="1">IFERROR(__xludf.DUMMYFUNCTION("""COMPUTED_VALUE"""),"")</f>
        <v/>
      </c>
    </row>
    <row r="17234" spans="2:4" ht="13">
      <c r="B17234" s="12" t="str">
        <f ca="1">IFERROR(__xludf.DUMMYFUNCTION("""COMPUTED_VALUE"""),"")</f>
        <v/>
      </c>
      <c r="C17234" s="12" t="str">
        <f ca="1">IFERROR(__xludf.DUMMYFUNCTION("""COMPUTED_VALUE"""),"")</f>
        <v/>
      </c>
      <c r="D17234" s="12" t="str">
        <f ca="1">IFERROR(__xludf.DUMMYFUNCTION("""COMPUTED_VALUE"""),"")</f>
        <v/>
      </c>
    </row>
    <row r="17235" spans="2:4" ht="13">
      <c r="B17235" s="12" t="str">
        <f ca="1">IFERROR(__xludf.DUMMYFUNCTION("""COMPUTED_VALUE"""),"")</f>
        <v/>
      </c>
      <c r="C17235" s="12" t="str">
        <f ca="1">IFERROR(__xludf.DUMMYFUNCTION("""COMPUTED_VALUE"""),"")</f>
        <v/>
      </c>
      <c r="D17235" s="12" t="str">
        <f ca="1">IFERROR(__xludf.DUMMYFUNCTION("""COMPUTED_VALUE"""),"")</f>
        <v/>
      </c>
    </row>
    <row r="17236" spans="2:4" ht="13">
      <c r="B17236" s="12" t="str">
        <f ca="1">IFERROR(__xludf.DUMMYFUNCTION("""COMPUTED_VALUE"""),"")</f>
        <v/>
      </c>
      <c r="C17236" s="12" t="str">
        <f ca="1">IFERROR(__xludf.DUMMYFUNCTION("""COMPUTED_VALUE"""),"")</f>
        <v/>
      </c>
      <c r="D17236" s="12" t="str">
        <f ca="1">IFERROR(__xludf.DUMMYFUNCTION("""COMPUTED_VALUE"""),"")</f>
        <v/>
      </c>
    </row>
    <row r="17237" spans="2:4" ht="13">
      <c r="B17237" s="12" t="str">
        <f ca="1">IFERROR(__xludf.DUMMYFUNCTION("""COMPUTED_VALUE"""),"")</f>
        <v/>
      </c>
      <c r="C17237" s="12" t="str">
        <f ca="1">IFERROR(__xludf.DUMMYFUNCTION("""COMPUTED_VALUE"""),"")</f>
        <v/>
      </c>
      <c r="D17237" s="12" t="str">
        <f ca="1">IFERROR(__xludf.DUMMYFUNCTION("""COMPUTED_VALUE"""),"")</f>
        <v/>
      </c>
    </row>
    <row r="17238" spans="2:4" ht="13">
      <c r="B17238" s="12" t="str">
        <f ca="1">IFERROR(__xludf.DUMMYFUNCTION("""COMPUTED_VALUE"""),"")</f>
        <v/>
      </c>
      <c r="C17238" s="12" t="str">
        <f ca="1">IFERROR(__xludf.DUMMYFUNCTION("""COMPUTED_VALUE"""),"")</f>
        <v/>
      </c>
      <c r="D17238" s="12" t="str">
        <f ca="1">IFERROR(__xludf.DUMMYFUNCTION("""COMPUTED_VALUE"""),"")</f>
        <v/>
      </c>
    </row>
    <row r="17239" spans="2:4" ht="13">
      <c r="B17239" s="12" t="str">
        <f ca="1">IFERROR(__xludf.DUMMYFUNCTION("""COMPUTED_VALUE"""),"")</f>
        <v/>
      </c>
      <c r="C17239" s="12" t="str">
        <f ca="1">IFERROR(__xludf.DUMMYFUNCTION("""COMPUTED_VALUE"""),"")</f>
        <v/>
      </c>
      <c r="D17239" s="12" t="str">
        <f ca="1">IFERROR(__xludf.DUMMYFUNCTION("""COMPUTED_VALUE"""),"")</f>
        <v/>
      </c>
    </row>
    <row r="17240" spans="2:4" ht="13">
      <c r="B17240" s="12" t="str">
        <f ca="1">IFERROR(__xludf.DUMMYFUNCTION("""COMPUTED_VALUE"""),"")</f>
        <v/>
      </c>
      <c r="C17240" s="12" t="str">
        <f ca="1">IFERROR(__xludf.DUMMYFUNCTION("""COMPUTED_VALUE"""),"")</f>
        <v/>
      </c>
      <c r="D17240" s="12" t="str">
        <f ca="1">IFERROR(__xludf.DUMMYFUNCTION("""COMPUTED_VALUE"""),"")</f>
        <v/>
      </c>
    </row>
    <row r="17241" spans="2:4" ht="13">
      <c r="B17241" s="12" t="str">
        <f ca="1">IFERROR(__xludf.DUMMYFUNCTION("""COMPUTED_VALUE"""),"")</f>
        <v/>
      </c>
      <c r="C17241" s="12" t="str">
        <f ca="1">IFERROR(__xludf.DUMMYFUNCTION("""COMPUTED_VALUE"""),"")</f>
        <v/>
      </c>
      <c r="D17241" s="12" t="str">
        <f ca="1">IFERROR(__xludf.DUMMYFUNCTION("""COMPUTED_VALUE"""),"")</f>
        <v/>
      </c>
    </row>
    <row r="17242" spans="2:4" ht="13">
      <c r="B17242" s="12" t="str">
        <f ca="1">IFERROR(__xludf.DUMMYFUNCTION("""COMPUTED_VALUE"""),"")</f>
        <v/>
      </c>
      <c r="C17242" s="12" t="str">
        <f ca="1">IFERROR(__xludf.DUMMYFUNCTION("""COMPUTED_VALUE"""),"")</f>
        <v/>
      </c>
      <c r="D17242" s="12" t="str">
        <f ca="1">IFERROR(__xludf.DUMMYFUNCTION("""COMPUTED_VALUE"""),"")</f>
        <v/>
      </c>
    </row>
    <row r="17243" spans="2:4" ht="13">
      <c r="B17243" s="12" t="str">
        <f ca="1">IFERROR(__xludf.DUMMYFUNCTION("""COMPUTED_VALUE"""),"")</f>
        <v/>
      </c>
      <c r="C17243" s="12" t="str">
        <f ca="1">IFERROR(__xludf.DUMMYFUNCTION("""COMPUTED_VALUE"""),"")</f>
        <v/>
      </c>
      <c r="D17243" s="12" t="str">
        <f ca="1">IFERROR(__xludf.DUMMYFUNCTION("""COMPUTED_VALUE"""),"")</f>
        <v/>
      </c>
    </row>
    <row r="17244" spans="2:4" ht="13">
      <c r="B17244" s="12" t="str">
        <f ca="1">IFERROR(__xludf.DUMMYFUNCTION("""COMPUTED_VALUE"""),"")</f>
        <v/>
      </c>
      <c r="C17244" s="12" t="str">
        <f ca="1">IFERROR(__xludf.DUMMYFUNCTION("""COMPUTED_VALUE"""),"")</f>
        <v/>
      </c>
      <c r="D17244" s="12" t="str">
        <f ca="1">IFERROR(__xludf.DUMMYFUNCTION("""COMPUTED_VALUE"""),"")</f>
        <v/>
      </c>
    </row>
    <row r="17245" spans="2:4" ht="13">
      <c r="B17245" s="12" t="str">
        <f ca="1">IFERROR(__xludf.DUMMYFUNCTION("""COMPUTED_VALUE"""),"")</f>
        <v/>
      </c>
      <c r="C17245" s="12" t="str">
        <f ca="1">IFERROR(__xludf.DUMMYFUNCTION("""COMPUTED_VALUE"""),"")</f>
        <v/>
      </c>
      <c r="D17245" s="12" t="str">
        <f ca="1">IFERROR(__xludf.DUMMYFUNCTION("""COMPUTED_VALUE"""),"")</f>
        <v/>
      </c>
    </row>
    <row r="17246" spans="2:4" ht="13">
      <c r="B17246" s="12" t="str">
        <f ca="1">IFERROR(__xludf.DUMMYFUNCTION("""COMPUTED_VALUE"""),"")</f>
        <v/>
      </c>
      <c r="C17246" s="12" t="str">
        <f ca="1">IFERROR(__xludf.DUMMYFUNCTION("""COMPUTED_VALUE"""),"")</f>
        <v/>
      </c>
      <c r="D17246" s="12" t="str">
        <f ca="1">IFERROR(__xludf.DUMMYFUNCTION("""COMPUTED_VALUE"""),"")</f>
        <v/>
      </c>
    </row>
    <row r="17247" spans="2:4" ht="13">
      <c r="B17247" s="12" t="str">
        <f ca="1">IFERROR(__xludf.DUMMYFUNCTION("""COMPUTED_VALUE"""),"")</f>
        <v/>
      </c>
      <c r="C17247" s="12" t="str">
        <f ca="1">IFERROR(__xludf.DUMMYFUNCTION("""COMPUTED_VALUE"""),"")</f>
        <v/>
      </c>
      <c r="D17247" s="12" t="str">
        <f ca="1">IFERROR(__xludf.DUMMYFUNCTION("""COMPUTED_VALUE"""),"")</f>
        <v/>
      </c>
    </row>
    <row r="17248" spans="2:4" ht="13">
      <c r="B17248" s="12" t="str">
        <f ca="1">IFERROR(__xludf.DUMMYFUNCTION("""COMPUTED_VALUE"""),"")</f>
        <v/>
      </c>
      <c r="C17248" s="12" t="str">
        <f ca="1">IFERROR(__xludf.DUMMYFUNCTION("""COMPUTED_VALUE"""),"")</f>
        <v/>
      </c>
      <c r="D17248" s="12" t="str">
        <f ca="1">IFERROR(__xludf.DUMMYFUNCTION("""COMPUTED_VALUE"""),"")</f>
        <v/>
      </c>
    </row>
    <row r="17249" spans="2:4" ht="13">
      <c r="B17249" s="12" t="str">
        <f ca="1">IFERROR(__xludf.DUMMYFUNCTION("""COMPUTED_VALUE"""),"")</f>
        <v/>
      </c>
      <c r="C17249" s="12" t="str">
        <f ca="1">IFERROR(__xludf.DUMMYFUNCTION("""COMPUTED_VALUE"""),"")</f>
        <v/>
      </c>
      <c r="D17249" s="12" t="str">
        <f ca="1">IFERROR(__xludf.DUMMYFUNCTION("""COMPUTED_VALUE"""),"")</f>
        <v/>
      </c>
    </row>
    <row r="17250" spans="2:4" ht="13">
      <c r="B17250" s="12" t="str">
        <f ca="1">IFERROR(__xludf.DUMMYFUNCTION("""COMPUTED_VALUE"""),"")</f>
        <v/>
      </c>
      <c r="C17250" s="12" t="str">
        <f ca="1">IFERROR(__xludf.DUMMYFUNCTION("""COMPUTED_VALUE"""),"")</f>
        <v/>
      </c>
      <c r="D17250" s="12" t="str">
        <f ca="1">IFERROR(__xludf.DUMMYFUNCTION("""COMPUTED_VALUE"""),"")</f>
        <v/>
      </c>
    </row>
    <row r="17251" spans="2:4" ht="13">
      <c r="B17251" s="12" t="str">
        <f ca="1">IFERROR(__xludf.DUMMYFUNCTION("""COMPUTED_VALUE"""),"")</f>
        <v/>
      </c>
      <c r="C17251" s="12" t="str">
        <f ca="1">IFERROR(__xludf.DUMMYFUNCTION("""COMPUTED_VALUE"""),"")</f>
        <v/>
      </c>
      <c r="D17251" s="12" t="str">
        <f ca="1">IFERROR(__xludf.DUMMYFUNCTION("""COMPUTED_VALUE"""),"")</f>
        <v/>
      </c>
    </row>
    <row r="17252" spans="2:4" ht="13">
      <c r="B17252" s="12" t="str">
        <f ca="1">IFERROR(__xludf.DUMMYFUNCTION("""COMPUTED_VALUE"""),"")</f>
        <v/>
      </c>
      <c r="C17252" s="12" t="str">
        <f ca="1">IFERROR(__xludf.DUMMYFUNCTION("""COMPUTED_VALUE"""),"")</f>
        <v/>
      </c>
      <c r="D17252" s="12" t="str">
        <f ca="1">IFERROR(__xludf.DUMMYFUNCTION("""COMPUTED_VALUE"""),"")</f>
        <v/>
      </c>
    </row>
    <row r="17253" spans="2:4" ht="13">
      <c r="B17253" s="12" t="str">
        <f ca="1">IFERROR(__xludf.DUMMYFUNCTION("""COMPUTED_VALUE"""),"")</f>
        <v/>
      </c>
      <c r="C17253" s="12" t="str">
        <f ca="1">IFERROR(__xludf.DUMMYFUNCTION("""COMPUTED_VALUE"""),"")</f>
        <v/>
      </c>
      <c r="D17253" s="12" t="str">
        <f ca="1">IFERROR(__xludf.DUMMYFUNCTION("""COMPUTED_VALUE"""),"")</f>
        <v/>
      </c>
    </row>
    <row r="17254" spans="2:4" ht="13">
      <c r="B17254" s="12" t="str">
        <f ca="1">IFERROR(__xludf.DUMMYFUNCTION("""COMPUTED_VALUE"""),"")</f>
        <v/>
      </c>
      <c r="C17254" s="12" t="str">
        <f ca="1">IFERROR(__xludf.DUMMYFUNCTION("""COMPUTED_VALUE"""),"")</f>
        <v/>
      </c>
      <c r="D17254" s="12" t="str">
        <f ca="1">IFERROR(__xludf.DUMMYFUNCTION("""COMPUTED_VALUE"""),"")</f>
        <v/>
      </c>
    </row>
    <row r="17255" spans="2:4" ht="13">
      <c r="B17255" s="12" t="str">
        <f ca="1">IFERROR(__xludf.DUMMYFUNCTION("""COMPUTED_VALUE"""),"")</f>
        <v/>
      </c>
      <c r="C17255" s="12" t="str">
        <f ca="1">IFERROR(__xludf.DUMMYFUNCTION("""COMPUTED_VALUE"""),"")</f>
        <v/>
      </c>
      <c r="D17255" s="12" t="str">
        <f ca="1">IFERROR(__xludf.DUMMYFUNCTION("""COMPUTED_VALUE"""),"")</f>
        <v/>
      </c>
    </row>
    <row r="17256" spans="2:4" ht="13">
      <c r="B17256" s="12" t="str">
        <f ca="1">IFERROR(__xludf.DUMMYFUNCTION("""COMPUTED_VALUE"""),"")</f>
        <v/>
      </c>
      <c r="C17256" s="12" t="str">
        <f ca="1">IFERROR(__xludf.DUMMYFUNCTION("""COMPUTED_VALUE"""),"")</f>
        <v/>
      </c>
      <c r="D17256" s="12" t="str">
        <f ca="1">IFERROR(__xludf.DUMMYFUNCTION("""COMPUTED_VALUE"""),"")</f>
        <v/>
      </c>
    </row>
    <row r="17257" spans="2:4" ht="13">
      <c r="B17257" s="12" t="str">
        <f ca="1">IFERROR(__xludf.DUMMYFUNCTION("""COMPUTED_VALUE"""),"")</f>
        <v/>
      </c>
      <c r="C17257" s="12" t="str">
        <f ca="1">IFERROR(__xludf.DUMMYFUNCTION("""COMPUTED_VALUE"""),"")</f>
        <v/>
      </c>
      <c r="D17257" s="12" t="str">
        <f ca="1">IFERROR(__xludf.DUMMYFUNCTION("""COMPUTED_VALUE"""),"")</f>
        <v/>
      </c>
    </row>
    <row r="17258" spans="2:4" ht="13">
      <c r="B17258" s="12" t="str">
        <f ca="1">IFERROR(__xludf.DUMMYFUNCTION("""COMPUTED_VALUE"""),"")</f>
        <v/>
      </c>
      <c r="C17258" s="12" t="str">
        <f ca="1">IFERROR(__xludf.DUMMYFUNCTION("""COMPUTED_VALUE"""),"")</f>
        <v/>
      </c>
      <c r="D17258" s="12" t="str">
        <f ca="1">IFERROR(__xludf.DUMMYFUNCTION("""COMPUTED_VALUE"""),"")</f>
        <v/>
      </c>
    </row>
    <row r="17259" spans="2:4" ht="13">
      <c r="B17259" s="12" t="str">
        <f ca="1">IFERROR(__xludf.DUMMYFUNCTION("""COMPUTED_VALUE"""),"")</f>
        <v/>
      </c>
      <c r="C17259" s="12" t="str">
        <f ca="1">IFERROR(__xludf.DUMMYFUNCTION("""COMPUTED_VALUE"""),"")</f>
        <v/>
      </c>
      <c r="D17259" s="12" t="str">
        <f ca="1">IFERROR(__xludf.DUMMYFUNCTION("""COMPUTED_VALUE"""),"")</f>
        <v/>
      </c>
    </row>
    <row r="17260" spans="2:4" ht="13">
      <c r="B17260" s="12" t="str">
        <f ca="1">IFERROR(__xludf.DUMMYFUNCTION("""COMPUTED_VALUE"""),"")</f>
        <v/>
      </c>
      <c r="C17260" s="12" t="str">
        <f ca="1">IFERROR(__xludf.DUMMYFUNCTION("""COMPUTED_VALUE"""),"")</f>
        <v/>
      </c>
      <c r="D17260" s="12" t="str">
        <f ca="1">IFERROR(__xludf.DUMMYFUNCTION("""COMPUTED_VALUE"""),"")</f>
        <v/>
      </c>
    </row>
    <row r="17261" spans="2:4" ht="13">
      <c r="B17261" s="12" t="str">
        <f ca="1">IFERROR(__xludf.DUMMYFUNCTION("""COMPUTED_VALUE"""),"")</f>
        <v/>
      </c>
      <c r="C17261" s="12" t="str">
        <f ca="1">IFERROR(__xludf.DUMMYFUNCTION("""COMPUTED_VALUE"""),"")</f>
        <v/>
      </c>
      <c r="D17261" s="12" t="str">
        <f ca="1">IFERROR(__xludf.DUMMYFUNCTION("""COMPUTED_VALUE"""),"")</f>
        <v/>
      </c>
    </row>
    <row r="17262" spans="2:4" ht="13">
      <c r="B17262" s="12" t="str">
        <f ca="1">IFERROR(__xludf.DUMMYFUNCTION("""COMPUTED_VALUE"""),"")</f>
        <v/>
      </c>
      <c r="C17262" s="12" t="str">
        <f ca="1">IFERROR(__xludf.DUMMYFUNCTION("""COMPUTED_VALUE"""),"")</f>
        <v/>
      </c>
      <c r="D17262" s="12" t="str">
        <f ca="1">IFERROR(__xludf.DUMMYFUNCTION("""COMPUTED_VALUE"""),"")</f>
        <v/>
      </c>
    </row>
    <row r="17263" spans="2:4" ht="13">
      <c r="B17263" s="12" t="str">
        <f ca="1">IFERROR(__xludf.DUMMYFUNCTION("""COMPUTED_VALUE"""),"")</f>
        <v/>
      </c>
      <c r="C17263" s="12" t="str">
        <f ca="1">IFERROR(__xludf.DUMMYFUNCTION("""COMPUTED_VALUE"""),"")</f>
        <v/>
      </c>
      <c r="D17263" s="12" t="str">
        <f ca="1">IFERROR(__xludf.DUMMYFUNCTION("""COMPUTED_VALUE"""),"")</f>
        <v/>
      </c>
    </row>
    <row r="17264" spans="2:4" ht="13">
      <c r="B17264" s="12" t="str">
        <f ca="1">IFERROR(__xludf.DUMMYFUNCTION("""COMPUTED_VALUE"""),"")</f>
        <v/>
      </c>
      <c r="C17264" s="12" t="str">
        <f ca="1">IFERROR(__xludf.DUMMYFUNCTION("""COMPUTED_VALUE"""),"")</f>
        <v/>
      </c>
      <c r="D17264" s="12" t="str">
        <f ca="1">IFERROR(__xludf.DUMMYFUNCTION("""COMPUTED_VALUE"""),"")</f>
        <v/>
      </c>
    </row>
    <row r="17265" spans="2:4" ht="13">
      <c r="B17265" s="12" t="str">
        <f ca="1">IFERROR(__xludf.DUMMYFUNCTION("""COMPUTED_VALUE"""),"")</f>
        <v/>
      </c>
      <c r="C17265" s="12" t="str">
        <f ca="1">IFERROR(__xludf.DUMMYFUNCTION("""COMPUTED_VALUE"""),"")</f>
        <v/>
      </c>
      <c r="D17265" s="12" t="str">
        <f ca="1">IFERROR(__xludf.DUMMYFUNCTION("""COMPUTED_VALUE"""),"")</f>
        <v/>
      </c>
    </row>
    <row r="17266" spans="2:4" ht="13">
      <c r="B17266" s="12" t="str">
        <f ca="1">IFERROR(__xludf.DUMMYFUNCTION("""COMPUTED_VALUE"""),"")</f>
        <v/>
      </c>
      <c r="C17266" s="12" t="str">
        <f ca="1">IFERROR(__xludf.DUMMYFUNCTION("""COMPUTED_VALUE"""),"")</f>
        <v/>
      </c>
      <c r="D17266" s="12" t="str">
        <f ca="1">IFERROR(__xludf.DUMMYFUNCTION("""COMPUTED_VALUE"""),"")</f>
        <v/>
      </c>
    </row>
    <row r="17267" spans="2:4" ht="13">
      <c r="B17267" s="12" t="str">
        <f ca="1">IFERROR(__xludf.DUMMYFUNCTION("""COMPUTED_VALUE"""),"")</f>
        <v/>
      </c>
      <c r="C17267" s="12" t="str">
        <f ca="1">IFERROR(__xludf.DUMMYFUNCTION("""COMPUTED_VALUE"""),"")</f>
        <v/>
      </c>
      <c r="D17267" s="12" t="str">
        <f ca="1">IFERROR(__xludf.DUMMYFUNCTION("""COMPUTED_VALUE"""),"")</f>
        <v/>
      </c>
    </row>
    <row r="17268" spans="2:4" ht="13">
      <c r="B17268" s="12" t="str">
        <f ca="1">IFERROR(__xludf.DUMMYFUNCTION("""COMPUTED_VALUE"""),"")</f>
        <v/>
      </c>
      <c r="C17268" s="12" t="str">
        <f ca="1">IFERROR(__xludf.DUMMYFUNCTION("""COMPUTED_VALUE"""),"")</f>
        <v/>
      </c>
      <c r="D17268" s="12" t="str">
        <f ca="1">IFERROR(__xludf.DUMMYFUNCTION("""COMPUTED_VALUE"""),"")</f>
        <v/>
      </c>
    </row>
    <row r="17269" spans="2:4" ht="13">
      <c r="B17269" s="12" t="str">
        <f ca="1">IFERROR(__xludf.DUMMYFUNCTION("""COMPUTED_VALUE"""),"")</f>
        <v/>
      </c>
      <c r="C17269" s="12" t="str">
        <f ca="1">IFERROR(__xludf.DUMMYFUNCTION("""COMPUTED_VALUE"""),"")</f>
        <v/>
      </c>
      <c r="D17269" s="12" t="str">
        <f ca="1">IFERROR(__xludf.DUMMYFUNCTION("""COMPUTED_VALUE"""),"")</f>
        <v/>
      </c>
    </row>
    <row r="17270" spans="2:4" ht="13">
      <c r="B17270" s="12" t="str">
        <f ca="1">IFERROR(__xludf.DUMMYFUNCTION("""COMPUTED_VALUE"""),"")</f>
        <v/>
      </c>
      <c r="C17270" s="12" t="str">
        <f ca="1">IFERROR(__xludf.DUMMYFUNCTION("""COMPUTED_VALUE"""),"")</f>
        <v/>
      </c>
      <c r="D17270" s="12" t="str">
        <f ca="1">IFERROR(__xludf.DUMMYFUNCTION("""COMPUTED_VALUE"""),"")</f>
        <v/>
      </c>
    </row>
    <row r="17271" spans="2:4" ht="13">
      <c r="B17271" s="12" t="str">
        <f ca="1">IFERROR(__xludf.DUMMYFUNCTION("""COMPUTED_VALUE"""),"")</f>
        <v/>
      </c>
      <c r="C17271" s="12" t="str">
        <f ca="1">IFERROR(__xludf.DUMMYFUNCTION("""COMPUTED_VALUE"""),"")</f>
        <v/>
      </c>
      <c r="D17271" s="12" t="str">
        <f ca="1">IFERROR(__xludf.DUMMYFUNCTION("""COMPUTED_VALUE"""),"")</f>
        <v/>
      </c>
    </row>
    <row r="17272" spans="2:4" ht="13">
      <c r="B17272" s="12" t="str">
        <f ca="1">IFERROR(__xludf.DUMMYFUNCTION("""COMPUTED_VALUE"""),"")</f>
        <v/>
      </c>
      <c r="C17272" s="12" t="str">
        <f ca="1">IFERROR(__xludf.DUMMYFUNCTION("""COMPUTED_VALUE"""),"")</f>
        <v/>
      </c>
      <c r="D17272" s="12" t="str">
        <f ca="1">IFERROR(__xludf.DUMMYFUNCTION("""COMPUTED_VALUE"""),"")</f>
        <v/>
      </c>
    </row>
    <row r="17273" spans="2:4" ht="13">
      <c r="B17273" s="12" t="str">
        <f ca="1">IFERROR(__xludf.DUMMYFUNCTION("""COMPUTED_VALUE"""),"")</f>
        <v/>
      </c>
      <c r="C17273" s="12" t="str">
        <f ca="1">IFERROR(__xludf.DUMMYFUNCTION("""COMPUTED_VALUE"""),"")</f>
        <v/>
      </c>
      <c r="D17273" s="12" t="str">
        <f ca="1">IFERROR(__xludf.DUMMYFUNCTION("""COMPUTED_VALUE"""),"")</f>
        <v/>
      </c>
    </row>
    <row r="17274" spans="2:4" ht="13">
      <c r="B17274" s="12" t="str">
        <f ca="1">IFERROR(__xludf.DUMMYFUNCTION("""COMPUTED_VALUE"""),"")</f>
        <v/>
      </c>
      <c r="C17274" s="12" t="str">
        <f ca="1">IFERROR(__xludf.DUMMYFUNCTION("""COMPUTED_VALUE"""),"")</f>
        <v/>
      </c>
      <c r="D17274" s="12" t="str">
        <f ca="1">IFERROR(__xludf.DUMMYFUNCTION("""COMPUTED_VALUE"""),"")</f>
        <v/>
      </c>
    </row>
    <row r="17275" spans="2:4" ht="13">
      <c r="B17275" s="12" t="str">
        <f ca="1">IFERROR(__xludf.DUMMYFUNCTION("""COMPUTED_VALUE"""),"")</f>
        <v/>
      </c>
      <c r="C17275" s="12" t="str">
        <f ca="1">IFERROR(__xludf.DUMMYFUNCTION("""COMPUTED_VALUE"""),"")</f>
        <v/>
      </c>
      <c r="D17275" s="12" t="str">
        <f ca="1">IFERROR(__xludf.DUMMYFUNCTION("""COMPUTED_VALUE"""),"")</f>
        <v/>
      </c>
    </row>
    <row r="17276" spans="2:4" ht="13">
      <c r="B17276" s="12" t="str">
        <f ca="1">IFERROR(__xludf.DUMMYFUNCTION("""COMPUTED_VALUE"""),"")</f>
        <v/>
      </c>
      <c r="C17276" s="12" t="str">
        <f ca="1">IFERROR(__xludf.DUMMYFUNCTION("""COMPUTED_VALUE"""),"")</f>
        <v/>
      </c>
      <c r="D17276" s="12" t="str">
        <f ca="1">IFERROR(__xludf.DUMMYFUNCTION("""COMPUTED_VALUE"""),"")</f>
        <v/>
      </c>
    </row>
    <row r="17277" spans="2:4" ht="13">
      <c r="B17277" s="12" t="str">
        <f ca="1">IFERROR(__xludf.DUMMYFUNCTION("""COMPUTED_VALUE"""),"")</f>
        <v/>
      </c>
      <c r="C17277" s="12" t="str">
        <f ca="1">IFERROR(__xludf.DUMMYFUNCTION("""COMPUTED_VALUE"""),"")</f>
        <v/>
      </c>
      <c r="D17277" s="12" t="str">
        <f ca="1">IFERROR(__xludf.DUMMYFUNCTION("""COMPUTED_VALUE"""),"")</f>
        <v/>
      </c>
    </row>
    <row r="17278" spans="2:4" ht="13">
      <c r="B17278" s="12" t="str">
        <f ca="1">IFERROR(__xludf.DUMMYFUNCTION("""COMPUTED_VALUE"""),"")</f>
        <v/>
      </c>
      <c r="C17278" s="12" t="str">
        <f ca="1">IFERROR(__xludf.DUMMYFUNCTION("""COMPUTED_VALUE"""),"")</f>
        <v/>
      </c>
      <c r="D17278" s="12" t="str">
        <f ca="1">IFERROR(__xludf.DUMMYFUNCTION("""COMPUTED_VALUE"""),"")</f>
        <v/>
      </c>
    </row>
    <row r="17279" spans="2:4" ht="13">
      <c r="B17279" s="12" t="str">
        <f ca="1">IFERROR(__xludf.DUMMYFUNCTION("""COMPUTED_VALUE"""),"")</f>
        <v/>
      </c>
      <c r="C17279" s="12" t="str">
        <f ca="1">IFERROR(__xludf.DUMMYFUNCTION("""COMPUTED_VALUE"""),"")</f>
        <v/>
      </c>
      <c r="D17279" s="12" t="str">
        <f ca="1">IFERROR(__xludf.DUMMYFUNCTION("""COMPUTED_VALUE"""),"")</f>
        <v/>
      </c>
    </row>
    <row r="17280" spans="2:4" ht="13">
      <c r="B17280" s="12" t="str">
        <f ca="1">IFERROR(__xludf.DUMMYFUNCTION("""COMPUTED_VALUE"""),"")</f>
        <v/>
      </c>
      <c r="C17280" s="12" t="str">
        <f ca="1">IFERROR(__xludf.DUMMYFUNCTION("""COMPUTED_VALUE"""),"")</f>
        <v/>
      </c>
      <c r="D17280" s="12" t="str">
        <f ca="1">IFERROR(__xludf.DUMMYFUNCTION("""COMPUTED_VALUE"""),"")</f>
        <v/>
      </c>
    </row>
    <row r="17281" spans="2:4" ht="13">
      <c r="B17281" s="12" t="str">
        <f ca="1">IFERROR(__xludf.DUMMYFUNCTION("""COMPUTED_VALUE"""),"")</f>
        <v/>
      </c>
      <c r="C17281" s="12" t="str">
        <f ca="1">IFERROR(__xludf.DUMMYFUNCTION("""COMPUTED_VALUE"""),"")</f>
        <v/>
      </c>
      <c r="D17281" s="12" t="str">
        <f ca="1">IFERROR(__xludf.DUMMYFUNCTION("""COMPUTED_VALUE"""),"")</f>
        <v/>
      </c>
    </row>
    <row r="17282" spans="2:4" ht="13">
      <c r="B17282" s="12" t="str">
        <f ca="1">IFERROR(__xludf.DUMMYFUNCTION("""COMPUTED_VALUE"""),"")</f>
        <v/>
      </c>
      <c r="C17282" s="12" t="str">
        <f ca="1">IFERROR(__xludf.DUMMYFUNCTION("""COMPUTED_VALUE"""),"")</f>
        <v/>
      </c>
      <c r="D17282" s="12" t="str">
        <f ca="1">IFERROR(__xludf.DUMMYFUNCTION("""COMPUTED_VALUE"""),"")</f>
        <v/>
      </c>
    </row>
    <row r="17283" spans="2:4" ht="13">
      <c r="B17283" s="12" t="str">
        <f ca="1">IFERROR(__xludf.DUMMYFUNCTION("""COMPUTED_VALUE"""),"")</f>
        <v/>
      </c>
      <c r="C17283" s="12" t="str">
        <f ca="1">IFERROR(__xludf.DUMMYFUNCTION("""COMPUTED_VALUE"""),"")</f>
        <v/>
      </c>
      <c r="D17283" s="12" t="str">
        <f ca="1">IFERROR(__xludf.DUMMYFUNCTION("""COMPUTED_VALUE"""),"")</f>
        <v/>
      </c>
    </row>
    <row r="17284" spans="2:4" ht="13">
      <c r="B17284" s="12" t="str">
        <f ca="1">IFERROR(__xludf.DUMMYFUNCTION("""COMPUTED_VALUE"""),"")</f>
        <v/>
      </c>
      <c r="C17284" s="12" t="str">
        <f ca="1">IFERROR(__xludf.DUMMYFUNCTION("""COMPUTED_VALUE"""),"")</f>
        <v/>
      </c>
      <c r="D17284" s="12" t="str">
        <f ca="1">IFERROR(__xludf.DUMMYFUNCTION("""COMPUTED_VALUE"""),"")</f>
        <v/>
      </c>
    </row>
    <row r="17285" spans="2:4" ht="13">
      <c r="B17285" s="12" t="str">
        <f ca="1">IFERROR(__xludf.DUMMYFUNCTION("""COMPUTED_VALUE"""),"")</f>
        <v/>
      </c>
      <c r="C17285" s="12" t="str">
        <f ca="1">IFERROR(__xludf.DUMMYFUNCTION("""COMPUTED_VALUE"""),"")</f>
        <v/>
      </c>
      <c r="D17285" s="12" t="str">
        <f ca="1">IFERROR(__xludf.DUMMYFUNCTION("""COMPUTED_VALUE"""),"")</f>
        <v/>
      </c>
    </row>
    <row r="17286" spans="2:4" ht="13">
      <c r="B17286" s="12" t="str">
        <f ca="1">IFERROR(__xludf.DUMMYFUNCTION("""COMPUTED_VALUE"""),"")</f>
        <v/>
      </c>
      <c r="C17286" s="12" t="str">
        <f ca="1">IFERROR(__xludf.DUMMYFUNCTION("""COMPUTED_VALUE"""),"")</f>
        <v/>
      </c>
      <c r="D17286" s="12" t="str">
        <f ca="1">IFERROR(__xludf.DUMMYFUNCTION("""COMPUTED_VALUE"""),"")</f>
        <v/>
      </c>
    </row>
    <row r="17287" spans="2:4" ht="13">
      <c r="B17287" s="12" t="str">
        <f ca="1">IFERROR(__xludf.DUMMYFUNCTION("""COMPUTED_VALUE"""),"")</f>
        <v/>
      </c>
      <c r="C17287" s="12" t="str">
        <f ca="1">IFERROR(__xludf.DUMMYFUNCTION("""COMPUTED_VALUE"""),"")</f>
        <v/>
      </c>
      <c r="D17287" s="12" t="str">
        <f ca="1">IFERROR(__xludf.DUMMYFUNCTION("""COMPUTED_VALUE"""),"")</f>
        <v/>
      </c>
    </row>
    <row r="17288" spans="2:4" ht="13">
      <c r="B17288" s="12" t="str">
        <f ca="1">IFERROR(__xludf.DUMMYFUNCTION("""COMPUTED_VALUE"""),"")</f>
        <v/>
      </c>
      <c r="C17288" s="12" t="str">
        <f ca="1">IFERROR(__xludf.DUMMYFUNCTION("""COMPUTED_VALUE"""),"")</f>
        <v/>
      </c>
      <c r="D17288" s="12" t="str">
        <f ca="1">IFERROR(__xludf.DUMMYFUNCTION("""COMPUTED_VALUE"""),"")</f>
        <v/>
      </c>
    </row>
    <row r="17289" spans="2:4" ht="13">
      <c r="B17289" s="12" t="str">
        <f ca="1">IFERROR(__xludf.DUMMYFUNCTION("""COMPUTED_VALUE"""),"")</f>
        <v/>
      </c>
      <c r="C17289" s="12" t="str">
        <f ca="1">IFERROR(__xludf.DUMMYFUNCTION("""COMPUTED_VALUE"""),"")</f>
        <v/>
      </c>
      <c r="D17289" s="12" t="str">
        <f ca="1">IFERROR(__xludf.DUMMYFUNCTION("""COMPUTED_VALUE"""),"")</f>
        <v/>
      </c>
    </row>
    <row r="17290" spans="2:4" ht="13">
      <c r="B17290" s="12" t="str">
        <f ca="1">IFERROR(__xludf.DUMMYFUNCTION("""COMPUTED_VALUE"""),"")</f>
        <v/>
      </c>
      <c r="C17290" s="12" t="str">
        <f ca="1">IFERROR(__xludf.DUMMYFUNCTION("""COMPUTED_VALUE"""),"")</f>
        <v/>
      </c>
      <c r="D17290" s="12" t="str">
        <f ca="1">IFERROR(__xludf.DUMMYFUNCTION("""COMPUTED_VALUE"""),"")</f>
        <v/>
      </c>
    </row>
    <row r="17291" spans="2:4" ht="13">
      <c r="B17291" s="12" t="str">
        <f ca="1">IFERROR(__xludf.DUMMYFUNCTION("""COMPUTED_VALUE"""),"")</f>
        <v/>
      </c>
      <c r="C17291" s="12" t="str">
        <f ca="1">IFERROR(__xludf.DUMMYFUNCTION("""COMPUTED_VALUE"""),"")</f>
        <v/>
      </c>
      <c r="D17291" s="12" t="str">
        <f ca="1">IFERROR(__xludf.DUMMYFUNCTION("""COMPUTED_VALUE"""),"")</f>
        <v/>
      </c>
    </row>
    <row r="17292" spans="2:4" ht="13">
      <c r="B17292" s="12" t="str">
        <f ca="1">IFERROR(__xludf.DUMMYFUNCTION("""COMPUTED_VALUE"""),"")</f>
        <v/>
      </c>
      <c r="C17292" s="12" t="str">
        <f ca="1">IFERROR(__xludf.DUMMYFUNCTION("""COMPUTED_VALUE"""),"")</f>
        <v/>
      </c>
      <c r="D17292" s="12" t="str">
        <f ca="1">IFERROR(__xludf.DUMMYFUNCTION("""COMPUTED_VALUE"""),"")</f>
        <v/>
      </c>
    </row>
    <row r="17293" spans="2:4" ht="13">
      <c r="B17293" s="12" t="str">
        <f ca="1">IFERROR(__xludf.DUMMYFUNCTION("""COMPUTED_VALUE"""),"")</f>
        <v/>
      </c>
      <c r="C17293" s="12" t="str">
        <f ca="1">IFERROR(__xludf.DUMMYFUNCTION("""COMPUTED_VALUE"""),"")</f>
        <v/>
      </c>
      <c r="D17293" s="12" t="str">
        <f ca="1">IFERROR(__xludf.DUMMYFUNCTION("""COMPUTED_VALUE"""),"")</f>
        <v/>
      </c>
    </row>
    <row r="17294" spans="2:4" ht="13">
      <c r="B17294" s="12" t="str">
        <f ca="1">IFERROR(__xludf.DUMMYFUNCTION("""COMPUTED_VALUE"""),"")</f>
        <v/>
      </c>
      <c r="C17294" s="12" t="str">
        <f ca="1">IFERROR(__xludf.DUMMYFUNCTION("""COMPUTED_VALUE"""),"")</f>
        <v/>
      </c>
      <c r="D17294" s="12" t="str">
        <f ca="1">IFERROR(__xludf.DUMMYFUNCTION("""COMPUTED_VALUE"""),"")</f>
        <v/>
      </c>
    </row>
    <row r="17295" spans="2:4" ht="13">
      <c r="B17295" s="12" t="str">
        <f ca="1">IFERROR(__xludf.DUMMYFUNCTION("""COMPUTED_VALUE"""),"")</f>
        <v/>
      </c>
      <c r="C17295" s="12" t="str">
        <f ca="1">IFERROR(__xludf.DUMMYFUNCTION("""COMPUTED_VALUE"""),"")</f>
        <v/>
      </c>
      <c r="D17295" s="12" t="str">
        <f ca="1">IFERROR(__xludf.DUMMYFUNCTION("""COMPUTED_VALUE"""),"")</f>
        <v/>
      </c>
    </row>
    <row r="17296" spans="2:4" ht="13">
      <c r="B17296" s="12" t="str">
        <f ca="1">IFERROR(__xludf.DUMMYFUNCTION("""COMPUTED_VALUE"""),"")</f>
        <v/>
      </c>
      <c r="C17296" s="12" t="str">
        <f ca="1">IFERROR(__xludf.DUMMYFUNCTION("""COMPUTED_VALUE"""),"")</f>
        <v/>
      </c>
      <c r="D17296" s="12" t="str">
        <f ca="1">IFERROR(__xludf.DUMMYFUNCTION("""COMPUTED_VALUE"""),"")</f>
        <v/>
      </c>
    </row>
    <row r="17297" spans="2:4" ht="13">
      <c r="B17297" s="12" t="str">
        <f ca="1">IFERROR(__xludf.DUMMYFUNCTION("""COMPUTED_VALUE"""),"")</f>
        <v/>
      </c>
      <c r="C17297" s="12" t="str">
        <f ca="1">IFERROR(__xludf.DUMMYFUNCTION("""COMPUTED_VALUE"""),"")</f>
        <v/>
      </c>
      <c r="D17297" s="12" t="str">
        <f ca="1">IFERROR(__xludf.DUMMYFUNCTION("""COMPUTED_VALUE"""),"")</f>
        <v/>
      </c>
    </row>
    <row r="17298" spans="2:4" ht="13">
      <c r="B17298" s="12" t="str">
        <f ca="1">IFERROR(__xludf.DUMMYFUNCTION("""COMPUTED_VALUE"""),"")</f>
        <v/>
      </c>
      <c r="C17298" s="12" t="str">
        <f ca="1">IFERROR(__xludf.DUMMYFUNCTION("""COMPUTED_VALUE"""),"")</f>
        <v/>
      </c>
      <c r="D17298" s="12" t="str">
        <f ca="1">IFERROR(__xludf.DUMMYFUNCTION("""COMPUTED_VALUE"""),"")</f>
        <v/>
      </c>
    </row>
    <row r="17299" spans="2:4" ht="13">
      <c r="B17299" s="12" t="str">
        <f ca="1">IFERROR(__xludf.DUMMYFUNCTION("""COMPUTED_VALUE"""),"")</f>
        <v/>
      </c>
      <c r="C17299" s="12" t="str">
        <f ca="1">IFERROR(__xludf.DUMMYFUNCTION("""COMPUTED_VALUE"""),"")</f>
        <v/>
      </c>
      <c r="D17299" s="12" t="str">
        <f ca="1">IFERROR(__xludf.DUMMYFUNCTION("""COMPUTED_VALUE"""),"")</f>
        <v/>
      </c>
    </row>
    <row r="17300" spans="2:4" ht="13">
      <c r="B17300" s="12" t="str">
        <f ca="1">IFERROR(__xludf.DUMMYFUNCTION("""COMPUTED_VALUE"""),"")</f>
        <v/>
      </c>
      <c r="C17300" s="12" t="str">
        <f ca="1">IFERROR(__xludf.DUMMYFUNCTION("""COMPUTED_VALUE"""),"")</f>
        <v/>
      </c>
      <c r="D17300" s="12" t="str">
        <f ca="1">IFERROR(__xludf.DUMMYFUNCTION("""COMPUTED_VALUE"""),"")</f>
        <v/>
      </c>
    </row>
    <row r="17301" spans="2:4" ht="13">
      <c r="B17301" s="12" t="str">
        <f ca="1">IFERROR(__xludf.DUMMYFUNCTION("""COMPUTED_VALUE"""),"")</f>
        <v/>
      </c>
      <c r="C17301" s="12" t="str">
        <f ca="1">IFERROR(__xludf.DUMMYFUNCTION("""COMPUTED_VALUE"""),"")</f>
        <v/>
      </c>
      <c r="D17301" s="12" t="str">
        <f ca="1">IFERROR(__xludf.DUMMYFUNCTION("""COMPUTED_VALUE"""),"")</f>
        <v/>
      </c>
    </row>
    <row r="17302" spans="2:4" ht="13">
      <c r="B17302" s="12" t="str">
        <f ca="1">IFERROR(__xludf.DUMMYFUNCTION("""COMPUTED_VALUE"""),"")</f>
        <v/>
      </c>
      <c r="C17302" s="12" t="str">
        <f ca="1">IFERROR(__xludf.DUMMYFUNCTION("""COMPUTED_VALUE"""),"")</f>
        <v/>
      </c>
      <c r="D17302" s="12" t="str">
        <f ca="1">IFERROR(__xludf.DUMMYFUNCTION("""COMPUTED_VALUE"""),"")</f>
        <v/>
      </c>
    </row>
    <row r="17303" spans="2:4" ht="13">
      <c r="B17303" s="12" t="str">
        <f ca="1">IFERROR(__xludf.DUMMYFUNCTION("""COMPUTED_VALUE"""),"")</f>
        <v/>
      </c>
      <c r="C17303" s="12" t="str">
        <f ca="1">IFERROR(__xludf.DUMMYFUNCTION("""COMPUTED_VALUE"""),"")</f>
        <v/>
      </c>
      <c r="D17303" s="12" t="str">
        <f ca="1">IFERROR(__xludf.DUMMYFUNCTION("""COMPUTED_VALUE"""),"")</f>
        <v/>
      </c>
    </row>
    <row r="17304" spans="2:4" ht="13">
      <c r="B17304" s="12" t="str">
        <f ca="1">IFERROR(__xludf.DUMMYFUNCTION("""COMPUTED_VALUE"""),"")</f>
        <v/>
      </c>
      <c r="C17304" s="12" t="str">
        <f ca="1">IFERROR(__xludf.DUMMYFUNCTION("""COMPUTED_VALUE"""),"")</f>
        <v/>
      </c>
      <c r="D17304" s="12" t="str">
        <f ca="1">IFERROR(__xludf.DUMMYFUNCTION("""COMPUTED_VALUE"""),"")</f>
        <v/>
      </c>
    </row>
    <row r="17305" spans="2:4" ht="13">
      <c r="B17305" s="12" t="str">
        <f ca="1">IFERROR(__xludf.DUMMYFUNCTION("""COMPUTED_VALUE"""),"")</f>
        <v/>
      </c>
      <c r="C17305" s="12" t="str">
        <f ca="1">IFERROR(__xludf.DUMMYFUNCTION("""COMPUTED_VALUE"""),"")</f>
        <v/>
      </c>
      <c r="D17305" s="12" t="str">
        <f ca="1">IFERROR(__xludf.DUMMYFUNCTION("""COMPUTED_VALUE"""),"")</f>
        <v/>
      </c>
    </row>
    <row r="17306" spans="2:4" ht="13">
      <c r="B17306" s="12" t="str">
        <f ca="1">IFERROR(__xludf.DUMMYFUNCTION("""COMPUTED_VALUE"""),"")</f>
        <v/>
      </c>
      <c r="C17306" s="12" t="str">
        <f ca="1">IFERROR(__xludf.DUMMYFUNCTION("""COMPUTED_VALUE"""),"")</f>
        <v/>
      </c>
      <c r="D17306" s="12" t="str">
        <f ca="1">IFERROR(__xludf.DUMMYFUNCTION("""COMPUTED_VALUE"""),"")</f>
        <v/>
      </c>
    </row>
    <row r="17307" spans="2:4" ht="13">
      <c r="B17307" s="12" t="str">
        <f ca="1">IFERROR(__xludf.DUMMYFUNCTION("""COMPUTED_VALUE"""),"")</f>
        <v/>
      </c>
      <c r="C17307" s="12" t="str">
        <f ca="1">IFERROR(__xludf.DUMMYFUNCTION("""COMPUTED_VALUE"""),"")</f>
        <v/>
      </c>
      <c r="D17307" s="12" t="str">
        <f ca="1">IFERROR(__xludf.DUMMYFUNCTION("""COMPUTED_VALUE"""),"")</f>
        <v/>
      </c>
    </row>
    <row r="17308" spans="2:4" ht="13">
      <c r="B17308" s="12" t="str">
        <f ca="1">IFERROR(__xludf.DUMMYFUNCTION("""COMPUTED_VALUE"""),"")</f>
        <v/>
      </c>
      <c r="C17308" s="12" t="str">
        <f ca="1">IFERROR(__xludf.DUMMYFUNCTION("""COMPUTED_VALUE"""),"")</f>
        <v/>
      </c>
      <c r="D17308" s="12" t="str">
        <f ca="1">IFERROR(__xludf.DUMMYFUNCTION("""COMPUTED_VALUE"""),"")</f>
        <v/>
      </c>
    </row>
    <row r="17309" spans="2:4" ht="13">
      <c r="B17309" s="12" t="str">
        <f ca="1">IFERROR(__xludf.DUMMYFUNCTION("""COMPUTED_VALUE"""),"")</f>
        <v/>
      </c>
      <c r="C17309" s="12" t="str">
        <f ca="1">IFERROR(__xludf.DUMMYFUNCTION("""COMPUTED_VALUE"""),"")</f>
        <v/>
      </c>
      <c r="D17309" s="12" t="str">
        <f ca="1">IFERROR(__xludf.DUMMYFUNCTION("""COMPUTED_VALUE"""),"")</f>
        <v/>
      </c>
    </row>
    <row r="17310" spans="2:4" ht="13">
      <c r="B17310" s="12" t="str">
        <f ca="1">IFERROR(__xludf.DUMMYFUNCTION("""COMPUTED_VALUE"""),"")</f>
        <v/>
      </c>
      <c r="C17310" s="12" t="str">
        <f ca="1">IFERROR(__xludf.DUMMYFUNCTION("""COMPUTED_VALUE"""),"")</f>
        <v/>
      </c>
      <c r="D17310" s="12" t="str">
        <f ca="1">IFERROR(__xludf.DUMMYFUNCTION("""COMPUTED_VALUE"""),"")</f>
        <v/>
      </c>
    </row>
    <row r="17311" spans="2:4" ht="13">
      <c r="B17311" s="12" t="str">
        <f ca="1">IFERROR(__xludf.DUMMYFUNCTION("""COMPUTED_VALUE"""),"")</f>
        <v/>
      </c>
      <c r="C17311" s="12" t="str">
        <f ca="1">IFERROR(__xludf.DUMMYFUNCTION("""COMPUTED_VALUE"""),"")</f>
        <v/>
      </c>
      <c r="D17311" s="12" t="str">
        <f ca="1">IFERROR(__xludf.DUMMYFUNCTION("""COMPUTED_VALUE"""),"")</f>
        <v/>
      </c>
    </row>
    <row r="17312" spans="2:4" ht="13">
      <c r="B17312" s="12" t="str">
        <f ca="1">IFERROR(__xludf.DUMMYFUNCTION("""COMPUTED_VALUE"""),"")</f>
        <v/>
      </c>
      <c r="C17312" s="12" t="str">
        <f ca="1">IFERROR(__xludf.DUMMYFUNCTION("""COMPUTED_VALUE"""),"")</f>
        <v/>
      </c>
      <c r="D17312" s="12" t="str">
        <f ca="1">IFERROR(__xludf.DUMMYFUNCTION("""COMPUTED_VALUE"""),"")</f>
        <v/>
      </c>
    </row>
    <row r="17313" spans="2:4" ht="13">
      <c r="B17313" s="12" t="str">
        <f ca="1">IFERROR(__xludf.DUMMYFUNCTION("""COMPUTED_VALUE"""),"")</f>
        <v/>
      </c>
      <c r="C17313" s="12" t="str">
        <f ca="1">IFERROR(__xludf.DUMMYFUNCTION("""COMPUTED_VALUE"""),"")</f>
        <v/>
      </c>
      <c r="D17313" s="12" t="str">
        <f ca="1">IFERROR(__xludf.DUMMYFUNCTION("""COMPUTED_VALUE"""),"")</f>
        <v/>
      </c>
    </row>
    <row r="17314" spans="2:4" ht="13">
      <c r="B17314" s="12" t="str">
        <f ca="1">IFERROR(__xludf.DUMMYFUNCTION("""COMPUTED_VALUE"""),"")</f>
        <v/>
      </c>
      <c r="C17314" s="12" t="str">
        <f ca="1">IFERROR(__xludf.DUMMYFUNCTION("""COMPUTED_VALUE"""),"")</f>
        <v/>
      </c>
      <c r="D17314" s="12" t="str">
        <f ca="1">IFERROR(__xludf.DUMMYFUNCTION("""COMPUTED_VALUE"""),"")</f>
        <v/>
      </c>
    </row>
    <row r="17315" spans="2:4" ht="13">
      <c r="B17315" s="12" t="str">
        <f ca="1">IFERROR(__xludf.DUMMYFUNCTION("""COMPUTED_VALUE"""),"")</f>
        <v/>
      </c>
      <c r="C17315" s="12" t="str">
        <f ca="1">IFERROR(__xludf.DUMMYFUNCTION("""COMPUTED_VALUE"""),"")</f>
        <v/>
      </c>
      <c r="D17315" s="12" t="str">
        <f ca="1">IFERROR(__xludf.DUMMYFUNCTION("""COMPUTED_VALUE"""),"")</f>
        <v/>
      </c>
    </row>
    <row r="17316" spans="2:4" ht="13">
      <c r="B17316" s="12" t="str">
        <f ca="1">IFERROR(__xludf.DUMMYFUNCTION("""COMPUTED_VALUE"""),"")</f>
        <v/>
      </c>
      <c r="C17316" s="12" t="str">
        <f ca="1">IFERROR(__xludf.DUMMYFUNCTION("""COMPUTED_VALUE"""),"")</f>
        <v/>
      </c>
      <c r="D17316" s="12" t="str">
        <f ca="1">IFERROR(__xludf.DUMMYFUNCTION("""COMPUTED_VALUE"""),"")</f>
        <v/>
      </c>
    </row>
    <row r="17317" spans="2:4" ht="13">
      <c r="B17317" s="12" t="str">
        <f ca="1">IFERROR(__xludf.DUMMYFUNCTION("""COMPUTED_VALUE"""),"")</f>
        <v/>
      </c>
      <c r="C17317" s="12" t="str">
        <f ca="1">IFERROR(__xludf.DUMMYFUNCTION("""COMPUTED_VALUE"""),"")</f>
        <v/>
      </c>
      <c r="D17317" s="12" t="str">
        <f ca="1">IFERROR(__xludf.DUMMYFUNCTION("""COMPUTED_VALUE"""),"")</f>
        <v/>
      </c>
    </row>
    <row r="17318" spans="2:4" ht="13">
      <c r="B17318" s="12" t="str">
        <f ca="1">IFERROR(__xludf.DUMMYFUNCTION("""COMPUTED_VALUE"""),"")</f>
        <v/>
      </c>
      <c r="C17318" s="12" t="str">
        <f ca="1">IFERROR(__xludf.DUMMYFUNCTION("""COMPUTED_VALUE"""),"")</f>
        <v/>
      </c>
      <c r="D17318" s="12" t="str">
        <f ca="1">IFERROR(__xludf.DUMMYFUNCTION("""COMPUTED_VALUE"""),"")</f>
        <v/>
      </c>
    </row>
    <row r="17319" spans="2:4" ht="13">
      <c r="B17319" s="12" t="str">
        <f ca="1">IFERROR(__xludf.DUMMYFUNCTION("""COMPUTED_VALUE"""),"")</f>
        <v/>
      </c>
      <c r="C17319" s="12" t="str">
        <f ca="1">IFERROR(__xludf.DUMMYFUNCTION("""COMPUTED_VALUE"""),"")</f>
        <v/>
      </c>
      <c r="D17319" s="12" t="str">
        <f ca="1">IFERROR(__xludf.DUMMYFUNCTION("""COMPUTED_VALUE"""),"")</f>
        <v/>
      </c>
    </row>
    <row r="17320" spans="2:4" ht="13">
      <c r="B17320" s="12" t="str">
        <f ca="1">IFERROR(__xludf.DUMMYFUNCTION("""COMPUTED_VALUE"""),"")</f>
        <v/>
      </c>
      <c r="C17320" s="12" t="str">
        <f ca="1">IFERROR(__xludf.DUMMYFUNCTION("""COMPUTED_VALUE"""),"")</f>
        <v/>
      </c>
      <c r="D17320" s="12" t="str">
        <f ca="1">IFERROR(__xludf.DUMMYFUNCTION("""COMPUTED_VALUE"""),"")</f>
        <v/>
      </c>
    </row>
    <row r="17321" spans="2:4" ht="13">
      <c r="B17321" s="12" t="str">
        <f ca="1">IFERROR(__xludf.DUMMYFUNCTION("""COMPUTED_VALUE"""),"")</f>
        <v/>
      </c>
      <c r="C17321" s="12" t="str">
        <f ca="1">IFERROR(__xludf.DUMMYFUNCTION("""COMPUTED_VALUE"""),"")</f>
        <v/>
      </c>
      <c r="D17321" s="12" t="str">
        <f ca="1">IFERROR(__xludf.DUMMYFUNCTION("""COMPUTED_VALUE"""),"")</f>
        <v/>
      </c>
    </row>
    <row r="17322" spans="2:4" ht="13">
      <c r="B17322" s="12" t="str">
        <f ca="1">IFERROR(__xludf.DUMMYFUNCTION("""COMPUTED_VALUE"""),"")</f>
        <v/>
      </c>
      <c r="C17322" s="12" t="str">
        <f ca="1">IFERROR(__xludf.DUMMYFUNCTION("""COMPUTED_VALUE"""),"")</f>
        <v/>
      </c>
      <c r="D17322" s="12" t="str">
        <f ca="1">IFERROR(__xludf.DUMMYFUNCTION("""COMPUTED_VALUE"""),"")</f>
        <v/>
      </c>
    </row>
    <row r="17323" spans="2:4" ht="13">
      <c r="B17323" s="12" t="str">
        <f ca="1">IFERROR(__xludf.DUMMYFUNCTION("""COMPUTED_VALUE"""),"")</f>
        <v/>
      </c>
      <c r="C17323" s="12" t="str">
        <f ca="1">IFERROR(__xludf.DUMMYFUNCTION("""COMPUTED_VALUE"""),"")</f>
        <v/>
      </c>
      <c r="D17323" s="12" t="str">
        <f ca="1">IFERROR(__xludf.DUMMYFUNCTION("""COMPUTED_VALUE"""),"")</f>
        <v/>
      </c>
    </row>
    <row r="17324" spans="2:4" ht="13">
      <c r="B17324" s="12" t="str">
        <f ca="1">IFERROR(__xludf.DUMMYFUNCTION("""COMPUTED_VALUE"""),"")</f>
        <v/>
      </c>
      <c r="C17324" s="12" t="str">
        <f ca="1">IFERROR(__xludf.DUMMYFUNCTION("""COMPUTED_VALUE"""),"")</f>
        <v/>
      </c>
      <c r="D17324" s="12" t="str">
        <f ca="1">IFERROR(__xludf.DUMMYFUNCTION("""COMPUTED_VALUE"""),"")</f>
        <v/>
      </c>
    </row>
    <row r="17325" spans="2:4" ht="13">
      <c r="B17325" s="12" t="str">
        <f ca="1">IFERROR(__xludf.DUMMYFUNCTION("""COMPUTED_VALUE"""),"")</f>
        <v/>
      </c>
      <c r="C17325" s="12" t="str">
        <f ca="1">IFERROR(__xludf.DUMMYFUNCTION("""COMPUTED_VALUE"""),"")</f>
        <v/>
      </c>
      <c r="D17325" s="12" t="str">
        <f ca="1">IFERROR(__xludf.DUMMYFUNCTION("""COMPUTED_VALUE"""),"")</f>
        <v/>
      </c>
    </row>
    <row r="17326" spans="2:4" ht="13">
      <c r="B17326" s="12" t="str">
        <f ca="1">IFERROR(__xludf.DUMMYFUNCTION("""COMPUTED_VALUE"""),"")</f>
        <v/>
      </c>
      <c r="C17326" s="12" t="str">
        <f ca="1">IFERROR(__xludf.DUMMYFUNCTION("""COMPUTED_VALUE"""),"")</f>
        <v/>
      </c>
      <c r="D17326" s="12" t="str">
        <f ca="1">IFERROR(__xludf.DUMMYFUNCTION("""COMPUTED_VALUE"""),"")</f>
        <v/>
      </c>
    </row>
    <row r="17327" spans="2:4" ht="13">
      <c r="B17327" s="12" t="str">
        <f ca="1">IFERROR(__xludf.DUMMYFUNCTION("""COMPUTED_VALUE"""),"")</f>
        <v/>
      </c>
      <c r="C17327" s="12" t="str">
        <f ca="1">IFERROR(__xludf.DUMMYFUNCTION("""COMPUTED_VALUE"""),"")</f>
        <v/>
      </c>
      <c r="D17327" s="12" t="str">
        <f ca="1">IFERROR(__xludf.DUMMYFUNCTION("""COMPUTED_VALUE"""),"")</f>
        <v/>
      </c>
    </row>
    <row r="17328" spans="2:4" ht="13">
      <c r="B17328" s="12" t="str">
        <f ca="1">IFERROR(__xludf.DUMMYFUNCTION("""COMPUTED_VALUE"""),"")</f>
        <v/>
      </c>
      <c r="C17328" s="12" t="str">
        <f ca="1">IFERROR(__xludf.DUMMYFUNCTION("""COMPUTED_VALUE"""),"")</f>
        <v/>
      </c>
      <c r="D17328" s="12" t="str">
        <f ca="1">IFERROR(__xludf.DUMMYFUNCTION("""COMPUTED_VALUE"""),"")</f>
        <v/>
      </c>
    </row>
    <row r="17329" spans="2:4" ht="13">
      <c r="B17329" s="12" t="str">
        <f ca="1">IFERROR(__xludf.DUMMYFUNCTION("""COMPUTED_VALUE"""),"")</f>
        <v/>
      </c>
      <c r="C17329" s="12" t="str">
        <f ca="1">IFERROR(__xludf.DUMMYFUNCTION("""COMPUTED_VALUE"""),"")</f>
        <v/>
      </c>
      <c r="D17329" s="12" t="str">
        <f ca="1">IFERROR(__xludf.DUMMYFUNCTION("""COMPUTED_VALUE"""),"")</f>
        <v/>
      </c>
    </row>
    <row r="17330" spans="2:4" ht="13">
      <c r="B17330" s="12" t="str">
        <f ca="1">IFERROR(__xludf.DUMMYFUNCTION("""COMPUTED_VALUE"""),"")</f>
        <v/>
      </c>
      <c r="C17330" s="12" t="str">
        <f ca="1">IFERROR(__xludf.DUMMYFUNCTION("""COMPUTED_VALUE"""),"")</f>
        <v/>
      </c>
      <c r="D17330" s="12" t="str">
        <f ca="1">IFERROR(__xludf.DUMMYFUNCTION("""COMPUTED_VALUE"""),"")</f>
        <v/>
      </c>
    </row>
    <row r="17331" spans="2:4" ht="13">
      <c r="B17331" s="12" t="str">
        <f ca="1">IFERROR(__xludf.DUMMYFUNCTION("""COMPUTED_VALUE"""),"")</f>
        <v/>
      </c>
      <c r="C17331" s="12" t="str">
        <f ca="1">IFERROR(__xludf.DUMMYFUNCTION("""COMPUTED_VALUE"""),"")</f>
        <v/>
      </c>
      <c r="D17331" s="12" t="str">
        <f ca="1">IFERROR(__xludf.DUMMYFUNCTION("""COMPUTED_VALUE"""),"")</f>
        <v/>
      </c>
    </row>
    <row r="17332" spans="2:4" ht="13">
      <c r="B17332" s="12" t="str">
        <f ca="1">IFERROR(__xludf.DUMMYFUNCTION("""COMPUTED_VALUE"""),"")</f>
        <v/>
      </c>
      <c r="C17332" s="12" t="str">
        <f ca="1">IFERROR(__xludf.DUMMYFUNCTION("""COMPUTED_VALUE"""),"")</f>
        <v/>
      </c>
      <c r="D17332" s="12" t="str">
        <f ca="1">IFERROR(__xludf.DUMMYFUNCTION("""COMPUTED_VALUE"""),"")</f>
        <v/>
      </c>
    </row>
    <row r="17333" spans="2:4" ht="13">
      <c r="B17333" s="12" t="str">
        <f ca="1">IFERROR(__xludf.DUMMYFUNCTION("""COMPUTED_VALUE"""),"")</f>
        <v/>
      </c>
      <c r="C17333" s="12" t="str">
        <f ca="1">IFERROR(__xludf.DUMMYFUNCTION("""COMPUTED_VALUE"""),"")</f>
        <v/>
      </c>
      <c r="D17333" s="12" t="str">
        <f ca="1">IFERROR(__xludf.DUMMYFUNCTION("""COMPUTED_VALUE"""),"")</f>
        <v/>
      </c>
    </row>
    <row r="17334" spans="2:4" ht="13">
      <c r="B17334" s="12" t="str">
        <f ca="1">IFERROR(__xludf.DUMMYFUNCTION("""COMPUTED_VALUE"""),"")</f>
        <v/>
      </c>
      <c r="C17334" s="12" t="str">
        <f ca="1">IFERROR(__xludf.DUMMYFUNCTION("""COMPUTED_VALUE"""),"")</f>
        <v/>
      </c>
      <c r="D17334" s="12" t="str">
        <f ca="1">IFERROR(__xludf.DUMMYFUNCTION("""COMPUTED_VALUE"""),"")</f>
        <v/>
      </c>
    </row>
    <row r="17335" spans="2:4" ht="13">
      <c r="B17335" s="12" t="str">
        <f ca="1">IFERROR(__xludf.DUMMYFUNCTION("""COMPUTED_VALUE"""),"")</f>
        <v/>
      </c>
      <c r="C17335" s="12" t="str">
        <f ca="1">IFERROR(__xludf.DUMMYFUNCTION("""COMPUTED_VALUE"""),"")</f>
        <v/>
      </c>
      <c r="D17335" s="12" t="str">
        <f ca="1">IFERROR(__xludf.DUMMYFUNCTION("""COMPUTED_VALUE"""),"")</f>
        <v/>
      </c>
    </row>
    <row r="17336" spans="2:4" ht="13">
      <c r="B17336" s="12" t="str">
        <f ca="1">IFERROR(__xludf.DUMMYFUNCTION("""COMPUTED_VALUE"""),"")</f>
        <v/>
      </c>
      <c r="C17336" s="12" t="str">
        <f ca="1">IFERROR(__xludf.DUMMYFUNCTION("""COMPUTED_VALUE"""),"")</f>
        <v/>
      </c>
      <c r="D17336" s="12" t="str">
        <f ca="1">IFERROR(__xludf.DUMMYFUNCTION("""COMPUTED_VALUE"""),"")</f>
        <v/>
      </c>
    </row>
    <row r="17337" spans="2:4" ht="13">
      <c r="B17337" s="12" t="str">
        <f ca="1">IFERROR(__xludf.DUMMYFUNCTION("""COMPUTED_VALUE"""),"")</f>
        <v/>
      </c>
      <c r="C17337" s="12" t="str">
        <f ca="1">IFERROR(__xludf.DUMMYFUNCTION("""COMPUTED_VALUE"""),"")</f>
        <v/>
      </c>
      <c r="D17337" s="12" t="str">
        <f ca="1">IFERROR(__xludf.DUMMYFUNCTION("""COMPUTED_VALUE"""),"")</f>
        <v/>
      </c>
    </row>
    <row r="17338" spans="2:4" ht="13">
      <c r="B17338" s="12" t="str">
        <f ca="1">IFERROR(__xludf.DUMMYFUNCTION("""COMPUTED_VALUE"""),"")</f>
        <v/>
      </c>
      <c r="C17338" s="12" t="str">
        <f ca="1">IFERROR(__xludf.DUMMYFUNCTION("""COMPUTED_VALUE"""),"")</f>
        <v/>
      </c>
      <c r="D17338" s="12" t="str">
        <f ca="1">IFERROR(__xludf.DUMMYFUNCTION("""COMPUTED_VALUE"""),"")</f>
        <v/>
      </c>
    </row>
    <row r="17339" spans="2:4" ht="13">
      <c r="B17339" s="12" t="str">
        <f ca="1">IFERROR(__xludf.DUMMYFUNCTION("""COMPUTED_VALUE"""),"")</f>
        <v/>
      </c>
      <c r="C17339" s="12" t="str">
        <f ca="1">IFERROR(__xludf.DUMMYFUNCTION("""COMPUTED_VALUE"""),"")</f>
        <v/>
      </c>
      <c r="D17339" s="12" t="str">
        <f ca="1">IFERROR(__xludf.DUMMYFUNCTION("""COMPUTED_VALUE"""),"")</f>
        <v/>
      </c>
    </row>
    <row r="17340" spans="2:4" ht="13">
      <c r="B17340" s="12" t="str">
        <f ca="1">IFERROR(__xludf.DUMMYFUNCTION("""COMPUTED_VALUE"""),"")</f>
        <v/>
      </c>
      <c r="C17340" s="12" t="str">
        <f ca="1">IFERROR(__xludf.DUMMYFUNCTION("""COMPUTED_VALUE"""),"")</f>
        <v/>
      </c>
      <c r="D17340" s="12" t="str">
        <f ca="1">IFERROR(__xludf.DUMMYFUNCTION("""COMPUTED_VALUE"""),"")</f>
        <v/>
      </c>
    </row>
    <row r="17341" spans="2:4" ht="13">
      <c r="B17341" s="12" t="str">
        <f ca="1">IFERROR(__xludf.DUMMYFUNCTION("""COMPUTED_VALUE"""),"")</f>
        <v/>
      </c>
      <c r="C17341" s="12" t="str">
        <f ca="1">IFERROR(__xludf.DUMMYFUNCTION("""COMPUTED_VALUE"""),"")</f>
        <v/>
      </c>
      <c r="D17341" s="12" t="str">
        <f ca="1">IFERROR(__xludf.DUMMYFUNCTION("""COMPUTED_VALUE"""),"")</f>
        <v/>
      </c>
    </row>
    <row r="17342" spans="2:4" ht="13">
      <c r="B17342" s="12" t="str">
        <f ca="1">IFERROR(__xludf.DUMMYFUNCTION("""COMPUTED_VALUE"""),"")</f>
        <v/>
      </c>
      <c r="C17342" s="12" t="str">
        <f ca="1">IFERROR(__xludf.DUMMYFUNCTION("""COMPUTED_VALUE"""),"")</f>
        <v/>
      </c>
      <c r="D17342" s="12" t="str">
        <f ca="1">IFERROR(__xludf.DUMMYFUNCTION("""COMPUTED_VALUE"""),"")</f>
        <v/>
      </c>
    </row>
    <row r="17343" spans="2:4" ht="13">
      <c r="B17343" s="12" t="str">
        <f ca="1">IFERROR(__xludf.DUMMYFUNCTION("""COMPUTED_VALUE"""),"")</f>
        <v/>
      </c>
      <c r="C17343" s="12" t="str">
        <f ca="1">IFERROR(__xludf.DUMMYFUNCTION("""COMPUTED_VALUE"""),"")</f>
        <v/>
      </c>
      <c r="D17343" s="12" t="str">
        <f ca="1">IFERROR(__xludf.DUMMYFUNCTION("""COMPUTED_VALUE"""),"")</f>
        <v/>
      </c>
    </row>
    <row r="17344" spans="2:4" ht="13">
      <c r="B17344" s="12" t="str">
        <f ca="1">IFERROR(__xludf.DUMMYFUNCTION("""COMPUTED_VALUE"""),"")</f>
        <v/>
      </c>
      <c r="C17344" s="12" t="str">
        <f ca="1">IFERROR(__xludf.DUMMYFUNCTION("""COMPUTED_VALUE"""),"")</f>
        <v/>
      </c>
      <c r="D17344" s="12" t="str">
        <f ca="1">IFERROR(__xludf.DUMMYFUNCTION("""COMPUTED_VALUE"""),"")</f>
        <v/>
      </c>
    </row>
    <row r="17345" spans="2:4" ht="13">
      <c r="B17345" s="12" t="str">
        <f ca="1">IFERROR(__xludf.DUMMYFUNCTION("""COMPUTED_VALUE"""),"")</f>
        <v/>
      </c>
      <c r="C17345" s="12" t="str">
        <f ca="1">IFERROR(__xludf.DUMMYFUNCTION("""COMPUTED_VALUE"""),"")</f>
        <v/>
      </c>
      <c r="D17345" s="12" t="str">
        <f ca="1">IFERROR(__xludf.DUMMYFUNCTION("""COMPUTED_VALUE"""),"")</f>
        <v/>
      </c>
    </row>
    <row r="17346" spans="2:4" ht="13">
      <c r="B17346" s="12" t="str">
        <f ca="1">IFERROR(__xludf.DUMMYFUNCTION("""COMPUTED_VALUE"""),"")</f>
        <v/>
      </c>
      <c r="C17346" s="12" t="str">
        <f ca="1">IFERROR(__xludf.DUMMYFUNCTION("""COMPUTED_VALUE"""),"")</f>
        <v/>
      </c>
      <c r="D17346" s="12" t="str">
        <f ca="1">IFERROR(__xludf.DUMMYFUNCTION("""COMPUTED_VALUE"""),"")</f>
        <v/>
      </c>
    </row>
    <row r="17347" spans="2:4" ht="13">
      <c r="B17347" s="12" t="str">
        <f ca="1">IFERROR(__xludf.DUMMYFUNCTION("""COMPUTED_VALUE"""),"")</f>
        <v/>
      </c>
      <c r="C17347" s="12" t="str">
        <f ca="1">IFERROR(__xludf.DUMMYFUNCTION("""COMPUTED_VALUE"""),"")</f>
        <v/>
      </c>
      <c r="D17347" s="12" t="str">
        <f ca="1">IFERROR(__xludf.DUMMYFUNCTION("""COMPUTED_VALUE"""),"")</f>
        <v/>
      </c>
    </row>
    <row r="17348" spans="2:4" ht="13">
      <c r="B17348" s="12" t="str">
        <f ca="1">IFERROR(__xludf.DUMMYFUNCTION("""COMPUTED_VALUE"""),"")</f>
        <v/>
      </c>
      <c r="C17348" s="12" t="str">
        <f ca="1">IFERROR(__xludf.DUMMYFUNCTION("""COMPUTED_VALUE"""),"")</f>
        <v/>
      </c>
      <c r="D17348" s="12" t="str">
        <f ca="1">IFERROR(__xludf.DUMMYFUNCTION("""COMPUTED_VALUE"""),"")</f>
        <v/>
      </c>
    </row>
    <row r="17349" spans="2:4" ht="13">
      <c r="B17349" s="12" t="str">
        <f ca="1">IFERROR(__xludf.DUMMYFUNCTION("""COMPUTED_VALUE"""),"")</f>
        <v/>
      </c>
      <c r="C17349" s="12" t="str">
        <f ca="1">IFERROR(__xludf.DUMMYFUNCTION("""COMPUTED_VALUE"""),"")</f>
        <v/>
      </c>
      <c r="D17349" s="12" t="str">
        <f ca="1">IFERROR(__xludf.DUMMYFUNCTION("""COMPUTED_VALUE"""),"")</f>
        <v/>
      </c>
    </row>
    <row r="17350" spans="2:4" ht="13">
      <c r="B17350" s="12" t="str">
        <f ca="1">IFERROR(__xludf.DUMMYFUNCTION("""COMPUTED_VALUE"""),"")</f>
        <v/>
      </c>
      <c r="C17350" s="12" t="str">
        <f ca="1">IFERROR(__xludf.DUMMYFUNCTION("""COMPUTED_VALUE"""),"")</f>
        <v/>
      </c>
      <c r="D17350" s="12" t="str">
        <f ca="1">IFERROR(__xludf.DUMMYFUNCTION("""COMPUTED_VALUE"""),"")</f>
        <v/>
      </c>
    </row>
    <row r="17351" spans="2:4" ht="13">
      <c r="B17351" s="12" t="str">
        <f ca="1">IFERROR(__xludf.DUMMYFUNCTION("""COMPUTED_VALUE"""),"")</f>
        <v/>
      </c>
      <c r="C17351" s="12" t="str">
        <f ca="1">IFERROR(__xludf.DUMMYFUNCTION("""COMPUTED_VALUE"""),"")</f>
        <v/>
      </c>
      <c r="D17351" s="12" t="str">
        <f ca="1">IFERROR(__xludf.DUMMYFUNCTION("""COMPUTED_VALUE"""),"")</f>
        <v/>
      </c>
    </row>
    <row r="17352" spans="2:4" ht="13">
      <c r="B17352" s="12" t="str">
        <f ca="1">IFERROR(__xludf.DUMMYFUNCTION("""COMPUTED_VALUE"""),"")</f>
        <v/>
      </c>
      <c r="C17352" s="12" t="str">
        <f ca="1">IFERROR(__xludf.DUMMYFUNCTION("""COMPUTED_VALUE"""),"")</f>
        <v/>
      </c>
      <c r="D17352" s="12" t="str">
        <f ca="1">IFERROR(__xludf.DUMMYFUNCTION("""COMPUTED_VALUE"""),"")</f>
        <v/>
      </c>
    </row>
    <row r="17353" spans="2:4" ht="13">
      <c r="B17353" s="12" t="str">
        <f ca="1">IFERROR(__xludf.DUMMYFUNCTION("""COMPUTED_VALUE"""),"")</f>
        <v/>
      </c>
      <c r="C17353" s="12" t="str">
        <f ca="1">IFERROR(__xludf.DUMMYFUNCTION("""COMPUTED_VALUE"""),"")</f>
        <v/>
      </c>
      <c r="D17353" s="12" t="str">
        <f ca="1">IFERROR(__xludf.DUMMYFUNCTION("""COMPUTED_VALUE"""),"")</f>
        <v/>
      </c>
    </row>
    <row r="17354" spans="2:4" ht="13">
      <c r="B17354" s="12" t="str">
        <f ca="1">IFERROR(__xludf.DUMMYFUNCTION("""COMPUTED_VALUE"""),"")</f>
        <v/>
      </c>
      <c r="C17354" s="12" t="str">
        <f ca="1">IFERROR(__xludf.DUMMYFUNCTION("""COMPUTED_VALUE"""),"")</f>
        <v/>
      </c>
      <c r="D17354" s="12" t="str">
        <f ca="1">IFERROR(__xludf.DUMMYFUNCTION("""COMPUTED_VALUE"""),"")</f>
        <v/>
      </c>
    </row>
    <row r="17355" spans="2:4" ht="13">
      <c r="B17355" s="12" t="str">
        <f ca="1">IFERROR(__xludf.DUMMYFUNCTION("""COMPUTED_VALUE"""),"")</f>
        <v/>
      </c>
      <c r="C17355" s="12" t="str">
        <f ca="1">IFERROR(__xludf.DUMMYFUNCTION("""COMPUTED_VALUE"""),"")</f>
        <v/>
      </c>
      <c r="D17355" s="12" t="str">
        <f ca="1">IFERROR(__xludf.DUMMYFUNCTION("""COMPUTED_VALUE"""),"")</f>
        <v/>
      </c>
    </row>
    <row r="17356" spans="2:4" ht="13">
      <c r="B17356" s="12" t="str">
        <f ca="1">IFERROR(__xludf.DUMMYFUNCTION("""COMPUTED_VALUE"""),"")</f>
        <v/>
      </c>
      <c r="C17356" s="12" t="str">
        <f ca="1">IFERROR(__xludf.DUMMYFUNCTION("""COMPUTED_VALUE"""),"")</f>
        <v/>
      </c>
      <c r="D17356" s="12" t="str">
        <f ca="1">IFERROR(__xludf.DUMMYFUNCTION("""COMPUTED_VALUE"""),"")</f>
        <v/>
      </c>
    </row>
    <row r="17357" spans="2:4" ht="13">
      <c r="B17357" s="12" t="str">
        <f ca="1">IFERROR(__xludf.DUMMYFUNCTION("""COMPUTED_VALUE"""),"")</f>
        <v/>
      </c>
      <c r="C17357" s="12" t="str">
        <f ca="1">IFERROR(__xludf.DUMMYFUNCTION("""COMPUTED_VALUE"""),"")</f>
        <v/>
      </c>
      <c r="D17357" s="12" t="str">
        <f ca="1">IFERROR(__xludf.DUMMYFUNCTION("""COMPUTED_VALUE"""),"")</f>
        <v/>
      </c>
    </row>
    <row r="17358" spans="2:4" ht="13">
      <c r="B17358" s="12" t="str">
        <f ca="1">IFERROR(__xludf.DUMMYFUNCTION("""COMPUTED_VALUE"""),"")</f>
        <v/>
      </c>
      <c r="C17358" s="12" t="str">
        <f ca="1">IFERROR(__xludf.DUMMYFUNCTION("""COMPUTED_VALUE"""),"")</f>
        <v/>
      </c>
      <c r="D17358" s="12" t="str">
        <f ca="1">IFERROR(__xludf.DUMMYFUNCTION("""COMPUTED_VALUE"""),"")</f>
        <v/>
      </c>
    </row>
    <row r="17359" spans="2:4" ht="13">
      <c r="B17359" s="12" t="str">
        <f ca="1">IFERROR(__xludf.DUMMYFUNCTION("""COMPUTED_VALUE"""),"")</f>
        <v/>
      </c>
      <c r="C17359" s="12" t="str">
        <f ca="1">IFERROR(__xludf.DUMMYFUNCTION("""COMPUTED_VALUE"""),"")</f>
        <v/>
      </c>
      <c r="D17359" s="12" t="str">
        <f ca="1">IFERROR(__xludf.DUMMYFUNCTION("""COMPUTED_VALUE"""),"")</f>
        <v/>
      </c>
    </row>
    <row r="17360" spans="2:4" ht="13">
      <c r="B17360" s="12" t="str">
        <f ca="1">IFERROR(__xludf.DUMMYFUNCTION("""COMPUTED_VALUE"""),"")</f>
        <v/>
      </c>
      <c r="C17360" s="12" t="str">
        <f ca="1">IFERROR(__xludf.DUMMYFUNCTION("""COMPUTED_VALUE"""),"")</f>
        <v/>
      </c>
      <c r="D17360" s="12" t="str">
        <f ca="1">IFERROR(__xludf.DUMMYFUNCTION("""COMPUTED_VALUE"""),"")</f>
        <v/>
      </c>
    </row>
    <row r="17361" spans="2:4" ht="13">
      <c r="B17361" s="12" t="str">
        <f ca="1">IFERROR(__xludf.DUMMYFUNCTION("""COMPUTED_VALUE"""),"")</f>
        <v/>
      </c>
      <c r="C17361" s="12" t="str">
        <f ca="1">IFERROR(__xludf.DUMMYFUNCTION("""COMPUTED_VALUE"""),"")</f>
        <v/>
      </c>
      <c r="D17361" s="12" t="str">
        <f ca="1">IFERROR(__xludf.DUMMYFUNCTION("""COMPUTED_VALUE"""),"")</f>
        <v/>
      </c>
    </row>
    <row r="17362" spans="2:4" ht="13">
      <c r="B17362" s="12" t="str">
        <f ca="1">IFERROR(__xludf.DUMMYFUNCTION("""COMPUTED_VALUE"""),"")</f>
        <v/>
      </c>
      <c r="C17362" s="12" t="str">
        <f ca="1">IFERROR(__xludf.DUMMYFUNCTION("""COMPUTED_VALUE"""),"")</f>
        <v/>
      </c>
      <c r="D17362" s="12" t="str">
        <f ca="1">IFERROR(__xludf.DUMMYFUNCTION("""COMPUTED_VALUE"""),"")</f>
        <v/>
      </c>
    </row>
    <row r="17363" spans="2:4" ht="13">
      <c r="B17363" s="12" t="str">
        <f ca="1">IFERROR(__xludf.DUMMYFUNCTION("""COMPUTED_VALUE"""),"")</f>
        <v/>
      </c>
      <c r="C17363" s="12" t="str">
        <f ca="1">IFERROR(__xludf.DUMMYFUNCTION("""COMPUTED_VALUE"""),"")</f>
        <v/>
      </c>
      <c r="D17363" s="12" t="str">
        <f ca="1">IFERROR(__xludf.DUMMYFUNCTION("""COMPUTED_VALUE"""),"")</f>
        <v/>
      </c>
    </row>
    <row r="17364" spans="2:4" ht="13">
      <c r="B17364" s="12" t="str">
        <f ca="1">IFERROR(__xludf.DUMMYFUNCTION("""COMPUTED_VALUE"""),"")</f>
        <v/>
      </c>
      <c r="C17364" s="12" t="str">
        <f ca="1">IFERROR(__xludf.DUMMYFUNCTION("""COMPUTED_VALUE"""),"")</f>
        <v/>
      </c>
      <c r="D17364" s="12" t="str">
        <f ca="1">IFERROR(__xludf.DUMMYFUNCTION("""COMPUTED_VALUE"""),"")</f>
        <v/>
      </c>
    </row>
    <row r="17365" spans="2:4" ht="13">
      <c r="B17365" s="12" t="str">
        <f ca="1">IFERROR(__xludf.DUMMYFUNCTION("""COMPUTED_VALUE"""),"")</f>
        <v/>
      </c>
      <c r="C17365" s="12" t="str">
        <f ca="1">IFERROR(__xludf.DUMMYFUNCTION("""COMPUTED_VALUE"""),"")</f>
        <v/>
      </c>
      <c r="D17365" s="12" t="str">
        <f ca="1">IFERROR(__xludf.DUMMYFUNCTION("""COMPUTED_VALUE"""),"")</f>
        <v/>
      </c>
    </row>
    <row r="17366" spans="2:4" ht="13">
      <c r="B17366" s="12" t="str">
        <f ca="1">IFERROR(__xludf.DUMMYFUNCTION("""COMPUTED_VALUE"""),"")</f>
        <v/>
      </c>
      <c r="C17366" s="12" t="str">
        <f ca="1">IFERROR(__xludf.DUMMYFUNCTION("""COMPUTED_VALUE"""),"")</f>
        <v/>
      </c>
      <c r="D17366" s="12" t="str">
        <f ca="1">IFERROR(__xludf.DUMMYFUNCTION("""COMPUTED_VALUE"""),"")</f>
        <v/>
      </c>
    </row>
    <row r="17367" spans="2:4" ht="13">
      <c r="B17367" s="12" t="str">
        <f ca="1">IFERROR(__xludf.DUMMYFUNCTION("""COMPUTED_VALUE"""),"")</f>
        <v/>
      </c>
      <c r="C17367" s="12" t="str">
        <f ca="1">IFERROR(__xludf.DUMMYFUNCTION("""COMPUTED_VALUE"""),"")</f>
        <v/>
      </c>
      <c r="D17367" s="12" t="str">
        <f ca="1">IFERROR(__xludf.DUMMYFUNCTION("""COMPUTED_VALUE"""),"")</f>
        <v/>
      </c>
    </row>
    <row r="17368" spans="2:4" ht="13">
      <c r="B17368" s="12" t="str">
        <f ca="1">IFERROR(__xludf.DUMMYFUNCTION("""COMPUTED_VALUE"""),"")</f>
        <v/>
      </c>
      <c r="C17368" s="12" t="str">
        <f ca="1">IFERROR(__xludf.DUMMYFUNCTION("""COMPUTED_VALUE"""),"")</f>
        <v/>
      </c>
      <c r="D17368" s="12" t="str">
        <f ca="1">IFERROR(__xludf.DUMMYFUNCTION("""COMPUTED_VALUE"""),"")</f>
        <v/>
      </c>
    </row>
    <row r="17369" spans="2:4" ht="13">
      <c r="B17369" s="12" t="str">
        <f ca="1">IFERROR(__xludf.DUMMYFUNCTION("""COMPUTED_VALUE"""),"")</f>
        <v/>
      </c>
      <c r="C17369" s="12" t="str">
        <f ca="1">IFERROR(__xludf.DUMMYFUNCTION("""COMPUTED_VALUE"""),"")</f>
        <v/>
      </c>
      <c r="D17369" s="12" t="str">
        <f ca="1">IFERROR(__xludf.DUMMYFUNCTION("""COMPUTED_VALUE"""),"")</f>
        <v/>
      </c>
    </row>
    <row r="17370" spans="2:4" ht="13">
      <c r="B17370" s="12" t="str">
        <f ca="1">IFERROR(__xludf.DUMMYFUNCTION("""COMPUTED_VALUE"""),"")</f>
        <v/>
      </c>
      <c r="C17370" s="12" t="str">
        <f ca="1">IFERROR(__xludf.DUMMYFUNCTION("""COMPUTED_VALUE"""),"")</f>
        <v/>
      </c>
      <c r="D17370" s="12" t="str">
        <f ca="1">IFERROR(__xludf.DUMMYFUNCTION("""COMPUTED_VALUE"""),"")</f>
        <v/>
      </c>
    </row>
    <row r="17371" spans="2:4" ht="13">
      <c r="B17371" s="12" t="str">
        <f ca="1">IFERROR(__xludf.DUMMYFUNCTION("""COMPUTED_VALUE"""),"")</f>
        <v/>
      </c>
      <c r="C17371" s="12" t="str">
        <f ca="1">IFERROR(__xludf.DUMMYFUNCTION("""COMPUTED_VALUE"""),"")</f>
        <v/>
      </c>
      <c r="D17371" s="12" t="str">
        <f ca="1">IFERROR(__xludf.DUMMYFUNCTION("""COMPUTED_VALUE"""),"")</f>
        <v/>
      </c>
    </row>
    <row r="17372" spans="2:4" ht="13">
      <c r="B17372" s="12" t="str">
        <f ca="1">IFERROR(__xludf.DUMMYFUNCTION("""COMPUTED_VALUE"""),"")</f>
        <v/>
      </c>
      <c r="C17372" s="12" t="str">
        <f ca="1">IFERROR(__xludf.DUMMYFUNCTION("""COMPUTED_VALUE"""),"")</f>
        <v/>
      </c>
      <c r="D17372" s="12" t="str">
        <f ca="1">IFERROR(__xludf.DUMMYFUNCTION("""COMPUTED_VALUE"""),"")</f>
        <v/>
      </c>
    </row>
    <row r="17373" spans="2:4" ht="13">
      <c r="B17373" s="12" t="str">
        <f ca="1">IFERROR(__xludf.DUMMYFUNCTION("""COMPUTED_VALUE"""),"")</f>
        <v/>
      </c>
      <c r="C17373" s="12" t="str">
        <f ca="1">IFERROR(__xludf.DUMMYFUNCTION("""COMPUTED_VALUE"""),"")</f>
        <v/>
      </c>
      <c r="D17373" s="12" t="str">
        <f ca="1">IFERROR(__xludf.DUMMYFUNCTION("""COMPUTED_VALUE"""),"")</f>
        <v/>
      </c>
    </row>
    <row r="17374" spans="2:4" ht="13">
      <c r="B17374" s="12" t="str">
        <f ca="1">IFERROR(__xludf.DUMMYFUNCTION("""COMPUTED_VALUE"""),"")</f>
        <v/>
      </c>
      <c r="C17374" s="12" t="str">
        <f ca="1">IFERROR(__xludf.DUMMYFUNCTION("""COMPUTED_VALUE"""),"")</f>
        <v/>
      </c>
      <c r="D17374" s="12" t="str">
        <f ca="1">IFERROR(__xludf.DUMMYFUNCTION("""COMPUTED_VALUE"""),"")</f>
        <v/>
      </c>
    </row>
    <row r="17375" spans="2:4" ht="13">
      <c r="B17375" s="12" t="str">
        <f ca="1">IFERROR(__xludf.DUMMYFUNCTION("""COMPUTED_VALUE"""),"")</f>
        <v/>
      </c>
      <c r="C17375" s="12" t="str">
        <f ca="1">IFERROR(__xludf.DUMMYFUNCTION("""COMPUTED_VALUE"""),"")</f>
        <v/>
      </c>
      <c r="D17375" s="12" t="str">
        <f ca="1">IFERROR(__xludf.DUMMYFUNCTION("""COMPUTED_VALUE"""),"")</f>
        <v/>
      </c>
    </row>
    <row r="17376" spans="2:4" ht="13">
      <c r="B17376" s="12" t="str">
        <f ca="1">IFERROR(__xludf.DUMMYFUNCTION("""COMPUTED_VALUE"""),"")</f>
        <v/>
      </c>
      <c r="C17376" s="12" t="str">
        <f ca="1">IFERROR(__xludf.DUMMYFUNCTION("""COMPUTED_VALUE"""),"")</f>
        <v/>
      </c>
      <c r="D17376" s="12" t="str">
        <f ca="1">IFERROR(__xludf.DUMMYFUNCTION("""COMPUTED_VALUE"""),"")</f>
        <v/>
      </c>
    </row>
    <row r="17377" spans="2:4" ht="13">
      <c r="B17377" s="12" t="str">
        <f ca="1">IFERROR(__xludf.DUMMYFUNCTION("""COMPUTED_VALUE"""),"")</f>
        <v/>
      </c>
      <c r="C17377" s="12" t="str">
        <f ca="1">IFERROR(__xludf.DUMMYFUNCTION("""COMPUTED_VALUE"""),"")</f>
        <v/>
      </c>
      <c r="D17377" s="12" t="str">
        <f ca="1">IFERROR(__xludf.DUMMYFUNCTION("""COMPUTED_VALUE"""),"")</f>
        <v/>
      </c>
    </row>
    <row r="17378" spans="2:4" ht="13">
      <c r="B17378" s="12" t="str">
        <f ca="1">IFERROR(__xludf.DUMMYFUNCTION("""COMPUTED_VALUE"""),"")</f>
        <v/>
      </c>
      <c r="C17378" s="12" t="str">
        <f ca="1">IFERROR(__xludf.DUMMYFUNCTION("""COMPUTED_VALUE"""),"")</f>
        <v/>
      </c>
      <c r="D17378" s="12" t="str">
        <f ca="1">IFERROR(__xludf.DUMMYFUNCTION("""COMPUTED_VALUE"""),"")</f>
        <v/>
      </c>
    </row>
    <row r="17379" spans="2:4" ht="13">
      <c r="B17379" s="12" t="str">
        <f ca="1">IFERROR(__xludf.DUMMYFUNCTION("""COMPUTED_VALUE"""),"")</f>
        <v/>
      </c>
      <c r="C17379" s="12" t="str">
        <f ca="1">IFERROR(__xludf.DUMMYFUNCTION("""COMPUTED_VALUE"""),"")</f>
        <v/>
      </c>
      <c r="D17379" s="12" t="str">
        <f ca="1">IFERROR(__xludf.DUMMYFUNCTION("""COMPUTED_VALUE"""),"")</f>
        <v/>
      </c>
    </row>
    <row r="17380" spans="2:4" ht="13">
      <c r="B17380" s="12" t="str">
        <f ca="1">IFERROR(__xludf.DUMMYFUNCTION("""COMPUTED_VALUE"""),"")</f>
        <v/>
      </c>
      <c r="C17380" s="12" t="str">
        <f ca="1">IFERROR(__xludf.DUMMYFUNCTION("""COMPUTED_VALUE"""),"")</f>
        <v/>
      </c>
      <c r="D17380" s="12" t="str">
        <f ca="1">IFERROR(__xludf.DUMMYFUNCTION("""COMPUTED_VALUE"""),"")</f>
        <v/>
      </c>
    </row>
    <row r="17381" spans="2:4" ht="13">
      <c r="B17381" s="12" t="str">
        <f ca="1">IFERROR(__xludf.DUMMYFUNCTION("""COMPUTED_VALUE"""),"")</f>
        <v/>
      </c>
      <c r="C17381" s="12" t="str">
        <f ca="1">IFERROR(__xludf.DUMMYFUNCTION("""COMPUTED_VALUE"""),"")</f>
        <v/>
      </c>
      <c r="D17381" s="12" t="str">
        <f ca="1">IFERROR(__xludf.DUMMYFUNCTION("""COMPUTED_VALUE"""),"")</f>
        <v/>
      </c>
    </row>
    <row r="17382" spans="2:4" ht="13">
      <c r="B17382" s="12" t="str">
        <f ca="1">IFERROR(__xludf.DUMMYFUNCTION("""COMPUTED_VALUE"""),"")</f>
        <v/>
      </c>
      <c r="C17382" s="12" t="str">
        <f ca="1">IFERROR(__xludf.DUMMYFUNCTION("""COMPUTED_VALUE"""),"")</f>
        <v/>
      </c>
      <c r="D17382" s="12" t="str">
        <f ca="1">IFERROR(__xludf.DUMMYFUNCTION("""COMPUTED_VALUE"""),"")</f>
        <v/>
      </c>
    </row>
    <row r="17383" spans="2:4" ht="13">
      <c r="B17383" s="12" t="str">
        <f ca="1">IFERROR(__xludf.DUMMYFUNCTION("""COMPUTED_VALUE"""),"")</f>
        <v/>
      </c>
      <c r="C17383" s="12" t="str">
        <f ca="1">IFERROR(__xludf.DUMMYFUNCTION("""COMPUTED_VALUE"""),"")</f>
        <v/>
      </c>
      <c r="D17383" s="12" t="str">
        <f ca="1">IFERROR(__xludf.DUMMYFUNCTION("""COMPUTED_VALUE"""),"")</f>
        <v/>
      </c>
    </row>
    <row r="17384" spans="2:4" ht="13">
      <c r="B17384" s="12" t="str">
        <f ca="1">IFERROR(__xludf.DUMMYFUNCTION("""COMPUTED_VALUE"""),"")</f>
        <v/>
      </c>
      <c r="C17384" s="12" t="str">
        <f ca="1">IFERROR(__xludf.DUMMYFUNCTION("""COMPUTED_VALUE"""),"")</f>
        <v/>
      </c>
      <c r="D17384" s="12" t="str">
        <f ca="1">IFERROR(__xludf.DUMMYFUNCTION("""COMPUTED_VALUE"""),"")</f>
        <v/>
      </c>
    </row>
    <row r="17385" spans="2:4" ht="13">
      <c r="B17385" s="12" t="str">
        <f ca="1">IFERROR(__xludf.DUMMYFUNCTION("""COMPUTED_VALUE"""),"")</f>
        <v/>
      </c>
      <c r="C17385" s="12" t="str">
        <f ca="1">IFERROR(__xludf.DUMMYFUNCTION("""COMPUTED_VALUE"""),"")</f>
        <v/>
      </c>
      <c r="D17385" s="12" t="str">
        <f ca="1">IFERROR(__xludf.DUMMYFUNCTION("""COMPUTED_VALUE"""),"")</f>
        <v/>
      </c>
    </row>
    <row r="17386" spans="2:4" ht="13">
      <c r="B17386" s="12" t="str">
        <f ca="1">IFERROR(__xludf.DUMMYFUNCTION("""COMPUTED_VALUE"""),"")</f>
        <v/>
      </c>
      <c r="C17386" s="12" t="str">
        <f ca="1">IFERROR(__xludf.DUMMYFUNCTION("""COMPUTED_VALUE"""),"")</f>
        <v/>
      </c>
      <c r="D17386" s="12" t="str">
        <f ca="1">IFERROR(__xludf.DUMMYFUNCTION("""COMPUTED_VALUE"""),"")</f>
        <v/>
      </c>
    </row>
    <row r="17387" spans="2:4" ht="13">
      <c r="B17387" s="12" t="str">
        <f ca="1">IFERROR(__xludf.DUMMYFUNCTION("""COMPUTED_VALUE"""),"")</f>
        <v/>
      </c>
      <c r="C17387" s="12" t="str">
        <f ca="1">IFERROR(__xludf.DUMMYFUNCTION("""COMPUTED_VALUE"""),"")</f>
        <v/>
      </c>
      <c r="D17387" s="12" t="str">
        <f ca="1">IFERROR(__xludf.DUMMYFUNCTION("""COMPUTED_VALUE"""),"")</f>
        <v/>
      </c>
    </row>
    <row r="17388" spans="2:4" ht="13">
      <c r="B17388" s="12" t="str">
        <f ca="1">IFERROR(__xludf.DUMMYFUNCTION("""COMPUTED_VALUE"""),"")</f>
        <v/>
      </c>
      <c r="C17388" s="12" t="str">
        <f ca="1">IFERROR(__xludf.DUMMYFUNCTION("""COMPUTED_VALUE"""),"")</f>
        <v/>
      </c>
      <c r="D17388" s="12" t="str">
        <f ca="1">IFERROR(__xludf.DUMMYFUNCTION("""COMPUTED_VALUE"""),"")</f>
        <v/>
      </c>
    </row>
    <row r="17389" spans="2:4" ht="13">
      <c r="B17389" s="12" t="str">
        <f ca="1">IFERROR(__xludf.DUMMYFUNCTION("""COMPUTED_VALUE"""),"")</f>
        <v/>
      </c>
      <c r="C17389" s="12" t="str">
        <f ca="1">IFERROR(__xludf.DUMMYFUNCTION("""COMPUTED_VALUE"""),"")</f>
        <v/>
      </c>
      <c r="D17389" s="12" t="str">
        <f ca="1">IFERROR(__xludf.DUMMYFUNCTION("""COMPUTED_VALUE"""),"")</f>
        <v/>
      </c>
    </row>
    <row r="17390" spans="2:4" ht="13">
      <c r="B17390" s="12" t="str">
        <f ca="1">IFERROR(__xludf.DUMMYFUNCTION("""COMPUTED_VALUE"""),"")</f>
        <v/>
      </c>
      <c r="C17390" s="12" t="str">
        <f ca="1">IFERROR(__xludf.DUMMYFUNCTION("""COMPUTED_VALUE"""),"")</f>
        <v/>
      </c>
      <c r="D17390" s="12" t="str">
        <f ca="1">IFERROR(__xludf.DUMMYFUNCTION("""COMPUTED_VALUE"""),"")</f>
        <v/>
      </c>
    </row>
    <row r="17391" spans="2:4" ht="13">
      <c r="B17391" s="12" t="str">
        <f ca="1">IFERROR(__xludf.DUMMYFUNCTION("""COMPUTED_VALUE"""),"")</f>
        <v/>
      </c>
      <c r="C17391" s="12" t="str">
        <f ca="1">IFERROR(__xludf.DUMMYFUNCTION("""COMPUTED_VALUE"""),"")</f>
        <v/>
      </c>
      <c r="D17391" s="12" t="str">
        <f ca="1">IFERROR(__xludf.DUMMYFUNCTION("""COMPUTED_VALUE"""),"")</f>
        <v/>
      </c>
    </row>
    <row r="17392" spans="2:4" ht="13">
      <c r="B17392" s="12" t="str">
        <f ca="1">IFERROR(__xludf.DUMMYFUNCTION("""COMPUTED_VALUE"""),"")</f>
        <v/>
      </c>
      <c r="C17392" s="12" t="str">
        <f ca="1">IFERROR(__xludf.DUMMYFUNCTION("""COMPUTED_VALUE"""),"")</f>
        <v/>
      </c>
      <c r="D17392" s="12" t="str">
        <f ca="1">IFERROR(__xludf.DUMMYFUNCTION("""COMPUTED_VALUE"""),"")</f>
        <v/>
      </c>
    </row>
    <row r="17393" spans="2:4" ht="13">
      <c r="B17393" s="12" t="str">
        <f ca="1">IFERROR(__xludf.DUMMYFUNCTION("""COMPUTED_VALUE"""),"")</f>
        <v/>
      </c>
      <c r="C17393" s="12" t="str">
        <f ca="1">IFERROR(__xludf.DUMMYFUNCTION("""COMPUTED_VALUE"""),"")</f>
        <v/>
      </c>
      <c r="D17393" s="12" t="str">
        <f ca="1">IFERROR(__xludf.DUMMYFUNCTION("""COMPUTED_VALUE"""),"")</f>
        <v/>
      </c>
    </row>
    <row r="17394" spans="2:4" ht="13">
      <c r="B17394" s="12" t="str">
        <f ca="1">IFERROR(__xludf.DUMMYFUNCTION("""COMPUTED_VALUE"""),"")</f>
        <v/>
      </c>
      <c r="C17394" s="12" t="str">
        <f ca="1">IFERROR(__xludf.DUMMYFUNCTION("""COMPUTED_VALUE"""),"")</f>
        <v/>
      </c>
      <c r="D17394" s="12" t="str">
        <f ca="1">IFERROR(__xludf.DUMMYFUNCTION("""COMPUTED_VALUE"""),"")</f>
        <v/>
      </c>
    </row>
    <row r="17395" spans="2:4" ht="13">
      <c r="B17395" s="12" t="str">
        <f ca="1">IFERROR(__xludf.DUMMYFUNCTION("""COMPUTED_VALUE"""),"")</f>
        <v/>
      </c>
      <c r="C17395" s="12" t="str">
        <f ca="1">IFERROR(__xludf.DUMMYFUNCTION("""COMPUTED_VALUE"""),"")</f>
        <v/>
      </c>
      <c r="D17395" s="12" t="str">
        <f ca="1">IFERROR(__xludf.DUMMYFUNCTION("""COMPUTED_VALUE"""),"")</f>
        <v/>
      </c>
    </row>
    <row r="17396" spans="2:4" ht="13">
      <c r="B17396" s="12" t="str">
        <f ca="1">IFERROR(__xludf.DUMMYFUNCTION("""COMPUTED_VALUE"""),"")</f>
        <v/>
      </c>
      <c r="C17396" s="12" t="str">
        <f ca="1">IFERROR(__xludf.DUMMYFUNCTION("""COMPUTED_VALUE"""),"")</f>
        <v/>
      </c>
      <c r="D17396" s="12" t="str">
        <f ca="1">IFERROR(__xludf.DUMMYFUNCTION("""COMPUTED_VALUE"""),"")</f>
        <v/>
      </c>
    </row>
    <row r="17397" spans="2:4" ht="13">
      <c r="B17397" s="12" t="str">
        <f ca="1">IFERROR(__xludf.DUMMYFUNCTION("""COMPUTED_VALUE"""),"")</f>
        <v/>
      </c>
      <c r="C17397" s="12" t="str">
        <f ca="1">IFERROR(__xludf.DUMMYFUNCTION("""COMPUTED_VALUE"""),"")</f>
        <v/>
      </c>
      <c r="D17397" s="12" t="str">
        <f ca="1">IFERROR(__xludf.DUMMYFUNCTION("""COMPUTED_VALUE"""),"")</f>
        <v/>
      </c>
    </row>
    <row r="17398" spans="2:4" ht="13">
      <c r="B17398" s="12" t="str">
        <f ca="1">IFERROR(__xludf.DUMMYFUNCTION("""COMPUTED_VALUE"""),"")</f>
        <v/>
      </c>
      <c r="C17398" s="12" t="str">
        <f ca="1">IFERROR(__xludf.DUMMYFUNCTION("""COMPUTED_VALUE"""),"")</f>
        <v/>
      </c>
      <c r="D17398" s="12" t="str">
        <f ca="1">IFERROR(__xludf.DUMMYFUNCTION("""COMPUTED_VALUE"""),"")</f>
        <v/>
      </c>
    </row>
    <row r="17399" spans="2:4" ht="13">
      <c r="B17399" s="12" t="str">
        <f ca="1">IFERROR(__xludf.DUMMYFUNCTION("""COMPUTED_VALUE"""),"")</f>
        <v/>
      </c>
      <c r="C17399" s="12" t="str">
        <f ca="1">IFERROR(__xludf.DUMMYFUNCTION("""COMPUTED_VALUE"""),"")</f>
        <v/>
      </c>
      <c r="D17399" s="12" t="str">
        <f ca="1">IFERROR(__xludf.DUMMYFUNCTION("""COMPUTED_VALUE"""),"")</f>
        <v/>
      </c>
    </row>
    <row r="17400" spans="2:4" ht="13">
      <c r="B17400" s="12" t="str">
        <f ca="1">IFERROR(__xludf.DUMMYFUNCTION("""COMPUTED_VALUE"""),"")</f>
        <v/>
      </c>
      <c r="C17400" s="12" t="str">
        <f ca="1">IFERROR(__xludf.DUMMYFUNCTION("""COMPUTED_VALUE"""),"")</f>
        <v/>
      </c>
      <c r="D17400" s="12" t="str">
        <f ca="1">IFERROR(__xludf.DUMMYFUNCTION("""COMPUTED_VALUE"""),"")</f>
        <v/>
      </c>
    </row>
    <row r="17401" spans="2:4" ht="13">
      <c r="B17401" s="12" t="str">
        <f ca="1">IFERROR(__xludf.DUMMYFUNCTION("""COMPUTED_VALUE"""),"")</f>
        <v/>
      </c>
      <c r="C17401" s="12" t="str">
        <f ca="1">IFERROR(__xludf.DUMMYFUNCTION("""COMPUTED_VALUE"""),"")</f>
        <v/>
      </c>
      <c r="D17401" s="12" t="str">
        <f ca="1">IFERROR(__xludf.DUMMYFUNCTION("""COMPUTED_VALUE"""),"")</f>
        <v/>
      </c>
    </row>
    <row r="17402" spans="2:4" ht="13">
      <c r="B17402" s="12" t="str">
        <f ca="1">IFERROR(__xludf.DUMMYFUNCTION("""COMPUTED_VALUE"""),"")</f>
        <v/>
      </c>
      <c r="C17402" s="12" t="str">
        <f ca="1">IFERROR(__xludf.DUMMYFUNCTION("""COMPUTED_VALUE"""),"")</f>
        <v/>
      </c>
      <c r="D17402" s="12" t="str">
        <f ca="1">IFERROR(__xludf.DUMMYFUNCTION("""COMPUTED_VALUE"""),"")</f>
        <v/>
      </c>
    </row>
    <row r="17403" spans="2:4" ht="13">
      <c r="B17403" s="12" t="str">
        <f ca="1">IFERROR(__xludf.DUMMYFUNCTION("""COMPUTED_VALUE"""),"")</f>
        <v/>
      </c>
      <c r="C17403" s="12" t="str">
        <f ca="1">IFERROR(__xludf.DUMMYFUNCTION("""COMPUTED_VALUE"""),"")</f>
        <v/>
      </c>
      <c r="D17403" s="12" t="str">
        <f ca="1">IFERROR(__xludf.DUMMYFUNCTION("""COMPUTED_VALUE"""),"")</f>
        <v/>
      </c>
    </row>
    <row r="17404" spans="2:4" ht="13">
      <c r="B17404" s="12" t="str">
        <f ca="1">IFERROR(__xludf.DUMMYFUNCTION("""COMPUTED_VALUE"""),"")</f>
        <v/>
      </c>
      <c r="C17404" s="12" t="str">
        <f ca="1">IFERROR(__xludf.DUMMYFUNCTION("""COMPUTED_VALUE"""),"")</f>
        <v/>
      </c>
      <c r="D17404" s="12" t="str">
        <f ca="1">IFERROR(__xludf.DUMMYFUNCTION("""COMPUTED_VALUE"""),"")</f>
        <v/>
      </c>
    </row>
    <row r="17405" spans="2:4" ht="13">
      <c r="B17405" s="12" t="str">
        <f ca="1">IFERROR(__xludf.DUMMYFUNCTION("""COMPUTED_VALUE"""),"")</f>
        <v/>
      </c>
      <c r="C17405" s="12" t="str">
        <f ca="1">IFERROR(__xludf.DUMMYFUNCTION("""COMPUTED_VALUE"""),"")</f>
        <v/>
      </c>
      <c r="D17405" s="12" t="str">
        <f ca="1">IFERROR(__xludf.DUMMYFUNCTION("""COMPUTED_VALUE"""),"")</f>
        <v/>
      </c>
    </row>
    <row r="17406" spans="2:4" ht="13">
      <c r="B17406" s="12" t="str">
        <f ca="1">IFERROR(__xludf.DUMMYFUNCTION("""COMPUTED_VALUE"""),"")</f>
        <v/>
      </c>
      <c r="C17406" s="12" t="str">
        <f ca="1">IFERROR(__xludf.DUMMYFUNCTION("""COMPUTED_VALUE"""),"")</f>
        <v/>
      </c>
      <c r="D17406" s="12" t="str">
        <f ca="1">IFERROR(__xludf.DUMMYFUNCTION("""COMPUTED_VALUE"""),"")</f>
        <v/>
      </c>
    </row>
    <row r="17407" spans="2:4" ht="13">
      <c r="B17407" s="12" t="str">
        <f ca="1">IFERROR(__xludf.DUMMYFUNCTION("""COMPUTED_VALUE"""),"")</f>
        <v/>
      </c>
      <c r="C17407" s="12" t="str">
        <f ca="1">IFERROR(__xludf.DUMMYFUNCTION("""COMPUTED_VALUE"""),"")</f>
        <v/>
      </c>
      <c r="D17407" s="12" t="str">
        <f ca="1">IFERROR(__xludf.DUMMYFUNCTION("""COMPUTED_VALUE"""),"")</f>
        <v/>
      </c>
    </row>
    <row r="17408" spans="2:4" ht="13">
      <c r="B17408" s="12" t="str">
        <f ca="1">IFERROR(__xludf.DUMMYFUNCTION("""COMPUTED_VALUE"""),"")</f>
        <v/>
      </c>
      <c r="C17408" s="12" t="str">
        <f ca="1">IFERROR(__xludf.DUMMYFUNCTION("""COMPUTED_VALUE"""),"")</f>
        <v/>
      </c>
      <c r="D17408" s="12" t="str">
        <f ca="1">IFERROR(__xludf.DUMMYFUNCTION("""COMPUTED_VALUE"""),"")</f>
        <v/>
      </c>
    </row>
    <row r="17409" spans="2:4" ht="13">
      <c r="B17409" s="12" t="str">
        <f ca="1">IFERROR(__xludf.DUMMYFUNCTION("""COMPUTED_VALUE"""),"")</f>
        <v/>
      </c>
      <c r="C17409" s="12" t="str">
        <f ca="1">IFERROR(__xludf.DUMMYFUNCTION("""COMPUTED_VALUE"""),"")</f>
        <v/>
      </c>
      <c r="D17409" s="12" t="str">
        <f ca="1">IFERROR(__xludf.DUMMYFUNCTION("""COMPUTED_VALUE"""),"")</f>
        <v/>
      </c>
    </row>
    <row r="17410" spans="2:4" ht="13">
      <c r="B17410" s="12" t="str">
        <f ca="1">IFERROR(__xludf.DUMMYFUNCTION("""COMPUTED_VALUE"""),"")</f>
        <v/>
      </c>
      <c r="C17410" s="12" t="str">
        <f ca="1">IFERROR(__xludf.DUMMYFUNCTION("""COMPUTED_VALUE"""),"")</f>
        <v/>
      </c>
      <c r="D17410" s="12" t="str">
        <f ca="1">IFERROR(__xludf.DUMMYFUNCTION("""COMPUTED_VALUE"""),"")</f>
        <v/>
      </c>
    </row>
    <row r="17411" spans="2:4" ht="13">
      <c r="B17411" s="12" t="str">
        <f ca="1">IFERROR(__xludf.DUMMYFUNCTION("""COMPUTED_VALUE"""),"")</f>
        <v/>
      </c>
      <c r="C17411" s="12" t="str">
        <f ca="1">IFERROR(__xludf.DUMMYFUNCTION("""COMPUTED_VALUE"""),"")</f>
        <v/>
      </c>
      <c r="D17411" s="12" t="str">
        <f ca="1">IFERROR(__xludf.DUMMYFUNCTION("""COMPUTED_VALUE"""),"")</f>
        <v/>
      </c>
    </row>
    <row r="17412" spans="2:4" ht="13">
      <c r="B17412" s="12" t="str">
        <f ca="1">IFERROR(__xludf.DUMMYFUNCTION("""COMPUTED_VALUE"""),"")</f>
        <v/>
      </c>
      <c r="C17412" s="12" t="str">
        <f ca="1">IFERROR(__xludf.DUMMYFUNCTION("""COMPUTED_VALUE"""),"")</f>
        <v/>
      </c>
      <c r="D17412" s="12" t="str">
        <f ca="1">IFERROR(__xludf.DUMMYFUNCTION("""COMPUTED_VALUE"""),"")</f>
        <v/>
      </c>
    </row>
    <row r="17413" spans="2:4" ht="13">
      <c r="B17413" s="12" t="str">
        <f ca="1">IFERROR(__xludf.DUMMYFUNCTION("""COMPUTED_VALUE"""),"")</f>
        <v/>
      </c>
      <c r="C17413" s="12" t="str">
        <f ca="1">IFERROR(__xludf.DUMMYFUNCTION("""COMPUTED_VALUE"""),"")</f>
        <v/>
      </c>
      <c r="D17413" s="12" t="str">
        <f ca="1">IFERROR(__xludf.DUMMYFUNCTION("""COMPUTED_VALUE"""),"")</f>
        <v/>
      </c>
    </row>
    <row r="17414" spans="2:4" ht="13">
      <c r="B17414" s="12" t="str">
        <f ca="1">IFERROR(__xludf.DUMMYFUNCTION("""COMPUTED_VALUE"""),"")</f>
        <v/>
      </c>
      <c r="C17414" s="12" t="str">
        <f ca="1">IFERROR(__xludf.DUMMYFUNCTION("""COMPUTED_VALUE"""),"")</f>
        <v/>
      </c>
      <c r="D17414" s="12" t="str">
        <f ca="1">IFERROR(__xludf.DUMMYFUNCTION("""COMPUTED_VALUE"""),"")</f>
        <v/>
      </c>
    </row>
    <row r="17415" spans="2:4" ht="13">
      <c r="B17415" s="12" t="str">
        <f ca="1">IFERROR(__xludf.DUMMYFUNCTION("""COMPUTED_VALUE"""),"")</f>
        <v/>
      </c>
      <c r="C17415" s="12" t="str">
        <f ca="1">IFERROR(__xludf.DUMMYFUNCTION("""COMPUTED_VALUE"""),"")</f>
        <v/>
      </c>
      <c r="D17415" s="12" t="str">
        <f ca="1">IFERROR(__xludf.DUMMYFUNCTION("""COMPUTED_VALUE"""),"")</f>
        <v/>
      </c>
    </row>
    <row r="17416" spans="2:4" ht="13">
      <c r="B17416" s="12" t="str">
        <f ca="1">IFERROR(__xludf.DUMMYFUNCTION("""COMPUTED_VALUE"""),"")</f>
        <v/>
      </c>
      <c r="C17416" s="12" t="str">
        <f ca="1">IFERROR(__xludf.DUMMYFUNCTION("""COMPUTED_VALUE"""),"")</f>
        <v/>
      </c>
      <c r="D17416" s="12" t="str">
        <f ca="1">IFERROR(__xludf.DUMMYFUNCTION("""COMPUTED_VALUE"""),"")</f>
        <v/>
      </c>
    </row>
    <row r="17417" spans="2:4" ht="13">
      <c r="B17417" s="12" t="str">
        <f ca="1">IFERROR(__xludf.DUMMYFUNCTION("""COMPUTED_VALUE"""),"")</f>
        <v/>
      </c>
      <c r="C17417" s="12" t="str">
        <f ca="1">IFERROR(__xludf.DUMMYFUNCTION("""COMPUTED_VALUE"""),"")</f>
        <v/>
      </c>
      <c r="D17417" s="12" t="str">
        <f ca="1">IFERROR(__xludf.DUMMYFUNCTION("""COMPUTED_VALUE"""),"")</f>
        <v/>
      </c>
    </row>
    <row r="17418" spans="2:4" ht="13">
      <c r="B17418" s="12" t="str">
        <f ca="1">IFERROR(__xludf.DUMMYFUNCTION("""COMPUTED_VALUE"""),"")</f>
        <v/>
      </c>
      <c r="C17418" s="12" t="str">
        <f ca="1">IFERROR(__xludf.DUMMYFUNCTION("""COMPUTED_VALUE"""),"")</f>
        <v/>
      </c>
      <c r="D17418" s="12" t="str">
        <f ca="1">IFERROR(__xludf.DUMMYFUNCTION("""COMPUTED_VALUE"""),"")</f>
        <v/>
      </c>
    </row>
    <row r="17419" spans="2:4" ht="13">
      <c r="B17419" s="12" t="str">
        <f ca="1">IFERROR(__xludf.DUMMYFUNCTION("""COMPUTED_VALUE"""),"")</f>
        <v/>
      </c>
      <c r="C17419" s="12" t="str">
        <f ca="1">IFERROR(__xludf.DUMMYFUNCTION("""COMPUTED_VALUE"""),"")</f>
        <v/>
      </c>
      <c r="D17419" s="12" t="str">
        <f ca="1">IFERROR(__xludf.DUMMYFUNCTION("""COMPUTED_VALUE"""),"")</f>
        <v/>
      </c>
    </row>
    <row r="17420" spans="2:4" ht="13">
      <c r="B17420" s="12" t="str">
        <f ca="1">IFERROR(__xludf.DUMMYFUNCTION("""COMPUTED_VALUE"""),"")</f>
        <v/>
      </c>
      <c r="C17420" s="12" t="str">
        <f ca="1">IFERROR(__xludf.DUMMYFUNCTION("""COMPUTED_VALUE"""),"")</f>
        <v/>
      </c>
      <c r="D17420" s="12" t="str">
        <f ca="1">IFERROR(__xludf.DUMMYFUNCTION("""COMPUTED_VALUE"""),"")</f>
        <v/>
      </c>
    </row>
    <row r="17421" spans="2:4" ht="13">
      <c r="B17421" s="12" t="str">
        <f ca="1">IFERROR(__xludf.DUMMYFUNCTION("""COMPUTED_VALUE"""),"")</f>
        <v/>
      </c>
      <c r="C17421" s="12" t="str">
        <f ca="1">IFERROR(__xludf.DUMMYFUNCTION("""COMPUTED_VALUE"""),"")</f>
        <v/>
      </c>
      <c r="D17421" s="12" t="str">
        <f ca="1">IFERROR(__xludf.DUMMYFUNCTION("""COMPUTED_VALUE"""),"")</f>
        <v/>
      </c>
    </row>
    <row r="17422" spans="2:4" ht="13">
      <c r="B17422" s="12" t="str">
        <f ca="1">IFERROR(__xludf.DUMMYFUNCTION("""COMPUTED_VALUE"""),"")</f>
        <v/>
      </c>
      <c r="C17422" s="12" t="str">
        <f ca="1">IFERROR(__xludf.DUMMYFUNCTION("""COMPUTED_VALUE"""),"")</f>
        <v/>
      </c>
      <c r="D17422" s="12" t="str">
        <f ca="1">IFERROR(__xludf.DUMMYFUNCTION("""COMPUTED_VALUE"""),"")</f>
        <v/>
      </c>
    </row>
    <row r="17423" spans="2:4" ht="13">
      <c r="B17423" s="12" t="str">
        <f ca="1">IFERROR(__xludf.DUMMYFUNCTION("""COMPUTED_VALUE"""),"")</f>
        <v/>
      </c>
      <c r="C17423" s="12" t="str">
        <f ca="1">IFERROR(__xludf.DUMMYFUNCTION("""COMPUTED_VALUE"""),"")</f>
        <v/>
      </c>
      <c r="D17423" s="12" t="str">
        <f ca="1">IFERROR(__xludf.DUMMYFUNCTION("""COMPUTED_VALUE"""),"")</f>
        <v/>
      </c>
    </row>
    <row r="17424" spans="2:4" ht="13">
      <c r="B17424" s="12" t="str">
        <f ca="1">IFERROR(__xludf.DUMMYFUNCTION("""COMPUTED_VALUE"""),"")</f>
        <v/>
      </c>
      <c r="C17424" s="12" t="str">
        <f ca="1">IFERROR(__xludf.DUMMYFUNCTION("""COMPUTED_VALUE"""),"")</f>
        <v/>
      </c>
      <c r="D17424" s="12" t="str">
        <f ca="1">IFERROR(__xludf.DUMMYFUNCTION("""COMPUTED_VALUE"""),"")</f>
        <v/>
      </c>
    </row>
    <row r="17425" spans="2:4" ht="13">
      <c r="B17425" s="12" t="str">
        <f ca="1">IFERROR(__xludf.DUMMYFUNCTION("""COMPUTED_VALUE"""),"")</f>
        <v/>
      </c>
      <c r="C17425" s="12" t="str">
        <f ca="1">IFERROR(__xludf.DUMMYFUNCTION("""COMPUTED_VALUE"""),"")</f>
        <v/>
      </c>
      <c r="D17425" s="12" t="str">
        <f ca="1">IFERROR(__xludf.DUMMYFUNCTION("""COMPUTED_VALUE"""),"")</f>
        <v/>
      </c>
    </row>
    <row r="17426" spans="2:4" ht="13">
      <c r="B17426" s="12" t="str">
        <f ca="1">IFERROR(__xludf.DUMMYFUNCTION("""COMPUTED_VALUE"""),"")</f>
        <v/>
      </c>
      <c r="C17426" s="12" t="str">
        <f ca="1">IFERROR(__xludf.DUMMYFUNCTION("""COMPUTED_VALUE"""),"")</f>
        <v/>
      </c>
      <c r="D17426" s="12" t="str">
        <f ca="1">IFERROR(__xludf.DUMMYFUNCTION("""COMPUTED_VALUE"""),"")</f>
        <v/>
      </c>
    </row>
    <row r="17427" spans="2:4" ht="13">
      <c r="B17427" s="12" t="str">
        <f ca="1">IFERROR(__xludf.DUMMYFUNCTION("""COMPUTED_VALUE"""),"")</f>
        <v/>
      </c>
      <c r="C17427" s="12" t="str">
        <f ca="1">IFERROR(__xludf.DUMMYFUNCTION("""COMPUTED_VALUE"""),"")</f>
        <v/>
      </c>
      <c r="D17427" s="12" t="str">
        <f ca="1">IFERROR(__xludf.DUMMYFUNCTION("""COMPUTED_VALUE"""),"")</f>
        <v/>
      </c>
    </row>
    <row r="17428" spans="2:4" ht="13">
      <c r="B17428" s="12" t="str">
        <f ca="1">IFERROR(__xludf.DUMMYFUNCTION("""COMPUTED_VALUE"""),"")</f>
        <v/>
      </c>
      <c r="C17428" s="12" t="str">
        <f ca="1">IFERROR(__xludf.DUMMYFUNCTION("""COMPUTED_VALUE"""),"")</f>
        <v/>
      </c>
      <c r="D17428" s="12" t="str">
        <f ca="1">IFERROR(__xludf.DUMMYFUNCTION("""COMPUTED_VALUE"""),"")</f>
        <v/>
      </c>
    </row>
    <row r="17429" spans="2:4" ht="13">
      <c r="B17429" s="12" t="str">
        <f ca="1">IFERROR(__xludf.DUMMYFUNCTION("""COMPUTED_VALUE"""),"")</f>
        <v/>
      </c>
      <c r="C17429" s="12" t="str">
        <f ca="1">IFERROR(__xludf.DUMMYFUNCTION("""COMPUTED_VALUE"""),"")</f>
        <v/>
      </c>
      <c r="D17429" s="12" t="str">
        <f ca="1">IFERROR(__xludf.DUMMYFUNCTION("""COMPUTED_VALUE"""),"")</f>
        <v/>
      </c>
    </row>
    <row r="17430" spans="2:4" ht="13">
      <c r="B17430" s="12" t="str">
        <f ca="1">IFERROR(__xludf.DUMMYFUNCTION("""COMPUTED_VALUE"""),"")</f>
        <v/>
      </c>
      <c r="C17430" s="12" t="str">
        <f ca="1">IFERROR(__xludf.DUMMYFUNCTION("""COMPUTED_VALUE"""),"")</f>
        <v/>
      </c>
      <c r="D17430" s="12" t="str">
        <f ca="1">IFERROR(__xludf.DUMMYFUNCTION("""COMPUTED_VALUE"""),"")</f>
        <v/>
      </c>
    </row>
    <row r="17431" spans="2:4" ht="13">
      <c r="B17431" s="12" t="str">
        <f ca="1">IFERROR(__xludf.DUMMYFUNCTION("""COMPUTED_VALUE"""),"")</f>
        <v/>
      </c>
      <c r="C17431" s="12" t="str">
        <f ca="1">IFERROR(__xludf.DUMMYFUNCTION("""COMPUTED_VALUE"""),"")</f>
        <v/>
      </c>
      <c r="D17431" s="12" t="str">
        <f ca="1">IFERROR(__xludf.DUMMYFUNCTION("""COMPUTED_VALUE"""),"")</f>
        <v/>
      </c>
    </row>
    <row r="17432" spans="2:4" ht="13">
      <c r="B17432" s="12" t="str">
        <f ca="1">IFERROR(__xludf.DUMMYFUNCTION("""COMPUTED_VALUE"""),"")</f>
        <v/>
      </c>
      <c r="C17432" s="12" t="str">
        <f ca="1">IFERROR(__xludf.DUMMYFUNCTION("""COMPUTED_VALUE"""),"")</f>
        <v/>
      </c>
      <c r="D17432" s="12" t="str">
        <f ca="1">IFERROR(__xludf.DUMMYFUNCTION("""COMPUTED_VALUE"""),"")</f>
        <v/>
      </c>
    </row>
    <row r="17433" spans="2:4" ht="13">
      <c r="B17433" s="12" t="str">
        <f ca="1">IFERROR(__xludf.DUMMYFUNCTION("""COMPUTED_VALUE"""),"")</f>
        <v/>
      </c>
      <c r="C17433" s="12" t="str">
        <f ca="1">IFERROR(__xludf.DUMMYFUNCTION("""COMPUTED_VALUE"""),"")</f>
        <v/>
      </c>
      <c r="D17433" s="12" t="str">
        <f ca="1">IFERROR(__xludf.DUMMYFUNCTION("""COMPUTED_VALUE"""),"")</f>
        <v/>
      </c>
    </row>
    <row r="17434" spans="2:4" ht="13">
      <c r="B17434" s="12" t="str">
        <f ca="1">IFERROR(__xludf.DUMMYFUNCTION("""COMPUTED_VALUE"""),"")</f>
        <v/>
      </c>
      <c r="C17434" s="12" t="str">
        <f ca="1">IFERROR(__xludf.DUMMYFUNCTION("""COMPUTED_VALUE"""),"")</f>
        <v/>
      </c>
      <c r="D17434" s="12" t="str">
        <f ca="1">IFERROR(__xludf.DUMMYFUNCTION("""COMPUTED_VALUE"""),"")</f>
        <v/>
      </c>
    </row>
    <row r="17435" spans="2:4" ht="13">
      <c r="B17435" s="12" t="str">
        <f ca="1">IFERROR(__xludf.DUMMYFUNCTION("""COMPUTED_VALUE"""),"")</f>
        <v/>
      </c>
      <c r="C17435" s="12" t="str">
        <f ca="1">IFERROR(__xludf.DUMMYFUNCTION("""COMPUTED_VALUE"""),"")</f>
        <v/>
      </c>
      <c r="D17435" s="12" t="str">
        <f ca="1">IFERROR(__xludf.DUMMYFUNCTION("""COMPUTED_VALUE"""),"")</f>
        <v/>
      </c>
    </row>
    <row r="17436" spans="2:4" ht="13">
      <c r="B17436" s="12" t="str">
        <f ca="1">IFERROR(__xludf.DUMMYFUNCTION("""COMPUTED_VALUE"""),"")</f>
        <v/>
      </c>
      <c r="C17436" s="12" t="str">
        <f ca="1">IFERROR(__xludf.DUMMYFUNCTION("""COMPUTED_VALUE"""),"")</f>
        <v/>
      </c>
      <c r="D17436" s="12" t="str">
        <f ca="1">IFERROR(__xludf.DUMMYFUNCTION("""COMPUTED_VALUE"""),"")</f>
        <v/>
      </c>
    </row>
    <row r="17437" spans="2:4" ht="13">
      <c r="B17437" s="12" t="str">
        <f ca="1">IFERROR(__xludf.DUMMYFUNCTION("""COMPUTED_VALUE"""),"")</f>
        <v/>
      </c>
      <c r="C17437" s="12" t="str">
        <f ca="1">IFERROR(__xludf.DUMMYFUNCTION("""COMPUTED_VALUE"""),"")</f>
        <v/>
      </c>
      <c r="D17437" s="12" t="str">
        <f ca="1">IFERROR(__xludf.DUMMYFUNCTION("""COMPUTED_VALUE"""),"")</f>
        <v/>
      </c>
    </row>
    <row r="17438" spans="2:4" ht="13">
      <c r="B17438" s="12" t="str">
        <f ca="1">IFERROR(__xludf.DUMMYFUNCTION("""COMPUTED_VALUE"""),"")</f>
        <v/>
      </c>
      <c r="C17438" s="12" t="str">
        <f ca="1">IFERROR(__xludf.DUMMYFUNCTION("""COMPUTED_VALUE"""),"")</f>
        <v/>
      </c>
      <c r="D17438" s="12" t="str">
        <f ca="1">IFERROR(__xludf.DUMMYFUNCTION("""COMPUTED_VALUE"""),"")</f>
        <v/>
      </c>
    </row>
    <row r="17439" spans="2:4" ht="13">
      <c r="B17439" s="12" t="str">
        <f ca="1">IFERROR(__xludf.DUMMYFUNCTION("""COMPUTED_VALUE"""),"")</f>
        <v/>
      </c>
      <c r="C17439" s="12" t="str">
        <f ca="1">IFERROR(__xludf.DUMMYFUNCTION("""COMPUTED_VALUE"""),"")</f>
        <v/>
      </c>
      <c r="D17439" s="12" t="str">
        <f ca="1">IFERROR(__xludf.DUMMYFUNCTION("""COMPUTED_VALUE"""),"")</f>
        <v/>
      </c>
    </row>
    <row r="17440" spans="2:4" ht="13">
      <c r="B17440" s="12" t="str">
        <f ca="1">IFERROR(__xludf.DUMMYFUNCTION("""COMPUTED_VALUE"""),"")</f>
        <v/>
      </c>
      <c r="C17440" s="12" t="str">
        <f ca="1">IFERROR(__xludf.DUMMYFUNCTION("""COMPUTED_VALUE"""),"")</f>
        <v/>
      </c>
      <c r="D17440" s="12" t="str">
        <f ca="1">IFERROR(__xludf.DUMMYFUNCTION("""COMPUTED_VALUE"""),"")</f>
        <v/>
      </c>
    </row>
    <row r="17441" spans="2:4" ht="13">
      <c r="B17441" s="12" t="str">
        <f ca="1">IFERROR(__xludf.DUMMYFUNCTION("""COMPUTED_VALUE"""),"")</f>
        <v/>
      </c>
      <c r="C17441" s="12" t="str">
        <f ca="1">IFERROR(__xludf.DUMMYFUNCTION("""COMPUTED_VALUE"""),"")</f>
        <v/>
      </c>
      <c r="D17441" s="12" t="str">
        <f ca="1">IFERROR(__xludf.DUMMYFUNCTION("""COMPUTED_VALUE"""),"")</f>
        <v/>
      </c>
    </row>
    <row r="17442" spans="2:4" ht="13">
      <c r="B17442" s="12" t="str">
        <f ca="1">IFERROR(__xludf.DUMMYFUNCTION("""COMPUTED_VALUE"""),"")</f>
        <v/>
      </c>
      <c r="C17442" s="12" t="str">
        <f ca="1">IFERROR(__xludf.DUMMYFUNCTION("""COMPUTED_VALUE"""),"")</f>
        <v/>
      </c>
      <c r="D17442" s="12" t="str">
        <f ca="1">IFERROR(__xludf.DUMMYFUNCTION("""COMPUTED_VALUE"""),"")</f>
        <v/>
      </c>
    </row>
    <row r="17443" spans="2:4" ht="13">
      <c r="B17443" s="12" t="str">
        <f ca="1">IFERROR(__xludf.DUMMYFUNCTION("""COMPUTED_VALUE"""),"")</f>
        <v/>
      </c>
      <c r="C17443" s="12" t="str">
        <f ca="1">IFERROR(__xludf.DUMMYFUNCTION("""COMPUTED_VALUE"""),"")</f>
        <v/>
      </c>
      <c r="D17443" s="12" t="str">
        <f ca="1">IFERROR(__xludf.DUMMYFUNCTION("""COMPUTED_VALUE"""),"")</f>
        <v/>
      </c>
    </row>
    <row r="17444" spans="2:4" ht="13">
      <c r="B17444" s="12" t="str">
        <f ca="1">IFERROR(__xludf.DUMMYFUNCTION("""COMPUTED_VALUE"""),"")</f>
        <v/>
      </c>
      <c r="C17444" s="12" t="str">
        <f ca="1">IFERROR(__xludf.DUMMYFUNCTION("""COMPUTED_VALUE"""),"")</f>
        <v/>
      </c>
      <c r="D17444" s="12" t="str">
        <f ca="1">IFERROR(__xludf.DUMMYFUNCTION("""COMPUTED_VALUE"""),"")</f>
        <v/>
      </c>
    </row>
    <row r="17445" spans="2:4" ht="13">
      <c r="B17445" s="12" t="str">
        <f ca="1">IFERROR(__xludf.DUMMYFUNCTION("""COMPUTED_VALUE"""),"")</f>
        <v/>
      </c>
      <c r="C17445" s="12" t="str">
        <f ca="1">IFERROR(__xludf.DUMMYFUNCTION("""COMPUTED_VALUE"""),"")</f>
        <v/>
      </c>
      <c r="D17445" s="12" t="str">
        <f ca="1">IFERROR(__xludf.DUMMYFUNCTION("""COMPUTED_VALUE"""),"")</f>
        <v/>
      </c>
    </row>
    <row r="17446" spans="2:4" ht="13">
      <c r="B17446" s="12" t="str">
        <f ca="1">IFERROR(__xludf.DUMMYFUNCTION("""COMPUTED_VALUE"""),"")</f>
        <v/>
      </c>
      <c r="C17446" s="12" t="str">
        <f ca="1">IFERROR(__xludf.DUMMYFUNCTION("""COMPUTED_VALUE"""),"")</f>
        <v/>
      </c>
      <c r="D17446" s="12" t="str">
        <f ca="1">IFERROR(__xludf.DUMMYFUNCTION("""COMPUTED_VALUE"""),"")</f>
        <v/>
      </c>
    </row>
    <row r="17447" spans="2:4" ht="13">
      <c r="B17447" s="12" t="str">
        <f ca="1">IFERROR(__xludf.DUMMYFUNCTION("""COMPUTED_VALUE"""),"")</f>
        <v/>
      </c>
      <c r="C17447" s="12" t="str">
        <f ca="1">IFERROR(__xludf.DUMMYFUNCTION("""COMPUTED_VALUE"""),"")</f>
        <v/>
      </c>
      <c r="D17447" s="12" t="str">
        <f ca="1">IFERROR(__xludf.DUMMYFUNCTION("""COMPUTED_VALUE"""),"")</f>
        <v/>
      </c>
    </row>
    <row r="17448" spans="2:4" ht="13">
      <c r="B17448" s="12" t="str">
        <f ca="1">IFERROR(__xludf.DUMMYFUNCTION("""COMPUTED_VALUE"""),"")</f>
        <v/>
      </c>
      <c r="C17448" s="12" t="str">
        <f ca="1">IFERROR(__xludf.DUMMYFUNCTION("""COMPUTED_VALUE"""),"")</f>
        <v/>
      </c>
      <c r="D17448" s="12" t="str">
        <f ca="1">IFERROR(__xludf.DUMMYFUNCTION("""COMPUTED_VALUE"""),"")</f>
        <v/>
      </c>
    </row>
    <row r="17449" spans="2:4" ht="13">
      <c r="B17449" s="12" t="str">
        <f ca="1">IFERROR(__xludf.DUMMYFUNCTION("""COMPUTED_VALUE"""),"")</f>
        <v/>
      </c>
      <c r="C17449" s="12" t="str">
        <f ca="1">IFERROR(__xludf.DUMMYFUNCTION("""COMPUTED_VALUE"""),"")</f>
        <v/>
      </c>
      <c r="D17449" s="12" t="str">
        <f ca="1">IFERROR(__xludf.DUMMYFUNCTION("""COMPUTED_VALUE"""),"")</f>
        <v/>
      </c>
    </row>
    <row r="17450" spans="2:4" ht="13">
      <c r="B17450" s="12" t="str">
        <f ca="1">IFERROR(__xludf.DUMMYFUNCTION("""COMPUTED_VALUE"""),"")</f>
        <v/>
      </c>
      <c r="C17450" s="12" t="str">
        <f ca="1">IFERROR(__xludf.DUMMYFUNCTION("""COMPUTED_VALUE"""),"")</f>
        <v/>
      </c>
      <c r="D17450" s="12" t="str">
        <f ca="1">IFERROR(__xludf.DUMMYFUNCTION("""COMPUTED_VALUE"""),"")</f>
        <v/>
      </c>
    </row>
    <row r="17451" spans="2:4" ht="13">
      <c r="B17451" s="12" t="str">
        <f ca="1">IFERROR(__xludf.DUMMYFUNCTION("""COMPUTED_VALUE"""),"")</f>
        <v/>
      </c>
      <c r="C17451" s="12" t="str">
        <f ca="1">IFERROR(__xludf.DUMMYFUNCTION("""COMPUTED_VALUE"""),"")</f>
        <v/>
      </c>
      <c r="D17451" s="12" t="str">
        <f ca="1">IFERROR(__xludf.DUMMYFUNCTION("""COMPUTED_VALUE"""),"")</f>
        <v/>
      </c>
    </row>
    <row r="17452" spans="2:4" ht="13">
      <c r="B17452" s="12" t="str">
        <f ca="1">IFERROR(__xludf.DUMMYFUNCTION("""COMPUTED_VALUE"""),"")</f>
        <v/>
      </c>
      <c r="C17452" s="12" t="str">
        <f ca="1">IFERROR(__xludf.DUMMYFUNCTION("""COMPUTED_VALUE"""),"")</f>
        <v/>
      </c>
      <c r="D17452" s="12" t="str">
        <f ca="1">IFERROR(__xludf.DUMMYFUNCTION("""COMPUTED_VALUE"""),"")</f>
        <v/>
      </c>
    </row>
    <row r="17453" spans="2:4" ht="13">
      <c r="B17453" s="12" t="str">
        <f ca="1">IFERROR(__xludf.DUMMYFUNCTION("""COMPUTED_VALUE"""),"")</f>
        <v/>
      </c>
      <c r="C17453" s="12" t="str">
        <f ca="1">IFERROR(__xludf.DUMMYFUNCTION("""COMPUTED_VALUE"""),"")</f>
        <v/>
      </c>
      <c r="D17453" s="12" t="str">
        <f ca="1">IFERROR(__xludf.DUMMYFUNCTION("""COMPUTED_VALUE"""),"")</f>
        <v/>
      </c>
    </row>
    <row r="17454" spans="2:4" ht="13">
      <c r="B17454" s="12" t="str">
        <f ca="1">IFERROR(__xludf.DUMMYFUNCTION("""COMPUTED_VALUE"""),"")</f>
        <v/>
      </c>
      <c r="C17454" s="12" t="str">
        <f ca="1">IFERROR(__xludf.DUMMYFUNCTION("""COMPUTED_VALUE"""),"")</f>
        <v/>
      </c>
      <c r="D17454" s="12" t="str">
        <f ca="1">IFERROR(__xludf.DUMMYFUNCTION("""COMPUTED_VALUE"""),"")</f>
        <v/>
      </c>
    </row>
    <row r="17455" spans="2:4" ht="13">
      <c r="B17455" s="12" t="str">
        <f ca="1">IFERROR(__xludf.DUMMYFUNCTION("""COMPUTED_VALUE"""),"")</f>
        <v/>
      </c>
      <c r="C17455" s="12" t="str">
        <f ca="1">IFERROR(__xludf.DUMMYFUNCTION("""COMPUTED_VALUE"""),"")</f>
        <v/>
      </c>
      <c r="D17455" s="12" t="str">
        <f ca="1">IFERROR(__xludf.DUMMYFUNCTION("""COMPUTED_VALUE"""),"")</f>
        <v/>
      </c>
    </row>
    <row r="17456" spans="2:4" ht="13">
      <c r="B17456" s="12" t="str">
        <f ca="1">IFERROR(__xludf.DUMMYFUNCTION("""COMPUTED_VALUE"""),"")</f>
        <v/>
      </c>
      <c r="C17456" s="12" t="str">
        <f ca="1">IFERROR(__xludf.DUMMYFUNCTION("""COMPUTED_VALUE"""),"")</f>
        <v/>
      </c>
      <c r="D17456" s="12" t="str">
        <f ca="1">IFERROR(__xludf.DUMMYFUNCTION("""COMPUTED_VALUE"""),"")</f>
        <v/>
      </c>
    </row>
    <row r="17457" spans="2:4" ht="13">
      <c r="B17457" s="12" t="str">
        <f ca="1">IFERROR(__xludf.DUMMYFUNCTION("""COMPUTED_VALUE"""),"")</f>
        <v/>
      </c>
      <c r="C17457" s="12" t="str">
        <f ca="1">IFERROR(__xludf.DUMMYFUNCTION("""COMPUTED_VALUE"""),"")</f>
        <v/>
      </c>
      <c r="D17457" s="12" t="str">
        <f ca="1">IFERROR(__xludf.DUMMYFUNCTION("""COMPUTED_VALUE"""),"")</f>
        <v/>
      </c>
    </row>
    <row r="17458" spans="2:4" ht="13">
      <c r="B17458" s="12" t="str">
        <f ca="1">IFERROR(__xludf.DUMMYFUNCTION("""COMPUTED_VALUE"""),"")</f>
        <v/>
      </c>
      <c r="C17458" s="12" t="str">
        <f ca="1">IFERROR(__xludf.DUMMYFUNCTION("""COMPUTED_VALUE"""),"")</f>
        <v/>
      </c>
      <c r="D17458" s="12" t="str">
        <f ca="1">IFERROR(__xludf.DUMMYFUNCTION("""COMPUTED_VALUE"""),"")</f>
        <v/>
      </c>
    </row>
    <row r="17459" spans="2:4" ht="13">
      <c r="B17459" s="12" t="str">
        <f ca="1">IFERROR(__xludf.DUMMYFUNCTION("""COMPUTED_VALUE"""),"")</f>
        <v/>
      </c>
      <c r="C17459" s="12" t="str">
        <f ca="1">IFERROR(__xludf.DUMMYFUNCTION("""COMPUTED_VALUE"""),"")</f>
        <v/>
      </c>
      <c r="D17459" s="12" t="str">
        <f ca="1">IFERROR(__xludf.DUMMYFUNCTION("""COMPUTED_VALUE"""),"")</f>
        <v/>
      </c>
    </row>
    <row r="17460" spans="2:4" ht="13">
      <c r="B17460" s="12" t="str">
        <f ca="1">IFERROR(__xludf.DUMMYFUNCTION("""COMPUTED_VALUE"""),"")</f>
        <v/>
      </c>
      <c r="C17460" s="12" t="str">
        <f ca="1">IFERROR(__xludf.DUMMYFUNCTION("""COMPUTED_VALUE"""),"")</f>
        <v/>
      </c>
      <c r="D17460" s="12" t="str">
        <f ca="1">IFERROR(__xludf.DUMMYFUNCTION("""COMPUTED_VALUE"""),"")</f>
        <v/>
      </c>
    </row>
    <row r="17461" spans="2:4" ht="13">
      <c r="B17461" s="12" t="str">
        <f ca="1">IFERROR(__xludf.DUMMYFUNCTION("""COMPUTED_VALUE"""),"")</f>
        <v/>
      </c>
      <c r="C17461" s="12" t="str">
        <f ca="1">IFERROR(__xludf.DUMMYFUNCTION("""COMPUTED_VALUE"""),"")</f>
        <v/>
      </c>
      <c r="D17461" s="12" t="str">
        <f ca="1">IFERROR(__xludf.DUMMYFUNCTION("""COMPUTED_VALUE"""),"")</f>
        <v/>
      </c>
    </row>
    <row r="17462" spans="2:4" ht="13">
      <c r="B17462" s="12" t="str">
        <f ca="1">IFERROR(__xludf.DUMMYFUNCTION("""COMPUTED_VALUE"""),"")</f>
        <v/>
      </c>
      <c r="C17462" s="12" t="str">
        <f ca="1">IFERROR(__xludf.DUMMYFUNCTION("""COMPUTED_VALUE"""),"")</f>
        <v/>
      </c>
      <c r="D17462" s="12" t="str">
        <f ca="1">IFERROR(__xludf.DUMMYFUNCTION("""COMPUTED_VALUE"""),"")</f>
        <v/>
      </c>
    </row>
    <row r="17463" spans="2:4" ht="13">
      <c r="B17463" s="12" t="str">
        <f ca="1">IFERROR(__xludf.DUMMYFUNCTION("""COMPUTED_VALUE"""),"")</f>
        <v/>
      </c>
      <c r="C17463" s="12" t="str">
        <f ca="1">IFERROR(__xludf.DUMMYFUNCTION("""COMPUTED_VALUE"""),"")</f>
        <v/>
      </c>
      <c r="D17463" s="12" t="str">
        <f ca="1">IFERROR(__xludf.DUMMYFUNCTION("""COMPUTED_VALUE"""),"")</f>
        <v/>
      </c>
    </row>
    <row r="17464" spans="2:4" ht="13">
      <c r="B17464" s="12" t="str">
        <f ca="1">IFERROR(__xludf.DUMMYFUNCTION("""COMPUTED_VALUE"""),"")</f>
        <v/>
      </c>
      <c r="C17464" s="12" t="str">
        <f ca="1">IFERROR(__xludf.DUMMYFUNCTION("""COMPUTED_VALUE"""),"")</f>
        <v/>
      </c>
      <c r="D17464" s="12" t="str">
        <f ca="1">IFERROR(__xludf.DUMMYFUNCTION("""COMPUTED_VALUE"""),"")</f>
        <v/>
      </c>
    </row>
    <row r="17465" spans="2:4" ht="13">
      <c r="B17465" s="12" t="str">
        <f ca="1">IFERROR(__xludf.DUMMYFUNCTION("""COMPUTED_VALUE"""),"")</f>
        <v/>
      </c>
      <c r="C17465" s="12" t="str">
        <f ca="1">IFERROR(__xludf.DUMMYFUNCTION("""COMPUTED_VALUE"""),"")</f>
        <v/>
      </c>
      <c r="D17465" s="12" t="str">
        <f ca="1">IFERROR(__xludf.DUMMYFUNCTION("""COMPUTED_VALUE"""),"")</f>
        <v/>
      </c>
    </row>
    <row r="17466" spans="2:4" ht="13">
      <c r="B17466" s="12" t="str">
        <f ca="1">IFERROR(__xludf.DUMMYFUNCTION("""COMPUTED_VALUE"""),"")</f>
        <v/>
      </c>
      <c r="C17466" s="12" t="str">
        <f ca="1">IFERROR(__xludf.DUMMYFUNCTION("""COMPUTED_VALUE"""),"")</f>
        <v/>
      </c>
      <c r="D17466" s="12" t="str">
        <f ca="1">IFERROR(__xludf.DUMMYFUNCTION("""COMPUTED_VALUE"""),"")</f>
        <v/>
      </c>
    </row>
    <row r="17467" spans="2:4" ht="13">
      <c r="B17467" s="12" t="str">
        <f ca="1">IFERROR(__xludf.DUMMYFUNCTION("""COMPUTED_VALUE"""),"")</f>
        <v/>
      </c>
      <c r="C17467" s="12" t="str">
        <f ca="1">IFERROR(__xludf.DUMMYFUNCTION("""COMPUTED_VALUE"""),"")</f>
        <v/>
      </c>
      <c r="D17467" s="12" t="str">
        <f ca="1">IFERROR(__xludf.DUMMYFUNCTION("""COMPUTED_VALUE"""),"")</f>
        <v/>
      </c>
    </row>
    <row r="17468" spans="2:4" ht="13">
      <c r="B17468" s="12" t="str">
        <f ca="1">IFERROR(__xludf.DUMMYFUNCTION("""COMPUTED_VALUE"""),"")</f>
        <v/>
      </c>
      <c r="C17468" s="12" t="str">
        <f ca="1">IFERROR(__xludf.DUMMYFUNCTION("""COMPUTED_VALUE"""),"")</f>
        <v/>
      </c>
      <c r="D17468" s="12" t="str">
        <f ca="1">IFERROR(__xludf.DUMMYFUNCTION("""COMPUTED_VALUE"""),"")</f>
        <v/>
      </c>
    </row>
    <row r="17469" spans="2:4" ht="13">
      <c r="B17469" s="12" t="str">
        <f ca="1">IFERROR(__xludf.DUMMYFUNCTION("""COMPUTED_VALUE"""),"")</f>
        <v/>
      </c>
      <c r="C17469" s="12" t="str">
        <f ca="1">IFERROR(__xludf.DUMMYFUNCTION("""COMPUTED_VALUE"""),"")</f>
        <v/>
      </c>
      <c r="D17469" s="12" t="str">
        <f ca="1">IFERROR(__xludf.DUMMYFUNCTION("""COMPUTED_VALUE"""),"")</f>
        <v/>
      </c>
    </row>
    <row r="17470" spans="2:4" ht="13">
      <c r="B17470" s="12" t="str">
        <f ca="1">IFERROR(__xludf.DUMMYFUNCTION("""COMPUTED_VALUE"""),"")</f>
        <v/>
      </c>
      <c r="C17470" s="12" t="str">
        <f ca="1">IFERROR(__xludf.DUMMYFUNCTION("""COMPUTED_VALUE"""),"")</f>
        <v/>
      </c>
      <c r="D17470" s="12" t="str">
        <f ca="1">IFERROR(__xludf.DUMMYFUNCTION("""COMPUTED_VALUE"""),"")</f>
        <v/>
      </c>
    </row>
    <row r="17471" spans="2:4" ht="13">
      <c r="B17471" s="12" t="str">
        <f ca="1">IFERROR(__xludf.DUMMYFUNCTION("""COMPUTED_VALUE"""),"")</f>
        <v/>
      </c>
      <c r="C17471" s="12" t="str">
        <f ca="1">IFERROR(__xludf.DUMMYFUNCTION("""COMPUTED_VALUE"""),"")</f>
        <v/>
      </c>
      <c r="D17471" s="12" t="str">
        <f ca="1">IFERROR(__xludf.DUMMYFUNCTION("""COMPUTED_VALUE"""),"")</f>
        <v/>
      </c>
    </row>
    <row r="17472" spans="2:4" ht="13">
      <c r="B17472" s="12" t="str">
        <f ca="1">IFERROR(__xludf.DUMMYFUNCTION("""COMPUTED_VALUE"""),"")</f>
        <v/>
      </c>
      <c r="C17472" s="12" t="str">
        <f ca="1">IFERROR(__xludf.DUMMYFUNCTION("""COMPUTED_VALUE"""),"")</f>
        <v/>
      </c>
      <c r="D17472" s="12" t="str">
        <f ca="1">IFERROR(__xludf.DUMMYFUNCTION("""COMPUTED_VALUE"""),"")</f>
        <v/>
      </c>
    </row>
    <row r="17473" spans="2:4" ht="13">
      <c r="B17473" s="12" t="str">
        <f ca="1">IFERROR(__xludf.DUMMYFUNCTION("""COMPUTED_VALUE"""),"")</f>
        <v/>
      </c>
      <c r="C17473" s="12" t="str">
        <f ca="1">IFERROR(__xludf.DUMMYFUNCTION("""COMPUTED_VALUE"""),"")</f>
        <v/>
      </c>
      <c r="D17473" s="12" t="str">
        <f ca="1">IFERROR(__xludf.DUMMYFUNCTION("""COMPUTED_VALUE"""),"")</f>
        <v/>
      </c>
    </row>
    <row r="17474" spans="2:4" ht="13">
      <c r="B17474" s="12" t="str">
        <f ca="1">IFERROR(__xludf.DUMMYFUNCTION("""COMPUTED_VALUE"""),"")</f>
        <v/>
      </c>
      <c r="C17474" s="12" t="str">
        <f ca="1">IFERROR(__xludf.DUMMYFUNCTION("""COMPUTED_VALUE"""),"")</f>
        <v/>
      </c>
      <c r="D17474" s="12" t="str">
        <f ca="1">IFERROR(__xludf.DUMMYFUNCTION("""COMPUTED_VALUE"""),"")</f>
        <v/>
      </c>
    </row>
    <row r="17475" spans="2:4" ht="13">
      <c r="B17475" s="12" t="str">
        <f ca="1">IFERROR(__xludf.DUMMYFUNCTION("""COMPUTED_VALUE"""),"")</f>
        <v/>
      </c>
      <c r="C17475" s="12" t="str">
        <f ca="1">IFERROR(__xludf.DUMMYFUNCTION("""COMPUTED_VALUE"""),"")</f>
        <v/>
      </c>
      <c r="D17475" s="12" t="str">
        <f ca="1">IFERROR(__xludf.DUMMYFUNCTION("""COMPUTED_VALUE"""),"")</f>
        <v/>
      </c>
    </row>
    <row r="17476" spans="2:4" ht="13">
      <c r="B17476" s="12" t="str">
        <f ca="1">IFERROR(__xludf.DUMMYFUNCTION("""COMPUTED_VALUE"""),"")</f>
        <v/>
      </c>
      <c r="C17476" s="12" t="str">
        <f ca="1">IFERROR(__xludf.DUMMYFUNCTION("""COMPUTED_VALUE"""),"")</f>
        <v/>
      </c>
      <c r="D17476" s="12" t="str">
        <f ca="1">IFERROR(__xludf.DUMMYFUNCTION("""COMPUTED_VALUE"""),"")</f>
        <v/>
      </c>
    </row>
    <row r="17477" spans="2:4" ht="13">
      <c r="B17477" s="12" t="str">
        <f ca="1">IFERROR(__xludf.DUMMYFUNCTION("""COMPUTED_VALUE"""),"")</f>
        <v/>
      </c>
      <c r="C17477" s="12" t="str">
        <f ca="1">IFERROR(__xludf.DUMMYFUNCTION("""COMPUTED_VALUE"""),"")</f>
        <v/>
      </c>
      <c r="D17477" s="12" t="str">
        <f ca="1">IFERROR(__xludf.DUMMYFUNCTION("""COMPUTED_VALUE"""),"")</f>
        <v/>
      </c>
    </row>
    <row r="17478" spans="2:4" ht="13">
      <c r="B17478" s="12" t="str">
        <f ca="1">IFERROR(__xludf.DUMMYFUNCTION("""COMPUTED_VALUE"""),"")</f>
        <v/>
      </c>
      <c r="C17478" s="12" t="str">
        <f ca="1">IFERROR(__xludf.DUMMYFUNCTION("""COMPUTED_VALUE"""),"")</f>
        <v/>
      </c>
      <c r="D17478" s="12" t="str">
        <f ca="1">IFERROR(__xludf.DUMMYFUNCTION("""COMPUTED_VALUE"""),"")</f>
        <v/>
      </c>
    </row>
    <row r="17479" spans="2:4" ht="13">
      <c r="B17479" s="12" t="str">
        <f ca="1">IFERROR(__xludf.DUMMYFUNCTION("""COMPUTED_VALUE"""),"")</f>
        <v/>
      </c>
      <c r="C17479" s="12" t="str">
        <f ca="1">IFERROR(__xludf.DUMMYFUNCTION("""COMPUTED_VALUE"""),"")</f>
        <v/>
      </c>
      <c r="D17479" s="12" t="str">
        <f ca="1">IFERROR(__xludf.DUMMYFUNCTION("""COMPUTED_VALUE"""),"")</f>
        <v/>
      </c>
    </row>
    <row r="17480" spans="2:4" ht="13">
      <c r="B17480" s="12" t="str">
        <f ca="1">IFERROR(__xludf.DUMMYFUNCTION("""COMPUTED_VALUE"""),"")</f>
        <v/>
      </c>
      <c r="C17480" s="12" t="str">
        <f ca="1">IFERROR(__xludf.DUMMYFUNCTION("""COMPUTED_VALUE"""),"")</f>
        <v/>
      </c>
      <c r="D17480" s="12" t="str">
        <f ca="1">IFERROR(__xludf.DUMMYFUNCTION("""COMPUTED_VALUE"""),"")</f>
        <v/>
      </c>
    </row>
    <row r="17481" spans="2:4" ht="13">
      <c r="B17481" s="12" t="str">
        <f ca="1">IFERROR(__xludf.DUMMYFUNCTION("""COMPUTED_VALUE"""),"")</f>
        <v/>
      </c>
      <c r="C17481" s="12" t="str">
        <f ca="1">IFERROR(__xludf.DUMMYFUNCTION("""COMPUTED_VALUE"""),"")</f>
        <v/>
      </c>
      <c r="D17481" s="12" t="str">
        <f ca="1">IFERROR(__xludf.DUMMYFUNCTION("""COMPUTED_VALUE"""),"")</f>
        <v/>
      </c>
    </row>
    <row r="17482" spans="2:4" ht="13">
      <c r="B17482" s="12" t="str">
        <f ca="1">IFERROR(__xludf.DUMMYFUNCTION("""COMPUTED_VALUE"""),"")</f>
        <v/>
      </c>
      <c r="C17482" s="12" t="str">
        <f ca="1">IFERROR(__xludf.DUMMYFUNCTION("""COMPUTED_VALUE"""),"")</f>
        <v/>
      </c>
      <c r="D17482" s="12" t="str">
        <f ca="1">IFERROR(__xludf.DUMMYFUNCTION("""COMPUTED_VALUE"""),"")</f>
        <v/>
      </c>
    </row>
    <row r="17483" spans="2:4" ht="13">
      <c r="B17483" s="12" t="str">
        <f ca="1">IFERROR(__xludf.DUMMYFUNCTION("""COMPUTED_VALUE"""),"")</f>
        <v/>
      </c>
      <c r="C17483" s="12" t="str">
        <f ca="1">IFERROR(__xludf.DUMMYFUNCTION("""COMPUTED_VALUE"""),"")</f>
        <v/>
      </c>
      <c r="D17483" s="12" t="str">
        <f ca="1">IFERROR(__xludf.DUMMYFUNCTION("""COMPUTED_VALUE"""),"")</f>
        <v/>
      </c>
    </row>
    <row r="17484" spans="2:4" ht="13">
      <c r="B17484" s="12" t="str">
        <f ca="1">IFERROR(__xludf.DUMMYFUNCTION("""COMPUTED_VALUE"""),"")</f>
        <v/>
      </c>
      <c r="C17484" s="12" t="str">
        <f ca="1">IFERROR(__xludf.DUMMYFUNCTION("""COMPUTED_VALUE"""),"")</f>
        <v/>
      </c>
      <c r="D17484" s="12" t="str">
        <f ca="1">IFERROR(__xludf.DUMMYFUNCTION("""COMPUTED_VALUE"""),"")</f>
        <v/>
      </c>
    </row>
    <row r="17485" spans="2:4" ht="13">
      <c r="B17485" s="12" t="str">
        <f ca="1">IFERROR(__xludf.DUMMYFUNCTION("""COMPUTED_VALUE"""),"")</f>
        <v/>
      </c>
      <c r="C17485" s="12" t="str">
        <f ca="1">IFERROR(__xludf.DUMMYFUNCTION("""COMPUTED_VALUE"""),"")</f>
        <v/>
      </c>
      <c r="D17485" s="12" t="str">
        <f ca="1">IFERROR(__xludf.DUMMYFUNCTION("""COMPUTED_VALUE"""),"")</f>
        <v/>
      </c>
    </row>
    <row r="17486" spans="2:4" ht="13">
      <c r="B17486" s="12" t="str">
        <f ca="1">IFERROR(__xludf.DUMMYFUNCTION("""COMPUTED_VALUE"""),"")</f>
        <v/>
      </c>
      <c r="C17486" s="12" t="str">
        <f ca="1">IFERROR(__xludf.DUMMYFUNCTION("""COMPUTED_VALUE"""),"")</f>
        <v/>
      </c>
      <c r="D17486" s="12" t="str">
        <f ca="1">IFERROR(__xludf.DUMMYFUNCTION("""COMPUTED_VALUE"""),"")</f>
        <v/>
      </c>
    </row>
    <row r="17487" spans="2:4" ht="13">
      <c r="B17487" s="12" t="str">
        <f ca="1">IFERROR(__xludf.DUMMYFUNCTION("""COMPUTED_VALUE"""),"")</f>
        <v/>
      </c>
      <c r="C17487" s="12" t="str">
        <f ca="1">IFERROR(__xludf.DUMMYFUNCTION("""COMPUTED_VALUE"""),"")</f>
        <v/>
      </c>
      <c r="D17487" s="12" t="str">
        <f ca="1">IFERROR(__xludf.DUMMYFUNCTION("""COMPUTED_VALUE"""),"")</f>
        <v/>
      </c>
    </row>
    <row r="17488" spans="2:4" ht="13">
      <c r="B17488" s="12" t="str">
        <f ca="1">IFERROR(__xludf.DUMMYFUNCTION("""COMPUTED_VALUE"""),"")</f>
        <v/>
      </c>
      <c r="C17488" s="12" t="str">
        <f ca="1">IFERROR(__xludf.DUMMYFUNCTION("""COMPUTED_VALUE"""),"")</f>
        <v/>
      </c>
      <c r="D17488" s="12" t="str">
        <f ca="1">IFERROR(__xludf.DUMMYFUNCTION("""COMPUTED_VALUE"""),"")</f>
        <v/>
      </c>
    </row>
    <row r="17489" spans="2:4" ht="13">
      <c r="B17489" s="12" t="str">
        <f ca="1">IFERROR(__xludf.DUMMYFUNCTION("""COMPUTED_VALUE"""),"")</f>
        <v/>
      </c>
      <c r="C17489" s="12" t="str">
        <f ca="1">IFERROR(__xludf.DUMMYFUNCTION("""COMPUTED_VALUE"""),"")</f>
        <v/>
      </c>
      <c r="D17489" s="12" t="str">
        <f ca="1">IFERROR(__xludf.DUMMYFUNCTION("""COMPUTED_VALUE"""),"")</f>
        <v/>
      </c>
    </row>
    <row r="17490" spans="2:4" ht="13">
      <c r="B17490" s="12" t="str">
        <f ca="1">IFERROR(__xludf.DUMMYFUNCTION("""COMPUTED_VALUE"""),"")</f>
        <v/>
      </c>
      <c r="C17490" s="12" t="str">
        <f ca="1">IFERROR(__xludf.DUMMYFUNCTION("""COMPUTED_VALUE"""),"")</f>
        <v/>
      </c>
      <c r="D17490" s="12" t="str">
        <f ca="1">IFERROR(__xludf.DUMMYFUNCTION("""COMPUTED_VALUE"""),"")</f>
        <v/>
      </c>
    </row>
    <row r="17491" spans="2:4" ht="13">
      <c r="B17491" s="12" t="str">
        <f ca="1">IFERROR(__xludf.DUMMYFUNCTION("""COMPUTED_VALUE"""),"")</f>
        <v/>
      </c>
      <c r="C17491" s="12" t="str">
        <f ca="1">IFERROR(__xludf.DUMMYFUNCTION("""COMPUTED_VALUE"""),"")</f>
        <v/>
      </c>
      <c r="D17491" s="12" t="str">
        <f ca="1">IFERROR(__xludf.DUMMYFUNCTION("""COMPUTED_VALUE"""),"")</f>
        <v/>
      </c>
    </row>
    <row r="17492" spans="2:4" ht="13">
      <c r="B17492" s="12" t="str">
        <f ca="1">IFERROR(__xludf.DUMMYFUNCTION("""COMPUTED_VALUE"""),"")</f>
        <v/>
      </c>
      <c r="C17492" s="12" t="str">
        <f ca="1">IFERROR(__xludf.DUMMYFUNCTION("""COMPUTED_VALUE"""),"")</f>
        <v/>
      </c>
      <c r="D17492" s="12" t="str">
        <f ca="1">IFERROR(__xludf.DUMMYFUNCTION("""COMPUTED_VALUE"""),"")</f>
        <v/>
      </c>
    </row>
    <row r="17493" spans="2:4" ht="13">
      <c r="B17493" s="12" t="str">
        <f ca="1">IFERROR(__xludf.DUMMYFUNCTION("""COMPUTED_VALUE"""),"")</f>
        <v/>
      </c>
      <c r="C17493" s="12" t="str">
        <f ca="1">IFERROR(__xludf.DUMMYFUNCTION("""COMPUTED_VALUE"""),"")</f>
        <v/>
      </c>
      <c r="D17493" s="12" t="str">
        <f ca="1">IFERROR(__xludf.DUMMYFUNCTION("""COMPUTED_VALUE"""),"")</f>
        <v/>
      </c>
    </row>
    <row r="17494" spans="2:4" ht="13">
      <c r="B17494" s="12" t="str">
        <f ca="1">IFERROR(__xludf.DUMMYFUNCTION("""COMPUTED_VALUE"""),"")</f>
        <v/>
      </c>
      <c r="C17494" s="12" t="str">
        <f ca="1">IFERROR(__xludf.DUMMYFUNCTION("""COMPUTED_VALUE"""),"")</f>
        <v/>
      </c>
      <c r="D17494" s="12" t="str">
        <f ca="1">IFERROR(__xludf.DUMMYFUNCTION("""COMPUTED_VALUE"""),"")</f>
        <v/>
      </c>
    </row>
    <row r="17495" spans="2:4" ht="13">
      <c r="B17495" s="12" t="str">
        <f ca="1">IFERROR(__xludf.DUMMYFUNCTION("""COMPUTED_VALUE"""),"")</f>
        <v/>
      </c>
      <c r="C17495" s="12" t="str">
        <f ca="1">IFERROR(__xludf.DUMMYFUNCTION("""COMPUTED_VALUE"""),"")</f>
        <v/>
      </c>
      <c r="D17495" s="12" t="str">
        <f ca="1">IFERROR(__xludf.DUMMYFUNCTION("""COMPUTED_VALUE"""),"")</f>
        <v/>
      </c>
    </row>
    <row r="17496" spans="2:4" ht="13">
      <c r="B17496" s="12" t="str">
        <f ca="1">IFERROR(__xludf.DUMMYFUNCTION("""COMPUTED_VALUE"""),"")</f>
        <v/>
      </c>
      <c r="C17496" s="12" t="str">
        <f ca="1">IFERROR(__xludf.DUMMYFUNCTION("""COMPUTED_VALUE"""),"")</f>
        <v/>
      </c>
      <c r="D17496" s="12" t="str">
        <f ca="1">IFERROR(__xludf.DUMMYFUNCTION("""COMPUTED_VALUE"""),"")</f>
        <v/>
      </c>
    </row>
    <row r="17497" spans="2:4" ht="13">
      <c r="B17497" s="12" t="str">
        <f ca="1">IFERROR(__xludf.DUMMYFUNCTION("""COMPUTED_VALUE"""),"")</f>
        <v/>
      </c>
      <c r="C17497" s="12" t="str">
        <f ca="1">IFERROR(__xludf.DUMMYFUNCTION("""COMPUTED_VALUE"""),"")</f>
        <v/>
      </c>
      <c r="D17497" s="12" t="str">
        <f ca="1">IFERROR(__xludf.DUMMYFUNCTION("""COMPUTED_VALUE"""),"")</f>
        <v/>
      </c>
    </row>
    <row r="17498" spans="2:4" ht="13">
      <c r="B17498" s="12" t="str">
        <f ca="1">IFERROR(__xludf.DUMMYFUNCTION("""COMPUTED_VALUE"""),"")</f>
        <v/>
      </c>
      <c r="C17498" s="12" t="str">
        <f ca="1">IFERROR(__xludf.DUMMYFUNCTION("""COMPUTED_VALUE"""),"")</f>
        <v/>
      </c>
      <c r="D17498" s="12" t="str">
        <f ca="1">IFERROR(__xludf.DUMMYFUNCTION("""COMPUTED_VALUE"""),"")</f>
        <v/>
      </c>
    </row>
    <row r="17499" spans="2:4" ht="13">
      <c r="B17499" s="12" t="str">
        <f ca="1">IFERROR(__xludf.DUMMYFUNCTION("""COMPUTED_VALUE"""),"")</f>
        <v/>
      </c>
      <c r="C17499" s="12" t="str">
        <f ca="1">IFERROR(__xludf.DUMMYFUNCTION("""COMPUTED_VALUE"""),"")</f>
        <v/>
      </c>
      <c r="D17499" s="12" t="str">
        <f ca="1">IFERROR(__xludf.DUMMYFUNCTION("""COMPUTED_VALUE"""),"")</f>
        <v/>
      </c>
    </row>
    <row r="17500" spans="2:4" ht="13">
      <c r="B17500" s="12" t="str">
        <f ca="1">IFERROR(__xludf.DUMMYFUNCTION("""COMPUTED_VALUE"""),"")</f>
        <v/>
      </c>
      <c r="C17500" s="12" t="str">
        <f ca="1">IFERROR(__xludf.DUMMYFUNCTION("""COMPUTED_VALUE"""),"")</f>
        <v/>
      </c>
      <c r="D17500" s="12" t="str">
        <f ca="1">IFERROR(__xludf.DUMMYFUNCTION("""COMPUTED_VALUE"""),"")</f>
        <v/>
      </c>
    </row>
    <row r="17501" spans="2:4" ht="13">
      <c r="B17501" s="12" t="str">
        <f ca="1">IFERROR(__xludf.DUMMYFUNCTION("""COMPUTED_VALUE"""),"")</f>
        <v/>
      </c>
      <c r="C17501" s="12" t="str">
        <f ca="1">IFERROR(__xludf.DUMMYFUNCTION("""COMPUTED_VALUE"""),"")</f>
        <v/>
      </c>
      <c r="D17501" s="12" t="str">
        <f ca="1">IFERROR(__xludf.DUMMYFUNCTION("""COMPUTED_VALUE"""),"")</f>
        <v/>
      </c>
    </row>
    <row r="17502" spans="2:4" ht="13">
      <c r="B17502" s="12" t="str">
        <f ca="1">IFERROR(__xludf.DUMMYFUNCTION("""COMPUTED_VALUE"""),"")</f>
        <v/>
      </c>
      <c r="C17502" s="12" t="str">
        <f ca="1">IFERROR(__xludf.DUMMYFUNCTION("""COMPUTED_VALUE"""),"")</f>
        <v/>
      </c>
      <c r="D17502" s="12" t="str">
        <f ca="1">IFERROR(__xludf.DUMMYFUNCTION("""COMPUTED_VALUE"""),"")</f>
        <v/>
      </c>
    </row>
    <row r="17503" spans="2:4" ht="13">
      <c r="B17503" s="12" t="str">
        <f ca="1">IFERROR(__xludf.DUMMYFUNCTION("""COMPUTED_VALUE"""),"")</f>
        <v/>
      </c>
      <c r="C17503" s="12" t="str">
        <f ca="1">IFERROR(__xludf.DUMMYFUNCTION("""COMPUTED_VALUE"""),"")</f>
        <v/>
      </c>
      <c r="D17503" s="12" t="str">
        <f ca="1">IFERROR(__xludf.DUMMYFUNCTION("""COMPUTED_VALUE"""),"")</f>
        <v/>
      </c>
    </row>
    <row r="17504" spans="2:4" ht="13">
      <c r="B17504" s="12" t="str">
        <f ca="1">IFERROR(__xludf.DUMMYFUNCTION("""COMPUTED_VALUE"""),"")</f>
        <v/>
      </c>
      <c r="C17504" s="12" t="str">
        <f ca="1">IFERROR(__xludf.DUMMYFUNCTION("""COMPUTED_VALUE"""),"")</f>
        <v/>
      </c>
      <c r="D17504" s="12" t="str">
        <f ca="1">IFERROR(__xludf.DUMMYFUNCTION("""COMPUTED_VALUE"""),"")</f>
        <v/>
      </c>
    </row>
    <row r="17505" spans="2:4" ht="13">
      <c r="B17505" s="12" t="str">
        <f ca="1">IFERROR(__xludf.DUMMYFUNCTION("""COMPUTED_VALUE"""),"")</f>
        <v/>
      </c>
      <c r="C17505" s="12" t="str">
        <f ca="1">IFERROR(__xludf.DUMMYFUNCTION("""COMPUTED_VALUE"""),"")</f>
        <v/>
      </c>
      <c r="D17505" s="12" t="str">
        <f ca="1">IFERROR(__xludf.DUMMYFUNCTION("""COMPUTED_VALUE"""),"")</f>
        <v/>
      </c>
    </row>
    <row r="17506" spans="2:4" ht="13">
      <c r="B17506" s="12" t="str">
        <f ca="1">IFERROR(__xludf.DUMMYFUNCTION("""COMPUTED_VALUE"""),"")</f>
        <v/>
      </c>
      <c r="C17506" s="12" t="str">
        <f ca="1">IFERROR(__xludf.DUMMYFUNCTION("""COMPUTED_VALUE"""),"")</f>
        <v/>
      </c>
      <c r="D17506" s="12" t="str">
        <f ca="1">IFERROR(__xludf.DUMMYFUNCTION("""COMPUTED_VALUE"""),"")</f>
        <v/>
      </c>
    </row>
    <row r="17507" spans="2:4" ht="13">
      <c r="B17507" s="12" t="str">
        <f ca="1">IFERROR(__xludf.DUMMYFUNCTION("""COMPUTED_VALUE"""),"")</f>
        <v/>
      </c>
      <c r="C17507" s="12" t="str">
        <f ca="1">IFERROR(__xludf.DUMMYFUNCTION("""COMPUTED_VALUE"""),"")</f>
        <v/>
      </c>
      <c r="D17507" s="12" t="str">
        <f ca="1">IFERROR(__xludf.DUMMYFUNCTION("""COMPUTED_VALUE"""),"")</f>
        <v/>
      </c>
    </row>
    <row r="17508" spans="2:4" ht="13">
      <c r="B17508" s="12" t="str">
        <f ca="1">IFERROR(__xludf.DUMMYFUNCTION("""COMPUTED_VALUE"""),"")</f>
        <v/>
      </c>
      <c r="C17508" s="12" t="str">
        <f ca="1">IFERROR(__xludf.DUMMYFUNCTION("""COMPUTED_VALUE"""),"")</f>
        <v/>
      </c>
      <c r="D17508" s="12" t="str">
        <f ca="1">IFERROR(__xludf.DUMMYFUNCTION("""COMPUTED_VALUE"""),"")</f>
        <v/>
      </c>
    </row>
    <row r="17509" spans="2:4" ht="13">
      <c r="B17509" s="12" t="str">
        <f ca="1">IFERROR(__xludf.DUMMYFUNCTION("""COMPUTED_VALUE"""),"")</f>
        <v/>
      </c>
      <c r="C17509" s="12" t="str">
        <f ca="1">IFERROR(__xludf.DUMMYFUNCTION("""COMPUTED_VALUE"""),"")</f>
        <v/>
      </c>
      <c r="D17509" s="12" t="str">
        <f ca="1">IFERROR(__xludf.DUMMYFUNCTION("""COMPUTED_VALUE"""),"")</f>
        <v/>
      </c>
    </row>
    <row r="17510" spans="2:4" ht="13">
      <c r="B17510" s="12" t="str">
        <f ca="1">IFERROR(__xludf.DUMMYFUNCTION("""COMPUTED_VALUE"""),"")</f>
        <v/>
      </c>
      <c r="C17510" s="12" t="str">
        <f ca="1">IFERROR(__xludf.DUMMYFUNCTION("""COMPUTED_VALUE"""),"")</f>
        <v/>
      </c>
      <c r="D17510" s="12" t="str">
        <f ca="1">IFERROR(__xludf.DUMMYFUNCTION("""COMPUTED_VALUE"""),"")</f>
        <v/>
      </c>
    </row>
    <row r="17511" spans="2:4" ht="13">
      <c r="B17511" s="12" t="str">
        <f ca="1">IFERROR(__xludf.DUMMYFUNCTION("""COMPUTED_VALUE"""),"")</f>
        <v/>
      </c>
      <c r="C17511" s="12" t="str">
        <f ca="1">IFERROR(__xludf.DUMMYFUNCTION("""COMPUTED_VALUE"""),"")</f>
        <v/>
      </c>
      <c r="D17511" s="12" t="str">
        <f ca="1">IFERROR(__xludf.DUMMYFUNCTION("""COMPUTED_VALUE"""),"")</f>
        <v/>
      </c>
    </row>
    <row r="17512" spans="2:4" ht="13">
      <c r="B17512" s="12" t="str">
        <f ca="1">IFERROR(__xludf.DUMMYFUNCTION("""COMPUTED_VALUE"""),"")</f>
        <v/>
      </c>
      <c r="C17512" s="12" t="str">
        <f ca="1">IFERROR(__xludf.DUMMYFUNCTION("""COMPUTED_VALUE"""),"")</f>
        <v/>
      </c>
      <c r="D17512" s="12" t="str">
        <f ca="1">IFERROR(__xludf.DUMMYFUNCTION("""COMPUTED_VALUE"""),"")</f>
        <v/>
      </c>
    </row>
    <row r="17513" spans="2:4" ht="13">
      <c r="B17513" s="12" t="str">
        <f ca="1">IFERROR(__xludf.DUMMYFUNCTION("""COMPUTED_VALUE"""),"")</f>
        <v/>
      </c>
      <c r="C17513" s="12" t="str">
        <f ca="1">IFERROR(__xludf.DUMMYFUNCTION("""COMPUTED_VALUE"""),"")</f>
        <v/>
      </c>
      <c r="D17513" s="12" t="str">
        <f ca="1">IFERROR(__xludf.DUMMYFUNCTION("""COMPUTED_VALUE"""),"")</f>
        <v/>
      </c>
    </row>
    <row r="17514" spans="2:4" ht="13">
      <c r="B17514" s="12" t="str">
        <f ca="1">IFERROR(__xludf.DUMMYFUNCTION("""COMPUTED_VALUE"""),"")</f>
        <v/>
      </c>
      <c r="C17514" s="12" t="str">
        <f ca="1">IFERROR(__xludf.DUMMYFUNCTION("""COMPUTED_VALUE"""),"")</f>
        <v/>
      </c>
      <c r="D17514" s="12" t="str">
        <f ca="1">IFERROR(__xludf.DUMMYFUNCTION("""COMPUTED_VALUE"""),"")</f>
        <v/>
      </c>
    </row>
    <row r="17515" spans="2:4" ht="13">
      <c r="B17515" s="12" t="str">
        <f ca="1">IFERROR(__xludf.DUMMYFUNCTION("""COMPUTED_VALUE"""),"")</f>
        <v/>
      </c>
      <c r="C17515" s="12" t="str">
        <f ca="1">IFERROR(__xludf.DUMMYFUNCTION("""COMPUTED_VALUE"""),"")</f>
        <v/>
      </c>
      <c r="D17515" s="12" t="str">
        <f ca="1">IFERROR(__xludf.DUMMYFUNCTION("""COMPUTED_VALUE"""),"")</f>
        <v/>
      </c>
    </row>
    <row r="17516" spans="2:4" ht="13">
      <c r="B17516" s="12" t="str">
        <f ca="1">IFERROR(__xludf.DUMMYFUNCTION("""COMPUTED_VALUE"""),"")</f>
        <v/>
      </c>
      <c r="C17516" s="12" t="str">
        <f ca="1">IFERROR(__xludf.DUMMYFUNCTION("""COMPUTED_VALUE"""),"")</f>
        <v/>
      </c>
      <c r="D17516" s="12" t="str">
        <f ca="1">IFERROR(__xludf.DUMMYFUNCTION("""COMPUTED_VALUE"""),"")</f>
        <v/>
      </c>
    </row>
    <row r="17517" spans="2:4" ht="13">
      <c r="B17517" s="12" t="str">
        <f ca="1">IFERROR(__xludf.DUMMYFUNCTION("""COMPUTED_VALUE"""),"")</f>
        <v/>
      </c>
      <c r="C17517" s="12" t="str">
        <f ca="1">IFERROR(__xludf.DUMMYFUNCTION("""COMPUTED_VALUE"""),"")</f>
        <v/>
      </c>
      <c r="D17517" s="12" t="str">
        <f ca="1">IFERROR(__xludf.DUMMYFUNCTION("""COMPUTED_VALUE"""),"")</f>
        <v/>
      </c>
    </row>
    <row r="17518" spans="2:4" ht="13">
      <c r="B17518" s="12" t="str">
        <f ca="1">IFERROR(__xludf.DUMMYFUNCTION("""COMPUTED_VALUE"""),"")</f>
        <v/>
      </c>
      <c r="C17518" s="12" t="str">
        <f ca="1">IFERROR(__xludf.DUMMYFUNCTION("""COMPUTED_VALUE"""),"")</f>
        <v/>
      </c>
      <c r="D17518" s="12" t="str">
        <f ca="1">IFERROR(__xludf.DUMMYFUNCTION("""COMPUTED_VALUE"""),"")</f>
        <v/>
      </c>
    </row>
    <row r="17519" spans="2:4" ht="13">
      <c r="B17519" s="12" t="str">
        <f ca="1">IFERROR(__xludf.DUMMYFUNCTION("""COMPUTED_VALUE"""),"")</f>
        <v/>
      </c>
      <c r="C17519" s="12" t="str">
        <f ca="1">IFERROR(__xludf.DUMMYFUNCTION("""COMPUTED_VALUE"""),"")</f>
        <v/>
      </c>
      <c r="D17519" s="12" t="str">
        <f ca="1">IFERROR(__xludf.DUMMYFUNCTION("""COMPUTED_VALUE"""),"")</f>
        <v/>
      </c>
    </row>
    <row r="17520" spans="2:4" ht="13">
      <c r="B17520" s="12" t="str">
        <f ca="1">IFERROR(__xludf.DUMMYFUNCTION("""COMPUTED_VALUE"""),"")</f>
        <v/>
      </c>
      <c r="C17520" s="12" t="str">
        <f ca="1">IFERROR(__xludf.DUMMYFUNCTION("""COMPUTED_VALUE"""),"")</f>
        <v/>
      </c>
      <c r="D17520" s="12" t="str">
        <f ca="1">IFERROR(__xludf.DUMMYFUNCTION("""COMPUTED_VALUE"""),"")</f>
        <v/>
      </c>
    </row>
    <row r="17521" spans="2:4" ht="13">
      <c r="B17521" s="12" t="str">
        <f ca="1">IFERROR(__xludf.DUMMYFUNCTION("""COMPUTED_VALUE"""),"")</f>
        <v/>
      </c>
      <c r="C17521" s="12" t="str">
        <f ca="1">IFERROR(__xludf.DUMMYFUNCTION("""COMPUTED_VALUE"""),"")</f>
        <v/>
      </c>
      <c r="D17521" s="12" t="str">
        <f ca="1">IFERROR(__xludf.DUMMYFUNCTION("""COMPUTED_VALUE"""),"")</f>
        <v/>
      </c>
    </row>
    <row r="17522" spans="2:4" ht="13">
      <c r="B17522" s="12" t="str">
        <f ca="1">IFERROR(__xludf.DUMMYFUNCTION("""COMPUTED_VALUE"""),"")</f>
        <v/>
      </c>
      <c r="C17522" s="12" t="str">
        <f ca="1">IFERROR(__xludf.DUMMYFUNCTION("""COMPUTED_VALUE"""),"")</f>
        <v/>
      </c>
      <c r="D17522" s="12" t="str">
        <f ca="1">IFERROR(__xludf.DUMMYFUNCTION("""COMPUTED_VALUE"""),"")</f>
        <v/>
      </c>
    </row>
    <row r="17523" spans="2:4" ht="13">
      <c r="B17523" s="12" t="str">
        <f ca="1">IFERROR(__xludf.DUMMYFUNCTION("""COMPUTED_VALUE"""),"")</f>
        <v/>
      </c>
      <c r="C17523" s="12" t="str">
        <f ca="1">IFERROR(__xludf.DUMMYFUNCTION("""COMPUTED_VALUE"""),"")</f>
        <v/>
      </c>
      <c r="D17523" s="12" t="str">
        <f ca="1">IFERROR(__xludf.DUMMYFUNCTION("""COMPUTED_VALUE"""),"")</f>
        <v/>
      </c>
    </row>
    <row r="17524" spans="2:4" ht="13">
      <c r="B17524" s="12" t="str">
        <f ca="1">IFERROR(__xludf.DUMMYFUNCTION("""COMPUTED_VALUE"""),"")</f>
        <v/>
      </c>
      <c r="C17524" s="12" t="str">
        <f ca="1">IFERROR(__xludf.DUMMYFUNCTION("""COMPUTED_VALUE"""),"")</f>
        <v/>
      </c>
      <c r="D17524" s="12" t="str">
        <f ca="1">IFERROR(__xludf.DUMMYFUNCTION("""COMPUTED_VALUE"""),"")</f>
        <v/>
      </c>
    </row>
    <row r="17525" spans="2:4" ht="13">
      <c r="B17525" s="12" t="str">
        <f ca="1">IFERROR(__xludf.DUMMYFUNCTION("""COMPUTED_VALUE"""),"")</f>
        <v/>
      </c>
      <c r="C17525" s="12" t="str">
        <f ca="1">IFERROR(__xludf.DUMMYFUNCTION("""COMPUTED_VALUE"""),"")</f>
        <v/>
      </c>
      <c r="D17525" s="12" t="str">
        <f ca="1">IFERROR(__xludf.DUMMYFUNCTION("""COMPUTED_VALUE"""),"")</f>
        <v/>
      </c>
    </row>
    <row r="17526" spans="2:4" ht="13">
      <c r="B17526" s="12" t="str">
        <f ca="1">IFERROR(__xludf.DUMMYFUNCTION("""COMPUTED_VALUE"""),"")</f>
        <v/>
      </c>
      <c r="C17526" s="12" t="str">
        <f ca="1">IFERROR(__xludf.DUMMYFUNCTION("""COMPUTED_VALUE"""),"")</f>
        <v/>
      </c>
      <c r="D17526" s="12" t="str">
        <f ca="1">IFERROR(__xludf.DUMMYFUNCTION("""COMPUTED_VALUE"""),"")</f>
        <v/>
      </c>
    </row>
    <row r="17527" spans="2:4" ht="13">
      <c r="B17527" s="12" t="str">
        <f ca="1">IFERROR(__xludf.DUMMYFUNCTION("""COMPUTED_VALUE"""),"")</f>
        <v/>
      </c>
      <c r="C17527" s="12" t="str">
        <f ca="1">IFERROR(__xludf.DUMMYFUNCTION("""COMPUTED_VALUE"""),"")</f>
        <v/>
      </c>
      <c r="D17527" s="12" t="str">
        <f ca="1">IFERROR(__xludf.DUMMYFUNCTION("""COMPUTED_VALUE"""),"")</f>
        <v/>
      </c>
    </row>
    <row r="17528" spans="2:4" ht="13">
      <c r="B17528" s="12" t="str">
        <f ca="1">IFERROR(__xludf.DUMMYFUNCTION("""COMPUTED_VALUE"""),"")</f>
        <v/>
      </c>
      <c r="C17528" s="12" t="str">
        <f ca="1">IFERROR(__xludf.DUMMYFUNCTION("""COMPUTED_VALUE"""),"")</f>
        <v/>
      </c>
      <c r="D17528" s="12" t="str">
        <f ca="1">IFERROR(__xludf.DUMMYFUNCTION("""COMPUTED_VALUE"""),"")</f>
        <v/>
      </c>
    </row>
    <row r="17529" spans="2:4" ht="13">
      <c r="B17529" s="12" t="str">
        <f ca="1">IFERROR(__xludf.DUMMYFUNCTION("""COMPUTED_VALUE"""),"")</f>
        <v/>
      </c>
      <c r="C17529" s="12" t="str">
        <f ca="1">IFERROR(__xludf.DUMMYFUNCTION("""COMPUTED_VALUE"""),"")</f>
        <v/>
      </c>
      <c r="D17529" s="12" t="str">
        <f ca="1">IFERROR(__xludf.DUMMYFUNCTION("""COMPUTED_VALUE"""),"")</f>
        <v/>
      </c>
    </row>
    <row r="17530" spans="2:4" ht="13">
      <c r="B17530" s="12" t="str">
        <f ca="1">IFERROR(__xludf.DUMMYFUNCTION("""COMPUTED_VALUE"""),"")</f>
        <v/>
      </c>
      <c r="C17530" s="12" t="str">
        <f ca="1">IFERROR(__xludf.DUMMYFUNCTION("""COMPUTED_VALUE"""),"")</f>
        <v/>
      </c>
      <c r="D17530" s="12" t="str">
        <f ca="1">IFERROR(__xludf.DUMMYFUNCTION("""COMPUTED_VALUE"""),"")</f>
        <v/>
      </c>
    </row>
    <row r="17531" spans="2:4" ht="13">
      <c r="B17531" s="12" t="str">
        <f ca="1">IFERROR(__xludf.DUMMYFUNCTION("""COMPUTED_VALUE"""),"")</f>
        <v/>
      </c>
      <c r="C17531" s="12" t="str">
        <f ca="1">IFERROR(__xludf.DUMMYFUNCTION("""COMPUTED_VALUE"""),"")</f>
        <v/>
      </c>
      <c r="D17531" s="12" t="str">
        <f ca="1">IFERROR(__xludf.DUMMYFUNCTION("""COMPUTED_VALUE"""),"")</f>
        <v/>
      </c>
    </row>
    <row r="17532" spans="2:4" ht="13">
      <c r="B17532" s="12" t="str">
        <f ca="1">IFERROR(__xludf.DUMMYFUNCTION("""COMPUTED_VALUE"""),"")</f>
        <v/>
      </c>
      <c r="C17532" s="12" t="str">
        <f ca="1">IFERROR(__xludf.DUMMYFUNCTION("""COMPUTED_VALUE"""),"")</f>
        <v/>
      </c>
      <c r="D17532" s="12" t="str">
        <f ca="1">IFERROR(__xludf.DUMMYFUNCTION("""COMPUTED_VALUE"""),"")</f>
        <v/>
      </c>
    </row>
    <row r="17533" spans="2:4" ht="13">
      <c r="B17533" s="12" t="str">
        <f ca="1">IFERROR(__xludf.DUMMYFUNCTION("""COMPUTED_VALUE"""),"")</f>
        <v/>
      </c>
      <c r="C17533" s="12" t="str">
        <f ca="1">IFERROR(__xludf.DUMMYFUNCTION("""COMPUTED_VALUE"""),"")</f>
        <v/>
      </c>
      <c r="D17533" s="12" t="str">
        <f ca="1">IFERROR(__xludf.DUMMYFUNCTION("""COMPUTED_VALUE"""),"")</f>
        <v/>
      </c>
    </row>
    <row r="17534" spans="2:4" ht="13">
      <c r="B17534" s="12" t="str">
        <f ca="1">IFERROR(__xludf.DUMMYFUNCTION("""COMPUTED_VALUE"""),"")</f>
        <v/>
      </c>
      <c r="C17534" s="12" t="str">
        <f ca="1">IFERROR(__xludf.DUMMYFUNCTION("""COMPUTED_VALUE"""),"")</f>
        <v/>
      </c>
      <c r="D17534" s="12" t="str">
        <f ca="1">IFERROR(__xludf.DUMMYFUNCTION("""COMPUTED_VALUE"""),"")</f>
        <v/>
      </c>
    </row>
    <row r="17535" spans="2:4" ht="13">
      <c r="B17535" s="12" t="str">
        <f ca="1">IFERROR(__xludf.DUMMYFUNCTION("""COMPUTED_VALUE"""),"")</f>
        <v/>
      </c>
      <c r="C17535" s="12" t="str">
        <f ca="1">IFERROR(__xludf.DUMMYFUNCTION("""COMPUTED_VALUE"""),"")</f>
        <v/>
      </c>
      <c r="D17535" s="12" t="str">
        <f ca="1">IFERROR(__xludf.DUMMYFUNCTION("""COMPUTED_VALUE"""),"")</f>
        <v/>
      </c>
    </row>
    <row r="17536" spans="2:4" ht="13">
      <c r="B17536" s="12" t="str">
        <f ca="1">IFERROR(__xludf.DUMMYFUNCTION("""COMPUTED_VALUE"""),"")</f>
        <v/>
      </c>
      <c r="C17536" s="12" t="str">
        <f ca="1">IFERROR(__xludf.DUMMYFUNCTION("""COMPUTED_VALUE"""),"")</f>
        <v/>
      </c>
      <c r="D17536" s="12" t="str">
        <f ca="1">IFERROR(__xludf.DUMMYFUNCTION("""COMPUTED_VALUE"""),"")</f>
        <v/>
      </c>
    </row>
    <row r="17537" spans="2:4" ht="13">
      <c r="B17537" s="12" t="str">
        <f ca="1">IFERROR(__xludf.DUMMYFUNCTION("""COMPUTED_VALUE"""),"")</f>
        <v/>
      </c>
      <c r="C17537" s="12" t="str">
        <f ca="1">IFERROR(__xludf.DUMMYFUNCTION("""COMPUTED_VALUE"""),"")</f>
        <v/>
      </c>
      <c r="D17537" s="12" t="str">
        <f ca="1">IFERROR(__xludf.DUMMYFUNCTION("""COMPUTED_VALUE"""),"")</f>
        <v/>
      </c>
    </row>
    <row r="17538" spans="2:4" ht="13">
      <c r="B17538" s="12" t="str">
        <f ca="1">IFERROR(__xludf.DUMMYFUNCTION("""COMPUTED_VALUE"""),"")</f>
        <v/>
      </c>
      <c r="C17538" s="12" t="str">
        <f ca="1">IFERROR(__xludf.DUMMYFUNCTION("""COMPUTED_VALUE"""),"")</f>
        <v/>
      </c>
      <c r="D17538" s="12" t="str">
        <f ca="1">IFERROR(__xludf.DUMMYFUNCTION("""COMPUTED_VALUE"""),"")</f>
        <v/>
      </c>
    </row>
    <row r="17539" spans="2:4" ht="13">
      <c r="B17539" s="12" t="str">
        <f ca="1">IFERROR(__xludf.DUMMYFUNCTION("""COMPUTED_VALUE"""),"")</f>
        <v/>
      </c>
      <c r="C17539" s="12" t="str">
        <f ca="1">IFERROR(__xludf.DUMMYFUNCTION("""COMPUTED_VALUE"""),"")</f>
        <v/>
      </c>
      <c r="D17539" s="12" t="str">
        <f ca="1">IFERROR(__xludf.DUMMYFUNCTION("""COMPUTED_VALUE"""),"")</f>
        <v/>
      </c>
    </row>
    <row r="17540" spans="2:4" ht="13">
      <c r="B17540" s="12" t="str">
        <f ca="1">IFERROR(__xludf.DUMMYFUNCTION("""COMPUTED_VALUE"""),"")</f>
        <v/>
      </c>
      <c r="C17540" s="12" t="str">
        <f ca="1">IFERROR(__xludf.DUMMYFUNCTION("""COMPUTED_VALUE"""),"")</f>
        <v/>
      </c>
      <c r="D17540" s="12" t="str">
        <f ca="1">IFERROR(__xludf.DUMMYFUNCTION("""COMPUTED_VALUE"""),"")</f>
        <v/>
      </c>
    </row>
    <row r="17541" spans="2:4" ht="13">
      <c r="B17541" s="12" t="str">
        <f ca="1">IFERROR(__xludf.DUMMYFUNCTION("""COMPUTED_VALUE"""),"")</f>
        <v/>
      </c>
      <c r="C17541" s="12" t="str">
        <f ca="1">IFERROR(__xludf.DUMMYFUNCTION("""COMPUTED_VALUE"""),"")</f>
        <v/>
      </c>
      <c r="D17541" s="12" t="str">
        <f ca="1">IFERROR(__xludf.DUMMYFUNCTION("""COMPUTED_VALUE"""),"")</f>
        <v/>
      </c>
    </row>
    <row r="17542" spans="2:4" ht="13">
      <c r="B17542" s="12" t="str">
        <f ca="1">IFERROR(__xludf.DUMMYFUNCTION("""COMPUTED_VALUE"""),"")</f>
        <v/>
      </c>
      <c r="C17542" s="12" t="str">
        <f ca="1">IFERROR(__xludf.DUMMYFUNCTION("""COMPUTED_VALUE"""),"")</f>
        <v/>
      </c>
      <c r="D17542" s="12" t="str">
        <f ca="1">IFERROR(__xludf.DUMMYFUNCTION("""COMPUTED_VALUE"""),"")</f>
        <v/>
      </c>
    </row>
    <row r="17543" spans="2:4" ht="13">
      <c r="B17543" s="12" t="str">
        <f ca="1">IFERROR(__xludf.DUMMYFUNCTION("""COMPUTED_VALUE"""),"")</f>
        <v/>
      </c>
      <c r="C17543" s="12" t="str">
        <f ca="1">IFERROR(__xludf.DUMMYFUNCTION("""COMPUTED_VALUE"""),"")</f>
        <v/>
      </c>
      <c r="D17543" s="12" t="str">
        <f ca="1">IFERROR(__xludf.DUMMYFUNCTION("""COMPUTED_VALUE"""),"")</f>
        <v/>
      </c>
    </row>
    <row r="17544" spans="2:4" ht="13">
      <c r="B17544" s="12" t="str">
        <f ca="1">IFERROR(__xludf.DUMMYFUNCTION("""COMPUTED_VALUE"""),"")</f>
        <v/>
      </c>
      <c r="C17544" s="12" t="str">
        <f ca="1">IFERROR(__xludf.DUMMYFUNCTION("""COMPUTED_VALUE"""),"")</f>
        <v/>
      </c>
      <c r="D17544" s="12" t="str">
        <f ca="1">IFERROR(__xludf.DUMMYFUNCTION("""COMPUTED_VALUE"""),"")</f>
        <v/>
      </c>
    </row>
    <row r="17545" spans="2:4" ht="13">
      <c r="B17545" s="12" t="str">
        <f ca="1">IFERROR(__xludf.DUMMYFUNCTION("""COMPUTED_VALUE"""),"")</f>
        <v/>
      </c>
      <c r="C17545" s="12" t="str">
        <f ca="1">IFERROR(__xludf.DUMMYFUNCTION("""COMPUTED_VALUE"""),"")</f>
        <v/>
      </c>
      <c r="D17545" s="12" t="str">
        <f ca="1">IFERROR(__xludf.DUMMYFUNCTION("""COMPUTED_VALUE"""),"")</f>
        <v/>
      </c>
    </row>
    <row r="17546" spans="2:4" ht="13">
      <c r="B17546" s="12" t="str">
        <f ca="1">IFERROR(__xludf.DUMMYFUNCTION("""COMPUTED_VALUE"""),"")</f>
        <v/>
      </c>
      <c r="C17546" s="12" t="str">
        <f ca="1">IFERROR(__xludf.DUMMYFUNCTION("""COMPUTED_VALUE"""),"")</f>
        <v/>
      </c>
      <c r="D17546" s="12" t="str">
        <f ca="1">IFERROR(__xludf.DUMMYFUNCTION("""COMPUTED_VALUE"""),"")</f>
        <v/>
      </c>
    </row>
    <row r="17547" spans="2:4" ht="13">
      <c r="B17547" s="12" t="str">
        <f ca="1">IFERROR(__xludf.DUMMYFUNCTION("""COMPUTED_VALUE"""),"")</f>
        <v/>
      </c>
      <c r="C17547" s="12" t="str">
        <f ca="1">IFERROR(__xludf.DUMMYFUNCTION("""COMPUTED_VALUE"""),"")</f>
        <v/>
      </c>
      <c r="D17547" s="12" t="str">
        <f ca="1">IFERROR(__xludf.DUMMYFUNCTION("""COMPUTED_VALUE"""),"")</f>
        <v/>
      </c>
    </row>
    <row r="17548" spans="2:4" ht="13">
      <c r="B17548" s="12" t="str">
        <f ca="1">IFERROR(__xludf.DUMMYFUNCTION("""COMPUTED_VALUE"""),"")</f>
        <v/>
      </c>
      <c r="C17548" s="12" t="str">
        <f ca="1">IFERROR(__xludf.DUMMYFUNCTION("""COMPUTED_VALUE"""),"")</f>
        <v/>
      </c>
      <c r="D17548" s="12" t="str">
        <f ca="1">IFERROR(__xludf.DUMMYFUNCTION("""COMPUTED_VALUE"""),"")</f>
        <v/>
      </c>
    </row>
    <row r="17549" spans="2:4" ht="13">
      <c r="B17549" s="12" t="str">
        <f ca="1">IFERROR(__xludf.DUMMYFUNCTION("""COMPUTED_VALUE"""),"")</f>
        <v/>
      </c>
      <c r="C17549" s="12" t="str">
        <f ca="1">IFERROR(__xludf.DUMMYFUNCTION("""COMPUTED_VALUE"""),"")</f>
        <v/>
      </c>
      <c r="D17549" s="12" t="str">
        <f ca="1">IFERROR(__xludf.DUMMYFUNCTION("""COMPUTED_VALUE"""),"")</f>
        <v/>
      </c>
    </row>
    <row r="17550" spans="2:4" ht="13">
      <c r="B17550" s="12" t="str">
        <f ca="1">IFERROR(__xludf.DUMMYFUNCTION("""COMPUTED_VALUE"""),"")</f>
        <v/>
      </c>
      <c r="C17550" s="12" t="str">
        <f ca="1">IFERROR(__xludf.DUMMYFUNCTION("""COMPUTED_VALUE"""),"")</f>
        <v/>
      </c>
      <c r="D17550" s="12" t="str">
        <f ca="1">IFERROR(__xludf.DUMMYFUNCTION("""COMPUTED_VALUE"""),"")</f>
        <v/>
      </c>
    </row>
    <row r="17551" spans="2:4" ht="13">
      <c r="B17551" s="12" t="str">
        <f ca="1">IFERROR(__xludf.DUMMYFUNCTION("""COMPUTED_VALUE"""),"")</f>
        <v/>
      </c>
      <c r="C17551" s="12" t="str">
        <f ca="1">IFERROR(__xludf.DUMMYFUNCTION("""COMPUTED_VALUE"""),"")</f>
        <v/>
      </c>
      <c r="D17551" s="12" t="str">
        <f ca="1">IFERROR(__xludf.DUMMYFUNCTION("""COMPUTED_VALUE"""),"")</f>
        <v/>
      </c>
    </row>
    <row r="17552" spans="2:4" ht="13">
      <c r="B17552" s="12" t="str">
        <f ca="1">IFERROR(__xludf.DUMMYFUNCTION("""COMPUTED_VALUE"""),"")</f>
        <v/>
      </c>
      <c r="C17552" s="12" t="str">
        <f ca="1">IFERROR(__xludf.DUMMYFUNCTION("""COMPUTED_VALUE"""),"")</f>
        <v/>
      </c>
      <c r="D17552" s="12" t="str">
        <f ca="1">IFERROR(__xludf.DUMMYFUNCTION("""COMPUTED_VALUE"""),"")</f>
        <v/>
      </c>
    </row>
    <row r="17553" spans="2:4" ht="13">
      <c r="B17553" s="12" t="str">
        <f ca="1">IFERROR(__xludf.DUMMYFUNCTION("""COMPUTED_VALUE"""),"")</f>
        <v/>
      </c>
      <c r="C17553" s="12" t="str">
        <f ca="1">IFERROR(__xludf.DUMMYFUNCTION("""COMPUTED_VALUE"""),"")</f>
        <v/>
      </c>
      <c r="D17553" s="12" t="str">
        <f ca="1">IFERROR(__xludf.DUMMYFUNCTION("""COMPUTED_VALUE"""),"")</f>
        <v/>
      </c>
    </row>
    <row r="17554" spans="2:4" ht="13">
      <c r="B17554" s="12" t="str">
        <f ca="1">IFERROR(__xludf.DUMMYFUNCTION("""COMPUTED_VALUE"""),"")</f>
        <v/>
      </c>
      <c r="C17554" s="12" t="str">
        <f ca="1">IFERROR(__xludf.DUMMYFUNCTION("""COMPUTED_VALUE"""),"")</f>
        <v/>
      </c>
      <c r="D17554" s="12" t="str">
        <f ca="1">IFERROR(__xludf.DUMMYFUNCTION("""COMPUTED_VALUE"""),"")</f>
        <v/>
      </c>
    </row>
    <row r="17555" spans="2:4" ht="13">
      <c r="B17555" s="12" t="str">
        <f ca="1">IFERROR(__xludf.DUMMYFUNCTION("""COMPUTED_VALUE"""),"")</f>
        <v/>
      </c>
      <c r="C17555" s="12" t="str">
        <f ca="1">IFERROR(__xludf.DUMMYFUNCTION("""COMPUTED_VALUE"""),"")</f>
        <v/>
      </c>
      <c r="D17555" s="12" t="str">
        <f ca="1">IFERROR(__xludf.DUMMYFUNCTION("""COMPUTED_VALUE"""),"")</f>
        <v/>
      </c>
    </row>
    <row r="17556" spans="2:4" ht="13">
      <c r="B17556" s="12" t="str">
        <f ca="1">IFERROR(__xludf.DUMMYFUNCTION("""COMPUTED_VALUE"""),"")</f>
        <v/>
      </c>
      <c r="C17556" s="12" t="str">
        <f ca="1">IFERROR(__xludf.DUMMYFUNCTION("""COMPUTED_VALUE"""),"")</f>
        <v/>
      </c>
      <c r="D17556" s="12" t="str">
        <f ca="1">IFERROR(__xludf.DUMMYFUNCTION("""COMPUTED_VALUE"""),"")</f>
        <v/>
      </c>
    </row>
    <row r="17557" spans="2:4" ht="13">
      <c r="B17557" s="12" t="str">
        <f ca="1">IFERROR(__xludf.DUMMYFUNCTION("""COMPUTED_VALUE"""),"")</f>
        <v/>
      </c>
      <c r="C17557" s="12" t="str">
        <f ca="1">IFERROR(__xludf.DUMMYFUNCTION("""COMPUTED_VALUE"""),"")</f>
        <v/>
      </c>
      <c r="D17557" s="12" t="str">
        <f ca="1">IFERROR(__xludf.DUMMYFUNCTION("""COMPUTED_VALUE"""),"")</f>
        <v/>
      </c>
    </row>
    <row r="17558" spans="2:4" ht="13">
      <c r="B17558" s="12" t="str">
        <f ca="1">IFERROR(__xludf.DUMMYFUNCTION("""COMPUTED_VALUE"""),"")</f>
        <v/>
      </c>
      <c r="C17558" s="12" t="str">
        <f ca="1">IFERROR(__xludf.DUMMYFUNCTION("""COMPUTED_VALUE"""),"")</f>
        <v/>
      </c>
      <c r="D17558" s="12" t="str">
        <f ca="1">IFERROR(__xludf.DUMMYFUNCTION("""COMPUTED_VALUE"""),"")</f>
        <v/>
      </c>
    </row>
    <row r="17559" spans="2:4" ht="13">
      <c r="B17559" s="12" t="str">
        <f ca="1">IFERROR(__xludf.DUMMYFUNCTION("""COMPUTED_VALUE"""),"")</f>
        <v/>
      </c>
      <c r="C17559" s="12" t="str">
        <f ca="1">IFERROR(__xludf.DUMMYFUNCTION("""COMPUTED_VALUE"""),"")</f>
        <v/>
      </c>
      <c r="D17559" s="12" t="str">
        <f ca="1">IFERROR(__xludf.DUMMYFUNCTION("""COMPUTED_VALUE"""),"")</f>
        <v/>
      </c>
    </row>
    <row r="17560" spans="2:4" ht="13">
      <c r="B17560" s="12" t="str">
        <f ca="1">IFERROR(__xludf.DUMMYFUNCTION("""COMPUTED_VALUE"""),"")</f>
        <v/>
      </c>
      <c r="C17560" s="12" t="str">
        <f ca="1">IFERROR(__xludf.DUMMYFUNCTION("""COMPUTED_VALUE"""),"")</f>
        <v/>
      </c>
      <c r="D17560" s="12" t="str">
        <f ca="1">IFERROR(__xludf.DUMMYFUNCTION("""COMPUTED_VALUE"""),"")</f>
        <v/>
      </c>
    </row>
    <row r="17561" spans="2:4" ht="13">
      <c r="B17561" s="12" t="str">
        <f ca="1">IFERROR(__xludf.DUMMYFUNCTION("""COMPUTED_VALUE"""),"")</f>
        <v/>
      </c>
      <c r="C17561" s="12" t="str">
        <f ca="1">IFERROR(__xludf.DUMMYFUNCTION("""COMPUTED_VALUE"""),"")</f>
        <v/>
      </c>
      <c r="D17561" s="12" t="str">
        <f ca="1">IFERROR(__xludf.DUMMYFUNCTION("""COMPUTED_VALUE"""),"")</f>
        <v/>
      </c>
    </row>
    <row r="17562" spans="2:4" ht="13">
      <c r="B17562" s="12" t="str">
        <f ca="1">IFERROR(__xludf.DUMMYFUNCTION("""COMPUTED_VALUE"""),"")</f>
        <v/>
      </c>
      <c r="C17562" s="12" t="str">
        <f ca="1">IFERROR(__xludf.DUMMYFUNCTION("""COMPUTED_VALUE"""),"")</f>
        <v/>
      </c>
      <c r="D17562" s="12" t="str">
        <f ca="1">IFERROR(__xludf.DUMMYFUNCTION("""COMPUTED_VALUE"""),"")</f>
        <v/>
      </c>
    </row>
    <row r="17563" spans="2:4" ht="13">
      <c r="B17563" s="12" t="str">
        <f ca="1">IFERROR(__xludf.DUMMYFUNCTION("""COMPUTED_VALUE"""),"")</f>
        <v/>
      </c>
      <c r="C17563" s="12" t="str">
        <f ca="1">IFERROR(__xludf.DUMMYFUNCTION("""COMPUTED_VALUE"""),"")</f>
        <v/>
      </c>
      <c r="D17563" s="12" t="str">
        <f ca="1">IFERROR(__xludf.DUMMYFUNCTION("""COMPUTED_VALUE"""),"")</f>
        <v/>
      </c>
    </row>
    <row r="17564" spans="2:4" ht="13">
      <c r="B17564" s="12" t="str">
        <f ca="1">IFERROR(__xludf.DUMMYFUNCTION("""COMPUTED_VALUE"""),"")</f>
        <v/>
      </c>
      <c r="C17564" s="12" t="str">
        <f ca="1">IFERROR(__xludf.DUMMYFUNCTION("""COMPUTED_VALUE"""),"")</f>
        <v/>
      </c>
      <c r="D17564" s="12" t="str">
        <f ca="1">IFERROR(__xludf.DUMMYFUNCTION("""COMPUTED_VALUE"""),"")</f>
        <v/>
      </c>
    </row>
    <row r="17565" spans="2:4" ht="13">
      <c r="B17565" s="12" t="str">
        <f ca="1">IFERROR(__xludf.DUMMYFUNCTION("""COMPUTED_VALUE"""),"")</f>
        <v/>
      </c>
      <c r="C17565" s="12" t="str">
        <f ca="1">IFERROR(__xludf.DUMMYFUNCTION("""COMPUTED_VALUE"""),"")</f>
        <v/>
      </c>
      <c r="D17565" s="12" t="str">
        <f ca="1">IFERROR(__xludf.DUMMYFUNCTION("""COMPUTED_VALUE"""),"")</f>
        <v/>
      </c>
    </row>
    <row r="17566" spans="2:4" ht="13">
      <c r="B17566" s="12" t="str">
        <f ca="1">IFERROR(__xludf.DUMMYFUNCTION("""COMPUTED_VALUE"""),"")</f>
        <v/>
      </c>
      <c r="C17566" s="12" t="str">
        <f ca="1">IFERROR(__xludf.DUMMYFUNCTION("""COMPUTED_VALUE"""),"")</f>
        <v/>
      </c>
      <c r="D17566" s="12" t="str">
        <f ca="1">IFERROR(__xludf.DUMMYFUNCTION("""COMPUTED_VALUE"""),"")</f>
        <v/>
      </c>
    </row>
    <row r="17567" spans="2:4" ht="13">
      <c r="B17567" s="12" t="str">
        <f ca="1">IFERROR(__xludf.DUMMYFUNCTION("""COMPUTED_VALUE"""),"")</f>
        <v/>
      </c>
      <c r="C17567" s="12" t="str">
        <f ca="1">IFERROR(__xludf.DUMMYFUNCTION("""COMPUTED_VALUE"""),"")</f>
        <v/>
      </c>
      <c r="D17567" s="12" t="str">
        <f ca="1">IFERROR(__xludf.DUMMYFUNCTION("""COMPUTED_VALUE"""),"")</f>
        <v/>
      </c>
    </row>
    <row r="17568" spans="2:4" ht="13">
      <c r="B17568" s="12" t="str">
        <f ca="1">IFERROR(__xludf.DUMMYFUNCTION("""COMPUTED_VALUE"""),"")</f>
        <v/>
      </c>
      <c r="C17568" s="12" t="str">
        <f ca="1">IFERROR(__xludf.DUMMYFUNCTION("""COMPUTED_VALUE"""),"")</f>
        <v/>
      </c>
      <c r="D17568" s="12" t="str">
        <f ca="1">IFERROR(__xludf.DUMMYFUNCTION("""COMPUTED_VALUE"""),"")</f>
        <v/>
      </c>
    </row>
    <row r="17569" spans="2:4" ht="13">
      <c r="B17569" s="12" t="str">
        <f ca="1">IFERROR(__xludf.DUMMYFUNCTION("""COMPUTED_VALUE"""),"")</f>
        <v/>
      </c>
      <c r="C17569" s="12" t="str">
        <f ca="1">IFERROR(__xludf.DUMMYFUNCTION("""COMPUTED_VALUE"""),"")</f>
        <v/>
      </c>
      <c r="D17569" s="12" t="str">
        <f ca="1">IFERROR(__xludf.DUMMYFUNCTION("""COMPUTED_VALUE"""),"")</f>
        <v/>
      </c>
    </row>
    <row r="17570" spans="2:4" ht="13">
      <c r="B17570" s="12" t="str">
        <f ca="1">IFERROR(__xludf.DUMMYFUNCTION("""COMPUTED_VALUE"""),"")</f>
        <v/>
      </c>
      <c r="C17570" s="12" t="str">
        <f ca="1">IFERROR(__xludf.DUMMYFUNCTION("""COMPUTED_VALUE"""),"")</f>
        <v/>
      </c>
      <c r="D17570" s="12" t="str">
        <f ca="1">IFERROR(__xludf.DUMMYFUNCTION("""COMPUTED_VALUE"""),"")</f>
        <v/>
      </c>
    </row>
    <row r="17571" spans="2:4" ht="13">
      <c r="B17571" s="12" t="str">
        <f ca="1">IFERROR(__xludf.DUMMYFUNCTION("""COMPUTED_VALUE"""),"")</f>
        <v/>
      </c>
      <c r="C17571" s="12" t="str">
        <f ca="1">IFERROR(__xludf.DUMMYFUNCTION("""COMPUTED_VALUE"""),"")</f>
        <v/>
      </c>
      <c r="D17571" s="12" t="str">
        <f ca="1">IFERROR(__xludf.DUMMYFUNCTION("""COMPUTED_VALUE"""),"")</f>
        <v/>
      </c>
    </row>
    <row r="17572" spans="2:4" ht="13">
      <c r="B17572" s="12" t="str">
        <f ca="1">IFERROR(__xludf.DUMMYFUNCTION("""COMPUTED_VALUE"""),"")</f>
        <v/>
      </c>
      <c r="C17572" s="12" t="str">
        <f ca="1">IFERROR(__xludf.DUMMYFUNCTION("""COMPUTED_VALUE"""),"")</f>
        <v/>
      </c>
      <c r="D17572" s="12" t="str">
        <f ca="1">IFERROR(__xludf.DUMMYFUNCTION("""COMPUTED_VALUE"""),"")</f>
        <v/>
      </c>
    </row>
    <row r="17573" spans="2:4" ht="13">
      <c r="B17573" s="12" t="str">
        <f ca="1">IFERROR(__xludf.DUMMYFUNCTION("""COMPUTED_VALUE"""),"")</f>
        <v/>
      </c>
      <c r="C17573" s="12" t="str">
        <f ca="1">IFERROR(__xludf.DUMMYFUNCTION("""COMPUTED_VALUE"""),"")</f>
        <v/>
      </c>
      <c r="D17573" s="12" t="str">
        <f ca="1">IFERROR(__xludf.DUMMYFUNCTION("""COMPUTED_VALUE"""),"")</f>
        <v/>
      </c>
    </row>
    <row r="17574" spans="2:4" ht="13">
      <c r="B17574" s="12" t="str">
        <f ca="1">IFERROR(__xludf.DUMMYFUNCTION("""COMPUTED_VALUE"""),"")</f>
        <v/>
      </c>
      <c r="C17574" s="12" t="str">
        <f ca="1">IFERROR(__xludf.DUMMYFUNCTION("""COMPUTED_VALUE"""),"")</f>
        <v/>
      </c>
      <c r="D17574" s="12" t="str">
        <f ca="1">IFERROR(__xludf.DUMMYFUNCTION("""COMPUTED_VALUE"""),"")</f>
        <v/>
      </c>
    </row>
    <row r="17575" spans="2:4" ht="13">
      <c r="B17575" s="12" t="str">
        <f ca="1">IFERROR(__xludf.DUMMYFUNCTION("""COMPUTED_VALUE"""),"")</f>
        <v/>
      </c>
      <c r="C17575" s="12" t="str">
        <f ca="1">IFERROR(__xludf.DUMMYFUNCTION("""COMPUTED_VALUE"""),"")</f>
        <v/>
      </c>
      <c r="D17575" s="12" t="str">
        <f ca="1">IFERROR(__xludf.DUMMYFUNCTION("""COMPUTED_VALUE"""),"")</f>
        <v/>
      </c>
    </row>
    <row r="17576" spans="2:4" ht="13">
      <c r="B17576" s="12" t="str">
        <f ca="1">IFERROR(__xludf.DUMMYFUNCTION("""COMPUTED_VALUE"""),"")</f>
        <v/>
      </c>
      <c r="C17576" s="12" t="str">
        <f ca="1">IFERROR(__xludf.DUMMYFUNCTION("""COMPUTED_VALUE"""),"")</f>
        <v/>
      </c>
      <c r="D17576" s="12" t="str">
        <f ca="1">IFERROR(__xludf.DUMMYFUNCTION("""COMPUTED_VALUE"""),"")</f>
        <v/>
      </c>
    </row>
    <row r="17577" spans="2:4" ht="13">
      <c r="B17577" s="12" t="str">
        <f ca="1">IFERROR(__xludf.DUMMYFUNCTION("""COMPUTED_VALUE"""),"")</f>
        <v/>
      </c>
      <c r="C17577" s="12" t="str">
        <f ca="1">IFERROR(__xludf.DUMMYFUNCTION("""COMPUTED_VALUE"""),"")</f>
        <v/>
      </c>
      <c r="D17577" s="12" t="str">
        <f ca="1">IFERROR(__xludf.DUMMYFUNCTION("""COMPUTED_VALUE"""),"")</f>
        <v/>
      </c>
    </row>
    <row r="17578" spans="2:4" ht="13">
      <c r="B17578" s="12" t="str">
        <f ca="1">IFERROR(__xludf.DUMMYFUNCTION("""COMPUTED_VALUE"""),"")</f>
        <v/>
      </c>
      <c r="C17578" s="12" t="str">
        <f ca="1">IFERROR(__xludf.DUMMYFUNCTION("""COMPUTED_VALUE"""),"")</f>
        <v/>
      </c>
      <c r="D17578" s="12" t="str">
        <f ca="1">IFERROR(__xludf.DUMMYFUNCTION("""COMPUTED_VALUE"""),"")</f>
        <v/>
      </c>
    </row>
    <row r="17579" spans="2:4" ht="13">
      <c r="B17579" s="12" t="str">
        <f ca="1">IFERROR(__xludf.DUMMYFUNCTION("""COMPUTED_VALUE"""),"")</f>
        <v/>
      </c>
      <c r="C17579" s="12" t="str">
        <f ca="1">IFERROR(__xludf.DUMMYFUNCTION("""COMPUTED_VALUE"""),"")</f>
        <v/>
      </c>
      <c r="D17579" s="12" t="str">
        <f ca="1">IFERROR(__xludf.DUMMYFUNCTION("""COMPUTED_VALUE"""),"")</f>
        <v/>
      </c>
    </row>
    <row r="17580" spans="2:4" ht="13">
      <c r="B17580" s="12" t="str">
        <f ca="1">IFERROR(__xludf.DUMMYFUNCTION("""COMPUTED_VALUE"""),"")</f>
        <v/>
      </c>
      <c r="C17580" s="12" t="str">
        <f ca="1">IFERROR(__xludf.DUMMYFUNCTION("""COMPUTED_VALUE"""),"")</f>
        <v/>
      </c>
      <c r="D17580" s="12" t="str">
        <f ca="1">IFERROR(__xludf.DUMMYFUNCTION("""COMPUTED_VALUE"""),"")</f>
        <v/>
      </c>
    </row>
    <row r="17581" spans="2:4" ht="13">
      <c r="B17581" s="12" t="str">
        <f ca="1">IFERROR(__xludf.DUMMYFUNCTION("""COMPUTED_VALUE"""),"")</f>
        <v/>
      </c>
      <c r="C17581" s="12" t="str">
        <f ca="1">IFERROR(__xludf.DUMMYFUNCTION("""COMPUTED_VALUE"""),"")</f>
        <v/>
      </c>
      <c r="D17581" s="12" t="str">
        <f ca="1">IFERROR(__xludf.DUMMYFUNCTION("""COMPUTED_VALUE"""),"")</f>
        <v/>
      </c>
    </row>
    <row r="17582" spans="2:4" ht="13">
      <c r="B17582" s="12" t="str">
        <f ca="1">IFERROR(__xludf.DUMMYFUNCTION("""COMPUTED_VALUE"""),"")</f>
        <v/>
      </c>
      <c r="C17582" s="12" t="str">
        <f ca="1">IFERROR(__xludf.DUMMYFUNCTION("""COMPUTED_VALUE"""),"")</f>
        <v/>
      </c>
      <c r="D17582" s="12" t="str">
        <f ca="1">IFERROR(__xludf.DUMMYFUNCTION("""COMPUTED_VALUE"""),"")</f>
        <v/>
      </c>
    </row>
    <row r="17583" spans="2:4" ht="13">
      <c r="B17583" s="12" t="str">
        <f ca="1">IFERROR(__xludf.DUMMYFUNCTION("""COMPUTED_VALUE"""),"")</f>
        <v/>
      </c>
      <c r="C17583" s="12" t="str">
        <f ca="1">IFERROR(__xludf.DUMMYFUNCTION("""COMPUTED_VALUE"""),"")</f>
        <v/>
      </c>
      <c r="D17583" s="12" t="str">
        <f ca="1">IFERROR(__xludf.DUMMYFUNCTION("""COMPUTED_VALUE"""),"")</f>
        <v/>
      </c>
    </row>
    <row r="17584" spans="2:4" ht="13">
      <c r="B17584" s="12" t="str">
        <f ca="1">IFERROR(__xludf.DUMMYFUNCTION("""COMPUTED_VALUE"""),"")</f>
        <v/>
      </c>
      <c r="C17584" s="12" t="str">
        <f ca="1">IFERROR(__xludf.DUMMYFUNCTION("""COMPUTED_VALUE"""),"")</f>
        <v/>
      </c>
      <c r="D17584" s="12" t="str">
        <f ca="1">IFERROR(__xludf.DUMMYFUNCTION("""COMPUTED_VALUE"""),"")</f>
        <v/>
      </c>
    </row>
    <row r="17585" spans="2:4" ht="13">
      <c r="B17585" s="12" t="str">
        <f ca="1">IFERROR(__xludf.DUMMYFUNCTION("""COMPUTED_VALUE"""),"")</f>
        <v/>
      </c>
      <c r="C17585" s="12" t="str">
        <f ca="1">IFERROR(__xludf.DUMMYFUNCTION("""COMPUTED_VALUE"""),"")</f>
        <v/>
      </c>
      <c r="D17585" s="12" t="str">
        <f ca="1">IFERROR(__xludf.DUMMYFUNCTION("""COMPUTED_VALUE"""),"")</f>
        <v/>
      </c>
    </row>
    <row r="17586" spans="2:4" ht="13">
      <c r="B17586" s="12" t="str">
        <f ca="1">IFERROR(__xludf.DUMMYFUNCTION("""COMPUTED_VALUE"""),"")</f>
        <v/>
      </c>
      <c r="C17586" s="12" t="str">
        <f ca="1">IFERROR(__xludf.DUMMYFUNCTION("""COMPUTED_VALUE"""),"")</f>
        <v/>
      </c>
      <c r="D17586" s="12" t="str">
        <f ca="1">IFERROR(__xludf.DUMMYFUNCTION("""COMPUTED_VALUE"""),"")</f>
        <v/>
      </c>
    </row>
    <row r="17587" spans="2:4" ht="13">
      <c r="B17587" s="12" t="str">
        <f ca="1">IFERROR(__xludf.DUMMYFUNCTION("""COMPUTED_VALUE"""),"")</f>
        <v/>
      </c>
      <c r="C17587" s="12" t="str">
        <f ca="1">IFERROR(__xludf.DUMMYFUNCTION("""COMPUTED_VALUE"""),"")</f>
        <v/>
      </c>
      <c r="D17587" s="12" t="str">
        <f ca="1">IFERROR(__xludf.DUMMYFUNCTION("""COMPUTED_VALUE"""),"")</f>
        <v/>
      </c>
    </row>
    <row r="17588" spans="2:4" ht="13">
      <c r="B17588" s="12" t="str">
        <f ca="1">IFERROR(__xludf.DUMMYFUNCTION("""COMPUTED_VALUE"""),"")</f>
        <v/>
      </c>
      <c r="C17588" s="12" t="str">
        <f ca="1">IFERROR(__xludf.DUMMYFUNCTION("""COMPUTED_VALUE"""),"")</f>
        <v/>
      </c>
      <c r="D17588" s="12" t="str">
        <f ca="1">IFERROR(__xludf.DUMMYFUNCTION("""COMPUTED_VALUE"""),"")</f>
        <v/>
      </c>
    </row>
    <row r="17589" spans="2:4" ht="13">
      <c r="B17589" s="12" t="str">
        <f ca="1">IFERROR(__xludf.DUMMYFUNCTION("""COMPUTED_VALUE"""),"")</f>
        <v/>
      </c>
      <c r="C17589" s="12" t="str">
        <f ca="1">IFERROR(__xludf.DUMMYFUNCTION("""COMPUTED_VALUE"""),"")</f>
        <v/>
      </c>
      <c r="D17589" s="12" t="str">
        <f ca="1">IFERROR(__xludf.DUMMYFUNCTION("""COMPUTED_VALUE"""),"")</f>
        <v/>
      </c>
    </row>
    <row r="17590" spans="2:4" ht="13">
      <c r="B17590" s="12" t="str">
        <f ca="1">IFERROR(__xludf.DUMMYFUNCTION("""COMPUTED_VALUE"""),"")</f>
        <v/>
      </c>
      <c r="C17590" s="12" t="str">
        <f ca="1">IFERROR(__xludf.DUMMYFUNCTION("""COMPUTED_VALUE"""),"")</f>
        <v/>
      </c>
      <c r="D17590" s="12" t="str">
        <f ca="1">IFERROR(__xludf.DUMMYFUNCTION("""COMPUTED_VALUE"""),"")</f>
        <v/>
      </c>
    </row>
    <row r="17591" spans="2:4" ht="13">
      <c r="B17591" s="12" t="str">
        <f ca="1">IFERROR(__xludf.DUMMYFUNCTION("""COMPUTED_VALUE"""),"")</f>
        <v/>
      </c>
      <c r="C17591" s="12" t="str">
        <f ca="1">IFERROR(__xludf.DUMMYFUNCTION("""COMPUTED_VALUE"""),"")</f>
        <v/>
      </c>
      <c r="D17591" s="12" t="str">
        <f ca="1">IFERROR(__xludf.DUMMYFUNCTION("""COMPUTED_VALUE"""),"")</f>
        <v/>
      </c>
    </row>
    <row r="17592" spans="2:4" ht="13">
      <c r="B17592" s="12" t="str">
        <f ca="1">IFERROR(__xludf.DUMMYFUNCTION("""COMPUTED_VALUE"""),"")</f>
        <v/>
      </c>
      <c r="C17592" s="12" t="str">
        <f ca="1">IFERROR(__xludf.DUMMYFUNCTION("""COMPUTED_VALUE"""),"")</f>
        <v/>
      </c>
      <c r="D17592" s="12" t="str">
        <f ca="1">IFERROR(__xludf.DUMMYFUNCTION("""COMPUTED_VALUE"""),"")</f>
        <v/>
      </c>
    </row>
    <row r="17593" spans="2:4" ht="13">
      <c r="B17593" s="12" t="str">
        <f ca="1">IFERROR(__xludf.DUMMYFUNCTION("""COMPUTED_VALUE"""),"")</f>
        <v/>
      </c>
      <c r="C17593" s="12" t="str">
        <f ca="1">IFERROR(__xludf.DUMMYFUNCTION("""COMPUTED_VALUE"""),"")</f>
        <v/>
      </c>
      <c r="D17593" s="12" t="str">
        <f ca="1">IFERROR(__xludf.DUMMYFUNCTION("""COMPUTED_VALUE"""),"")</f>
        <v/>
      </c>
    </row>
    <row r="17594" spans="2:4" ht="13">
      <c r="B17594" s="12" t="str">
        <f ca="1">IFERROR(__xludf.DUMMYFUNCTION("""COMPUTED_VALUE"""),"")</f>
        <v/>
      </c>
      <c r="C17594" s="12" t="str">
        <f ca="1">IFERROR(__xludf.DUMMYFUNCTION("""COMPUTED_VALUE"""),"")</f>
        <v/>
      </c>
      <c r="D17594" s="12" t="str">
        <f ca="1">IFERROR(__xludf.DUMMYFUNCTION("""COMPUTED_VALUE"""),"")</f>
        <v/>
      </c>
    </row>
    <row r="17595" spans="2:4" ht="13">
      <c r="B17595" s="12" t="str">
        <f ca="1">IFERROR(__xludf.DUMMYFUNCTION("""COMPUTED_VALUE"""),"")</f>
        <v/>
      </c>
      <c r="C17595" s="12" t="str">
        <f ca="1">IFERROR(__xludf.DUMMYFUNCTION("""COMPUTED_VALUE"""),"")</f>
        <v/>
      </c>
      <c r="D17595" s="12" t="str">
        <f ca="1">IFERROR(__xludf.DUMMYFUNCTION("""COMPUTED_VALUE"""),"")</f>
        <v/>
      </c>
    </row>
    <row r="17596" spans="2:4" ht="13">
      <c r="B17596" s="12" t="str">
        <f ca="1">IFERROR(__xludf.DUMMYFUNCTION("""COMPUTED_VALUE"""),"")</f>
        <v/>
      </c>
      <c r="C17596" s="12" t="str">
        <f ca="1">IFERROR(__xludf.DUMMYFUNCTION("""COMPUTED_VALUE"""),"")</f>
        <v/>
      </c>
      <c r="D17596" s="12" t="str">
        <f ca="1">IFERROR(__xludf.DUMMYFUNCTION("""COMPUTED_VALUE"""),"")</f>
        <v/>
      </c>
    </row>
    <row r="17597" spans="2:4" ht="13">
      <c r="B17597" s="12" t="str">
        <f ca="1">IFERROR(__xludf.DUMMYFUNCTION("""COMPUTED_VALUE"""),"")</f>
        <v/>
      </c>
      <c r="C17597" s="12" t="str">
        <f ca="1">IFERROR(__xludf.DUMMYFUNCTION("""COMPUTED_VALUE"""),"")</f>
        <v/>
      </c>
      <c r="D17597" s="12" t="str">
        <f ca="1">IFERROR(__xludf.DUMMYFUNCTION("""COMPUTED_VALUE"""),"")</f>
        <v/>
      </c>
    </row>
    <row r="17598" spans="2:4" ht="13">
      <c r="B17598" s="12" t="str">
        <f ca="1">IFERROR(__xludf.DUMMYFUNCTION("""COMPUTED_VALUE"""),"")</f>
        <v/>
      </c>
      <c r="C17598" s="12" t="str">
        <f ca="1">IFERROR(__xludf.DUMMYFUNCTION("""COMPUTED_VALUE"""),"")</f>
        <v/>
      </c>
      <c r="D17598" s="12" t="str">
        <f ca="1">IFERROR(__xludf.DUMMYFUNCTION("""COMPUTED_VALUE"""),"")</f>
        <v/>
      </c>
    </row>
    <row r="17599" spans="2:4" ht="13">
      <c r="B17599" s="12" t="str">
        <f ca="1">IFERROR(__xludf.DUMMYFUNCTION("""COMPUTED_VALUE"""),"")</f>
        <v/>
      </c>
      <c r="C17599" s="12" t="str">
        <f ca="1">IFERROR(__xludf.DUMMYFUNCTION("""COMPUTED_VALUE"""),"")</f>
        <v/>
      </c>
      <c r="D17599" s="12" t="str">
        <f ca="1">IFERROR(__xludf.DUMMYFUNCTION("""COMPUTED_VALUE"""),"")</f>
        <v/>
      </c>
    </row>
    <row r="17600" spans="2:4" ht="13">
      <c r="B17600" s="12" t="str">
        <f ca="1">IFERROR(__xludf.DUMMYFUNCTION("""COMPUTED_VALUE"""),"")</f>
        <v/>
      </c>
      <c r="C17600" s="12" t="str">
        <f ca="1">IFERROR(__xludf.DUMMYFUNCTION("""COMPUTED_VALUE"""),"")</f>
        <v/>
      </c>
      <c r="D17600" s="12" t="str">
        <f ca="1">IFERROR(__xludf.DUMMYFUNCTION("""COMPUTED_VALUE"""),"")</f>
        <v/>
      </c>
    </row>
    <row r="17601" spans="2:4" ht="13">
      <c r="B17601" s="12" t="str">
        <f ca="1">IFERROR(__xludf.DUMMYFUNCTION("""COMPUTED_VALUE"""),"")</f>
        <v/>
      </c>
      <c r="C17601" s="12" t="str">
        <f ca="1">IFERROR(__xludf.DUMMYFUNCTION("""COMPUTED_VALUE"""),"")</f>
        <v/>
      </c>
      <c r="D17601" s="12" t="str">
        <f ca="1">IFERROR(__xludf.DUMMYFUNCTION("""COMPUTED_VALUE"""),"")</f>
        <v/>
      </c>
    </row>
    <row r="17602" spans="2:4" ht="13">
      <c r="B17602" s="12" t="str">
        <f ca="1">IFERROR(__xludf.DUMMYFUNCTION("""COMPUTED_VALUE"""),"")</f>
        <v/>
      </c>
      <c r="C17602" s="12" t="str">
        <f ca="1">IFERROR(__xludf.DUMMYFUNCTION("""COMPUTED_VALUE"""),"")</f>
        <v/>
      </c>
      <c r="D17602" s="12" t="str">
        <f ca="1">IFERROR(__xludf.DUMMYFUNCTION("""COMPUTED_VALUE"""),"")</f>
        <v/>
      </c>
    </row>
    <row r="17603" spans="2:4" ht="13">
      <c r="B17603" s="12" t="str">
        <f ca="1">IFERROR(__xludf.DUMMYFUNCTION("""COMPUTED_VALUE"""),"")</f>
        <v/>
      </c>
      <c r="C17603" s="12" t="str">
        <f ca="1">IFERROR(__xludf.DUMMYFUNCTION("""COMPUTED_VALUE"""),"")</f>
        <v/>
      </c>
      <c r="D17603" s="12" t="str">
        <f ca="1">IFERROR(__xludf.DUMMYFUNCTION("""COMPUTED_VALUE"""),"")</f>
        <v/>
      </c>
    </row>
    <row r="17604" spans="2:4" ht="13">
      <c r="B17604" s="12" t="str">
        <f ca="1">IFERROR(__xludf.DUMMYFUNCTION("""COMPUTED_VALUE"""),"")</f>
        <v/>
      </c>
      <c r="C17604" s="12" t="str">
        <f ca="1">IFERROR(__xludf.DUMMYFUNCTION("""COMPUTED_VALUE"""),"")</f>
        <v/>
      </c>
      <c r="D17604" s="12" t="str">
        <f ca="1">IFERROR(__xludf.DUMMYFUNCTION("""COMPUTED_VALUE"""),"")</f>
        <v/>
      </c>
    </row>
    <row r="17605" spans="2:4" ht="13">
      <c r="B17605" s="12" t="str">
        <f ca="1">IFERROR(__xludf.DUMMYFUNCTION("""COMPUTED_VALUE"""),"")</f>
        <v/>
      </c>
      <c r="C17605" s="12" t="str">
        <f ca="1">IFERROR(__xludf.DUMMYFUNCTION("""COMPUTED_VALUE"""),"")</f>
        <v/>
      </c>
      <c r="D17605" s="12" t="str">
        <f ca="1">IFERROR(__xludf.DUMMYFUNCTION("""COMPUTED_VALUE"""),"")</f>
        <v/>
      </c>
    </row>
    <row r="17606" spans="2:4" ht="13">
      <c r="B17606" s="12" t="str">
        <f ca="1">IFERROR(__xludf.DUMMYFUNCTION("""COMPUTED_VALUE"""),"")</f>
        <v/>
      </c>
      <c r="C17606" s="12" t="str">
        <f ca="1">IFERROR(__xludf.DUMMYFUNCTION("""COMPUTED_VALUE"""),"")</f>
        <v/>
      </c>
      <c r="D17606" s="12" t="str">
        <f ca="1">IFERROR(__xludf.DUMMYFUNCTION("""COMPUTED_VALUE"""),"")</f>
        <v/>
      </c>
    </row>
    <row r="17607" spans="2:4" ht="13">
      <c r="B17607" s="12" t="str">
        <f ca="1">IFERROR(__xludf.DUMMYFUNCTION("""COMPUTED_VALUE"""),"")</f>
        <v/>
      </c>
      <c r="C17607" s="12" t="str">
        <f ca="1">IFERROR(__xludf.DUMMYFUNCTION("""COMPUTED_VALUE"""),"")</f>
        <v/>
      </c>
      <c r="D17607" s="12" t="str">
        <f ca="1">IFERROR(__xludf.DUMMYFUNCTION("""COMPUTED_VALUE"""),"")</f>
        <v/>
      </c>
    </row>
    <row r="17608" spans="2:4" ht="13">
      <c r="B17608" s="12" t="str">
        <f ca="1">IFERROR(__xludf.DUMMYFUNCTION("""COMPUTED_VALUE"""),"")</f>
        <v/>
      </c>
      <c r="C17608" s="12" t="str">
        <f ca="1">IFERROR(__xludf.DUMMYFUNCTION("""COMPUTED_VALUE"""),"")</f>
        <v/>
      </c>
      <c r="D17608" s="12" t="str">
        <f ca="1">IFERROR(__xludf.DUMMYFUNCTION("""COMPUTED_VALUE"""),"")</f>
        <v/>
      </c>
    </row>
    <row r="17609" spans="2:4" ht="13">
      <c r="B17609" s="12" t="str">
        <f ca="1">IFERROR(__xludf.DUMMYFUNCTION("""COMPUTED_VALUE"""),"")</f>
        <v/>
      </c>
      <c r="C17609" s="12" t="str">
        <f ca="1">IFERROR(__xludf.DUMMYFUNCTION("""COMPUTED_VALUE"""),"")</f>
        <v/>
      </c>
      <c r="D17609" s="12" t="str">
        <f ca="1">IFERROR(__xludf.DUMMYFUNCTION("""COMPUTED_VALUE"""),"")</f>
        <v/>
      </c>
    </row>
    <row r="17610" spans="2:4" ht="13">
      <c r="B17610" s="12" t="str">
        <f ca="1">IFERROR(__xludf.DUMMYFUNCTION("""COMPUTED_VALUE"""),"")</f>
        <v/>
      </c>
      <c r="C17610" s="12" t="str">
        <f ca="1">IFERROR(__xludf.DUMMYFUNCTION("""COMPUTED_VALUE"""),"")</f>
        <v/>
      </c>
      <c r="D17610" s="12" t="str">
        <f ca="1">IFERROR(__xludf.DUMMYFUNCTION("""COMPUTED_VALUE"""),"")</f>
        <v/>
      </c>
    </row>
    <row r="17611" spans="2:4" ht="13">
      <c r="B17611" s="12" t="str">
        <f ca="1">IFERROR(__xludf.DUMMYFUNCTION("""COMPUTED_VALUE"""),"")</f>
        <v/>
      </c>
      <c r="C17611" s="12" t="str">
        <f ca="1">IFERROR(__xludf.DUMMYFUNCTION("""COMPUTED_VALUE"""),"")</f>
        <v/>
      </c>
      <c r="D17611" s="12" t="str">
        <f ca="1">IFERROR(__xludf.DUMMYFUNCTION("""COMPUTED_VALUE"""),"")</f>
        <v/>
      </c>
    </row>
    <row r="17612" spans="2:4" ht="13">
      <c r="B17612" s="12" t="str">
        <f ca="1">IFERROR(__xludf.DUMMYFUNCTION("""COMPUTED_VALUE"""),"")</f>
        <v/>
      </c>
      <c r="C17612" s="12" t="str">
        <f ca="1">IFERROR(__xludf.DUMMYFUNCTION("""COMPUTED_VALUE"""),"")</f>
        <v/>
      </c>
      <c r="D17612" s="12" t="str">
        <f ca="1">IFERROR(__xludf.DUMMYFUNCTION("""COMPUTED_VALUE"""),"")</f>
        <v/>
      </c>
    </row>
    <row r="17613" spans="2:4" ht="13">
      <c r="B17613" s="12" t="str">
        <f ca="1">IFERROR(__xludf.DUMMYFUNCTION("""COMPUTED_VALUE"""),"")</f>
        <v/>
      </c>
      <c r="C17613" s="12" t="str">
        <f ca="1">IFERROR(__xludf.DUMMYFUNCTION("""COMPUTED_VALUE"""),"")</f>
        <v/>
      </c>
      <c r="D17613" s="12" t="str">
        <f ca="1">IFERROR(__xludf.DUMMYFUNCTION("""COMPUTED_VALUE"""),"")</f>
        <v/>
      </c>
    </row>
    <row r="17614" spans="2:4" ht="13">
      <c r="B17614" s="12" t="str">
        <f ca="1">IFERROR(__xludf.DUMMYFUNCTION("""COMPUTED_VALUE"""),"")</f>
        <v/>
      </c>
      <c r="C17614" s="12" t="str">
        <f ca="1">IFERROR(__xludf.DUMMYFUNCTION("""COMPUTED_VALUE"""),"")</f>
        <v/>
      </c>
      <c r="D17614" s="12" t="str">
        <f ca="1">IFERROR(__xludf.DUMMYFUNCTION("""COMPUTED_VALUE"""),"")</f>
        <v/>
      </c>
    </row>
    <row r="17615" spans="2:4" ht="13">
      <c r="B17615" s="12" t="str">
        <f ca="1">IFERROR(__xludf.DUMMYFUNCTION("""COMPUTED_VALUE"""),"")</f>
        <v/>
      </c>
      <c r="C17615" s="12" t="str">
        <f ca="1">IFERROR(__xludf.DUMMYFUNCTION("""COMPUTED_VALUE"""),"")</f>
        <v/>
      </c>
      <c r="D17615" s="12" t="str">
        <f ca="1">IFERROR(__xludf.DUMMYFUNCTION("""COMPUTED_VALUE"""),"")</f>
        <v/>
      </c>
    </row>
    <row r="17616" spans="2:4" ht="13">
      <c r="B17616" s="12" t="str">
        <f ca="1">IFERROR(__xludf.DUMMYFUNCTION("""COMPUTED_VALUE"""),"")</f>
        <v/>
      </c>
      <c r="C17616" s="12" t="str">
        <f ca="1">IFERROR(__xludf.DUMMYFUNCTION("""COMPUTED_VALUE"""),"")</f>
        <v/>
      </c>
      <c r="D17616" s="12" t="str">
        <f ca="1">IFERROR(__xludf.DUMMYFUNCTION("""COMPUTED_VALUE"""),"")</f>
        <v/>
      </c>
    </row>
    <row r="17617" spans="2:4" ht="13">
      <c r="B17617" s="12" t="str">
        <f ca="1">IFERROR(__xludf.DUMMYFUNCTION("""COMPUTED_VALUE"""),"")</f>
        <v/>
      </c>
      <c r="C17617" s="12" t="str">
        <f ca="1">IFERROR(__xludf.DUMMYFUNCTION("""COMPUTED_VALUE"""),"")</f>
        <v/>
      </c>
      <c r="D17617" s="12" t="str">
        <f ca="1">IFERROR(__xludf.DUMMYFUNCTION("""COMPUTED_VALUE"""),"")</f>
        <v/>
      </c>
    </row>
    <row r="17618" spans="2:4" ht="13">
      <c r="B17618" s="12" t="str">
        <f ca="1">IFERROR(__xludf.DUMMYFUNCTION("""COMPUTED_VALUE"""),"")</f>
        <v/>
      </c>
      <c r="C17618" s="12" t="str">
        <f ca="1">IFERROR(__xludf.DUMMYFUNCTION("""COMPUTED_VALUE"""),"")</f>
        <v/>
      </c>
      <c r="D17618" s="12" t="str">
        <f ca="1">IFERROR(__xludf.DUMMYFUNCTION("""COMPUTED_VALUE"""),"")</f>
        <v/>
      </c>
    </row>
    <row r="17619" spans="2:4" ht="13">
      <c r="B17619" s="12" t="str">
        <f ca="1">IFERROR(__xludf.DUMMYFUNCTION("""COMPUTED_VALUE"""),"")</f>
        <v/>
      </c>
      <c r="C17619" s="12" t="str">
        <f ca="1">IFERROR(__xludf.DUMMYFUNCTION("""COMPUTED_VALUE"""),"")</f>
        <v/>
      </c>
      <c r="D17619" s="12" t="str">
        <f ca="1">IFERROR(__xludf.DUMMYFUNCTION("""COMPUTED_VALUE"""),"")</f>
        <v/>
      </c>
    </row>
    <row r="17620" spans="2:4" ht="13">
      <c r="B17620" s="12" t="str">
        <f ca="1">IFERROR(__xludf.DUMMYFUNCTION("""COMPUTED_VALUE"""),"")</f>
        <v/>
      </c>
      <c r="C17620" s="12" t="str">
        <f ca="1">IFERROR(__xludf.DUMMYFUNCTION("""COMPUTED_VALUE"""),"")</f>
        <v/>
      </c>
      <c r="D17620" s="12" t="str">
        <f ca="1">IFERROR(__xludf.DUMMYFUNCTION("""COMPUTED_VALUE"""),"")</f>
        <v/>
      </c>
    </row>
    <row r="17621" spans="2:4" ht="13">
      <c r="B17621" s="12" t="str">
        <f ca="1">IFERROR(__xludf.DUMMYFUNCTION("""COMPUTED_VALUE"""),"")</f>
        <v/>
      </c>
      <c r="C17621" s="12" t="str">
        <f ca="1">IFERROR(__xludf.DUMMYFUNCTION("""COMPUTED_VALUE"""),"")</f>
        <v/>
      </c>
      <c r="D17621" s="12" t="str">
        <f ca="1">IFERROR(__xludf.DUMMYFUNCTION("""COMPUTED_VALUE"""),"")</f>
        <v/>
      </c>
    </row>
    <row r="17622" spans="2:4" ht="13">
      <c r="B17622" s="12" t="str">
        <f ca="1">IFERROR(__xludf.DUMMYFUNCTION("""COMPUTED_VALUE"""),"")</f>
        <v/>
      </c>
      <c r="C17622" s="12" t="str">
        <f ca="1">IFERROR(__xludf.DUMMYFUNCTION("""COMPUTED_VALUE"""),"")</f>
        <v/>
      </c>
      <c r="D17622" s="12" t="str">
        <f ca="1">IFERROR(__xludf.DUMMYFUNCTION("""COMPUTED_VALUE"""),"")</f>
        <v/>
      </c>
    </row>
    <row r="17623" spans="2:4" ht="13">
      <c r="B17623" s="12" t="str">
        <f ca="1">IFERROR(__xludf.DUMMYFUNCTION("""COMPUTED_VALUE"""),"")</f>
        <v/>
      </c>
      <c r="C17623" s="12" t="str">
        <f ca="1">IFERROR(__xludf.DUMMYFUNCTION("""COMPUTED_VALUE"""),"")</f>
        <v/>
      </c>
      <c r="D17623" s="12" t="str">
        <f ca="1">IFERROR(__xludf.DUMMYFUNCTION("""COMPUTED_VALUE"""),"")</f>
        <v/>
      </c>
    </row>
    <row r="17624" spans="2:4" ht="13">
      <c r="B17624" s="12" t="str">
        <f ca="1">IFERROR(__xludf.DUMMYFUNCTION("""COMPUTED_VALUE"""),"")</f>
        <v/>
      </c>
      <c r="C17624" s="12" t="str">
        <f ca="1">IFERROR(__xludf.DUMMYFUNCTION("""COMPUTED_VALUE"""),"")</f>
        <v/>
      </c>
      <c r="D17624" s="12" t="str">
        <f ca="1">IFERROR(__xludf.DUMMYFUNCTION("""COMPUTED_VALUE"""),"")</f>
        <v/>
      </c>
    </row>
    <row r="17625" spans="2:4" ht="13">
      <c r="B17625" s="12" t="str">
        <f ca="1">IFERROR(__xludf.DUMMYFUNCTION("""COMPUTED_VALUE"""),"")</f>
        <v/>
      </c>
      <c r="C17625" s="12" t="str">
        <f ca="1">IFERROR(__xludf.DUMMYFUNCTION("""COMPUTED_VALUE"""),"")</f>
        <v/>
      </c>
      <c r="D17625" s="12" t="str">
        <f ca="1">IFERROR(__xludf.DUMMYFUNCTION("""COMPUTED_VALUE"""),"")</f>
        <v/>
      </c>
    </row>
    <row r="17626" spans="2:4" ht="13">
      <c r="B17626" s="12" t="str">
        <f ca="1">IFERROR(__xludf.DUMMYFUNCTION("""COMPUTED_VALUE"""),"")</f>
        <v/>
      </c>
      <c r="C17626" s="12" t="str">
        <f ca="1">IFERROR(__xludf.DUMMYFUNCTION("""COMPUTED_VALUE"""),"")</f>
        <v/>
      </c>
      <c r="D17626" s="12" t="str">
        <f ca="1">IFERROR(__xludf.DUMMYFUNCTION("""COMPUTED_VALUE"""),"")</f>
        <v/>
      </c>
    </row>
    <row r="17627" spans="2:4" ht="13">
      <c r="B17627" s="12" t="str">
        <f ca="1">IFERROR(__xludf.DUMMYFUNCTION("""COMPUTED_VALUE"""),"")</f>
        <v/>
      </c>
      <c r="C17627" s="12" t="str">
        <f ca="1">IFERROR(__xludf.DUMMYFUNCTION("""COMPUTED_VALUE"""),"")</f>
        <v/>
      </c>
      <c r="D17627" s="12" t="str">
        <f ca="1">IFERROR(__xludf.DUMMYFUNCTION("""COMPUTED_VALUE"""),"")</f>
        <v/>
      </c>
    </row>
    <row r="17628" spans="2:4" ht="13">
      <c r="B17628" s="12" t="str">
        <f ca="1">IFERROR(__xludf.DUMMYFUNCTION("""COMPUTED_VALUE"""),"")</f>
        <v/>
      </c>
      <c r="C17628" s="12" t="str">
        <f ca="1">IFERROR(__xludf.DUMMYFUNCTION("""COMPUTED_VALUE"""),"")</f>
        <v/>
      </c>
      <c r="D17628" s="12" t="str">
        <f ca="1">IFERROR(__xludf.DUMMYFUNCTION("""COMPUTED_VALUE"""),"")</f>
        <v/>
      </c>
    </row>
    <row r="17629" spans="2:4" ht="13">
      <c r="B17629" s="12" t="str">
        <f ca="1">IFERROR(__xludf.DUMMYFUNCTION("""COMPUTED_VALUE"""),"")</f>
        <v/>
      </c>
      <c r="C17629" s="12" t="str">
        <f ca="1">IFERROR(__xludf.DUMMYFUNCTION("""COMPUTED_VALUE"""),"")</f>
        <v/>
      </c>
      <c r="D17629" s="12" t="str">
        <f ca="1">IFERROR(__xludf.DUMMYFUNCTION("""COMPUTED_VALUE"""),"")</f>
        <v/>
      </c>
    </row>
    <row r="17630" spans="2:4" ht="13">
      <c r="B17630" s="12" t="str">
        <f ca="1">IFERROR(__xludf.DUMMYFUNCTION("""COMPUTED_VALUE"""),"")</f>
        <v/>
      </c>
      <c r="C17630" s="12" t="str">
        <f ca="1">IFERROR(__xludf.DUMMYFUNCTION("""COMPUTED_VALUE"""),"")</f>
        <v/>
      </c>
      <c r="D17630" s="12" t="str">
        <f ca="1">IFERROR(__xludf.DUMMYFUNCTION("""COMPUTED_VALUE"""),"")</f>
        <v/>
      </c>
    </row>
    <row r="17631" spans="2:4" ht="13">
      <c r="B17631" s="12" t="str">
        <f ca="1">IFERROR(__xludf.DUMMYFUNCTION("""COMPUTED_VALUE"""),"")</f>
        <v/>
      </c>
      <c r="C17631" s="12" t="str">
        <f ca="1">IFERROR(__xludf.DUMMYFUNCTION("""COMPUTED_VALUE"""),"")</f>
        <v/>
      </c>
      <c r="D17631" s="12" t="str">
        <f ca="1">IFERROR(__xludf.DUMMYFUNCTION("""COMPUTED_VALUE"""),"")</f>
        <v/>
      </c>
    </row>
    <row r="17632" spans="2:4" ht="13">
      <c r="B17632" s="12" t="str">
        <f ca="1">IFERROR(__xludf.DUMMYFUNCTION("""COMPUTED_VALUE"""),"")</f>
        <v/>
      </c>
      <c r="C17632" s="12" t="str">
        <f ca="1">IFERROR(__xludf.DUMMYFUNCTION("""COMPUTED_VALUE"""),"")</f>
        <v/>
      </c>
      <c r="D17632" s="12" t="str">
        <f ca="1">IFERROR(__xludf.DUMMYFUNCTION("""COMPUTED_VALUE"""),"")</f>
        <v/>
      </c>
    </row>
    <row r="17633" spans="2:4" ht="13">
      <c r="B17633" s="12" t="str">
        <f ca="1">IFERROR(__xludf.DUMMYFUNCTION("""COMPUTED_VALUE"""),"")</f>
        <v/>
      </c>
      <c r="C17633" s="12" t="str">
        <f ca="1">IFERROR(__xludf.DUMMYFUNCTION("""COMPUTED_VALUE"""),"")</f>
        <v/>
      </c>
      <c r="D17633" s="12" t="str">
        <f ca="1">IFERROR(__xludf.DUMMYFUNCTION("""COMPUTED_VALUE"""),"")</f>
        <v/>
      </c>
    </row>
    <row r="17634" spans="2:4" ht="13">
      <c r="B17634" s="12" t="str">
        <f ca="1">IFERROR(__xludf.DUMMYFUNCTION("""COMPUTED_VALUE"""),"")</f>
        <v/>
      </c>
      <c r="C17634" s="12" t="str">
        <f ca="1">IFERROR(__xludf.DUMMYFUNCTION("""COMPUTED_VALUE"""),"")</f>
        <v/>
      </c>
      <c r="D17634" s="12" t="str">
        <f ca="1">IFERROR(__xludf.DUMMYFUNCTION("""COMPUTED_VALUE"""),"")</f>
        <v/>
      </c>
    </row>
    <row r="17635" spans="2:4" ht="13">
      <c r="B17635" s="12" t="str">
        <f ca="1">IFERROR(__xludf.DUMMYFUNCTION("""COMPUTED_VALUE"""),"")</f>
        <v/>
      </c>
      <c r="C17635" s="12" t="str">
        <f ca="1">IFERROR(__xludf.DUMMYFUNCTION("""COMPUTED_VALUE"""),"")</f>
        <v/>
      </c>
      <c r="D17635" s="12" t="str">
        <f ca="1">IFERROR(__xludf.DUMMYFUNCTION("""COMPUTED_VALUE"""),"")</f>
        <v/>
      </c>
    </row>
    <row r="17636" spans="2:4" ht="13">
      <c r="B17636" s="12" t="str">
        <f ca="1">IFERROR(__xludf.DUMMYFUNCTION("""COMPUTED_VALUE"""),"")</f>
        <v/>
      </c>
      <c r="C17636" s="12" t="str">
        <f ca="1">IFERROR(__xludf.DUMMYFUNCTION("""COMPUTED_VALUE"""),"")</f>
        <v/>
      </c>
      <c r="D17636" s="12" t="str">
        <f ca="1">IFERROR(__xludf.DUMMYFUNCTION("""COMPUTED_VALUE"""),"")</f>
        <v/>
      </c>
    </row>
    <row r="17637" spans="2:4" ht="13">
      <c r="B17637" s="12" t="str">
        <f ca="1">IFERROR(__xludf.DUMMYFUNCTION("""COMPUTED_VALUE"""),"")</f>
        <v/>
      </c>
      <c r="C17637" s="12" t="str">
        <f ca="1">IFERROR(__xludf.DUMMYFUNCTION("""COMPUTED_VALUE"""),"")</f>
        <v/>
      </c>
      <c r="D17637" s="12" t="str">
        <f ca="1">IFERROR(__xludf.DUMMYFUNCTION("""COMPUTED_VALUE"""),"")</f>
        <v/>
      </c>
    </row>
    <row r="17638" spans="2:4" ht="13">
      <c r="B17638" s="12" t="str">
        <f ca="1">IFERROR(__xludf.DUMMYFUNCTION("""COMPUTED_VALUE"""),"")</f>
        <v/>
      </c>
      <c r="C17638" s="12" t="str">
        <f ca="1">IFERROR(__xludf.DUMMYFUNCTION("""COMPUTED_VALUE"""),"")</f>
        <v/>
      </c>
      <c r="D17638" s="12" t="str">
        <f ca="1">IFERROR(__xludf.DUMMYFUNCTION("""COMPUTED_VALUE"""),"")</f>
        <v/>
      </c>
    </row>
    <row r="17639" spans="2:4" ht="13">
      <c r="B17639" s="12" t="str">
        <f ca="1">IFERROR(__xludf.DUMMYFUNCTION("""COMPUTED_VALUE"""),"")</f>
        <v/>
      </c>
      <c r="C17639" s="12" t="str">
        <f ca="1">IFERROR(__xludf.DUMMYFUNCTION("""COMPUTED_VALUE"""),"")</f>
        <v/>
      </c>
      <c r="D17639" s="12" t="str">
        <f ca="1">IFERROR(__xludf.DUMMYFUNCTION("""COMPUTED_VALUE"""),"")</f>
        <v/>
      </c>
    </row>
    <row r="17640" spans="2:4" ht="13">
      <c r="B17640" s="12" t="str">
        <f ca="1">IFERROR(__xludf.DUMMYFUNCTION("""COMPUTED_VALUE"""),"")</f>
        <v/>
      </c>
      <c r="C17640" s="12" t="str">
        <f ca="1">IFERROR(__xludf.DUMMYFUNCTION("""COMPUTED_VALUE"""),"")</f>
        <v/>
      </c>
      <c r="D17640" s="12" t="str">
        <f ca="1">IFERROR(__xludf.DUMMYFUNCTION("""COMPUTED_VALUE"""),"")</f>
        <v/>
      </c>
    </row>
    <row r="17641" spans="2:4" ht="13">
      <c r="B17641" s="12" t="str">
        <f ca="1">IFERROR(__xludf.DUMMYFUNCTION("""COMPUTED_VALUE"""),"")</f>
        <v/>
      </c>
      <c r="C17641" s="12" t="str">
        <f ca="1">IFERROR(__xludf.DUMMYFUNCTION("""COMPUTED_VALUE"""),"")</f>
        <v/>
      </c>
      <c r="D17641" s="12" t="str">
        <f ca="1">IFERROR(__xludf.DUMMYFUNCTION("""COMPUTED_VALUE"""),"")</f>
        <v/>
      </c>
    </row>
    <row r="17642" spans="2:4" ht="13">
      <c r="B17642" s="12" t="str">
        <f ca="1">IFERROR(__xludf.DUMMYFUNCTION("""COMPUTED_VALUE"""),"")</f>
        <v/>
      </c>
      <c r="C17642" s="12" t="str">
        <f ca="1">IFERROR(__xludf.DUMMYFUNCTION("""COMPUTED_VALUE"""),"")</f>
        <v/>
      </c>
      <c r="D17642" s="12" t="str">
        <f ca="1">IFERROR(__xludf.DUMMYFUNCTION("""COMPUTED_VALUE"""),"")</f>
        <v/>
      </c>
    </row>
    <row r="17643" spans="2:4" ht="13">
      <c r="B17643" s="12" t="str">
        <f ca="1">IFERROR(__xludf.DUMMYFUNCTION("""COMPUTED_VALUE"""),"")</f>
        <v/>
      </c>
      <c r="C17643" s="12" t="str">
        <f ca="1">IFERROR(__xludf.DUMMYFUNCTION("""COMPUTED_VALUE"""),"")</f>
        <v/>
      </c>
      <c r="D17643" s="12" t="str">
        <f ca="1">IFERROR(__xludf.DUMMYFUNCTION("""COMPUTED_VALUE"""),"")</f>
        <v/>
      </c>
    </row>
    <row r="17644" spans="2:4" ht="13">
      <c r="B17644" s="12" t="str">
        <f ca="1">IFERROR(__xludf.DUMMYFUNCTION("""COMPUTED_VALUE"""),"")</f>
        <v/>
      </c>
      <c r="C17644" s="12" t="str">
        <f ca="1">IFERROR(__xludf.DUMMYFUNCTION("""COMPUTED_VALUE"""),"")</f>
        <v/>
      </c>
      <c r="D17644" s="12" t="str">
        <f ca="1">IFERROR(__xludf.DUMMYFUNCTION("""COMPUTED_VALUE"""),"")</f>
        <v/>
      </c>
    </row>
    <row r="17645" spans="2:4" ht="13">
      <c r="B17645" s="12" t="str">
        <f ca="1">IFERROR(__xludf.DUMMYFUNCTION("""COMPUTED_VALUE"""),"")</f>
        <v/>
      </c>
      <c r="C17645" s="12" t="str">
        <f ca="1">IFERROR(__xludf.DUMMYFUNCTION("""COMPUTED_VALUE"""),"")</f>
        <v/>
      </c>
      <c r="D17645" s="12" t="str">
        <f ca="1">IFERROR(__xludf.DUMMYFUNCTION("""COMPUTED_VALUE"""),"")</f>
        <v/>
      </c>
    </row>
    <row r="17646" spans="2:4" ht="13">
      <c r="B17646" s="12" t="str">
        <f ca="1">IFERROR(__xludf.DUMMYFUNCTION("""COMPUTED_VALUE"""),"")</f>
        <v/>
      </c>
      <c r="C17646" s="12" t="str">
        <f ca="1">IFERROR(__xludf.DUMMYFUNCTION("""COMPUTED_VALUE"""),"")</f>
        <v/>
      </c>
      <c r="D17646" s="12" t="str">
        <f ca="1">IFERROR(__xludf.DUMMYFUNCTION("""COMPUTED_VALUE"""),"")</f>
        <v/>
      </c>
    </row>
    <row r="17647" spans="2:4" ht="13">
      <c r="B17647" s="12" t="str">
        <f ca="1">IFERROR(__xludf.DUMMYFUNCTION("""COMPUTED_VALUE"""),"")</f>
        <v/>
      </c>
      <c r="C17647" s="12" t="str">
        <f ca="1">IFERROR(__xludf.DUMMYFUNCTION("""COMPUTED_VALUE"""),"")</f>
        <v/>
      </c>
      <c r="D17647" s="12" t="str">
        <f ca="1">IFERROR(__xludf.DUMMYFUNCTION("""COMPUTED_VALUE"""),"")</f>
        <v/>
      </c>
    </row>
    <row r="17648" spans="2:4" ht="13">
      <c r="B17648" s="12" t="str">
        <f ca="1">IFERROR(__xludf.DUMMYFUNCTION("""COMPUTED_VALUE"""),"")</f>
        <v/>
      </c>
      <c r="C17648" s="12" t="str">
        <f ca="1">IFERROR(__xludf.DUMMYFUNCTION("""COMPUTED_VALUE"""),"")</f>
        <v/>
      </c>
      <c r="D17648" s="12" t="str">
        <f ca="1">IFERROR(__xludf.DUMMYFUNCTION("""COMPUTED_VALUE"""),"")</f>
        <v/>
      </c>
    </row>
    <row r="17649" spans="2:4" ht="13">
      <c r="B17649" s="12" t="str">
        <f ca="1">IFERROR(__xludf.DUMMYFUNCTION("""COMPUTED_VALUE"""),"")</f>
        <v/>
      </c>
      <c r="C17649" s="12" t="str">
        <f ca="1">IFERROR(__xludf.DUMMYFUNCTION("""COMPUTED_VALUE"""),"")</f>
        <v/>
      </c>
      <c r="D17649" s="12" t="str">
        <f ca="1">IFERROR(__xludf.DUMMYFUNCTION("""COMPUTED_VALUE"""),"")</f>
        <v/>
      </c>
    </row>
    <row r="17650" spans="2:4" ht="13">
      <c r="B17650" s="12" t="str">
        <f ca="1">IFERROR(__xludf.DUMMYFUNCTION("""COMPUTED_VALUE"""),"")</f>
        <v/>
      </c>
      <c r="C17650" s="12" t="str">
        <f ca="1">IFERROR(__xludf.DUMMYFUNCTION("""COMPUTED_VALUE"""),"")</f>
        <v/>
      </c>
      <c r="D17650" s="12" t="str">
        <f ca="1">IFERROR(__xludf.DUMMYFUNCTION("""COMPUTED_VALUE"""),"")</f>
        <v/>
      </c>
    </row>
    <row r="17651" spans="2:4" ht="13">
      <c r="B17651" s="12" t="str">
        <f ca="1">IFERROR(__xludf.DUMMYFUNCTION("""COMPUTED_VALUE"""),"")</f>
        <v/>
      </c>
      <c r="C17651" s="12" t="str">
        <f ca="1">IFERROR(__xludf.DUMMYFUNCTION("""COMPUTED_VALUE"""),"")</f>
        <v/>
      </c>
      <c r="D17651" s="12" t="str">
        <f ca="1">IFERROR(__xludf.DUMMYFUNCTION("""COMPUTED_VALUE"""),"")</f>
        <v/>
      </c>
    </row>
    <row r="17652" spans="2:4" ht="13">
      <c r="B17652" s="12" t="str">
        <f ca="1">IFERROR(__xludf.DUMMYFUNCTION("""COMPUTED_VALUE"""),"")</f>
        <v/>
      </c>
      <c r="C17652" s="12" t="str">
        <f ca="1">IFERROR(__xludf.DUMMYFUNCTION("""COMPUTED_VALUE"""),"")</f>
        <v/>
      </c>
      <c r="D17652" s="12" t="str">
        <f ca="1">IFERROR(__xludf.DUMMYFUNCTION("""COMPUTED_VALUE"""),"")</f>
        <v/>
      </c>
    </row>
    <row r="17653" spans="2:4" ht="13">
      <c r="B17653" s="12" t="str">
        <f ca="1">IFERROR(__xludf.DUMMYFUNCTION("""COMPUTED_VALUE"""),"")</f>
        <v/>
      </c>
      <c r="C17653" s="12" t="str">
        <f ca="1">IFERROR(__xludf.DUMMYFUNCTION("""COMPUTED_VALUE"""),"")</f>
        <v/>
      </c>
      <c r="D17653" s="12" t="str">
        <f ca="1">IFERROR(__xludf.DUMMYFUNCTION("""COMPUTED_VALUE"""),"")</f>
        <v/>
      </c>
    </row>
    <row r="17654" spans="2:4" ht="13">
      <c r="B17654" s="12" t="str">
        <f ca="1">IFERROR(__xludf.DUMMYFUNCTION("""COMPUTED_VALUE"""),"")</f>
        <v/>
      </c>
      <c r="C17654" s="12" t="str">
        <f ca="1">IFERROR(__xludf.DUMMYFUNCTION("""COMPUTED_VALUE"""),"")</f>
        <v/>
      </c>
      <c r="D17654" s="12" t="str">
        <f ca="1">IFERROR(__xludf.DUMMYFUNCTION("""COMPUTED_VALUE"""),"")</f>
        <v/>
      </c>
    </row>
    <row r="17655" spans="2:4" ht="13">
      <c r="B17655" s="12" t="str">
        <f ca="1">IFERROR(__xludf.DUMMYFUNCTION("""COMPUTED_VALUE"""),"")</f>
        <v/>
      </c>
      <c r="C17655" s="12" t="str">
        <f ca="1">IFERROR(__xludf.DUMMYFUNCTION("""COMPUTED_VALUE"""),"")</f>
        <v/>
      </c>
      <c r="D17655" s="12" t="str">
        <f ca="1">IFERROR(__xludf.DUMMYFUNCTION("""COMPUTED_VALUE"""),"")</f>
        <v/>
      </c>
    </row>
    <row r="17656" spans="2:4" ht="13">
      <c r="B17656" s="12" t="str">
        <f ca="1">IFERROR(__xludf.DUMMYFUNCTION("""COMPUTED_VALUE"""),"")</f>
        <v/>
      </c>
      <c r="C17656" s="12" t="str">
        <f ca="1">IFERROR(__xludf.DUMMYFUNCTION("""COMPUTED_VALUE"""),"")</f>
        <v/>
      </c>
      <c r="D17656" s="12" t="str">
        <f ca="1">IFERROR(__xludf.DUMMYFUNCTION("""COMPUTED_VALUE"""),"")</f>
        <v/>
      </c>
    </row>
    <row r="17657" spans="2:4" ht="13">
      <c r="B17657" s="12" t="str">
        <f ca="1">IFERROR(__xludf.DUMMYFUNCTION("""COMPUTED_VALUE"""),"")</f>
        <v/>
      </c>
      <c r="C17657" s="12" t="str">
        <f ca="1">IFERROR(__xludf.DUMMYFUNCTION("""COMPUTED_VALUE"""),"")</f>
        <v/>
      </c>
      <c r="D17657" s="12" t="str">
        <f ca="1">IFERROR(__xludf.DUMMYFUNCTION("""COMPUTED_VALUE"""),"")</f>
        <v/>
      </c>
    </row>
    <row r="17658" spans="2:4" ht="13">
      <c r="B17658" s="12" t="str">
        <f ca="1">IFERROR(__xludf.DUMMYFUNCTION("""COMPUTED_VALUE"""),"")</f>
        <v/>
      </c>
      <c r="C17658" s="12" t="str">
        <f ca="1">IFERROR(__xludf.DUMMYFUNCTION("""COMPUTED_VALUE"""),"")</f>
        <v/>
      </c>
      <c r="D17658" s="12" t="str">
        <f ca="1">IFERROR(__xludf.DUMMYFUNCTION("""COMPUTED_VALUE"""),"")</f>
        <v/>
      </c>
    </row>
    <row r="17659" spans="2:4" ht="13">
      <c r="B17659" s="12" t="str">
        <f ca="1">IFERROR(__xludf.DUMMYFUNCTION("""COMPUTED_VALUE"""),"")</f>
        <v/>
      </c>
      <c r="C17659" s="12" t="str">
        <f ca="1">IFERROR(__xludf.DUMMYFUNCTION("""COMPUTED_VALUE"""),"")</f>
        <v/>
      </c>
      <c r="D17659" s="12" t="str">
        <f ca="1">IFERROR(__xludf.DUMMYFUNCTION("""COMPUTED_VALUE"""),"")</f>
        <v/>
      </c>
    </row>
    <row r="17660" spans="2:4" ht="13">
      <c r="B17660" s="12" t="str">
        <f ca="1">IFERROR(__xludf.DUMMYFUNCTION("""COMPUTED_VALUE"""),"")</f>
        <v/>
      </c>
      <c r="C17660" s="12" t="str">
        <f ca="1">IFERROR(__xludf.DUMMYFUNCTION("""COMPUTED_VALUE"""),"")</f>
        <v/>
      </c>
      <c r="D17660" s="12" t="str">
        <f ca="1">IFERROR(__xludf.DUMMYFUNCTION("""COMPUTED_VALUE"""),"")</f>
        <v/>
      </c>
    </row>
    <row r="17661" spans="2:4" ht="13">
      <c r="B17661" s="12" t="str">
        <f ca="1">IFERROR(__xludf.DUMMYFUNCTION("""COMPUTED_VALUE"""),"")</f>
        <v/>
      </c>
      <c r="C17661" s="12" t="str">
        <f ca="1">IFERROR(__xludf.DUMMYFUNCTION("""COMPUTED_VALUE"""),"")</f>
        <v/>
      </c>
      <c r="D17661" s="12" t="str">
        <f ca="1">IFERROR(__xludf.DUMMYFUNCTION("""COMPUTED_VALUE"""),"")</f>
        <v/>
      </c>
    </row>
    <row r="17662" spans="2:4" ht="13">
      <c r="B17662" s="12" t="str">
        <f ca="1">IFERROR(__xludf.DUMMYFUNCTION("""COMPUTED_VALUE"""),"")</f>
        <v/>
      </c>
      <c r="C17662" s="12" t="str">
        <f ca="1">IFERROR(__xludf.DUMMYFUNCTION("""COMPUTED_VALUE"""),"")</f>
        <v/>
      </c>
      <c r="D17662" s="12" t="str">
        <f ca="1">IFERROR(__xludf.DUMMYFUNCTION("""COMPUTED_VALUE"""),"")</f>
        <v/>
      </c>
    </row>
    <row r="17663" spans="2:4" ht="13">
      <c r="B17663" s="12" t="str">
        <f ca="1">IFERROR(__xludf.DUMMYFUNCTION("""COMPUTED_VALUE"""),"")</f>
        <v/>
      </c>
      <c r="C17663" s="12" t="str">
        <f ca="1">IFERROR(__xludf.DUMMYFUNCTION("""COMPUTED_VALUE"""),"")</f>
        <v/>
      </c>
      <c r="D17663" s="12" t="str">
        <f ca="1">IFERROR(__xludf.DUMMYFUNCTION("""COMPUTED_VALUE"""),"")</f>
        <v/>
      </c>
    </row>
    <row r="17664" spans="2:4" ht="13">
      <c r="B17664" s="12" t="str">
        <f ca="1">IFERROR(__xludf.DUMMYFUNCTION("""COMPUTED_VALUE"""),"")</f>
        <v/>
      </c>
      <c r="C17664" s="12" t="str">
        <f ca="1">IFERROR(__xludf.DUMMYFUNCTION("""COMPUTED_VALUE"""),"")</f>
        <v/>
      </c>
      <c r="D17664" s="12" t="str">
        <f ca="1">IFERROR(__xludf.DUMMYFUNCTION("""COMPUTED_VALUE"""),"")</f>
        <v/>
      </c>
    </row>
    <row r="17665" spans="2:4" ht="13">
      <c r="B17665" s="12" t="str">
        <f ca="1">IFERROR(__xludf.DUMMYFUNCTION("""COMPUTED_VALUE"""),"")</f>
        <v/>
      </c>
      <c r="C17665" s="12" t="str">
        <f ca="1">IFERROR(__xludf.DUMMYFUNCTION("""COMPUTED_VALUE"""),"")</f>
        <v/>
      </c>
      <c r="D17665" s="12" t="str">
        <f ca="1">IFERROR(__xludf.DUMMYFUNCTION("""COMPUTED_VALUE"""),"")</f>
        <v/>
      </c>
    </row>
    <row r="17666" spans="2:4" ht="13">
      <c r="B17666" s="12" t="str">
        <f ca="1">IFERROR(__xludf.DUMMYFUNCTION("""COMPUTED_VALUE"""),"")</f>
        <v/>
      </c>
      <c r="C17666" s="12" t="str">
        <f ca="1">IFERROR(__xludf.DUMMYFUNCTION("""COMPUTED_VALUE"""),"")</f>
        <v/>
      </c>
      <c r="D17666" s="12" t="str">
        <f ca="1">IFERROR(__xludf.DUMMYFUNCTION("""COMPUTED_VALUE"""),"")</f>
        <v/>
      </c>
    </row>
    <row r="17667" spans="2:4" ht="13">
      <c r="B17667" s="12" t="str">
        <f ca="1">IFERROR(__xludf.DUMMYFUNCTION("""COMPUTED_VALUE"""),"")</f>
        <v/>
      </c>
      <c r="C17667" s="12" t="str">
        <f ca="1">IFERROR(__xludf.DUMMYFUNCTION("""COMPUTED_VALUE"""),"")</f>
        <v/>
      </c>
      <c r="D17667" s="12" t="str">
        <f ca="1">IFERROR(__xludf.DUMMYFUNCTION("""COMPUTED_VALUE"""),"")</f>
        <v/>
      </c>
    </row>
    <row r="17668" spans="2:4" ht="13">
      <c r="B17668" s="12" t="str">
        <f ca="1">IFERROR(__xludf.DUMMYFUNCTION("""COMPUTED_VALUE"""),"")</f>
        <v/>
      </c>
      <c r="C17668" s="12" t="str">
        <f ca="1">IFERROR(__xludf.DUMMYFUNCTION("""COMPUTED_VALUE"""),"")</f>
        <v/>
      </c>
      <c r="D17668" s="12" t="str">
        <f ca="1">IFERROR(__xludf.DUMMYFUNCTION("""COMPUTED_VALUE"""),"")</f>
        <v/>
      </c>
    </row>
    <row r="17669" spans="2:4" ht="13">
      <c r="B17669" s="12" t="str">
        <f ca="1">IFERROR(__xludf.DUMMYFUNCTION("""COMPUTED_VALUE"""),"")</f>
        <v/>
      </c>
      <c r="C17669" s="12" t="str">
        <f ca="1">IFERROR(__xludf.DUMMYFUNCTION("""COMPUTED_VALUE"""),"")</f>
        <v/>
      </c>
      <c r="D17669" s="12" t="str">
        <f ca="1">IFERROR(__xludf.DUMMYFUNCTION("""COMPUTED_VALUE"""),"")</f>
        <v/>
      </c>
    </row>
    <row r="17670" spans="2:4" ht="13">
      <c r="B17670" s="12" t="str">
        <f ca="1">IFERROR(__xludf.DUMMYFUNCTION("""COMPUTED_VALUE"""),"")</f>
        <v/>
      </c>
      <c r="C17670" s="12" t="str">
        <f ca="1">IFERROR(__xludf.DUMMYFUNCTION("""COMPUTED_VALUE"""),"")</f>
        <v/>
      </c>
      <c r="D17670" s="12" t="str">
        <f ca="1">IFERROR(__xludf.DUMMYFUNCTION("""COMPUTED_VALUE"""),"")</f>
        <v/>
      </c>
    </row>
    <row r="17671" spans="2:4" ht="13">
      <c r="B17671" s="12" t="str">
        <f ca="1">IFERROR(__xludf.DUMMYFUNCTION("""COMPUTED_VALUE"""),"")</f>
        <v/>
      </c>
      <c r="C17671" s="12" t="str">
        <f ca="1">IFERROR(__xludf.DUMMYFUNCTION("""COMPUTED_VALUE"""),"")</f>
        <v/>
      </c>
      <c r="D17671" s="12" t="str">
        <f ca="1">IFERROR(__xludf.DUMMYFUNCTION("""COMPUTED_VALUE"""),"")</f>
        <v/>
      </c>
    </row>
    <row r="17672" spans="2:4" ht="13">
      <c r="B17672" s="12" t="str">
        <f ca="1">IFERROR(__xludf.DUMMYFUNCTION("""COMPUTED_VALUE"""),"")</f>
        <v/>
      </c>
      <c r="C17672" s="12" t="str">
        <f ca="1">IFERROR(__xludf.DUMMYFUNCTION("""COMPUTED_VALUE"""),"")</f>
        <v/>
      </c>
      <c r="D17672" s="12" t="str">
        <f ca="1">IFERROR(__xludf.DUMMYFUNCTION("""COMPUTED_VALUE"""),"")</f>
        <v/>
      </c>
    </row>
    <row r="17673" spans="2:4" ht="13">
      <c r="B17673" s="12" t="str">
        <f ca="1">IFERROR(__xludf.DUMMYFUNCTION("""COMPUTED_VALUE"""),"")</f>
        <v/>
      </c>
      <c r="C17673" s="12" t="str">
        <f ca="1">IFERROR(__xludf.DUMMYFUNCTION("""COMPUTED_VALUE"""),"")</f>
        <v/>
      </c>
      <c r="D17673" s="12" t="str">
        <f ca="1">IFERROR(__xludf.DUMMYFUNCTION("""COMPUTED_VALUE"""),"")</f>
        <v/>
      </c>
    </row>
    <row r="17674" spans="2:4" ht="13">
      <c r="B17674" s="12" t="str">
        <f ca="1">IFERROR(__xludf.DUMMYFUNCTION("""COMPUTED_VALUE"""),"")</f>
        <v/>
      </c>
      <c r="C17674" s="12" t="str">
        <f ca="1">IFERROR(__xludf.DUMMYFUNCTION("""COMPUTED_VALUE"""),"")</f>
        <v/>
      </c>
      <c r="D17674" s="12" t="str">
        <f ca="1">IFERROR(__xludf.DUMMYFUNCTION("""COMPUTED_VALUE"""),"")</f>
        <v/>
      </c>
    </row>
    <row r="17675" spans="2:4" ht="13">
      <c r="B17675" s="12" t="str">
        <f ca="1">IFERROR(__xludf.DUMMYFUNCTION("""COMPUTED_VALUE"""),"")</f>
        <v/>
      </c>
      <c r="C17675" s="12" t="str">
        <f ca="1">IFERROR(__xludf.DUMMYFUNCTION("""COMPUTED_VALUE"""),"")</f>
        <v/>
      </c>
      <c r="D17675" s="12" t="str">
        <f ca="1">IFERROR(__xludf.DUMMYFUNCTION("""COMPUTED_VALUE"""),"")</f>
        <v/>
      </c>
    </row>
    <row r="17676" spans="2:4" ht="13">
      <c r="B17676" s="12" t="str">
        <f ca="1">IFERROR(__xludf.DUMMYFUNCTION("""COMPUTED_VALUE"""),"")</f>
        <v/>
      </c>
      <c r="C17676" s="12" t="str">
        <f ca="1">IFERROR(__xludf.DUMMYFUNCTION("""COMPUTED_VALUE"""),"")</f>
        <v/>
      </c>
      <c r="D17676" s="12" t="str">
        <f ca="1">IFERROR(__xludf.DUMMYFUNCTION("""COMPUTED_VALUE"""),"")</f>
        <v/>
      </c>
    </row>
    <row r="17677" spans="2:4" ht="13">
      <c r="B17677" s="12" t="str">
        <f ca="1">IFERROR(__xludf.DUMMYFUNCTION("""COMPUTED_VALUE"""),"")</f>
        <v/>
      </c>
      <c r="C17677" s="12" t="str">
        <f ca="1">IFERROR(__xludf.DUMMYFUNCTION("""COMPUTED_VALUE"""),"")</f>
        <v/>
      </c>
      <c r="D17677" s="12" t="str">
        <f ca="1">IFERROR(__xludf.DUMMYFUNCTION("""COMPUTED_VALUE"""),"")</f>
        <v/>
      </c>
    </row>
    <row r="17678" spans="2:4" ht="13">
      <c r="B17678" s="12" t="str">
        <f ca="1">IFERROR(__xludf.DUMMYFUNCTION("""COMPUTED_VALUE"""),"")</f>
        <v/>
      </c>
      <c r="C17678" s="12" t="str">
        <f ca="1">IFERROR(__xludf.DUMMYFUNCTION("""COMPUTED_VALUE"""),"")</f>
        <v/>
      </c>
      <c r="D17678" s="12" t="str">
        <f ca="1">IFERROR(__xludf.DUMMYFUNCTION("""COMPUTED_VALUE"""),"")</f>
        <v/>
      </c>
    </row>
    <row r="17679" spans="2:4" ht="13">
      <c r="B17679" s="12" t="str">
        <f ca="1">IFERROR(__xludf.DUMMYFUNCTION("""COMPUTED_VALUE"""),"")</f>
        <v/>
      </c>
      <c r="C17679" s="12" t="str">
        <f ca="1">IFERROR(__xludf.DUMMYFUNCTION("""COMPUTED_VALUE"""),"")</f>
        <v/>
      </c>
      <c r="D17679" s="12" t="str">
        <f ca="1">IFERROR(__xludf.DUMMYFUNCTION("""COMPUTED_VALUE"""),"")</f>
        <v/>
      </c>
    </row>
    <row r="17680" spans="2:4" ht="13">
      <c r="B17680" s="12" t="str">
        <f ca="1">IFERROR(__xludf.DUMMYFUNCTION("""COMPUTED_VALUE"""),"")</f>
        <v/>
      </c>
      <c r="C17680" s="12" t="str">
        <f ca="1">IFERROR(__xludf.DUMMYFUNCTION("""COMPUTED_VALUE"""),"")</f>
        <v/>
      </c>
      <c r="D17680" s="12" t="str">
        <f ca="1">IFERROR(__xludf.DUMMYFUNCTION("""COMPUTED_VALUE"""),"")</f>
        <v/>
      </c>
    </row>
    <row r="17681" spans="2:4" ht="13">
      <c r="B17681" s="12" t="str">
        <f ca="1">IFERROR(__xludf.DUMMYFUNCTION("""COMPUTED_VALUE"""),"")</f>
        <v/>
      </c>
      <c r="C17681" s="12" t="str">
        <f ca="1">IFERROR(__xludf.DUMMYFUNCTION("""COMPUTED_VALUE"""),"")</f>
        <v/>
      </c>
      <c r="D17681" s="12" t="str">
        <f ca="1">IFERROR(__xludf.DUMMYFUNCTION("""COMPUTED_VALUE"""),"")</f>
        <v/>
      </c>
    </row>
    <row r="17682" spans="2:4" ht="13">
      <c r="B17682" s="12" t="str">
        <f ca="1">IFERROR(__xludf.DUMMYFUNCTION("""COMPUTED_VALUE"""),"")</f>
        <v/>
      </c>
      <c r="C17682" s="12" t="str">
        <f ca="1">IFERROR(__xludf.DUMMYFUNCTION("""COMPUTED_VALUE"""),"")</f>
        <v/>
      </c>
      <c r="D17682" s="12" t="str">
        <f ca="1">IFERROR(__xludf.DUMMYFUNCTION("""COMPUTED_VALUE"""),"")</f>
        <v/>
      </c>
    </row>
    <row r="17683" spans="2:4" ht="13">
      <c r="B17683" s="12" t="str">
        <f ca="1">IFERROR(__xludf.DUMMYFUNCTION("""COMPUTED_VALUE"""),"")</f>
        <v/>
      </c>
      <c r="C17683" s="12" t="str">
        <f ca="1">IFERROR(__xludf.DUMMYFUNCTION("""COMPUTED_VALUE"""),"")</f>
        <v/>
      </c>
      <c r="D17683" s="12" t="str">
        <f ca="1">IFERROR(__xludf.DUMMYFUNCTION("""COMPUTED_VALUE"""),"")</f>
        <v/>
      </c>
    </row>
    <row r="17684" spans="2:4" ht="13">
      <c r="B17684" s="12" t="str">
        <f ca="1">IFERROR(__xludf.DUMMYFUNCTION("""COMPUTED_VALUE"""),"")</f>
        <v/>
      </c>
      <c r="C17684" s="12" t="str">
        <f ca="1">IFERROR(__xludf.DUMMYFUNCTION("""COMPUTED_VALUE"""),"")</f>
        <v/>
      </c>
      <c r="D17684" s="12" t="str">
        <f ca="1">IFERROR(__xludf.DUMMYFUNCTION("""COMPUTED_VALUE"""),"")</f>
        <v/>
      </c>
    </row>
    <row r="17685" spans="2:4" ht="13">
      <c r="B17685" s="12" t="str">
        <f ca="1">IFERROR(__xludf.DUMMYFUNCTION("""COMPUTED_VALUE"""),"")</f>
        <v/>
      </c>
      <c r="C17685" s="12" t="str">
        <f ca="1">IFERROR(__xludf.DUMMYFUNCTION("""COMPUTED_VALUE"""),"")</f>
        <v/>
      </c>
      <c r="D17685" s="12" t="str">
        <f ca="1">IFERROR(__xludf.DUMMYFUNCTION("""COMPUTED_VALUE"""),"")</f>
        <v/>
      </c>
    </row>
    <row r="17686" spans="2:4" ht="13">
      <c r="B17686" s="12" t="str">
        <f ca="1">IFERROR(__xludf.DUMMYFUNCTION("""COMPUTED_VALUE"""),"")</f>
        <v/>
      </c>
      <c r="C17686" s="12" t="str">
        <f ca="1">IFERROR(__xludf.DUMMYFUNCTION("""COMPUTED_VALUE"""),"")</f>
        <v/>
      </c>
      <c r="D17686" s="12" t="str">
        <f ca="1">IFERROR(__xludf.DUMMYFUNCTION("""COMPUTED_VALUE"""),"")</f>
        <v/>
      </c>
    </row>
    <row r="17687" spans="2:4" ht="13">
      <c r="B17687" s="12" t="str">
        <f ca="1">IFERROR(__xludf.DUMMYFUNCTION("""COMPUTED_VALUE"""),"")</f>
        <v/>
      </c>
      <c r="C17687" s="12" t="str">
        <f ca="1">IFERROR(__xludf.DUMMYFUNCTION("""COMPUTED_VALUE"""),"")</f>
        <v/>
      </c>
      <c r="D17687" s="12" t="str">
        <f ca="1">IFERROR(__xludf.DUMMYFUNCTION("""COMPUTED_VALUE"""),"")</f>
        <v/>
      </c>
    </row>
    <row r="17688" spans="2:4" ht="13">
      <c r="B17688" s="12" t="str">
        <f ca="1">IFERROR(__xludf.DUMMYFUNCTION("""COMPUTED_VALUE"""),"")</f>
        <v/>
      </c>
      <c r="C17688" s="12" t="str">
        <f ca="1">IFERROR(__xludf.DUMMYFUNCTION("""COMPUTED_VALUE"""),"")</f>
        <v/>
      </c>
      <c r="D17688" s="12" t="str">
        <f ca="1">IFERROR(__xludf.DUMMYFUNCTION("""COMPUTED_VALUE"""),"")</f>
        <v/>
      </c>
    </row>
    <row r="17689" spans="2:4" ht="13">
      <c r="B17689" s="12" t="str">
        <f ca="1">IFERROR(__xludf.DUMMYFUNCTION("""COMPUTED_VALUE"""),"")</f>
        <v/>
      </c>
      <c r="C17689" s="12" t="str">
        <f ca="1">IFERROR(__xludf.DUMMYFUNCTION("""COMPUTED_VALUE"""),"")</f>
        <v/>
      </c>
      <c r="D17689" s="12" t="str">
        <f ca="1">IFERROR(__xludf.DUMMYFUNCTION("""COMPUTED_VALUE"""),"")</f>
        <v/>
      </c>
    </row>
    <row r="17690" spans="2:4" ht="13">
      <c r="B17690" s="12" t="str">
        <f ca="1">IFERROR(__xludf.DUMMYFUNCTION("""COMPUTED_VALUE"""),"")</f>
        <v/>
      </c>
      <c r="C17690" s="12" t="str">
        <f ca="1">IFERROR(__xludf.DUMMYFUNCTION("""COMPUTED_VALUE"""),"")</f>
        <v/>
      </c>
      <c r="D17690" s="12" t="str">
        <f ca="1">IFERROR(__xludf.DUMMYFUNCTION("""COMPUTED_VALUE"""),"")</f>
        <v/>
      </c>
    </row>
    <row r="17691" spans="2:4" ht="13">
      <c r="B17691" s="12" t="str">
        <f ca="1">IFERROR(__xludf.DUMMYFUNCTION("""COMPUTED_VALUE"""),"")</f>
        <v/>
      </c>
      <c r="C17691" s="12" t="str">
        <f ca="1">IFERROR(__xludf.DUMMYFUNCTION("""COMPUTED_VALUE"""),"")</f>
        <v/>
      </c>
      <c r="D17691" s="12" t="str">
        <f ca="1">IFERROR(__xludf.DUMMYFUNCTION("""COMPUTED_VALUE"""),"")</f>
        <v/>
      </c>
    </row>
    <row r="17692" spans="2:4" ht="13">
      <c r="B17692" s="12" t="str">
        <f ca="1">IFERROR(__xludf.DUMMYFUNCTION("""COMPUTED_VALUE"""),"")</f>
        <v/>
      </c>
      <c r="C17692" s="12" t="str">
        <f ca="1">IFERROR(__xludf.DUMMYFUNCTION("""COMPUTED_VALUE"""),"")</f>
        <v/>
      </c>
      <c r="D17692" s="12" t="str">
        <f ca="1">IFERROR(__xludf.DUMMYFUNCTION("""COMPUTED_VALUE"""),"")</f>
        <v/>
      </c>
    </row>
    <row r="17693" spans="2:4" ht="13">
      <c r="B17693" s="12" t="str">
        <f ca="1">IFERROR(__xludf.DUMMYFUNCTION("""COMPUTED_VALUE"""),"")</f>
        <v/>
      </c>
      <c r="C17693" s="12" t="str">
        <f ca="1">IFERROR(__xludf.DUMMYFUNCTION("""COMPUTED_VALUE"""),"")</f>
        <v/>
      </c>
      <c r="D17693" s="12" t="str">
        <f ca="1">IFERROR(__xludf.DUMMYFUNCTION("""COMPUTED_VALUE"""),"")</f>
        <v/>
      </c>
    </row>
    <row r="17694" spans="2:4" ht="13">
      <c r="B17694" s="12" t="str">
        <f ca="1">IFERROR(__xludf.DUMMYFUNCTION("""COMPUTED_VALUE"""),"")</f>
        <v/>
      </c>
      <c r="C17694" s="12" t="str">
        <f ca="1">IFERROR(__xludf.DUMMYFUNCTION("""COMPUTED_VALUE"""),"")</f>
        <v/>
      </c>
      <c r="D17694" s="12" t="str">
        <f ca="1">IFERROR(__xludf.DUMMYFUNCTION("""COMPUTED_VALUE"""),"")</f>
        <v/>
      </c>
    </row>
    <row r="17695" spans="2:4" ht="13">
      <c r="B17695" s="12" t="str">
        <f ca="1">IFERROR(__xludf.DUMMYFUNCTION("""COMPUTED_VALUE"""),"")</f>
        <v/>
      </c>
      <c r="C17695" s="12" t="str">
        <f ca="1">IFERROR(__xludf.DUMMYFUNCTION("""COMPUTED_VALUE"""),"")</f>
        <v/>
      </c>
      <c r="D17695" s="12" t="str">
        <f ca="1">IFERROR(__xludf.DUMMYFUNCTION("""COMPUTED_VALUE"""),"")</f>
        <v/>
      </c>
    </row>
    <row r="17696" spans="2:4" ht="13">
      <c r="B17696" s="12" t="str">
        <f ca="1">IFERROR(__xludf.DUMMYFUNCTION("""COMPUTED_VALUE"""),"")</f>
        <v/>
      </c>
      <c r="C17696" s="12" t="str">
        <f ca="1">IFERROR(__xludf.DUMMYFUNCTION("""COMPUTED_VALUE"""),"")</f>
        <v/>
      </c>
      <c r="D17696" s="12" t="str">
        <f ca="1">IFERROR(__xludf.DUMMYFUNCTION("""COMPUTED_VALUE"""),"")</f>
        <v/>
      </c>
    </row>
    <row r="17697" spans="2:4" ht="13">
      <c r="B17697" s="12" t="str">
        <f ca="1">IFERROR(__xludf.DUMMYFUNCTION("""COMPUTED_VALUE"""),"")</f>
        <v/>
      </c>
      <c r="C17697" s="12" t="str">
        <f ca="1">IFERROR(__xludf.DUMMYFUNCTION("""COMPUTED_VALUE"""),"")</f>
        <v/>
      </c>
      <c r="D17697" s="12" t="str">
        <f ca="1">IFERROR(__xludf.DUMMYFUNCTION("""COMPUTED_VALUE"""),"")</f>
        <v/>
      </c>
    </row>
    <row r="17698" spans="2:4" ht="13">
      <c r="B17698" s="12" t="str">
        <f ca="1">IFERROR(__xludf.DUMMYFUNCTION("""COMPUTED_VALUE"""),"")</f>
        <v/>
      </c>
      <c r="C17698" s="12" t="str">
        <f ca="1">IFERROR(__xludf.DUMMYFUNCTION("""COMPUTED_VALUE"""),"")</f>
        <v/>
      </c>
      <c r="D17698" s="12" t="str">
        <f ca="1">IFERROR(__xludf.DUMMYFUNCTION("""COMPUTED_VALUE"""),"")</f>
        <v/>
      </c>
    </row>
    <row r="17699" spans="2:4" ht="13">
      <c r="B17699" s="12" t="str">
        <f ca="1">IFERROR(__xludf.DUMMYFUNCTION("""COMPUTED_VALUE"""),"")</f>
        <v/>
      </c>
      <c r="C17699" s="12" t="str">
        <f ca="1">IFERROR(__xludf.DUMMYFUNCTION("""COMPUTED_VALUE"""),"")</f>
        <v/>
      </c>
      <c r="D17699" s="12" t="str">
        <f ca="1">IFERROR(__xludf.DUMMYFUNCTION("""COMPUTED_VALUE"""),"")</f>
        <v/>
      </c>
    </row>
    <row r="17700" spans="2:4" ht="13">
      <c r="B17700" s="12" t="str">
        <f ca="1">IFERROR(__xludf.DUMMYFUNCTION("""COMPUTED_VALUE"""),"")</f>
        <v/>
      </c>
      <c r="C17700" s="12" t="str">
        <f ca="1">IFERROR(__xludf.DUMMYFUNCTION("""COMPUTED_VALUE"""),"")</f>
        <v/>
      </c>
      <c r="D17700" s="12" t="str">
        <f ca="1">IFERROR(__xludf.DUMMYFUNCTION("""COMPUTED_VALUE"""),"")</f>
        <v/>
      </c>
    </row>
    <row r="17701" spans="2:4" ht="13">
      <c r="B17701" s="12" t="str">
        <f ca="1">IFERROR(__xludf.DUMMYFUNCTION("""COMPUTED_VALUE"""),"")</f>
        <v/>
      </c>
      <c r="C17701" s="12" t="str">
        <f ca="1">IFERROR(__xludf.DUMMYFUNCTION("""COMPUTED_VALUE"""),"")</f>
        <v/>
      </c>
      <c r="D17701" s="12" t="str">
        <f ca="1">IFERROR(__xludf.DUMMYFUNCTION("""COMPUTED_VALUE"""),"")</f>
        <v/>
      </c>
    </row>
    <row r="17702" spans="2:4" ht="13">
      <c r="B17702" s="12" t="str">
        <f ca="1">IFERROR(__xludf.DUMMYFUNCTION("""COMPUTED_VALUE"""),"")</f>
        <v/>
      </c>
      <c r="C17702" s="12" t="str">
        <f ca="1">IFERROR(__xludf.DUMMYFUNCTION("""COMPUTED_VALUE"""),"")</f>
        <v/>
      </c>
      <c r="D17702" s="12" t="str">
        <f ca="1">IFERROR(__xludf.DUMMYFUNCTION("""COMPUTED_VALUE"""),"")</f>
        <v/>
      </c>
    </row>
    <row r="17703" spans="2:4" ht="13">
      <c r="B17703" s="12" t="str">
        <f ca="1">IFERROR(__xludf.DUMMYFUNCTION("""COMPUTED_VALUE"""),"")</f>
        <v/>
      </c>
      <c r="C17703" s="12" t="str">
        <f ca="1">IFERROR(__xludf.DUMMYFUNCTION("""COMPUTED_VALUE"""),"")</f>
        <v/>
      </c>
      <c r="D17703" s="12" t="str">
        <f ca="1">IFERROR(__xludf.DUMMYFUNCTION("""COMPUTED_VALUE"""),"")</f>
        <v/>
      </c>
    </row>
    <row r="17704" spans="2:4" ht="13">
      <c r="B17704" s="12" t="str">
        <f ca="1">IFERROR(__xludf.DUMMYFUNCTION("""COMPUTED_VALUE"""),"")</f>
        <v/>
      </c>
      <c r="C17704" s="12" t="str">
        <f ca="1">IFERROR(__xludf.DUMMYFUNCTION("""COMPUTED_VALUE"""),"")</f>
        <v/>
      </c>
      <c r="D17704" s="12" t="str">
        <f ca="1">IFERROR(__xludf.DUMMYFUNCTION("""COMPUTED_VALUE"""),"")</f>
        <v/>
      </c>
    </row>
    <row r="17705" spans="2:4" ht="13">
      <c r="B17705" s="12" t="str">
        <f ca="1">IFERROR(__xludf.DUMMYFUNCTION("""COMPUTED_VALUE"""),"")</f>
        <v/>
      </c>
      <c r="C17705" s="12" t="str">
        <f ca="1">IFERROR(__xludf.DUMMYFUNCTION("""COMPUTED_VALUE"""),"")</f>
        <v/>
      </c>
      <c r="D17705" s="12" t="str">
        <f ca="1">IFERROR(__xludf.DUMMYFUNCTION("""COMPUTED_VALUE"""),"")</f>
        <v/>
      </c>
    </row>
    <row r="17706" spans="2:4" ht="13">
      <c r="B17706" s="12" t="str">
        <f ca="1">IFERROR(__xludf.DUMMYFUNCTION("""COMPUTED_VALUE"""),"")</f>
        <v/>
      </c>
      <c r="C17706" s="12" t="str">
        <f ca="1">IFERROR(__xludf.DUMMYFUNCTION("""COMPUTED_VALUE"""),"")</f>
        <v/>
      </c>
      <c r="D17706" s="12" t="str">
        <f ca="1">IFERROR(__xludf.DUMMYFUNCTION("""COMPUTED_VALUE"""),"")</f>
        <v/>
      </c>
    </row>
    <row r="17707" spans="2:4" ht="13">
      <c r="B17707" s="12" t="str">
        <f ca="1">IFERROR(__xludf.DUMMYFUNCTION("""COMPUTED_VALUE"""),"")</f>
        <v/>
      </c>
      <c r="C17707" s="12" t="str">
        <f ca="1">IFERROR(__xludf.DUMMYFUNCTION("""COMPUTED_VALUE"""),"")</f>
        <v/>
      </c>
      <c r="D17707" s="12" t="str">
        <f ca="1">IFERROR(__xludf.DUMMYFUNCTION("""COMPUTED_VALUE"""),"")</f>
        <v/>
      </c>
    </row>
    <row r="17708" spans="2:4" ht="13">
      <c r="B17708" s="12" t="str">
        <f ca="1">IFERROR(__xludf.DUMMYFUNCTION("""COMPUTED_VALUE"""),"")</f>
        <v/>
      </c>
      <c r="C17708" s="12" t="str">
        <f ca="1">IFERROR(__xludf.DUMMYFUNCTION("""COMPUTED_VALUE"""),"")</f>
        <v/>
      </c>
      <c r="D17708" s="12" t="str">
        <f ca="1">IFERROR(__xludf.DUMMYFUNCTION("""COMPUTED_VALUE"""),"")</f>
        <v/>
      </c>
    </row>
    <row r="17709" spans="2:4" ht="13">
      <c r="B17709" s="12" t="str">
        <f ca="1">IFERROR(__xludf.DUMMYFUNCTION("""COMPUTED_VALUE"""),"")</f>
        <v/>
      </c>
      <c r="C17709" s="12" t="str">
        <f ca="1">IFERROR(__xludf.DUMMYFUNCTION("""COMPUTED_VALUE"""),"")</f>
        <v/>
      </c>
      <c r="D17709" s="12" t="str">
        <f ca="1">IFERROR(__xludf.DUMMYFUNCTION("""COMPUTED_VALUE"""),"")</f>
        <v/>
      </c>
    </row>
    <row r="17710" spans="2:4" ht="13">
      <c r="B17710" s="12" t="str">
        <f ca="1">IFERROR(__xludf.DUMMYFUNCTION("""COMPUTED_VALUE"""),"")</f>
        <v/>
      </c>
      <c r="C17710" s="12" t="str">
        <f ca="1">IFERROR(__xludf.DUMMYFUNCTION("""COMPUTED_VALUE"""),"")</f>
        <v/>
      </c>
      <c r="D17710" s="12" t="str">
        <f ca="1">IFERROR(__xludf.DUMMYFUNCTION("""COMPUTED_VALUE"""),"")</f>
        <v/>
      </c>
    </row>
    <row r="17711" spans="2:4" ht="13">
      <c r="B17711" s="12" t="str">
        <f ca="1">IFERROR(__xludf.DUMMYFUNCTION("""COMPUTED_VALUE"""),"")</f>
        <v/>
      </c>
      <c r="C17711" s="12" t="str">
        <f ca="1">IFERROR(__xludf.DUMMYFUNCTION("""COMPUTED_VALUE"""),"")</f>
        <v/>
      </c>
      <c r="D17711" s="12" t="str">
        <f ca="1">IFERROR(__xludf.DUMMYFUNCTION("""COMPUTED_VALUE"""),"")</f>
        <v/>
      </c>
    </row>
    <row r="17712" spans="2:4" ht="13">
      <c r="B17712" s="12" t="str">
        <f ca="1">IFERROR(__xludf.DUMMYFUNCTION("""COMPUTED_VALUE"""),"")</f>
        <v/>
      </c>
      <c r="C17712" s="12" t="str">
        <f ca="1">IFERROR(__xludf.DUMMYFUNCTION("""COMPUTED_VALUE"""),"")</f>
        <v/>
      </c>
      <c r="D17712" s="12" t="str">
        <f ca="1">IFERROR(__xludf.DUMMYFUNCTION("""COMPUTED_VALUE"""),"")</f>
        <v/>
      </c>
    </row>
    <row r="17713" spans="2:4" ht="13">
      <c r="B17713" s="12" t="str">
        <f ca="1">IFERROR(__xludf.DUMMYFUNCTION("""COMPUTED_VALUE"""),"")</f>
        <v/>
      </c>
      <c r="C17713" s="12" t="str">
        <f ca="1">IFERROR(__xludf.DUMMYFUNCTION("""COMPUTED_VALUE"""),"")</f>
        <v/>
      </c>
      <c r="D17713" s="12" t="str">
        <f ca="1">IFERROR(__xludf.DUMMYFUNCTION("""COMPUTED_VALUE"""),"")</f>
        <v/>
      </c>
    </row>
    <row r="17714" spans="2:4" ht="13">
      <c r="B17714" s="12" t="str">
        <f ca="1">IFERROR(__xludf.DUMMYFUNCTION("""COMPUTED_VALUE"""),"")</f>
        <v/>
      </c>
      <c r="C17714" s="12" t="str">
        <f ca="1">IFERROR(__xludf.DUMMYFUNCTION("""COMPUTED_VALUE"""),"")</f>
        <v/>
      </c>
      <c r="D17714" s="12" t="str">
        <f ca="1">IFERROR(__xludf.DUMMYFUNCTION("""COMPUTED_VALUE"""),"")</f>
        <v/>
      </c>
    </row>
    <row r="17715" spans="2:4" ht="13">
      <c r="B17715" s="12" t="str">
        <f ca="1">IFERROR(__xludf.DUMMYFUNCTION("""COMPUTED_VALUE"""),"")</f>
        <v/>
      </c>
      <c r="C17715" s="12" t="str">
        <f ca="1">IFERROR(__xludf.DUMMYFUNCTION("""COMPUTED_VALUE"""),"")</f>
        <v/>
      </c>
      <c r="D17715" s="12" t="str">
        <f ca="1">IFERROR(__xludf.DUMMYFUNCTION("""COMPUTED_VALUE"""),"")</f>
        <v/>
      </c>
    </row>
    <row r="17716" spans="2:4" ht="13">
      <c r="B17716" s="12" t="str">
        <f ca="1">IFERROR(__xludf.DUMMYFUNCTION("""COMPUTED_VALUE"""),"")</f>
        <v/>
      </c>
      <c r="C17716" s="12" t="str">
        <f ca="1">IFERROR(__xludf.DUMMYFUNCTION("""COMPUTED_VALUE"""),"")</f>
        <v/>
      </c>
      <c r="D17716" s="12" t="str">
        <f ca="1">IFERROR(__xludf.DUMMYFUNCTION("""COMPUTED_VALUE"""),"")</f>
        <v/>
      </c>
    </row>
    <row r="17717" spans="2:4" ht="13">
      <c r="B17717" s="12" t="str">
        <f ca="1">IFERROR(__xludf.DUMMYFUNCTION("""COMPUTED_VALUE"""),"")</f>
        <v/>
      </c>
      <c r="C17717" s="12" t="str">
        <f ca="1">IFERROR(__xludf.DUMMYFUNCTION("""COMPUTED_VALUE"""),"")</f>
        <v/>
      </c>
      <c r="D17717" s="12" t="str">
        <f ca="1">IFERROR(__xludf.DUMMYFUNCTION("""COMPUTED_VALUE"""),"")</f>
        <v/>
      </c>
    </row>
    <row r="17718" spans="2:4" ht="13">
      <c r="B17718" s="12" t="str">
        <f ca="1">IFERROR(__xludf.DUMMYFUNCTION("""COMPUTED_VALUE"""),"")</f>
        <v/>
      </c>
      <c r="C17718" s="12" t="str">
        <f ca="1">IFERROR(__xludf.DUMMYFUNCTION("""COMPUTED_VALUE"""),"")</f>
        <v/>
      </c>
      <c r="D17718" s="12" t="str">
        <f ca="1">IFERROR(__xludf.DUMMYFUNCTION("""COMPUTED_VALUE"""),"")</f>
        <v/>
      </c>
    </row>
    <row r="17719" spans="2:4" ht="13">
      <c r="B17719" s="12" t="str">
        <f ca="1">IFERROR(__xludf.DUMMYFUNCTION("""COMPUTED_VALUE"""),"")</f>
        <v/>
      </c>
      <c r="C17719" s="12" t="str">
        <f ca="1">IFERROR(__xludf.DUMMYFUNCTION("""COMPUTED_VALUE"""),"")</f>
        <v/>
      </c>
      <c r="D17719" s="12" t="str">
        <f ca="1">IFERROR(__xludf.DUMMYFUNCTION("""COMPUTED_VALUE"""),"")</f>
        <v/>
      </c>
    </row>
    <row r="17720" spans="2:4" ht="13">
      <c r="B17720" s="12" t="str">
        <f ca="1">IFERROR(__xludf.DUMMYFUNCTION("""COMPUTED_VALUE"""),"")</f>
        <v/>
      </c>
      <c r="C17720" s="12" t="str">
        <f ca="1">IFERROR(__xludf.DUMMYFUNCTION("""COMPUTED_VALUE"""),"")</f>
        <v/>
      </c>
      <c r="D17720" s="12" t="str">
        <f ca="1">IFERROR(__xludf.DUMMYFUNCTION("""COMPUTED_VALUE"""),"")</f>
        <v/>
      </c>
    </row>
    <row r="17721" spans="2:4" ht="13">
      <c r="B17721" s="12" t="str">
        <f ca="1">IFERROR(__xludf.DUMMYFUNCTION("""COMPUTED_VALUE"""),"")</f>
        <v/>
      </c>
      <c r="C17721" s="12" t="str">
        <f ca="1">IFERROR(__xludf.DUMMYFUNCTION("""COMPUTED_VALUE"""),"")</f>
        <v/>
      </c>
      <c r="D17721" s="12" t="str">
        <f ca="1">IFERROR(__xludf.DUMMYFUNCTION("""COMPUTED_VALUE"""),"")</f>
        <v/>
      </c>
    </row>
    <row r="17722" spans="2:4" ht="13">
      <c r="B17722" s="12" t="str">
        <f ca="1">IFERROR(__xludf.DUMMYFUNCTION("""COMPUTED_VALUE"""),"")</f>
        <v/>
      </c>
      <c r="C17722" s="12" t="str">
        <f ca="1">IFERROR(__xludf.DUMMYFUNCTION("""COMPUTED_VALUE"""),"")</f>
        <v/>
      </c>
      <c r="D17722" s="12" t="str">
        <f ca="1">IFERROR(__xludf.DUMMYFUNCTION("""COMPUTED_VALUE"""),"")</f>
        <v/>
      </c>
    </row>
    <row r="17723" spans="2:4" ht="13">
      <c r="B17723" s="12" t="str">
        <f ca="1">IFERROR(__xludf.DUMMYFUNCTION("""COMPUTED_VALUE"""),"")</f>
        <v/>
      </c>
      <c r="C17723" s="12" t="str">
        <f ca="1">IFERROR(__xludf.DUMMYFUNCTION("""COMPUTED_VALUE"""),"")</f>
        <v/>
      </c>
      <c r="D17723" s="12" t="str">
        <f ca="1">IFERROR(__xludf.DUMMYFUNCTION("""COMPUTED_VALUE"""),"")</f>
        <v/>
      </c>
    </row>
    <row r="17724" spans="2:4" ht="13">
      <c r="B17724" s="12" t="str">
        <f ca="1">IFERROR(__xludf.DUMMYFUNCTION("""COMPUTED_VALUE"""),"")</f>
        <v/>
      </c>
      <c r="C17724" s="12" t="str">
        <f ca="1">IFERROR(__xludf.DUMMYFUNCTION("""COMPUTED_VALUE"""),"")</f>
        <v/>
      </c>
      <c r="D17724" s="12" t="str">
        <f ca="1">IFERROR(__xludf.DUMMYFUNCTION("""COMPUTED_VALUE"""),"")</f>
        <v/>
      </c>
    </row>
    <row r="17725" spans="2:4" ht="13">
      <c r="B17725" s="12" t="str">
        <f ca="1">IFERROR(__xludf.DUMMYFUNCTION("""COMPUTED_VALUE"""),"")</f>
        <v/>
      </c>
      <c r="C17725" s="12" t="str">
        <f ca="1">IFERROR(__xludf.DUMMYFUNCTION("""COMPUTED_VALUE"""),"")</f>
        <v/>
      </c>
      <c r="D17725" s="12" t="str">
        <f ca="1">IFERROR(__xludf.DUMMYFUNCTION("""COMPUTED_VALUE"""),"")</f>
        <v/>
      </c>
    </row>
    <row r="17726" spans="2:4" ht="13">
      <c r="B17726" s="12" t="str">
        <f ca="1">IFERROR(__xludf.DUMMYFUNCTION("""COMPUTED_VALUE"""),"")</f>
        <v/>
      </c>
      <c r="C17726" s="12" t="str">
        <f ca="1">IFERROR(__xludf.DUMMYFUNCTION("""COMPUTED_VALUE"""),"")</f>
        <v/>
      </c>
      <c r="D17726" s="12" t="str">
        <f ca="1">IFERROR(__xludf.DUMMYFUNCTION("""COMPUTED_VALUE"""),"")</f>
        <v/>
      </c>
    </row>
    <row r="17727" spans="2:4" ht="13">
      <c r="B17727" s="12" t="str">
        <f ca="1">IFERROR(__xludf.DUMMYFUNCTION("""COMPUTED_VALUE"""),"")</f>
        <v/>
      </c>
      <c r="C17727" s="12" t="str">
        <f ca="1">IFERROR(__xludf.DUMMYFUNCTION("""COMPUTED_VALUE"""),"")</f>
        <v/>
      </c>
      <c r="D17727" s="12" t="str">
        <f ca="1">IFERROR(__xludf.DUMMYFUNCTION("""COMPUTED_VALUE"""),"")</f>
        <v/>
      </c>
    </row>
    <row r="17728" spans="2:4" ht="13">
      <c r="B17728" s="12" t="str">
        <f ca="1">IFERROR(__xludf.DUMMYFUNCTION("""COMPUTED_VALUE"""),"")</f>
        <v/>
      </c>
      <c r="C17728" s="12" t="str">
        <f ca="1">IFERROR(__xludf.DUMMYFUNCTION("""COMPUTED_VALUE"""),"")</f>
        <v/>
      </c>
      <c r="D17728" s="12" t="str">
        <f ca="1">IFERROR(__xludf.DUMMYFUNCTION("""COMPUTED_VALUE"""),"")</f>
        <v/>
      </c>
    </row>
    <row r="17729" spans="2:4" ht="13">
      <c r="B17729" s="12" t="str">
        <f ca="1">IFERROR(__xludf.DUMMYFUNCTION("""COMPUTED_VALUE"""),"")</f>
        <v/>
      </c>
      <c r="C17729" s="12" t="str">
        <f ca="1">IFERROR(__xludf.DUMMYFUNCTION("""COMPUTED_VALUE"""),"")</f>
        <v/>
      </c>
      <c r="D17729" s="12" t="str">
        <f ca="1">IFERROR(__xludf.DUMMYFUNCTION("""COMPUTED_VALUE"""),"")</f>
        <v/>
      </c>
    </row>
    <row r="17730" spans="2:4" ht="13">
      <c r="B17730" s="12" t="str">
        <f ca="1">IFERROR(__xludf.DUMMYFUNCTION("""COMPUTED_VALUE"""),"")</f>
        <v/>
      </c>
      <c r="C17730" s="12" t="str">
        <f ca="1">IFERROR(__xludf.DUMMYFUNCTION("""COMPUTED_VALUE"""),"")</f>
        <v/>
      </c>
      <c r="D17730" s="12" t="str">
        <f ca="1">IFERROR(__xludf.DUMMYFUNCTION("""COMPUTED_VALUE"""),"")</f>
        <v/>
      </c>
    </row>
    <row r="17731" spans="2:4" ht="13">
      <c r="B17731" s="12" t="str">
        <f ca="1">IFERROR(__xludf.DUMMYFUNCTION("""COMPUTED_VALUE"""),"")</f>
        <v/>
      </c>
      <c r="C17731" s="12" t="str">
        <f ca="1">IFERROR(__xludf.DUMMYFUNCTION("""COMPUTED_VALUE"""),"")</f>
        <v/>
      </c>
      <c r="D17731" s="12" t="str">
        <f ca="1">IFERROR(__xludf.DUMMYFUNCTION("""COMPUTED_VALUE"""),"")</f>
        <v/>
      </c>
    </row>
    <row r="17732" spans="2:4" ht="13">
      <c r="B17732" s="12" t="str">
        <f ca="1">IFERROR(__xludf.DUMMYFUNCTION("""COMPUTED_VALUE"""),"")</f>
        <v/>
      </c>
      <c r="C17732" s="12" t="str">
        <f ca="1">IFERROR(__xludf.DUMMYFUNCTION("""COMPUTED_VALUE"""),"")</f>
        <v/>
      </c>
      <c r="D17732" s="12" t="str">
        <f ca="1">IFERROR(__xludf.DUMMYFUNCTION("""COMPUTED_VALUE"""),"")</f>
        <v/>
      </c>
    </row>
    <row r="17733" spans="2:4" ht="13">
      <c r="B17733" s="12" t="str">
        <f ca="1">IFERROR(__xludf.DUMMYFUNCTION("""COMPUTED_VALUE"""),"")</f>
        <v/>
      </c>
      <c r="C17733" s="12" t="str">
        <f ca="1">IFERROR(__xludf.DUMMYFUNCTION("""COMPUTED_VALUE"""),"")</f>
        <v/>
      </c>
      <c r="D17733" s="12" t="str">
        <f ca="1">IFERROR(__xludf.DUMMYFUNCTION("""COMPUTED_VALUE"""),"")</f>
        <v/>
      </c>
    </row>
    <row r="17734" spans="2:4" ht="13">
      <c r="B17734" s="12" t="str">
        <f ca="1">IFERROR(__xludf.DUMMYFUNCTION("""COMPUTED_VALUE"""),"")</f>
        <v/>
      </c>
      <c r="C17734" s="12" t="str">
        <f ca="1">IFERROR(__xludf.DUMMYFUNCTION("""COMPUTED_VALUE"""),"")</f>
        <v/>
      </c>
      <c r="D17734" s="12" t="str">
        <f ca="1">IFERROR(__xludf.DUMMYFUNCTION("""COMPUTED_VALUE"""),"")</f>
        <v/>
      </c>
    </row>
    <row r="17735" spans="2:4" ht="13">
      <c r="B17735" s="12" t="str">
        <f ca="1">IFERROR(__xludf.DUMMYFUNCTION("""COMPUTED_VALUE"""),"")</f>
        <v/>
      </c>
      <c r="C17735" s="12" t="str">
        <f ca="1">IFERROR(__xludf.DUMMYFUNCTION("""COMPUTED_VALUE"""),"")</f>
        <v/>
      </c>
      <c r="D17735" s="12" t="str">
        <f ca="1">IFERROR(__xludf.DUMMYFUNCTION("""COMPUTED_VALUE"""),"")</f>
        <v/>
      </c>
    </row>
    <row r="17736" spans="2:4" ht="13">
      <c r="B17736" s="12" t="str">
        <f ca="1">IFERROR(__xludf.DUMMYFUNCTION("""COMPUTED_VALUE"""),"")</f>
        <v/>
      </c>
      <c r="C17736" s="12" t="str">
        <f ca="1">IFERROR(__xludf.DUMMYFUNCTION("""COMPUTED_VALUE"""),"")</f>
        <v/>
      </c>
      <c r="D17736" s="12" t="str">
        <f ca="1">IFERROR(__xludf.DUMMYFUNCTION("""COMPUTED_VALUE"""),"")</f>
        <v/>
      </c>
    </row>
    <row r="17737" spans="2:4" ht="13">
      <c r="B17737" s="12" t="str">
        <f ca="1">IFERROR(__xludf.DUMMYFUNCTION("""COMPUTED_VALUE"""),"")</f>
        <v/>
      </c>
      <c r="C17737" s="12" t="str">
        <f ca="1">IFERROR(__xludf.DUMMYFUNCTION("""COMPUTED_VALUE"""),"")</f>
        <v/>
      </c>
      <c r="D17737" s="12" t="str">
        <f ca="1">IFERROR(__xludf.DUMMYFUNCTION("""COMPUTED_VALUE"""),"")</f>
        <v/>
      </c>
    </row>
    <row r="17738" spans="2:4" ht="13">
      <c r="B17738" s="12" t="str">
        <f ca="1">IFERROR(__xludf.DUMMYFUNCTION("""COMPUTED_VALUE"""),"")</f>
        <v/>
      </c>
      <c r="C17738" s="12" t="str">
        <f ca="1">IFERROR(__xludf.DUMMYFUNCTION("""COMPUTED_VALUE"""),"")</f>
        <v/>
      </c>
      <c r="D17738" s="12" t="str">
        <f ca="1">IFERROR(__xludf.DUMMYFUNCTION("""COMPUTED_VALUE"""),"")</f>
        <v/>
      </c>
    </row>
    <row r="17739" spans="2:4" ht="13">
      <c r="B17739" s="12" t="str">
        <f ca="1">IFERROR(__xludf.DUMMYFUNCTION("""COMPUTED_VALUE"""),"")</f>
        <v/>
      </c>
      <c r="C17739" s="12" t="str">
        <f ca="1">IFERROR(__xludf.DUMMYFUNCTION("""COMPUTED_VALUE"""),"")</f>
        <v/>
      </c>
      <c r="D17739" s="12" t="str">
        <f ca="1">IFERROR(__xludf.DUMMYFUNCTION("""COMPUTED_VALUE"""),"")</f>
        <v/>
      </c>
    </row>
    <row r="17740" spans="2:4" ht="13">
      <c r="B17740" s="12" t="str">
        <f ca="1">IFERROR(__xludf.DUMMYFUNCTION("""COMPUTED_VALUE"""),"")</f>
        <v/>
      </c>
      <c r="C17740" s="12" t="str">
        <f ca="1">IFERROR(__xludf.DUMMYFUNCTION("""COMPUTED_VALUE"""),"")</f>
        <v/>
      </c>
      <c r="D17740" s="12" t="str">
        <f ca="1">IFERROR(__xludf.DUMMYFUNCTION("""COMPUTED_VALUE"""),"")</f>
        <v/>
      </c>
    </row>
    <row r="17741" spans="2:4" ht="13">
      <c r="B17741" s="12" t="str">
        <f ca="1">IFERROR(__xludf.DUMMYFUNCTION("""COMPUTED_VALUE"""),"")</f>
        <v/>
      </c>
      <c r="C17741" s="12" t="str">
        <f ca="1">IFERROR(__xludf.DUMMYFUNCTION("""COMPUTED_VALUE"""),"")</f>
        <v/>
      </c>
      <c r="D17741" s="12" t="str">
        <f ca="1">IFERROR(__xludf.DUMMYFUNCTION("""COMPUTED_VALUE"""),"")</f>
        <v/>
      </c>
    </row>
    <row r="17742" spans="2:4" ht="13">
      <c r="B17742" s="12" t="str">
        <f ca="1">IFERROR(__xludf.DUMMYFUNCTION("""COMPUTED_VALUE"""),"")</f>
        <v/>
      </c>
      <c r="C17742" s="12" t="str">
        <f ca="1">IFERROR(__xludf.DUMMYFUNCTION("""COMPUTED_VALUE"""),"")</f>
        <v/>
      </c>
      <c r="D17742" s="12" t="str">
        <f ca="1">IFERROR(__xludf.DUMMYFUNCTION("""COMPUTED_VALUE"""),"")</f>
        <v/>
      </c>
    </row>
    <row r="17743" spans="2:4" ht="13">
      <c r="B17743" s="12" t="str">
        <f ca="1">IFERROR(__xludf.DUMMYFUNCTION("""COMPUTED_VALUE"""),"")</f>
        <v/>
      </c>
      <c r="C17743" s="12" t="str">
        <f ca="1">IFERROR(__xludf.DUMMYFUNCTION("""COMPUTED_VALUE"""),"")</f>
        <v/>
      </c>
      <c r="D17743" s="12" t="str">
        <f ca="1">IFERROR(__xludf.DUMMYFUNCTION("""COMPUTED_VALUE"""),"")</f>
        <v/>
      </c>
    </row>
    <row r="17744" spans="2:4" ht="13">
      <c r="B17744" s="12" t="str">
        <f ca="1">IFERROR(__xludf.DUMMYFUNCTION("""COMPUTED_VALUE"""),"")</f>
        <v/>
      </c>
      <c r="C17744" s="12" t="str">
        <f ca="1">IFERROR(__xludf.DUMMYFUNCTION("""COMPUTED_VALUE"""),"")</f>
        <v/>
      </c>
      <c r="D17744" s="12" t="str">
        <f ca="1">IFERROR(__xludf.DUMMYFUNCTION("""COMPUTED_VALUE"""),"")</f>
        <v/>
      </c>
    </row>
    <row r="17745" spans="2:4" ht="13">
      <c r="B17745" s="12" t="str">
        <f ca="1">IFERROR(__xludf.DUMMYFUNCTION("""COMPUTED_VALUE"""),"")</f>
        <v/>
      </c>
      <c r="C17745" s="12" t="str">
        <f ca="1">IFERROR(__xludf.DUMMYFUNCTION("""COMPUTED_VALUE"""),"")</f>
        <v/>
      </c>
      <c r="D17745" s="12" t="str">
        <f ca="1">IFERROR(__xludf.DUMMYFUNCTION("""COMPUTED_VALUE"""),"")</f>
        <v/>
      </c>
    </row>
    <row r="17746" spans="2:4" ht="13">
      <c r="B17746" s="12" t="str">
        <f ca="1">IFERROR(__xludf.DUMMYFUNCTION("""COMPUTED_VALUE"""),"")</f>
        <v/>
      </c>
      <c r="C17746" s="12" t="str">
        <f ca="1">IFERROR(__xludf.DUMMYFUNCTION("""COMPUTED_VALUE"""),"")</f>
        <v/>
      </c>
      <c r="D17746" s="12" t="str">
        <f ca="1">IFERROR(__xludf.DUMMYFUNCTION("""COMPUTED_VALUE"""),"")</f>
        <v/>
      </c>
    </row>
    <row r="17747" spans="2:4" ht="13">
      <c r="B17747" s="12" t="str">
        <f ca="1">IFERROR(__xludf.DUMMYFUNCTION("""COMPUTED_VALUE"""),"")</f>
        <v/>
      </c>
      <c r="C17747" s="12" t="str">
        <f ca="1">IFERROR(__xludf.DUMMYFUNCTION("""COMPUTED_VALUE"""),"")</f>
        <v/>
      </c>
      <c r="D17747" s="12" t="str">
        <f ca="1">IFERROR(__xludf.DUMMYFUNCTION("""COMPUTED_VALUE"""),"")</f>
        <v/>
      </c>
    </row>
    <row r="17748" spans="2:4" ht="13">
      <c r="B17748" s="12" t="str">
        <f ca="1">IFERROR(__xludf.DUMMYFUNCTION("""COMPUTED_VALUE"""),"")</f>
        <v/>
      </c>
      <c r="C17748" s="12" t="str">
        <f ca="1">IFERROR(__xludf.DUMMYFUNCTION("""COMPUTED_VALUE"""),"")</f>
        <v/>
      </c>
      <c r="D17748" s="12" t="str">
        <f ca="1">IFERROR(__xludf.DUMMYFUNCTION("""COMPUTED_VALUE"""),"")</f>
        <v/>
      </c>
    </row>
    <row r="17749" spans="2:4" ht="13">
      <c r="B17749" s="12" t="str">
        <f ca="1">IFERROR(__xludf.DUMMYFUNCTION("""COMPUTED_VALUE"""),"")</f>
        <v/>
      </c>
      <c r="C17749" s="12" t="str">
        <f ca="1">IFERROR(__xludf.DUMMYFUNCTION("""COMPUTED_VALUE"""),"")</f>
        <v/>
      </c>
      <c r="D17749" s="12" t="str">
        <f ca="1">IFERROR(__xludf.DUMMYFUNCTION("""COMPUTED_VALUE"""),"")</f>
        <v/>
      </c>
    </row>
    <row r="17750" spans="2:4" ht="13">
      <c r="B17750" s="12" t="str">
        <f ca="1">IFERROR(__xludf.DUMMYFUNCTION("""COMPUTED_VALUE"""),"")</f>
        <v/>
      </c>
      <c r="C17750" s="12" t="str">
        <f ca="1">IFERROR(__xludf.DUMMYFUNCTION("""COMPUTED_VALUE"""),"")</f>
        <v/>
      </c>
      <c r="D17750" s="12" t="str">
        <f ca="1">IFERROR(__xludf.DUMMYFUNCTION("""COMPUTED_VALUE"""),"")</f>
        <v/>
      </c>
    </row>
    <row r="17751" spans="2:4" ht="13">
      <c r="B17751" s="12" t="str">
        <f ca="1">IFERROR(__xludf.DUMMYFUNCTION("""COMPUTED_VALUE"""),"")</f>
        <v/>
      </c>
      <c r="C17751" s="12" t="str">
        <f ca="1">IFERROR(__xludf.DUMMYFUNCTION("""COMPUTED_VALUE"""),"")</f>
        <v/>
      </c>
      <c r="D17751" s="12" t="str">
        <f ca="1">IFERROR(__xludf.DUMMYFUNCTION("""COMPUTED_VALUE"""),"")</f>
        <v/>
      </c>
    </row>
    <row r="17752" spans="2:4" ht="13">
      <c r="B17752" s="12" t="str">
        <f ca="1">IFERROR(__xludf.DUMMYFUNCTION("""COMPUTED_VALUE"""),"")</f>
        <v/>
      </c>
      <c r="C17752" s="12" t="str">
        <f ca="1">IFERROR(__xludf.DUMMYFUNCTION("""COMPUTED_VALUE"""),"")</f>
        <v/>
      </c>
      <c r="D17752" s="12" t="str">
        <f ca="1">IFERROR(__xludf.DUMMYFUNCTION("""COMPUTED_VALUE"""),"")</f>
        <v/>
      </c>
    </row>
    <row r="17753" spans="2:4" ht="13">
      <c r="B17753" s="12" t="str">
        <f ca="1">IFERROR(__xludf.DUMMYFUNCTION("""COMPUTED_VALUE"""),"")</f>
        <v/>
      </c>
      <c r="C17753" s="12" t="str">
        <f ca="1">IFERROR(__xludf.DUMMYFUNCTION("""COMPUTED_VALUE"""),"")</f>
        <v/>
      </c>
      <c r="D17753" s="12" t="str">
        <f ca="1">IFERROR(__xludf.DUMMYFUNCTION("""COMPUTED_VALUE"""),"")</f>
        <v/>
      </c>
    </row>
    <row r="17754" spans="2:4" ht="13">
      <c r="B17754" s="12" t="str">
        <f ca="1">IFERROR(__xludf.DUMMYFUNCTION("""COMPUTED_VALUE"""),"")</f>
        <v/>
      </c>
      <c r="C17754" s="12" t="str">
        <f ca="1">IFERROR(__xludf.DUMMYFUNCTION("""COMPUTED_VALUE"""),"")</f>
        <v/>
      </c>
      <c r="D17754" s="12" t="str">
        <f ca="1">IFERROR(__xludf.DUMMYFUNCTION("""COMPUTED_VALUE"""),"")</f>
        <v/>
      </c>
    </row>
    <row r="17755" spans="2:4" ht="13">
      <c r="B17755" s="12" t="str">
        <f ca="1">IFERROR(__xludf.DUMMYFUNCTION("""COMPUTED_VALUE"""),"")</f>
        <v/>
      </c>
      <c r="C17755" s="12" t="str">
        <f ca="1">IFERROR(__xludf.DUMMYFUNCTION("""COMPUTED_VALUE"""),"")</f>
        <v/>
      </c>
      <c r="D17755" s="12" t="str">
        <f ca="1">IFERROR(__xludf.DUMMYFUNCTION("""COMPUTED_VALUE"""),"")</f>
        <v/>
      </c>
    </row>
    <row r="17756" spans="2:4" ht="13">
      <c r="B17756" s="12" t="str">
        <f ca="1">IFERROR(__xludf.DUMMYFUNCTION("""COMPUTED_VALUE"""),"")</f>
        <v/>
      </c>
      <c r="C17756" s="12" t="str">
        <f ca="1">IFERROR(__xludf.DUMMYFUNCTION("""COMPUTED_VALUE"""),"")</f>
        <v/>
      </c>
      <c r="D17756" s="12" t="str">
        <f ca="1">IFERROR(__xludf.DUMMYFUNCTION("""COMPUTED_VALUE"""),"")</f>
        <v/>
      </c>
    </row>
    <row r="17757" spans="2:4" ht="13">
      <c r="B17757" s="12" t="str">
        <f ca="1">IFERROR(__xludf.DUMMYFUNCTION("""COMPUTED_VALUE"""),"")</f>
        <v/>
      </c>
      <c r="C17757" s="12" t="str">
        <f ca="1">IFERROR(__xludf.DUMMYFUNCTION("""COMPUTED_VALUE"""),"")</f>
        <v/>
      </c>
      <c r="D17757" s="12" t="str">
        <f ca="1">IFERROR(__xludf.DUMMYFUNCTION("""COMPUTED_VALUE"""),"")</f>
        <v/>
      </c>
    </row>
    <row r="17758" spans="2:4" ht="13">
      <c r="B17758" s="12" t="str">
        <f ca="1">IFERROR(__xludf.DUMMYFUNCTION("""COMPUTED_VALUE"""),"")</f>
        <v/>
      </c>
      <c r="C17758" s="12" t="str">
        <f ca="1">IFERROR(__xludf.DUMMYFUNCTION("""COMPUTED_VALUE"""),"")</f>
        <v/>
      </c>
      <c r="D17758" s="12" t="str">
        <f ca="1">IFERROR(__xludf.DUMMYFUNCTION("""COMPUTED_VALUE"""),"")</f>
        <v/>
      </c>
    </row>
    <row r="17759" spans="2:4" ht="13">
      <c r="B17759" s="12" t="str">
        <f ca="1">IFERROR(__xludf.DUMMYFUNCTION("""COMPUTED_VALUE"""),"")</f>
        <v/>
      </c>
      <c r="C17759" s="12" t="str">
        <f ca="1">IFERROR(__xludf.DUMMYFUNCTION("""COMPUTED_VALUE"""),"")</f>
        <v/>
      </c>
      <c r="D17759" s="12" t="str">
        <f ca="1">IFERROR(__xludf.DUMMYFUNCTION("""COMPUTED_VALUE"""),"")</f>
        <v/>
      </c>
    </row>
    <row r="17760" spans="2:4" ht="13">
      <c r="B17760" s="12" t="str">
        <f ca="1">IFERROR(__xludf.DUMMYFUNCTION("""COMPUTED_VALUE"""),"")</f>
        <v/>
      </c>
      <c r="C17760" s="12" t="str">
        <f ca="1">IFERROR(__xludf.DUMMYFUNCTION("""COMPUTED_VALUE"""),"")</f>
        <v/>
      </c>
      <c r="D17760" s="12" t="str">
        <f ca="1">IFERROR(__xludf.DUMMYFUNCTION("""COMPUTED_VALUE"""),"")</f>
        <v/>
      </c>
    </row>
    <row r="17761" spans="2:4" ht="13">
      <c r="B17761" s="12" t="str">
        <f ca="1">IFERROR(__xludf.DUMMYFUNCTION("""COMPUTED_VALUE"""),"")</f>
        <v/>
      </c>
      <c r="C17761" s="12" t="str">
        <f ca="1">IFERROR(__xludf.DUMMYFUNCTION("""COMPUTED_VALUE"""),"")</f>
        <v/>
      </c>
      <c r="D17761" s="12" t="str">
        <f ca="1">IFERROR(__xludf.DUMMYFUNCTION("""COMPUTED_VALUE"""),"")</f>
        <v/>
      </c>
    </row>
    <row r="17762" spans="2:4" ht="13">
      <c r="B17762" s="12" t="str">
        <f ca="1">IFERROR(__xludf.DUMMYFUNCTION("""COMPUTED_VALUE"""),"")</f>
        <v/>
      </c>
      <c r="C17762" s="12" t="str">
        <f ca="1">IFERROR(__xludf.DUMMYFUNCTION("""COMPUTED_VALUE"""),"")</f>
        <v/>
      </c>
      <c r="D17762" s="12" t="str">
        <f ca="1">IFERROR(__xludf.DUMMYFUNCTION("""COMPUTED_VALUE"""),"")</f>
        <v/>
      </c>
    </row>
    <row r="17763" spans="2:4" ht="13">
      <c r="B17763" s="12" t="str">
        <f ca="1">IFERROR(__xludf.DUMMYFUNCTION("""COMPUTED_VALUE"""),"")</f>
        <v/>
      </c>
      <c r="C17763" s="12" t="str">
        <f ca="1">IFERROR(__xludf.DUMMYFUNCTION("""COMPUTED_VALUE"""),"")</f>
        <v/>
      </c>
      <c r="D17763" s="12" t="str">
        <f ca="1">IFERROR(__xludf.DUMMYFUNCTION("""COMPUTED_VALUE"""),"")</f>
        <v/>
      </c>
    </row>
    <row r="17764" spans="2:4" ht="13">
      <c r="B17764" s="12" t="str">
        <f ca="1">IFERROR(__xludf.DUMMYFUNCTION("""COMPUTED_VALUE"""),"")</f>
        <v/>
      </c>
      <c r="C17764" s="12" t="str">
        <f ca="1">IFERROR(__xludf.DUMMYFUNCTION("""COMPUTED_VALUE"""),"")</f>
        <v/>
      </c>
      <c r="D17764" s="12" t="str">
        <f ca="1">IFERROR(__xludf.DUMMYFUNCTION("""COMPUTED_VALUE"""),"")</f>
        <v/>
      </c>
    </row>
    <row r="17765" spans="2:4" ht="13">
      <c r="B17765" s="12" t="str">
        <f ca="1">IFERROR(__xludf.DUMMYFUNCTION("""COMPUTED_VALUE"""),"")</f>
        <v/>
      </c>
      <c r="C17765" s="12" t="str">
        <f ca="1">IFERROR(__xludf.DUMMYFUNCTION("""COMPUTED_VALUE"""),"")</f>
        <v/>
      </c>
      <c r="D17765" s="12" t="str">
        <f ca="1">IFERROR(__xludf.DUMMYFUNCTION("""COMPUTED_VALUE"""),"")</f>
        <v/>
      </c>
    </row>
    <row r="17766" spans="2:4" ht="13">
      <c r="B17766" s="12" t="str">
        <f ca="1">IFERROR(__xludf.DUMMYFUNCTION("""COMPUTED_VALUE"""),"")</f>
        <v/>
      </c>
      <c r="C17766" s="12" t="str">
        <f ca="1">IFERROR(__xludf.DUMMYFUNCTION("""COMPUTED_VALUE"""),"")</f>
        <v/>
      </c>
      <c r="D17766" s="12" t="str">
        <f ca="1">IFERROR(__xludf.DUMMYFUNCTION("""COMPUTED_VALUE"""),"")</f>
        <v/>
      </c>
    </row>
    <row r="17767" spans="2:4" ht="13">
      <c r="B17767" s="12" t="str">
        <f ca="1">IFERROR(__xludf.DUMMYFUNCTION("""COMPUTED_VALUE"""),"")</f>
        <v/>
      </c>
      <c r="C17767" s="12" t="str">
        <f ca="1">IFERROR(__xludf.DUMMYFUNCTION("""COMPUTED_VALUE"""),"")</f>
        <v/>
      </c>
      <c r="D17767" s="12" t="str">
        <f ca="1">IFERROR(__xludf.DUMMYFUNCTION("""COMPUTED_VALUE"""),"")</f>
        <v/>
      </c>
    </row>
    <row r="17768" spans="2:4" ht="13">
      <c r="B17768" s="12" t="str">
        <f ca="1">IFERROR(__xludf.DUMMYFUNCTION("""COMPUTED_VALUE"""),"")</f>
        <v/>
      </c>
      <c r="C17768" s="12" t="str">
        <f ca="1">IFERROR(__xludf.DUMMYFUNCTION("""COMPUTED_VALUE"""),"")</f>
        <v/>
      </c>
      <c r="D17768" s="12" t="str">
        <f ca="1">IFERROR(__xludf.DUMMYFUNCTION("""COMPUTED_VALUE"""),"")</f>
        <v/>
      </c>
    </row>
    <row r="17769" spans="2:4" ht="13">
      <c r="B17769" s="12" t="str">
        <f ca="1">IFERROR(__xludf.DUMMYFUNCTION("""COMPUTED_VALUE"""),"")</f>
        <v/>
      </c>
      <c r="C17769" s="12" t="str">
        <f ca="1">IFERROR(__xludf.DUMMYFUNCTION("""COMPUTED_VALUE"""),"")</f>
        <v/>
      </c>
      <c r="D17769" s="12" t="str">
        <f ca="1">IFERROR(__xludf.DUMMYFUNCTION("""COMPUTED_VALUE"""),"")</f>
        <v/>
      </c>
    </row>
    <row r="17770" spans="2:4" ht="13">
      <c r="B17770" s="12" t="str">
        <f ca="1">IFERROR(__xludf.DUMMYFUNCTION("""COMPUTED_VALUE"""),"")</f>
        <v/>
      </c>
      <c r="C17770" s="12" t="str">
        <f ca="1">IFERROR(__xludf.DUMMYFUNCTION("""COMPUTED_VALUE"""),"")</f>
        <v/>
      </c>
      <c r="D17770" s="12" t="str">
        <f ca="1">IFERROR(__xludf.DUMMYFUNCTION("""COMPUTED_VALUE"""),"")</f>
        <v/>
      </c>
    </row>
    <row r="17771" spans="2:4" ht="13">
      <c r="B17771" s="12" t="str">
        <f ca="1">IFERROR(__xludf.DUMMYFUNCTION("""COMPUTED_VALUE"""),"")</f>
        <v/>
      </c>
      <c r="C17771" s="12" t="str">
        <f ca="1">IFERROR(__xludf.DUMMYFUNCTION("""COMPUTED_VALUE"""),"")</f>
        <v/>
      </c>
      <c r="D17771" s="12" t="str">
        <f ca="1">IFERROR(__xludf.DUMMYFUNCTION("""COMPUTED_VALUE"""),"")</f>
        <v/>
      </c>
    </row>
    <row r="17772" spans="2:4" ht="13">
      <c r="B17772" s="12" t="str">
        <f ca="1">IFERROR(__xludf.DUMMYFUNCTION("""COMPUTED_VALUE"""),"")</f>
        <v/>
      </c>
      <c r="C17772" s="12" t="str">
        <f ca="1">IFERROR(__xludf.DUMMYFUNCTION("""COMPUTED_VALUE"""),"")</f>
        <v/>
      </c>
      <c r="D17772" s="12" t="str">
        <f ca="1">IFERROR(__xludf.DUMMYFUNCTION("""COMPUTED_VALUE"""),"")</f>
        <v/>
      </c>
    </row>
    <row r="17773" spans="2:4" ht="13">
      <c r="B17773" s="12" t="str">
        <f ca="1">IFERROR(__xludf.DUMMYFUNCTION("""COMPUTED_VALUE"""),"")</f>
        <v/>
      </c>
      <c r="C17773" s="12" t="str">
        <f ca="1">IFERROR(__xludf.DUMMYFUNCTION("""COMPUTED_VALUE"""),"")</f>
        <v/>
      </c>
      <c r="D17773" s="12" t="str">
        <f ca="1">IFERROR(__xludf.DUMMYFUNCTION("""COMPUTED_VALUE"""),"")</f>
        <v/>
      </c>
    </row>
    <row r="17774" spans="2:4" ht="13">
      <c r="B17774" s="12" t="str">
        <f ca="1">IFERROR(__xludf.DUMMYFUNCTION("""COMPUTED_VALUE"""),"")</f>
        <v/>
      </c>
      <c r="C17774" s="12" t="str">
        <f ca="1">IFERROR(__xludf.DUMMYFUNCTION("""COMPUTED_VALUE"""),"")</f>
        <v/>
      </c>
      <c r="D17774" s="12" t="str">
        <f ca="1">IFERROR(__xludf.DUMMYFUNCTION("""COMPUTED_VALUE"""),"")</f>
        <v/>
      </c>
    </row>
    <row r="17775" spans="2:4" ht="13">
      <c r="B17775" s="12" t="str">
        <f ca="1">IFERROR(__xludf.DUMMYFUNCTION("""COMPUTED_VALUE"""),"")</f>
        <v/>
      </c>
      <c r="C17775" s="12" t="str">
        <f ca="1">IFERROR(__xludf.DUMMYFUNCTION("""COMPUTED_VALUE"""),"")</f>
        <v/>
      </c>
      <c r="D17775" s="12" t="str">
        <f ca="1">IFERROR(__xludf.DUMMYFUNCTION("""COMPUTED_VALUE"""),"")</f>
        <v/>
      </c>
    </row>
    <row r="17776" spans="2:4" ht="13">
      <c r="B17776" s="12" t="str">
        <f ca="1">IFERROR(__xludf.DUMMYFUNCTION("""COMPUTED_VALUE"""),"")</f>
        <v/>
      </c>
      <c r="C17776" s="12" t="str">
        <f ca="1">IFERROR(__xludf.DUMMYFUNCTION("""COMPUTED_VALUE"""),"")</f>
        <v/>
      </c>
      <c r="D17776" s="12" t="str">
        <f ca="1">IFERROR(__xludf.DUMMYFUNCTION("""COMPUTED_VALUE"""),"")</f>
        <v/>
      </c>
    </row>
    <row r="17777" spans="2:4" ht="13">
      <c r="B17777" s="12" t="str">
        <f ca="1">IFERROR(__xludf.DUMMYFUNCTION("""COMPUTED_VALUE"""),"")</f>
        <v/>
      </c>
      <c r="C17777" s="12" t="str">
        <f ca="1">IFERROR(__xludf.DUMMYFUNCTION("""COMPUTED_VALUE"""),"")</f>
        <v/>
      </c>
      <c r="D17777" s="12" t="str">
        <f ca="1">IFERROR(__xludf.DUMMYFUNCTION("""COMPUTED_VALUE"""),"")</f>
        <v/>
      </c>
    </row>
    <row r="17778" spans="2:4" ht="13">
      <c r="B17778" s="12" t="str">
        <f ca="1">IFERROR(__xludf.DUMMYFUNCTION("""COMPUTED_VALUE"""),"")</f>
        <v/>
      </c>
      <c r="C17778" s="12" t="str">
        <f ca="1">IFERROR(__xludf.DUMMYFUNCTION("""COMPUTED_VALUE"""),"")</f>
        <v/>
      </c>
      <c r="D17778" s="12" t="str">
        <f ca="1">IFERROR(__xludf.DUMMYFUNCTION("""COMPUTED_VALUE"""),"")</f>
        <v/>
      </c>
    </row>
    <row r="17779" spans="2:4" ht="13">
      <c r="B17779" s="12" t="str">
        <f ca="1">IFERROR(__xludf.DUMMYFUNCTION("""COMPUTED_VALUE"""),"")</f>
        <v/>
      </c>
      <c r="C17779" s="12" t="str">
        <f ca="1">IFERROR(__xludf.DUMMYFUNCTION("""COMPUTED_VALUE"""),"")</f>
        <v/>
      </c>
      <c r="D17779" s="12" t="str">
        <f ca="1">IFERROR(__xludf.DUMMYFUNCTION("""COMPUTED_VALUE"""),"")</f>
        <v/>
      </c>
    </row>
    <row r="17780" spans="2:4" ht="13">
      <c r="B17780" s="12" t="str">
        <f ca="1">IFERROR(__xludf.DUMMYFUNCTION("""COMPUTED_VALUE"""),"")</f>
        <v/>
      </c>
      <c r="C17780" s="12" t="str">
        <f ca="1">IFERROR(__xludf.DUMMYFUNCTION("""COMPUTED_VALUE"""),"")</f>
        <v/>
      </c>
      <c r="D17780" s="12" t="str">
        <f ca="1">IFERROR(__xludf.DUMMYFUNCTION("""COMPUTED_VALUE"""),"")</f>
        <v/>
      </c>
    </row>
    <row r="17781" spans="2:4" ht="13">
      <c r="B17781" s="12" t="str">
        <f ca="1">IFERROR(__xludf.DUMMYFUNCTION("""COMPUTED_VALUE"""),"")</f>
        <v/>
      </c>
      <c r="C17781" s="12" t="str">
        <f ca="1">IFERROR(__xludf.DUMMYFUNCTION("""COMPUTED_VALUE"""),"")</f>
        <v/>
      </c>
      <c r="D17781" s="12" t="str">
        <f ca="1">IFERROR(__xludf.DUMMYFUNCTION("""COMPUTED_VALUE"""),"")</f>
        <v/>
      </c>
    </row>
    <row r="17782" spans="2:4" ht="13">
      <c r="B17782" s="12" t="str">
        <f ca="1">IFERROR(__xludf.DUMMYFUNCTION("""COMPUTED_VALUE"""),"")</f>
        <v/>
      </c>
      <c r="C17782" s="12" t="str">
        <f ca="1">IFERROR(__xludf.DUMMYFUNCTION("""COMPUTED_VALUE"""),"")</f>
        <v/>
      </c>
      <c r="D17782" s="12" t="str">
        <f ca="1">IFERROR(__xludf.DUMMYFUNCTION("""COMPUTED_VALUE"""),"")</f>
        <v/>
      </c>
    </row>
    <row r="17783" spans="2:4" ht="13">
      <c r="B17783" s="12" t="str">
        <f ca="1">IFERROR(__xludf.DUMMYFUNCTION("""COMPUTED_VALUE"""),"")</f>
        <v/>
      </c>
      <c r="C17783" s="12" t="str">
        <f ca="1">IFERROR(__xludf.DUMMYFUNCTION("""COMPUTED_VALUE"""),"")</f>
        <v/>
      </c>
      <c r="D17783" s="12" t="str">
        <f ca="1">IFERROR(__xludf.DUMMYFUNCTION("""COMPUTED_VALUE"""),"")</f>
        <v/>
      </c>
    </row>
    <row r="17784" spans="2:4" ht="13">
      <c r="B17784" s="12" t="str">
        <f ca="1">IFERROR(__xludf.DUMMYFUNCTION("""COMPUTED_VALUE"""),"")</f>
        <v/>
      </c>
      <c r="C17784" s="12" t="str">
        <f ca="1">IFERROR(__xludf.DUMMYFUNCTION("""COMPUTED_VALUE"""),"")</f>
        <v/>
      </c>
      <c r="D17784" s="12" t="str">
        <f ca="1">IFERROR(__xludf.DUMMYFUNCTION("""COMPUTED_VALUE"""),"")</f>
        <v/>
      </c>
    </row>
    <row r="17785" spans="2:4" ht="13">
      <c r="B17785" s="12" t="str">
        <f ca="1">IFERROR(__xludf.DUMMYFUNCTION("""COMPUTED_VALUE"""),"")</f>
        <v/>
      </c>
      <c r="C17785" s="12" t="str">
        <f ca="1">IFERROR(__xludf.DUMMYFUNCTION("""COMPUTED_VALUE"""),"")</f>
        <v/>
      </c>
      <c r="D17785" s="12" t="str">
        <f ca="1">IFERROR(__xludf.DUMMYFUNCTION("""COMPUTED_VALUE"""),"")</f>
        <v/>
      </c>
    </row>
    <row r="17786" spans="2:4" ht="13">
      <c r="B17786" s="12" t="str">
        <f ca="1">IFERROR(__xludf.DUMMYFUNCTION("""COMPUTED_VALUE"""),"")</f>
        <v/>
      </c>
      <c r="C17786" s="12" t="str">
        <f ca="1">IFERROR(__xludf.DUMMYFUNCTION("""COMPUTED_VALUE"""),"")</f>
        <v/>
      </c>
      <c r="D17786" s="12" t="str">
        <f ca="1">IFERROR(__xludf.DUMMYFUNCTION("""COMPUTED_VALUE"""),"")</f>
        <v/>
      </c>
    </row>
    <row r="17787" spans="2:4" ht="13">
      <c r="B17787" s="12" t="str">
        <f ca="1">IFERROR(__xludf.DUMMYFUNCTION("""COMPUTED_VALUE"""),"")</f>
        <v/>
      </c>
      <c r="C17787" s="12" t="str">
        <f ca="1">IFERROR(__xludf.DUMMYFUNCTION("""COMPUTED_VALUE"""),"")</f>
        <v/>
      </c>
      <c r="D17787" s="12" t="str">
        <f ca="1">IFERROR(__xludf.DUMMYFUNCTION("""COMPUTED_VALUE"""),"")</f>
        <v/>
      </c>
    </row>
    <row r="17788" spans="2:4" ht="13">
      <c r="B17788" s="12" t="str">
        <f ca="1">IFERROR(__xludf.DUMMYFUNCTION("""COMPUTED_VALUE"""),"")</f>
        <v/>
      </c>
      <c r="C17788" s="12" t="str">
        <f ca="1">IFERROR(__xludf.DUMMYFUNCTION("""COMPUTED_VALUE"""),"")</f>
        <v/>
      </c>
      <c r="D17788" s="12" t="str">
        <f ca="1">IFERROR(__xludf.DUMMYFUNCTION("""COMPUTED_VALUE"""),"")</f>
        <v/>
      </c>
    </row>
    <row r="17789" spans="2:4" ht="13">
      <c r="B17789" s="12" t="str">
        <f ca="1">IFERROR(__xludf.DUMMYFUNCTION("""COMPUTED_VALUE"""),"")</f>
        <v/>
      </c>
      <c r="C17789" s="12" t="str">
        <f ca="1">IFERROR(__xludf.DUMMYFUNCTION("""COMPUTED_VALUE"""),"")</f>
        <v/>
      </c>
      <c r="D17789" s="12" t="str">
        <f ca="1">IFERROR(__xludf.DUMMYFUNCTION("""COMPUTED_VALUE"""),"")</f>
        <v/>
      </c>
    </row>
    <row r="17790" spans="2:4" ht="13">
      <c r="B17790" s="12" t="str">
        <f ca="1">IFERROR(__xludf.DUMMYFUNCTION("""COMPUTED_VALUE"""),"")</f>
        <v/>
      </c>
      <c r="C17790" s="12" t="str">
        <f ca="1">IFERROR(__xludf.DUMMYFUNCTION("""COMPUTED_VALUE"""),"")</f>
        <v/>
      </c>
      <c r="D17790" s="12" t="str">
        <f ca="1">IFERROR(__xludf.DUMMYFUNCTION("""COMPUTED_VALUE"""),"")</f>
        <v/>
      </c>
    </row>
    <row r="17791" spans="2:4" ht="13">
      <c r="B17791" s="12" t="str">
        <f ca="1">IFERROR(__xludf.DUMMYFUNCTION("""COMPUTED_VALUE"""),"")</f>
        <v/>
      </c>
      <c r="C17791" s="12" t="str">
        <f ca="1">IFERROR(__xludf.DUMMYFUNCTION("""COMPUTED_VALUE"""),"")</f>
        <v/>
      </c>
      <c r="D17791" s="12" t="str">
        <f ca="1">IFERROR(__xludf.DUMMYFUNCTION("""COMPUTED_VALUE"""),"")</f>
        <v/>
      </c>
    </row>
    <row r="17792" spans="2:4" ht="13">
      <c r="B17792" s="12" t="str">
        <f ca="1">IFERROR(__xludf.DUMMYFUNCTION("""COMPUTED_VALUE"""),"")</f>
        <v/>
      </c>
      <c r="C17792" s="12" t="str">
        <f ca="1">IFERROR(__xludf.DUMMYFUNCTION("""COMPUTED_VALUE"""),"")</f>
        <v/>
      </c>
      <c r="D17792" s="12" t="str">
        <f ca="1">IFERROR(__xludf.DUMMYFUNCTION("""COMPUTED_VALUE"""),"")</f>
        <v/>
      </c>
    </row>
    <row r="17793" spans="2:4" ht="13">
      <c r="B17793" s="12" t="str">
        <f ca="1">IFERROR(__xludf.DUMMYFUNCTION("""COMPUTED_VALUE"""),"")</f>
        <v/>
      </c>
      <c r="C17793" s="12" t="str">
        <f ca="1">IFERROR(__xludf.DUMMYFUNCTION("""COMPUTED_VALUE"""),"")</f>
        <v/>
      </c>
      <c r="D17793" s="12" t="str">
        <f ca="1">IFERROR(__xludf.DUMMYFUNCTION("""COMPUTED_VALUE"""),"")</f>
        <v/>
      </c>
    </row>
    <row r="17794" spans="2:4" ht="13">
      <c r="B17794" s="12" t="str">
        <f ca="1">IFERROR(__xludf.DUMMYFUNCTION("""COMPUTED_VALUE"""),"")</f>
        <v/>
      </c>
      <c r="C17794" s="12" t="str">
        <f ca="1">IFERROR(__xludf.DUMMYFUNCTION("""COMPUTED_VALUE"""),"")</f>
        <v/>
      </c>
      <c r="D17794" s="12" t="str">
        <f ca="1">IFERROR(__xludf.DUMMYFUNCTION("""COMPUTED_VALUE"""),"")</f>
        <v/>
      </c>
    </row>
    <row r="17795" spans="2:4" ht="13">
      <c r="B17795" s="12" t="str">
        <f ca="1">IFERROR(__xludf.DUMMYFUNCTION("""COMPUTED_VALUE"""),"")</f>
        <v/>
      </c>
      <c r="C17795" s="12" t="str">
        <f ca="1">IFERROR(__xludf.DUMMYFUNCTION("""COMPUTED_VALUE"""),"")</f>
        <v/>
      </c>
      <c r="D17795" s="12" t="str">
        <f ca="1">IFERROR(__xludf.DUMMYFUNCTION("""COMPUTED_VALUE"""),"")</f>
        <v/>
      </c>
    </row>
    <row r="17796" spans="2:4" ht="13">
      <c r="B17796" s="12" t="str">
        <f ca="1">IFERROR(__xludf.DUMMYFUNCTION("""COMPUTED_VALUE"""),"")</f>
        <v/>
      </c>
      <c r="C17796" s="12" t="str">
        <f ca="1">IFERROR(__xludf.DUMMYFUNCTION("""COMPUTED_VALUE"""),"")</f>
        <v/>
      </c>
      <c r="D17796" s="12" t="str">
        <f ca="1">IFERROR(__xludf.DUMMYFUNCTION("""COMPUTED_VALUE"""),"")</f>
        <v/>
      </c>
    </row>
    <row r="17797" spans="2:4" ht="13">
      <c r="B17797" s="12" t="str">
        <f ca="1">IFERROR(__xludf.DUMMYFUNCTION("""COMPUTED_VALUE"""),"")</f>
        <v/>
      </c>
      <c r="C17797" s="12" t="str">
        <f ca="1">IFERROR(__xludf.DUMMYFUNCTION("""COMPUTED_VALUE"""),"")</f>
        <v/>
      </c>
      <c r="D17797" s="12" t="str">
        <f ca="1">IFERROR(__xludf.DUMMYFUNCTION("""COMPUTED_VALUE"""),"")</f>
        <v/>
      </c>
    </row>
    <row r="17798" spans="2:4" ht="13">
      <c r="B17798" s="12" t="str">
        <f ca="1">IFERROR(__xludf.DUMMYFUNCTION("""COMPUTED_VALUE"""),"")</f>
        <v/>
      </c>
      <c r="C17798" s="12" t="str">
        <f ca="1">IFERROR(__xludf.DUMMYFUNCTION("""COMPUTED_VALUE"""),"")</f>
        <v/>
      </c>
      <c r="D17798" s="12" t="str">
        <f ca="1">IFERROR(__xludf.DUMMYFUNCTION("""COMPUTED_VALUE"""),"")</f>
        <v/>
      </c>
    </row>
    <row r="17799" spans="2:4" ht="13">
      <c r="B17799" s="12" t="str">
        <f ca="1">IFERROR(__xludf.DUMMYFUNCTION("""COMPUTED_VALUE"""),"")</f>
        <v/>
      </c>
      <c r="C17799" s="12" t="str">
        <f ca="1">IFERROR(__xludf.DUMMYFUNCTION("""COMPUTED_VALUE"""),"")</f>
        <v/>
      </c>
      <c r="D17799" s="12" t="str">
        <f ca="1">IFERROR(__xludf.DUMMYFUNCTION("""COMPUTED_VALUE"""),"")</f>
        <v/>
      </c>
    </row>
    <row r="17800" spans="2:4" ht="13">
      <c r="B17800" s="12" t="str">
        <f ca="1">IFERROR(__xludf.DUMMYFUNCTION("""COMPUTED_VALUE"""),"")</f>
        <v/>
      </c>
      <c r="C17800" s="12" t="str">
        <f ca="1">IFERROR(__xludf.DUMMYFUNCTION("""COMPUTED_VALUE"""),"")</f>
        <v/>
      </c>
      <c r="D17800" s="12" t="str">
        <f ca="1">IFERROR(__xludf.DUMMYFUNCTION("""COMPUTED_VALUE"""),"")</f>
        <v/>
      </c>
    </row>
    <row r="17801" spans="2:4" ht="13">
      <c r="B17801" s="12" t="str">
        <f ca="1">IFERROR(__xludf.DUMMYFUNCTION("""COMPUTED_VALUE"""),"")</f>
        <v/>
      </c>
      <c r="C17801" s="12" t="str">
        <f ca="1">IFERROR(__xludf.DUMMYFUNCTION("""COMPUTED_VALUE"""),"")</f>
        <v/>
      </c>
      <c r="D17801" s="12" t="str">
        <f ca="1">IFERROR(__xludf.DUMMYFUNCTION("""COMPUTED_VALUE"""),"")</f>
        <v/>
      </c>
    </row>
    <row r="17802" spans="2:4" ht="13">
      <c r="B17802" s="12" t="str">
        <f ca="1">IFERROR(__xludf.DUMMYFUNCTION("""COMPUTED_VALUE"""),"")</f>
        <v/>
      </c>
      <c r="C17802" s="12" t="str">
        <f ca="1">IFERROR(__xludf.DUMMYFUNCTION("""COMPUTED_VALUE"""),"")</f>
        <v/>
      </c>
      <c r="D17802" s="12" t="str">
        <f ca="1">IFERROR(__xludf.DUMMYFUNCTION("""COMPUTED_VALUE"""),"")</f>
        <v/>
      </c>
    </row>
    <row r="17803" spans="2:4" ht="13">
      <c r="B17803" s="12" t="str">
        <f ca="1">IFERROR(__xludf.DUMMYFUNCTION("""COMPUTED_VALUE"""),"")</f>
        <v/>
      </c>
      <c r="C17803" s="12" t="str">
        <f ca="1">IFERROR(__xludf.DUMMYFUNCTION("""COMPUTED_VALUE"""),"")</f>
        <v/>
      </c>
      <c r="D17803" s="12" t="str">
        <f ca="1">IFERROR(__xludf.DUMMYFUNCTION("""COMPUTED_VALUE"""),"")</f>
        <v/>
      </c>
    </row>
    <row r="17804" spans="2:4" ht="13">
      <c r="B17804" s="12" t="str">
        <f ca="1">IFERROR(__xludf.DUMMYFUNCTION("""COMPUTED_VALUE"""),"")</f>
        <v/>
      </c>
      <c r="C17804" s="12" t="str">
        <f ca="1">IFERROR(__xludf.DUMMYFUNCTION("""COMPUTED_VALUE"""),"")</f>
        <v/>
      </c>
      <c r="D17804" s="12" t="str">
        <f ca="1">IFERROR(__xludf.DUMMYFUNCTION("""COMPUTED_VALUE"""),"")</f>
        <v/>
      </c>
    </row>
    <row r="17805" spans="2:4" ht="13">
      <c r="B17805" s="12" t="str">
        <f ca="1">IFERROR(__xludf.DUMMYFUNCTION("""COMPUTED_VALUE"""),"")</f>
        <v/>
      </c>
      <c r="C17805" s="12" t="str">
        <f ca="1">IFERROR(__xludf.DUMMYFUNCTION("""COMPUTED_VALUE"""),"")</f>
        <v/>
      </c>
      <c r="D17805" s="12" t="str">
        <f ca="1">IFERROR(__xludf.DUMMYFUNCTION("""COMPUTED_VALUE"""),"")</f>
        <v/>
      </c>
    </row>
    <row r="17806" spans="2:4" ht="13">
      <c r="B17806" s="12" t="str">
        <f ca="1">IFERROR(__xludf.DUMMYFUNCTION("""COMPUTED_VALUE"""),"")</f>
        <v/>
      </c>
      <c r="C17806" s="12" t="str">
        <f ca="1">IFERROR(__xludf.DUMMYFUNCTION("""COMPUTED_VALUE"""),"")</f>
        <v/>
      </c>
      <c r="D17806" s="12" t="str">
        <f ca="1">IFERROR(__xludf.DUMMYFUNCTION("""COMPUTED_VALUE"""),"")</f>
        <v/>
      </c>
    </row>
    <row r="17807" spans="2:4" ht="13">
      <c r="B17807" s="12" t="str">
        <f ca="1">IFERROR(__xludf.DUMMYFUNCTION("""COMPUTED_VALUE"""),"")</f>
        <v/>
      </c>
      <c r="C17807" s="12" t="str">
        <f ca="1">IFERROR(__xludf.DUMMYFUNCTION("""COMPUTED_VALUE"""),"")</f>
        <v/>
      </c>
      <c r="D17807" s="12" t="str">
        <f ca="1">IFERROR(__xludf.DUMMYFUNCTION("""COMPUTED_VALUE"""),"")</f>
        <v/>
      </c>
    </row>
    <row r="17808" spans="2:4" ht="13">
      <c r="B17808" s="12" t="str">
        <f ca="1">IFERROR(__xludf.DUMMYFUNCTION("""COMPUTED_VALUE"""),"")</f>
        <v/>
      </c>
      <c r="C17808" s="12" t="str">
        <f ca="1">IFERROR(__xludf.DUMMYFUNCTION("""COMPUTED_VALUE"""),"")</f>
        <v/>
      </c>
      <c r="D17808" s="12" t="str">
        <f ca="1">IFERROR(__xludf.DUMMYFUNCTION("""COMPUTED_VALUE"""),"")</f>
        <v/>
      </c>
    </row>
    <row r="17809" spans="2:4" ht="13">
      <c r="B17809" s="12" t="str">
        <f ca="1">IFERROR(__xludf.DUMMYFUNCTION("""COMPUTED_VALUE"""),"")</f>
        <v/>
      </c>
      <c r="C17809" s="12" t="str">
        <f ca="1">IFERROR(__xludf.DUMMYFUNCTION("""COMPUTED_VALUE"""),"")</f>
        <v/>
      </c>
      <c r="D17809" s="12" t="str">
        <f ca="1">IFERROR(__xludf.DUMMYFUNCTION("""COMPUTED_VALUE"""),"")</f>
        <v/>
      </c>
    </row>
    <row r="17810" spans="2:4" ht="13">
      <c r="B17810" s="12" t="str">
        <f ca="1">IFERROR(__xludf.DUMMYFUNCTION("""COMPUTED_VALUE"""),"")</f>
        <v/>
      </c>
      <c r="C17810" s="12" t="str">
        <f ca="1">IFERROR(__xludf.DUMMYFUNCTION("""COMPUTED_VALUE"""),"")</f>
        <v/>
      </c>
      <c r="D17810" s="12" t="str">
        <f ca="1">IFERROR(__xludf.DUMMYFUNCTION("""COMPUTED_VALUE"""),"")</f>
        <v/>
      </c>
    </row>
    <row r="17811" spans="2:4" ht="13">
      <c r="B17811" s="12" t="str">
        <f ca="1">IFERROR(__xludf.DUMMYFUNCTION("""COMPUTED_VALUE"""),"")</f>
        <v/>
      </c>
      <c r="C17811" s="12" t="str">
        <f ca="1">IFERROR(__xludf.DUMMYFUNCTION("""COMPUTED_VALUE"""),"")</f>
        <v/>
      </c>
      <c r="D17811" s="12" t="str">
        <f ca="1">IFERROR(__xludf.DUMMYFUNCTION("""COMPUTED_VALUE"""),"")</f>
        <v/>
      </c>
    </row>
    <row r="17812" spans="2:4" ht="13">
      <c r="B17812" s="12" t="str">
        <f ca="1">IFERROR(__xludf.DUMMYFUNCTION("""COMPUTED_VALUE"""),"")</f>
        <v/>
      </c>
      <c r="C17812" s="12" t="str">
        <f ca="1">IFERROR(__xludf.DUMMYFUNCTION("""COMPUTED_VALUE"""),"")</f>
        <v/>
      </c>
      <c r="D17812" s="12" t="str">
        <f ca="1">IFERROR(__xludf.DUMMYFUNCTION("""COMPUTED_VALUE"""),"")</f>
        <v/>
      </c>
    </row>
    <row r="17813" spans="2:4" ht="13">
      <c r="B17813" s="12" t="str">
        <f ca="1">IFERROR(__xludf.DUMMYFUNCTION("""COMPUTED_VALUE"""),"")</f>
        <v/>
      </c>
      <c r="C17813" s="12" t="str">
        <f ca="1">IFERROR(__xludf.DUMMYFUNCTION("""COMPUTED_VALUE"""),"")</f>
        <v/>
      </c>
      <c r="D17813" s="12" t="str">
        <f ca="1">IFERROR(__xludf.DUMMYFUNCTION("""COMPUTED_VALUE"""),"")</f>
        <v/>
      </c>
    </row>
    <row r="17814" spans="2:4" ht="13">
      <c r="B17814" s="12" t="str">
        <f ca="1">IFERROR(__xludf.DUMMYFUNCTION("""COMPUTED_VALUE"""),"")</f>
        <v/>
      </c>
      <c r="C17814" s="12" t="str">
        <f ca="1">IFERROR(__xludf.DUMMYFUNCTION("""COMPUTED_VALUE"""),"")</f>
        <v/>
      </c>
      <c r="D17814" s="12" t="str">
        <f ca="1">IFERROR(__xludf.DUMMYFUNCTION("""COMPUTED_VALUE"""),"")</f>
        <v/>
      </c>
    </row>
    <row r="17815" spans="2:4" ht="13">
      <c r="B17815" s="12" t="str">
        <f ca="1">IFERROR(__xludf.DUMMYFUNCTION("""COMPUTED_VALUE"""),"")</f>
        <v/>
      </c>
      <c r="C17815" s="12" t="str">
        <f ca="1">IFERROR(__xludf.DUMMYFUNCTION("""COMPUTED_VALUE"""),"")</f>
        <v/>
      </c>
      <c r="D17815" s="12" t="str">
        <f ca="1">IFERROR(__xludf.DUMMYFUNCTION("""COMPUTED_VALUE"""),"")</f>
        <v/>
      </c>
    </row>
    <row r="17816" spans="2:4" ht="13">
      <c r="B17816" s="12" t="str">
        <f ca="1">IFERROR(__xludf.DUMMYFUNCTION("""COMPUTED_VALUE"""),"")</f>
        <v/>
      </c>
      <c r="C17816" s="12" t="str">
        <f ca="1">IFERROR(__xludf.DUMMYFUNCTION("""COMPUTED_VALUE"""),"")</f>
        <v/>
      </c>
      <c r="D17816" s="12" t="str">
        <f ca="1">IFERROR(__xludf.DUMMYFUNCTION("""COMPUTED_VALUE"""),"")</f>
        <v/>
      </c>
    </row>
    <row r="17817" spans="2:4" ht="13">
      <c r="B17817" s="12" t="str">
        <f ca="1">IFERROR(__xludf.DUMMYFUNCTION("""COMPUTED_VALUE"""),"")</f>
        <v/>
      </c>
      <c r="C17817" s="12" t="str">
        <f ca="1">IFERROR(__xludf.DUMMYFUNCTION("""COMPUTED_VALUE"""),"")</f>
        <v/>
      </c>
      <c r="D17817" s="12" t="str">
        <f ca="1">IFERROR(__xludf.DUMMYFUNCTION("""COMPUTED_VALUE"""),"")</f>
        <v/>
      </c>
    </row>
    <row r="17818" spans="2:4" ht="13">
      <c r="B17818" s="12" t="str">
        <f ca="1">IFERROR(__xludf.DUMMYFUNCTION("""COMPUTED_VALUE"""),"")</f>
        <v/>
      </c>
      <c r="C17818" s="12" t="str">
        <f ca="1">IFERROR(__xludf.DUMMYFUNCTION("""COMPUTED_VALUE"""),"")</f>
        <v/>
      </c>
      <c r="D17818" s="12" t="str">
        <f ca="1">IFERROR(__xludf.DUMMYFUNCTION("""COMPUTED_VALUE"""),"")</f>
        <v/>
      </c>
    </row>
    <row r="17819" spans="2:4" ht="13">
      <c r="B17819" s="12" t="str">
        <f ca="1">IFERROR(__xludf.DUMMYFUNCTION("""COMPUTED_VALUE"""),"")</f>
        <v/>
      </c>
      <c r="C17819" s="12" t="str">
        <f ca="1">IFERROR(__xludf.DUMMYFUNCTION("""COMPUTED_VALUE"""),"")</f>
        <v/>
      </c>
      <c r="D17819" s="12" t="str">
        <f ca="1">IFERROR(__xludf.DUMMYFUNCTION("""COMPUTED_VALUE"""),"")</f>
        <v/>
      </c>
    </row>
    <row r="17820" spans="2:4" ht="13">
      <c r="B17820" s="12" t="str">
        <f ca="1">IFERROR(__xludf.DUMMYFUNCTION("""COMPUTED_VALUE"""),"")</f>
        <v/>
      </c>
      <c r="C17820" s="12" t="str">
        <f ca="1">IFERROR(__xludf.DUMMYFUNCTION("""COMPUTED_VALUE"""),"")</f>
        <v/>
      </c>
      <c r="D17820" s="12" t="str">
        <f ca="1">IFERROR(__xludf.DUMMYFUNCTION("""COMPUTED_VALUE"""),"")</f>
        <v/>
      </c>
    </row>
    <row r="17821" spans="2:4" ht="13">
      <c r="B17821" s="12" t="str">
        <f ca="1">IFERROR(__xludf.DUMMYFUNCTION("""COMPUTED_VALUE"""),"")</f>
        <v/>
      </c>
      <c r="C17821" s="12" t="str">
        <f ca="1">IFERROR(__xludf.DUMMYFUNCTION("""COMPUTED_VALUE"""),"")</f>
        <v/>
      </c>
      <c r="D17821" s="12" t="str">
        <f ca="1">IFERROR(__xludf.DUMMYFUNCTION("""COMPUTED_VALUE"""),"")</f>
        <v/>
      </c>
    </row>
    <row r="17822" spans="2:4" ht="13">
      <c r="B17822" s="12" t="str">
        <f ca="1">IFERROR(__xludf.DUMMYFUNCTION("""COMPUTED_VALUE"""),"")</f>
        <v/>
      </c>
      <c r="C17822" s="12" t="str">
        <f ca="1">IFERROR(__xludf.DUMMYFUNCTION("""COMPUTED_VALUE"""),"")</f>
        <v/>
      </c>
      <c r="D17822" s="12" t="str">
        <f ca="1">IFERROR(__xludf.DUMMYFUNCTION("""COMPUTED_VALUE"""),"")</f>
        <v/>
      </c>
    </row>
    <row r="17823" spans="2:4" ht="13">
      <c r="B17823" s="12" t="str">
        <f ca="1">IFERROR(__xludf.DUMMYFUNCTION("""COMPUTED_VALUE"""),"")</f>
        <v/>
      </c>
      <c r="C17823" s="12" t="str">
        <f ca="1">IFERROR(__xludf.DUMMYFUNCTION("""COMPUTED_VALUE"""),"")</f>
        <v/>
      </c>
      <c r="D17823" s="12" t="str">
        <f ca="1">IFERROR(__xludf.DUMMYFUNCTION("""COMPUTED_VALUE"""),"")</f>
        <v/>
      </c>
    </row>
    <row r="17824" spans="2:4" ht="13">
      <c r="B17824" s="12" t="str">
        <f ca="1">IFERROR(__xludf.DUMMYFUNCTION("""COMPUTED_VALUE"""),"")</f>
        <v/>
      </c>
      <c r="C17824" s="12" t="str">
        <f ca="1">IFERROR(__xludf.DUMMYFUNCTION("""COMPUTED_VALUE"""),"")</f>
        <v/>
      </c>
      <c r="D17824" s="12" t="str">
        <f ca="1">IFERROR(__xludf.DUMMYFUNCTION("""COMPUTED_VALUE"""),"")</f>
        <v/>
      </c>
    </row>
    <row r="17825" spans="2:4" ht="13">
      <c r="B17825" s="12" t="str">
        <f ca="1">IFERROR(__xludf.DUMMYFUNCTION("""COMPUTED_VALUE"""),"")</f>
        <v/>
      </c>
      <c r="C17825" s="12" t="str">
        <f ca="1">IFERROR(__xludf.DUMMYFUNCTION("""COMPUTED_VALUE"""),"")</f>
        <v/>
      </c>
      <c r="D17825" s="12" t="str">
        <f ca="1">IFERROR(__xludf.DUMMYFUNCTION("""COMPUTED_VALUE"""),"")</f>
        <v/>
      </c>
    </row>
    <row r="17826" spans="2:4" ht="13">
      <c r="B17826" s="12" t="str">
        <f ca="1">IFERROR(__xludf.DUMMYFUNCTION("""COMPUTED_VALUE"""),"")</f>
        <v/>
      </c>
      <c r="C17826" s="12" t="str">
        <f ca="1">IFERROR(__xludf.DUMMYFUNCTION("""COMPUTED_VALUE"""),"")</f>
        <v/>
      </c>
      <c r="D17826" s="12" t="str">
        <f ca="1">IFERROR(__xludf.DUMMYFUNCTION("""COMPUTED_VALUE"""),"")</f>
        <v/>
      </c>
    </row>
    <row r="17827" spans="2:4" ht="13">
      <c r="B17827" s="12" t="str">
        <f ca="1">IFERROR(__xludf.DUMMYFUNCTION("""COMPUTED_VALUE"""),"")</f>
        <v/>
      </c>
      <c r="C17827" s="12" t="str">
        <f ca="1">IFERROR(__xludf.DUMMYFUNCTION("""COMPUTED_VALUE"""),"")</f>
        <v/>
      </c>
      <c r="D17827" s="12" t="str">
        <f ca="1">IFERROR(__xludf.DUMMYFUNCTION("""COMPUTED_VALUE"""),"")</f>
        <v/>
      </c>
    </row>
    <row r="17828" spans="2:4" ht="13">
      <c r="B17828" s="12" t="str">
        <f ca="1">IFERROR(__xludf.DUMMYFUNCTION("""COMPUTED_VALUE"""),"")</f>
        <v/>
      </c>
      <c r="C17828" s="12" t="str">
        <f ca="1">IFERROR(__xludf.DUMMYFUNCTION("""COMPUTED_VALUE"""),"")</f>
        <v/>
      </c>
      <c r="D17828" s="12" t="str">
        <f ca="1">IFERROR(__xludf.DUMMYFUNCTION("""COMPUTED_VALUE"""),"")</f>
        <v/>
      </c>
    </row>
    <row r="17829" spans="2:4" ht="13">
      <c r="B17829" s="12" t="str">
        <f ca="1">IFERROR(__xludf.DUMMYFUNCTION("""COMPUTED_VALUE"""),"")</f>
        <v/>
      </c>
      <c r="C17829" s="12" t="str">
        <f ca="1">IFERROR(__xludf.DUMMYFUNCTION("""COMPUTED_VALUE"""),"")</f>
        <v/>
      </c>
      <c r="D17829" s="12" t="str">
        <f ca="1">IFERROR(__xludf.DUMMYFUNCTION("""COMPUTED_VALUE"""),"")</f>
        <v/>
      </c>
    </row>
    <row r="17830" spans="2:4" ht="13">
      <c r="B17830" s="12" t="str">
        <f ca="1">IFERROR(__xludf.DUMMYFUNCTION("""COMPUTED_VALUE"""),"")</f>
        <v/>
      </c>
      <c r="C17830" s="12" t="str">
        <f ca="1">IFERROR(__xludf.DUMMYFUNCTION("""COMPUTED_VALUE"""),"")</f>
        <v/>
      </c>
      <c r="D17830" s="12" t="str">
        <f ca="1">IFERROR(__xludf.DUMMYFUNCTION("""COMPUTED_VALUE"""),"")</f>
        <v/>
      </c>
    </row>
    <row r="17831" spans="2:4" ht="13">
      <c r="B17831" s="12" t="str">
        <f ca="1">IFERROR(__xludf.DUMMYFUNCTION("""COMPUTED_VALUE"""),"")</f>
        <v/>
      </c>
      <c r="C17831" s="12" t="str">
        <f ca="1">IFERROR(__xludf.DUMMYFUNCTION("""COMPUTED_VALUE"""),"")</f>
        <v/>
      </c>
      <c r="D17831" s="12" t="str">
        <f ca="1">IFERROR(__xludf.DUMMYFUNCTION("""COMPUTED_VALUE"""),"")</f>
        <v/>
      </c>
    </row>
    <row r="17832" spans="2:4" ht="13">
      <c r="B17832" s="12" t="str">
        <f ca="1">IFERROR(__xludf.DUMMYFUNCTION("""COMPUTED_VALUE"""),"")</f>
        <v/>
      </c>
      <c r="C17832" s="12" t="str">
        <f ca="1">IFERROR(__xludf.DUMMYFUNCTION("""COMPUTED_VALUE"""),"")</f>
        <v/>
      </c>
      <c r="D17832" s="12" t="str">
        <f ca="1">IFERROR(__xludf.DUMMYFUNCTION("""COMPUTED_VALUE"""),"")</f>
        <v/>
      </c>
    </row>
    <row r="17833" spans="2:4" ht="13">
      <c r="B17833" s="12" t="str">
        <f ca="1">IFERROR(__xludf.DUMMYFUNCTION("""COMPUTED_VALUE"""),"")</f>
        <v/>
      </c>
      <c r="C17833" s="12" t="str">
        <f ca="1">IFERROR(__xludf.DUMMYFUNCTION("""COMPUTED_VALUE"""),"")</f>
        <v/>
      </c>
      <c r="D17833" s="12" t="str">
        <f ca="1">IFERROR(__xludf.DUMMYFUNCTION("""COMPUTED_VALUE"""),"")</f>
        <v/>
      </c>
    </row>
    <row r="17834" spans="2:4" ht="13">
      <c r="B17834" s="12" t="str">
        <f ca="1">IFERROR(__xludf.DUMMYFUNCTION("""COMPUTED_VALUE"""),"")</f>
        <v/>
      </c>
      <c r="C17834" s="12" t="str">
        <f ca="1">IFERROR(__xludf.DUMMYFUNCTION("""COMPUTED_VALUE"""),"")</f>
        <v/>
      </c>
      <c r="D17834" s="12" t="str">
        <f ca="1">IFERROR(__xludf.DUMMYFUNCTION("""COMPUTED_VALUE"""),"")</f>
        <v/>
      </c>
    </row>
    <row r="17835" spans="2:4" ht="13">
      <c r="B17835" s="12" t="str">
        <f ca="1">IFERROR(__xludf.DUMMYFUNCTION("""COMPUTED_VALUE"""),"")</f>
        <v/>
      </c>
      <c r="C17835" s="12" t="str">
        <f ca="1">IFERROR(__xludf.DUMMYFUNCTION("""COMPUTED_VALUE"""),"")</f>
        <v/>
      </c>
      <c r="D17835" s="12" t="str">
        <f ca="1">IFERROR(__xludf.DUMMYFUNCTION("""COMPUTED_VALUE"""),"")</f>
        <v/>
      </c>
    </row>
    <row r="17836" spans="2:4" ht="13">
      <c r="B17836" s="12" t="str">
        <f ca="1">IFERROR(__xludf.DUMMYFUNCTION("""COMPUTED_VALUE"""),"")</f>
        <v/>
      </c>
      <c r="C17836" s="12" t="str">
        <f ca="1">IFERROR(__xludf.DUMMYFUNCTION("""COMPUTED_VALUE"""),"")</f>
        <v/>
      </c>
      <c r="D17836" s="12" t="str">
        <f ca="1">IFERROR(__xludf.DUMMYFUNCTION("""COMPUTED_VALUE"""),"")</f>
        <v/>
      </c>
    </row>
    <row r="17837" spans="2:4" ht="13">
      <c r="B17837" s="12" t="str">
        <f ca="1">IFERROR(__xludf.DUMMYFUNCTION("""COMPUTED_VALUE"""),"")</f>
        <v/>
      </c>
      <c r="C17837" s="12" t="str">
        <f ca="1">IFERROR(__xludf.DUMMYFUNCTION("""COMPUTED_VALUE"""),"")</f>
        <v/>
      </c>
      <c r="D17837" s="12" t="str">
        <f ca="1">IFERROR(__xludf.DUMMYFUNCTION("""COMPUTED_VALUE"""),"")</f>
        <v/>
      </c>
    </row>
    <row r="17838" spans="2:4" ht="13">
      <c r="B17838" s="12" t="str">
        <f ca="1">IFERROR(__xludf.DUMMYFUNCTION("""COMPUTED_VALUE"""),"")</f>
        <v/>
      </c>
      <c r="C17838" s="12" t="str">
        <f ca="1">IFERROR(__xludf.DUMMYFUNCTION("""COMPUTED_VALUE"""),"")</f>
        <v/>
      </c>
      <c r="D17838" s="12" t="str">
        <f ca="1">IFERROR(__xludf.DUMMYFUNCTION("""COMPUTED_VALUE"""),"")</f>
        <v/>
      </c>
    </row>
    <row r="17839" spans="2:4" ht="13">
      <c r="B17839" s="12" t="str">
        <f ca="1">IFERROR(__xludf.DUMMYFUNCTION("""COMPUTED_VALUE"""),"")</f>
        <v/>
      </c>
      <c r="C17839" s="12" t="str">
        <f ca="1">IFERROR(__xludf.DUMMYFUNCTION("""COMPUTED_VALUE"""),"")</f>
        <v/>
      </c>
      <c r="D17839" s="12" t="str">
        <f ca="1">IFERROR(__xludf.DUMMYFUNCTION("""COMPUTED_VALUE"""),"")</f>
        <v/>
      </c>
    </row>
    <row r="17840" spans="2:4" ht="13">
      <c r="B17840" s="12" t="str">
        <f ca="1">IFERROR(__xludf.DUMMYFUNCTION("""COMPUTED_VALUE"""),"")</f>
        <v/>
      </c>
      <c r="C17840" s="12" t="str">
        <f ca="1">IFERROR(__xludf.DUMMYFUNCTION("""COMPUTED_VALUE"""),"")</f>
        <v/>
      </c>
      <c r="D17840" s="12" t="str">
        <f ca="1">IFERROR(__xludf.DUMMYFUNCTION("""COMPUTED_VALUE"""),"")</f>
        <v/>
      </c>
    </row>
    <row r="17841" spans="2:4" ht="13">
      <c r="B17841" s="12" t="str">
        <f ca="1">IFERROR(__xludf.DUMMYFUNCTION("""COMPUTED_VALUE"""),"")</f>
        <v/>
      </c>
      <c r="C17841" s="12" t="str">
        <f ca="1">IFERROR(__xludf.DUMMYFUNCTION("""COMPUTED_VALUE"""),"")</f>
        <v/>
      </c>
      <c r="D17841" s="12" t="str">
        <f ca="1">IFERROR(__xludf.DUMMYFUNCTION("""COMPUTED_VALUE"""),"")</f>
        <v/>
      </c>
    </row>
    <row r="17842" spans="2:4" ht="13">
      <c r="B17842" s="12" t="str">
        <f ca="1">IFERROR(__xludf.DUMMYFUNCTION("""COMPUTED_VALUE"""),"")</f>
        <v/>
      </c>
      <c r="C17842" s="12" t="str">
        <f ca="1">IFERROR(__xludf.DUMMYFUNCTION("""COMPUTED_VALUE"""),"")</f>
        <v/>
      </c>
      <c r="D17842" s="12" t="str">
        <f ca="1">IFERROR(__xludf.DUMMYFUNCTION("""COMPUTED_VALUE"""),"")</f>
        <v/>
      </c>
    </row>
    <row r="17843" spans="2:4" ht="13">
      <c r="B17843" s="12" t="str">
        <f ca="1">IFERROR(__xludf.DUMMYFUNCTION("""COMPUTED_VALUE"""),"")</f>
        <v/>
      </c>
      <c r="C17843" s="12" t="str">
        <f ca="1">IFERROR(__xludf.DUMMYFUNCTION("""COMPUTED_VALUE"""),"")</f>
        <v/>
      </c>
      <c r="D17843" s="12" t="str">
        <f ca="1">IFERROR(__xludf.DUMMYFUNCTION("""COMPUTED_VALUE"""),"")</f>
        <v/>
      </c>
    </row>
    <row r="17844" spans="2:4" ht="13">
      <c r="B17844" s="12" t="str">
        <f ca="1">IFERROR(__xludf.DUMMYFUNCTION("""COMPUTED_VALUE"""),"")</f>
        <v/>
      </c>
      <c r="C17844" s="12" t="str">
        <f ca="1">IFERROR(__xludf.DUMMYFUNCTION("""COMPUTED_VALUE"""),"")</f>
        <v/>
      </c>
      <c r="D17844" s="12" t="str">
        <f ca="1">IFERROR(__xludf.DUMMYFUNCTION("""COMPUTED_VALUE"""),"")</f>
        <v/>
      </c>
    </row>
    <row r="17845" spans="2:4" ht="13">
      <c r="B17845" s="12" t="str">
        <f ca="1">IFERROR(__xludf.DUMMYFUNCTION("""COMPUTED_VALUE"""),"")</f>
        <v/>
      </c>
      <c r="C17845" s="12" t="str">
        <f ca="1">IFERROR(__xludf.DUMMYFUNCTION("""COMPUTED_VALUE"""),"")</f>
        <v/>
      </c>
      <c r="D17845" s="12" t="str">
        <f ca="1">IFERROR(__xludf.DUMMYFUNCTION("""COMPUTED_VALUE"""),"")</f>
        <v/>
      </c>
    </row>
    <row r="17846" spans="2:4" ht="13">
      <c r="B17846" s="12" t="str">
        <f ca="1">IFERROR(__xludf.DUMMYFUNCTION("""COMPUTED_VALUE"""),"")</f>
        <v/>
      </c>
      <c r="C17846" s="12" t="str">
        <f ca="1">IFERROR(__xludf.DUMMYFUNCTION("""COMPUTED_VALUE"""),"")</f>
        <v/>
      </c>
      <c r="D17846" s="12" t="str">
        <f ca="1">IFERROR(__xludf.DUMMYFUNCTION("""COMPUTED_VALUE"""),"")</f>
        <v/>
      </c>
    </row>
    <row r="17847" spans="2:4" ht="13">
      <c r="B17847" s="12" t="str">
        <f ca="1">IFERROR(__xludf.DUMMYFUNCTION("""COMPUTED_VALUE"""),"")</f>
        <v/>
      </c>
      <c r="C17847" s="12" t="str">
        <f ca="1">IFERROR(__xludf.DUMMYFUNCTION("""COMPUTED_VALUE"""),"")</f>
        <v/>
      </c>
      <c r="D17847" s="12" t="str">
        <f ca="1">IFERROR(__xludf.DUMMYFUNCTION("""COMPUTED_VALUE"""),"")</f>
        <v/>
      </c>
    </row>
    <row r="17848" spans="2:4" ht="13">
      <c r="B17848" s="12" t="str">
        <f ca="1">IFERROR(__xludf.DUMMYFUNCTION("""COMPUTED_VALUE"""),"")</f>
        <v/>
      </c>
      <c r="C17848" s="12" t="str">
        <f ca="1">IFERROR(__xludf.DUMMYFUNCTION("""COMPUTED_VALUE"""),"")</f>
        <v/>
      </c>
      <c r="D17848" s="12" t="str">
        <f ca="1">IFERROR(__xludf.DUMMYFUNCTION("""COMPUTED_VALUE"""),"")</f>
        <v/>
      </c>
    </row>
    <row r="17849" spans="2:4" ht="13">
      <c r="B17849" s="12" t="str">
        <f ca="1">IFERROR(__xludf.DUMMYFUNCTION("""COMPUTED_VALUE"""),"")</f>
        <v/>
      </c>
      <c r="C17849" s="12" t="str">
        <f ca="1">IFERROR(__xludf.DUMMYFUNCTION("""COMPUTED_VALUE"""),"")</f>
        <v/>
      </c>
      <c r="D17849" s="12" t="str">
        <f ca="1">IFERROR(__xludf.DUMMYFUNCTION("""COMPUTED_VALUE"""),"")</f>
        <v/>
      </c>
    </row>
    <row r="17850" spans="2:4" ht="13">
      <c r="B17850" s="12" t="str">
        <f ca="1">IFERROR(__xludf.DUMMYFUNCTION("""COMPUTED_VALUE"""),"")</f>
        <v/>
      </c>
      <c r="C17850" s="12" t="str">
        <f ca="1">IFERROR(__xludf.DUMMYFUNCTION("""COMPUTED_VALUE"""),"")</f>
        <v/>
      </c>
      <c r="D17850" s="12" t="str">
        <f ca="1">IFERROR(__xludf.DUMMYFUNCTION("""COMPUTED_VALUE"""),"")</f>
        <v/>
      </c>
    </row>
    <row r="17851" spans="2:4" ht="13">
      <c r="B17851" s="12" t="str">
        <f ca="1">IFERROR(__xludf.DUMMYFUNCTION("""COMPUTED_VALUE"""),"")</f>
        <v/>
      </c>
      <c r="C17851" s="12" t="str">
        <f ca="1">IFERROR(__xludf.DUMMYFUNCTION("""COMPUTED_VALUE"""),"")</f>
        <v/>
      </c>
      <c r="D17851" s="12" t="str">
        <f ca="1">IFERROR(__xludf.DUMMYFUNCTION("""COMPUTED_VALUE"""),"")</f>
        <v/>
      </c>
    </row>
    <row r="17852" spans="2:4" ht="13">
      <c r="B17852" s="12" t="str">
        <f ca="1">IFERROR(__xludf.DUMMYFUNCTION("""COMPUTED_VALUE"""),"")</f>
        <v/>
      </c>
      <c r="C17852" s="12" t="str">
        <f ca="1">IFERROR(__xludf.DUMMYFUNCTION("""COMPUTED_VALUE"""),"")</f>
        <v/>
      </c>
      <c r="D17852" s="12" t="str">
        <f ca="1">IFERROR(__xludf.DUMMYFUNCTION("""COMPUTED_VALUE"""),"")</f>
        <v/>
      </c>
    </row>
    <row r="17853" spans="2:4" ht="13">
      <c r="B17853" s="12" t="str">
        <f ca="1">IFERROR(__xludf.DUMMYFUNCTION("""COMPUTED_VALUE"""),"")</f>
        <v/>
      </c>
      <c r="C17853" s="12" t="str">
        <f ca="1">IFERROR(__xludf.DUMMYFUNCTION("""COMPUTED_VALUE"""),"")</f>
        <v/>
      </c>
      <c r="D17853" s="12" t="str">
        <f ca="1">IFERROR(__xludf.DUMMYFUNCTION("""COMPUTED_VALUE"""),"")</f>
        <v/>
      </c>
    </row>
    <row r="17854" spans="2:4" ht="13">
      <c r="B17854" s="12" t="str">
        <f ca="1">IFERROR(__xludf.DUMMYFUNCTION("""COMPUTED_VALUE"""),"")</f>
        <v/>
      </c>
      <c r="C17854" s="12" t="str">
        <f ca="1">IFERROR(__xludf.DUMMYFUNCTION("""COMPUTED_VALUE"""),"")</f>
        <v/>
      </c>
      <c r="D17854" s="12" t="str">
        <f ca="1">IFERROR(__xludf.DUMMYFUNCTION("""COMPUTED_VALUE"""),"")</f>
        <v/>
      </c>
    </row>
    <row r="17855" spans="2:4" ht="13">
      <c r="B17855" s="12" t="str">
        <f ca="1">IFERROR(__xludf.DUMMYFUNCTION("""COMPUTED_VALUE"""),"")</f>
        <v/>
      </c>
      <c r="C17855" s="12" t="str">
        <f ca="1">IFERROR(__xludf.DUMMYFUNCTION("""COMPUTED_VALUE"""),"")</f>
        <v/>
      </c>
      <c r="D17855" s="12" t="str">
        <f ca="1">IFERROR(__xludf.DUMMYFUNCTION("""COMPUTED_VALUE"""),"")</f>
        <v/>
      </c>
    </row>
    <row r="17856" spans="2:4" ht="13">
      <c r="B17856" s="12" t="str">
        <f ca="1">IFERROR(__xludf.DUMMYFUNCTION("""COMPUTED_VALUE"""),"")</f>
        <v/>
      </c>
      <c r="C17856" s="12" t="str">
        <f ca="1">IFERROR(__xludf.DUMMYFUNCTION("""COMPUTED_VALUE"""),"")</f>
        <v/>
      </c>
      <c r="D17856" s="12" t="str">
        <f ca="1">IFERROR(__xludf.DUMMYFUNCTION("""COMPUTED_VALUE"""),"")</f>
        <v/>
      </c>
    </row>
    <row r="17857" spans="2:4" ht="13">
      <c r="B17857" s="12" t="str">
        <f ca="1">IFERROR(__xludf.DUMMYFUNCTION("""COMPUTED_VALUE"""),"")</f>
        <v/>
      </c>
      <c r="C17857" s="12" t="str">
        <f ca="1">IFERROR(__xludf.DUMMYFUNCTION("""COMPUTED_VALUE"""),"")</f>
        <v/>
      </c>
      <c r="D17857" s="12" t="str">
        <f ca="1">IFERROR(__xludf.DUMMYFUNCTION("""COMPUTED_VALUE"""),"")</f>
        <v/>
      </c>
    </row>
    <row r="17858" spans="2:4" ht="13">
      <c r="B17858" s="12" t="str">
        <f ca="1">IFERROR(__xludf.DUMMYFUNCTION("""COMPUTED_VALUE"""),"")</f>
        <v/>
      </c>
      <c r="C17858" s="12" t="str">
        <f ca="1">IFERROR(__xludf.DUMMYFUNCTION("""COMPUTED_VALUE"""),"")</f>
        <v/>
      </c>
      <c r="D17858" s="12" t="str">
        <f ca="1">IFERROR(__xludf.DUMMYFUNCTION("""COMPUTED_VALUE"""),"")</f>
        <v/>
      </c>
    </row>
    <row r="17859" spans="2:4" ht="13">
      <c r="B17859" s="12" t="str">
        <f ca="1">IFERROR(__xludf.DUMMYFUNCTION("""COMPUTED_VALUE"""),"")</f>
        <v/>
      </c>
      <c r="C17859" s="12" t="str">
        <f ca="1">IFERROR(__xludf.DUMMYFUNCTION("""COMPUTED_VALUE"""),"")</f>
        <v/>
      </c>
      <c r="D17859" s="12" t="str">
        <f ca="1">IFERROR(__xludf.DUMMYFUNCTION("""COMPUTED_VALUE"""),"")</f>
        <v/>
      </c>
    </row>
    <row r="17860" spans="2:4" ht="13">
      <c r="B17860" s="12" t="str">
        <f ca="1">IFERROR(__xludf.DUMMYFUNCTION("""COMPUTED_VALUE"""),"")</f>
        <v/>
      </c>
      <c r="C17860" s="12" t="str">
        <f ca="1">IFERROR(__xludf.DUMMYFUNCTION("""COMPUTED_VALUE"""),"")</f>
        <v/>
      </c>
      <c r="D17860" s="12" t="str">
        <f ca="1">IFERROR(__xludf.DUMMYFUNCTION("""COMPUTED_VALUE"""),"")</f>
        <v/>
      </c>
    </row>
    <row r="17861" spans="2:4" ht="13">
      <c r="B17861" s="12" t="str">
        <f ca="1">IFERROR(__xludf.DUMMYFUNCTION("""COMPUTED_VALUE"""),"")</f>
        <v/>
      </c>
      <c r="C17861" s="12" t="str">
        <f ca="1">IFERROR(__xludf.DUMMYFUNCTION("""COMPUTED_VALUE"""),"")</f>
        <v/>
      </c>
      <c r="D17861" s="12" t="str">
        <f ca="1">IFERROR(__xludf.DUMMYFUNCTION("""COMPUTED_VALUE"""),"")</f>
        <v/>
      </c>
    </row>
    <row r="17862" spans="2:4" ht="13">
      <c r="B17862" s="12" t="str">
        <f ca="1">IFERROR(__xludf.DUMMYFUNCTION("""COMPUTED_VALUE"""),"")</f>
        <v/>
      </c>
      <c r="C17862" s="12" t="str">
        <f ca="1">IFERROR(__xludf.DUMMYFUNCTION("""COMPUTED_VALUE"""),"")</f>
        <v/>
      </c>
      <c r="D17862" s="12" t="str">
        <f ca="1">IFERROR(__xludf.DUMMYFUNCTION("""COMPUTED_VALUE"""),"")</f>
        <v/>
      </c>
    </row>
    <row r="17863" spans="2:4" ht="13">
      <c r="B17863" s="12" t="str">
        <f ca="1">IFERROR(__xludf.DUMMYFUNCTION("""COMPUTED_VALUE"""),"")</f>
        <v/>
      </c>
      <c r="C17863" s="12" t="str">
        <f ca="1">IFERROR(__xludf.DUMMYFUNCTION("""COMPUTED_VALUE"""),"")</f>
        <v/>
      </c>
      <c r="D17863" s="12" t="str">
        <f ca="1">IFERROR(__xludf.DUMMYFUNCTION("""COMPUTED_VALUE"""),"")</f>
        <v/>
      </c>
    </row>
    <row r="17864" spans="2:4" ht="13">
      <c r="B17864" s="12" t="str">
        <f ca="1">IFERROR(__xludf.DUMMYFUNCTION("""COMPUTED_VALUE"""),"")</f>
        <v/>
      </c>
      <c r="C17864" s="12" t="str">
        <f ca="1">IFERROR(__xludf.DUMMYFUNCTION("""COMPUTED_VALUE"""),"")</f>
        <v/>
      </c>
      <c r="D17864" s="12" t="str">
        <f ca="1">IFERROR(__xludf.DUMMYFUNCTION("""COMPUTED_VALUE"""),"")</f>
        <v/>
      </c>
    </row>
    <row r="17865" spans="2:4" ht="13">
      <c r="B17865" s="12" t="str">
        <f ca="1">IFERROR(__xludf.DUMMYFUNCTION("""COMPUTED_VALUE"""),"")</f>
        <v/>
      </c>
      <c r="C17865" s="12" t="str">
        <f ca="1">IFERROR(__xludf.DUMMYFUNCTION("""COMPUTED_VALUE"""),"")</f>
        <v/>
      </c>
      <c r="D17865" s="12" t="str">
        <f ca="1">IFERROR(__xludf.DUMMYFUNCTION("""COMPUTED_VALUE"""),"")</f>
        <v/>
      </c>
    </row>
    <row r="17866" spans="2:4" ht="13">
      <c r="B17866" s="12" t="str">
        <f ca="1">IFERROR(__xludf.DUMMYFUNCTION("""COMPUTED_VALUE"""),"")</f>
        <v/>
      </c>
      <c r="C17866" s="12" t="str">
        <f ca="1">IFERROR(__xludf.DUMMYFUNCTION("""COMPUTED_VALUE"""),"")</f>
        <v/>
      </c>
      <c r="D17866" s="12" t="str">
        <f ca="1">IFERROR(__xludf.DUMMYFUNCTION("""COMPUTED_VALUE"""),"")</f>
        <v/>
      </c>
    </row>
    <row r="17867" spans="2:4" ht="13">
      <c r="B17867" s="12" t="str">
        <f ca="1">IFERROR(__xludf.DUMMYFUNCTION("""COMPUTED_VALUE"""),"")</f>
        <v/>
      </c>
      <c r="C17867" s="12" t="str">
        <f ca="1">IFERROR(__xludf.DUMMYFUNCTION("""COMPUTED_VALUE"""),"")</f>
        <v/>
      </c>
      <c r="D17867" s="12" t="str">
        <f ca="1">IFERROR(__xludf.DUMMYFUNCTION("""COMPUTED_VALUE"""),"")</f>
        <v/>
      </c>
    </row>
    <row r="17868" spans="2:4" ht="13">
      <c r="B17868" s="12" t="str">
        <f ca="1">IFERROR(__xludf.DUMMYFUNCTION("""COMPUTED_VALUE"""),"")</f>
        <v/>
      </c>
      <c r="C17868" s="12" t="str">
        <f ca="1">IFERROR(__xludf.DUMMYFUNCTION("""COMPUTED_VALUE"""),"")</f>
        <v/>
      </c>
      <c r="D17868" s="12" t="str">
        <f ca="1">IFERROR(__xludf.DUMMYFUNCTION("""COMPUTED_VALUE"""),"")</f>
        <v/>
      </c>
    </row>
    <row r="17869" spans="2:4" ht="13">
      <c r="B17869" s="12" t="str">
        <f ca="1">IFERROR(__xludf.DUMMYFUNCTION("""COMPUTED_VALUE"""),"")</f>
        <v/>
      </c>
      <c r="C17869" s="12" t="str">
        <f ca="1">IFERROR(__xludf.DUMMYFUNCTION("""COMPUTED_VALUE"""),"")</f>
        <v/>
      </c>
      <c r="D17869" s="12" t="str">
        <f ca="1">IFERROR(__xludf.DUMMYFUNCTION("""COMPUTED_VALUE"""),"")</f>
        <v/>
      </c>
    </row>
    <row r="17870" spans="2:4" ht="13">
      <c r="B17870" s="12" t="str">
        <f ca="1">IFERROR(__xludf.DUMMYFUNCTION("""COMPUTED_VALUE"""),"")</f>
        <v/>
      </c>
      <c r="C17870" s="12" t="str">
        <f ca="1">IFERROR(__xludf.DUMMYFUNCTION("""COMPUTED_VALUE"""),"")</f>
        <v/>
      </c>
      <c r="D17870" s="12" t="str">
        <f ca="1">IFERROR(__xludf.DUMMYFUNCTION("""COMPUTED_VALUE"""),"")</f>
        <v/>
      </c>
    </row>
    <row r="17871" spans="2:4" ht="13">
      <c r="B17871" s="12" t="str">
        <f ca="1">IFERROR(__xludf.DUMMYFUNCTION("""COMPUTED_VALUE"""),"")</f>
        <v/>
      </c>
      <c r="C17871" s="12" t="str">
        <f ca="1">IFERROR(__xludf.DUMMYFUNCTION("""COMPUTED_VALUE"""),"")</f>
        <v/>
      </c>
      <c r="D17871" s="12" t="str">
        <f ca="1">IFERROR(__xludf.DUMMYFUNCTION("""COMPUTED_VALUE"""),"")</f>
        <v/>
      </c>
    </row>
    <row r="17872" spans="2:4" ht="13">
      <c r="B17872" s="12" t="str">
        <f ca="1">IFERROR(__xludf.DUMMYFUNCTION("""COMPUTED_VALUE"""),"")</f>
        <v/>
      </c>
      <c r="C17872" s="12" t="str">
        <f ca="1">IFERROR(__xludf.DUMMYFUNCTION("""COMPUTED_VALUE"""),"")</f>
        <v/>
      </c>
      <c r="D17872" s="12" t="str">
        <f ca="1">IFERROR(__xludf.DUMMYFUNCTION("""COMPUTED_VALUE"""),"")</f>
        <v/>
      </c>
    </row>
    <row r="17873" spans="2:4" ht="13">
      <c r="B17873" s="12" t="str">
        <f ca="1">IFERROR(__xludf.DUMMYFUNCTION("""COMPUTED_VALUE"""),"")</f>
        <v/>
      </c>
      <c r="C17873" s="12" t="str">
        <f ca="1">IFERROR(__xludf.DUMMYFUNCTION("""COMPUTED_VALUE"""),"")</f>
        <v/>
      </c>
      <c r="D17873" s="12" t="str">
        <f ca="1">IFERROR(__xludf.DUMMYFUNCTION("""COMPUTED_VALUE"""),"")</f>
        <v/>
      </c>
    </row>
    <row r="17874" spans="2:4" ht="13">
      <c r="B17874" s="12" t="str">
        <f ca="1">IFERROR(__xludf.DUMMYFUNCTION("""COMPUTED_VALUE"""),"")</f>
        <v/>
      </c>
      <c r="C17874" s="12" t="str">
        <f ca="1">IFERROR(__xludf.DUMMYFUNCTION("""COMPUTED_VALUE"""),"")</f>
        <v/>
      </c>
      <c r="D17874" s="12" t="str">
        <f ca="1">IFERROR(__xludf.DUMMYFUNCTION("""COMPUTED_VALUE"""),"")</f>
        <v/>
      </c>
    </row>
    <row r="17875" spans="2:4" ht="13">
      <c r="B17875" s="12" t="str">
        <f ca="1">IFERROR(__xludf.DUMMYFUNCTION("""COMPUTED_VALUE"""),"")</f>
        <v/>
      </c>
      <c r="C17875" s="12" t="str">
        <f ca="1">IFERROR(__xludf.DUMMYFUNCTION("""COMPUTED_VALUE"""),"")</f>
        <v/>
      </c>
      <c r="D17875" s="12" t="str">
        <f ca="1">IFERROR(__xludf.DUMMYFUNCTION("""COMPUTED_VALUE"""),"")</f>
        <v/>
      </c>
    </row>
    <row r="17876" spans="2:4" ht="13">
      <c r="B17876" s="12" t="str">
        <f ca="1">IFERROR(__xludf.DUMMYFUNCTION("""COMPUTED_VALUE"""),"")</f>
        <v/>
      </c>
      <c r="C17876" s="12" t="str">
        <f ca="1">IFERROR(__xludf.DUMMYFUNCTION("""COMPUTED_VALUE"""),"")</f>
        <v/>
      </c>
      <c r="D17876" s="12" t="str">
        <f ca="1">IFERROR(__xludf.DUMMYFUNCTION("""COMPUTED_VALUE"""),"")</f>
        <v/>
      </c>
    </row>
    <row r="17877" spans="2:4" ht="13">
      <c r="B17877" s="12" t="str">
        <f ca="1">IFERROR(__xludf.DUMMYFUNCTION("""COMPUTED_VALUE"""),"")</f>
        <v/>
      </c>
      <c r="C17877" s="12" t="str">
        <f ca="1">IFERROR(__xludf.DUMMYFUNCTION("""COMPUTED_VALUE"""),"")</f>
        <v/>
      </c>
      <c r="D17877" s="12" t="str">
        <f ca="1">IFERROR(__xludf.DUMMYFUNCTION("""COMPUTED_VALUE"""),"")</f>
        <v/>
      </c>
    </row>
    <row r="17878" spans="2:4" ht="13">
      <c r="B17878" s="12" t="str">
        <f ca="1">IFERROR(__xludf.DUMMYFUNCTION("""COMPUTED_VALUE"""),"")</f>
        <v/>
      </c>
      <c r="C17878" s="12" t="str">
        <f ca="1">IFERROR(__xludf.DUMMYFUNCTION("""COMPUTED_VALUE"""),"")</f>
        <v/>
      </c>
      <c r="D17878" s="12" t="str">
        <f ca="1">IFERROR(__xludf.DUMMYFUNCTION("""COMPUTED_VALUE"""),"")</f>
        <v/>
      </c>
    </row>
    <row r="17879" spans="2:4" ht="13">
      <c r="B17879" s="12" t="str">
        <f ca="1">IFERROR(__xludf.DUMMYFUNCTION("""COMPUTED_VALUE"""),"")</f>
        <v/>
      </c>
      <c r="C17879" s="12" t="str">
        <f ca="1">IFERROR(__xludf.DUMMYFUNCTION("""COMPUTED_VALUE"""),"")</f>
        <v/>
      </c>
      <c r="D17879" s="12" t="str">
        <f ca="1">IFERROR(__xludf.DUMMYFUNCTION("""COMPUTED_VALUE"""),"")</f>
        <v/>
      </c>
    </row>
    <row r="17880" spans="2:4" ht="13">
      <c r="B17880" s="12" t="str">
        <f ca="1">IFERROR(__xludf.DUMMYFUNCTION("""COMPUTED_VALUE"""),"")</f>
        <v/>
      </c>
      <c r="C17880" s="12" t="str">
        <f ca="1">IFERROR(__xludf.DUMMYFUNCTION("""COMPUTED_VALUE"""),"")</f>
        <v/>
      </c>
      <c r="D17880" s="12" t="str">
        <f ca="1">IFERROR(__xludf.DUMMYFUNCTION("""COMPUTED_VALUE"""),"")</f>
        <v/>
      </c>
    </row>
    <row r="17881" spans="2:4" ht="13">
      <c r="B17881" s="12" t="str">
        <f ca="1">IFERROR(__xludf.DUMMYFUNCTION("""COMPUTED_VALUE"""),"")</f>
        <v/>
      </c>
      <c r="C17881" s="12" t="str">
        <f ca="1">IFERROR(__xludf.DUMMYFUNCTION("""COMPUTED_VALUE"""),"")</f>
        <v/>
      </c>
      <c r="D17881" s="12" t="str">
        <f ca="1">IFERROR(__xludf.DUMMYFUNCTION("""COMPUTED_VALUE"""),"")</f>
        <v/>
      </c>
    </row>
    <row r="17882" spans="2:4" ht="13">
      <c r="B17882" s="12" t="str">
        <f ca="1">IFERROR(__xludf.DUMMYFUNCTION("""COMPUTED_VALUE"""),"")</f>
        <v/>
      </c>
      <c r="C17882" s="12" t="str">
        <f ca="1">IFERROR(__xludf.DUMMYFUNCTION("""COMPUTED_VALUE"""),"")</f>
        <v/>
      </c>
      <c r="D17882" s="12" t="str">
        <f ca="1">IFERROR(__xludf.DUMMYFUNCTION("""COMPUTED_VALUE"""),"")</f>
        <v/>
      </c>
    </row>
    <row r="17883" spans="2:4" ht="13">
      <c r="B17883" s="12" t="str">
        <f ca="1">IFERROR(__xludf.DUMMYFUNCTION("""COMPUTED_VALUE"""),"")</f>
        <v/>
      </c>
      <c r="C17883" s="12" t="str">
        <f ca="1">IFERROR(__xludf.DUMMYFUNCTION("""COMPUTED_VALUE"""),"")</f>
        <v/>
      </c>
      <c r="D17883" s="12" t="str">
        <f ca="1">IFERROR(__xludf.DUMMYFUNCTION("""COMPUTED_VALUE"""),"")</f>
        <v/>
      </c>
    </row>
    <row r="17884" spans="2:4" ht="13">
      <c r="B17884" s="12" t="str">
        <f ca="1">IFERROR(__xludf.DUMMYFUNCTION("""COMPUTED_VALUE"""),"")</f>
        <v/>
      </c>
      <c r="C17884" s="12" t="str">
        <f ca="1">IFERROR(__xludf.DUMMYFUNCTION("""COMPUTED_VALUE"""),"")</f>
        <v/>
      </c>
      <c r="D17884" s="12" t="str">
        <f ca="1">IFERROR(__xludf.DUMMYFUNCTION("""COMPUTED_VALUE"""),"")</f>
        <v/>
      </c>
    </row>
    <row r="17885" spans="2:4" ht="13">
      <c r="B17885" s="12" t="str">
        <f ca="1">IFERROR(__xludf.DUMMYFUNCTION("""COMPUTED_VALUE"""),"")</f>
        <v/>
      </c>
      <c r="C17885" s="12" t="str">
        <f ca="1">IFERROR(__xludf.DUMMYFUNCTION("""COMPUTED_VALUE"""),"")</f>
        <v/>
      </c>
      <c r="D17885" s="12" t="str">
        <f ca="1">IFERROR(__xludf.DUMMYFUNCTION("""COMPUTED_VALUE"""),"")</f>
        <v/>
      </c>
    </row>
    <row r="17886" spans="2:4" ht="13">
      <c r="B17886" s="12" t="str">
        <f ca="1">IFERROR(__xludf.DUMMYFUNCTION("""COMPUTED_VALUE"""),"")</f>
        <v/>
      </c>
      <c r="C17886" s="12" t="str">
        <f ca="1">IFERROR(__xludf.DUMMYFUNCTION("""COMPUTED_VALUE"""),"")</f>
        <v/>
      </c>
      <c r="D17886" s="12" t="str">
        <f ca="1">IFERROR(__xludf.DUMMYFUNCTION("""COMPUTED_VALUE"""),"")</f>
        <v/>
      </c>
    </row>
    <row r="17887" spans="2:4" ht="13">
      <c r="B17887" s="12" t="str">
        <f ca="1">IFERROR(__xludf.DUMMYFUNCTION("""COMPUTED_VALUE"""),"")</f>
        <v/>
      </c>
      <c r="C17887" s="12" t="str">
        <f ca="1">IFERROR(__xludf.DUMMYFUNCTION("""COMPUTED_VALUE"""),"")</f>
        <v/>
      </c>
      <c r="D17887" s="12" t="str">
        <f ca="1">IFERROR(__xludf.DUMMYFUNCTION("""COMPUTED_VALUE"""),"")</f>
        <v/>
      </c>
    </row>
    <row r="17888" spans="2:4" ht="13">
      <c r="B17888" s="12" t="str">
        <f ca="1">IFERROR(__xludf.DUMMYFUNCTION("""COMPUTED_VALUE"""),"")</f>
        <v/>
      </c>
      <c r="C17888" s="12" t="str">
        <f ca="1">IFERROR(__xludf.DUMMYFUNCTION("""COMPUTED_VALUE"""),"")</f>
        <v/>
      </c>
      <c r="D17888" s="12" t="str">
        <f ca="1">IFERROR(__xludf.DUMMYFUNCTION("""COMPUTED_VALUE"""),"")</f>
        <v/>
      </c>
    </row>
    <row r="17889" spans="2:4" ht="13">
      <c r="B17889" s="12" t="str">
        <f ca="1">IFERROR(__xludf.DUMMYFUNCTION("""COMPUTED_VALUE"""),"")</f>
        <v/>
      </c>
      <c r="C17889" s="12" t="str">
        <f ca="1">IFERROR(__xludf.DUMMYFUNCTION("""COMPUTED_VALUE"""),"")</f>
        <v/>
      </c>
      <c r="D17889" s="12" t="str">
        <f ca="1">IFERROR(__xludf.DUMMYFUNCTION("""COMPUTED_VALUE"""),"")</f>
        <v/>
      </c>
    </row>
    <row r="17890" spans="2:4" ht="13">
      <c r="B17890" s="12" t="str">
        <f ca="1">IFERROR(__xludf.DUMMYFUNCTION("""COMPUTED_VALUE"""),"")</f>
        <v/>
      </c>
      <c r="C17890" s="12" t="str">
        <f ca="1">IFERROR(__xludf.DUMMYFUNCTION("""COMPUTED_VALUE"""),"")</f>
        <v/>
      </c>
      <c r="D17890" s="12" t="str">
        <f ca="1">IFERROR(__xludf.DUMMYFUNCTION("""COMPUTED_VALUE"""),"")</f>
        <v/>
      </c>
    </row>
    <row r="17891" spans="2:4" ht="13">
      <c r="B17891" s="12" t="str">
        <f ca="1">IFERROR(__xludf.DUMMYFUNCTION("""COMPUTED_VALUE"""),"")</f>
        <v/>
      </c>
      <c r="C17891" s="12" t="str">
        <f ca="1">IFERROR(__xludf.DUMMYFUNCTION("""COMPUTED_VALUE"""),"")</f>
        <v/>
      </c>
      <c r="D17891" s="12" t="str">
        <f ca="1">IFERROR(__xludf.DUMMYFUNCTION("""COMPUTED_VALUE"""),"")</f>
        <v/>
      </c>
    </row>
    <row r="17892" spans="2:4" ht="13">
      <c r="B17892" s="12" t="str">
        <f ca="1">IFERROR(__xludf.DUMMYFUNCTION("""COMPUTED_VALUE"""),"")</f>
        <v/>
      </c>
      <c r="C17892" s="12" t="str">
        <f ca="1">IFERROR(__xludf.DUMMYFUNCTION("""COMPUTED_VALUE"""),"")</f>
        <v/>
      </c>
      <c r="D17892" s="12" t="str">
        <f ca="1">IFERROR(__xludf.DUMMYFUNCTION("""COMPUTED_VALUE"""),"")</f>
        <v/>
      </c>
    </row>
    <row r="17893" spans="2:4" ht="13">
      <c r="B17893" s="12" t="str">
        <f ca="1">IFERROR(__xludf.DUMMYFUNCTION("""COMPUTED_VALUE"""),"")</f>
        <v/>
      </c>
      <c r="C17893" s="12" t="str">
        <f ca="1">IFERROR(__xludf.DUMMYFUNCTION("""COMPUTED_VALUE"""),"")</f>
        <v/>
      </c>
      <c r="D17893" s="12" t="str">
        <f ca="1">IFERROR(__xludf.DUMMYFUNCTION("""COMPUTED_VALUE"""),"")</f>
        <v/>
      </c>
    </row>
    <row r="17894" spans="2:4" ht="13">
      <c r="B17894" s="12" t="str">
        <f ca="1">IFERROR(__xludf.DUMMYFUNCTION("""COMPUTED_VALUE"""),"")</f>
        <v/>
      </c>
      <c r="C17894" s="12" t="str">
        <f ca="1">IFERROR(__xludf.DUMMYFUNCTION("""COMPUTED_VALUE"""),"")</f>
        <v/>
      </c>
      <c r="D17894" s="12" t="str">
        <f ca="1">IFERROR(__xludf.DUMMYFUNCTION("""COMPUTED_VALUE"""),"")</f>
        <v/>
      </c>
    </row>
    <row r="17895" spans="2:4" ht="13">
      <c r="B17895" s="12" t="str">
        <f ca="1">IFERROR(__xludf.DUMMYFUNCTION("""COMPUTED_VALUE"""),"")</f>
        <v/>
      </c>
      <c r="C17895" s="12" t="str">
        <f ca="1">IFERROR(__xludf.DUMMYFUNCTION("""COMPUTED_VALUE"""),"")</f>
        <v/>
      </c>
      <c r="D17895" s="12" t="str">
        <f ca="1">IFERROR(__xludf.DUMMYFUNCTION("""COMPUTED_VALUE"""),"")</f>
        <v/>
      </c>
    </row>
    <row r="17896" spans="2:4" ht="13">
      <c r="B17896" s="12" t="str">
        <f ca="1">IFERROR(__xludf.DUMMYFUNCTION("""COMPUTED_VALUE"""),"")</f>
        <v/>
      </c>
      <c r="C17896" s="12" t="str">
        <f ca="1">IFERROR(__xludf.DUMMYFUNCTION("""COMPUTED_VALUE"""),"")</f>
        <v/>
      </c>
      <c r="D17896" s="12" t="str">
        <f ca="1">IFERROR(__xludf.DUMMYFUNCTION("""COMPUTED_VALUE"""),"")</f>
        <v/>
      </c>
    </row>
    <row r="17897" spans="2:4" ht="13">
      <c r="B17897" s="12" t="str">
        <f ca="1">IFERROR(__xludf.DUMMYFUNCTION("""COMPUTED_VALUE"""),"")</f>
        <v/>
      </c>
      <c r="C17897" s="12" t="str">
        <f ca="1">IFERROR(__xludf.DUMMYFUNCTION("""COMPUTED_VALUE"""),"")</f>
        <v/>
      </c>
      <c r="D17897" s="12" t="str">
        <f ca="1">IFERROR(__xludf.DUMMYFUNCTION("""COMPUTED_VALUE"""),"")</f>
        <v/>
      </c>
    </row>
    <row r="17898" spans="2:4" ht="13">
      <c r="B17898" s="12" t="str">
        <f ca="1">IFERROR(__xludf.DUMMYFUNCTION("""COMPUTED_VALUE"""),"")</f>
        <v/>
      </c>
      <c r="C17898" s="12" t="str">
        <f ca="1">IFERROR(__xludf.DUMMYFUNCTION("""COMPUTED_VALUE"""),"")</f>
        <v/>
      </c>
      <c r="D17898" s="12" t="str">
        <f ca="1">IFERROR(__xludf.DUMMYFUNCTION("""COMPUTED_VALUE"""),"")</f>
        <v/>
      </c>
    </row>
    <row r="17899" spans="2:4" ht="13">
      <c r="B17899" s="12" t="str">
        <f ca="1">IFERROR(__xludf.DUMMYFUNCTION("""COMPUTED_VALUE"""),"")</f>
        <v/>
      </c>
      <c r="C17899" s="12" t="str">
        <f ca="1">IFERROR(__xludf.DUMMYFUNCTION("""COMPUTED_VALUE"""),"")</f>
        <v/>
      </c>
      <c r="D17899" s="12" t="str">
        <f ca="1">IFERROR(__xludf.DUMMYFUNCTION("""COMPUTED_VALUE"""),"")</f>
        <v/>
      </c>
    </row>
    <row r="17900" spans="2:4" ht="13">
      <c r="B17900" s="12" t="str">
        <f ca="1">IFERROR(__xludf.DUMMYFUNCTION("""COMPUTED_VALUE"""),"")</f>
        <v/>
      </c>
      <c r="C17900" s="12" t="str">
        <f ca="1">IFERROR(__xludf.DUMMYFUNCTION("""COMPUTED_VALUE"""),"")</f>
        <v/>
      </c>
      <c r="D17900" s="12" t="str">
        <f ca="1">IFERROR(__xludf.DUMMYFUNCTION("""COMPUTED_VALUE"""),"")</f>
        <v/>
      </c>
    </row>
    <row r="17901" spans="2:4" ht="13">
      <c r="B17901" s="12" t="str">
        <f ca="1">IFERROR(__xludf.DUMMYFUNCTION("""COMPUTED_VALUE"""),"")</f>
        <v/>
      </c>
      <c r="C17901" s="12" t="str">
        <f ca="1">IFERROR(__xludf.DUMMYFUNCTION("""COMPUTED_VALUE"""),"")</f>
        <v/>
      </c>
      <c r="D17901" s="12" t="str">
        <f ca="1">IFERROR(__xludf.DUMMYFUNCTION("""COMPUTED_VALUE"""),"")</f>
        <v/>
      </c>
    </row>
    <row r="17902" spans="2:4" ht="13">
      <c r="B17902" s="12" t="str">
        <f ca="1">IFERROR(__xludf.DUMMYFUNCTION("""COMPUTED_VALUE"""),"")</f>
        <v/>
      </c>
      <c r="C17902" s="12" t="str">
        <f ca="1">IFERROR(__xludf.DUMMYFUNCTION("""COMPUTED_VALUE"""),"")</f>
        <v/>
      </c>
      <c r="D17902" s="12" t="str">
        <f ca="1">IFERROR(__xludf.DUMMYFUNCTION("""COMPUTED_VALUE"""),"")</f>
        <v/>
      </c>
    </row>
    <row r="17903" spans="2:4" ht="13">
      <c r="B17903" s="12" t="str">
        <f ca="1">IFERROR(__xludf.DUMMYFUNCTION("""COMPUTED_VALUE"""),"")</f>
        <v/>
      </c>
      <c r="C17903" s="12" t="str">
        <f ca="1">IFERROR(__xludf.DUMMYFUNCTION("""COMPUTED_VALUE"""),"")</f>
        <v/>
      </c>
      <c r="D17903" s="12" t="str">
        <f ca="1">IFERROR(__xludf.DUMMYFUNCTION("""COMPUTED_VALUE"""),"")</f>
        <v/>
      </c>
    </row>
    <row r="17904" spans="2:4" ht="13">
      <c r="B17904" s="12" t="str">
        <f ca="1">IFERROR(__xludf.DUMMYFUNCTION("""COMPUTED_VALUE"""),"")</f>
        <v/>
      </c>
      <c r="C17904" s="12" t="str">
        <f ca="1">IFERROR(__xludf.DUMMYFUNCTION("""COMPUTED_VALUE"""),"")</f>
        <v/>
      </c>
      <c r="D17904" s="12" t="str">
        <f ca="1">IFERROR(__xludf.DUMMYFUNCTION("""COMPUTED_VALUE"""),"")</f>
        <v/>
      </c>
    </row>
    <row r="17905" spans="2:4" ht="13">
      <c r="B17905" s="12" t="str">
        <f ca="1">IFERROR(__xludf.DUMMYFUNCTION("""COMPUTED_VALUE"""),"")</f>
        <v/>
      </c>
      <c r="C17905" s="12" t="str">
        <f ca="1">IFERROR(__xludf.DUMMYFUNCTION("""COMPUTED_VALUE"""),"")</f>
        <v/>
      </c>
      <c r="D17905" s="12" t="str">
        <f ca="1">IFERROR(__xludf.DUMMYFUNCTION("""COMPUTED_VALUE"""),"")</f>
        <v/>
      </c>
    </row>
    <row r="17906" spans="2:4" ht="13">
      <c r="B17906" s="12" t="str">
        <f ca="1">IFERROR(__xludf.DUMMYFUNCTION("""COMPUTED_VALUE"""),"")</f>
        <v/>
      </c>
      <c r="C17906" s="12" t="str">
        <f ca="1">IFERROR(__xludf.DUMMYFUNCTION("""COMPUTED_VALUE"""),"")</f>
        <v/>
      </c>
      <c r="D17906" s="12" t="str">
        <f ca="1">IFERROR(__xludf.DUMMYFUNCTION("""COMPUTED_VALUE"""),"")</f>
        <v/>
      </c>
    </row>
    <row r="17907" spans="2:4" ht="13">
      <c r="B17907" s="12" t="str">
        <f ca="1">IFERROR(__xludf.DUMMYFUNCTION("""COMPUTED_VALUE"""),"")</f>
        <v/>
      </c>
      <c r="C17907" s="12" t="str">
        <f ca="1">IFERROR(__xludf.DUMMYFUNCTION("""COMPUTED_VALUE"""),"")</f>
        <v/>
      </c>
      <c r="D17907" s="12" t="str">
        <f ca="1">IFERROR(__xludf.DUMMYFUNCTION("""COMPUTED_VALUE"""),"")</f>
        <v/>
      </c>
    </row>
    <row r="17908" spans="2:4" ht="13">
      <c r="B17908" s="12" t="str">
        <f ca="1">IFERROR(__xludf.DUMMYFUNCTION("""COMPUTED_VALUE"""),"")</f>
        <v/>
      </c>
      <c r="C17908" s="12" t="str">
        <f ca="1">IFERROR(__xludf.DUMMYFUNCTION("""COMPUTED_VALUE"""),"")</f>
        <v/>
      </c>
      <c r="D17908" s="12" t="str">
        <f ca="1">IFERROR(__xludf.DUMMYFUNCTION("""COMPUTED_VALUE"""),"")</f>
        <v/>
      </c>
    </row>
    <row r="17909" spans="2:4" ht="13">
      <c r="B17909" s="12" t="str">
        <f ca="1">IFERROR(__xludf.DUMMYFUNCTION("""COMPUTED_VALUE"""),"")</f>
        <v/>
      </c>
      <c r="C17909" s="12" t="str">
        <f ca="1">IFERROR(__xludf.DUMMYFUNCTION("""COMPUTED_VALUE"""),"")</f>
        <v/>
      </c>
      <c r="D17909" s="12" t="str">
        <f ca="1">IFERROR(__xludf.DUMMYFUNCTION("""COMPUTED_VALUE"""),"")</f>
        <v/>
      </c>
    </row>
    <row r="17910" spans="2:4" ht="13">
      <c r="B17910" s="12" t="str">
        <f ca="1">IFERROR(__xludf.DUMMYFUNCTION("""COMPUTED_VALUE"""),"")</f>
        <v/>
      </c>
      <c r="C17910" s="12" t="str">
        <f ca="1">IFERROR(__xludf.DUMMYFUNCTION("""COMPUTED_VALUE"""),"")</f>
        <v/>
      </c>
      <c r="D17910" s="12" t="str">
        <f ca="1">IFERROR(__xludf.DUMMYFUNCTION("""COMPUTED_VALUE"""),"")</f>
        <v/>
      </c>
    </row>
    <row r="17911" spans="2:4" ht="13">
      <c r="B17911" s="12" t="str">
        <f ca="1">IFERROR(__xludf.DUMMYFUNCTION("""COMPUTED_VALUE"""),"")</f>
        <v/>
      </c>
      <c r="C17911" s="12" t="str">
        <f ca="1">IFERROR(__xludf.DUMMYFUNCTION("""COMPUTED_VALUE"""),"")</f>
        <v/>
      </c>
      <c r="D17911" s="12" t="str">
        <f ca="1">IFERROR(__xludf.DUMMYFUNCTION("""COMPUTED_VALUE"""),"")</f>
        <v/>
      </c>
    </row>
    <row r="17912" spans="2:4" ht="13">
      <c r="B17912" s="12" t="str">
        <f ca="1">IFERROR(__xludf.DUMMYFUNCTION("""COMPUTED_VALUE"""),"")</f>
        <v/>
      </c>
      <c r="C17912" s="12" t="str">
        <f ca="1">IFERROR(__xludf.DUMMYFUNCTION("""COMPUTED_VALUE"""),"")</f>
        <v/>
      </c>
      <c r="D17912" s="12" t="str">
        <f ca="1">IFERROR(__xludf.DUMMYFUNCTION("""COMPUTED_VALUE"""),"")</f>
        <v/>
      </c>
    </row>
    <row r="17913" spans="2:4" ht="13">
      <c r="B17913" s="12" t="str">
        <f ca="1">IFERROR(__xludf.DUMMYFUNCTION("""COMPUTED_VALUE"""),"")</f>
        <v/>
      </c>
      <c r="C17913" s="12" t="str">
        <f ca="1">IFERROR(__xludf.DUMMYFUNCTION("""COMPUTED_VALUE"""),"")</f>
        <v/>
      </c>
      <c r="D17913" s="12" t="str">
        <f ca="1">IFERROR(__xludf.DUMMYFUNCTION("""COMPUTED_VALUE"""),"")</f>
        <v/>
      </c>
    </row>
    <row r="17914" spans="2:4" ht="13">
      <c r="B17914" s="12" t="str">
        <f ca="1">IFERROR(__xludf.DUMMYFUNCTION("""COMPUTED_VALUE"""),"")</f>
        <v/>
      </c>
      <c r="C17914" s="12" t="str">
        <f ca="1">IFERROR(__xludf.DUMMYFUNCTION("""COMPUTED_VALUE"""),"")</f>
        <v/>
      </c>
      <c r="D17914" s="12" t="str">
        <f ca="1">IFERROR(__xludf.DUMMYFUNCTION("""COMPUTED_VALUE"""),"")</f>
        <v/>
      </c>
    </row>
    <row r="17915" spans="2:4" ht="13">
      <c r="B17915" s="12" t="str">
        <f ca="1">IFERROR(__xludf.DUMMYFUNCTION("""COMPUTED_VALUE"""),"")</f>
        <v/>
      </c>
      <c r="C17915" s="12" t="str">
        <f ca="1">IFERROR(__xludf.DUMMYFUNCTION("""COMPUTED_VALUE"""),"")</f>
        <v/>
      </c>
      <c r="D17915" s="12" t="str">
        <f ca="1">IFERROR(__xludf.DUMMYFUNCTION("""COMPUTED_VALUE"""),"")</f>
        <v/>
      </c>
    </row>
    <row r="17916" spans="2:4" ht="13">
      <c r="B17916" s="12" t="str">
        <f ca="1">IFERROR(__xludf.DUMMYFUNCTION("""COMPUTED_VALUE"""),"")</f>
        <v/>
      </c>
      <c r="C17916" s="12" t="str">
        <f ca="1">IFERROR(__xludf.DUMMYFUNCTION("""COMPUTED_VALUE"""),"")</f>
        <v/>
      </c>
      <c r="D17916" s="12" t="str">
        <f ca="1">IFERROR(__xludf.DUMMYFUNCTION("""COMPUTED_VALUE"""),"")</f>
        <v/>
      </c>
    </row>
    <row r="17917" spans="2:4" ht="13">
      <c r="B17917" s="12" t="str">
        <f ca="1">IFERROR(__xludf.DUMMYFUNCTION("""COMPUTED_VALUE"""),"")</f>
        <v/>
      </c>
      <c r="C17917" s="12" t="str">
        <f ca="1">IFERROR(__xludf.DUMMYFUNCTION("""COMPUTED_VALUE"""),"")</f>
        <v/>
      </c>
      <c r="D17917" s="12" t="str">
        <f ca="1">IFERROR(__xludf.DUMMYFUNCTION("""COMPUTED_VALUE"""),"")</f>
        <v/>
      </c>
    </row>
    <row r="17918" spans="2:4" ht="13">
      <c r="B17918" s="12" t="str">
        <f ca="1">IFERROR(__xludf.DUMMYFUNCTION("""COMPUTED_VALUE"""),"")</f>
        <v/>
      </c>
      <c r="C17918" s="12" t="str">
        <f ca="1">IFERROR(__xludf.DUMMYFUNCTION("""COMPUTED_VALUE"""),"")</f>
        <v/>
      </c>
      <c r="D17918" s="12" t="str">
        <f ca="1">IFERROR(__xludf.DUMMYFUNCTION("""COMPUTED_VALUE"""),"")</f>
        <v/>
      </c>
    </row>
    <row r="17919" spans="2:4" ht="13">
      <c r="B17919" s="12" t="str">
        <f ca="1">IFERROR(__xludf.DUMMYFUNCTION("""COMPUTED_VALUE"""),"")</f>
        <v/>
      </c>
      <c r="C17919" s="12" t="str">
        <f ca="1">IFERROR(__xludf.DUMMYFUNCTION("""COMPUTED_VALUE"""),"")</f>
        <v/>
      </c>
      <c r="D17919" s="12" t="str">
        <f ca="1">IFERROR(__xludf.DUMMYFUNCTION("""COMPUTED_VALUE"""),"")</f>
        <v/>
      </c>
    </row>
    <row r="17920" spans="2:4" ht="13">
      <c r="B17920" s="12" t="str">
        <f ca="1">IFERROR(__xludf.DUMMYFUNCTION("""COMPUTED_VALUE"""),"")</f>
        <v/>
      </c>
      <c r="C17920" s="12" t="str">
        <f ca="1">IFERROR(__xludf.DUMMYFUNCTION("""COMPUTED_VALUE"""),"")</f>
        <v/>
      </c>
      <c r="D17920" s="12" t="str">
        <f ca="1">IFERROR(__xludf.DUMMYFUNCTION("""COMPUTED_VALUE"""),"")</f>
        <v/>
      </c>
    </row>
    <row r="17921" spans="2:4" ht="13">
      <c r="B17921" s="12" t="str">
        <f ca="1">IFERROR(__xludf.DUMMYFUNCTION("""COMPUTED_VALUE"""),"")</f>
        <v/>
      </c>
      <c r="C17921" s="12" t="str">
        <f ca="1">IFERROR(__xludf.DUMMYFUNCTION("""COMPUTED_VALUE"""),"")</f>
        <v/>
      </c>
      <c r="D17921" s="12" t="str">
        <f ca="1">IFERROR(__xludf.DUMMYFUNCTION("""COMPUTED_VALUE"""),"")</f>
        <v/>
      </c>
    </row>
    <row r="17922" spans="2:4" ht="13">
      <c r="B17922" s="12" t="str">
        <f ca="1">IFERROR(__xludf.DUMMYFUNCTION("""COMPUTED_VALUE"""),"")</f>
        <v/>
      </c>
      <c r="C17922" s="12" t="str">
        <f ca="1">IFERROR(__xludf.DUMMYFUNCTION("""COMPUTED_VALUE"""),"")</f>
        <v/>
      </c>
      <c r="D17922" s="12" t="str">
        <f ca="1">IFERROR(__xludf.DUMMYFUNCTION("""COMPUTED_VALUE"""),"")</f>
        <v/>
      </c>
    </row>
    <row r="17923" spans="2:4" ht="13">
      <c r="B17923" s="12" t="str">
        <f ca="1">IFERROR(__xludf.DUMMYFUNCTION("""COMPUTED_VALUE"""),"")</f>
        <v/>
      </c>
      <c r="C17923" s="12" t="str">
        <f ca="1">IFERROR(__xludf.DUMMYFUNCTION("""COMPUTED_VALUE"""),"")</f>
        <v/>
      </c>
      <c r="D17923" s="12" t="str">
        <f ca="1">IFERROR(__xludf.DUMMYFUNCTION("""COMPUTED_VALUE"""),"")</f>
        <v/>
      </c>
    </row>
    <row r="17924" spans="2:4" ht="13">
      <c r="B17924" s="12" t="str">
        <f ca="1">IFERROR(__xludf.DUMMYFUNCTION("""COMPUTED_VALUE"""),"")</f>
        <v/>
      </c>
      <c r="C17924" s="12" t="str">
        <f ca="1">IFERROR(__xludf.DUMMYFUNCTION("""COMPUTED_VALUE"""),"")</f>
        <v/>
      </c>
      <c r="D17924" s="12" t="str">
        <f ca="1">IFERROR(__xludf.DUMMYFUNCTION("""COMPUTED_VALUE"""),"")</f>
        <v/>
      </c>
    </row>
    <row r="17925" spans="2:4" ht="13">
      <c r="B17925" s="12" t="str">
        <f ca="1">IFERROR(__xludf.DUMMYFUNCTION("""COMPUTED_VALUE"""),"")</f>
        <v/>
      </c>
      <c r="C17925" s="12" t="str">
        <f ca="1">IFERROR(__xludf.DUMMYFUNCTION("""COMPUTED_VALUE"""),"")</f>
        <v/>
      </c>
      <c r="D17925" s="12" t="str">
        <f ca="1">IFERROR(__xludf.DUMMYFUNCTION("""COMPUTED_VALUE"""),"")</f>
        <v/>
      </c>
    </row>
    <row r="17926" spans="2:4" ht="13">
      <c r="B17926" s="12" t="str">
        <f ca="1">IFERROR(__xludf.DUMMYFUNCTION("""COMPUTED_VALUE"""),"")</f>
        <v/>
      </c>
      <c r="C17926" s="12" t="str">
        <f ca="1">IFERROR(__xludf.DUMMYFUNCTION("""COMPUTED_VALUE"""),"")</f>
        <v/>
      </c>
      <c r="D17926" s="12" t="str">
        <f ca="1">IFERROR(__xludf.DUMMYFUNCTION("""COMPUTED_VALUE"""),"")</f>
        <v/>
      </c>
    </row>
    <row r="17927" spans="2:4" ht="13">
      <c r="B17927" s="12" t="str">
        <f ca="1">IFERROR(__xludf.DUMMYFUNCTION("""COMPUTED_VALUE"""),"")</f>
        <v/>
      </c>
      <c r="C17927" s="12" t="str">
        <f ca="1">IFERROR(__xludf.DUMMYFUNCTION("""COMPUTED_VALUE"""),"")</f>
        <v/>
      </c>
      <c r="D17927" s="12" t="str">
        <f ca="1">IFERROR(__xludf.DUMMYFUNCTION("""COMPUTED_VALUE"""),"")</f>
        <v/>
      </c>
    </row>
    <row r="17928" spans="2:4" ht="13">
      <c r="B17928" s="12" t="str">
        <f ca="1">IFERROR(__xludf.DUMMYFUNCTION("""COMPUTED_VALUE"""),"")</f>
        <v/>
      </c>
      <c r="C17928" s="12" t="str">
        <f ca="1">IFERROR(__xludf.DUMMYFUNCTION("""COMPUTED_VALUE"""),"")</f>
        <v/>
      </c>
      <c r="D17928" s="12" t="str">
        <f ca="1">IFERROR(__xludf.DUMMYFUNCTION("""COMPUTED_VALUE"""),"")</f>
        <v/>
      </c>
    </row>
    <row r="17929" spans="2:4" ht="13">
      <c r="B17929" s="12" t="str">
        <f ca="1">IFERROR(__xludf.DUMMYFUNCTION("""COMPUTED_VALUE"""),"")</f>
        <v/>
      </c>
      <c r="C17929" s="12" t="str">
        <f ca="1">IFERROR(__xludf.DUMMYFUNCTION("""COMPUTED_VALUE"""),"")</f>
        <v/>
      </c>
      <c r="D17929" s="12" t="str">
        <f ca="1">IFERROR(__xludf.DUMMYFUNCTION("""COMPUTED_VALUE"""),"")</f>
        <v/>
      </c>
    </row>
    <row r="17930" spans="2:4" ht="13">
      <c r="B17930" s="12" t="str">
        <f ca="1">IFERROR(__xludf.DUMMYFUNCTION("""COMPUTED_VALUE"""),"")</f>
        <v/>
      </c>
      <c r="C17930" s="12" t="str">
        <f ca="1">IFERROR(__xludf.DUMMYFUNCTION("""COMPUTED_VALUE"""),"")</f>
        <v/>
      </c>
      <c r="D17930" s="12" t="str">
        <f ca="1">IFERROR(__xludf.DUMMYFUNCTION("""COMPUTED_VALUE"""),"")</f>
        <v/>
      </c>
    </row>
    <row r="17931" spans="2:4" ht="13">
      <c r="B17931" s="12" t="str">
        <f ca="1">IFERROR(__xludf.DUMMYFUNCTION("""COMPUTED_VALUE"""),"")</f>
        <v/>
      </c>
      <c r="C17931" s="12" t="str">
        <f ca="1">IFERROR(__xludf.DUMMYFUNCTION("""COMPUTED_VALUE"""),"")</f>
        <v/>
      </c>
      <c r="D17931" s="12" t="str">
        <f ca="1">IFERROR(__xludf.DUMMYFUNCTION("""COMPUTED_VALUE"""),"")</f>
        <v/>
      </c>
    </row>
    <row r="17932" spans="2:4" ht="13">
      <c r="B17932" s="12" t="str">
        <f ca="1">IFERROR(__xludf.DUMMYFUNCTION("""COMPUTED_VALUE"""),"")</f>
        <v/>
      </c>
      <c r="C17932" s="12" t="str">
        <f ca="1">IFERROR(__xludf.DUMMYFUNCTION("""COMPUTED_VALUE"""),"")</f>
        <v/>
      </c>
      <c r="D17932" s="12" t="str">
        <f ca="1">IFERROR(__xludf.DUMMYFUNCTION("""COMPUTED_VALUE"""),"")</f>
        <v/>
      </c>
    </row>
    <row r="17933" spans="2:4" ht="13">
      <c r="B17933" s="12" t="str">
        <f ca="1">IFERROR(__xludf.DUMMYFUNCTION("""COMPUTED_VALUE"""),"")</f>
        <v/>
      </c>
      <c r="C17933" s="12" t="str">
        <f ca="1">IFERROR(__xludf.DUMMYFUNCTION("""COMPUTED_VALUE"""),"")</f>
        <v/>
      </c>
      <c r="D17933" s="12" t="str">
        <f ca="1">IFERROR(__xludf.DUMMYFUNCTION("""COMPUTED_VALUE"""),"")</f>
        <v/>
      </c>
    </row>
    <row r="17934" spans="2:4" ht="13">
      <c r="B17934" s="12" t="str">
        <f ca="1">IFERROR(__xludf.DUMMYFUNCTION("""COMPUTED_VALUE"""),"")</f>
        <v/>
      </c>
      <c r="C17934" s="12" t="str">
        <f ca="1">IFERROR(__xludf.DUMMYFUNCTION("""COMPUTED_VALUE"""),"")</f>
        <v/>
      </c>
      <c r="D17934" s="12" t="str">
        <f ca="1">IFERROR(__xludf.DUMMYFUNCTION("""COMPUTED_VALUE"""),"")</f>
        <v/>
      </c>
    </row>
    <row r="17935" spans="2:4" ht="13">
      <c r="B17935" s="12" t="str">
        <f ca="1">IFERROR(__xludf.DUMMYFUNCTION("""COMPUTED_VALUE"""),"")</f>
        <v/>
      </c>
      <c r="C17935" s="12" t="str">
        <f ca="1">IFERROR(__xludf.DUMMYFUNCTION("""COMPUTED_VALUE"""),"")</f>
        <v/>
      </c>
      <c r="D17935" s="12" t="str">
        <f ca="1">IFERROR(__xludf.DUMMYFUNCTION("""COMPUTED_VALUE"""),"")</f>
        <v/>
      </c>
    </row>
    <row r="17936" spans="2:4" ht="13">
      <c r="B17936" s="12" t="str">
        <f ca="1">IFERROR(__xludf.DUMMYFUNCTION("""COMPUTED_VALUE"""),"")</f>
        <v/>
      </c>
      <c r="C17936" s="12" t="str">
        <f ca="1">IFERROR(__xludf.DUMMYFUNCTION("""COMPUTED_VALUE"""),"")</f>
        <v/>
      </c>
      <c r="D17936" s="12" t="str">
        <f ca="1">IFERROR(__xludf.DUMMYFUNCTION("""COMPUTED_VALUE"""),"")</f>
        <v/>
      </c>
    </row>
    <row r="17937" spans="2:4" ht="13">
      <c r="B17937" s="12" t="str">
        <f ca="1">IFERROR(__xludf.DUMMYFUNCTION("""COMPUTED_VALUE"""),"")</f>
        <v/>
      </c>
      <c r="C17937" s="12" t="str">
        <f ca="1">IFERROR(__xludf.DUMMYFUNCTION("""COMPUTED_VALUE"""),"")</f>
        <v/>
      </c>
      <c r="D17937" s="12" t="str">
        <f ca="1">IFERROR(__xludf.DUMMYFUNCTION("""COMPUTED_VALUE"""),"")</f>
        <v/>
      </c>
    </row>
    <row r="17938" spans="2:4" ht="13">
      <c r="B17938" s="12" t="str">
        <f ca="1">IFERROR(__xludf.DUMMYFUNCTION("""COMPUTED_VALUE"""),"")</f>
        <v/>
      </c>
      <c r="C17938" s="12" t="str">
        <f ca="1">IFERROR(__xludf.DUMMYFUNCTION("""COMPUTED_VALUE"""),"")</f>
        <v/>
      </c>
      <c r="D17938" s="12" t="str">
        <f ca="1">IFERROR(__xludf.DUMMYFUNCTION("""COMPUTED_VALUE"""),"")</f>
        <v/>
      </c>
    </row>
    <row r="17939" spans="2:4" ht="13">
      <c r="B17939" s="12" t="str">
        <f ca="1">IFERROR(__xludf.DUMMYFUNCTION("""COMPUTED_VALUE"""),"")</f>
        <v/>
      </c>
      <c r="C17939" s="12" t="str">
        <f ca="1">IFERROR(__xludf.DUMMYFUNCTION("""COMPUTED_VALUE"""),"")</f>
        <v/>
      </c>
      <c r="D17939" s="12" t="str">
        <f ca="1">IFERROR(__xludf.DUMMYFUNCTION("""COMPUTED_VALUE"""),"")</f>
        <v/>
      </c>
    </row>
    <row r="17940" spans="2:4" ht="13">
      <c r="B17940" s="12" t="str">
        <f ca="1">IFERROR(__xludf.DUMMYFUNCTION("""COMPUTED_VALUE"""),"")</f>
        <v/>
      </c>
      <c r="C17940" s="12" t="str">
        <f ca="1">IFERROR(__xludf.DUMMYFUNCTION("""COMPUTED_VALUE"""),"")</f>
        <v/>
      </c>
      <c r="D17940" s="12" t="str">
        <f ca="1">IFERROR(__xludf.DUMMYFUNCTION("""COMPUTED_VALUE"""),"")</f>
        <v/>
      </c>
    </row>
    <row r="17941" spans="2:4" ht="13">
      <c r="B17941" s="12" t="str">
        <f ca="1">IFERROR(__xludf.DUMMYFUNCTION("""COMPUTED_VALUE"""),"")</f>
        <v/>
      </c>
      <c r="C17941" s="12" t="str">
        <f ca="1">IFERROR(__xludf.DUMMYFUNCTION("""COMPUTED_VALUE"""),"")</f>
        <v/>
      </c>
      <c r="D17941" s="12" t="str">
        <f ca="1">IFERROR(__xludf.DUMMYFUNCTION("""COMPUTED_VALUE"""),"")</f>
        <v/>
      </c>
    </row>
    <row r="17942" spans="2:4" ht="13">
      <c r="B17942" s="12" t="str">
        <f ca="1">IFERROR(__xludf.DUMMYFUNCTION("""COMPUTED_VALUE"""),"")</f>
        <v/>
      </c>
      <c r="C17942" s="12" t="str">
        <f ca="1">IFERROR(__xludf.DUMMYFUNCTION("""COMPUTED_VALUE"""),"")</f>
        <v/>
      </c>
      <c r="D17942" s="12" t="str">
        <f ca="1">IFERROR(__xludf.DUMMYFUNCTION("""COMPUTED_VALUE"""),"")</f>
        <v/>
      </c>
    </row>
    <row r="17943" spans="2:4" ht="13">
      <c r="B17943" s="12" t="str">
        <f ca="1">IFERROR(__xludf.DUMMYFUNCTION("""COMPUTED_VALUE"""),"")</f>
        <v/>
      </c>
      <c r="C17943" s="12" t="str">
        <f ca="1">IFERROR(__xludf.DUMMYFUNCTION("""COMPUTED_VALUE"""),"")</f>
        <v/>
      </c>
      <c r="D17943" s="12" t="str">
        <f ca="1">IFERROR(__xludf.DUMMYFUNCTION("""COMPUTED_VALUE"""),"")</f>
        <v/>
      </c>
    </row>
    <row r="17944" spans="2:4" ht="13">
      <c r="B17944" s="12" t="str">
        <f ca="1">IFERROR(__xludf.DUMMYFUNCTION("""COMPUTED_VALUE"""),"")</f>
        <v/>
      </c>
      <c r="C17944" s="12" t="str">
        <f ca="1">IFERROR(__xludf.DUMMYFUNCTION("""COMPUTED_VALUE"""),"")</f>
        <v/>
      </c>
      <c r="D17944" s="12" t="str">
        <f ca="1">IFERROR(__xludf.DUMMYFUNCTION("""COMPUTED_VALUE"""),"")</f>
        <v/>
      </c>
    </row>
    <row r="17945" spans="2:4" ht="13">
      <c r="B17945" s="12" t="str">
        <f ca="1">IFERROR(__xludf.DUMMYFUNCTION("""COMPUTED_VALUE"""),"")</f>
        <v/>
      </c>
      <c r="C17945" s="12" t="str">
        <f ca="1">IFERROR(__xludf.DUMMYFUNCTION("""COMPUTED_VALUE"""),"")</f>
        <v/>
      </c>
      <c r="D17945" s="12" t="str">
        <f ca="1">IFERROR(__xludf.DUMMYFUNCTION("""COMPUTED_VALUE"""),"")</f>
        <v/>
      </c>
    </row>
    <row r="17946" spans="2:4" ht="13">
      <c r="B17946" s="12" t="str">
        <f ca="1">IFERROR(__xludf.DUMMYFUNCTION("""COMPUTED_VALUE"""),"")</f>
        <v/>
      </c>
      <c r="C17946" s="12" t="str">
        <f ca="1">IFERROR(__xludf.DUMMYFUNCTION("""COMPUTED_VALUE"""),"")</f>
        <v/>
      </c>
      <c r="D17946" s="12" t="str">
        <f ca="1">IFERROR(__xludf.DUMMYFUNCTION("""COMPUTED_VALUE"""),"")</f>
        <v/>
      </c>
    </row>
    <row r="17947" spans="2:4" ht="13">
      <c r="B17947" s="12" t="str">
        <f ca="1">IFERROR(__xludf.DUMMYFUNCTION("""COMPUTED_VALUE"""),"")</f>
        <v/>
      </c>
      <c r="C17947" s="12" t="str">
        <f ca="1">IFERROR(__xludf.DUMMYFUNCTION("""COMPUTED_VALUE"""),"")</f>
        <v/>
      </c>
      <c r="D17947" s="12" t="str">
        <f ca="1">IFERROR(__xludf.DUMMYFUNCTION("""COMPUTED_VALUE"""),"")</f>
        <v/>
      </c>
    </row>
    <row r="17948" spans="2:4" ht="13">
      <c r="B17948" s="12" t="str">
        <f ca="1">IFERROR(__xludf.DUMMYFUNCTION("""COMPUTED_VALUE"""),"")</f>
        <v/>
      </c>
      <c r="C17948" s="12" t="str">
        <f ca="1">IFERROR(__xludf.DUMMYFUNCTION("""COMPUTED_VALUE"""),"")</f>
        <v/>
      </c>
      <c r="D17948" s="12" t="str">
        <f ca="1">IFERROR(__xludf.DUMMYFUNCTION("""COMPUTED_VALUE"""),"")</f>
        <v/>
      </c>
    </row>
    <row r="17949" spans="2:4" ht="13">
      <c r="B17949" s="12" t="str">
        <f ca="1">IFERROR(__xludf.DUMMYFUNCTION("""COMPUTED_VALUE"""),"")</f>
        <v/>
      </c>
      <c r="C17949" s="12" t="str">
        <f ca="1">IFERROR(__xludf.DUMMYFUNCTION("""COMPUTED_VALUE"""),"")</f>
        <v/>
      </c>
      <c r="D17949" s="12" t="str">
        <f ca="1">IFERROR(__xludf.DUMMYFUNCTION("""COMPUTED_VALUE"""),"")</f>
        <v/>
      </c>
    </row>
    <row r="17950" spans="2:4" ht="13">
      <c r="B17950" s="12" t="str">
        <f ca="1">IFERROR(__xludf.DUMMYFUNCTION("""COMPUTED_VALUE"""),"")</f>
        <v/>
      </c>
      <c r="C17950" s="12" t="str">
        <f ca="1">IFERROR(__xludf.DUMMYFUNCTION("""COMPUTED_VALUE"""),"")</f>
        <v/>
      </c>
      <c r="D17950" s="12" t="str">
        <f ca="1">IFERROR(__xludf.DUMMYFUNCTION("""COMPUTED_VALUE"""),"")</f>
        <v/>
      </c>
    </row>
    <row r="17951" spans="2:4" ht="13">
      <c r="B17951" s="12" t="str">
        <f ca="1">IFERROR(__xludf.DUMMYFUNCTION("""COMPUTED_VALUE"""),"")</f>
        <v/>
      </c>
      <c r="C17951" s="12" t="str">
        <f ca="1">IFERROR(__xludf.DUMMYFUNCTION("""COMPUTED_VALUE"""),"")</f>
        <v/>
      </c>
      <c r="D17951" s="12" t="str">
        <f ca="1">IFERROR(__xludf.DUMMYFUNCTION("""COMPUTED_VALUE"""),"")</f>
        <v/>
      </c>
    </row>
    <row r="17952" spans="2:4" ht="13">
      <c r="B17952" s="12" t="str">
        <f ca="1">IFERROR(__xludf.DUMMYFUNCTION("""COMPUTED_VALUE"""),"")</f>
        <v/>
      </c>
      <c r="C17952" s="12" t="str">
        <f ca="1">IFERROR(__xludf.DUMMYFUNCTION("""COMPUTED_VALUE"""),"")</f>
        <v/>
      </c>
      <c r="D17952" s="12" t="str">
        <f ca="1">IFERROR(__xludf.DUMMYFUNCTION("""COMPUTED_VALUE"""),"")</f>
        <v/>
      </c>
    </row>
    <row r="17953" spans="2:4" ht="13">
      <c r="B17953" s="12" t="str">
        <f ca="1">IFERROR(__xludf.DUMMYFUNCTION("""COMPUTED_VALUE"""),"")</f>
        <v/>
      </c>
      <c r="C17953" s="12" t="str">
        <f ca="1">IFERROR(__xludf.DUMMYFUNCTION("""COMPUTED_VALUE"""),"")</f>
        <v/>
      </c>
      <c r="D17953" s="12" t="str">
        <f ca="1">IFERROR(__xludf.DUMMYFUNCTION("""COMPUTED_VALUE"""),"")</f>
        <v/>
      </c>
    </row>
    <row r="17954" spans="2:4" ht="13">
      <c r="B17954" s="12" t="str">
        <f ca="1">IFERROR(__xludf.DUMMYFUNCTION("""COMPUTED_VALUE"""),"")</f>
        <v/>
      </c>
      <c r="C17954" s="12" t="str">
        <f ca="1">IFERROR(__xludf.DUMMYFUNCTION("""COMPUTED_VALUE"""),"")</f>
        <v/>
      </c>
      <c r="D17954" s="12" t="str">
        <f ca="1">IFERROR(__xludf.DUMMYFUNCTION("""COMPUTED_VALUE"""),"")</f>
        <v/>
      </c>
    </row>
    <row r="17955" spans="2:4" ht="13">
      <c r="B17955" s="12" t="str">
        <f ca="1">IFERROR(__xludf.DUMMYFUNCTION("""COMPUTED_VALUE"""),"")</f>
        <v/>
      </c>
      <c r="C17955" s="12" t="str">
        <f ca="1">IFERROR(__xludf.DUMMYFUNCTION("""COMPUTED_VALUE"""),"")</f>
        <v/>
      </c>
      <c r="D17955" s="12" t="str">
        <f ca="1">IFERROR(__xludf.DUMMYFUNCTION("""COMPUTED_VALUE"""),"")</f>
        <v/>
      </c>
    </row>
    <row r="17956" spans="2:4" ht="13">
      <c r="B17956" s="12" t="str">
        <f ca="1">IFERROR(__xludf.DUMMYFUNCTION("""COMPUTED_VALUE"""),"")</f>
        <v/>
      </c>
      <c r="C17956" s="12" t="str">
        <f ca="1">IFERROR(__xludf.DUMMYFUNCTION("""COMPUTED_VALUE"""),"")</f>
        <v/>
      </c>
      <c r="D17956" s="12" t="str">
        <f ca="1">IFERROR(__xludf.DUMMYFUNCTION("""COMPUTED_VALUE"""),"")</f>
        <v/>
      </c>
    </row>
    <row r="17957" spans="2:4" ht="13">
      <c r="B17957" s="12" t="str">
        <f ca="1">IFERROR(__xludf.DUMMYFUNCTION("""COMPUTED_VALUE"""),"")</f>
        <v/>
      </c>
      <c r="C17957" s="12" t="str">
        <f ca="1">IFERROR(__xludf.DUMMYFUNCTION("""COMPUTED_VALUE"""),"")</f>
        <v/>
      </c>
      <c r="D17957" s="12" t="str">
        <f ca="1">IFERROR(__xludf.DUMMYFUNCTION("""COMPUTED_VALUE"""),"")</f>
        <v/>
      </c>
    </row>
    <row r="17958" spans="2:4" ht="13">
      <c r="B17958" s="12" t="str">
        <f ca="1">IFERROR(__xludf.DUMMYFUNCTION("""COMPUTED_VALUE"""),"")</f>
        <v/>
      </c>
      <c r="C17958" s="12" t="str">
        <f ca="1">IFERROR(__xludf.DUMMYFUNCTION("""COMPUTED_VALUE"""),"")</f>
        <v/>
      </c>
      <c r="D17958" s="12" t="str">
        <f ca="1">IFERROR(__xludf.DUMMYFUNCTION("""COMPUTED_VALUE"""),"")</f>
        <v/>
      </c>
    </row>
    <row r="17959" spans="2:4" ht="13">
      <c r="B17959" s="12" t="str">
        <f ca="1">IFERROR(__xludf.DUMMYFUNCTION("""COMPUTED_VALUE"""),"")</f>
        <v/>
      </c>
      <c r="C17959" s="12" t="str">
        <f ca="1">IFERROR(__xludf.DUMMYFUNCTION("""COMPUTED_VALUE"""),"")</f>
        <v/>
      </c>
      <c r="D17959" s="12" t="str">
        <f ca="1">IFERROR(__xludf.DUMMYFUNCTION("""COMPUTED_VALUE"""),"")</f>
        <v/>
      </c>
    </row>
    <row r="17960" spans="2:4" ht="13">
      <c r="B17960" s="12" t="str">
        <f ca="1">IFERROR(__xludf.DUMMYFUNCTION("""COMPUTED_VALUE"""),"")</f>
        <v/>
      </c>
      <c r="C17960" s="12" t="str">
        <f ca="1">IFERROR(__xludf.DUMMYFUNCTION("""COMPUTED_VALUE"""),"")</f>
        <v/>
      </c>
      <c r="D17960" s="12" t="str">
        <f ca="1">IFERROR(__xludf.DUMMYFUNCTION("""COMPUTED_VALUE"""),"")</f>
        <v/>
      </c>
    </row>
    <row r="17961" spans="2:4" ht="13">
      <c r="B17961" s="12" t="str">
        <f ca="1">IFERROR(__xludf.DUMMYFUNCTION("""COMPUTED_VALUE"""),"")</f>
        <v/>
      </c>
      <c r="C17961" s="12" t="str">
        <f ca="1">IFERROR(__xludf.DUMMYFUNCTION("""COMPUTED_VALUE"""),"")</f>
        <v/>
      </c>
      <c r="D17961" s="12" t="str">
        <f ca="1">IFERROR(__xludf.DUMMYFUNCTION("""COMPUTED_VALUE"""),"")</f>
        <v/>
      </c>
    </row>
    <row r="17962" spans="2:4" ht="13">
      <c r="B17962" s="12" t="str">
        <f ca="1">IFERROR(__xludf.DUMMYFUNCTION("""COMPUTED_VALUE"""),"")</f>
        <v/>
      </c>
      <c r="C17962" s="12" t="str">
        <f ca="1">IFERROR(__xludf.DUMMYFUNCTION("""COMPUTED_VALUE"""),"")</f>
        <v/>
      </c>
      <c r="D17962" s="12" t="str">
        <f ca="1">IFERROR(__xludf.DUMMYFUNCTION("""COMPUTED_VALUE"""),"")</f>
        <v/>
      </c>
    </row>
    <row r="17963" spans="2:4" ht="13">
      <c r="B17963" s="12" t="str">
        <f ca="1">IFERROR(__xludf.DUMMYFUNCTION("""COMPUTED_VALUE"""),"")</f>
        <v/>
      </c>
      <c r="C17963" s="12" t="str">
        <f ca="1">IFERROR(__xludf.DUMMYFUNCTION("""COMPUTED_VALUE"""),"")</f>
        <v/>
      </c>
      <c r="D17963" s="12" t="str">
        <f ca="1">IFERROR(__xludf.DUMMYFUNCTION("""COMPUTED_VALUE"""),"")</f>
        <v/>
      </c>
    </row>
    <row r="17964" spans="2:4" ht="13">
      <c r="B17964" s="12" t="str">
        <f ca="1">IFERROR(__xludf.DUMMYFUNCTION("""COMPUTED_VALUE"""),"")</f>
        <v/>
      </c>
      <c r="C17964" s="12" t="str">
        <f ca="1">IFERROR(__xludf.DUMMYFUNCTION("""COMPUTED_VALUE"""),"")</f>
        <v/>
      </c>
      <c r="D17964" s="12" t="str">
        <f ca="1">IFERROR(__xludf.DUMMYFUNCTION("""COMPUTED_VALUE"""),"")</f>
        <v/>
      </c>
    </row>
    <row r="17965" spans="2:4" ht="13">
      <c r="B17965" s="12" t="str">
        <f ca="1">IFERROR(__xludf.DUMMYFUNCTION("""COMPUTED_VALUE"""),"")</f>
        <v/>
      </c>
      <c r="C17965" s="12" t="str">
        <f ca="1">IFERROR(__xludf.DUMMYFUNCTION("""COMPUTED_VALUE"""),"")</f>
        <v/>
      </c>
      <c r="D17965" s="12" t="str">
        <f ca="1">IFERROR(__xludf.DUMMYFUNCTION("""COMPUTED_VALUE"""),"")</f>
        <v/>
      </c>
    </row>
    <row r="17966" spans="2:4" ht="13">
      <c r="B17966" s="12" t="str">
        <f ca="1">IFERROR(__xludf.DUMMYFUNCTION("""COMPUTED_VALUE"""),"")</f>
        <v/>
      </c>
      <c r="C17966" s="12" t="str">
        <f ca="1">IFERROR(__xludf.DUMMYFUNCTION("""COMPUTED_VALUE"""),"")</f>
        <v/>
      </c>
      <c r="D17966" s="12" t="str">
        <f ca="1">IFERROR(__xludf.DUMMYFUNCTION("""COMPUTED_VALUE"""),"")</f>
        <v/>
      </c>
    </row>
    <row r="17967" spans="2:4" ht="13">
      <c r="B17967" s="12" t="str">
        <f ca="1">IFERROR(__xludf.DUMMYFUNCTION("""COMPUTED_VALUE"""),"")</f>
        <v/>
      </c>
      <c r="C17967" s="12" t="str">
        <f ca="1">IFERROR(__xludf.DUMMYFUNCTION("""COMPUTED_VALUE"""),"")</f>
        <v/>
      </c>
      <c r="D17967" s="12" t="str">
        <f ca="1">IFERROR(__xludf.DUMMYFUNCTION("""COMPUTED_VALUE"""),"")</f>
        <v/>
      </c>
    </row>
    <row r="17968" spans="2:4" ht="13">
      <c r="B17968" s="12" t="str">
        <f ca="1">IFERROR(__xludf.DUMMYFUNCTION("""COMPUTED_VALUE"""),"")</f>
        <v/>
      </c>
      <c r="C17968" s="12" t="str">
        <f ca="1">IFERROR(__xludf.DUMMYFUNCTION("""COMPUTED_VALUE"""),"")</f>
        <v/>
      </c>
      <c r="D17968" s="12" t="str">
        <f ca="1">IFERROR(__xludf.DUMMYFUNCTION("""COMPUTED_VALUE"""),"")</f>
        <v/>
      </c>
    </row>
    <row r="17969" spans="2:4" ht="13">
      <c r="B17969" s="12" t="str">
        <f ca="1">IFERROR(__xludf.DUMMYFUNCTION("""COMPUTED_VALUE"""),"")</f>
        <v/>
      </c>
      <c r="C17969" s="12" t="str">
        <f ca="1">IFERROR(__xludf.DUMMYFUNCTION("""COMPUTED_VALUE"""),"")</f>
        <v/>
      </c>
      <c r="D17969" s="12" t="str">
        <f ca="1">IFERROR(__xludf.DUMMYFUNCTION("""COMPUTED_VALUE"""),"")</f>
        <v/>
      </c>
    </row>
    <row r="17970" spans="2:4" ht="13">
      <c r="B17970" s="12" t="str">
        <f ca="1">IFERROR(__xludf.DUMMYFUNCTION("""COMPUTED_VALUE"""),"")</f>
        <v/>
      </c>
      <c r="C17970" s="12" t="str">
        <f ca="1">IFERROR(__xludf.DUMMYFUNCTION("""COMPUTED_VALUE"""),"")</f>
        <v/>
      </c>
      <c r="D17970" s="12" t="str">
        <f ca="1">IFERROR(__xludf.DUMMYFUNCTION("""COMPUTED_VALUE"""),"")</f>
        <v/>
      </c>
    </row>
    <row r="17971" spans="2:4" ht="13">
      <c r="B17971" s="12" t="str">
        <f ca="1">IFERROR(__xludf.DUMMYFUNCTION("""COMPUTED_VALUE"""),"")</f>
        <v/>
      </c>
      <c r="C17971" s="12" t="str">
        <f ca="1">IFERROR(__xludf.DUMMYFUNCTION("""COMPUTED_VALUE"""),"")</f>
        <v/>
      </c>
      <c r="D17971" s="12" t="str">
        <f ca="1">IFERROR(__xludf.DUMMYFUNCTION("""COMPUTED_VALUE"""),"")</f>
        <v/>
      </c>
    </row>
    <row r="17972" spans="2:4" ht="13">
      <c r="B17972" s="12" t="str">
        <f ca="1">IFERROR(__xludf.DUMMYFUNCTION("""COMPUTED_VALUE"""),"")</f>
        <v/>
      </c>
      <c r="C17972" s="12" t="str">
        <f ca="1">IFERROR(__xludf.DUMMYFUNCTION("""COMPUTED_VALUE"""),"")</f>
        <v/>
      </c>
      <c r="D17972" s="12" t="str">
        <f ca="1">IFERROR(__xludf.DUMMYFUNCTION("""COMPUTED_VALUE"""),"")</f>
        <v/>
      </c>
    </row>
    <row r="17973" spans="2:4" ht="13">
      <c r="B17973" s="12" t="str">
        <f ca="1">IFERROR(__xludf.DUMMYFUNCTION("""COMPUTED_VALUE"""),"")</f>
        <v/>
      </c>
      <c r="C17973" s="12" t="str">
        <f ca="1">IFERROR(__xludf.DUMMYFUNCTION("""COMPUTED_VALUE"""),"")</f>
        <v/>
      </c>
      <c r="D17973" s="12" t="str">
        <f ca="1">IFERROR(__xludf.DUMMYFUNCTION("""COMPUTED_VALUE"""),"")</f>
        <v/>
      </c>
    </row>
    <row r="17974" spans="2:4" ht="13">
      <c r="B17974" s="12" t="str">
        <f ca="1">IFERROR(__xludf.DUMMYFUNCTION("""COMPUTED_VALUE"""),"")</f>
        <v/>
      </c>
      <c r="C17974" s="12" t="str">
        <f ca="1">IFERROR(__xludf.DUMMYFUNCTION("""COMPUTED_VALUE"""),"")</f>
        <v/>
      </c>
      <c r="D17974" s="12" t="str">
        <f ca="1">IFERROR(__xludf.DUMMYFUNCTION("""COMPUTED_VALUE"""),"")</f>
        <v/>
      </c>
    </row>
    <row r="17975" spans="2:4" ht="13">
      <c r="B17975" s="12" t="str">
        <f ca="1">IFERROR(__xludf.DUMMYFUNCTION("""COMPUTED_VALUE"""),"")</f>
        <v/>
      </c>
      <c r="C17975" s="12" t="str">
        <f ca="1">IFERROR(__xludf.DUMMYFUNCTION("""COMPUTED_VALUE"""),"")</f>
        <v/>
      </c>
      <c r="D17975" s="12" t="str">
        <f ca="1">IFERROR(__xludf.DUMMYFUNCTION("""COMPUTED_VALUE"""),"")</f>
        <v/>
      </c>
    </row>
    <row r="17976" spans="2:4" ht="13">
      <c r="B17976" s="12" t="str">
        <f ca="1">IFERROR(__xludf.DUMMYFUNCTION("""COMPUTED_VALUE"""),"")</f>
        <v/>
      </c>
      <c r="C17976" s="12" t="str">
        <f ca="1">IFERROR(__xludf.DUMMYFUNCTION("""COMPUTED_VALUE"""),"")</f>
        <v/>
      </c>
      <c r="D17976" s="12" t="str">
        <f ca="1">IFERROR(__xludf.DUMMYFUNCTION("""COMPUTED_VALUE"""),"")</f>
        <v/>
      </c>
    </row>
    <row r="17977" spans="2:4" ht="13">
      <c r="B17977" s="12" t="str">
        <f ca="1">IFERROR(__xludf.DUMMYFUNCTION("""COMPUTED_VALUE"""),"")</f>
        <v/>
      </c>
      <c r="C17977" s="12" t="str">
        <f ca="1">IFERROR(__xludf.DUMMYFUNCTION("""COMPUTED_VALUE"""),"")</f>
        <v/>
      </c>
      <c r="D17977" s="12" t="str">
        <f ca="1">IFERROR(__xludf.DUMMYFUNCTION("""COMPUTED_VALUE"""),"")</f>
        <v/>
      </c>
    </row>
    <row r="17978" spans="2:4" ht="13">
      <c r="B17978" s="12" t="str">
        <f ca="1">IFERROR(__xludf.DUMMYFUNCTION("""COMPUTED_VALUE"""),"")</f>
        <v/>
      </c>
      <c r="C17978" s="12" t="str">
        <f ca="1">IFERROR(__xludf.DUMMYFUNCTION("""COMPUTED_VALUE"""),"")</f>
        <v/>
      </c>
      <c r="D17978" s="12" t="str">
        <f ca="1">IFERROR(__xludf.DUMMYFUNCTION("""COMPUTED_VALUE"""),"")</f>
        <v/>
      </c>
    </row>
    <row r="17979" spans="2:4" ht="13">
      <c r="B17979" s="12" t="str">
        <f ca="1">IFERROR(__xludf.DUMMYFUNCTION("""COMPUTED_VALUE"""),"")</f>
        <v/>
      </c>
      <c r="C17979" s="12" t="str">
        <f ca="1">IFERROR(__xludf.DUMMYFUNCTION("""COMPUTED_VALUE"""),"")</f>
        <v/>
      </c>
      <c r="D17979" s="12" t="str">
        <f ca="1">IFERROR(__xludf.DUMMYFUNCTION("""COMPUTED_VALUE"""),"")</f>
        <v/>
      </c>
    </row>
    <row r="17980" spans="2:4" ht="13">
      <c r="B17980" s="12" t="str">
        <f ca="1">IFERROR(__xludf.DUMMYFUNCTION("""COMPUTED_VALUE"""),"")</f>
        <v/>
      </c>
      <c r="C17980" s="12" t="str">
        <f ca="1">IFERROR(__xludf.DUMMYFUNCTION("""COMPUTED_VALUE"""),"")</f>
        <v/>
      </c>
      <c r="D17980" s="12" t="str">
        <f ca="1">IFERROR(__xludf.DUMMYFUNCTION("""COMPUTED_VALUE"""),"")</f>
        <v/>
      </c>
    </row>
    <row r="17981" spans="2:4" ht="13">
      <c r="B17981" s="12" t="str">
        <f ca="1">IFERROR(__xludf.DUMMYFUNCTION("""COMPUTED_VALUE"""),"")</f>
        <v/>
      </c>
      <c r="C17981" s="12" t="str">
        <f ca="1">IFERROR(__xludf.DUMMYFUNCTION("""COMPUTED_VALUE"""),"")</f>
        <v/>
      </c>
      <c r="D17981" s="12" t="str">
        <f ca="1">IFERROR(__xludf.DUMMYFUNCTION("""COMPUTED_VALUE"""),"")</f>
        <v/>
      </c>
    </row>
    <row r="17982" spans="2:4" ht="13">
      <c r="B17982" s="12" t="str">
        <f ca="1">IFERROR(__xludf.DUMMYFUNCTION("""COMPUTED_VALUE"""),"")</f>
        <v/>
      </c>
      <c r="C17982" s="12" t="str">
        <f ca="1">IFERROR(__xludf.DUMMYFUNCTION("""COMPUTED_VALUE"""),"")</f>
        <v/>
      </c>
      <c r="D17982" s="12" t="str">
        <f ca="1">IFERROR(__xludf.DUMMYFUNCTION("""COMPUTED_VALUE"""),"")</f>
        <v/>
      </c>
    </row>
    <row r="17983" spans="2:4" ht="13">
      <c r="B17983" s="12" t="str">
        <f ca="1">IFERROR(__xludf.DUMMYFUNCTION("""COMPUTED_VALUE"""),"")</f>
        <v/>
      </c>
      <c r="C17983" s="12" t="str">
        <f ca="1">IFERROR(__xludf.DUMMYFUNCTION("""COMPUTED_VALUE"""),"")</f>
        <v/>
      </c>
      <c r="D17983" s="12" t="str">
        <f ca="1">IFERROR(__xludf.DUMMYFUNCTION("""COMPUTED_VALUE"""),"")</f>
        <v/>
      </c>
    </row>
    <row r="17984" spans="2:4" ht="13">
      <c r="B17984" s="12" t="str">
        <f ca="1">IFERROR(__xludf.DUMMYFUNCTION("""COMPUTED_VALUE"""),"")</f>
        <v/>
      </c>
      <c r="C17984" s="12" t="str">
        <f ca="1">IFERROR(__xludf.DUMMYFUNCTION("""COMPUTED_VALUE"""),"")</f>
        <v/>
      </c>
      <c r="D17984" s="12" t="str">
        <f ca="1">IFERROR(__xludf.DUMMYFUNCTION("""COMPUTED_VALUE"""),"")</f>
        <v/>
      </c>
    </row>
    <row r="17985" spans="2:4" ht="13">
      <c r="B17985" s="12" t="str">
        <f ca="1">IFERROR(__xludf.DUMMYFUNCTION("""COMPUTED_VALUE"""),"")</f>
        <v/>
      </c>
      <c r="C17985" s="12" t="str">
        <f ca="1">IFERROR(__xludf.DUMMYFUNCTION("""COMPUTED_VALUE"""),"")</f>
        <v/>
      </c>
      <c r="D17985" s="12" t="str">
        <f ca="1">IFERROR(__xludf.DUMMYFUNCTION("""COMPUTED_VALUE"""),"")</f>
        <v/>
      </c>
    </row>
    <row r="17986" spans="2:4" ht="13">
      <c r="B17986" s="12" t="str">
        <f ca="1">IFERROR(__xludf.DUMMYFUNCTION("""COMPUTED_VALUE"""),"")</f>
        <v/>
      </c>
      <c r="C17986" s="12" t="str">
        <f ca="1">IFERROR(__xludf.DUMMYFUNCTION("""COMPUTED_VALUE"""),"")</f>
        <v/>
      </c>
      <c r="D17986" s="12" t="str">
        <f ca="1">IFERROR(__xludf.DUMMYFUNCTION("""COMPUTED_VALUE"""),"")</f>
        <v/>
      </c>
    </row>
    <row r="17987" spans="2:4" ht="13">
      <c r="B17987" s="12" t="str">
        <f ca="1">IFERROR(__xludf.DUMMYFUNCTION("""COMPUTED_VALUE"""),"")</f>
        <v/>
      </c>
      <c r="C17987" s="12" t="str">
        <f ca="1">IFERROR(__xludf.DUMMYFUNCTION("""COMPUTED_VALUE"""),"")</f>
        <v/>
      </c>
      <c r="D17987" s="12" t="str">
        <f ca="1">IFERROR(__xludf.DUMMYFUNCTION("""COMPUTED_VALUE"""),"")</f>
        <v/>
      </c>
    </row>
    <row r="17988" spans="2:4" ht="13">
      <c r="B17988" s="12" t="str">
        <f ca="1">IFERROR(__xludf.DUMMYFUNCTION("""COMPUTED_VALUE"""),"")</f>
        <v/>
      </c>
      <c r="C17988" s="12" t="str">
        <f ca="1">IFERROR(__xludf.DUMMYFUNCTION("""COMPUTED_VALUE"""),"")</f>
        <v/>
      </c>
      <c r="D17988" s="12" t="str">
        <f ca="1">IFERROR(__xludf.DUMMYFUNCTION("""COMPUTED_VALUE"""),"")</f>
        <v/>
      </c>
    </row>
    <row r="17989" spans="2:4" ht="13">
      <c r="B17989" s="12" t="str">
        <f ca="1">IFERROR(__xludf.DUMMYFUNCTION("""COMPUTED_VALUE"""),"")</f>
        <v/>
      </c>
      <c r="C17989" s="12" t="str">
        <f ca="1">IFERROR(__xludf.DUMMYFUNCTION("""COMPUTED_VALUE"""),"")</f>
        <v/>
      </c>
      <c r="D17989" s="12" t="str">
        <f ca="1">IFERROR(__xludf.DUMMYFUNCTION("""COMPUTED_VALUE"""),"")</f>
        <v/>
      </c>
    </row>
    <row r="17990" spans="2:4" ht="13">
      <c r="B17990" s="12" t="str">
        <f ca="1">IFERROR(__xludf.DUMMYFUNCTION("""COMPUTED_VALUE"""),"")</f>
        <v/>
      </c>
      <c r="C17990" s="12" t="str">
        <f ca="1">IFERROR(__xludf.DUMMYFUNCTION("""COMPUTED_VALUE"""),"")</f>
        <v/>
      </c>
      <c r="D17990" s="12" t="str">
        <f ca="1">IFERROR(__xludf.DUMMYFUNCTION("""COMPUTED_VALUE"""),"")</f>
        <v/>
      </c>
    </row>
    <row r="17991" spans="2:4" ht="13">
      <c r="B17991" s="12" t="str">
        <f ca="1">IFERROR(__xludf.DUMMYFUNCTION("""COMPUTED_VALUE"""),"")</f>
        <v/>
      </c>
      <c r="C17991" s="12" t="str">
        <f ca="1">IFERROR(__xludf.DUMMYFUNCTION("""COMPUTED_VALUE"""),"")</f>
        <v/>
      </c>
      <c r="D17991" s="12" t="str">
        <f ca="1">IFERROR(__xludf.DUMMYFUNCTION("""COMPUTED_VALUE"""),"")</f>
        <v/>
      </c>
    </row>
    <row r="17992" spans="2:4" ht="13">
      <c r="B17992" s="12" t="str">
        <f ca="1">IFERROR(__xludf.DUMMYFUNCTION("""COMPUTED_VALUE"""),"")</f>
        <v/>
      </c>
      <c r="C17992" s="12" t="str">
        <f ca="1">IFERROR(__xludf.DUMMYFUNCTION("""COMPUTED_VALUE"""),"")</f>
        <v/>
      </c>
      <c r="D17992" s="12" t="str">
        <f ca="1">IFERROR(__xludf.DUMMYFUNCTION("""COMPUTED_VALUE"""),"")</f>
        <v/>
      </c>
    </row>
    <row r="17993" spans="2:4" ht="13">
      <c r="B17993" s="12" t="str">
        <f ca="1">IFERROR(__xludf.DUMMYFUNCTION("""COMPUTED_VALUE"""),"")</f>
        <v/>
      </c>
      <c r="C17993" s="12" t="str">
        <f ca="1">IFERROR(__xludf.DUMMYFUNCTION("""COMPUTED_VALUE"""),"")</f>
        <v/>
      </c>
      <c r="D17993" s="12" t="str">
        <f ca="1">IFERROR(__xludf.DUMMYFUNCTION("""COMPUTED_VALUE"""),"")</f>
        <v/>
      </c>
    </row>
    <row r="17994" spans="2:4" ht="13">
      <c r="B17994" s="12" t="str">
        <f ca="1">IFERROR(__xludf.DUMMYFUNCTION("""COMPUTED_VALUE"""),"")</f>
        <v/>
      </c>
      <c r="C17994" s="12" t="str">
        <f ca="1">IFERROR(__xludf.DUMMYFUNCTION("""COMPUTED_VALUE"""),"")</f>
        <v/>
      </c>
      <c r="D17994" s="12" t="str">
        <f ca="1">IFERROR(__xludf.DUMMYFUNCTION("""COMPUTED_VALUE"""),"")</f>
        <v/>
      </c>
    </row>
    <row r="17995" spans="2:4" ht="13">
      <c r="B17995" s="12" t="str">
        <f ca="1">IFERROR(__xludf.DUMMYFUNCTION("""COMPUTED_VALUE"""),"")</f>
        <v/>
      </c>
      <c r="C17995" s="12" t="str">
        <f ca="1">IFERROR(__xludf.DUMMYFUNCTION("""COMPUTED_VALUE"""),"")</f>
        <v/>
      </c>
      <c r="D17995" s="12" t="str">
        <f ca="1">IFERROR(__xludf.DUMMYFUNCTION("""COMPUTED_VALUE"""),"")</f>
        <v/>
      </c>
    </row>
    <row r="17996" spans="2:4" ht="13">
      <c r="B17996" s="12" t="str">
        <f ca="1">IFERROR(__xludf.DUMMYFUNCTION("""COMPUTED_VALUE"""),"")</f>
        <v/>
      </c>
      <c r="C17996" s="12" t="str">
        <f ca="1">IFERROR(__xludf.DUMMYFUNCTION("""COMPUTED_VALUE"""),"")</f>
        <v/>
      </c>
      <c r="D17996" s="12" t="str">
        <f ca="1">IFERROR(__xludf.DUMMYFUNCTION("""COMPUTED_VALUE"""),"")</f>
        <v/>
      </c>
    </row>
    <row r="17997" spans="2:4" ht="13">
      <c r="B17997" s="12" t="str">
        <f ca="1">IFERROR(__xludf.DUMMYFUNCTION("""COMPUTED_VALUE"""),"")</f>
        <v/>
      </c>
      <c r="C17997" s="12" t="str">
        <f ca="1">IFERROR(__xludf.DUMMYFUNCTION("""COMPUTED_VALUE"""),"")</f>
        <v/>
      </c>
      <c r="D17997" s="12" t="str">
        <f ca="1">IFERROR(__xludf.DUMMYFUNCTION("""COMPUTED_VALUE"""),"")</f>
        <v/>
      </c>
    </row>
    <row r="17998" spans="2:4" ht="13">
      <c r="B17998" s="12" t="str">
        <f ca="1">IFERROR(__xludf.DUMMYFUNCTION("""COMPUTED_VALUE"""),"")</f>
        <v/>
      </c>
      <c r="C17998" s="12" t="str">
        <f ca="1">IFERROR(__xludf.DUMMYFUNCTION("""COMPUTED_VALUE"""),"")</f>
        <v/>
      </c>
      <c r="D17998" s="12" t="str">
        <f ca="1">IFERROR(__xludf.DUMMYFUNCTION("""COMPUTED_VALUE"""),"")</f>
        <v/>
      </c>
    </row>
    <row r="17999" spans="2:4" ht="13">
      <c r="B17999" s="12" t="str">
        <f ca="1">IFERROR(__xludf.DUMMYFUNCTION("""COMPUTED_VALUE"""),"")</f>
        <v/>
      </c>
      <c r="C17999" s="12" t="str">
        <f ca="1">IFERROR(__xludf.DUMMYFUNCTION("""COMPUTED_VALUE"""),"")</f>
        <v/>
      </c>
      <c r="D17999" s="12" t="str">
        <f ca="1">IFERROR(__xludf.DUMMYFUNCTION("""COMPUTED_VALUE"""),"")</f>
        <v/>
      </c>
    </row>
    <row r="18000" spans="2:4" ht="13">
      <c r="B18000" s="12" t="str">
        <f ca="1">IFERROR(__xludf.DUMMYFUNCTION("""COMPUTED_VALUE"""),"")</f>
        <v/>
      </c>
      <c r="C18000" s="12" t="str">
        <f ca="1">IFERROR(__xludf.DUMMYFUNCTION("""COMPUTED_VALUE"""),"")</f>
        <v/>
      </c>
      <c r="D18000" s="12" t="str">
        <f ca="1">IFERROR(__xludf.DUMMYFUNCTION("""COMPUTED_VALUE"""),"")</f>
        <v/>
      </c>
    </row>
    <row r="18001" spans="2:4" ht="13">
      <c r="B18001" s="12" t="str">
        <f ca="1">IFERROR(__xludf.DUMMYFUNCTION("""COMPUTED_VALUE"""),"")</f>
        <v/>
      </c>
      <c r="C18001" s="12" t="str">
        <f ca="1">IFERROR(__xludf.DUMMYFUNCTION("""COMPUTED_VALUE"""),"")</f>
        <v/>
      </c>
      <c r="D18001" s="12" t="str">
        <f ca="1">IFERROR(__xludf.DUMMYFUNCTION("""COMPUTED_VALUE"""),"")</f>
        <v/>
      </c>
    </row>
    <row r="18002" spans="2:4" ht="13">
      <c r="B18002" s="12" t="str">
        <f ca="1">IFERROR(__xludf.DUMMYFUNCTION("""COMPUTED_VALUE"""),"")</f>
        <v/>
      </c>
      <c r="C18002" s="12" t="str">
        <f ca="1">IFERROR(__xludf.DUMMYFUNCTION("""COMPUTED_VALUE"""),"")</f>
        <v/>
      </c>
      <c r="D18002" s="12" t="str">
        <f ca="1">IFERROR(__xludf.DUMMYFUNCTION("""COMPUTED_VALUE"""),"")</f>
        <v/>
      </c>
    </row>
    <row r="18003" spans="2:4" ht="13">
      <c r="B18003" s="12" t="str">
        <f ca="1">IFERROR(__xludf.DUMMYFUNCTION("""COMPUTED_VALUE"""),"")</f>
        <v/>
      </c>
      <c r="C18003" s="12" t="str">
        <f ca="1">IFERROR(__xludf.DUMMYFUNCTION("""COMPUTED_VALUE"""),"")</f>
        <v/>
      </c>
      <c r="D18003" s="12" t="str">
        <f ca="1">IFERROR(__xludf.DUMMYFUNCTION("""COMPUTED_VALUE"""),"")</f>
        <v/>
      </c>
    </row>
    <row r="18004" spans="2:4" ht="13">
      <c r="B18004" s="12" t="str">
        <f ca="1">IFERROR(__xludf.DUMMYFUNCTION("""COMPUTED_VALUE"""),"")</f>
        <v/>
      </c>
      <c r="C18004" s="12" t="str">
        <f ca="1">IFERROR(__xludf.DUMMYFUNCTION("""COMPUTED_VALUE"""),"")</f>
        <v/>
      </c>
      <c r="D18004" s="12" t="str">
        <f ca="1">IFERROR(__xludf.DUMMYFUNCTION("""COMPUTED_VALUE"""),"")</f>
        <v/>
      </c>
    </row>
    <row r="18005" spans="2:4" ht="13">
      <c r="B18005" s="12" t="str">
        <f ca="1">IFERROR(__xludf.DUMMYFUNCTION("""COMPUTED_VALUE"""),"")</f>
        <v/>
      </c>
      <c r="C18005" s="12" t="str">
        <f ca="1">IFERROR(__xludf.DUMMYFUNCTION("""COMPUTED_VALUE"""),"")</f>
        <v/>
      </c>
      <c r="D18005" s="12" t="str">
        <f ca="1">IFERROR(__xludf.DUMMYFUNCTION("""COMPUTED_VALUE"""),"")</f>
        <v/>
      </c>
    </row>
    <row r="18006" spans="2:4" ht="13">
      <c r="B18006" s="12" t="str">
        <f ca="1">IFERROR(__xludf.DUMMYFUNCTION("""COMPUTED_VALUE"""),"")</f>
        <v/>
      </c>
      <c r="C18006" s="12" t="str">
        <f ca="1">IFERROR(__xludf.DUMMYFUNCTION("""COMPUTED_VALUE"""),"")</f>
        <v/>
      </c>
      <c r="D18006" s="12" t="str">
        <f ca="1">IFERROR(__xludf.DUMMYFUNCTION("""COMPUTED_VALUE"""),"")</f>
        <v/>
      </c>
    </row>
    <row r="18007" spans="2:4" ht="13">
      <c r="B18007" s="12" t="str">
        <f ca="1">IFERROR(__xludf.DUMMYFUNCTION("""COMPUTED_VALUE"""),"")</f>
        <v/>
      </c>
      <c r="C18007" s="12" t="str">
        <f ca="1">IFERROR(__xludf.DUMMYFUNCTION("""COMPUTED_VALUE"""),"")</f>
        <v/>
      </c>
      <c r="D18007" s="12" t="str">
        <f ca="1">IFERROR(__xludf.DUMMYFUNCTION("""COMPUTED_VALUE"""),"")</f>
        <v/>
      </c>
    </row>
    <row r="18008" spans="2:4" ht="13">
      <c r="B18008" s="12" t="str">
        <f ca="1">IFERROR(__xludf.DUMMYFUNCTION("""COMPUTED_VALUE"""),"")</f>
        <v/>
      </c>
      <c r="C18008" s="12" t="str">
        <f ca="1">IFERROR(__xludf.DUMMYFUNCTION("""COMPUTED_VALUE"""),"")</f>
        <v/>
      </c>
      <c r="D18008" s="12" t="str">
        <f ca="1">IFERROR(__xludf.DUMMYFUNCTION("""COMPUTED_VALUE"""),"")</f>
        <v/>
      </c>
    </row>
    <row r="18009" spans="2:4" ht="13">
      <c r="B18009" s="12" t="str">
        <f ca="1">IFERROR(__xludf.DUMMYFUNCTION("""COMPUTED_VALUE"""),"")</f>
        <v/>
      </c>
      <c r="C18009" s="12" t="str">
        <f ca="1">IFERROR(__xludf.DUMMYFUNCTION("""COMPUTED_VALUE"""),"")</f>
        <v/>
      </c>
      <c r="D18009" s="12" t="str">
        <f ca="1">IFERROR(__xludf.DUMMYFUNCTION("""COMPUTED_VALUE"""),"")</f>
        <v/>
      </c>
    </row>
    <row r="18010" spans="2:4" ht="13">
      <c r="B18010" s="12" t="str">
        <f ca="1">IFERROR(__xludf.DUMMYFUNCTION("""COMPUTED_VALUE"""),"")</f>
        <v/>
      </c>
      <c r="C18010" s="12" t="str">
        <f ca="1">IFERROR(__xludf.DUMMYFUNCTION("""COMPUTED_VALUE"""),"")</f>
        <v/>
      </c>
      <c r="D18010" s="12" t="str">
        <f ca="1">IFERROR(__xludf.DUMMYFUNCTION("""COMPUTED_VALUE"""),"")</f>
        <v/>
      </c>
    </row>
    <row r="18011" spans="2:4" ht="13">
      <c r="B18011" s="12" t="str">
        <f ca="1">IFERROR(__xludf.DUMMYFUNCTION("""COMPUTED_VALUE"""),"")</f>
        <v/>
      </c>
      <c r="C18011" s="12" t="str">
        <f ca="1">IFERROR(__xludf.DUMMYFUNCTION("""COMPUTED_VALUE"""),"")</f>
        <v/>
      </c>
      <c r="D18011" s="12" t="str">
        <f ca="1">IFERROR(__xludf.DUMMYFUNCTION("""COMPUTED_VALUE"""),"")</f>
        <v/>
      </c>
    </row>
    <row r="18012" spans="2:4" ht="13">
      <c r="B18012" s="12" t="str">
        <f ca="1">IFERROR(__xludf.DUMMYFUNCTION("""COMPUTED_VALUE"""),"")</f>
        <v/>
      </c>
      <c r="C18012" s="12" t="str">
        <f ca="1">IFERROR(__xludf.DUMMYFUNCTION("""COMPUTED_VALUE"""),"")</f>
        <v/>
      </c>
      <c r="D18012" s="12" t="str">
        <f ca="1">IFERROR(__xludf.DUMMYFUNCTION("""COMPUTED_VALUE"""),"")</f>
        <v/>
      </c>
    </row>
    <row r="18013" spans="2:4" ht="13">
      <c r="B18013" s="12" t="str">
        <f ca="1">IFERROR(__xludf.DUMMYFUNCTION("""COMPUTED_VALUE"""),"")</f>
        <v/>
      </c>
      <c r="C18013" s="12" t="str">
        <f ca="1">IFERROR(__xludf.DUMMYFUNCTION("""COMPUTED_VALUE"""),"")</f>
        <v/>
      </c>
      <c r="D18013" s="12" t="str">
        <f ca="1">IFERROR(__xludf.DUMMYFUNCTION("""COMPUTED_VALUE"""),"")</f>
        <v/>
      </c>
    </row>
    <row r="18014" spans="2:4" ht="13">
      <c r="B18014" s="12" t="str">
        <f ca="1">IFERROR(__xludf.DUMMYFUNCTION("""COMPUTED_VALUE"""),"")</f>
        <v/>
      </c>
      <c r="C18014" s="12" t="str">
        <f ca="1">IFERROR(__xludf.DUMMYFUNCTION("""COMPUTED_VALUE"""),"")</f>
        <v/>
      </c>
      <c r="D18014" s="12" t="str">
        <f ca="1">IFERROR(__xludf.DUMMYFUNCTION("""COMPUTED_VALUE"""),"")</f>
        <v/>
      </c>
    </row>
    <row r="18015" spans="2:4" ht="13">
      <c r="B18015" s="12" t="str">
        <f ca="1">IFERROR(__xludf.DUMMYFUNCTION("""COMPUTED_VALUE"""),"")</f>
        <v/>
      </c>
      <c r="C18015" s="12" t="str">
        <f ca="1">IFERROR(__xludf.DUMMYFUNCTION("""COMPUTED_VALUE"""),"")</f>
        <v/>
      </c>
      <c r="D18015" s="12" t="str">
        <f ca="1">IFERROR(__xludf.DUMMYFUNCTION("""COMPUTED_VALUE"""),"")</f>
        <v/>
      </c>
    </row>
    <row r="18016" spans="2:4" ht="13">
      <c r="B18016" s="12" t="str">
        <f ca="1">IFERROR(__xludf.DUMMYFUNCTION("""COMPUTED_VALUE"""),"")</f>
        <v/>
      </c>
      <c r="C18016" s="12" t="str">
        <f ca="1">IFERROR(__xludf.DUMMYFUNCTION("""COMPUTED_VALUE"""),"")</f>
        <v/>
      </c>
      <c r="D18016" s="12" t="str">
        <f ca="1">IFERROR(__xludf.DUMMYFUNCTION("""COMPUTED_VALUE"""),"")</f>
        <v/>
      </c>
    </row>
    <row r="18017" spans="2:4" ht="13">
      <c r="B18017" s="12" t="str">
        <f ca="1">IFERROR(__xludf.DUMMYFUNCTION("""COMPUTED_VALUE"""),"")</f>
        <v/>
      </c>
      <c r="C18017" s="12" t="str">
        <f ca="1">IFERROR(__xludf.DUMMYFUNCTION("""COMPUTED_VALUE"""),"")</f>
        <v/>
      </c>
      <c r="D18017" s="12" t="str">
        <f ca="1">IFERROR(__xludf.DUMMYFUNCTION("""COMPUTED_VALUE"""),"")</f>
        <v/>
      </c>
    </row>
    <row r="18018" spans="2:4" ht="13">
      <c r="B18018" s="12" t="str">
        <f ca="1">IFERROR(__xludf.DUMMYFUNCTION("""COMPUTED_VALUE"""),"")</f>
        <v/>
      </c>
      <c r="C18018" s="12" t="str">
        <f ca="1">IFERROR(__xludf.DUMMYFUNCTION("""COMPUTED_VALUE"""),"")</f>
        <v/>
      </c>
      <c r="D18018" s="12" t="str">
        <f ca="1">IFERROR(__xludf.DUMMYFUNCTION("""COMPUTED_VALUE"""),"")</f>
        <v/>
      </c>
    </row>
    <row r="18019" spans="2:4" ht="13">
      <c r="B18019" s="12" t="str">
        <f ca="1">IFERROR(__xludf.DUMMYFUNCTION("""COMPUTED_VALUE"""),"")</f>
        <v/>
      </c>
      <c r="C18019" s="12" t="str">
        <f ca="1">IFERROR(__xludf.DUMMYFUNCTION("""COMPUTED_VALUE"""),"")</f>
        <v/>
      </c>
      <c r="D18019" s="12" t="str">
        <f ca="1">IFERROR(__xludf.DUMMYFUNCTION("""COMPUTED_VALUE"""),"")</f>
        <v/>
      </c>
    </row>
    <row r="18020" spans="2:4" ht="13">
      <c r="B18020" s="12" t="str">
        <f ca="1">IFERROR(__xludf.DUMMYFUNCTION("""COMPUTED_VALUE"""),"")</f>
        <v/>
      </c>
      <c r="C18020" s="12" t="str">
        <f ca="1">IFERROR(__xludf.DUMMYFUNCTION("""COMPUTED_VALUE"""),"")</f>
        <v/>
      </c>
      <c r="D18020" s="12" t="str">
        <f ca="1">IFERROR(__xludf.DUMMYFUNCTION("""COMPUTED_VALUE"""),"")</f>
        <v/>
      </c>
    </row>
    <row r="18021" spans="2:4" ht="13">
      <c r="B18021" s="12" t="str">
        <f ca="1">IFERROR(__xludf.DUMMYFUNCTION("""COMPUTED_VALUE"""),"")</f>
        <v/>
      </c>
      <c r="C18021" s="12" t="str">
        <f ca="1">IFERROR(__xludf.DUMMYFUNCTION("""COMPUTED_VALUE"""),"")</f>
        <v/>
      </c>
      <c r="D18021" s="12" t="str">
        <f ca="1">IFERROR(__xludf.DUMMYFUNCTION("""COMPUTED_VALUE"""),"")</f>
        <v/>
      </c>
    </row>
    <row r="18022" spans="2:4" ht="13">
      <c r="B18022" s="12" t="str">
        <f ca="1">IFERROR(__xludf.DUMMYFUNCTION("""COMPUTED_VALUE"""),"")</f>
        <v/>
      </c>
      <c r="C18022" s="12" t="str">
        <f ca="1">IFERROR(__xludf.DUMMYFUNCTION("""COMPUTED_VALUE"""),"")</f>
        <v/>
      </c>
      <c r="D18022" s="12" t="str">
        <f ca="1">IFERROR(__xludf.DUMMYFUNCTION("""COMPUTED_VALUE"""),"")</f>
        <v/>
      </c>
    </row>
    <row r="18023" spans="2:4" ht="13">
      <c r="B18023" s="12" t="str">
        <f ca="1">IFERROR(__xludf.DUMMYFUNCTION("""COMPUTED_VALUE"""),"")</f>
        <v/>
      </c>
      <c r="C18023" s="12" t="str">
        <f ca="1">IFERROR(__xludf.DUMMYFUNCTION("""COMPUTED_VALUE"""),"")</f>
        <v/>
      </c>
      <c r="D18023" s="12" t="str">
        <f ca="1">IFERROR(__xludf.DUMMYFUNCTION("""COMPUTED_VALUE"""),"")</f>
        <v/>
      </c>
    </row>
    <row r="18024" spans="2:4" ht="13">
      <c r="B18024" s="12" t="str">
        <f ca="1">IFERROR(__xludf.DUMMYFUNCTION("""COMPUTED_VALUE"""),"")</f>
        <v/>
      </c>
      <c r="C18024" s="12" t="str">
        <f ca="1">IFERROR(__xludf.DUMMYFUNCTION("""COMPUTED_VALUE"""),"")</f>
        <v/>
      </c>
      <c r="D18024" s="12" t="str">
        <f ca="1">IFERROR(__xludf.DUMMYFUNCTION("""COMPUTED_VALUE"""),"")</f>
        <v/>
      </c>
    </row>
    <row r="18025" spans="2:4" ht="13">
      <c r="B18025" s="12" t="str">
        <f ca="1">IFERROR(__xludf.DUMMYFUNCTION("""COMPUTED_VALUE"""),"")</f>
        <v/>
      </c>
      <c r="C18025" s="12" t="str">
        <f ca="1">IFERROR(__xludf.DUMMYFUNCTION("""COMPUTED_VALUE"""),"")</f>
        <v/>
      </c>
      <c r="D18025" s="12" t="str">
        <f ca="1">IFERROR(__xludf.DUMMYFUNCTION("""COMPUTED_VALUE"""),"")</f>
        <v/>
      </c>
    </row>
    <row r="18026" spans="2:4" ht="13">
      <c r="B18026" s="12" t="str">
        <f ca="1">IFERROR(__xludf.DUMMYFUNCTION("""COMPUTED_VALUE"""),"")</f>
        <v/>
      </c>
      <c r="C18026" s="12" t="str">
        <f ca="1">IFERROR(__xludf.DUMMYFUNCTION("""COMPUTED_VALUE"""),"")</f>
        <v/>
      </c>
      <c r="D18026" s="12" t="str">
        <f ca="1">IFERROR(__xludf.DUMMYFUNCTION("""COMPUTED_VALUE"""),"")</f>
        <v/>
      </c>
    </row>
    <row r="18027" spans="2:4" ht="13">
      <c r="B18027" s="12" t="str">
        <f ca="1">IFERROR(__xludf.DUMMYFUNCTION("""COMPUTED_VALUE"""),"")</f>
        <v/>
      </c>
      <c r="C18027" s="12" t="str">
        <f ca="1">IFERROR(__xludf.DUMMYFUNCTION("""COMPUTED_VALUE"""),"")</f>
        <v/>
      </c>
      <c r="D18027" s="12" t="str">
        <f ca="1">IFERROR(__xludf.DUMMYFUNCTION("""COMPUTED_VALUE"""),"")</f>
        <v/>
      </c>
    </row>
    <row r="18028" spans="2:4" ht="13">
      <c r="B18028" s="12" t="str">
        <f ca="1">IFERROR(__xludf.DUMMYFUNCTION("""COMPUTED_VALUE"""),"")</f>
        <v/>
      </c>
      <c r="C18028" s="12" t="str">
        <f ca="1">IFERROR(__xludf.DUMMYFUNCTION("""COMPUTED_VALUE"""),"")</f>
        <v/>
      </c>
      <c r="D18028" s="12" t="str">
        <f ca="1">IFERROR(__xludf.DUMMYFUNCTION("""COMPUTED_VALUE"""),"")</f>
        <v/>
      </c>
    </row>
    <row r="18029" spans="2:4" ht="13">
      <c r="B18029" s="12" t="str">
        <f ca="1">IFERROR(__xludf.DUMMYFUNCTION("""COMPUTED_VALUE"""),"")</f>
        <v/>
      </c>
      <c r="C18029" s="12" t="str">
        <f ca="1">IFERROR(__xludf.DUMMYFUNCTION("""COMPUTED_VALUE"""),"")</f>
        <v/>
      </c>
      <c r="D18029" s="12" t="str">
        <f ca="1">IFERROR(__xludf.DUMMYFUNCTION("""COMPUTED_VALUE"""),"")</f>
        <v/>
      </c>
    </row>
    <row r="18030" spans="2:4" ht="13">
      <c r="B18030" s="12" t="str">
        <f ca="1">IFERROR(__xludf.DUMMYFUNCTION("""COMPUTED_VALUE"""),"")</f>
        <v/>
      </c>
      <c r="C18030" s="12" t="str">
        <f ca="1">IFERROR(__xludf.DUMMYFUNCTION("""COMPUTED_VALUE"""),"")</f>
        <v/>
      </c>
      <c r="D18030" s="12" t="str">
        <f ca="1">IFERROR(__xludf.DUMMYFUNCTION("""COMPUTED_VALUE"""),"")</f>
        <v/>
      </c>
    </row>
    <row r="18031" spans="2:4" ht="13">
      <c r="B18031" s="12" t="str">
        <f ca="1">IFERROR(__xludf.DUMMYFUNCTION("""COMPUTED_VALUE"""),"")</f>
        <v/>
      </c>
      <c r="C18031" s="12" t="str">
        <f ca="1">IFERROR(__xludf.DUMMYFUNCTION("""COMPUTED_VALUE"""),"")</f>
        <v/>
      </c>
      <c r="D18031" s="12" t="str">
        <f ca="1">IFERROR(__xludf.DUMMYFUNCTION("""COMPUTED_VALUE"""),"")</f>
        <v/>
      </c>
    </row>
    <row r="18032" spans="2:4" ht="13">
      <c r="B18032" s="12" t="str">
        <f ca="1">IFERROR(__xludf.DUMMYFUNCTION("""COMPUTED_VALUE"""),"")</f>
        <v/>
      </c>
      <c r="C18032" s="12" t="str">
        <f ca="1">IFERROR(__xludf.DUMMYFUNCTION("""COMPUTED_VALUE"""),"")</f>
        <v/>
      </c>
      <c r="D18032" s="12" t="str">
        <f ca="1">IFERROR(__xludf.DUMMYFUNCTION("""COMPUTED_VALUE"""),"")</f>
        <v/>
      </c>
    </row>
    <row r="18033" spans="2:4" ht="13">
      <c r="B18033" s="12" t="str">
        <f ca="1">IFERROR(__xludf.DUMMYFUNCTION("""COMPUTED_VALUE"""),"")</f>
        <v/>
      </c>
      <c r="C18033" s="12" t="str">
        <f ca="1">IFERROR(__xludf.DUMMYFUNCTION("""COMPUTED_VALUE"""),"")</f>
        <v/>
      </c>
      <c r="D18033" s="12" t="str">
        <f ca="1">IFERROR(__xludf.DUMMYFUNCTION("""COMPUTED_VALUE"""),"")</f>
        <v/>
      </c>
    </row>
    <row r="18034" spans="2:4" ht="13">
      <c r="B18034" s="12" t="str">
        <f ca="1">IFERROR(__xludf.DUMMYFUNCTION("""COMPUTED_VALUE"""),"")</f>
        <v/>
      </c>
      <c r="C18034" s="12" t="str">
        <f ca="1">IFERROR(__xludf.DUMMYFUNCTION("""COMPUTED_VALUE"""),"")</f>
        <v/>
      </c>
      <c r="D18034" s="12" t="str">
        <f ca="1">IFERROR(__xludf.DUMMYFUNCTION("""COMPUTED_VALUE"""),"")</f>
        <v/>
      </c>
    </row>
    <row r="18035" spans="2:4" ht="13">
      <c r="B18035" s="12" t="str">
        <f ca="1">IFERROR(__xludf.DUMMYFUNCTION("""COMPUTED_VALUE"""),"")</f>
        <v/>
      </c>
      <c r="C18035" s="12" t="str">
        <f ca="1">IFERROR(__xludf.DUMMYFUNCTION("""COMPUTED_VALUE"""),"")</f>
        <v/>
      </c>
      <c r="D18035" s="12" t="str">
        <f ca="1">IFERROR(__xludf.DUMMYFUNCTION("""COMPUTED_VALUE"""),"")</f>
        <v/>
      </c>
    </row>
    <row r="18036" spans="2:4" ht="13">
      <c r="B18036" s="12" t="str">
        <f ca="1">IFERROR(__xludf.DUMMYFUNCTION("""COMPUTED_VALUE"""),"")</f>
        <v/>
      </c>
      <c r="C18036" s="12" t="str">
        <f ca="1">IFERROR(__xludf.DUMMYFUNCTION("""COMPUTED_VALUE"""),"")</f>
        <v/>
      </c>
      <c r="D18036" s="12" t="str">
        <f ca="1">IFERROR(__xludf.DUMMYFUNCTION("""COMPUTED_VALUE"""),"")</f>
        <v/>
      </c>
    </row>
    <row r="18037" spans="2:4" ht="13">
      <c r="B18037" s="12" t="str">
        <f ca="1">IFERROR(__xludf.DUMMYFUNCTION("""COMPUTED_VALUE"""),"")</f>
        <v/>
      </c>
      <c r="C18037" s="12" t="str">
        <f ca="1">IFERROR(__xludf.DUMMYFUNCTION("""COMPUTED_VALUE"""),"")</f>
        <v/>
      </c>
      <c r="D18037" s="12" t="str">
        <f ca="1">IFERROR(__xludf.DUMMYFUNCTION("""COMPUTED_VALUE"""),"")</f>
        <v/>
      </c>
    </row>
    <row r="18038" spans="2:4" ht="13">
      <c r="B18038" s="12" t="str">
        <f ca="1">IFERROR(__xludf.DUMMYFUNCTION("""COMPUTED_VALUE"""),"")</f>
        <v/>
      </c>
      <c r="C18038" s="12" t="str">
        <f ca="1">IFERROR(__xludf.DUMMYFUNCTION("""COMPUTED_VALUE"""),"")</f>
        <v/>
      </c>
      <c r="D18038" s="12" t="str">
        <f ca="1">IFERROR(__xludf.DUMMYFUNCTION("""COMPUTED_VALUE"""),"")</f>
        <v/>
      </c>
    </row>
    <row r="18039" spans="2:4" ht="13">
      <c r="B18039" s="12" t="str">
        <f ca="1">IFERROR(__xludf.DUMMYFUNCTION("""COMPUTED_VALUE"""),"")</f>
        <v/>
      </c>
      <c r="C18039" s="12" t="str">
        <f ca="1">IFERROR(__xludf.DUMMYFUNCTION("""COMPUTED_VALUE"""),"")</f>
        <v/>
      </c>
      <c r="D18039" s="12" t="str">
        <f ca="1">IFERROR(__xludf.DUMMYFUNCTION("""COMPUTED_VALUE"""),"")</f>
        <v/>
      </c>
    </row>
    <row r="18040" spans="2:4" ht="13">
      <c r="B18040" s="12" t="str">
        <f ca="1">IFERROR(__xludf.DUMMYFUNCTION("""COMPUTED_VALUE"""),"")</f>
        <v/>
      </c>
      <c r="C18040" s="12" t="str">
        <f ca="1">IFERROR(__xludf.DUMMYFUNCTION("""COMPUTED_VALUE"""),"")</f>
        <v/>
      </c>
      <c r="D18040" s="12" t="str">
        <f ca="1">IFERROR(__xludf.DUMMYFUNCTION("""COMPUTED_VALUE"""),"")</f>
        <v/>
      </c>
    </row>
    <row r="18041" spans="2:4" ht="13">
      <c r="B18041" s="12" t="str">
        <f ca="1">IFERROR(__xludf.DUMMYFUNCTION("""COMPUTED_VALUE"""),"")</f>
        <v/>
      </c>
      <c r="C18041" s="12" t="str">
        <f ca="1">IFERROR(__xludf.DUMMYFUNCTION("""COMPUTED_VALUE"""),"")</f>
        <v/>
      </c>
      <c r="D18041" s="12" t="str">
        <f ca="1">IFERROR(__xludf.DUMMYFUNCTION("""COMPUTED_VALUE"""),"")</f>
        <v/>
      </c>
    </row>
    <row r="18042" spans="2:4" ht="13">
      <c r="B18042" s="12" t="str">
        <f ca="1">IFERROR(__xludf.DUMMYFUNCTION("""COMPUTED_VALUE"""),"")</f>
        <v/>
      </c>
      <c r="C18042" s="12" t="str">
        <f ca="1">IFERROR(__xludf.DUMMYFUNCTION("""COMPUTED_VALUE"""),"")</f>
        <v/>
      </c>
      <c r="D18042" s="12" t="str">
        <f ca="1">IFERROR(__xludf.DUMMYFUNCTION("""COMPUTED_VALUE"""),"")</f>
        <v/>
      </c>
    </row>
    <row r="18043" spans="2:4" ht="13">
      <c r="B18043" s="12" t="str">
        <f ca="1">IFERROR(__xludf.DUMMYFUNCTION("""COMPUTED_VALUE"""),"")</f>
        <v/>
      </c>
      <c r="C18043" s="12" t="str">
        <f ca="1">IFERROR(__xludf.DUMMYFUNCTION("""COMPUTED_VALUE"""),"")</f>
        <v/>
      </c>
      <c r="D18043" s="12" t="str">
        <f ca="1">IFERROR(__xludf.DUMMYFUNCTION("""COMPUTED_VALUE"""),"")</f>
        <v/>
      </c>
    </row>
    <row r="18044" spans="2:4" ht="13">
      <c r="B18044" s="12" t="str">
        <f ca="1">IFERROR(__xludf.DUMMYFUNCTION("""COMPUTED_VALUE"""),"")</f>
        <v/>
      </c>
      <c r="C18044" s="12" t="str">
        <f ca="1">IFERROR(__xludf.DUMMYFUNCTION("""COMPUTED_VALUE"""),"")</f>
        <v/>
      </c>
      <c r="D18044" s="12" t="str">
        <f ca="1">IFERROR(__xludf.DUMMYFUNCTION("""COMPUTED_VALUE"""),"")</f>
        <v/>
      </c>
    </row>
    <row r="18045" spans="2:4" ht="13">
      <c r="B18045" s="12" t="str">
        <f ca="1">IFERROR(__xludf.DUMMYFUNCTION("""COMPUTED_VALUE"""),"")</f>
        <v/>
      </c>
      <c r="C18045" s="12" t="str">
        <f ca="1">IFERROR(__xludf.DUMMYFUNCTION("""COMPUTED_VALUE"""),"")</f>
        <v/>
      </c>
      <c r="D18045" s="12" t="str">
        <f ca="1">IFERROR(__xludf.DUMMYFUNCTION("""COMPUTED_VALUE"""),"")</f>
        <v/>
      </c>
    </row>
    <row r="18046" spans="2:4" ht="13">
      <c r="B18046" s="12" t="str">
        <f ca="1">IFERROR(__xludf.DUMMYFUNCTION("""COMPUTED_VALUE"""),"")</f>
        <v/>
      </c>
      <c r="C18046" s="12" t="str">
        <f ca="1">IFERROR(__xludf.DUMMYFUNCTION("""COMPUTED_VALUE"""),"")</f>
        <v/>
      </c>
      <c r="D18046" s="12" t="str">
        <f ca="1">IFERROR(__xludf.DUMMYFUNCTION("""COMPUTED_VALUE"""),"")</f>
        <v/>
      </c>
    </row>
    <row r="18047" spans="2:4" ht="13">
      <c r="B18047" s="12" t="str">
        <f ca="1">IFERROR(__xludf.DUMMYFUNCTION("""COMPUTED_VALUE"""),"")</f>
        <v/>
      </c>
      <c r="C18047" s="12" t="str">
        <f ca="1">IFERROR(__xludf.DUMMYFUNCTION("""COMPUTED_VALUE"""),"")</f>
        <v/>
      </c>
      <c r="D18047" s="12" t="str">
        <f ca="1">IFERROR(__xludf.DUMMYFUNCTION("""COMPUTED_VALUE"""),"")</f>
        <v/>
      </c>
    </row>
    <row r="18048" spans="2:4" ht="13">
      <c r="B18048" s="12" t="str">
        <f ca="1">IFERROR(__xludf.DUMMYFUNCTION("""COMPUTED_VALUE"""),"")</f>
        <v/>
      </c>
      <c r="C18048" s="12" t="str">
        <f ca="1">IFERROR(__xludf.DUMMYFUNCTION("""COMPUTED_VALUE"""),"")</f>
        <v/>
      </c>
      <c r="D18048" s="12" t="str">
        <f ca="1">IFERROR(__xludf.DUMMYFUNCTION("""COMPUTED_VALUE"""),"")</f>
        <v/>
      </c>
    </row>
    <row r="18049" spans="2:4" ht="13">
      <c r="B18049" s="12" t="str">
        <f ca="1">IFERROR(__xludf.DUMMYFUNCTION("""COMPUTED_VALUE"""),"")</f>
        <v/>
      </c>
      <c r="C18049" s="12" t="str">
        <f ca="1">IFERROR(__xludf.DUMMYFUNCTION("""COMPUTED_VALUE"""),"")</f>
        <v/>
      </c>
      <c r="D18049" s="12" t="str">
        <f ca="1">IFERROR(__xludf.DUMMYFUNCTION("""COMPUTED_VALUE"""),"")</f>
        <v/>
      </c>
    </row>
    <row r="18050" spans="2:4" ht="13">
      <c r="B18050" s="12" t="str">
        <f ca="1">IFERROR(__xludf.DUMMYFUNCTION("""COMPUTED_VALUE"""),"")</f>
        <v/>
      </c>
      <c r="C18050" s="12" t="str">
        <f ca="1">IFERROR(__xludf.DUMMYFUNCTION("""COMPUTED_VALUE"""),"")</f>
        <v/>
      </c>
      <c r="D18050" s="12" t="str">
        <f ca="1">IFERROR(__xludf.DUMMYFUNCTION("""COMPUTED_VALUE"""),"")</f>
        <v/>
      </c>
    </row>
    <row r="18051" spans="2:4" ht="13">
      <c r="B18051" s="12" t="str">
        <f ca="1">IFERROR(__xludf.DUMMYFUNCTION("""COMPUTED_VALUE"""),"")</f>
        <v/>
      </c>
      <c r="C18051" s="12" t="str">
        <f ca="1">IFERROR(__xludf.DUMMYFUNCTION("""COMPUTED_VALUE"""),"")</f>
        <v/>
      </c>
      <c r="D18051" s="12" t="str">
        <f ca="1">IFERROR(__xludf.DUMMYFUNCTION("""COMPUTED_VALUE"""),"")</f>
        <v/>
      </c>
    </row>
    <row r="18052" spans="2:4" ht="13">
      <c r="B18052" s="12" t="str">
        <f ca="1">IFERROR(__xludf.DUMMYFUNCTION("""COMPUTED_VALUE"""),"")</f>
        <v/>
      </c>
      <c r="C18052" s="12" t="str">
        <f ca="1">IFERROR(__xludf.DUMMYFUNCTION("""COMPUTED_VALUE"""),"")</f>
        <v/>
      </c>
      <c r="D18052" s="12" t="str">
        <f ca="1">IFERROR(__xludf.DUMMYFUNCTION("""COMPUTED_VALUE"""),"")</f>
        <v/>
      </c>
    </row>
    <row r="18053" spans="2:4" ht="13">
      <c r="B18053" s="12" t="str">
        <f ca="1">IFERROR(__xludf.DUMMYFUNCTION("""COMPUTED_VALUE"""),"")</f>
        <v/>
      </c>
      <c r="C18053" s="12" t="str">
        <f ca="1">IFERROR(__xludf.DUMMYFUNCTION("""COMPUTED_VALUE"""),"")</f>
        <v/>
      </c>
      <c r="D18053" s="12" t="str">
        <f ca="1">IFERROR(__xludf.DUMMYFUNCTION("""COMPUTED_VALUE"""),"")</f>
        <v/>
      </c>
    </row>
    <row r="18054" spans="2:4" ht="13">
      <c r="B18054" s="12" t="str">
        <f ca="1">IFERROR(__xludf.DUMMYFUNCTION("""COMPUTED_VALUE"""),"")</f>
        <v/>
      </c>
      <c r="C18054" s="12" t="str">
        <f ca="1">IFERROR(__xludf.DUMMYFUNCTION("""COMPUTED_VALUE"""),"")</f>
        <v/>
      </c>
      <c r="D18054" s="12" t="str">
        <f ca="1">IFERROR(__xludf.DUMMYFUNCTION("""COMPUTED_VALUE"""),"")</f>
        <v/>
      </c>
    </row>
    <row r="18055" spans="2:4" ht="13">
      <c r="B18055" s="12" t="str">
        <f ca="1">IFERROR(__xludf.DUMMYFUNCTION("""COMPUTED_VALUE"""),"")</f>
        <v/>
      </c>
      <c r="C18055" s="12" t="str">
        <f ca="1">IFERROR(__xludf.DUMMYFUNCTION("""COMPUTED_VALUE"""),"")</f>
        <v/>
      </c>
      <c r="D18055" s="12" t="str">
        <f ca="1">IFERROR(__xludf.DUMMYFUNCTION("""COMPUTED_VALUE"""),"")</f>
        <v/>
      </c>
    </row>
    <row r="18056" spans="2:4" ht="13">
      <c r="B18056" s="12" t="str">
        <f ca="1">IFERROR(__xludf.DUMMYFUNCTION("""COMPUTED_VALUE"""),"")</f>
        <v/>
      </c>
      <c r="C18056" s="12" t="str">
        <f ca="1">IFERROR(__xludf.DUMMYFUNCTION("""COMPUTED_VALUE"""),"")</f>
        <v/>
      </c>
      <c r="D18056" s="12" t="str">
        <f ca="1">IFERROR(__xludf.DUMMYFUNCTION("""COMPUTED_VALUE"""),"")</f>
        <v/>
      </c>
    </row>
    <row r="18057" spans="2:4" ht="13">
      <c r="B18057" s="12" t="str">
        <f ca="1">IFERROR(__xludf.DUMMYFUNCTION("""COMPUTED_VALUE"""),"")</f>
        <v/>
      </c>
      <c r="C18057" s="12" t="str">
        <f ca="1">IFERROR(__xludf.DUMMYFUNCTION("""COMPUTED_VALUE"""),"")</f>
        <v/>
      </c>
      <c r="D18057" s="12" t="str">
        <f ca="1">IFERROR(__xludf.DUMMYFUNCTION("""COMPUTED_VALUE"""),"")</f>
        <v/>
      </c>
    </row>
    <row r="18058" spans="2:4" ht="13">
      <c r="B18058" s="12" t="str">
        <f ca="1">IFERROR(__xludf.DUMMYFUNCTION("""COMPUTED_VALUE"""),"")</f>
        <v/>
      </c>
      <c r="C18058" s="12" t="str">
        <f ca="1">IFERROR(__xludf.DUMMYFUNCTION("""COMPUTED_VALUE"""),"")</f>
        <v/>
      </c>
      <c r="D18058" s="12" t="str">
        <f ca="1">IFERROR(__xludf.DUMMYFUNCTION("""COMPUTED_VALUE"""),"")</f>
        <v/>
      </c>
    </row>
    <row r="18059" spans="2:4" ht="13">
      <c r="B18059" s="12" t="str">
        <f ca="1">IFERROR(__xludf.DUMMYFUNCTION("""COMPUTED_VALUE"""),"")</f>
        <v/>
      </c>
      <c r="C18059" s="12" t="str">
        <f ca="1">IFERROR(__xludf.DUMMYFUNCTION("""COMPUTED_VALUE"""),"")</f>
        <v/>
      </c>
      <c r="D18059" s="12" t="str">
        <f ca="1">IFERROR(__xludf.DUMMYFUNCTION("""COMPUTED_VALUE"""),"")</f>
        <v/>
      </c>
    </row>
    <row r="18060" spans="2:4" ht="13">
      <c r="B18060" s="12" t="str">
        <f ca="1">IFERROR(__xludf.DUMMYFUNCTION("""COMPUTED_VALUE"""),"")</f>
        <v/>
      </c>
      <c r="C18060" s="12" t="str">
        <f ca="1">IFERROR(__xludf.DUMMYFUNCTION("""COMPUTED_VALUE"""),"")</f>
        <v/>
      </c>
      <c r="D18060" s="12" t="str">
        <f ca="1">IFERROR(__xludf.DUMMYFUNCTION("""COMPUTED_VALUE"""),"")</f>
        <v/>
      </c>
    </row>
    <row r="18061" spans="2:4" ht="13">
      <c r="B18061" s="12" t="str">
        <f ca="1">IFERROR(__xludf.DUMMYFUNCTION("""COMPUTED_VALUE"""),"")</f>
        <v/>
      </c>
      <c r="C18061" s="12" t="str">
        <f ca="1">IFERROR(__xludf.DUMMYFUNCTION("""COMPUTED_VALUE"""),"")</f>
        <v/>
      </c>
      <c r="D18061" s="12" t="str">
        <f ca="1">IFERROR(__xludf.DUMMYFUNCTION("""COMPUTED_VALUE"""),"")</f>
        <v/>
      </c>
    </row>
    <row r="18062" spans="2:4" ht="13">
      <c r="B18062" s="12" t="str">
        <f ca="1">IFERROR(__xludf.DUMMYFUNCTION("""COMPUTED_VALUE"""),"")</f>
        <v/>
      </c>
      <c r="C18062" s="12" t="str">
        <f ca="1">IFERROR(__xludf.DUMMYFUNCTION("""COMPUTED_VALUE"""),"")</f>
        <v/>
      </c>
      <c r="D18062" s="12" t="str">
        <f ca="1">IFERROR(__xludf.DUMMYFUNCTION("""COMPUTED_VALUE"""),"")</f>
        <v/>
      </c>
    </row>
    <row r="18063" spans="2:4" ht="13">
      <c r="B18063" s="12" t="str">
        <f ca="1">IFERROR(__xludf.DUMMYFUNCTION("""COMPUTED_VALUE"""),"")</f>
        <v/>
      </c>
      <c r="C18063" s="12" t="str">
        <f ca="1">IFERROR(__xludf.DUMMYFUNCTION("""COMPUTED_VALUE"""),"")</f>
        <v/>
      </c>
      <c r="D18063" s="12" t="str">
        <f ca="1">IFERROR(__xludf.DUMMYFUNCTION("""COMPUTED_VALUE"""),"")</f>
        <v/>
      </c>
    </row>
    <row r="18064" spans="2:4" ht="13">
      <c r="B18064" s="12" t="str">
        <f ca="1">IFERROR(__xludf.DUMMYFUNCTION("""COMPUTED_VALUE"""),"")</f>
        <v/>
      </c>
      <c r="C18064" s="12" t="str">
        <f ca="1">IFERROR(__xludf.DUMMYFUNCTION("""COMPUTED_VALUE"""),"")</f>
        <v/>
      </c>
      <c r="D18064" s="12" t="str">
        <f ca="1">IFERROR(__xludf.DUMMYFUNCTION("""COMPUTED_VALUE"""),"")</f>
        <v/>
      </c>
    </row>
    <row r="18065" spans="2:4" ht="13">
      <c r="B18065" s="12" t="str">
        <f ca="1">IFERROR(__xludf.DUMMYFUNCTION("""COMPUTED_VALUE"""),"")</f>
        <v/>
      </c>
      <c r="C18065" s="12" t="str">
        <f ca="1">IFERROR(__xludf.DUMMYFUNCTION("""COMPUTED_VALUE"""),"")</f>
        <v/>
      </c>
      <c r="D18065" s="12" t="str">
        <f ca="1">IFERROR(__xludf.DUMMYFUNCTION("""COMPUTED_VALUE"""),"")</f>
        <v/>
      </c>
    </row>
    <row r="18066" spans="2:4" ht="13">
      <c r="B18066" s="12" t="str">
        <f ca="1">IFERROR(__xludf.DUMMYFUNCTION("""COMPUTED_VALUE"""),"")</f>
        <v/>
      </c>
      <c r="C18066" s="12" t="str">
        <f ca="1">IFERROR(__xludf.DUMMYFUNCTION("""COMPUTED_VALUE"""),"")</f>
        <v/>
      </c>
      <c r="D18066" s="12" t="str">
        <f ca="1">IFERROR(__xludf.DUMMYFUNCTION("""COMPUTED_VALUE"""),"")</f>
        <v/>
      </c>
    </row>
    <row r="18067" spans="2:4" ht="13">
      <c r="B18067" s="12" t="str">
        <f ca="1">IFERROR(__xludf.DUMMYFUNCTION("""COMPUTED_VALUE"""),"")</f>
        <v/>
      </c>
      <c r="C18067" s="12" t="str">
        <f ca="1">IFERROR(__xludf.DUMMYFUNCTION("""COMPUTED_VALUE"""),"")</f>
        <v/>
      </c>
      <c r="D18067" s="12" t="str">
        <f ca="1">IFERROR(__xludf.DUMMYFUNCTION("""COMPUTED_VALUE"""),"")</f>
        <v/>
      </c>
    </row>
    <row r="18068" spans="2:4" ht="13">
      <c r="B18068" s="12" t="str">
        <f ca="1">IFERROR(__xludf.DUMMYFUNCTION("""COMPUTED_VALUE"""),"")</f>
        <v/>
      </c>
      <c r="C18068" s="12" t="str">
        <f ca="1">IFERROR(__xludf.DUMMYFUNCTION("""COMPUTED_VALUE"""),"")</f>
        <v/>
      </c>
      <c r="D18068" s="12" t="str">
        <f ca="1">IFERROR(__xludf.DUMMYFUNCTION("""COMPUTED_VALUE"""),"")</f>
        <v/>
      </c>
    </row>
    <row r="18069" spans="2:4" ht="13">
      <c r="B18069" s="12" t="str">
        <f ca="1">IFERROR(__xludf.DUMMYFUNCTION("""COMPUTED_VALUE"""),"")</f>
        <v/>
      </c>
      <c r="C18069" s="12" t="str">
        <f ca="1">IFERROR(__xludf.DUMMYFUNCTION("""COMPUTED_VALUE"""),"")</f>
        <v/>
      </c>
      <c r="D18069" s="12" t="str">
        <f ca="1">IFERROR(__xludf.DUMMYFUNCTION("""COMPUTED_VALUE"""),"")</f>
        <v/>
      </c>
    </row>
    <row r="18070" spans="2:4" ht="13">
      <c r="B18070" s="12" t="str">
        <f ca="1">IFERROR(__xludf.DUMMYFUNCTION("""COMPUTED_VALUE"""),"")</f>
        <v/>
      </c>
      <c r="C18070" s="12" t="str">
        <f ca="1">IFERROR(__xludf.DUMMYFUNCTION("""COMPUTED_VALUE"""),"")</f>
        <v/>
      </c>
      <c r="D18070" s="12" t="str">
        <f ca="1">IFERROR(__xludf.DUMMYFUNCTION("""COMPUTED_VALUE"""),"")</f>
        <v/>
      </c>
    </row>
    <row r="18071" spans="2:4" ht="13">
      <c r="B18071" s="12" t="str">
        <f ca="1">IFERROR(__xludf.DUMMYFUNCTION("""COMPUTED_VALUE"""),"")</f>
        <v/>
      </c>
      <c r="C18071" s="12" t="str">
        <f ca="1">IFERROR(__xludf.DUMMYFUNCTION("""COMPUTED_VALUE"""),"")</f>
        <v/>
      </c>
      <c r="D18071" s="12" t="str">
        <f ca="1">IFERROR(__xludf.DUMMYFUNCTION("""COMPUTED_VALUE"""),"")</f>
        <v/>
      </c>
    </row>
    <row r="18072" spans="2:4" ht="13">
      <c r="B18072" s="12" t="str">
        <f ca="1">IFERROR(__xludf.DUMMYFUNCTION("""COMPUTED_VALUE"""),"")</f>
        <v/>
      </c>
      <c r="C18072" s="12" t="str">
        <f ca="1">IFERROR(__xludf.DUMMYFUNCTION("""COMPUTED_VALUE"""),"")</f>
        <v/>
      </c>
      <c r="D18072" s="12" t="str">
        <f ca="1">IFERROR(__xludf.DUMMYFUNCTION("""COMPUTED_VALUE"""),"")</f>
        <v/>
      </c>
    </row>
    <row r="18073" spans="2:4" ht="13">
      <c r="B18073" s="12" t="str">
        <f ca="1">IFERROR(__xludf.DUMMYFUNCTION("""COMPUTED_VALUE"""),"")</f>
        <v/>
      </c>
      <c r="C18073" s="12" t="str">
        <f ca="1">IFERROR(__xludf.DUMMYFUNCTION("""COMPUTED_VALUE"""),"")</f>
        <v/>
      </c>
      <c r="D18073" s="12" t="str">
        <f ca="1">IFERROR(__xludf.DUMMYFUNCTION("""COMPUTED_VALUE"""),"")</f>
        <v/>
      </c>
    </row>
    <row r="18074" spans="2:4" ht="13">
      <c r="B18074" s="12" t="str">
        <f ca="1">IFERROR(__xludf.DUMMYFUNCTION("""COMPUTED_VALUE"""),"")</f>
        <v/>
      </c>
      <c r="C18074" s="12" t="str">
        <f ca="1">IFERROR(__xludf.DUMMYFUNCTION("""COMPUTED_VALUE"""),"")</f>
        <v/>
      </c>
      <c r="D18074" s="12" t="str">
        <f ca="1">IFERROR(__xludf.DUMMYFUNCTION("""COMPUTED_VALUE"""),"")</f>
        <v/>
      </c>
    </row>
    <row r="18075" spans="2:4" ht="13">
      <c r="B18075" s="12" t="str">
        <f ca="1">IFERROR(__xludf.DUMMYFUNCTION("""COMPUTED_VALUE"""),"")</f>
        <v/>
      </c>
      <c r="C18075" s="12" t="str">
        <f ca="1">IFERROR(__xludf.DUMMYFUNCTION("""COMPUTED_VALUE"""),"")</f>
        <v/>
      </c>
      <c r="D18075" s="12" t="str">
        <f ca="1">IFERROR(__xludf.DUMMYFUNCTION("""COMPUTED_VALUE"""),"")</f>
        <v/>
      </c>
    </row>
    <row r="18076" spans="2:4" ht="13">
      <c r="B18076" s="12" t="str">
        <f ca="1">IFERROR(__xludf.DUMMYFUNCTION("""COMPUTED_VALUE"""),"")</f>
        <v/>
      </c>
      <c r="C18076" s="12" t="str">
        <f ca="1">IFERROR(__xludf.DUMMYFUNCTION("""COMPUTED_VALUE"""),"")</f>
        <v/>
      </c>
      <c r="D18076" s="12" t="str">
        <f ca="1">IFERROR(__xludf.DUMMYFUNCTION("""COMPUTED_VALUE"""),"")</f>
        <v/>
      </c>
    </row>
    <row r="18077" spans="2:4" ht="13">
      <c r="B18077" s="12" t="str">
        <f ca="1">IFERROR(__xludf.DUMMYFUNCTION("""COMPUTED_VALUE"""),"")</f>
        <v/>
      </c>
      <c r="C18077" s="12" t="str">
        <f ca="1">IFERROR(__xludf.DUMMYFUNCTION("""COMPUTED_VALUE"""),"")</f>
        <v/>
      </c>
      <c r="D18077" s="12" t="str">
        <f ca="1">IFERROR(__xludf.DUMMYFUNCTION("""COMPUTED_VALUE"""),"")</f>
        <v/>
      </c>
    </row>
    <row r="18078" spans="2:4" ht="13">
      <c r="B18078" s="12" t="str">
        <f ca="1">IFERROR(__xludf.DUMMYFUNCTION("""COMPUTED_VALUE"""),"")</f>
        <v/>
      </c>
      <c r="C18078" s="12" t="str">
        <f ca="1">IFERROR(__xludf.DUMMYFUNCTION("""COMPUTED_VALUE"""),"")</f>
        <v/>
      </c>
      <c r="D18078" s="12" t="str">
        <f ca="1">IFERROR(__xludf.DUMMYFUNCTION("""COMPUTED_VALUE"""),"")</f>
        <v/>
      </c>
    </row>
    <row r="18079" spans="2:4" ht="13">
      <c r="B18079" s="12" t="str">
        <f ca="1">IFERROR(__xludf.DUMMYFUNCTION("""COMPUTED_VALUE"""),"")</f>
        <v/>
      </c>
      <c r="C18079" s="12" t="str">
        <f ca="1">IFERROR(__xludf.DUMMYFUNCTION("""COMPUTED_VALUE"""),"")</f>
        <v/>
      </c>
      <c r="D18079" s="12" t="str">
        <f ca="1">IFERROR(__xludf.DUMMYFUNCTION("""COMPUTED_VALUE"""),"")</f>
        <v/>
      </c>
    </row>
    <row r="18080" spans="2:4" ht="13">
      <c r="B18080" s="12" t="str">
        <f ca="1">IFERROR(__xludf.DUMMYFUNCTION("""COMPUTED_VALUE"""),"")</f>
        <v/>
      </c>
      <c r="C18080" s="12" t="str">
        <f ca="1">IFERROR(__xludf.DUMMYFUNCTION("""COMPUTED_VALUE"""),"")</f>
        <v/>
      </c>
      <c r="D18080" s="12" t="str">
        <f ca="1">IFERROR(__xludf.DUMMYFUNCTION("""COMPUTED_VALUE"""),"")</f>
        <v/>
      </c>
    </row>
    <row r="18081" spans="2:4" ht="13">
      <c r="B18081" s="12" t="str">
        <f ca="1">IFERROR(__xludf.DUMMYFUNCTION("""COMPUTED_VALUE"""),"")</f>
        <v/>
      </c>
      <c r="C18081" s="12" t="str">
        <f ca="1">IFERROR(__xludf.DUMMYFUNCTION("""COMPUTED_VALUE"""),"")</f>
        <v/>
      </c>
      <c r="D18081" s="12" t="str">
        <f ca="1">IFERROR(__xludf.DUMMYFUNCTION("""COMPUTED_VALUE"""),"")</f>
        <v/>
      </c>
    </row>
    <row r="18082" spans="2:4" ht="13">
      <c r="B18082" s="12" t="str">
        <f ca="1">IFERROR(__xludf.DUMMYFUNCTION("""COMPUTED_VALUE"""),"")</f>
        <v/>
      </c>
      <c r="C18082" s="12" t="str">
        <f ca="1">IFERROR(__xludf.DUMMYFUNCTION("""COMPUTED_VALUE"""),"")</f>
        <v/>
      </c>
      <c r="D18082" s="12" t="str">
        <f ca="1">IFERROR(__xludf.DUMMYFUNCTION("""COMPUTED_VALUE"""),"")</f>
        <v/>
      </c>
    </row>
    <row r="18083" spans="2:4" ht="13">
      <c r="B18083" s="12" t="str">
        <f ca="1">IFERROR(__xludf.DUMMYFUNCTION("""COMPUTED_VALUE"""),"")</f>
        <v/>
      </c>
      <c r="C18083" s="12" t="str">
        <f ca="1">IFERROR(__xludf.DUMMYFUNCTION("""COMPUTED_VALUE"""),"")</f>
        <v/>
      </c>
      <c r="D18083" s="12" t="str">
        <f ca="1">IFERROR(__xludf.DUMMYFUNCTION("""COMPUTED_VALUE"""),"")</f>
        <v/>
      </c>
    </row>
    <row r="18084" spans="2:4" ht="13">
      <c r="B18084" s="12" t="str">
        <f ca="1">IFERROR(__xludf.DUMMYFUNCTION("""COMPUTED_VALUE"""),"")</f>
        <v/>
      </c>
      <c r="C18084" s="12" t="str">
        <f ca="1">IFERROR(__xludf.DUMMYFUNCTION("""COMPUTED_VALUE"""),"")</f>
        <v/>
      </c>
      <c r="D18084" s="12" t="str">
        <f ca="1">IFERROR(__xludf.DUMMYFUNCTION("""COMPUTED_VALUE"""),"")</f>
        <v/>
      </c>
    </row>
    <row r="18085" spans="2:4" ht="13">
      <c r="B18085" s="12" t="str">
        <f ca="1">IFERROR(__xludf.DUMMYFUNCTION("""COMPUTED_VALUE"""),"")</f>
        <v/>
      </c>
      <c r="C18085" s="12" t="str">
        <f ca="1">IFERROR(__xludf.DUMMYFUNCTION("""COMPUTED_VALUE"""),"")</f>
        <v/>
      </c>
      <c r="D18085" s="12" t="str">
        <f ca="1">IFERROR(__xludf.DUMMYFUNCTION("""COMPUTED_VALUE"""),"")</f>
        <v/>
      </c>
    </row>
    <row r="18086" spans="2:4" ht="13">
      <c r="B18086" s="12" t="str">
        <f ca="1">IFERROR(__xludf.DUMMYFUNCTION("""COMPUTED_VALUE"""),"")</f>
        <v/>
      </c>
      <c r="C18086" s="12" t="str">
        <f ca="1">IFERROR(__xludf.DUMMYFUNCTION("""COMPUTED_VALUE"""),"")</f>
        <v/>
      </c>
      <c r="D18086" s="12" t="str">
        <f ca="1">IFERROR(__xludf.DUMMYFUNCTION("""COMPUTED_VALUE"""),"")</f>
        <v/>
      </c>
    </row>
    <row r="18087" spans="2:4" ht="13">
      <c r="B18087" s="12" t="str">
        <f ca="1">IFERROR(__xludf.DUMMYFUNCTION("""COMPUTED_VALUE"""),"")</f>
        <v/>
      </c>
      <c r="C18087" s="12" t="str">
        <f ca="1">IFERROR(__xludf.DUMMYFUNCTION("""COMPUTED_VALUE"""),"")</f>
        <v/>
      </c>
      <c r="D18087" s="12" t="str">
        <f ca="1">IFERROR(__xludf.DUMMYFUNCTION("""COMPUTED_VALUE"""),"")</f>
        <v/>
      </c>
    </row>
    <row r="18088" spans="2:4" ht="13">
      <c r="B18088" s="12" t="str">
        <f ca="1">IFERROR(__xludf.DUMMYFUNCTION("""COMPUTED_VALUE"""),"")</f>
        <v/>
      </c>
      <c r="C18088" s="12" t="str">
        <f ca="1">IFERROR(__xludf.DUMMYFUNCTION("""COMPUTED_VALUE"""),"")</f>
        <v/>
      </c>
      <c r="D18088" s="12" t="str">
        <f ca="1">IFERROR(__xludf.DUMMYFUNCTION("""COMPUTED_VALUE"""),"")</f>
        <v/>
      </c>
    </row>
    <row r="18089" spans="2:4" ht="13">
      <c r="B18089" s="12" t="str">
        <f ca="1">IFERROR(__xludf.DUMMYFUNCTION("""COMPUTED_VALUE"""),"")</f>
        <v/>
      </c>
      <c r="C18089" s="12" t="str">
        <f ca="1">IFERROR(__xludf.DUMMYFUNCTION("""COMPUTED_VALUE"""),"")</f>
        <v/>
      </c>
      <c r="D18089" s="12" t="str">
        <f ca="1">IFERROR(__xludf.DUMMYFUNCTION("""COMPUTED_VALUE"""),"")</f>
        <v/>
      </c>
    </row>
    <row r="18090" spans="2:4" ht="13">
      <c r="B18090" s="12" t="str">
        <f ca="1">IFERROR(__xludf.DUMMYFUNCTION("""COMPUTED_VALUE"""),"")</f>
        <v/>
      </c>
      <c r="C18090" s="12" t="str">
        <f ca="1">IFERROR(__xludf.DUMMYFUNCTION("""COMPUTED_VALUE"""),"")</f>
        <v/>
      </c>
      <c r="D18090" s="12" t="str">
        <f ca="1">IFERROR(__xludf.DUMMYFUNCTION("""COMPUTED_VALUE"""),"")</f>
        <v/>
      </c>
    </row>
    <row r="18091" spans="2:4" ht="13">
      <c r="B18091" s="12" t="str">
        <f ca="1">IFERROR(__xludf.DUMMYFUNCTION("""COMPUTED_VALUE"""),"")</f>
        <v/>
      </c>
      <c r="C18091" s="12" t="str">
        <f ca="1">IFERROR(__xludf.DUMMYFUNCTION("""COMPUTED_VALUE"""),"")</f>
        <v/>
      </c>
      <c r="D18091" s="12" t="str">
        <f ca="1">IFERROR(__xludf.DUMMYFUNCTION("""COMPUTED_VALUE"""),"")</f>
        <v/>
      </c>
    </row>
    <row r="18092" spans="2:4" ht="13">
      <c r="B18092" s="12" t="str">
        <f ca="1">IFERROR(__xludf.DUMMYFUNCTION("""COMPUTED_VALUE"""),"")</f>
        <v/>
      </c>
      <c r="C18092" s="12" t="str">
        <f ca="1">IFERROR(__xludf.DUMMYFUNCTION("""COMPUTED_VALUE"""),"")</f>
        <v/>
      </c>
      <c r="D18092" s="12" t="str">
        <f ca="1">IFERROR(__xludf.DUMMYFUNCTION("""COMPUTED_VALUE"""),"")</f>
        <v/>
      </c>
    </row>
    <row r="18093" spans="2:4" ht="13">
      <c r="B18093" s="12" t="str">
        <f ca="1">IFERROR(__xludf.DUMMYFUNCTION("""COMPUTED_VALUE"""),"")</f>
        <v/>
      </c>
      <c r="C18093" s="12" t="str">
        <f ca="1">IFERROR(__xludf.DUMMYFUNCTION("""COMPUTED_VALUE"""),"")</f>
        <v/>
      </c>
      <c r="D18093" s="12" t="str">
        <f ca="1">IFERROR(__xludf.DUMMYFUNCTION("""COMPUTED_VALUE"""),"")</f>
        <v/>
      </c>
    </row>
    <row r="18094" spans="2:4" ht="13">
      <c r="B18094" s="12" t="str">
        <f ca="1">IFERROR(__xludf.DUMMYFUNCTION("""COMPUTED_VALUE"""),"")</f>
        <v/>
      </c>
      <c r="C18094" s="12" t="str">
        <f ca="1">IFERROR(__xludf.DUMMYFUNCTION("""COMPUTED_VALUE"""),"")</f>
        <v/>
      </c>
      <c r="D18094" s="12" t="str">
        <f ca="1">IFERROR(__xludf.DUMMYFUNCTION("""COMPUTED_VALUE"""),"")</f>
        <v/>
      </c>
    </row>
    <row r="18095" spans="2:4" ht="13">
      <c r="B18095" s="12" t="str">
        <f ca="1">IFERROR(__xludf.DUMMYFUNCTION("""COMPUTED_VALUE"""),"")</f>
        <v/>
      </c>
      <c r="C18095" s="12" t="str">
        <f ca="1">IFERROR(__xludf.DUMMYFUNCTION("""COMPUTED_VALUE"""),"")</f>
        <v/>
      </c>
      <c r="D18095" s="12" t="str">
        <f ca="1">IFERROR(__xludf.DUMMYFUNCTION("""COMPUTED_VALUE"""),"")</f>
        <v/>
      </c>
    </row>
    <row r="18096" spans="2:4" ht="13">
      <c r="B18096" s="12" t="str">
        <f ca="1">IFERROR(__xludf.DUMMYFUNCTION("""COMPUTED_VALUE"""),"")</f>
        <v/>
      </c>
      <c r="C18096" s="12" t="str">
        <f ca="1">IFERROR(__xludf.DUMMYFUNCTION("""COMPUTED_VALUE"""),"")</f>
        <v/>
      </c>
      <c r="D18096" s="12" t="str">
        <f ca="1">IFERROR(__xludf.DUMMYFUNCTION("""COMPUTED_VALUE"""),"")</f>
        <v/>
      </c>
    </row>
    <row r="18097" spans="2:4" ht="13">
      <c r="B18097" s="12" t="str">
        <f ca="1">IFERROR(__xludf.DUMMYFUNCTION("""COMPUTED_VALUE"""),"")</f>
        <v/>
      </c>
      <c r="C18097" s="12" t="str">
        <f ca="1">IFERROR(__xludf.DUMMYFUNCTION("""COMPUTED_VALUE"""),"")</f>
        <v/>
      </c>
      <c r="D18097" s="12" t="str">
        <f ca="1">IFERROR(__xludf.DUMMYFUNCTION("""COMPUTED_VALUE"""),"")</f>
        <v/>
      </c>
    </row>
    <row r="18098" spans="2:4" ht="13">
      <c r="B18098" s="12" t="str">
        <f ca="1">IFERROR(__xludf.DUMMYFUNCTION("""COMPUTED_VALUE"""),"")</f>
        <v/>
      </c>
      <c r="C18098" s="12" t="str">
        <f ca="1">IFERROR(__xludf.DUMMYFUNCTION("""COMPUTED_VALUE"""),"")</f>
        <v/>
      </c>
      <c r="D18098" s="12" t="str">
        <f ca="1">IFERROR(__xludf.DUMMYFUNCTION("""COMPUTED_VALUE"""),"")</f>
        <v/>
      </c>
    </row>
    <row r="18099" spans="2:4" ht="13">
      <c r="B18099" s="12" t="str">
        <f ca="1">IFERROR(__xludf.DUMMYFUNCTION("""COMPUTED_VALUE"""),"")</f>
        <v/>
      </c>
      <c r="C18099" s="12" t="str">
        <f ca="1">IFERROR(__xludf.DUMMYFUNCTION("""COMPUTED_VALUE"""),"")</f>
        <v/>
      </c>
      <c r="D18099" s="12" t="str">
        <f ca="1">IFERROR(__xludf.DUMMYFUNCTION("""COMPUTED_VALUE"""),"")</f>
        <v/>
      </c>
    </row>
    <row r="18100" spans="2:4" ht="13">
      <c r="B18100" s="12" t="str">
        <f ca="1">IFERROR(__xludf.DUMMYFUNCTION("""COMPUTED_VALUE"""),"")</f>
        <v/>
      </c>
      <c r="C18100" s="12" t="str">
        <f ca="1">IFERROR(__xludf.DUMMYFUNCTION("""COMPUTED_VALUE"""),"")</f>
        <v/>
      </c>
      <c r="D18100" s="12" t="str">
        <f ca="1">IFERROR(__xludf.DUMMYFUNCTION("""COMPUTED_VALUE"""),"")</f>
        <v/>
      </c>
    </row>
    <row r="18101" spans="2:4" ht="13">
      <c r="B18101" s="12" t="str">
        <f ca="1">IFERROR(__xludf.DUMMYFUNCTION("""COMPUTED_VALUE"""),"")</f>
        <v/>
      </c>
      <c r="C18101" s="12" t="str">
        <f ca="1">IFERROR(__xludf.DUMMYFUNCTION("""COMPUTED_VALUE"""),"")</f>
        <v/>
      </c>
      <c r="D18101" s="12" t="str">
        <f ca="1">IFERROR(__xludf.DUMMYFUNCTION("""COMPUTED_VALUE"""),"")</f>
        <v/>
      </c>
    </row>
    <row r="18102" spans="2:4" ht="13">
      <c r="B18102" s="12" t="str">
        <f ca="1">IFERROR(__xludf.DUMMYFUNCTION("""COMPUTED_VALUE"""),"")</f>
        <v/>
      </c>
      <c r="C18102" s="12" t="str">
        <f ca="1">IFERROR(__xludf.DUMMYFUNCTION("""COMPUTED_VALUE"""),"")</f>
        <v/>
      </c>
      <c r="D18102" s="12" t="str">
        <f ca="1">IFERROR(__xludf.DUMMYFUNCTION("""COMPUTED_VALUE"""),"")</f>
        <v/>
      </c>
    </row>
    <row r="18103" spans="2:4" ht="13">
      <c r="B18103" s="12" t="str">
        <f ca="1">IFERROR(__xludf.DUMMYFUNCTION("""COMPUTED_VALUE"""),"")</f>
        <v/>
      </c>
      <c r="C18103" s="12" t="str">
        <f ca="1">IFERROR(__xludf.DUMMYFUNCTION("""COMPUTED_VALUE"""),"")</f>
        <v/>
      </c>
      <c r="D18103" s="12" t="str">
        <f ca="1">IFERROR(__xludf.DUMMYFUNCTION("""COMPUTED_VALUE"""),"")</f>
        <v/>
      </c>
    </row>
    <row r="18104" spans="2:4" ht="13">
      <c r="B18104" s="12" t="str">
        <f ca="1">IFERROR(__xludf.DUMMYFUNCTION("""COMPUTED_VALUE"""),"")</f>
        <v/>
      </c>
      <c r="C18104" s="12" t="str">
        <f ca="1">IFERROR(__xludf.DUMMYFUNCTION("""COMPUTED_VALUE"""),"")</f>
        <v/>
      </c>
      <c r="D18104" s="12" t="str">
        <f ca="1">IFERROR(__xludf.DUMMYFUNCTION("""COMPUTED_VALUE"""),"")</f>
        <v/>
      </c>
    </row>
    <row r="18105" spans="2:4" ht="13">
      <c r="B18105" s="12" t="str">
        <f ca="1">IFERROR(__xludf.DUMMYFUNCTION("""COMPUTED_VALUE"""),"")</f>
        <v/>
      </c>
      <c r="C18105" s="12" t="str">
        <f ca="1">IFERROR(__xludf.DUMMYFUNCTION("""COMPUTED_VALUE"""),"")</f>
        <v/>
      </c>
      <c r="D18105" s="12" t="str">
        <f ca="1">IFERROR(__xludf.DUMMYFUNCTION("""COMPUTED_VALUE"""),"")</f>
        <v/>
      </c>
    </row>
    <row r="18106" spans="2:4" ht="13">
      <c r="B18106" s="12" t="str">
        <f ca="1">IFERROR(__xludf.DUMMYFUNCTION("""COMPUTED_VALUE"""),"")</f>
        <v/>
      </c>
      <c r="C18106" s="12" t="str">
        <f ca="1">IFERROR(__xludf.DUMMYFUNCTION("""COMPUTED_VALUE"""),"")</f>
        <v/>
      </c>
      <c r="D18106" s="12" t="str">
        <f ca="1">IFERROR(__xludf.DUMMYFUNCTION("""COMPUTED_VALUE"""),"")</f>
        <v/>
      </c>
    </row>
    <row r="18107" spans="2:4" ht="13">
      <c r="B18107" s="12" t="str">
        <f ca="1">IFERROR(__xludf.DUMMYFUNCTION("""COMPUTED_VALUE"""),"")</f>
        <v/>
      </c>
      <c r="C18107" s="12" t="str">
        <f ca="1">IFERROR(__xludf.DUMMYFUNCTION("""COMPUTED_VALUE"""),"")</f>
        <v/>
      </c>
      <c r="D18107" s="12" t="str">
        <f ca="1">IFERROR(__xludf.DUMMYFUNCTION("""COMPUTED_VALUE"""),"")</f>
        <v/>
      </c>
    </row>
    <row r="18108" spans="2:4" ht="13">
      <c r="B18108" s="12" t="str">
        <f ca="1">IFERROR(__xludf.DUMMYFUNCTION("""COMPUTED_VALUE"""),"")</f>
        <v/>
      </c>
      <c r="C18108" s="12" t="str">
        <f ca="1">IFERROR(__xludf.DUMMYFUNCTION("""COMPUTED_VALUE"""),"")</f>
        <v/>
      </c>
      <c r="D18108" s="12" t="str">
        <f ca="1">IFERROR(__xludf.DUMMYFUNCTION("""COMPUTED_VALUE"""),"")</f>
        <v/>
      </c>
    </row>
    <row r="18109" spans="2:4" ht="13">
      <c r="B18109" s="12" t="str">
        <f ca="1">IFERROR(__xludf.DUMMYFUNCTION("""COMPUTED_VALUE"""),"")</f>
        <v/>
      </c>
      <c r="C18109" s="12" t="str">
        <f ca="1">IFERROR(__xludf.DUMMYFUNCTION("""COMPUTED_VALUE"""),"")</f>
        <v/>
      </c>
      <c r="D18109" s="12" t="str">
        <f ca="1">IFERROR(__xludf.DUMMYFUNCTION("""COMPUTED_VALUE"""),"")</f>
        <v/>
      </c>
    </row>
    <row r="18110" spans="2:4" ht="13">
      <c r="B18110" s="12" t="str">
        <f ca="1">IFERROR(__xludf.DUMMYFUNCTION("""COMPUTED_VALUE"""),"")</f>
        <v/>
      </c>
      <c r="C18110" s="12" t="str">
        <f ca="1">IFERROR(__xludf.DUMMYFUNCTION("""COMPUTED_VALUE"""),"")</f>
        <v/>
      </c>
      <c r="D18110" s="12" t="str">
        <f ca="1">IFERROR(__xludf.DUMMYFUNCTION("""COMPUTED_VALUE"""),"")</f>
        <v/>
      </c>
    </row>
    <row r="18111" spans="2:4" ht="13">
      <c r="B18111" s="12" t="str">
        <f ca="1">IFERROR(__xludf.DUMMYFUNCTION("""COMPUTED_VALUE"""),"")</f>
        <v/>
      </c>
      <c r="C18111" s="12" t="str">
        <f ca="1">IFERROR(__xludf.DUMMYFUNCTION("""COMPUTED_VALUE"""),"")</f>
        <v/>
      </c>
      <c r="D18111" s="12" t="str">
        <f ca="1">IFERROR(__xludf.DUMMYFUNCTION("""COMPUTED_VALUE"""),"")</f>
        <v/>
      </c>
    </row>
    <row r="18112" spans="2:4" ht="13">
      <c r="B18112" s="12" t="str">
        <f ca="1">IFERROR(__xludf.DUMMYFUNCTION("""COMPUTED_VALUE"""),"")</f>
        <v/>
      </c>
      <c r="C18112" s="12" t="str">
        <f ca="1">IFERROR(__xludf.DUMMYFUNCTION("""COMPUTED_VALUE"""),"")</f>
        <v/>
      </c>
      <c r="D18112" s="12" t="str">
        <f ca="1">IFERROR(__xludf.DUMMYFUNCTION("""COMPUTED_VALUE"""),"")</f>
        <v/>
      </c>
    </row>
    <row r="18113" spans="2:4" ht="13">
      <c r="B18113" s="12" t="str">
        <f ca="1">IFERROR(__xludf.DUMMYFUNCTION("""COMPUTED_VALUE"""),"")</f>
        <v/>
      </c>
      <c r="C18113" s="12" t="str">
        <f ca="1">IFERROR(__xludf.DUMMYFUNCTION("""COMPUTED_VALUE"""),"")</f>
        <v/>
      </c>
      <c r="D18113" s="12" t="str">
        <f ca="1">IFERROR(__xludf.DUMMYFUNCTION("""COMPUTED_VALUE"""),"")</f>
        <v/>
      </c>
    </row>
    <row r="18114" spans="2:4" ht="13">
      <c r="B18114" s="12" t="str">
        <f ca="1">IFERROR(__xludf.DUMMYFUNCTION("""COMPUTED_VALUE"""),"")</f>
        <v/>
      </c>
      <c r="C18114" s="12" t="str">
        <f ca="1">IFERROR(__xludf.DUMMYFUNCTION("""COMPUTED_VALUE"""),"")</f>
        <v/>
      </c>
      <c r="D18114" s="12" t="str">
        <f ca="1">IFERROR(__xludf.DUMMYFUNCTION("""COMPUTED_VALUE"""),"")</f>
        <v/>
      </c>
    </row>
    <row r="18115" spans="2:4" ht="13">
      <c r="B18115" s="12" t="str">
        <f ca="1">IFERROR(__xludf.DUMMYFUNCTION("""COMPUTED_VALUE"""),"")</f>
        <v/>
      </c>
      <c r="C18115" s="12" t="str">
        <f ca="1">IFERROR(__xludf.DUMMYFUNCTION("""COMPUTED_VALUE"""),"")</f>
        <v/>
      </c>
      <c r="D18115" s="12" t="str">
        <f ca="1">IFERROR(__xludf.DUMMYFUNCTION("""COMPUTED_VALUE"""),"")</f>
        <v/>
      </c>
    </row>
    <row r="18116" spans="2:4" ht="13">
      <c r="B18116" s="12" t="str">
        <f ca="1">IFERROR(__xludf.DUMMYFUNCTION("""COMPUTED_VALUE"""),"")</f>
        <v/>
      </c>
      <c r="C18116" s="12" t="str">
        <f ca="1">IFERROR(__xludf.DUMMYFUNCTION("""COMPUTED_VALUE"""),"")</f>
        <v/>
      </c>
      <c r="D18116" s="12" t="str">
        <f ca="1">IFERROR(__xludf.DUMMYFUNCTION("""COMPUTED_VALUE"""),"")</f>
        <v/>
      </c>
    </row>
    <row r="18117" spans="2:4" ht="13">
      <c r="B18117" s="12" t="str">
        <f ca="1">IFERROR(__xludf.DUMMYFUNCTION("""COMPUTED_VALUE"""),"")</f>
        <v/>
      </c>
      <c r="C18117" s="12" t="str">
        <f ca="1">IFERROR(__xludf.DUMMYFUNCTION("""COMPUTED_VALUE"""),"")</f>
        <v/>
      </c>
      <c r="D18117" s="12" t="str">
        <f ca="1">IFERROR(__xludf.DUMMYFUNCTION("""COMPUTED_VALUE"""),"")</f>
        <v/>
      </c>
    </row>
    <row r="18118" spans="2:4" ht="13">
      <c r="B18118" s="12" t="str">
        <f ca="1">IFERROR(__xludf.DUMMYFUNCTION("""COMPUTED_VALUE"""),"")</f>
        <v/>
      </c>
      <c r="C18118" s="12" t="str">
        <f ca="1">IFERROR(__xludf.DUMMYFUNCTION("""COMPUTED_VALUE"""),"")</f>
        <v/>
      </c>
      <c r="D18118" s="12" t="str">
        <f ca="1">IFERROR(__xludf.DUMMYFUNCTION("""COMPUTED_VALUE"""),"")</f>
        <v/>
      </c>
    </row>
    <row r="18119" spans="2:4" ht="13">
      <c r="B18119" s="12" t="str">
        <f ca="1">IFERROR(__xludf.DUMMYFUNCTION("""COMPUTED_VALUE"""),"")</f>
        <v/>
      </c>
      <c r="C18119" s="12" t="str">
        <f ca="1">IFERROR(__xludf.DUMMYFUNCTION("""COMPUTED_VALUE"""),"")</f>
        <v/>
      </c>
      <c r="D18119" s="12" t="str">
        <f ca="1">IFERROR(__xludf.DUMMYFUNCTION("""COMPUTED_VALUE"""),"")</f>
        <v/>
      </c>
    </row>
    <row r="18120" spans="2:4" ht="13">
      <c r="B18120" s="12" t="str">
        <f ca="1">IFERROR(__xludf.DUMMYFUNCTION("""COMPUTED_VALUE"""),"")</f>
        <v/>
      </c>
      <c r="C18120" s="12" t="str">
        <f ca="1">IFERROR(__xludf.DUMMYFUNCTION("""COMPUTED_VALUE"""),"")</f>
        <v/>
      </c>
      <c r="D18120" s="12" t="str">
        <f ca="1">IFERROR(__xludf.DUMMYFUNCTION("""COMPUTED_VALUE"""),"")</f>
        <v/>
      </c>
    </row>
    <row r="18121" spans="2:4" ht="13">
      <c r="B18121" s="12" t="str">
        <f ca="1">IFERROR(__xludf.DUMMYFUNCTION("""COMPUTED_VALUE"""),"")</f>
        <v/>
      </c>
      <c r="C18121" s="12" t="str">
        <f ca="1">IFERROR(__xludf.DUMMYFUNCTION("""COMPUTED_VALUE"""),"")</f>
        <v/>
      </c>
      <c r="D18121" s="12" t="str">
        <f ca="1">IFERROR(__xludf.DUMMYFUNCTION("""COMPUTED_VALUE"""),"")</f>
        <v/>
      </c>
    </row>
    <row r="18122" spans="2:4" ht="13">
      <c r="B18122" s="12" t="str">
        <f ca="1">IFERROR(__xludf.DUMMYFUNCTION("""COMPUTED_VALUE"""),"")</f>
        <v/>
      </c>
      <c r="C18122" s="12" t="str">
        <f ca="1">IFERROR(__xludf.DUMMYFUNCTION("""COMPUTED_VALUE"""),"")</f>
        <v/>
      </c>
      <c r="D18122" s="12" t="str">
        <f ca="1">IFERROR(__xludf.DUMMYFUNCTION("""COMPUTED_VALUE"""),"")</f>
        <v/>
      </c>
    </row>
    <row r="18123" spans="2:4" ht="13">
      <c r="B18123" s="12" t="str">
        <f ca="1">IFERROR(__xludf.DUMMYFUNCTION("""COMPUTED_VALUE"""),"")</f>
        <v/>
      </c>
      <c r="C18123" s="12" t="str">
        <f ca="1">IFERROR(__xludf.DUMMYFUNCTION("""COMPUTED_VALUE"""),"")</f>
        <v/>
      </c>
      <c r="D18123" s="12" t="str">
        <f ca="1">IFERROR(__xludf.DUMMYFUNCTION("""COMPUTED_VALUE"""),"")</f>
        <v/>
      </c>
    </row>
    <row r="18124" spans="2:4" ht="13">
      <c r="B18124" s="12" t="str">
        <f ca="1">IFERROR(__xludf.DUMMYFUNCTION("""COMPUTED_VALUE"""),"")</f>
        <v/>
      </c>
      <c r="C18124" s="12" t="str">
        <f ca="1">IFERROR(__xludf.DUMMYFUNCTION("""COMPUTED_VALUE"""),"")</f>
        <v/>
      </c>
      <c r="D18124" s="12" t="str">
        <f ca="1">IFERROR(__xludf.DUMMYFUNCTION("""COMPUTED_VALUE"""),"")</f>
        <v/>
      </c>
    </row>
    <row r="18125" spans="2:4" ht="13">
      <c r="B18125" s="12" t="str">
        <f ca="1">IFERROR(__xludf.DUMMYFUNCTION("""COMPUTED_VALUE"""),"")</f>
        <v/>
      </c>
      <c r="C18125" s="12" t="str">
        <f ca="1">IFERROR(__xludf.DUMMYFUNCTION("""COMPUTED_VALUE"""),"")</f>
        <v/>
      </c>
      <c r="D18125" s="12" t="str">
        <f ca="1">IFERROR(__xludf.DUMMYFUNCTION("""COMPUTED_VALUE"""),"")</f>
        <v/>
      </c>
    </row>
    <row r="18126" spans="2:4" ht="13">
      <c r="B18126" s="12" t="str">
        <f ca="1">IFERROR(__xludf.DUMMYFUNCTION("""COMPUTED_VALUE"""),"")</f>
        <v/>
      </c>
      <c r="C18126" s="12" t="str">
        <f ca="1">IFERROR(__xludf.DUMMYFUNCTION("""COMPUTED_VALUE"""),"")</f>
        <v/>
      </c>
      <c r="D18126" s="12" t="str">
        <f ca="1">IFERROR(__xludf.DUMMYFUNCTION("""COMPUTED_VALUE"""),"")</f>
        <v/>
      </c>
    </row>
    <row r="18127" spans="2:4" ht="13">
      <c r="B18127" s="12" t="str">
        <f ca="1">IFERROR(__xludf.DUMMYFUNCTION("""COMPUTED_VALUE"""),"")</f>
        <v/>
      </c>
      <c r="C18127" s="12" t="str">
        <f ca="1">IFERROR(__xludf.DUMMYFUNCTION("""COMPUTED_VALUE"""),"")</f>
        <v/>
      </c>
      <c r="D18127" s="12" t="str">
        <f ca="1">IFERROR(__xludf.DUMMYFUNCTION("""COMPUTED_VALUE"""),"")</f>
        <v/>
      </c>
    </row>
    <row r="18128" spans="2:4" ht="13">
      <c r="B18128" s="12" t="str">
        <f ca="1">IFERROR(__xludf.DUMMYFUNCTION("""COMPUTED_VALUE"""),"")</f>
        <v/>
      </c>
      <c r="C18128" s="12" t="str">
        <f ca="1">IFERROR(__xludf.DUMMYFUNCTION("""COMPUTED_VALUE"""),"")</f>
        <v/>
      </c>
      <c r="D18128" s="12" t="str">
        <f ca="1">IFERROR(__xludf.DUMMYFUNCTION("""COMPUTED_VALUE"""),"")</f>
        <v/>
      </c>
    </row>
    <row r="18129" spans="2:4" ht="13">
      <c r="B18129" s="12" t="str">
        <f ca="1">IFERROR(__xludf.DUMMYFUNCTION("""COMPUTED_VALUE"""),"")</f>
        <v/>
      </c>
      <c r="C18129" s="12" t="str">
        <f ca="1">IFERROR(__xludf.DUMMYFUNCTION("""COMPUTED_VALUE"""),"")</f>
        <v/>
      </c>
      <c r="D18129" s="12" t="str">
        <f ca="1">IFERROR(__xludf.DUMMYFUNCTION("""COMPUTED_VALUE"""),"")</f>
        <v/>
      </c>
    </row>
    <row r="18130" spans="2:4" ht="13">
      <c r="B18130" s="12" t="str">
        <f ca="1">IFERROR(__xludf.DUMMYFUNCTION("""COMPUTED_VALUE"""),"")</f>
        <v/>
      </c>
      <c r="C18130" s="12" t="str">
        <f ca="1">IFERROR(__xludf.DUMMYFUNCTION("""COMPUTED_VALUE"""),"")</f>
        <v/>
      </c>
      <c r="D18130" s="12" t="str">
        <f ca="1">IFERROR(__xludf.DUMMYFUNCTION("""COMPUTED_VALUE"""),"")</f>
        <v/>
      </c>
    </row>
    <row r="18131" spans="2:4" ht="13">
      <c r="B18131" s="12" t="str">
        <f ca="1">IFERROR(__xludf.DUMMYFUNCTION("""COMPUTED_VALUE"""),"")</f>
        <v/>
      </c>
      <c r="C18131" s="12" t="str">
        <f ca="1">IFERROR(__xludf.DUMMYFUNCTION("""COMPUTED_VALUE"""),"")</f>
        <v/>
      </c>
      <c r="D18131" s="12" t="str">
        <f ca="1">IFERROR(__xludf.DUMMYFUNCTION("""COMPUTED_VALUE"""),"")</f>
        <v/>
      </c>
    </row>
    <row r="18132" spans="2:4" ht="13">
      <c r="B18132" s="12" t="str">
        <f ca="1">IFERROR(__xludf.DUMMYFUNCTION("""COMPUTED_VALUE"""),"")</f>
        <v/>
      </c>
      <c r="C18132" s="12" t="str">
        <f ca="1">IFERROR(__xludf.DUMMYFUNCTION("""COMPUTED_VALUE"""),"")</f>
        <v/>
      </c>
      <c r="D18132" s="12" t="str">
        <f ca="1">IFERROR(__xludf.DUMMYFUNCTION("""COMPUTED_VALUE"""),"")</f>
        <v/>
      </c>
    </row>
    <row r="18133" spans="2:4" ht="13">
      <c r="B18133" s="12" t="str">
        <f ca="1">IFERROR(__xludf.DUMMYFUNCTION("""COMPUTED_VALUE"""),"")</f>
        <v/>
      </c>
      <c r="C18133" s="12" t="str">
        <f ca="1">IFERROR(__xludf.DUMMYFUNCTION("""COMPUTED_VALUE"""),"")</f>
        <v/>
      </c>
      <c r="D18133" s="12" t="str">
        <f ca="1">IFERROR(__xludf.DUMMYFUNCTION("""COMPUTED_VALUE"""),"")</f>
        <v/>
      </c>
    </row>
    <row r="18134" spans="2:4" ht="13">
      <c r="B18134" s="12" t="str">
        <f ca="1">IFERROR(__xludf.DUMMYFUNCTION("""COMPUTED_VALUE"""),"")</f>
        <v/>
      </c>
      <c r="C18134" s="12" t="str">
        <f ca="1">IFERROR(__xludf.DUMMYFUNCTION("""COMPUTED_VALUE"""),"")</f>
        <v/>
      </c>
      <c r="D18134" s="12" t="str">
        <f ca="1">IFERROR(__xludf.DUMMYFUNCTION("""COMPUTED_VALUE"""),"")</f>
        <v/>
      </c>
    </row>
    <row r="18135" spans="2:4" ht="13">
      <c r="B18135" s="12" t="str">
        <f ca="1">IFERROR(__xludf.DUMMYFUNCTION("""COMPUTED_VALUE"""),"")</f>
        <v/>
      </c>
      <c r="C18135" s="12" t="str">
        <f ca="1">IFERROR(__xludf.DUMMYFUNCTION("""COMPUTED_VALUE"""),"")</f>
        <v/>
      </c>
      <c r="D18135" s="12" t="str">
        <f ca="1">IFERROR(__xludf.DUMMYFUNCTION("""COMPUTED_VALUE"""),"")</f>
        <v/>
      </c>
    </row>
    <row r="18136" spans="2:4" ht="13">
      <c r="B18136" s="12" t="str">
        <f ca="1">IFERROR(__xludf.DUMMYFUNCTION("""COMPUTED_VALUE"""),"")</f>
        <v/>
      </c>
      <c r="C18136" s="12" t="str">
        <f ca="1">IFERROR(__xludf.DUMMYFUNCTION("""COMPUTED_VALUE"""),"")</f>
        <v/>
      </c>
      <c r="D18136" s="12" t="str">
        <f ca="1">IFERROR(__xludf.DUMMYFUNCTION("""COMPUTED_VALUE"""),"")</f>
        <v/>
      </c>
    </row>
    <row r="18137" spans="2:4" ht="13">
      <c r="B18137" s="12" t="str">
        <f ca="1">IFERROR(__xludf.DUMMYFUNCTION("""COMPUTED_VALUE"""),"")</f>
        <v/>
      </c>
      <c r="C18137" s="12" t="str">
        <f ca="1">IFERROR(__xludf.DUMMYFUNCTION("""COMPUTED_VALUE"""),"")</f>
        <v/>
      </c>
      <c r="D18137" s="12" t="str">
        <f ca="1">IFERROR(__xludf.DUMMYFUNCTION("""COMPUTED_VALUE"""),"")</f>
        <v/>
      </c>
    </row>
    <row r="18138" spans="2:4" ht="13">
      <c r="B18138" s="12" t="str">
        <f ca="1">IFERROR(__xludf.DUMMYFUNCTION("""COMPUTED_VALUE"""),"")</f>
        <v/>
      </c>
      <c r="C18138" s="12" t="str">
        <f ca="1">IFERROR(__xludf.DUMMYFUNCTION("""COMPUTED_VALUE"""),"")</f>
        <v/>
      </c>
      <c r="D18138" s="12" t="str">
        <f ca="1">IFERROR(__xludf.DUMMYFUNCTION("""COMPUTED_VALUE"""),"")</f>
        <v/>
      </c>
    </row>
    <row r="18139" spans="2:4" ht="13">
      <c r="B18139" s="12" t="str">
        <f ca="1">IFERROR(__xludf.DUMMYFUNCTION("""COMPUTED_VALUE"""),"")</f>
        <v/>
      </c>
      <c r="C18139" s="12" t="str">
        <f ca="1">IFERROR(__xludf.DUMMYFUNCTION("""COMPUTED_VALUE"""),"")</f>
        <v/>
      </c>
      <c r="D18139" s="12" t="str">
        <f ca="1">IFERROR(__xludf.DUMMYFUNCTION("""COMPUTED_VALUE"""),"")</f>
        <v/>
      </c>
    </row>
    <row r="18140" spans="2:4" ht="13">
      <c r="B18140" s="12" t="str">
        <f ca="1">IFERROR(__xludf.DUMMYFUNCTION("""COMPUTED_VALUE"""),"")</f>
        <v/>
      </c>
      <c r="C18140" s="12" t="str">
        <f ca="1">IFERROR(__xludf.DUMMYFUNCTION("""COMPUTED_VALUE"""),"")</f>
        <v/>
      </c>
      <c r="D18140" s="12" t="str">
        <f ca="1">IFERROR(__xludf.DUMMYFUNCTION("""COMPUTED_VALUE"""),"")</f>
        <v/>
      </c>
    </row>
    <row r="18141" spans="2:4" ht="13">
      <c r="B18141" s="12" t="str">
        <f ca="1">IFERROR(__xludf.DUMMYFUNCTION("""COMPUTED_VALUE"""),"")</f>
        <v/>
      </c>
      <c r="C18141" s="12" t="str">
        <f ca="1">IFERROR(__xludf.DUMMYFUNCTION("""COMPUTED_VALUE"""),"")</f>
        <v/>
      </c>
      <c r="D18141" s="12" t="str">
        <f ca="1">IFERROR(__xludf.DUMMYFUNCTION("""COMPUTED_VALUE"""),"")</f>
        <v/>
      </c>
    </row>
    <row r="18142" spans="2:4" ht="13">
      <c r="B18142" s="12" t="str">
        <f ca="1">IFERROR(__xludf.DUMMYFUNCTION("""COMPUTED_VALUE"""),"")</f>
        <v/>
      </c>
      <c r="C18142" s="12" t="str">
        <f ca="1">IFERROR(__xludf.DUMMYFUNCTION("""COMPUTED_VALUE"""),"")</f>
        <v/>
      </c>
      <c r="D18142" s="12" t="str">
        <f ca="1">IFERROR(__xludf.DUMMYFUNCTION("""COMPUTED_VALUE"""),"")</f>
        <v/>
      </c>
    </row>
    <row r="18143" spans="2:4" ht="13">
      <c r="B18143" s="12" t="str">
        <f ca="1">IFERROR(__xludf.DUMMYFUNCTION("""COMPUTED_VALUE"""),"")</f>
        <v/>
      </c>
      <c r="C18143" s="12" t="str">
        <f ca="1">IFERROR(__xludf.DUMMYFUNCTION("""COMPUTED_VALUE"""),"")</f>
        <v/>
      </c>
      <c r="D18143" s="12" t="str">
        <f ca="1">IFERROR(__xludf.DUMMYFUNCTION("""COMPUTED_VALUE"""),"")</f>
        <v/>
      </c>
    </row>
    <row r="18144" spans="2:4" ht="13">
      <c r="B18144" s="12" t="str">
        <f ca="1">IFERROR(__xludf.DUMMYFUNCTION("""COMPUTED_VALUE"""),"")</f>
        <v/>
      </c>
      <c r="C18144" s="12" t="str">
        <f ca="1">IFERROR(__xludf.DUMMYFUNCTION("""COMPUTED_VALUE"""),"")</f>
        <v/>
      </c>
      <c r="D18144" s="12" t="str">
        <f ca="1">IFERROR(__xludf.DUMMYFUNCTION("""COMPUTED_VALUE"""),"")</f>
        <v/>
      </c>
    </row>
    <row r="18145" spans="2:4" ht="13">
      <c r="B18145" s="12" t="str">
        <f ca="1">IFERROR(__xludf.DUMMYFUNCTION("""COMPUTED_VALUE"""),"")</f>
        <v/>
      </c>
      <c r="C18145" s="12" t="str">
        <f ca="1">IFERROR(__xludf.DUMMYFUNCTION("""COMPUTED_VALUE"""),"")</f>
        <v/>
      </c>
      <c r="D18145" s="12" t="str">
        <f ca="1">IFERROR(__xludf.DUMMYFUNCTION("""COMPUTED_VALUE"""),"")</f>
        <v/>
      </c>
    </row>
    <row r="18146" spans="2:4" ht="13">
      <c r="B18146" s="12" t="str">
        <f ca="1">IFERROR(__xludf.DUMMYFUNCTION("""COMPUTED_VALUE"""),"")</f>
        <v/>
      </c>
      <c r="C18146" s="12" t="str">
        <f ca="1">IFERROR(__xludf.DUMMYFUNCTION("""COMPUTED_VALUE"""),"")</f>
        <v/>
      </c>
      <c r="D18146" s="12" t="str">
        <f ca="1">IFERROR(__xludf.DUMMYFUNCTION("""COMPUTED_VALUE"""),"")</f>
        <v/>
      </c>
    </row>
    <row r="18147" spans="2:4" ht="13">
      <c r="B18147" s="12" t="str">
        <f ca="1">IFERROR(__xludf.DUMMYFUNCTION("""COMPUTED_VALUE"""),"")</f>
        <v/>
      </c>
      <c r="C18147" s="12" t="str">
        <f ca="1">IFERROR(__xludf.DUMMYFUNCTION("""COMPUTED_VALUE"""),"")</f>
        <v/>
      </c>
      <c r="D18147" s="12" t="str">
        <f ca="1">IFERROR(__xludf.DUMMYFUNCTION("""COMPUTED_VALUE"""),"")</f>
        <v/>
      </c>
    </row>
    <row r="18148" spans="2:4" ht="13">
      <c r="B18148" s="12" t="str">
        <f ca="1">IFERROR(__xludf.DUMMYFUNCTION("""COMPUTED_VALUE"""),"")</f>
        <v/>
      </c>
      <c r="C18148" s="12" t="str">
        <f ca="1">IFERROR(__xludf.DUMMYFUNCTION("""COMPUTED_VALUE"""),"")</f>
        <v/>
      </c>
      <c r="D18148" s="12" t="str">
        <f ca="1">IFERROR(__xludf.DUMMYFUNCTION("""COMPUTED_VALUE"""),"")</f>
        <v/>
      </c>
    </row>
    <row r="18149" spans="2:4" ht="13">
      <c r="B18149" s="12" t="str">
        <f ca="1">IFERROR(__xludf.DUMMYFUNCTION("""COMPUTED_VALUE"""),"")</f>
        <v/>
      </c>
      <c r="C18149" s="12" t="str">
        <f ca="1">IFERROR(__xludf.DUMMYFUNCTION("""COMPUTED_VALUE"""),"")</f>
        <v/>
      </c>
      <c r="D18149" s="12" t="str">
        <f ca="1">IFERROR(__xludf.DUMMYFUNCTION("""COMPUTED_VALUE"""),"")</f>
        <v/>
      </c>
    </row>
    <row r="18150" spans="2:4" ht="13">
      <c r="B18150" s="12" t="str">
        <f ca="1">IFERROR(__xludf.DUMMYFUNCTION("""COMPUTED_VALUE"""),"")</f>
        <v/>
      </c>
      <c r="C18150" s="12" t="str">
        <f ca="1">IFERROR(__xludf.DUMMYFUNCTION("""COMPUTED_VALUE"""),"")</f>
        <v/>
      </c>
      <c r="D18150" s="12" t="str">
        <f ca="1">IFERROR(__xludf.DUMMYFUNCTION("""COMPUTED_VALUE"""),"")</f>
        <v/>
      </c>
    </row>
    <row r="18151" spans="2:4" ht="13">
      <c r="B18151" s="12" t="str">
        <f ca="1">IFERROR(__xludf.DUMMYFUNCTION("""COMPUTED_VALUE"""),"")</f>
        <v/>
      </c>
      <c r="C18151" s="12" t="str">
        <f ca="1">IFERROR(__xludf.DUMMYFUNCTION("""COMPUTED_VALUE"""),"")</f>
        <v/>
      </c>
      <c r="D18151" s="12" t="str">
        <f ca="1">IFERROR(__xludf.DUMMYFUNCTION("""COMPUTED_VALUE"""),"")</f>
        <v/>
      </c>
    </row>
    <row r="18152" spans="2:4" ht="13">
      <c r="B18152" s="12" t="str">
        <f ca="1">IFERROR(__xludf.DUMMYFUNCTION("""COMPUTED_VALUE"""),"")</f>
        <v/>
      </c>
      <c r="C18152" s="12" t="str">
        <f ca="1">IFERROR(__xludf.DUMMYFUNCTION("""COMPUTED_VALUE"""),"")</f>
        <v/>
      </c>
      <c r="D18152" s="12" t="str">
        <f ca="1">IFERROR(__xludf.DUMMYFUNCTION("""COMPUTED_VALUE"""),"")</f>
        <v/>
      </c>
    </row>
    <row r="18153" spans="2:4" ht="13">
      <c r="B18153" s="12" t="str">
        <f ca="1">IFERROR(__xludf.DUMMYFUNCTION("""COMPUTED_VALUE"""),"")</f>
        <v/>
      </c>
      <c r="C18153" s="12" t="str">
        <f ca="1">IFERROR(__xludf.DUMMYFUNCTION("""COMPUTED_VALUE"""),"")</f>
        <v/>
      </c>
      <c r="D18153" s="12" t="str">
        <f ca="1">IFERROR(__xludf.DUMMYFUNCTION("""COMPUTED_VALUE"""),"")</f>
        <v/>
      </c>
    </row>
    <row r="18154" spans="2:4" ht="13">
      <c r="B18154" s="12" t="str">
        <f ca="1">IFERROR(__xludf.DUMMYFUNCTION("""COMPUTED_VALUE"""),"")</f>
        <v/>
      </c>
      <c r="C18154" s="12" t="str">
        <f ca="1">IFERROR(__xludf.DUMMYFUNCTION("""COMPUTED_VALUE"""),"")</f>
        <v/>
      </c>
      <c r="D18154" s="12" t="str">
        <f ca="1">IFERROR(__xludf.DUMMYFUNCTION("""COMPUTED_VALUE"""),"")</f>
        <v/>
      </c>
    </row>
    <row r="18155" spans="2:4" ht="13">
      <c r="B18155" s="12" t="str">
        <f ca="1">IFERROR(__xludf.DUMMYFUNCTION("""COMPUTED_VALUE"""),"")</f>
        <v/>
      </c>
      <c r="C18155" s="12" t="str">
        <f ca="1">IFERROR(__xludf.DUMMYFUNCTION("""COMPUTED_VALUE"""),"")</f>
        <v/>
      </c>
      <c r="D18155" s="12" t="str">
        <f ca="1">IFERROR(__xludf.DUMMYFUNCTION("""COMPUTED_VALUE"""),"")</f>
        <v/>
      </c>
    </row>
    <row r="18156" spans="2:4" ht="13">
      <c r="B18156" s="12" t="str">
        <f ca="1">IFERROR(__xludf.DUMMYFUNCTION("""COMPUTED_VALUE"""),"")</f>
        <v/>
      </c>
      <c r="C18156" s="12" t="str">
        <f ca="1">IFERROR(__xludf.DUMMYFUNCTION("""COMPUTED_VALUE"""),"")</f>
        <v/>
      </c>
      <c r="D18156" s="12" t="str">
        <f ca="1">IFERROR(__xludf.DUMMYFUNCTION("""COMPUTED_VALUE"""),"")</f>
        <v/>
      </c>
    </row>
    <row r="18157" spans="2:4" ht="13">
      <c r="B18157" s="12" t="str">
        <f ca="1">IFERROR(__xludf.DUMMYFUNCTION("""COMPUTED_VALUE"""),"")</f>
        <v/>
      </c>
      <c r="C18157" s="12" t="str">
        <f ca="1">IFERROR(__xludf.DUMMYFUNCTION("""COMPUTED_VALUE"""),"")</f>
        <v/>
      </c>
      <c r="D18157" s="12" t="str">
        <f ca="1">IFERROR(__xludf.DUMMYFUNCTION("""COMPUTED_VALUE"""),"")</f>
        <v/>
      </c>
    </row>
    <row r="18158" spans="2:4" ht="13">
      <c r="B18158" s="12" t="str">
        <f ca="1">IFERROR(__xludf.DUMMYFUNCTION("""COMPUTED_VALUE"""),"")</f>
        <v/>
      </c>
      <c r="C18158" s="12" t="str">
        <f ca="1">IFERROR(__xludf.DUMMYFUNCTION("""COMPUTED_VALUE"""),"")</f>
        <v/>
      </c>
      <c r="D18158" s="12" t="str">
        <f ca="1">IFERROR(__xludf.DUMMYFUNCTION("""COMPUTED_VALUE"""),"")</f>
        <v/>
      </c>
    </row>
    <row r="18159" spans="2:4" ht="13">
      <c r="B18159" s="12" t="str">
        <f ca="1">IFERROR(__xludf.DUMMYFUNCTION("""COMPUTED_VALUE"""),"")</f>
        <v/>
      </c>
      <c r="C18159" s="12" t="str">
        <f ca="1">IFERROR(__xludf.DUMMYFUNCTION("""COMPUTED_VALUE"""),"")</f>
        <v/>
      </c>
      <c r="D18159" s="12" t="str">
        <f ca="1">IFERROR(__xludf.DUMMYFUNCTION("""COMPUTED_VALUE"""),"")</f>
        <v/>
      </c>
    </row>
    <row r="18160" spans="2:4" ht="13">
      <c r="B18160" s="12" t="str">
        <f ca="1">IFERROR(__xludf.DUMMYFUNCTION("""COMPUTED_VALUE"""),"")</f>
        <v/>
      </c>
      <c r="C18160" s="12" t="str">
        <f ca="1">IFERROR(__xludf.DUMMYFUNCTION("""COMPUTED_VALUE"""),"")</f>
        <v/>
      </c>
      <c r="D18160" s="12" t="str">
        <f ca="1">IFERROR(__xludf.DUMMYFUNCTION("""COMPUTED_VALUE"""),"")</f>
        <v/>
      </c>
    </row>
    <row r="18161" spans="2:4" ht="13">
      <c r="B18161" s="12" t="str">
        <f ca="1">IFERROR(__xludf.DUMMYFUNCTION("""COMPUTED_VALUE"""),"")</f>
        <v/>
      </c>
      <c r="C18161" s="12" t="str">
        <f ca="1">IFERROR(__xludf.DUMMYFUNCTION("""COMPUTED_VALUE"""),"")</f>
        <v/>
      </c>
      <c r="D18161" s="12" t="str">
        <f ca="1">IFERROR(__xludf.DUMMYFUNCTION("""COMPUTED_VALUE"""),"")</f>
        <v/>
      </c>
    </row>
    <row r="18162" spans="2:4" ht="13">
      <c r="B18162" s="12" t="str">
        <f ca="1">IFERROR(__xludf.DUMMYFUNCTION("""COMPUTED_VALUE"""),"")</f>
        <v/>
      </c>
      <c r="C18162" s="12" t="str">
        <f ca="1">IFERROR(__xludf.DUMMYFUNCTION("""COMPUTED_VALUE"""),"")</f>
        <v/>
      </c>
      <c r="D18162" s="12" t="str">
        <f ca="1">IFERROR(__xludf.DUMMYFUNCTION("""COMPUTED_VALUE"""),"")</f>
        <v/>
      </c>
    </row>
    <row r="18163" spans="2:4" ht="13">
      <c r="B18163" s="12" t="str">
        <f ca="1">IFERROR(__xludf.DUMMYFUNCTION("""COMPUTED_VALUE"""),"")</f>
        <v/>
      </c>
      <c r="C18163" s="12" t="str">
        <f ca="1">IFERROR(__xludf.DUMMYFUNCTION("""COMPUTED_VALUE"""),"")</f>
        <v/>
      </c>
      <c r="D18163" s="12" t="str">
        <f ca="1">IFERROR(__xludf.DUMMYFUNCTION("""COMPUTED_VALUE"""),"")</f>
        <v/>
      </c>
    </row>
    <row r="18164" spans="2:4" ht="13">
      <c r="B18164" s="12" t="str">
        <f ca="1">IFERROR(__xludf.DUMMYFUNCTION("""COMPUTED_VALUE"""),"")</f>
        <v/>
      </c>
      <c r="C18164" s="12" t="str">
        <f ca="1">IFERROR(__xludf.DUMMYFUNCTION("""COMPUTED_VALUE"""),"")</f>
        <v/>
      </c>
      <c r="D18164" s="12" t="str">
        <f ca="1">IFERROR(__xludf.DUMMYFUNCTION("""COMPUTED_VALUE"""),"")</f>
        <v/>
      </c>
    </row>
    <row r="18165" spans="2:4" ht="13">
      <c r="B18165" s="12" t="str">
        <f ca="1">IFERROR(__xludf.DUMMYFUNCTION("""COMPUTED_VALUE"""),"")</f>
        <v/>
      </c>
      <c r="C18165" s="12" t="str">
        <f ca="1">IFERROR(__xludf.DUMMYFUNCTION("""COMPUTED_VALUE"""),"")</f>
        <v/>
      </c>
      <c r="D18165" s="12" t="str">
        <f ca="1">IFERROR(__xludf.DUMMYFUNCTION("""COMPUTED_VALUE"""),"")</f>
        <v/>
      </c>
    </row>
    <row r="18166" spans="2:4" ht="13">
      <c r="B18166" s="12" t="str">
        <f ca="1">IFERROR(__xludf.DUMMYFUNCTION("""COMPUTED_VALUE"""),"")</f>
        <v/>
      </c>
      <c r="C18166" s="12" t="str">
        <f ca="1">IFERROR(__xludf.DUMMYFUNCTION("""COMPUTED_VALUE"""),"")</f>
        <v/>
      </c>
      <c r="D18166" s="12" t="str">
        <f ca="1">IFERROR(__xludf.DUMMYFUNCTION("""COMPUTED_VALUE"""),"")</f>
        <v/>
      </c>
    </row>
    <row r="18167" spans="2:4" ht="13">
      <c r="B18167" s="12" t="str">
        <f ca="1">IFERROR(__xludf.DUMMYFUNCTION("""COMPUTED_VALUE"""),"")</f>
        <v/>
      </c>
      <c r="C18167" s="12" t="str">
        <f ca="1">IFERROR(__xludf.DUMMYFUNCTION("""COMPUTED_VALUE"""),"")</f>
        <v/>
      </c>
      <c r="D18167" s="12" t="str">
        <f ca="1">IFERROR(__xludf.DUMMYFUNCTION("""COMPUTED_VALUE"""),"")</f>
        <v/>
      </c>
    </row>
    <row r="18168" spans="2:4" ht="13">
      <c r="B18168" s="12" t="str">
        <f ca="1">IFERROR(__xludf.DUMMYFUNCTION("""COMPUTED_VALUE"""),"")</f>
        <v/>
      </c>
      <c r="C18168" s="12" t="str">
        <f ca="1">IFERROR(__xludf.DUMMYFUNCTION("""COMPUTED_VALUE"""),"")</f>
        <v/>
      </c>
      <c r="D18168" s="12" t="str">
        <f ca="1">IFERROR(__xludf.DUMMYFUNCTION("""COMPUTED_VALUE"""),"")</f>
        <v/>
      </c>
    </row>
    <row r="18169" spans="2:4" ht="13">
      <c r="B18169" s="12" t="str">
        <f ca="1">IFERROR(__xludf.DUMMYFUNCTION("""COMPUTED_VALUE"""),"")</f>
        <v/>
      </c>
      <c r="C18169" s="12" t="str">
        <f ca="1">IFERROR(__xludf.DUMMYFUNCTION("""COMPUTED_VALUE"""),"")</f>
        <v/>
      </c>
      <c r="D18169" s="12" t="str">
        <f ca="1">IFERROR(__xludf.DUMMYFUNCTION("""COMPUTED_VALUE"""),"")</f>
        <v/>
      </c>
    </row>
    <row r="18170" spans="2:4" ht="13">
      <c r="B18170" s="12" t="str">
        <f ca="1">IFERROR(__xludf.DUMMYFUNCTION("""COMPUTED_VALUE"""),"")</f>
        <v/>
      </c>
      <c r="C18170" s="12" t="str">
        <f ca="1">IFERROR(__xludf.DUMMYFUNCTION("""COMPUTED_VALUE"""),"")</f>
        <v/>
      </c>
      <c r="D18170" s="12" t="str">
        <f ca="1">IFERROR(__xludf.DUMMYFUNCTION("""COMPUTED_VALUE"""),"")</f>
        <v/>
      </c>
    </row>
    <row r="18171" spans="2:4" ht="13">
      <c r="B18171" s="12" t="str">
        <f ca="1">IFERROR(__xludf.DUMMYFUNCTION("""COMPUTED_VALUE"""),"")</f>
        <v/>
      </c>
      <c r="C18171" s="12" t="str">
        <f ca="1">IFERROR(__xludf.DUMMYFUNCTION("""COMPUTED_VALUE"""),"")</f>
        <v/>
      </c>
      <c r="D18171" s="12" t="str">
        <f ca="1">IFERROR(__xludf.DUMMYFUNCTION("""COMPUTED_VALUE"""),"")</f>
        <v/>
      </c>
    </row>
    <row r="18172" spans="2:4" ht="13">
      <c r="B18172" s="12" t="str">
        <f ca="1">IFERROR(__xludf.DUMMYFUNCTION("""COMPUTED_VALUE"""),"")</f>
        <v/>
      </c>
      <c r="C18172" s="12" t="str">
        <f ca="1">IFERROR(__xludf.DUMMYFUNCTION("""COMPUTED_VALUE"""),"")</f>
        <v/>
      </c>
      <c r="D18172" s="12" t="str">
        <f ca="1">IFERROR(__xludf.DUMMYFUNCTION("""COMPUTED_VALUE"""),"")</f>
        <v/>
      </c>
    </row>
    <row r="18173" spans="2:4" ht="13">
      <c r="B18173" s="12" t="str">
        <f ca="1">IFERROR(__xludf.DUMMYFUNCTION("""COMPUTED_VALUE"""),"")</f>
        <v/>
      </c>
      <c r="C18173" s="12" t="str">
        <f ca="1">IFERROR(__xludf.DUMMYFUNCTION("""COMPUTED_VALUE"""),"")</f>
        <v/>
      </c>
      <c r="D18173" s="12" t="str">
        <f ca="1">IFERROR(__xludf.DUMMYFUNCTION("""COMPUTED_VALUE"""),"")</f>
        <v/>
      </c>
    </row>
    <row r="18174" spans="2:4" ht="13">
      <c r="B18174" s="12" t="str">
        <f ca="1">IFERROR(__xludf.DUMMYFUNCTION("""COMPUTED_VALUE"""),"")</f>
        <v/>
      </c>
      <c r="C18174" s="12" t="str">
        <f ca="1">IFERROR(__xludf.DUMMYFUNCTION("""COMPUTED_VALUE"""),"")</f>
        <v/>
      </c>
      <c r="D18174" s="12" t="str">
        <f ca="1">IFERROR(__xludf.DUMMYFUNCTION("""COMPUTED_VALUE"""),"")</f>
        <v/>
      </c>
    </row>
    <row r="18175" spans="2:4" ht="13">
      <c r="B18175" s="12" t="str">
        <f ca="1">IFERROR(__xludf.DUMMYFUNCTION("""COMPUTED_VALUE"""),"")</f>
        <v/>
      </c>
      <c r="C18175" s="12" t="str">
        <f ca="1">IFERROR(__xludf.DUMMYFUNCTION("""COMPUTED_VALUE"""),"")</f>
        <v/>
      </c>
      <c r="D18175" s="12" t="str">
        <f ca="1">IFERROR(__xludf.DUMMYFUNCTION("""COMPUTED_VALUE"""),"")</f>
        <v/>
      </c>
    </row>
    <row r="18176" spans="2:4" ht="13">
      <c r="B18176" s="12" t="str">
        <f ca="1">IFERROR(__xludf.DUMMYFUNCTION("""COMPUTED_VALUE"""),"")</f>
        <v/>
      </c>
      <c r="C18176" s="12" t="str">
        <f ca="1">IFERROR(__xludf.DUMMYFUNCTION("""COMPUTED_VALUE"""),"")</f>
        <v/>
      </c>
      <c r="D18176" s="12" t="str">
        <f ca="1">IFERROR(__xludf.DUMMYFUNCTION("""COMPUTED_VALUE"""),"")</f>
        <v/>
      </c>
    </row>
    <row r="18177" spans="2:4" ht="13">
      <c r="B18177" s="12" t="str">
        <f ca="1">IFERROR(__xludf.DUMMYFUNCTION("""COMPUTED_VALUE"""),"")</f>
        <v/>
      </c>
      <c r="C18177" s="12" t="str">
        <f ca="1">IFERROR(__xludf.DUMMYFUNCTION("""COMPUTED_VALUE"""),"")</f>
        <v/>
      </c>
      <c r="D18177" s="12" t="str">
        <f ca="1">IFERROR(__xludf.DUMMYFUNCTION("""COMPUTED_VALUE"""),"")</f>
        <v/>
      </c>
    </row>
    <row r="18178" spans="2:4" ht="13">
      <c r="B18178" s="12" t="str">
        <f ca="1">IFERROR(__xludf.DUMMYFUNCTION("""COMPUTED_VALUE"""),"")</f>
        <v/>
      </c>
      <c r="C18178" s="12" t="str">
        <f ca="1">IFERROR(__xludf.DUMMYFUNCTION("""COMPUTED_VALUE"""),"")</f>
        <v/>
      </c>
      <c r="D18178" s="12" t="str">
        <f ca="1">IFERROR(__xludf.DUMMYFUNCTION("""COMPUTED_VALUE"""),"")</f>
        <v/>
      </c>
    </row>
    <row r="18179" spans="2:4" ht="13">
      <c r="B18179" s="12" t="str">
        <f ca="1">IFERROR(__xludf.DUMMYFUNCTION("""COMPUTED_VALUE"""),"")</f>
        <v/>
      </c>
      <c r="C18179" s="12" t="str">
        <f ca="1">IFERROR(__xludf.DUMMYFUNCTION("""COMPUTED_VALUE"""),"")</f>
        <v/>
      </c>
      <c r="D18179" s="12" t="str">
        <f ca="1">IFERROR(__xludf.DUMMYFUNCTION("""COMPUTED_VALUE"""),"")</f>
        <v/>
      </c>
    </row>
    <row r="18180" spans="2:4" ht="13">
      <c r="B18180" s="12" t="str">
        <f ca="1">IFERROR(__xludf.DUMMYFUNCTION("""COMPUTED_VALUE"""),"")</f>
        <v/>
      </c>
      <c r="C18180" s="12" t="str">
        <f ca="1">IFERROR(__xludf.DUMMYFUNCTION("""COMPUTED_VALUE"""),"")</f>
        <v/>
      </c>
      <c r="D18180" s="12" t="str">
        <f ca="1">IFERROR(__xludf.DUMMYFUNCTION("""COMPUTED_VALUE"""),"")</f>
        <v/>
      </c>
    </row>
    <row r="18181" spans="2:4" ht="13">
      <c r="B18181" s="12" t="str">
        <f ca="1">IFERROR(__xludf.DUMMYFUNCTION("""COMPUTED_VALUE"""),"")</f>
        <v/>
      </c>
      <c r="C18181" s="12" t="str">
        <f ca="1">IFERROR(__xludf.DUMMYFUNCTION("""COMPUTED_VALUE"""),"")</f>
        <v/>
      </c>
      <c r="D18181" s="12" t="str">
        <f ca="1">IFERROR(__xludf.DUMMYFUNCTION("""COMPUTED_VALUE"""),"")</f>
        <v/>
      </c>
    </row>
    <row r="18182" spans="2:4" ht="13">
      <c r="B18182" s="12" t="str">
        <f ca="1">IFERROR(__xludf.DUMMYFUNCTION("""COMPUTED_VALUE"""),"")</f>
        <v/>
      </c>
      <c r="C18182" s="12" t="str">
        <f ca="1">IFERROR(__xludf.DUMMYFUNCTION("""COMPUTED_VALUE"""),"")</f>
        <v/>
      </c>
      <c r="D18182" s="12" t="str">
        <f ca="1">IFERROR(__xludf.DUMMYFUNCTION("""COMPUTED_VALUE"""),"")</f>
        <v/>
      </c>
    </row>
    <row r="18183" spans="2:4" ht="13">
      <c r="B18183" s="12" t="str">
        <f ca="1">IFERROR(__xludf.DUMMYFUNCTION("""COMPUTED_VALUE"""),"")</f>
        <v/>
      </c>
      <c r="C18183" s="12" t="str">
        <f ca="1">IFERROR(__xludf.DUMMYFUNCTION("""COMPUTED_VALUE"""),"")</f>
        <v/>
      </c>
      <c r="D18183" s="12" t="str">
        <f ca="1">IFERROR(__xludf.DUMMYFUNCTION("""COMPUTED_VALUE"""),"")</f>
        <v/>
      </c>
    </row>
    <row r="18184" spans="2:4" ht="13">
      <c r="B18184" s="12" t="str">
        <f ca="1">IFERROR(__xludf.DUMMYFUNCTION("""COMPUTED_VALUE"""),"")</f>
        <v/>
      </c>
      <c r="C18184" s="12" t="str">
        <f ca="1">IFERROR(__xludf.DUMMYFUNCTION("""COMPUTED_VALUE"""),"")</f>
        <v/>
      </c>
      <c r="D18184" s="12" t="str">
        <f ca="1">IFERROR(__xludf.DUMMYFUNCTION("""COMPUTED_VALUE"""),"")</f>
        <v/>
      </c>
    </row>
    <row r="18185" spans="2:4" ht="13">
      <c r="B18185" s="12" t="str">
        <f ca="1">IFERROR(__xludf.DUMMYFUNCTION("""COMPUTED_VALUE"""),"")</f>
        <v/>
      </c>
      <c r="C18185" s="12" t="str">
        <f ca="1">IFERROR(__xludf.DUMMYFUNCTION("""COMPUTED_VALUE"""),"")</f>
        <v/>
      </c>
      <c r="D18185" s="12" t="str">
        <f ca="1">IFERROR(__xludf.DUMMYFUNCTION("""COMPUTED_VALUE"""),"")</f>
        <v/>
      </c>
    </row>
    <row r="18186" spans="2:4" ht="13">
      <c r="B18186" s="12" t="str">
        <f ca="1">IFERROR(__xludf.DUMMYFUNCTION("""COMPUTED_VALUE"""),"")</f>
        <v/>
      </c>
      <c r="C18186" s="12" t="str">
        <f ca="1">IFERROR(__xludf.DUMMYFUNCTION("""COMPUTED_VALUE"""),"")</f>
        <v/>
      </c>
      <c r="D18186" s="12" t="str">
        <f ca="1">IFERROR(__xludf.DUMMYFUNCTION("""COMPUTED_VALUE"""),"")</f>
        <v/>
      </c>
    </row>
    <row r="18187" spans="2:4" ht="13">
      <c r="B18187" s="12" t="str">
        <f ca="1">IFERROR(__xludf.DUMMYFUNCTION("""COMPUTED_VALUE"""),"")</f>
        <v/>
      </c>
      <c r="C18187" s="12" t="str">
        <f ca="1">IFERROR(__xludf.DUMMYFUNCTION("""COMPUTED_VALUE"""),"")</f>
        <v/>
      </c>
      <c r="D18187" s="12" t="str">
        <f ca="1">IFERROR(__xludf.DUMMYFUNCTION("""COMPUTED_VALUE"""),"")</f>
        <v/>
      </c>
    </row>
    <row r="18188" spans="2:4" ht="13">
      <c r="B18188" s="12" t="str">
        <f ca="1">IFERROR(__xludf.DUMMYFUNCTION("""COMPUTED_VALUE"""),"")</f>
        <v/>
      </c>
      <c r="C18188" s="12" t="str">
        <f ca="1">IFERROR(__xludf.DUMMYFUNCTION("""COMPUTED_VALUE"""),"")</f>
        <v/>
      </c>
      <c r="D18188" s="12" t="str">
        <f ca="1">IFERROR(__xludf.DUMMYFUNCTION("""COMPUTED_VALUE"""),"")</f>
        <v/>
      </c>
    </row>
    <row r="18189" spans="2:4" ht="13">
      <c r="B18189" s="12" t="str">
        <f ca="1">IFERROR(__xludf.DUMMYFUNCTION("""COMPUTED_VALUE"""),"")</f>
        <v/>
      </c>
      <c r="C18189" s="12" t="str">
        <f ca="1">IFERROR(__xludf.DUMMYFUNCTION("""COMPUTED_VALUE"""),"")</f>
        <v/>
      </c>
      <c r="D18189" s="12" t="str">
        <f ca="1">IFERROR(__xludf.DUMMYFUNCTION("""COMPUTED_VALUE"""),"")</f>
        <v/>
      </c>
    </row>
    <row r="18190" spans="2:4" ht="13">
      <c r="B18190" s="12" t="str">
        <f ca="1">IFERROR(__xludf.DUMMYFUNCTION("""COMPUTED_VALUE"""),"")</f>
        <v/>
      </c>
      <c r="C18190" s="12" t="str">
        <f ca="1">IFERROR(__xludf.DUMMYFUNCTION("""COMPUTED_VALUE"""),"")</f>
        <v/>
      </c>
      <c r="D18190" s="12" t="str">
        <f ca="1">IFERROR(__xludf.DUMMYFUNCTION("""COMPUTED_VALUE"""),"")</f>
        <v/>
      </c>
    </row>
    <row r="18191" spans="2:4" ht="13">
      <c r="B18191" s="12" t="str">
        <f ca="1">IFERROR(__xludf.DUMMYFUNCTION("""COMPUTED_VALUE"""),"")</f>
        <v/>
      </c>
      <c r="C18191" s="12" t="str">
        <f ca="1">IFERROR(__xludf.DUMMYFUNCTION("""COMPUTED_VALUE"""),"")</f>
        <v/>
      </c>
      <c r="D18191" s="12" t="str">
        <f ca="1">IFERROR(__xludf.DUMMYFUNCTION("""COMPUTED_VALUE"""),"")</f>
        <v/>
      </c>
    </row>
    <row r="18192" spans="2:4" ht="13">
      <c r="B18192" s="12" t="str">
        <f ca="1">IFERROR(__xludf.DUMMYFUNCTION("""COMPUTED_VALUE"""),"")</f>
        <v/>
      </c>
      <c r="C18192" s="12" t="str">
        <f ca="1">IFERROR(__xludf.DUMMYFUNCTION("""COMPUTED_VALUE"""),"")</f>
        <v/>
      </c>
      <c r="D18192" s="12" t="str">
        <f ca="1">IFERROR(__xludf.DUMMYFUNCTION("""COMPUTED_VALUE"""),"")</f>
        <v/>
      </c>
    </row>
    <row r="18193" spans="2:4" ht="13">
      <c r="B18193" s="12" t="str">
        <f ca="1">IFERROR(__xludf.DUMMYFUNCTION("""COMPUTED_VALUE"""),"")</f>
        <v/>
      </c>
      <c r="C18193" s="12" t="str">
        <f ca="1">IFERROR(__xludf.DUMMYFUNCTION("""COMPUTED_VALUE"""),"")</f>
        <v/>
      </c>
      <c r="D18193" s="12" t="str">
        <f ca="1">IFERROR(__xludf.DUMMYFUNCTION("""COMPUTED_VALUE"""),"")</f>
        <v/>
      </c>
    </row>
    <row r="18194" spans="2:4" ht="13">
      <c r="B18194" s="12" t="str">
        <f ca="1">IFERROR(__xludf.DUMMYFUNCTION("""COMPUTED_VALUE"""),"")</f>
        <v/>
      </c>
      <c r="C18194" s="12" t="str">
        <f ca="1">IFERROR(__xludf.DUMMYFUNCTION("""COMPUTED_VALUE"""),"")</f>
        <v/>
      </c>
      <c r="D18194" s="12" t="str">
        <f ca="1">IFERROR(__xludf.DUMMYFUNCTION("""COMPUTED_VALUE"""),"")</f>
        <v/>
      </c>
    </row>
    <row r="18195" spans="2:4" ht="13">
      <c r="B18195" s="12" t="str">
        <f ca="1">IFERROR(__xludf.DUMMYFUNCTION("""COMPUTED_VALUE"""),"")</f>
        <v/>
      </c>
      <c r="C18195" s="12" t="str">
        <f ca="1">IFERROR(__xludf.DUMMYFUNCTION("""COMPUTED_VALUE"""),"")</f>
        <v/>
      </c>
      <c r="D18195" s="12" t="str">
        <f ca="1">IFERROR(__xludf.DUMMYFUNCTION("""COMPUTED_VALUE"""),"")</f>
        <v/>
      </c>
    </row>
    <row r="18196" spans="2:4" ht="13">
      <c r="B18196" s="12" t="str">
        <f ca="1">IFERROR(__xludf.DUMMYFUNCTION("""COMPUTED_VALUE"""),"")</f>
        <v/>
      </c>
      <c r="C18196" s="12" t="str">
        <f ca="1">IFERROR(__xludf.DUMMYFUNCTION("""COMPUTED_VALUE"""),"")</f>
        <v/>
      </c>
      <c r="D18196" s="12" t="str">
        <f ca="1">IFERROR(__xludf.DUMMYFUNCTION("""COMPUTED_VALUE"""),"")</f>
        <v/>
      </c>
    </row>
    <row r="18197" spans="2:4" ht="13">
      <c r="B18197" s="12" t="str">
        <f ca="1">IFERROR(__xludf.DUMMYFUNCTION("""COMPUTED_VALUE"""),"")</f>
        <v/>
      </c>
      <c r="C18197" s="12" t="str">
        <f ca="1">IFERROR(__xludf.DUMMYFUNCTION("""COMPUTED_VALUE"""),"")</f>
        <v/>
      </c>
      <c r="D18197" s="12" t="str">
        <f ca="1">IFERROR(__xludf.DUMMYFUNCTION("""COMPUTED_VALUE"""),"")</f>
        <v/>
      </c>
    </row>
    <row r="18198" spans="2:4" ht="13">
      <c r="B18198" s="12" t="str">
        <f ca="1">IFERROR(__xludf.DUMMYFUNCTION("""COMPUTED_VALUE"""),"")</f>
        <v/>
      </c>
      <c r="C18198" s="12" t="str">
        <f ca="1">IFERROR(__xludf.DUMMYFUNCTION("""COMPUTED_VALUE"""),"")</f>
        <v/>
      </c>
      <c r="D18198" s="12" t="str">
        <f ca="1">IFERROR(__xludf.DUMMYFUNCTION("""COMPUTED_VALUE"""),"")</f>
        <v/>
      </c>
    </row>
    <row r="18199" spans="2:4" ht="13">
      <c r="B18199" s="12" t="str">
        <f ca="1">IFERROR(__xludf.DUMMYFUNCTION("""COMPUTED_VALUE"""),"")</f>
        <v/>
      </c>
      <c r="C18199" s="12" t="str">
        <f ca="1">IFERROR(__xludf.DUMMYFUNCTION("""COMPUTED_VALUE"""),"")</f>
        <v/>
      </c>
      <c r="D18199" s="12" t="str">
        <f ca="1">IFERROR(__xludf.DUMMYFUNCTION("""COMPUTED_VALUE"""),"")</f>
        <v/>
      </c>
    </row>
    <row r="18200" spans="2:4" ht="13">
      <c r="B18200" s="12" t="str">
        <f ca="1">IFERROR(__xludf.DUMMYFUNCTION("""COMPUTED_VALUE"""),"")</f>
        <v/>
      </c>
      <c r="C18200" s="12" t="str">
        <f ca="1">IFERROR(__xludf.DUMMYFUNCTION("""COMPUTED_VALUE"""),"")</f>
        <v/>
      </c>
      <c r="D18200" s="12" t="str">
        <f ca="1">IFERROR(__xludf.DUMMYFUNCTION("""COMPUTED_VALUE"""),"")</f>
        <v/>
      </c>
    </row>
    <row r="18201" spans="2:4" ht="13">
      <c r="B18201" s="12" t="str">
        <f ca="1">IFERROR(__xludf.DUMMYFUNCTION("""COMPUTED_VALUE"""),"")</f>
        <v/>
      </c>
      <c r="C18201" s="12" t="str">
        <f ca="1">IFERROR(__xludf.DUMMYFUNCTION("""COMPUTED_VALUE"""),"")</f>
        <v/>
      </c>
      <c r="D18201" s="12" t="str">
        <f ca="1">IFERROR(__xludf.DUMMYFUNCTION("""COMPUTED_VALUE"""),"")</f>
        <v/>
      </c>
    </row>
    <row r="18202" spans="2:4" ht="13">
      <c r="B18202" s="12" t="str">
        <f ca="1">IFERROR(__xludf.DUMMYFUNCTION("""COMPUTED_VALUE"""),"")</f>
        <v/>
      </c>
      <c r="C18202" s="12" t="str">
        <f ca="1">IFERROR(__xludf.DUMMYFUNCTION("""COMPUTED_VALUE"""),"")</f>
        <v/>
      </c>
      <c r="D18202" s="12" t="str">
        <f ca="1">IFERROR(__xludf.DUMMYFUNCTION("""COMPUTED_VALUE"""),"")</f>
        <v/>
      </c>
    </row>
    <row r="18203" spans="2:4" ht="13">
      <c r="B18203" s="12" t="str">
        <f ca="1">IFERROR(__xludf.DUMMYFUNCTION("""COMPUTED_VALUE"""),"")</f>
        <v/>
      </c>
      <c r="C18203" s="12" t="str">
        <f ca="1">IFERROR(__xludf.DUMMYFUNCTION("""COMPUTED_VALUE"""),"")</f>
        <v/>
      </c>
      <c r="D18203" s="12" t="str">
        <f ca="1">IFERROR(__xludf.DUMMYFUNCTION("""COMPUTED_VALUE"""),"")</f>
        <v/>
      </c>
    </row>
    <row r="18204" spans="2:4" ht="13">
      <c r="B18204" s="12" t="str">
        <f ca="1">IFERROR(__xludf.DUMMYFUNCTION("""COMPUTED_VALUE"""),"")</f>
        <v/>
      </c>
      <c r="C18204" s="12" t="str">
        <f ca="1">IFERROR(__xludf.DUMMYFUNCTION("""COMPUTED_VALUE"""),"")</f>
        <v/>
      </c>
      <c r="D18204" s="12" t="str">
        <f ca="1">IFERROR(__xludf.DUMMYFUNCTION("""COMPUTED_VALUE"""),"")</f>
        <v/>
      </c>
    </row>
    <row r="18205" spans="2:4" ht="13">
      <c r="B18205" s="12" t="str">
        <f ca="1">IFERROR(__xludf.DUMMYFUNCTION("""COMPUTED_VALUE"""),"")</f>
        <v/>
      </c>
      <c r="C18205" s="12" t="str">
        <f ca="1">IFERROR(__xludf.DUMMYFUNCTION("""COMPUTED_VALUE"""),"")</f>
        <v/>
      </c>
      <c r="D18205" s="12" t="str">
        <f ca="1">IFERROR(__xludf.DUMMYFUNCTION("""COMPUTED_VALUE"""),"")</f>
        <v/>
      </c>
    </row>
    <row r="18206" spans="2:4" ht="13">
      <c r="B18206" s="12" t="str">
        <f ca="1">IFERROR(__xludf.DUMMYFUNCTION("""COMPUTED_VALUE"""),"")</f>
        <v/>
      </c>
      <c r="C18206" s="12" t="str">
        <f ca="1">IFERROR(__xludf.DUMMYFUNCTION("""COMPUTED_VALUE"""),"")</f>
        <v/>
      </c>
      <c r="D18206" s="12" t="str">
        <f ca="1">IFERROR(__xludf.DUMMYFUNCTION("""COMPUTED_VALUE"""),"")</f>
        <v/>
      </c>
    </row>
    <row r="18207" spans="2:4" ht="13">
      <c r="B18207" s="12" t="str">
        <f ca="1">IFERROR(__xludf.DUMMYFUNCTION("""COMPUTED_VALUE"""),"")</f>
        <v/>
      </c>
      <c r="C18207" s="12" t="str">
        <f ca="1">IFERROR(__xludf.DUMMYFUNCTION("""COMPUTED_VALUE"""),"")</f>
        <v/>
      </c>
      <c r="D18207" s="12" t="str">
        <f ca="1">IFERROR(__xludf.DUMMYFUNCTION("""COMPUTED_VALUE"""),"")</f>
        <v/>
      </c>
    </row>
    <row r="18208" spans="2:4" ht="13">
      <c r="B18208" s="12" t="str">
        <f ca="1">IFERROR(__xludf.DUMMYFUNCTION("""COMPUTED_VALUE"""),"")</f>
        <v/>
      </c>
      <c r="C18208" s="12" t="str">
        <f ca="1">IFERROR(__xludf.DUMMYFUNCTION("""COMPUTED_VALUE"""),"")</f>
        <v/>
      </c>
      <c r="D18208" s="12" t="str">
        <f ca="1">IFERROR(__xludf.DUMMYFUNCTION("""COMPUTED_VALUE"""),"")</f>
        <v/>
      </c>
    </row>
    <row r="18209" spans="2:4" ht="13">
      <c r="B18209" s="12" t="str">
        <f ca="1">IFERROR(__xludf.DUMMYFUNCTION("""COMPUTED_VALUE"""),"")</f>
        <v/>
      </c>
      <c r="C18209" s="12" t="str">
        <f ca="1">IFERROR(__xludf.DUMMYFUNCTION("""COMPUTED_VALUE"""),"")</f>
        <v/>
      </c>
      <c r="D18209" s="12" t="str">
        <f ca="1">IFERROR(__xludf.DUMMYFUNCTION("""COMPUTED_VALUE"""),"")</f>
        <v/>
      </c>
    </row>
    <row r="18210" spans="2:4" ht="13">
      <c r="B18210" s="12" t="str">
        <f ca="1">IFERROR(__xludf.DUMMYFUNCTION("""COMPUTED_VALUE"""),"")</f>
        <v/>
      </c>
      <c r="C18210" s="12" t="str">
        <f ca="1">IFERROR(__xludf.DUMMYFUNCTION("""COMPUTED_VALUE"""),"")</f>
        <v/>
      </c>
      <c r="D18210" s="12" t="str">
        <f ca="1">IFERROR(__xludf.DUMMYFUNCTION("""COMPUTED_VALUE"""),"")</f>
        <v/>
      </c>
    </row>
    <row r="18211" spans="2:4" ht="13">
      <c r="B18211" s="12" t="str">
        <f ca="1">IFERROR(__xludf.DUMMYFUNCTION("""COMPUTED_VALUE"""),"")</f>
        <v/>
      </c>
      <c r="C18211" s="12" t="str">
        <f ca="1">IFERROR(__xludf.DUMMYFUNCTION("""COMPUTED_VALUE"""),"")</f>
        <v/>
      </c>
      <c r="D18211" s="12" t="str">
        <f ca="1">IFERROR(__xludf.DUMMYFUNCTION("""COMPUTED_VALUE"""),"")</f>
        <v/>
      </c>
    </row>
    <row r="18212" spans="2:4" ht="13">
      <c r="B18212" s="12" t="str">
        <f ca="1">IFERROR(__xludf.DUMMYFUNCTION("""COMPUTED_VALUE"""),"")</f>
        <v/>
      </c>
      <c r="C18212" s="12" t="str">
        <f ca="1">IFERROR(__xludf.DUMMYFUNCTION("""COMPUTED_VALUE"""),"")</f>
        <v/>
      </c>
      <c r="D18212" s="12" t="str">
        <f ca="1">IFERROR(__xludf.DUMMYFUNCTION("""COMPUTED_VALUE"""),"")</f>
        <v/>
      </c>
    </row>
    <row r="18213" spans="2:4" ht="13">
      <c r="B18213" s="12" t="str">
        <f ca="1">IFERROR(__xludf.DUMMYFUNCTION("""COMPUTED_VALUE"""),"")</f>
        <v/>
      </c>
      <c r="C18213" s="12" t="str">
        <f ca="1">IFERROR(__xludf.DUMMYFUNCTION("""COMPUTED_VALUE"""),"")</f>
        <v/>
      </c>
      <c r="D18213" s="12" t="str">
        <f ca="1">IFERROR(__xludf.DUMMYFUNCTION("""COMPUTED_VALUE"""),"")</f>
        <v/>
      </c>
    </row>
    <row r="18214" spans="2:4" ht="13">
      <c r="B18214" s="12" t="str">
        <f ca="1">IFERROR(__xludf.DUMMYFUNCTION("""COMPUTED_VALUE"""),"")</f>
        <v/>
      </c>
      <c r="C18214" s="12" t="str">
        <f ca="1">IFERROR(__xludf.DUMMYFUNCTION("""COMPUTED_VALUE"""),"")</f>
        <v/>
      </c>
      <c r="D18214" s="12" t="str">
        <f ca="1">IFERROR(__xludf.DUMMYFUNCTION("""COMPUTED_VALUE"""),"")</f>
        <v/>
      </c>
    </row>
    <row r="18215" spans="2:4" ht="13">
      <c r="B18215" s="12" t="str">
        <f ca="1">IFERROR(__xludf.DUMMYFUNCTION("""COMPUTED_VALUE"""),"")</f>
        <v/>
      </c>
      <c r="C18215" s="12" t="str">
        <f ca="1">IFERROR(__xludf.DUMMYFUNCTION("""COMPUTED_VALUE"""),"")</f>
        <v/>
      </c>
      <c r="D18215" s="12" t="str">
        <f ca="1">IFERROR(__xludf.DUMMYFUNCTION("""COMPUTED_VALUE"""),"")</f>
        <v/>
      </c>
    </row>
    <row r="18216" spans="2:4" ht="13">
      <c r="B18216" s="12" t="str">
        <f ca="1">IFERROR(__xludf.DUMMYFUNCTION("""COMPUTED_VALUE"""),"")</f>
        <v/>
      </c>
      <c r="C18216" s="12" t="str">
        <f ca="1">IFERROR(__xludf.DUMMYFUNCTION("""COMPUTED_VALUE"""),"")</f>
        <v/>
      </c>
      <c r="D18216" s="12" t="str">
        <f ca="1">IFERROR(__xludf.DUMMYFUNCTION("""COMPUTED_VALUE"""),"")</f>
        <v/>
      </c>
    </row>
    <row r="18217" spans="2:4" ht="13">
      <c r="B18217" s="12" t="str">
        <f ca="1">IFERROR(__xludf.DUMMYFUNCTION("""COMPUTED_VALUE"""),"")</f>
        <v/>
      </c>
      <c r="C18217" s="12" t="str">
        <f ca="1">IFERROR(__xludf.DUMMYFUNCTION("""COMPUTED_VALUE"""),"")</f>
        <v/>
      </c>
      <c r="D18217" s="12" t="str">
        <f ca="1">IFERROR(__xludf.DUMMYFUNCTION("""COMPUTED_VALUE"""),"")</f>
        <v/>
      </c>
    </row>
    <row r="18218" spans="2:4" ht="13">
      <c r="B18218" s="12" t="str">
        <f ca="1">IFERROR(__xludf.DUMMYFUNCTION("""COMPUTED_VALUE"""),"")</f>
        <v/>
      </c>
      <c r="C18218" s="12" t="str">
        <f ca="1">IFERROR(__xludf.DUMMYFUNCTION("""COMPUTED_VALUE"""),"")</f>
        <v/>
      </c>
      <c r="D18218" s="12" t="str">
        <f ca="1">IFERROR(__xludf.DUMMYFUNCTION("""COMPUTED_VALUE"""),"")</f>
        <v/>
      </c>
    </row>
    <row r="18219" spans="2:4" ht="13">
      <c r="B18219" s="12" t="str">
        <f ca="1">IFERROR(__xludf.DUMMYFUNCTION("""COMPUTED_VALUE"""),"")</f>
        <v/>
      </c>
      <c r="C18219" s="12" t="str">
        <f ca="1">IFERROR(__xludf.DUMMYFUNCTION("""COMPUTED_VALUE"""),"")</f>
        <v/>
      </c>
      <c r="D18219" s="12" t="str">
        <f ca="1">IFERROR(__xludf.DUMMYFUNCTION("""COMPUTED_VALUE"""),"")</f>
        <v/>
      </c>
    </row>
    <row r="18220" spans="2:4" ht="13">
      <c r="B18220" s="12" t="str">
        <f ca="1">IFERROR(__xludf.DUMMYFUNCTION("""COMPUTED_VALUE"""),"")</f>
        <v/>
      </c>
      <c r="C18220" s="12" t="str">
        <f ca="1">IFERROR(__xludf.DUMMYFUNCTION("""COMPUTED_VALUE"""),"")</f>
        <v/>
      </c>
      <c r="D18220" s="12" t="str">
        <f ca="1">IFERROR(__xludf.DUMMYFUNCTION("""COMPUTED_VALUE"""),"")</f>
        <v/>
      </c>
    </row>
    <row r="18221" spans="2:4" ht="13">
      <c r="B18221" s="12" t="str">
        <f ca="1">IFERROR(__xludf.DUMMYFUNCTION("""COMPUTED_VALUE"""),"")</f>
        <v/>
      </c>
      <c r="C18221" s="12" t="str">
        <f ca="1">IFERROR(__xludf.DUMMYFUNCTION("""COMPUTED_VALUE"""),"")</f>
        <v/>
      </c>
      <c r="D18221" s="12" t="str">
        <f ca="1">IFERROR(__xludf.DUMMYFUNCTION("""COMPUTED_VALUE"""),"")</f>
        <v/>
      </c>
    </row>
    <row r="18222" spans="2:4" ht="13">
      <c r="B18222" s="12" t="str">
        <f ca="1">IFERROR(__xludf.DUMMYFUNCTION("""COMPUTED_VALUE"""),"")</f>
        <v/>
      </c>
      <c r="C18222" s="12" t="str">
        <f ca="1">IFERROR(__xludf.DUMMYFUNCTION("""COMPUTED_VALUE"""),"")</f>
        <v/>
      </c>
      <c r="D18222" s="12" t="str">
        <f ca="1">IFERROR(__xludf.DUMMYFUNCTION("""COMPUTED_VALUE"""),"")</f>
        <v/>
      </c>
    </row>
    <row r="18223" spans="2:4" ht="13">
      <c r="B18223" s="12" t="str">
        <f ca="1">IFERROR(__xludf.DUMMYFUNCTION("""COMPUTED_VALUE"""),"")</f>
        <v/>
      </c>
      <c r="C18223" s="12" t="str">
        <f ca="1">IFERROR(__xludf.DUMMYFUNCTION("""COMPUTED_VALUE"""),"")</f>
        <v/>
      </c>
      <c r="D18223" s="12" t="str">
        <f ca="1">IFERROR(__xludf.DUMMYFUNCTION("""COMPUTED_VALUE"""),"")</f>
        <v/>
      </c>
    </row>
    <row r="18224" spans="2:4" ht="13">
      <c r="B18224" s="12" t="str">
        <f ca="1">IFERROR(__xludf.DUMMYFUNCTION("""COMPUTED_VALUE"""),"")</f>
        <v/>
      </c>
      <c r="C18224" s="12" t="str">
        <f ca="1">IFERROR(__xludf.DUMMYFUNCTION("""COMPUTED_VALUE"""),"")</f>
        <v/>
      </c>
      <c r="D18224" s="12" t="str">
        <f ca="1">IFERROR(__xludf.DUMMYFUNCTION("""COMPUTED_VALUE"""),"")</f>
        <v/>
      </c>
    </row>
    <row r="18225" spans="2:4" ht="13">
      <c r="B18225" s="12" t="str">
        <f ca="1">IFERROR(__xludf.DUMMYFUNCTION("""COMPUTED_VALUE"""),"")</f>
        <v/>
      </c>
      <c r="C18225" s="12" t="str">
        <f ca="1">IFERROR(__xludf.DUMMYFUNCTION("""COMPUTED_VALUE"""),"")</f>
        <v/>
      </c>
      <c r="D18225" s="12" t="str">
        <f ca="1">IFERROR(__xludf.DUMMYFUNCTION("""COMPUTED_VALUE"""),"")</f>
        <v/>
      </c>
    </row>
    <row r="18226" spans="2:4" ht="13">
      <c r="B18226" s="12" t="str">
        <f ca="1">IFERROR(__xludf.DUMMYFUNCTION("""COMPUTED_VALUE"""),"")</f>
        <v/>
      </c>
      <c r="C18226" s="12" t="str">
        <f ca="1">IFERROR(__xludf.DUMMYFUNCTION("""COMPUTED_VALUE"""),"")</f>
        <v/>
      </c>
      <c r="D18226" s="12" t="str">
        <f ca="1">IFERROR(__xludf.DUMMYFUNCTION("""COMPUTED_VALUE"""),"")</f>
        <v/>
      </c>
    </row>
    <row r="18227" spans="2:4" ht="13">
      <c r="B18227" s="12" t="str">
        <f ca="1">IFERROR(__xludf.DUMMYFUNCTION("""COMPUTED_VALUE"""),"")</f>
        <v/>
      </c>
      <c r="C18227" s="12" t="str">
        <f ca="1">IFERROR(__xludf.DUMMYFUNCTION("""COMPUTED_VALUE"""),"")</f>
        <v/>
      </c>
      <c r="D18227" s="12" t="str">
        <f ca="1">IFERROR(__xludf.DUMMYFUNCTION("""COMPUTED_VALUE"""),"")</f>
        <v/>
      </c>
    </row>
    <row r="18228" spans="2:4" ht="13">
      <c r="B18228" s="12" t="str">
        <f ca="1">IFERROR(__xludf.DUMMYFUNCTION("""COMPUTED_VALUE"""),"")</f>
        <v/>
      </c>
      <c r="C18228" s="12" t="str">
        <f ca="1">IFERROR(__xludf.DUMMYFUNCTION("""COMPUTED_VALUE"""),"")</f>
        <v/>
      </c>
      <c r="D18228" s="12" t="str">
        <f ca="1">IFERROR(__xludf.DUMMYFUNCTION("""COMPUTED_VALUE"""),"")</f>
        <v/>
      </c>
    </row>
    <row r="18229" spans="2:4" ht="13">
      <c r="B18229" s="12" t="str">
        <f ca="1">IFERROR(__xludf.DUMMYFUNCTION("""COMPUTED_VALUE"""),"")</f>
        <v/>
      </c>
      <c r="C18229" s="12" t="str">
        <f ca="1">IFERROR(__xludf.DUMMYFUNCTION("""COMPUTED_VALUE"""),"")</f>
        <v/>
      </c>
      <c r="D18229" s="12" t="str">
        <f ca="1">IFERROR(__xludf.DUMMYFUNCTION("""COMPUTED_VALUE"""),"")</f>
        <v/>
      </c>
    </row>
    <row r="18230" spans="2:4" ht="13">
      <c r="B18230" s="12" t="str">
        <f ca="1">IFERROR(__xludf.DUMMYFUNCTION("""COMPUTED_VALUE"""),"")</f>
        <v/>
      </c>
      <c r="C18230" s="12" t="str">
        <f ca="1">IFERROR(__xludf.DUMMYFUNCTION("""COMPUTED_VALUE"""),"")</f>
        <v/>
      </c>
      <c r="D18230" s="12" t="str">
        <f ca="1">IFERROR(__xludf.DUMMYFUNCTION("""COMPUTED_VALUE"""),"")</f>
        <v/>
      </c>
    </row>
    <row r="18231" spans="2:4" ht="13">
      <c r="B18231" s="12" t="str">
        <f ca="1">IFERROR(__xludf.DUMMYFUNCTION("""COMPUTED_VALUE"""),"")</f>
        <v/>
      </c>
      <c r="C18231" s="12" t="str">
        <f ca="1">IFERROR(__xludf.DUMMYFUNCTION("""COMPUTED_VALUE"""),"")</f>
        <v/>
      </c>
      <c r="D18231" s="12" t="str">
        <f ca="1">IFERROR(__xludf.DUMMYFUNCTION("""COMPUTED_VALUE"""),"")</f>
        <v/>
      </c>
    </row>
    <row r="18232" spans="2:4" ht="13">
      <c r="B18232" s="12" t="str">
        <f ca="1">IFERROR(__xludf.DUMMYFUNCTION("""COMPUTED_VALUE"""),"")</f>
        <v/>
      </c>
      <c r="C18232" s="12" t="str">
        <f ca="1">IFERROR(__xludf.DUMMYFUNCTION("""COMPUTED_VALUE"""),"")</f>
        <v/>
      </c>
      <c r="D18232" s="12" t="str">
        <f ca="1">IFERROR(__xludf.DUMMYFUNCTION("""COMPUTED_VALUE"""),"")</f>
        <v/>
      </c>
    </row>
    <row r="18233" spans="2:4" ht="13">
      <c r="B18233" s="12" t="str">
        <f ca="1">IFERROR(__xludf.DUMMYFUNCTION("""COMPUTED_VALUE"""),"")</f>
        <v/>
      </c>
      <c r="C18233" s="12" t="str">
        <f ca="1">IFERROR(__xludf.DUMMYFUNCTION("""COMPUTED_VALUE"""),"")</f>
        <v/>
      </c>
      <c r="D18233" s="12" t="str">
        <f ca="1">IFERROR(__xludf.DUMMYFUNCTION("""COMPUTED_VALUE"""),"")</f>
        <v/>
      </c>
    </row>
    <row r="18234" spans="2:4" ht="13">
      <c r="B18234" s="12" t="str">
        <f ca="1">IFERROR(__xludf.DUMMYFUNCTION("""COMPUTED_VALUE"""),"")</f>
        <v/>
      </c>
      <c r="C18234" s="12" t="str">
        <f ca="1">IFERROR(__xludf.DUMMYFUNCTION("""COMPUTED_VALUE"""),"")</f>
        <v/>
      </c>
      <c r="D18234" s="12" t="str">
        <f ca="1">IFERROR(__xludf.DUMMYFUNCTION("""COMPUTED_VALUE"""),"")</f>
        <v/>
      </c>
    </row>
    <row r="18235" spans="2:4" ht="13">
      <c r="B18235" s="12" t="str">
        <f ca="1">IFERROR(__xludf.DUMMYFUNCTION("""COMPUTED_VALUE"""),"")</f>
        <v/>
      </c>
      <c r="C18235" s="12" t="str">
        <f ca="1">IFERROR(__xludf.DUMMYFUNCTION("""COMPUTED_VALUE"""),"")</f>
        <v/>
      </c>
      <c r="D18235" s="12" t="str">
        <f ca="1">IFERROR(__xludf.DUMMYFUNCTION("""COMPUTED_VALUE"""),"")</f>
        <v/>
      </c>
    </row>
    <row r="18236" spans="2:4" ht="13">
      <c r="B18236" s="12" t="str">
        <f ca="1">IFERROR(__xludf.DUMMYFUNCTION("""COMPUTED_VALUE"""),"")</f>
        <v/>
      </c>
      <c r="C18236" s="12" t="str">
        <f ca="1">IFERROR(__xludf.DUMMYFUNCTION("""COMPUTED_VALUE"""),"")</f>
        <v/>
      </c>
      <c r="D18236" s="12" t="str">
        <f ca="1">IFERROR(__xludf.DUMMYFUNCTION("""COMPUTED_VALUE"""),"")</f>
        <v/>
      </c>
    </row>
    <row r="18237" spans="2:4" ht="13">
      <c r="B18237" s="12" t="str">
        <f ca="1">IFERROR(__xludf.DUMMYFUNCTION("""COMPUTED_VALUE"""),"")</f>
        <v/>
      </c>
      <c r="C18237" s="12" t="str">
        <f ca="1">IFERROR(__xludf.DUMMYFUNCTION("""COMPUTED_VALUE"""),"")</f>
        <v/>
      </c>
      <c r="D18237" s="12" t="str">
        <f ca="1">IFERROR(__xludf.DUMMYFUNCTION("""COMPUTED_VALUE"""),"")</f>
        <v/>
      </c>
    </row>
    <row r="18238" spans="2:4" ht="13">
      <c r="B18238" s="12" t="str">
        <f ca="1">IFERROR(__xludf.DUMMYFUNCTION("""COMPUTED_VALUE"""),"")</f>
        <v/>
      </c>
      <c r="C18238" s="12" t="str">
        <f ca="1">IFERROR(__xludf.DUMMYFUNCTION("""COMPUTED_VALUE"""),"")</f>
        <v/>
      </c>
      <c r="D18238" s="12" t="str">
        <f ca="1">IFERROR(__xludf.DUMMYFUNCTION("""COMPUTED_VALUE"""),"")</f>
        <v/>
      </c>
    </row>
    <row r="18239" spans="2:4" ht="13">
      <c r="B18239" s="12" t="str">
        <f ca="1">IFERROR(__xludf.DUMMYFUNCTION("""COMPUTED_VALUE"""),"")</f>
        <v/>
      </c>
      <c r="C18239" s="12" t="str">
        <f ca="1">IFERROR(__xludf.DUMMYFUNCTION("""COMPUTED_VALUE"""),"")</f>
        <v/>
      </c>
      <c r="D18239" s="12" t="str">
        <f ca="1">IFERROR(__xludf.DUMMYFUNCTION("""COMPUTED_VALUE"""),"")</f>
        <v/>
      </c>
    </row>
    <row r="18240" spans="2:4" ht="13">
      <c r="B18240" s="12" t="str">
        <f ca="1">IFERROR(__xludf.DUMMYFUNCTION("""COMPUTED_VALUE"""),"")</f>
        <v/>
      </c>
      <c r="C18240" s="12" t="str">
        <f ca="1">IFERROR(__xludf.DUMMYFUNCTION("""COMPUTED_VALUE"""),"")</f>
        <v/>
      </c>
      <c r="D18240" s="12" t="str">
        <f ca="1">IFERROR(__xludf.DUMMYFUNCTION("""COMPUTED_VALUE"""),"")</f>
        <v/>
      </c>
    </row>
    <row r="18241" spans="2:4" ht="13">
      <c r="B18241" s="12" t="str">
        <f ca="1">IFERROR(__xludf.DUMMYFUNCTION("""COMPUTED_VALUE"""),"")</f>
        <v/>
      </c>
      <c r="C18241" s="12" t="str">
        <f ca="1">IFERROR(__xludf.DUMMYFUNCTION("""COMPUTED_VALUE"""),"")</f>
        <v/>
      </c>
      <c r="D18241" s="12" t="str">
        <f ca="1">IFERROR(__xludf.DUMMYFUNCTION("""COMPUTED_VALUE"""),"")</f>
        <v/>
      </c>
    </row>
    <row r="18242" spans="2:4" ht="13">
      <c r="B18242" s="12" t="str">
        <f ca="1">IFERROR(__xludf.DUMMYFUNCTION("""COMPUTED_VALUE"""),"")</f>
        <v/>
      </c>
      <c r="C18242" s="12" t="str">
        <f ca="1">IFERROR(__xludf.DUMMYFUNCTION("""COMPUTED_VALUE"""),"")</f>
        <v/>
      </c>
      <c r="D18242" s="12" t="str">
        <f ca="1">IFERROR(__xludf.DUMMYFUNCTION("""COMPUTED_VALUE"""),"")</f>
        <v/>
      </c>
    </row>
    <row r="18243" spans="2:4" ht="13">
      <c r="B18243" s="12" t="str">
        <f ca="1">IFERROR(__xludf.DUMMYFUNCTION("""COMPUTED_VALUE"""),"")</f>
        <v/>
      </c>
      <c r="C18243" s="12" t="str">
        <f ca="1">IFERROR(__xludf.DUMMYFUNCTION("""COMPUTED_VALUE"""),"")</f>
        <v/>
      </c>
      <c r="D18243" s="12" t="str">
        <f ca="1">IFERROR(__xludf.DUMMYFUNCTION("""COMPUTED_VALUE"""),"")</f>
        <v/>
      </c>
    </row>
    <row r="18244" spans="2:4" ht="13">
      <c r="B18244" s="12" t="str">
        <f ca="1">IFERROR(__xludf.DUMMYFUNCTION("""COMPUTED_VALUE"""),"")</f>
        <v/>
      </c>
      <c r="C18244" s="12" t="str">
        <f ca="1">IFERROR(__xludf.DUMMYFUNCTION("""COMPUTED_VALUE"""),"")</f>
        <v/>
      </c>
      <c r="D18244" s="12" t="str">
        <f ca="1">IFERROR(__xludf.DUMMYFUNCTION("""COMPUTED_VALUE"""),"")</f>
        <v/>
      </c>
    </row>
    <row r="18245" spans="2:4" ht="13">
      <c r="B18245" s="12" t="str">
        <f ca="1">IFERROR(__xludf.DUMMYFUNCTION("""COMPUTED_VALUE"""),"")</f>
        <v/>
      </c>
      <c r="C18245" s="12" t="str">
        <f ca="1">IFERROR(__xludf.DUMMYFUNCTION("""COMPUTED_VALUE"""),"")</f>
        <v/>
      </c>
      <c r="D18245" s="12" t="str">
        <f ca="1">IFERROR(__xludf.DUMMYFUNCTION("""COMPUTED_VALUE"""),"")</f>
        <v/>
      </c>
    </row>
    <row r="18246" spans="2:4" ht="13">
      <c r="B18246" s="12" t="str">
        <f ca="1">IFERROR(__xludf.DUMMYFUNCTION("""COMPUTED_VALUE"""),"")</f>
        <v/>
      </c>
      <c r="C18246" s="12" t="str">
        <f ca="1">IFERROR(__xludf.DUMMYFUNCTION("""COMPUTED_VALUE"""),"")</f>
        <v/>
      </c>
      <c r="D18246" s="12" t="str">
        <f ca="1">IFERROR(__xludf.DUMMYFUNCTION("""COMPUTED_VALUE"""),"")</f>
        <v/>
      </c>
    </row>
    <row r="18247" spans="2:4" ht="13">
      <c r="B18247" s="12" t="str">
        <f ca="1">IFERROR(__xludf.DUMMYFUNCTION("""COMPUTED_VALUE"""),"")</f>
        <v/>
      </c>
      <c r="C18247" s="12" t="str">
        <f ca="1">IFERROR(__xludf.DUMMYFUNCTION("""COMPUTED_VALUE"""),"")</f>
        <v/>
      </c>
      <c r="D18247" s="12" t="str">
        <f ca="1">IFERROR(__xludf.DUMMYFUNCTION("""COMPUTED_VALUE"""),"")</f>
        <v/>
      </c>
    </row>
    <row r="18248" spans="2:4" ht="13">
      <c r="B18248" s="12" t="str">
        <f ca="1">IFERROR(__xludf.DUMMYFUNCTION("""COMPUTED_VALUE"""),"")</f>
        <v/>
      </c>
      <c r="C18248" s="12" t="str">
        <f ca="1">IFERROR(__xludf.DUMMYFUNCTION("""COMPUTED_VALUE"""),"")</f>
        <v/>
      </c>
      <c r="D18248" s="12" t="str">
        <f ca="1">IFERROR(__xludf.DUMMYFUNCTION("""COMPUTED_VALUE"""),"")</f>
        <v/>
      </c>
    </row>
    <row r="18249" spans="2:4" ht="13">
      <c r="B18249" s="12" t="str">
        <f ca="1">IFERROR(__xludf.DUMMYFUNCTION("""COMPUTED_VALUE"""),"")</f>
        <v/>
      </c>
      <c r="C18249" s="12" t="str">
        <f ca="1">IFERROR(__xludf.DUMMYFUNCTION("""COMPUTED_VALUE"""),"")</f>
        <v/>
      </c>
      <c r="D18249" s="12" t="str">
        <f ca="1">IFERROR(__xludf.DUMMYFUNCTION("""COMPUTED_VALUE"""),"")</f>
        <v/>
      </c>
    </row>
    <row r="18250" spans="2:4" ht="13">
      <c r="B18250" s="12" t="str">
        <f ca="1">IFERROR(__xludf.DUMMYFUNCTION("""COMPUTED_VALUE"""),"")</f>
        <v/>
      </c>
      <c r="C18250" s="12" t="str">
        <f ca="1">IFERROR(__xludf.DUMMYFUNCTION("""COMPUTED_VALUE"""),"")</f>
        <v/>
      </c>
      <c r="D18250" s="12" t="str">
        <f ca="1">IFERROR(__xludf.DUMMYFUNCTION("""COMPUTED_VALUE"""),"")</f>
        <v/>
      </c>
    </row>
    <row r="18251" spans="2:4" ht="13">
      <c r="B18251" s="12" t="str">
        <f ca="1">IFERROR(__xludf.DUMMYFUNCTION("""COMPUTED_VALUE"""),"")</f>
        <v/>
      </c>
      <c r="C18251" s="12" t="str">
        <f ca="1">IFERROR(__xludf.DUMMYFUNCTION("""COMPUTED_VALUE"""),"")</f>
        <v/>
      </c>
      <c r="D18251" s="12" t="str">
        <f ca="1">IFERROR(__xludf.DUMMYFUNCTION("""COMPUTED_VALUE"""),"")</f>
        <v/>
      </c>
    </row>
    <row r="18252" spans="2:4" ht="13">
      <c r="B18252" s="12" t="str">
        <f ca="1">IFERROR(__xludf.DUMMYFUNCTION("""COMPUTED_VALUE"""),"")</f>
        <v/>
      </c>
      <c r="C18252" s="12" t="str">
        <f ca="1">IFERROR(__xludf.DUMMYFUNCTION("""COMPUTED_VALUE"""),"")</f>
        <v/>
      </c>
      <c r="D18252" s="12" t="str">
        <f ca="1">IFERROR(__xludf.DUMMYFUNCTION("""COMPUTED_VALUE"""),"")</f>
        <v/>
      </c>
    </row>
    <row r="18253" spans="2:4" ht="13">
      <c r="B18253" s="12" t="str">
        <f ca="1">IFERROR(__xludf.DUMMYFUNCTION("""COMPUTED_VALUE"""),"")</f>
        <v/>
      </c>
      <c r="C18253" s="12" t="str">
        <f ca="1">IFERROR(__xludf.DUMMYFUNCTION("""COMPUTED_VALUE"""),"")</f>
        <v/>
      </c>
      <c r="D18253" s="12" t="str">
        <f ca="1">IFERROR(__xludf.DUMMYFUNCTION("""COMPUTED_VALUE"""),"")</f>
        <v/>
      </c>
    </row>
    <row r="18254" spans="2:4" ht="13">
      <c r="B18254" s="12" t="str">
        <f ca="1">IFERROR(__xludf.DUMMYFUNCTION("""COMPUTED_VALUE"""),"")</f>
        <v/>
      </c>
      <c r="C18254" s="12" t="str">
        <f ca="1">IFERROR(__xludf.DUMMYFUNCTION("""COMPUTED_VALUE"""),"")</f>
        <v/>
      </c>
      <c r="D18254" s="12" t="str">
        <f ca="1">IFERROR(__xludf.DUMMYFUNCTION("""COMPUTED_VALUE"""),"")</f>
        <v/>
      </c>
    </row>
    <row r="18255" spans="2:4" ht="13">
      <c r="B18255" s="12" t="str">
        <f ca="1">IFERROR(__xludf.DUMMYFUNCTION("""COMPUTED_VALUE"""),"")</f>
        <v/>
      </c>
      <c r="C18255" s="12" t="str">
        <f ca="1">IFERROR(__xludf.DUMMYFUNCTION("""COMPUTED_VALUE"""),"")</f>
        <v/>
      </c>
      <c r="D18255" s="12" t="str">
        <f ca="1">IFERROR(__xludf.DUMMYFUNCTION("""COMPUTED_VALUE"""),"")</f>
        <v/>
      </c>
    </row>
    <row r="18256" spans="2:4" ht="13">
      <c r="B18256" s="12" t="str">
        <f ca="1">IFERROR(__xludf.DUMMYFUNCTION("""COMPUTED_VALUE"""),"")</f>
        <v/>
      </c>
      <c r="C18256" s="12" t="str">
        <f ca="1">IFERROR(__xludf.DUMMYFUNCTION("""COMPUTED_VALUE"""),"")</f>
        <v/>
      </c>
      <c r="D18256" s="12" t="str">
        <f ca="1">IFERROR(__xludf.DUMMYFUNCTION("""COMPUTED_VALUE"""),"")</f>
        <v/>
      </c>
    </row>
    <row r="18257" spans="2:4" ht="13">
      <c r="B18257" s="12" t="str">
        <f ca="1">IFERROR(__xludf.DUMMYFUNCTION("""COMPUTED_VALUE"""),"")</f>
        <v/>
      </c>
      <c r="C18257" s="12" t="str">
        <f ca="1">IFERROR(__xludf.DUMMYFUNCTION("""COMPUTED_VALUE"""),"")</f>
        <v/>
      </c>
      <c r="D18257" s="12" t="str">
        <f ca="1">IFERROR(__xludf.DUMMYFUNCTION("""COMPUTED_VALUE"""),"")</f>
        <v/>
      </c>
    </row>
    <row r="18258" spans="2:4" ht="13">
      <c r="B18258" s="12" t="str">
        <f ca="1">IFERROR(__xludf.DUMMYFUNCTION("""COMPUTED_VALUE"""),"")</f>
        <v/>
      </c>
      <c r="C18258" s="12" t="str">
        <f ca="1">IFERROR(__xludf.DUMMYFUNCTION("""COMPUTED_VALUE"""),"")</f>
        <v/>
      </c>
      <c r="D18258" s="12" t="str">
        <f ca="1">IFERROR(__xludf.DUMMYFUNCTION("""COMPUTED_VALUE"""),"")</f>
        <v/>
      </c>
    </row>
    <row r="18259" spans="2:4" ht="13">
      <c r="B18259" s="12" t="str">
        <f ca="1">IFERROR(__xludf.DUMMYFUNCTION("""COMPUTED_VALUE"""),"")</f>
        <v/>
      </c>
      <c r="C18259" s="12" t="str">
        <f ca="1">IFERROR(__xludf.DUMMYFUNCTION("""COMPUTED_VALUE"""),"")</f>
        <v/>
      </c>
      <c r="D18259" s="12" t="str">
        <f ca="1">IFERROR(__xludf.DUMMYFUNCTION("""COMPUTED_VALUE"""),"")</f>
        <v/>
      </c>
    </row>
    <row r="18260" spans="2:4" ht="13">
      <c r="B18260" s="12" t="str">
        <f ca="1">IFERROR(__xludf.DUMMYFUNCTION("""COMPUTED_VALUE"""),"")</f>
        <v/>
      </c>
      <c r="C18260" s="12" t="str">
        <f ca="1">IFERROR(__xludf.DUMMYFUNCTION("""COMPUTED_VALUE"""),"")</f>
        <v/>
      </c>
      <c r="D18260" s="12" t="str">
        <f ca="1">IFERROR(__xludf.DUMMYFUNCTION("""COMPUTED_VALUE"""),"")</f>
        <v/>
      </c>
    </row>
    <row r="18261" spans="2:4" ht="13">
      <c r="B18261" s="12" t="str">
        <f ca="1">IFERROR(__xludf.DUMMYFUNCTION("""COMPUTED_VALUE"""),"")</f>
        <v/>
      </c>
      <c r="C18261" s="12" t="str">
        <f ca="1">IFERROR(__xludf.DUMMYFUNCTION("""COMPUTED_VALUE"""),"")</f>
        <v/>
      </c>
      <c r="D18261" s="12" t="str">
        <f ca="1">IFERROR(__xludf.DUMMYFUNCTION("""COMPUTED_VALUE"""),"")</f>
        <v/>
      </c>
    </row>
    <row r="18262" spans="2:4" ht="13">
      <c r="B18262" s="12" t="str">
        <f ca="1">IFERROR(__xludf.DUMMYFUNCTION("""COMPUTED_VALUE"""),"")</f>
        <v/>
      </c>
      <c r="C18262" s="12" t="str">
        <f ca="1">IFERROR(__xludf.DUMMYFUNCTION("""COMPUTED_VALUE"""),"")</f>
        <v/>
      </c>
      <c r="D18262" s="12" t="str">
        <f ca="1">IFERROR(__xludf.DUMMYFUNCTION("""COMPUTED_VALUE"""),"")</f>
        <v/>
      </c>
    </row>
    <row r="18263" spans="2:4" ht="13">
      <c r="B18263" s="12" t="str">
        <f ca="1">IFERROR(__xludf.DUMMYFUNCTION("""COMPUTED_VALUE"""),"")</f>
        <v/>
      </c>
      <c r="C18263" s="12" t="str">
        <f ca="1">IFERROR(__xludf.DUMMYFUNCTION("""COMPUTED_VALUE"""),"")</f>
        <v/>
      </c>
      <c r="D18263" s="12" t="str">
        <f ca="1">IFERROR(__xludf.DUMMYFUNCTION("""COMPUTED_VALUE"""),"")</f>
        <v/>
      </c>
    </row>
    <row r="18264" spans="2:4" ht="13">
      <c r="B18264" s="12" t="str">
        <f ca="1">IFERROR(__xludf.DUMMYFUNCTION("""COMPUTED_VALUE"""),"")</f>
        <v/>
      </c>
      <c r="C18264" s="12" t="str">
        <f ca="1">IFERROR(__xludf.DUMMYFUNCTION("""COMPUTED_VALUE"""),"")</f>
        <v/>
      </c>
      <c r="D18264" s="12" t="str">
        <f ca="1">IFERROR(__xludf.DUMMYFUNCTION("""COMPUTED_VALUE"""),"")</f>
        <v/>
      </c>
    </row>
    <row r="18265" spans="2:4" ht="13">
      <c r="B18265" s="12" t="str">
        <f ca="1">IFERROR(__xludf.DUMMYFUNCTION("""COMPUTED_VALUE"""),"")</f>
        <v/>
      </c>
      <c r="C18265" s="12" t="str">
        <f ca="1">IFERROR(__xludf.DUMMYFUNCTION("""COMPUTED_VALUE"""),"")</f>
        <v/>
      </c>
      <c r="D18265" s="12" t="str">
        <f ca="1">IFERROR(__xludf.DUMMYFUNCTION("""COMPUTED_VALUE"""),"")</f>
        <v/>
      </c>
    </row>
    <row r="18266" spans="2:4" ht="13">
      <c r="B18266" s="12" t="str">
        <f ca="1">IFERROR(__xludf.DUMMYFUNCTION("""COMPUTED_VALUE"""),"")</f>
        <v/>
      </c>
      <c r="C18266" s="12" t="str">
        <f ca="1">IFERROR(__xludf.DUMMYFUNCTION("""COMPUTED_VALUE"""),"")</f>
        <v/>
      </c>
      <c r="D18266" s="12" t="str">
        <f ca="1">IFERROR(__xludf.DUMMYFUNCTION("""COMPUTED_VALUE"""),"")</f>
        <v/>
      </c>
    </row>
    <row r="18267" spans="2:4" ht="13">
      <c r="B18267" s="12" t="str">
        <f ca="1">IFERROR(__xludf.DUMMYFUNCTION("""COMPUTED_VALUE"""),"")</f>
        <v/>
      </c>
      <c r="C18267" s="12" t="str">
        <f ca="1">IFERROR(__xludf.DUMMYFUNCTION("""COMPUTED_VALUE"""),"")</f>
        <v/>
      </c>
      <c r="D18267" s="12" t="str">
        <f ca="1">IFERROR(__xludf.DUMMYFUNCTION("""COMPUTED_VALUE"""),"")</f>
        <v/>
      </c>
    </row>
    <row r="18268" spans="2:4" ht="13">
      <c r="B18268" s="12" t="str">
        <f ca="1">IFERROR(__xludf.DUMMYFUNCTION("""COMPUTED_VALUE"""),"")</f>
        <v/>
      </c>
      <c r="C18268" s="12" t="str">
        <f ca="1">IFERROR(__xludf.DUMMYFUNCTION("""COMPUTED_VALUE"""),"")</f>
        <v/>
      </c>
      <c r="D18268" s="12" t="str">
        <f ca="1">IFERROR(__xludf.DUMMYFUNCTION("""COMPUTED_VALUE"""),"")</f>
        <v/>
      </c>
    </row>
    <row r="18269" spans="2:4" ht="13">
      <c r="B18269" s="12" t="str">
        <f ca="1">IFERROR(__xludf.DUMMYFUNCTION("""COMPUTED_VALUE"""),"")</f>
        <v/>
      </c>
      <c r="C18269" s="12" t="str">
        <f ca="1">IFERROR(__xludf.DUMMYFUNCTION("""COMPUTED_VALUE"""),"")</f>
        <v/>
      </c>
      <c r="D18269" s="12" t="str">
        <f ca="1">IFERROR(__xludf.DUMMYFUNCTION("""COMPUTED_VALUE"""),"")</f>
        <v/>
      </c>
    </row>
    <row r="18270" spans="2:4" ht="13">
      <c r="B18270" s="12" t="str">
        <f ca="1">IFERROR(__xludf.DUMMYFUNCTION("""COMPUTED_VALUE"""),"")</f>
        <v/>
      </c>
      <c r="C18270" s="12" t="str">
        <f ca="1">IFERROR(__xludf.DUMMYFUNCTION("""COMPUTED_VALUE"""),"")</f>
        <v/>
      </c>
      <c r="D18270" s="12" t="str">
        <f ca="1">IFERROR(__xludf.DUMMYFUNCTION("""COMPUTED_VALUE"""),"")</f>
        <v/>
      </c>
    </row>
    <row r="18271" spans="2:4" ht="13">
      <c r="B18271" s="12" t="str">
        <f ca="1">IFERROR(__xludf.DUMMYFUNCTION("""COMPUTED_VALUE"""),"")</f>
        <v/>
      </c>
      <c r="C18271" s="12" t="str">
        <f ca="1">IFERROR(__xludf.DUMMYFUNCTION("""COMPUTED_VALUE"""),"")</f>
        <v/>
      </c>
      <c r="D18271" s="12" t="str">
        <f ca="1">IFERROR(__xludf.DUMMYFUNCTION("""COMPUTED_VALUE"""),"")</f>
        <v/>
      </c>
    </row>
    <row r="18272" spans="2:4" ht="13">
      <c r="B18272" s="12" t="str">
        <f ca="1">IFERROR(__xludf.DUMMYFUNCTION("""COMPUTED_VALUE"""),"")</f>
        <v/>
      </c>
      <c r="C18272" s="12" t="str">
        <f ca="1">IFERROR(__xludf.DUMMYFUNCTION("""COMPUTED_VALUE"""),"")</f>
        <v/>
      </c>
      <c r="D18272" s="12" t="str">
        <f ca="1">IFERROR(__xludf.DUMMYFUNCTION("""COMPUTED_VALUE"""),"")</f>
        <v/>
      </c>
    </row>
    <row r="18273" spans="2:4" ht="13">
      <c r="B18273" s="12" t="str">
        <f ca="1">IFERROR(__xludf.DUMMYFUNCTION("""COMPUTED_VALUE"""),"")</f>
        <v/>
      </c>
      <c r="C18273" s="12" t="str">
        <f ca="1">IFERROR(__xludf.DUMMYFUNCTION("""COMPUTED_VALUE"""),"")</f>
        <v/>
      </c>
      <c r="D18273" s="12" t="str">
        <f ca="1">IFERROR(__xludf.DUMMYFUNCTION("""COMPUTED_VALUE"""),"")</f>
        <v/>
      </c>
    </row>
    <row r="18274" spans="2:4" ht="13">
      <c r="B18274" s="12" t="str">
        <f ca="1">IFERROR(__xludf.DUMMYFUNCTION("""COMPUTED_VALUE"""),"")</f>
        <v/>
      </c>
      <c r="C18274" s="12" t="str">
        <f ca="1">IFERROR(__xludf.DUMMYFUNCTION("""COMPUTED_VALUE"""),"")</f>
        <v/>
      </c>
      <c r="D18274" s="12" t="str">
        <f ca="1">IFERROR(__xludf.DUMMYFUNCTION("""COMPUTED_VALUE"""),"")</f>
        <v/>
      </c>
    </row>
    <row r="18275" spans="2:4" ht="13">
      <c r="B18275" s="12" t="str">
        <f ca="1">IFERROR(__xludf.DUMMYFUNCTION("""COMPUTED_VALUE"""),"")</f>
        <v/>
      </c>
      <c r="C18275" s="12" t="str">
        <f ca="1">IFERROR(__xludf.DUMMYFUNCTION("""COMPUTED_VALUE"""),"")</f>
        <v/>
      </c>
      <c r="D18275" s="12" t="str">
        <f ca="1">IFERROR(__xludf.DUMMYFUNCTION("""COMPUTED_VALUE"""),"")</f>
        <v/>
      </c>
    </row>
    <row r="18276" spans="2:4" ht="13">
      <c r="B18276" s="12" t="str">
        <f ca="1">IFERROR(__xludf.DUMMYFUNCTION("""COMPUTED_VALUE"""),"")</f>
        <v/>
      </c>
      <c r="C18276" s="12" t="str">
        <f ca="1">IFERROR(__xludf.DUMMYFUNCTION("""COMPUTED_VALUE"""),"")</f>
        <v/>
      </c>
      <c r="D18276" s="12" t="str">
        <f ca="1">IFERROR(__xludf.DUMMYFUNCTION("""COMPUTED_VALUE"""),"")</f>
        <v/>
      </c>
    </row>
    <row r="18277" spans="2:4" ht="13">
      <c r="B18277" s="12" t="str">
        <f ca="1">IFERROR(__xludf.DUMMYFUNCTION("""COMPUTED_VALUE"""),"")</f>
        <v/>
      </c>
      <c r="C18277" s="12" t="str">
        <f ca="1">IFERROR(__xludf.DUMMYFUNCTION("""COMPUTED_VALUE"""),"")</f>
        <v/>
      </c>
      <c r="D18277" s="12" t="str">
        <f ca="1">IFERROR(__xludf.DUMMYFUNCTION("""COMPUTED_VALUE"""),"")</f>
        <v/>
      </c>
    </row>
    <row r="18278" spans="2:4" ht="13">
      <c r="B18278" s="12" t="str">
        <f ca="1">IFERROR(__xludf.DUMMYFUNCTION("""COMPUTED_VALUE"""),"")</f>
        <v/>
      </c>
      <c r="C18278" s="12" t="str">
        <f ca="1">IFERROR(__xludf.DUMMYFUNCTION("""COMPUTED_VALUE"""),"")</f>
        <v/>
      </c>
      <c r="D18278" s="12" t="str">
        <f ca="1">IFERROR(__xludf.DUMMYFUNCTION("""COMPUTED_VALUE"""),"")</f>
        <v/>
      </c>
    </row>
    <row r="18279" spans="2:4" ht="13">
      <c r="B18279" s="12" t="str">
        <f ca="1">IFERROR(__xludf.DUMMYFUNCTION("""COMPUTED_VALUE"""),"")</f>
        <v/>
      </c>
      <c r="C18279" s="12" t="str">
        <f ca="1">IFERROR(__xludf.DUMMYFUNCTION("""COMPUTED_VALUE"""),"")</f>
        <v/>
      </c>
      <c r="D18279" s="12" t="str">
        <f ca="1">IFERROR(__xludf.DUMMYFUNCTION("""COMPUTED_VALUE"""),"")</f>
        <v/>
      </c>
    </row>
    <row r="18280" spans="2:4" ht="13">
      <c r="B18280" s="12" t="str">
        <f ca="1">IFERROR(__xludf.DUMMYFUNCTION("""COMPUTED_VALUE"""),"")</f>
        <v/>
      </c>
      <c r="C18280" s="12" t="str">
        <f ca="1">IFERROR(__xludf.DUMMYFUNCTION("""COMPUTED_VALUE"""),"")</f>
        <v/>
      </c>
      <c r="D18280" s="12" t="str">
        <f ca="1">IFERROR(__xludf.DUMMYFUNCTION("""COMPUTED_VALUE"""),"")</f>
        <v/>
      </c>
    </row>
    <row r="18281" spans="2:4" ht="13">
      <c r="B18281" s="12" t="str">
        <f ca="1">IFERROR(__xludf.DUMMYFUNCTION("""COMPUTED_VALUE"""),"")</f>
        <v/>
      </c>
      <c r="C18281" s="12" t="str">
        <f ca="1">IFERROR(__xludf.DUMMYFUNCTION("""COMPUTED_VALUE"""),"")</f>
        <v/>
      </c>
      <c r="D18281" s="12" t="str">
        <f ca="1">IFERROR(__xludf.DUMMYFUNCTION("""COMPUTED_VALUE"""),"")</f>
        <v/>
      </c>
    </row>
    <row r="18282" spans="2:4" ht="13">
      <c r="B18282" s="12" t="str">
        <f ca="1">IFERROR(__xludf.DUMMYFUNCTION("""COMPUTED_VALUE"""),"")</f>
        <v/>
      </c>
      <c r="C18282" s="12" t="str">
        <f ca="1">IFERROR(__xludf.DUMMYFUNCTION("""COMPUTED_VALUE"""),"")</f>
        <v/>
      </c>
      <c r="D18282" s="12" t="str">
        <f ca="1">IFERROR(__xludf.DUMMYFUNCTION("""COMPUTED_VALUE"""),"")</f>
        <v/>
      </c>
    </row>
    <row r="18283" spans="2:4" ht="13">
      <c r="B18283" s="12" t="str">
        <f ca="1">IFERROR(__xludf.DUMMYFUNCTION("""COMPUTED_VALUE"""),"")</f>
        <v/>
      </c>
      <c r="C18283" s="12" t="str">
        <f ca="1">IFERROR(__xludf.DUMMYFUNCTION("""COMPUTED_VALUE"""),"")</f>
        <v/>
      </c>
      <c r="D18283" s="12" t="str">
        <f ca="1">IFERROR(__xludf.DUMMYFUNCTION("""COMPUTED_VALUE"""),"")</f>
        <v/>
      </c>
    </row>
    <row r="18284" spans="2:4" ht="13">
      <c r="B18284" s="12" t="str">
        <f ca="1">IFERROR(__xludf.DUMMYFUNCTION("""COMPUTED_VALUE"""),"")</f>
        <v/>
      </c>
      <c r="C18284" s="12" t="str">
        <f ca="1">IFERROR(__xludf.DUMMYFUNCTION("""COMPUTED_VALUE"""),"")</f>
        <v/>
      </c>
      <c r="D18284" s="12" t="str">
        <f ca="1">IFERROR(__xludf.DUMMYFUNCTION("""COMPUTED_VALUE"""),"")</f>
        <v/>
      </c>
    </row>
    <row r="18285" spans="2:4" ht="13">
      <c r="B18285" s="12" t="str">
        <f ca="1">IFERROR(__xludf.DUMMYFUNCTION("""COMPUTED_VALUE"""),"")</f>
        <v/>
      </c>
      <c r="C18285" s="12" t="str">
        <f ca="1">IFERROR(__xludf.DUMMYFUNCTION("""COMPUTED_VALUE"""),"")</f>
        <v/>
      </c>
      <c r="D18285" s="12" t="str">
        <f ca="1">IFERROR(__xludf.DUMMYFUNCTION("""COMPUTED_VALUE"""),"")</f>
        <v/>
      </c>
    </row>
    <row r="18286" spans="2:4" ht="13">
      <c r="B18286" s="12" t="str">
        <f ca="1">IFERROR(__xludf.DUMMYFUNCTION("""COMPUTED_VALUE"""),"")</f>
        <v/>
      </c>
      <c r="C18286" s="12" t="str">
        <f ca="1">IFERROR(__xludf.DUMMYFUNCTION("""COMPUTED_VALUE"""),"")</f>
        <v/>
      </c>
      <c r="D18286" s="12" t="str">
        <f ca="1">IFERROR(__xludf.DUMMYFUNCTION("""COMPUTED_VALUE"""),"")</f>
        <v/>
      </c>
    </row>
    <row r="18287" spans="2:4" ht="13">
      <c r="B18287" s="12" t="str">
        <f ca="1">IFERROR(__xludf.DUMMYFUNCTION("""COMPUTED_VALUE"""),"")</f>
        <v/>
      </c>
      <c r="C18287" s="12" t="str">
        <f ca="1">IFERROR(__xludf.DUMMYFUNCTION("""COMPUTED_VALUE"""),"")</f>
        <v/>
      </c>
      <c r="D18287" s="12" t="str">
        <f ca="1">IFERROR(__xludf.DUMMYFUNCTION("""COMPUTED_VALUE"""),"")</f>
        <v/>
      </c>
    </row>
    <row r="18288" spans="2:4" ht="13">
      <c r="B18288" s="12" t="str">
        <f ca="1">IFERROR(__xludf.DUMMYFUNCTION("""COMPUTED_VALUE"""),"")</f>
        <v/>
      </c>
      <c r="C18288" s="12" t="str">
        <f ca="1">IFERROR(__xludf.DUMMYFUNCTION("""COMPUTED_VALUE"""),"")</f>
        <v/>
      </c>
      <c r="D18288" s="12" t="str">
        <f ca="1">IFERROR(__xludf.DUMMYFUNCTION("""COMPUTED_VALUE"""),"")</f>
        <v/>
      </c>
    </row>
    <row r="18289" spans="2:4" ht="13">
      <c r="B18289" s="12" t="str">
        <f ca="1">IFERROR(__xludf.DUMMYFUNCTION("""COMPUTED_VALUE"""),"")</f>
        <v/>
      </c>
      <c r="C18289" s="12" t="str">
        <f ca="1">IFERROR(__xludf.DUMMYFUNCTION("""COMPUTED_VALUE"""),"")</f>
        <v/>
      </c>
      <c r="D18289" s="12" t="str">
        <f ca="1">IFERROR(__xludf.DUMMYFUNCTION("""COMPUTED_VALUE"""),"")</f>
        <v/>
      </c>
    </row>
    <row r="18290" spans="2:4" ht="13">
      <c r="B18290" s="12" t="str">
        <f ca="1">IFERROR(__xludf.DUMMYFUNCTION("""COMPUTED_VALUE"""),"")</f>
        <v/>
      </c>
      <c r="C18290" s="12" t="str">
        <f ca="1">IFERROR(__xludf.DUMMYFUNCTION("""COMPUTED_VALUE"""),"")</f>
        <v/>
      </c>
      <c r="D18290" s="12" t="str">
        <f ca="1">IFERROR(__xludf.DUMMYFUNCTION("""COMPUTED_VALUE"""),"")</f>
        <v/>
      </c>
    </row>
    <row r="18291" spans="2:4" ht="13">
      <c r="B18291" s="12" t="str">
        <f ca="1">IFERROR(__xludf.DUMMYFUNCTION("""COMPUTED_VALUE"""),"")</f>
        <v/>
      </c>
      <c r="C18291" s="12" t="str">
        <f ca="1">IFERROR(__xludf.DUMMYFUNCTION("""COMPUTED_VALUE"""),"")</f>
        <v/>
      </c>
      <c r="D18291" s="12" t="str">
        <f ca="1">IFERROR(__xludf.DUMMYFUNCTION("""COMPUTED_VALUE"""),"")</f>
        <v/>
      </c>
    </row>
    <row r="18292" spans="2:4" ht="13">
      <c r="B18292" s="12" t="str">
        <f ca="1">IFERROR(__xludf.DUMMYFUNCTION("""COMPUTED_VALUE"""),"")</f>
        <v/>
      </c>
      <c r="C18292" s="12" t="str">
        <f ca="1">IFERROR(__xludf.DUMMYFUNCTION("""COMPUTED_VALUE"""),"")</f>
        <v/>
      </c>
      <c r="D18292" s="12" t="str">
        <f ca="1">IFERROR(__xludf.DUMMYFUNCTION("""COMPUTED_VALUE"""),"")</f>
        <v/>
      </c>
    </row>
    <row r="18293" spans="2:4" ht="13">
      <c r="B18293" s="12" t="str">
        <f ca="1">IFERROR(__xludf.DUMMYFUNCTION("""COMPUTED_VALUE"""),"")</f>
        <v/>
      </c>
      <c r="C18293" s="12" t="str">
        <f ca="1">IFERROR(__xludf.DUMMYFUNCTION("""COMPUTED_VALUE"""),"")</f>
        <v/>
      </c>
      <c r="D18293" s="12" t="str">
        <f ca="1">IFERROR(__xludf.DUMMYFUNCTION("""COMPUTED_VALUE"""),"")</f>
        <v/>
      </c>
    </row>
    <row r="18294" spans="2:4" ht="13">
      <c r="B18294" s="12" t="str">
        <f ca="1">IFERROR(__xludf.DUMMYFUNCTION("""COMPUTED_VALUE"""),"")</f>
        <v/>
      </c>
      <c r="C18294" s="12" t="str">
        <f ca="1">IFERROR(__xludf.DUMMYFUNCTION("""COMPUTED_VALUE"""),"")</f>
        <v/>
      </c>
      <c r="D18294" s="12" t="str">
        <f ca="1">IFERROR(__xludf.DUMMYFUNCTION("""COMPUTED_VALUE"""),"")</f>
        <v/>
      </c>
    </row>
    <row r="18295" spans="2:4" ht="13">
      <c r="B18295" s="12" t="str">
        <f ca="1">IFERROR(__xludf.DUMMYFUNCTION("""COMPUTED_VALUE"""),"")</f>
        <v/>
      </c>
      <c r="C18295" s="12" t="str">
        <f ca="1">IFERROR(__xludf.DUMMYFUNCTION("""COMPUTED_VALUE"""),"")</f>
        <v/>
      </c>
      <c r="D18295" s="12" t="str">
        <f ca="1">IFERROR(__xludf.DUMMYFUNCTION("""COMPUTED_VALUE"""),"")</f>
        <v/>
      </c>
    </row>
    <row r="18296" spans="2:4" ht="13">
      <c r="B18296" s="12" t="str">
        <f ca="1">IFERROR(__xludf.DUMMYFUNCTION("""COMPUTED_VALUE"""),"")</f>
        <v/>
      </c>
      <c r="C18296" s="12" t="str">
        <f ca="1">IFERROR(__xludf.DUMMYFUNCTION("""COMPUTED_VALUE"""),"")</f>
        <v/>
      </c>
      <c r="D18296" s="12" t="str">
        <f ca="1">IFERROR(__xludf.DUMMYFUNCTION("""COMPUTED_VALUE"""),"")</f>
        <v/>
      </c>
    </row>
    <row r="18297" spans="2:4" ht="13">
      <c r="B18297" s="12" t="str">
        <f ca="1">IFERROR(__xludf.DUMMYFUNCTION("""COMPUTED_VALUE"""),"")</f>
        <v/>
      </c>
      <c r="C18297" s="12" t="str">
        <f ca="1">IFERROR(__xludf.DUMMYFUNCTION("""COMPUTED_VALUE"""),"")</f>
        <v/>
      </c>
      <c r="D18297" s="12" t="str">
        <f ca="1">IFERROR(__xludf.DUMMYFUNCTION("""COMPUTED_VALUE"""),"")</f>
        <v/>
      </c>
    </row>
    <row r="18298" spans="2:4" ht="13">
      <c r="B18298" s="12" t="str">
        <f ca="1">IFERROR(__xludf.DUMMYFUNCTION("""COMPUTED_VALUE"""),"")</f>
        <v/>
      </c>
      <c r="C18298" s="12" t="str">
        <f ca="1">IFERROR(__xludf.DUMMYFUNCTION("""COMPUTED_VALUE"""),"")</f>
        <v/>
      </c>
      <c r="D18298" s="12" t="str">
        <f ca="1">IFERROR(__xludf.DUMMYFUNCTION("""COMPUTED_VALUE"""),"")</f>
        <v/>
      </c>
    </row>
    <row r="18299" spans="2:4" ht="13">
      <c r="B18299" s="12" t="str">
        <f ca="1">IFERROR(__xludf.DUMMYFUNCTION("""COMPUTED_VALUE"""),"")</f>
        <v/>
      </c>
      <c r="C18299" s="12" t="str">
        <f ca="1">IFERROR(__xludf.DUMMYFUNCTION("""COMPUTED_VALUE"""),"")</f>
        <v/>
      </c>
      <c r="D18299" s="12" t="str">
        <f ca="1">IFERROR(__xludf.DUMMYFUNCTION("""COMPUTED_VALUE"""),"")</f>
        <v/>
      </c>
    </row>
    <row r="18300" spans="2:4" ht="13">
      <c r="B18300" s="12" t="str">
        <f ca="1">IFERROR(__xludf.DUMMYFUNCTION("""COMPUTED_VALUE"""),"")</f>
        <v/>
      </c>
      <c r="C18300" s="12" t="str">
        <f ca="1">IFERROR(__xludf.DUMMYFUNCTION("""COMPUTED_VALUE"""),"")</f>
        <v/>
      </c>
      <c r="D18300" s="12" t="str">
        <f ca="1">IFERROR(__xludf.DUMMYFUNCTION("""COMPUTED_VALUE"""),"")</f>
        <v/>
      </c>
    </row>
    <row r="18301" spans="2:4" ht="13">
      <c r="B18301" s="12" t="str">
        <f ca="1">IFERROR(__xludf.DUMMYFUNCTION("""COMPUTED_VALUE"""),"")</f>
        <v/>
      </c>
      <c r="C18301" s="12" t="str">
        <f ca="1">IFERROR(__xludf.DUMMYFUNCTION("""COMPUTED_VALUE"""),"")</f>
        <v/>
      </c>
      <c r="D18301" s="12" t="str">
        <f ca="1">IFERROR(__xludf.DUMMYFUNCTION("""COMPUTED_VALUE"""),"")</f>
        <v/>
      </c>
    </row>
    <row r="18302" spans="2:4" ht="13">
      <c r="B18302" s="12" t="str">
        <f ca="1">IFERROR(__xludf.DUMMYFUNCTION("""COMPUTED_VALUE"""),"")</f>
        <v/>
      </c>
      <c r="C18302" s="12" t="str">
        <f ca="1">IFERROR(__xludf.DUMMYFUNCTION("""COMPUTED_VALUE"""),"")</f>
        <v/>
      </c>
      <c r="D18302" s="12" t="str">
        <f ca="1">IFERROR(__xludf.DUMMYFUNCTION("""COMPUTED_VALUE"""),"")</f>
        <v/>
      </c>
    </row>
    <row r="18303" spans="2:4" ht="13">
      <c r="B18303" s="12" t="str">
        <f ca="1">IFERROR(__xludf.DUMMYFUNCTION("""COMPUTED_VALUE"""),"")</f>
        <v/>
      </c>
      <c r="C18303" s="12" t="str">
        <f ca="1">IFERROR(__xludf.DUMMYFUNCTION("""COMPUTED_VALUE"""),"")</f>
        <v/>
      </c>
      <c r="D18303" s="12" t="str">
        <f ca="1">IFERROR(__xludf.DUMMYFUNCTION("""COMPUTED_VALUE"""),"")</f>
        <v/>
      </c>
    </row>
    <row r="18304" spans="2:4" ht="13">
      <c r="B18304" s="12" t="str">
        <f ca="1">IFERROR(__xludf.DUMMYFUNCTION("""COMPUTED_VALUE"""),"")</f>
        <v/>
      </c>
      <c r="C18304" s="12" t="str">
        <f ca="1">IFERROR(__xludf.DUMMYFUNCTION("""COMPUTED_VALUE"""),"")</f>
        <v/>
      </c>
      <c r="D18304" s="12" t="str">
        <f ca="1">IFERROR(__xludf.DUMMYFUNCTION("""COMPUTED_VALUE"""),"")</f>
        <v/>
      </c>
    </row>
    <row r="18305" spans="2:4" ht="13">
      <c r="B18305" s="12" t="str">
        <f ca="1">IFERROR(__xludf.DUMMYFUNCTION("""COMPUTED_VALUE"""),"")</f>
        <v/>
      </c>
      <c r="C18305" s="12" t="str">
        <f ca="1">IFERROR(__xludf.DUMMYFUNCTION("""COMPUTED_VALUE"""),"")</f>
        <v/>
      </c>
      <c r="D18305" s="12" t="str">
        <f ca="1">IFERROR(__xludf.DUMMYFUNCTION("""COMPUTED_VALUE"""),"")</f>
        <v/>
      </c>
    </row>
    <row r="18306" spans="2:4" ht="13">
      <c r="B18306" s="12" t="str">
        <f ca="1">IFERROR(__xludf.DUMMYFUNCTION("""COMPUTED_VALUE"""),"")</f>
        <v/>
      </c>
      <c r="C18306" s="12" t="str">
        <f ca="1">IFERROR(__xludf.DUMMYFUNCTION("""COMPUTED_VALUE"""),"")</f>
        <v/>
      </c>
      <c r="D18306" s="12" t="str">
        <f ca="1">IFERROR(__xludf.DUMMYFUNCTION("""COMPUTED_VALUE"""),"")</f>
        <v/>
      </c>
    </row>
    <row r="18307" spans="2:4" ht="13">
      <c r="B18307" s="12" t="str">
        <f ca="1">IFERROR(__xludf.DUMMYFUNCTION("""COMPUTED_VALUE"""),"")</f>
        <v/>
      </c>
      <c r="C18307" s="12" t="str">
        <f ca="1">IFERROR(__xludf.DUMMYFUNCTION("""COMPUTED_VALUE"""),"")</f>
        <v/>
      </c>
      <c r="D18307" s="12" t="str">
        <f ca="1">IFERROR(__xludf.DUMMYFUNCTION("""COMPUTED_VALUE"""),"")</f>
        <v/>
      </c>
    </row>
    <row r="18308" spans="2:4" ht="13">
      <c r="B18308" s="12" t="str">
        <f ca="1">IFERROR(__xludf.DUMMYFUNCTION("""COMPUTED_VALUE"""),"")</f>
        <v/>
      </c>
      <c r="C18308" s="12" t="str">
        <f ca="1">IFERROR(__xludf.DUMMYFUNCTION("""COMPUTED_VALUE"""),"")</f>
        <v/>
      </c>
      <c r="D18308" s="12" t="str">
        <f ca="1">IFERROR(__xludf.DUMMYFUNCTION("""COMPUTED_VALUE"""),"")</f>
        <v/>
      </c>
    </row>
    <row r="18309" spans="2:4" ht="13">
      <c r="B18309" s="12" t="str">
        <f ca="1">IFERROR(__xludf.DUMMYFUNCTION("""COMPUTED_VALUE"""),"")</f>
        <v/>
      </c>
      <c r="C18309" s="12" t="str">
        <f ca="1">IFERROR(__xludf.DUMMYFUNCTION("""COMPUTED_VALUE"""),"")</f>
        <v/>
      </c>
      <c r="D18309" s="12" t="str">
        <f ca="1">IFERROR(__xludf.DUMMYFUNCTION("""COMPUTED_VALUE"""),"")</f>
        <v/>
      </c>
    </row>
    <row r="18310" spans="2:4" ht="13">
      <c r="B18310" s="12" t="str">
        <f ca="1">IFERROR(__xludf.DUMMYFUNCTION("""COMPUTED_VALUE"""),"")</f>
        <v/>
      </c>
      <c r="C18310" s="12" t="str">
        <f ca="1">IFERROR(__xludf.DUMMYFUNCTION("""COMPUTED_VALUE"""),"")</f>
        <v/>
      </c>
      <c r="D18310" s="12" t="str">
        <f ca="1">IFERROR(__xludf.DUMMYFUNCTION("""COMPUTED_VALUE"""),"")</f>
        <v/>
      </c>
    </row>
    <row r="18311" spans="2:4" ht="13">
      <c r="B18311" s="12" t="str">
        <f ca="1">IFERROR(__xludf.DUMMYFUNCTION("""COMPUTED_VALUE"""),"")</f>
        <v/>
      </c>
      <c r="C18311" s="12" t="str">
        <f ca="1">IFERROR(__xludf.DUMMYFUNCTION("""COMPUTED_VALUE"""),"")</f>
        <v/>
      </c>
      <c r="D18311" s="12" t="str">
        <f ca="1">IFERROR(__xludf.DUMMYFUNCTION("""COMPUTED_VALUE"""),"")</f>
        <v/>
      </c>
    </row>
    <row r="18312" spans="2:4" ht="13">
      <c r="B18312" s="12" t="str">
        <f ca="1">IFERROR(__xludf.DUMMYFUNCTION("""COMPUTED_VALUE"""),"")</f>
        <v/>
      </c>
      <c r="C18312" s="12" t="str">
        <f ca="1">IFERROR(__xludf.DUMMYFUNCTION("""COMPUTED_VALUE"""),"")</f>
        <v/>
      </c>
      <c r="D18312" s="12" t="str">
        <f ca="1">IFERROR(__xludf.DUMMYFUNCTION("""COMPUTED_VALUE"""),"")</f>
        <v/>
      </c>
    </row>
    <row r="18313" spans="2:4" ht="13">
      <c r="B18313" s="12" t="str">
        <f ca="1">IFERROR(__xludf.DUMMYFUNCTION("""COMPUTED_VALUE"""),"")</f>
        <v/>
      </c>
      <c r="C18313" s="12" t="str">
        <f ca="1">IFERROR(__xludf.DUMMYFUNCTION("""COMPUTED_VALUE"""),"")</f>
        <v/>
      </c>
      <c r="D18313" s="12" t="str">
        <f ca="1">IFERROR(__xludf.DUMMYFUNCTION("""COMPUTED_VALUE"""),"")</f>
        <v/>
      </c>
    </row>
    <row r="18314" spans="2:4" ht="13">
      <c r="B18314" s="12" t="str">
        <f ca="1">IFERROR(__xludf.DUMMYFUNCTION("""COMPUTED_VALUE"""),"")</f>
        <v/>
      </c>
      <c r="C18314" s="12" t="str">
        <f ca="1">IFERROR(__xludf.DUMMYFUNCTION("""COMPUTED_VALUE"""),"")</f>
        <v/>
      </c>
      <c r="D18314" s="12" t="str">
        <f ca="1">IFERROR(__xludf.DUMMYFUNCTION("""COMPUTED_VALUE"""),"")</f>
        <v/>
      </c>
    </row>
    <row r="18315" spans="2:4" ht="13">
      <c r="B18315" s="12" t="str">
        <f ca="1">IFERROR(__xludf.DUMMYFUNCTION("""COMPUTED_VALUE"""),"")</f>
        <v/>
      </c>
      <c r="C18315" s="12" t="str">
        <f ca="1">IFERROR(__xludf.DUMMYFUNCTION("""COMPUTED_VALUE"""),"")</f>
        <v/>
      </c>
      <c r="D18315" s="12" t="str">
        <f ca="1">IFERROR(__xludf.DUMMYFUNCTION("""COMPUTED_VALUE"""),"")</f>
        <v/>
      </c>
    </row>
    <row r="18316" spans="2:4" ht="13">
      <c r="B18316" s="12" t="str">
        <f ca="1">IFERROR(__xludf.DUMMYFUNCTION("""COMPUTED_VALUE"""),"")</f>
        <v/>
      </c>
      <c r="C18316" s="12" t="str">
        <f ca="1">IFERROR(__xludf.DUMMYFUNCTION("""COMPUTED_VALUE"""),"")</f>
        <v/>
      </c>
      <c r="D18316" s="12" t="str">
        <f ca="1">IFERROR(__xludf.DUMMYFUNCTION("""COMPUTED_VALUE"""),"")</f>
        <v/>
      </c>
    </row>
    <row r="18317" spans="2:4" ht="13">
      <c r="B18317" s="12" t="str">
        <f ca="1">IFERROR(__xludf.DUMMYFUNCTION("""COMPUTED_VALUE"""),"")</f>
        <v/>
      </c>
      <c r="C18317" s="12" t="str">
        <f ca="1">IFERROR(__xludf.DUMMYFUNCTION("""COMPUTED_VALUE"""),"")</f>
        <v/>
      </c>
      <c r="D18317" s="12" t="str">
        <f ca="1">IFERROR(__xludf.DUMMYFUNCTION("""COMPUTED_VALUE"""),"")</f>
        <v/>
      </c>
    </row>
    <row r="18318" spans="2:4" ht="13">
      <c r="B18318" s="12" t="str">
        <f ca="1">IFERROR(__xludf.DUMMYFUNCTION("""COMPUTED_VALUE"""),"")</f>
        <v/>
      </c>
      <c r="C18318" s="12" t="str">
        <f ca="1">IFERROR(__xludf.DUMMYFUNCTION("""COMPUTED_VALUE"""),"")</f>
        <v/>
      </c>
      <c r="D18318" s="12" t="str">
        <f ca="1">IFERROR(__xludf.DUMMYFUNCTION("""COMPUTED_VALUE"""),"")</f>
        <v/>
      </c>
    </row>
    <row r="18319" spans="2:4" ht="13">
      <c r="B18319" s="12" t="str">
        <f ca="1">IFERROR(__xludf.DUMMYFUNCTION("""COMPUTED_VALUE"""),"")</f>
        <v/>
      </c>
      <c r="C18319" s="12" t="str">
        <f ca="1">IFERROR(__xludf.DUMMYFUNCTION("""COMPUTED_VALUE"""),"")</f>
        <v/>
      </c>
      <c r="D18319" s="12" t="str">
        <f ca="1">IFERROR(__xludf.DUMMYFUNCTION("""COMPUTED_VALUE"""),"")</f>
        <v/>
      </c>
    </row>
    <row r="18320" spans="2:4" ht="13">
      <c r="B18320" s="12" t="str">
        <f ca="1">IFERROR(__xludf.DUMMYFUNCTION("""COMPUTED_VALUE"""),"")</f>
        <v/>
      </c>
      <c r="C18320" s="12" t="str">
        <f ca="1">IFERROR(__xludf.DUMMYFUNCTION("""COMPUTED_VALUE"""),"")</f>
        <v/>
      </c>
      <c r="D18320" s="12" t="str">
        <f ca="1">IFERROR(__xludf.DUMMYFUNCTION("""COMPUTED_VALUE"""),"")</f>
        <v/>
      </c>
    </row>
    <row r="18321" spans="2:4" ht="13">
      <c r="B18321" s="12" t="str">
        <f ca="1">IFERROR(__xludf.DUMMYFUNCTION("""COMPUTED_VALUE"""),"")</f>
        <v/>
      </c>
      <c r="C18321" s="12" t="str">
        <f ca="1">IFERROR(__xludf.DUMMYFUNCTION("""COMPUTED_VALUE"""),"")</f>
        <v/>
      </c>
      <c r="D18321" s="12" t="str">
        <f ca="1">IFERROR(__xludf.DUMMYFUNCTION("""COMPUTED_VALUE"""),"")</f>
        <v/>
      </c>
    </row>
    <row r="18322" spans="2:4" ht="13">
      <c r="B18322" s="12" t="str">
        <f ca="1">IFERROR(__xludf.DUMMYFUNCTION("""COMPUTED_VALUE"""),"")</f>
        <v/>
      </c>
      <c r="C18322" s="12" t="str">
        <f ca="1">IFERROR(__xludf.DUMMYFUNCTION("""COMPUTED_VALUE"""),"")</f>
        <v/>
      </c>
      <c r="D18322" s="12" t="str">
        <f ca="1">IFERROR(__xludf.DUMMYFUNCTION("""COMPUTED_VALUE"""),"")</f>
        <v/>
      </c>
    </row>
    <row r="18323" spans="2:4" ht="13">
      <c r="B18323" s="12" t="str">
        <f ca="1">IFERROR(__xludf.DUMMYFUNCTION("""COMPUTED_VALUE"""),"")</f>
        <v/>
      </c>
      <c r="C18323" s="12" t="str">
        <f ca="1">IFERROR(__xludf.DUMMYFUNCTION("""COMPUTED_VALUE"""),"")</f>
        <v/>
      </c>
      <c r="D18323" s="12" t="str">
        <f ca="1">IFERROR(__xludf.DUMMYFUNCTION("""COMPUTED_VALUE"""),"")</f>
        <v/>
      </c>
    </row>
    <row r="18324" spans="2:4" ht="13">
      <c r="B18324" s="12" t="str">
        <f ca="1">IFERROR(__xludf.DUMMYFUNCTION("""COMPUTED_VALUE"""),"")</f>
        <v/>
      </c>
      <c r="C18324" s="12" t="str">
        <f ca="1">IFERROR(__xludf.DUMMYFUNCTION("""COMPUTED_VALUE"""),"")</f>
        <v/>
      </c>
      <c r="D18324" s="12" t="str">
        <f ca="1">IFERROR(__xludf.DUMMYFUNCTION("""COMPUTED_VALUE"""),"")</f>
        <v/>
      </c>
    </row>
    <row r="18325" spans="2:4" ht="13">
      <c r="B18325" s="12" t="str">
        <f ca="1">IFERROR(__xludf.DUMMYFUNCTION("""COMPUTED_VALUE"""),"")</f>
        <v/>
      </c>
      <c r="C18325" s="12" t="str">
        <f ca="1">IFERROR(__xludf.DUMMYFUNCTION("""COMPUTED_VALUE"""),"")</f>
        <v/>
      </c>
      <c r="D18325" s="12" t="str">
        <f ca="1">IFERROR(__xludf.DUMMYFUNCTION("""COMPUTED_VALUE"""),"")</f>
        <v/>
      </c>
    </row>
    <row r="18326" spans="2:4" ht="13">
      <c r="B18326" s="12" t="str">
        <f ca="1">IFERROR(__xludf.DUMMYFUNCTION("""COMPUTED_VALUE"""),"")</f>
        <v/>
      </c>
      <c r="C18326" s="12" t="str">
        <f ca="1">IFERROR(__xludf.DUMMYFUNCTION("""COMPUTED_VALUE"""),"")</f>
        <v/>
      </c>
      <c r="D18326" s="12" t="str">
        <f ca="1">IFERROR(__xludf.DUMMYFUNCTION("""COMPUTED_VALUE"""),"")</f>
        <v/>
      </c>
    </row>
    <row r="18327" spans="2:4" ht="13">
      <c r="B18327" s="12" t="str">
        <f ca="1">IFERROR(__xludf.DUMMYFUNCTION("""COMPUTED_VALUE"""),"")</f>
        <v/>
      </c>
      <c r="C18327" s="12" t="str">
        <f ca="1">IFERROR(__xludf.DUMMYFUNCTION("""COMPUTED_VALUE"""),"")</f>
        <v/>
      </c>
      <c r="D18327" s="12" t="str">
        <f ca="1">IFERROR(__xludf.DUMMYFUNCTION("""COMPUTED_VALUE"""),"")</f>
        <v/>
      </c>
    </row>
    <row r="18328" spans="2:4" ht="13">
      <c r="B18328" s="12" t="str">
        <f ca="1">IFERROR(__xludf.DUMMYFUNCTION("""COMPUTED_VALUE"""),"")</f>
        <v/>
      </c>
      <c r="C18328" s="12" t="str">
        <f ca="1">IFERROR(__xludf.DUMMYFUNCTION("""COMPUTED_VALUE"""),"")</f>
        <v/>
      </c>
      <c r="D18328" s="12" t="str">
        <f ca="1">IFERROR(__xludf.DUMMYFUNCTION("""COMPUTED_VALUE"""),"")</f>
        <v/>
      </c>
    </row>
    <row r="18329" spans="2:4" ht="13">
      <c r="B18329" s="12" t="str">
        <f ca="1">IFERROR(__xludf.DUMMYFUNCTION("""COMPUTED_VALUE"""),"")</f>
        <v/>
      </c>
      <c r="C18329" s="12" t="str">
        <f ca="1">IFERROR(__xludf.DUMMYFUNCTION("""COMPUTED_VALUE"""),"")</f>
        <v/>
      </c>
      <c r="D18329" s="12" t="str">
        <f ca="1">IFERROR(__xludf.DUMMYFUNCTION("""COMPUTED_VALUE"""),"")</f>
        <v/>
      </c>
    </row>
    <row r="18330" spans="2:4" ht="13">
      <c r="B18330" s="12" t="str">
        <f ca="1">IFERROR(__xludf.DUMMYFUNCTION("""COMPUTED_VALUE"""),"")</f>
        <v/>
      </c>
      <c r="C18330" s="12" t="str">
        <f ca="1">IFERROR(__xludf.DUMMYFUNCTION("""COMPUTED_VALUE"""),"")</f>
        <v/>
      </c>
      <c r="D18330" s="12" t="str">
        <f ca="1">IFERROR(__xludf.DUMMYFUNCTION("""COMPUTED_VALUE"""),"")</f>
        <v/>
      </c>
    </row>
    <row r="18331" spans="2:4" ht="13">
      <c r="B18331" s="12" t="str">
        <f ca="1">IFERROR(__xludf.DUMMYFUNCTION("""COMPUTED_VALUE"""),"")</f>
        <v/>
      </c>
      <c r="C18331" s="12" t="str">
        <f ca="1">IFERROR(__xludf.DUMMYFUNCTION("""COMPUTED_VALUE"""),"")</f>
        <v/>
      </c>
      <c r="D18331" s="12" t="str">
        <f ca="1">IFERROR(__xludf.DUMMYFUNCTION("""COMPUTED_VALUE"""),"")</f>
        <v/>
      </c>
    </row>
    <row r="18332" spans="2:4" ht="13">
      <c r="B18332" s="12" t="str">
        <f ca="1">IFERROR(__xludf.DUMMYFUNCTION("""COMPUTED_VALUE"""),"")</f>
        <v/>
      </c>
      <c r="C18332" s="12" t="str">
        <f ca="1">IFERROR(__xludf.DUMMYFUNCTION("""COMPUTED_VALUE"""),"")</f>
        <v/>
      </c>
      <c r="D18332" s="12" t="str">
        <f ca="1">IFERROR(__xludf.DUMMYFUNCTION("""COMPUTED_VALUE"""),"")</f>
        <v/>
      </c>
    </row>
    <row r="18333" spans="2:4" ht="13">
      <c r="B18333" s="12" t="str">
        <f ca="1">IFERROR(__xludf.DUMMYFUNCTION("""COMPUTED_VALUE"""),"")</f>
        <v/>
      </c>
      <c r="C18333" s="12" t="str">
        <f ca="1">IFERROR(__xludf.DUMMYFUNCTION("""COMPUTED_VALUE"""),"")</f>
        <v/>
      </c>
      <c r="D18333" s="12" t="str">
        <f ca="1">IFERROR(__xludf.DUMMYFUNCTION("""COMPUTED_VALUE"""),"")</f>
        <v/>
      </c>
    </row>
    <row r="18334" spans="2:4" ht="13">
      <c r="B18334" s="12" t="str">
        <f ca="1">IFERROR(__xludf.DUMMYFUNCTION("""COMPUTED_VALUE"""),"")</f>
        <v/>
      </c>
      <c r="C18334" s="12" t="str">
        <f ca="1">IFERROR(__xludf.DUMMYFUNCTION("""COMPUTED_VALUE"""),"")</f>
        <v/>
      </c>
      <c r="D18334" s="12" t="str">
        <f ca="1">IFERROR(__xludf.DUMMYFUNCTION("""COMPUTED_VALUE"""),"")</f>
        <v/>
      </c>
    </row>
    <row r="18335" spans="2:4" ht="13">
      <c r="B18335" s="12" t="str">
        <f ca="1">IFERROR(__xludf.DUMMYFUNCTION("""COMPUTED_VALUE"""),"")</f>
        <v/>
      </c>
      <c r="C18335" s="12" t="str">
        <f ca="1">IFERROR(__xludf.DUMMYFUNCTION("""COMPUTED_VALUE"""),"")</f>
        <v/>
      </c>
      <c r="D18335" s="12" t="str">
        <f ca="1">IFERROR(__xludf.DUMMYFUNCTION("""COMPUTED_VALUE"""),"")</f>
        <v/>
      </c>
    </row>
    <row r="18336" spans="2:4" ht="13">
      <c r="B18336" s="12" t="str">
        <f ca="1">IFERROR(__xludf.DUMMYFUNCTION("""COMPUTED_VALUE"""),"")</f>
        <v/>
      </c>
      <c r="C18336" s="12" t="str">
        <f ca="1">IFERROR(__xludf.DUMMYFUNCTION("""COMPUTED_VALUE"""),"")</f>
        <v/>
      </c>
      <c r="D18336" s="12" t="str">
        <f ca="1">IFERROR(__xludf.DUMMYFUNCTION("""COMPUTED_VALUE"""),"")</f>
        <v/>
      </c>
    </row>
    <row r="18337" spans="2:4" ht="13">
      <c r="B18337" s="12" t="str">
        <f ca="1">IFERROR(__xludf.DUMMYFUNCTION("""COMPUTED_VALUE"""),"")</f>
        <v/>
      </c>
      <c r="C18337" s="12" t="str">
        <f ca="1">IFERROR(__xludf.DUMMYFUNCTION("""COMPUTED_VALUE"""),"")</f>
        <v/>
      </c>
      <c r="D18337" s="12" t="str">
        <f ca="1">IFERROR(__xludf.DUMMYFUNCTION("""COMPUTED_VALUE"""),"")</f>
        <v/>
      </c>
    </row>
    <row r="18338" spans="2:4" ht="13">
      <c r="B18338" s="12" t="str">
        <f ca="1">IFERROR(__xludf.DUMMYFUNCTION("""COMPUTED_VALUE"""),"")</f>
        <v/>
      </c>
      <c r="C18338" s="12" t="str">
        <f ca="1">IFERROR(__xludf.DUMMYFUNCTION("""COMPUTED_VALUE"""),"")</f>
        <v/>
      </c>
      <c r="D18338" s="12" t="str">
        <f ca="1">IFERROR(__xludf.DUMMYFUNCTION("""COMPUTED_VALUE"""),"")</f>
        <v/>
      </c>
    </row>
    <row r="18339" spans="2:4" ht="13">
      <c r="B18339" s="12" t="str">
        <f ca="1">IFERROR(__xludf.DUMMYFUNCTION("""COMPUTED_VALUE"""),"")</f>
        <v/>
      </c>
      <c r="C18339" s="12" t="str">
        <f ca="1">IFERROR(__xludf.DUMMYFUNCTION("""COMPUTED_VALUE"""),"")</f>
        <v/>
      </c>
      <c r="D18339" s="12" t="str">
        <f ca="1">IFERROR(__xludf.DUMMYFUNCTION("""COMPUTED_VALUE"""),"")</f>
        <v/>
      </c>
    </row>
    <row r="18340" spans="2:4" ht="13">
      <c r="B18340" s="12" t="str">
        <f ca="1">IFERROR(__xludf.DUMMYFUNCTION("""COMPUTED_VALUE"""),"")</f>
        <v/>
      </c>
      <c r="C18340" s="12" t="str">
        <f ca="1">IFERROR(__xludf.DUMMYFUNCTION("""COMPUTED_VALUE"""),"")</f>
        <v/>
      </c>
      <c r="D18340" s="12" t="str">
        <f ca="1">IFERROR(__xludf.DUMMYFUNCTION("""COMPUTED_VALUE"""),"")</f>
        <v/>
      </c>
    </row>
    <row r="18341" spans="2:4" ht="13">
      <c r="B18341" s="12" t="str">
        <f ca="1">IFERROR(__xludf.DUMMYFUNCTION("""COMPUTED_VALUE"""),"")</f>
        <v/>
      </c>
      <c r="C18341" s="12" t="str">
        <f ca="1">IFERROR(__xludf.DUMMYFUNCTION("""COMPUTED_VALUE"""),"")</f>
        <v/>
      </c>
      <c r="D18341" s="12" t="str">
        <f ca="1">IFERROR(__xludf.DUMMYFUNCTION("""COMPUTED_VALUE"""),"")</f>
        <v/>
      </c>
    </row>
    <row r="18342" spans="2:4" ht="13">
      <c r="B18342" s="12" t="str">
        <f ca="1">IFERROR(__xludf.DUMMYFUNCTION("""COMPUTED_VALUE"""),"")</f>
        <v/>
      </c>
      <c r="C18342" s="12" t="str">
        <f ca="1">IFERROR(__xludf.DUMMYFUNCTION("""COMPUTED_VALUE"""),"")</f>
        <v/>
      </c>
      <c r="D18342" s="12" t="str">
        <f ca="1">IFERROR(__xludf.DUMMYFUNCTION("""COMPUTED_VALUE"""),"")</f>
        <v/>
      </c>
    </row>
    <row r="18343" spans="2:4" ht="13">
      <c r="B18343" s="12" t="str">
        <f ca="1">IFERROR(__xludf.DUMMYFUNCTION("""COMPUTED_VALUE"""),"")</f>
        <v/>
      </c>
      <c r="C18343" s="12" t="str">
        <f ca="1">IFERROR(__xludf.DUMMYFUNCTION("""COMPUTED_VALUE"""),"")</f>
        <v/>
      </c>
      <c r="D18343" s="12" t="str">
        <f ca="1">IFERROR(__xludf.DUMMYFUNCTION("""COMPUTED_VALUE"""),"")</f>
        <v/>
      </c>
    </row>
    <row r="18344" spans="2:4" ht="13">
      <c r="B18344" s="12" t="str">
        <f ca="1">IFERROR(__xludf.DUMMYFUNCTION("""COMPUTED_VALUE"""),"")</f>
        <v/>
      </c>
      <c r="C18344" s="12" t="str">
        <f ca="1">IFERROR(__xludf.DUMMYFUNCTION("""COMPUTED_VALUE"""),"")</f>
        <v/>
      </c>
      <c r="D18344" s="12" t="str">
        <f ca="1">IFERROR(__xludf.DUMMYFUNCTION("""COMPUTED_VALUE"""),"")</f>
        <v/>
      </c>
    </row>
    <row r="18345" spans="2:4" ht="13">
      <c r="B18345" s="12" t="str">
        <f ca="1">IFERROR(__xludf.DUMMYFUNCTION("""COMPUTED_VALUE"""),"")</f>
        <v/>
      </c>
      <c r="C18345" s="12" t="str">
        <f ca="1">IFERROR(__xludf.DUMMYFUNCTION("""COMPUTED_VALUE"""),"")</f>
        <v/>
      </c>
      <c r="D18345" s="12" t="str">
        <f ca="1">IFERROR(__xludf.DUMMYFUNCTION("""COMPUTED_VALUE"""),"")</f>
        <v/>
      </c>
    </row>
    <row r="18346" spans="2:4" ht="13">
      <c r="B18346" s="12" t="str">
        <f ca="1">IFERROR(__xludf.DUMMYFUNCTION("""COMPUTED_VALUE"""),"")</f>
        <v/>
      </c>
      <c r="C18346" s="12" t="str">
        <f ca="1">IFERROR(__xludf.DUMMYFUNCTION("""COMPUTED_VALUE"""),"")</f>
        <v/>
      </c>
      <c r="D18346" s="12" t="str">
        <f ca="1">IFERROR(__xludf.DUMMYFUNCTION("""COMPUTED_VALUE"""),"")</f>
        <v/>
      </c>
    </row>
    <row r="18347" spans="2:4" ht="13">
      <c r="B18347" s="12" t="str">
        <f ca="1">IFERROR(__xludf.DUMMYFUNCTION("""COMPUTED_VALUE"""),"")</f>
        <v/>
      </c>
      <c r="C18347" s="12" t="str">
        <f ca="1">IFERROR(__xludf.DUMMYFUNCTION("""COMPUTED_VALUE"""),"")</f>
        <v/>
      </c>
      <c r="D18347" s="12" t="str">
        <f ca="1">IFERROR(__xludf.DUMMYFUNCTION("""COMPUTED_VALUE"""),"")</f>
        <v/>
      </c>
    </row>
    <row r="18348" spans="2:4" ht="13">
      <c r="B18348" s="12" t="str">
        <f ca="1">IFERROR(__xludf.DUMMYFUNCTION("""COMPUTED_VALUE"""),"")</f>
        <v/>
      </c>
      <c r="C18348" s="12" t="str">
        <f ca="1">IFERROR(__xludf.DUMMYFUNCTION("""COMPUTED_VALUE"""),"")</f>
        <v/>
      </c>
      <c r="D18348" s="12" t="str">
        <f ca="1">IFERROR(__xludf.DUMMYFUNCTION("""COMPUTED_VALUE"""),"")</f>
        <v/>
      </c>
    </row>
    <row r="18349" spans="2:4" ht="13">
      <c r="B18349" s="12" t="str">
        <f ca="1">IFERROR(__xludf.DUMMYFUNCTION("""COMPUTED_VALUE"""),"")</f>
        <v/>
      </c>
      <c r="C18349" s="12" t="str">
        <f ca="1">IFERROR(__xludf.DUMMYFUNCTION("""COMPUTED_VALUE"""),"")</f>
        <v/>
      </c>
      <c r="D18349" s="12" t="str">
        <f ca="1">IFERROR(__xludf.DUMMYFUNCTION("""COMPUTED_VALUE"""),"")</f>
        <v/>
      </c>
    </row>
    <row r="18350" spans="2:4" ht="13">
      <c r="B18350" s="12" t="str">
        <f ca="1">IFERROR(__xludf.DUMMYFUNCTION("""COMPUTED_VALUE"""),"")</f>
        <v/>
      </c>
      <c r="C18350" s="12" t="str">
        <f ca="1">IFERROR(__xludf.DUMMYFUNCTION("""COMPUTED_VALUE"""),"")</f>
        <v/>
      </c>
      <c r="D18350" s="12" t="str">
        <f ca="1">IFERROR(__xludf.DUMMYFUNCTION("""COMPUTED_VALUE"""),"")</f>
        <v/>
      </c>
    </row>
    <row r="18351" spans="2:4" ht="13">
      <c r="B18351" s="12" t="str">
        <f ca="1">IFERROR(__xludf.DUMMYFUNCTION("""COMPUTED_VALUE"""),"")</f>
        <v/>
      </c>
      <c r="C18351" s="12" t="str">
        <f ca="1">IFERROR(__xludf.DUMMYFUNCTION("""COMPUTED_VALUE"""),"")</f>
        <v/>
      </c>
      <c r="D18351" s="12" t="str">
        <f ca="1">IFERROR(__xludf.DUMMYFUNCTION("""COMPUTED_VALUE"""),"")</f>
        <v/>
      </c>
    </row>
    <row r="18352" spans="2:4" ht="13">
      <c r="B18352" s="12" t="str">
        <f ca="1">IFERROR(__xludf.DUMMYFUNCTION("""COMPUTED_VALUE"""),"")</f>
        <v/>
      </c>
      <c r="C18352" s="12" t="str">
        <f ca="1">IFERROR(__xludf.DUMMYFUNCTION("""COMPUTED_VALUE"""),"")</f>
        <v/>
      </c>
      <c r="D18352" s="12" t="str">
        <f ca="1">IFERROR(__xludf.DUMMYFUNCTION("""COMPUTED_VALUE"""),"")</f>
        <v/>
      </c>
    </row>
    <row r="18353" spans="2:4" ht="13">
      <c r="B18353" s="12" t="str">
        <f ca="1">IFERROR(__xludf.DUMMYFUNCTION("""COMPUTED_VALUE"""),"")</f>
        <v/>
      </c>
      <c r="C18353" s="12" t="str">
        <f ca="1">IFERROR(__xludf.DUMMYFUNCTION("""COMPUTED_VALUE"""),"")</f>
        <v/>
      </c>
      <c r="D18353" s="12" t="str">
        <f ca="1">IFERROR(__xludf.DUMMYFUNCTION("""COMPUTED_VALUE"""),"")</f>
        <v/>
      </c>
    </row>
    <row r="18354" spans="2:4" ht="13">
      <c r="B18354" s="12" t="str">
        <f ca="1">IFERROR(__xludf.DUMMYFUNCTION("""COMPUTED_VALUE"""),"")</f>
        <v/>
      </c>
      <c r="C18354" s="12" t="str">
        <f ca="1">IFERROR(__xludf.DUMMYFUNCTION("""COMPUTED_VALUE"""),"")</f>
        <v/>
      </c>
      <c r="D18354" s="12" t="str">
        <f ca="1">IFERROR(__xludf.DUMMYFUNCTION("""COMPUTED_VALUE"""),"")</f>
        <v/>
      </c>
    </row>
    <row r="18355" spans="2:4" ht="13">
      <c r="B18355" s="12" t="str">
        <f ca="1">IFERROR(__xludf.DUMMYFUNCTION("""COMPUTED_VALUE"""),"")</f>
        <v/>
      </c>
      <c r="C18355" s="12" t="str">
        <f ca="1">IFERROR(__xludf.DUMMYFUNCTION("""COMPUTED_VALUE"""),"")</f>
        <v/>
      </c>
      <c r="D18355" s="12" t="str">
        <f ca="1">IFERROR(__xludf.DUMMYFUNCTION("""COMPUTED_VALUE"""),"")</f>
        <v/>
      </c>
    </row>
    <row r="18356" spans="2:4" ht="13">
      <c r="B18356" s="12" t="str">
        <f ca="1">IFERROR(__xludf.DUMMYFUNCTION("""COMPUTED_VALUE"""),"")</f>
        <v/>
      </c>
      <c r="C18356" s="12" t="str">
        <f ca="1">IFERROR(__xludf.DUMMYFUNCTION("""COMPUTED_VALUE"""),"")</f>
        <v/>
      </c>
      <c r="D18356" s="12" t="str">
        <f ca="1">IFERROR(__xludf.DUMMYFUNCTION("""COMPUTED_VALUE"""),"")</f>
        <v/>
      </c>
    </row>
    <row r="18357" spans="2:4" ht="13">
      <c r="B18357" s="12" t="str">
        <f ca="1">IFERROR(__xludf.DUMMYFUNCTION("""COMPUTED_VALUE"""),"")</f>
        <v/>
      </c>
      <c r="C18357" s="12" t="str">
        <f ca="1">IFERROR(__xludf.DUMMYFUNCTION("""COMPUTED_VALUE"""),"")</f>
        <v/>
      </c>
      <c r="D18357" s="12" t="str">
        <f ca="1">IFERROR(__xludf.DUMMYFUNCTION("""COMPUTED_VALUE"""),"")</f>
        <v/>
      </c>
    </row>
    <row r="18358" spans="2:4" ht="13">
      <c r="B18358" s="12" t="str">
        <f ca="1">IFERROR(__xludf.DUMMYFUNCTION("""COMPUTED_VALUE"""),"")</f>
        <v/>
      </c>
      <c r="C18358" s="12" t="str">
        <f ca="1">IFERROR(__xludf.DUMMYFUNCTION("""COMPUTED_VALUE"""),"")</f>
        <v/>
      </c>
      <c r="D18358" s="12" t="str">
        <f ca="1">IFERROR(__xludf.DUMMYFUNCTION("""COMPUTED_VALUE"""),"")</f>
        <v/>
      </c>
    </row>
    <row r="18359" spans="2:4" ht="13">
      <c r="B18359" s="12" t="str">
        <f ca="1">IFERROR(__xludf.DUMMYFUNCTION("""COMPUTED_VALUE"""),"")</f>
        <v/>
      </c>
      <c r="C18359" s="12" t="str">
        <f ca="1">IFERROR(__xludf.DUMMYFUNCTION("""COMPUTED_VALUE"""),"")</f>
        <v/>
      </c>
      <c r="D18359" s="12" t="str">
        <f ca="1">IFERROR(__xludf.DUMMYFUNCTION("""COMPUTED_VALUE"""),"")</f>
        <v/>
      </c>
    </row>
    <row r="18360" spans="2:4" ht="13">
      <c r="B18360" s="12" t="str">
        <f ca="1">IFERROR(__xludf.DUMMYFUNCTION("""COMPUTED_VALUE"""),"")</f>
        <v/>
      </c>
      <c r="C18360" s="12" t="str">
        <f ca="1">IFERROR(__xludf.DUMMYFUNCTION("""COMPUTED_VALUE"""),"")</f>
        <v/>
      </c>
      <c r="D18360" s="12" t="str">
        <f ca="1">IFERROR(__xludf.DUMMYFUNCTION("""COMPUTED_VALUE"""),"")</f>
        <v/>
      </c>
    </row>
    <row r="18361" spans="2:4" ht="13">
      <c r="B18361" s="12" t="str">
        <f ca="1">IFERROR(__xludf.DUMMYFUNCTION("""COMPUTED_VALUE"""),"")</f>
        <v/>
      </c>
      <c r="C18361" s="12" t="str">
        <f ca="1">IFERROR(__xludf.DUMMYFUNCTION("""COMPUTED_VALUE"""),"")</f>
        <v/>
      </c>
      <c r="D18361" s="12" t="str">
        <f ca="1">IFERROR(__xludf.DUMMYFUNCTION("""COMPUTED_VALUE"""),"")</f>
        <v/>
      </c>
    </row>
    <row r="18362" spans="2:4" ht="13">
      <c r="B18362" s="12" t="str">
        <f ca="1">IFERROR(__xludf.DUMMYFUNCTION("""COMPUTED_VALUE"""),"")</f>
        <v/>
      </c>
      <c r="C18362" s="12" t="str">
        <f ca="1">IFERROR(__xludf.DUMMYFUNCTION("""COMPUTED_VALUE"""),"")</f>
        <v/>
      </c>
      <c r="D18362" s="12" t="str">
        <f ca="1">IFERROR(__xludf.DUMMYFUNCTION("""COMPUTED_VALUE"""),"")</f>
        <v/>
      </c>
    </row>
    <row r="18363" spans="2:4" ht="13">
      <c r="B18363" s="12" t="str">
        <f ca="1">IFERROR(__xludf.DUMMYFUNCTION("""COMPUTED_VALUE"""),"")</f>
        <v/>
      </c>
      <c r="C18363" s="12" t="str">
        <f ca="1">IFERROR(__xludf.DUMMYFUNCTION("""COMPUTED_VALUE"""),"")</f>
        <v/>
      </c>
      <c r="D18363" s="12" t="str">
        <f ca="1">IFERROR(__xludf.DUMMYFUNCTION("""COMPUTED_VALUE"""),"")</f>
        <v/>
      </c>
    </row>
    <row r="18364" spans="2:4" ht="13">
      <c r="B18364" s="12" t="str">
        <f ca="1">IFERROR(__xludf.DUMMYFUNCTION("""COMPUTED_VALUE"""),"")</f>
        <v/>
      </c>
      <c r="C18364" s="12" t="str">
        <f ca="1">IFERROR(__xludf.DUMMYFUNCTION("""COMPUTED_VALUE"""),"")</f>
        <v/>
      </c>
      <c r="D18364" s="12" t="str">
        <f ca="1">IFERROR(__xludf.DUMMYFUNCTION("""COMPUTED_VALUE"""),"")</f>
        <v/>
      </c>
    </row>
    <row r="18365" spans="2:4" ht="13">
      <c r="B18365" s="12" t="str">
        <f ca="1">IFERROR(__xludf.DUMMYFUNCTION("""COMPUTED_VALUE"""),"")</f>
        <v/>
      </c>
      <c r="C18365" s="12" t="str">
        <f ca="1">IFERROR(__xludf.DUMMYFUNCTION("""COMPUTED_VALUE"""),"")</f>
        <v/>
      </c>
      <c r="D18365" s="12" t="str">
        <f ca="1">IFERROR(__xludf.DUMMYFUNCTION("""COMPUTED_VALUE"""),"")</f>
        <v/>
      </c>
    </row>
    <row r="18366" spans="2:4" ht="13">
      <c r="B18366" s="12" t="str">
        <f ca="1">IFERROR(__xludf.DUMMYFUNCTION("""COMPUTED_VALUE"""),"")</f>
        <v/>
      </c>
      <c r="C18366" s="12" t="str">
        <f ca="1">IFERROR(__xludf.DUMMYFUNCTION("""COMPUTED_VALUE"""),"")</f>
        <v/>
      </c>
      <c r="D18366" s="12" t="str">
        <f ca="1">IFERROR(__xludf.DUMMYFUNCTION("""COMPUTED_VALUE"""),"")</f>
        <v/>
      </c>
    </row>
    <row r="18367" spans="2:4" ht="13">
      <c r="B18367" s="12" t="str">
        <f ca="1">IFERROR(__xludf.DUMMYFUNCTION("""COMPUTED_VALUE"""),"")</f>
        <v/>
      </c>
      <c r="C18367" s="12" t="str">
        <f ca="1">IFERROR(__xludf.DUMMYFUNCTION("""COMPUTED_VALUE"""),"")</f>
        <v/>
      </c>
      <c r="D18367" s="12" t="str">
        <f ca="1">IFERROR(__xludf.DUMMYFUNCTION("""COMPUTED_VALUE"""),"")</f>
        <v/>
      </c>
    </row>
    <row r="18368" spans="2:4" ht="13">
      <c r="B18368" s="12" t="str">
        <f ca="1">IFERROR(__xludf.DUMMYFUNCTION("""COMPUTED_VALUE"""),"")</f>
        <v/>
      </c>
      <c r="C18368" s="12" t="str">
        <f ca="1">IFERROR(__xludf.DUMMYFUNCTION("""COMPUTED_VALUE"""),"")</f>
        <v/>
      </c>
      <c r="D18368" s="12" t="str">
        <f ca="1">IFERROR(__xludf.DUMMYFUNCTION("""COMPUTED_VALUE"""),"")</f>
        <v/>
      </c>
    </row>
    <row r="18369" spans="2:4" ht="13">
      <c r="B18369" s="12" t="str">
        <f ca="1">IFERROR(__xludf.DUMMYFUNCTION("""COMPUTED_VALUE"""),"")</f>
        <v/>
      </c>
      <c r="C18369" s="12" t="str">
        <f ca="1">IFERROR(__xludf.DUMMYFUNCTION("""COMPUTED_VALUE"""),"")</f>
        <v/>
      </c>
      <c r="D18369" s="12" t="str">
        <f ca="1">IFERROR(__xludf.DUMMYFUNCTION("""COMPUTED_VALUE"""),"")</f>
        <v/>
      </c>
    </row>
    <row r="18370" spans="2:4" ht="13">
      <c r="B18370" s="12" t="str">
        <f ca="1">IFERROR(__xludf.DUMMYFUNCTION("""COMPUTED_VALUE"""),"")</f>
        <v/>
      </c>
      <c r="C18370" s="12" t="str">
        <f ca="1">IFERROR(__xludf.DUMMYFUNCTION("""COMPUTED_VALUE"""),"")</f>
        <v/>
      </c>
      <c r="D18370" s="12" t="str">
        <f ca="1">IFERROR(__xludf.DUMMYFUNCTION("""COMPUTED_VALUE"""),"")</f>
        <v/>
      </c>
    </row>
    <row r="18371" spans="2:4" ht="13">
      <c r="B18371" s="12" t="str">
        <f ca="1">IFERROR(__xludf.DUMMYFUNCTION("""COMPUTED_VALUE"""),"")</f>
        <v/>
      </c>
      <c r="C18371" s="12" t="str">
        <f ca="1">IFERROR(__xludf.DUMMYFUNCTION("""COMPUTED_VALUE"""),"")</f>
        <v/>
      </c>
      <c r="D18371" s="12" t="str">
        <f ca="1">IFERROR(__xludf.DUMMYFUNCTION("""COMPUTED_VALUE"""),"")</f>
        <v/>
      </c>
    </row>
    <row r="18372" spans="2:4" ht="13">
      <c r="B18372" s="12" t="str">
        <f ca="1">IFERROR(__xludf.DUMMYFUNCTION("""COMPUTED_VALUE"""),"")</f>
        <v/>
      </c>
      <c r="C18372" s="12" t="str">
        <f ca="1">IFERROR(__xludf.DUMMYFUNCTION("""COMPUTED_VALUE"""),"")</f>
        <v/>
      </c>
      <c r="D18372" s="12" t="str">
        <f ca="1">IFERROR(__xludf.DUMMYFUNCTION("""COMPUTED_VALUE"""),"")</f>
        <v/>
      </c>
    </row>
    <row r="18373" spans="2:4" ht="13">
      <c r="B18373" s="12" t="str">
        <f ca="1">IFERROR(__xludf.DUMMYFUNCTION("""COMPUTED_VALUE"""),"")</f>
        <v/>
      </c>
      <c r="C18373" s="12" t="str">
        <f ca="1">IFERROR(__xludf.DUMMYFUNCTION("""COMPUTED_VALUE"""),"")</f>
        <v/>
      </c>
      <c r="D18373" s="12" t="str">
        <f ca="1">IFERROR(__xludf.DUMMYFUNCTION("""COMPUTED_VALUE"""),"")</f>
        <v/>
      </c>
    </row>
    <row r="18374" spans="2:4" ht="13">
      <c r="B18374" s="12" t="str">
        <f ca="1">IFERROR(__xludf.DUMMYFUNCTION("""COMPUTED_VALUE"""),"")</f>
        <v/>
      </c>
      <c r="C18374" s="12" t="str">
        <f ca="1">IFERROR(__xludf.DUMMYFUNCTION("""COMPUTED_VALUE"""),"")</f>
        <v/>
      </c>
      <c r="D18374" s="12" t="str">
        <f ca="1">IFERROR(__xludf.DUMMYFUNCTION("""COMPUTED_VALUE"""),"")</f>
        <v/>
      </c>
    </row>
    <row r="18375" spans="2:4" ht="13">
      <c r="B18375" s="12" t="str">
        <f ca="1">IFERROR(__xludf.DUMMYFUNCTION("""COMPUTED_VALUE"""),"")</f>
        <v/>
      </c>
      <c r="C18375" s="12" t="str">
        <f ca="1">IFERROR(__xludf.DUMMYFUNCTION("""COMPUTED_VALUE"""),"")</f>
        <v/>
      </c>
      <c r="D18375" s="12" t="str">
        <f ca="1">IFERROR(__xludf.DUMMYFUNCTION("""COMPUTED_VALUE"""),"")</f>
        <v/>
      </c>
    </row>
    <row r="18376" spans="2:4" ht="13">
      <c r="B18376" s="12" t="str">
        <f ca="1">IFERROR(__xludf.DUMMYFUNCTION("""COMPUTED_VALUE"""),"")</f>
        <v/>
      </c>
      <c r="C18376" s="12" t="str">
        <f ca="1">IFERROR(__xludf.DUMMYFUNCTION("""COMPUTED_VALUE"""),"")</f>
        <v/>
      </c>
      <c r="D18376" s="12" t="str">
        <f ca="1">IFERROR(__xludf.DUMMYFUNCTION("""COMPUTED_VALUE"""),"")</f>
        <v/>
      </c>
    </row>
    <row r="18377" spans="2:4" ht="13">
      <c r="B18377" s="12" t="str">
        <f ca="1">IFERROR(__xludf.DUMMYFUNCTION("""COMPUTED_VALUE"""),"")</f>
        <v/>
      </c>
      <c r="C18377" s="12" t="str">
        <f ca="1">IFERROR(__xludf.DUMMYFUNCTION("""COMPUTED_VALUE"""),"")</f>
        <v/>
      </c>
      <c r="D18377" s="12" t="str">
        <f ca="1">IFERROR(__xludf.DUMMYFUNCTION("""COMPUTED_VALUE"""),"")</f>
        <v/>
      </c>
    </row>
    <row r="18378" spans="2:4" ht="13">
      <c r="B18378" s="12" t="str">
        <f ca="1">IFERROR(__xludf.DUMMYFUNCTION("""COMPUTED_VALUE"""),"")</f>
        <v/>
      </c>
      <c r="C18378" s="12" t="str">
        <f ca="1">IFERROR(__xludf.DUMMYFUNCTION("""COMPUTED_VALUE"""),"")</f>
        <v/>
      </c>
      <c r="D18378" s="12" t="str">
        <f ca="1">IFERROR(__xludf.DUMMYFUNCTION("""COMPUTED_VALUE"""),"")</f>
        <v/>
      </c>
    </row>
    <row r="18379" spans="2:4" ht="13">
      <c r="B18379" s="12" t="str">
        <f ca="1">IFERROR(__xludf.DUMMYFUNCTION("""COMPUTED_VALUE"""),"")</f>
        <v/>
      </c>
      <c r="C18379" s="12" t="str">
        <f ca="1">IFERROR(__xludf.DUMMYFUNCTION("""COMPUTED_VALUE"""),"")</f>
        <v/>
      </c>
      <c r="D18379" s="12" t="str">
        <f ca="1">IFERROR(__xludf.DUMMYFUNCTION("""COMPUTED_VALUE"""),"")</f>
        <v/>
      </c>
    </row>
    <row r="18380" spans="2:4" ht="13">
      <c r="B18380" s="12" t="str">
        <f ca="1">IFERROR(__xludf.DUMMYFUNCTION("""COMPUTED_VALUE"""),"")</f>
        <v/>
      </c>
      <c r="C18380" s="12" t="str">
        <f ca="1">IFERROR(__xludf.DUMMYFUNCTION("""COMPUTED_VALUE"""),"")</f>
        <v/>
      </c>
      <c r="D18380" s="12" t="str">
        <f ca="1">IFERROR(__xludf.DUMMYFUNCTION("""COMPUTED_VALUE"""),"")</f>
        <v/>
      </c>
    </row>
    <row r="18381" spans="2:4" ht="13">
      <c r="B18381" s="12" t="str">
        <f ca="1">IFERROR(__xludf.DUMMYFUNCTION("""COMPUTED_VALUE"""),"")</f>
        <v/>
      </c>
      <c r="C18381" s="12" t="str">
        <f ca="1">IFERROR(__xludf.DUMMYFUNCTION("""COMPUTED_VALUE"""),"")</f>
        <v/>
      </c>
      <c r="D18381" s="12" t="str">
        <f ca="1">IFERROR(__xludf.DUMMYFUNCTION("""COMPUTED_VALUE"""),"")</f>
        <v/>
      </c>
    </row>
    <row r="18382" spans="2:4" ht="13">
      <c r="B18382" s="12" t="str">
        <f ca="1">IFERROR(__xludf.DUMMYFUNCTION("""COMPUTED_VALUE"""),"")</f>
        <v/>
      </c>
      <c r="C18382" s="12" t="str">
        <f ca="1">IFERROR(__xludf.DUMMYFUNCTION("""COMPUTED_VALUE"""),"")</f>
        <v/>
      </c>
      <c r="D18382" s="12" t="str">
        <f ca="1">IFERROR(__xludf.DUMMYFUNCTION("""COMPUTED_VALUE"""),"")</f>
        <v/>
      </c>
    </row>
    <row r="18383" spans="2:4" ht="13">
      <c r="B18383" s="12" t="str">
        <f ca="1">IFERROR(__xludf.DUMMYFUNCTION("""COMPUTED_VALUE"""),"")</f>
        <v/>
      </c>
      <c r="C18383" s="12" t="str">
        <f ca="1">IFERROR(__xludf.DUMMYFUNCTION("""COMPUTED_VALUE"""),"")</f>
        <v/>
      </c>
      <c r="D18383" s="12" t="str">
        <f ca="1">IFERROR(__xludf.DUMMYFUNCTION("""COMPUTED_VALUE"""),"")</f>
        <v/>
      </c>
    </row>
    <row r="18384" spans="2:4" ht="13">
      <c r="B18384" s="12" t="str">
        <f ca="1">IFERROR(__xludf.DUMMYFUNCTION("""COMPUTED_VALUE"""),"")</f>
        <v/>
      </c>
      <c r="C18384" s="12" t="str">
        <f ca="1">IFERROR(__xludf.DUMMYFUNCTION("""COMPUTED_VALUE"""),"")</f>
        <v/>
      </c>
      <c r="D18384" s="12" t="str">
        <f ca="1">IFERROR(__xludf.DUMMYFUNCTION("""COMPUTED_VALUE"""),"")</f>
        <v/>
      </c>
    </row>
    <row r="18385" spans="2:4" ht="13">
      <c r="B18385" s="12" t="str">
        <f ca="1">IFERROR(__xludf.DUMMYFUNCTION("""COMPUTED_VALUE"""),"")</f>
        <v/>
      </c>
      <c r="C18385" s="12" t="str">
        <f ca="1">IFERROR(__xludf.DUMMYFUNCTION("""COMPUTED_VALUE"""),"")</f>
        <v/>
      </c>
      <c r="D18385" s="12" t="str">
        <f ca="1">IFERROR(__xludf.DUMMYFUNCTION("""COMPUTED_VALUE"""),"")</f>
        <v/>
      </c>
    </row>
    <row r="18386" spans="2:4" ht="13">
      <c r="B18386" s="12" t="str">
        <f ca="1">IFERROR(__xludf.DUMMYFUNCTION("""COMPUTED_VALUE"""),"")</f>
        <v/>
      </c>
      <c r="C18386" s="12" t="str">
        <f ca="1">IFERROR(__xludf.DUMMYFUNCTION("""COMPUTED_VALUE"""),"")</f>
        <v/>
      </c>
      <c r="D18386" s="12" t="str">
        <f ca="1">IFERROR(__xludf.DUMMYFUNCTION("""COMPUTED_VALUE"""),"")</f>
        <v/>
      </c>
    </row>
    <row r="18387" spans="2:4" ht="13">
      <c r="B18387" s="12" t="str">
        <f ca="1">IFERROR(__xludf.DUMMYFUNCTION("""COMPUTED_VALUE"""),"")</f>
        <v/>
      </c>
      <c r="C18387" s="12" t="str">
        <f ca="1">IFERROR(__xludf.DUMMYFUNCTION("""COMPUTED_VALUE"""),"")</f>
        <v/>
      </c>
      <c r="D18387" s="12" t="str">
        <f ca="1">IFERROR(__xludf.DUMMYFUNCTION("""COMPUTED_VALUE"""),"")</f>
        <v/>
      </c>
    </row>
    <row r="18388" spans="2:4" ht="13">
      <c r="B18388" s="12" t="str">
        <f ca="1">IFERROR(__xludf.DUMMYFUNCTION("""COMPUTED_VALUE"""),"")</f>
        <v/>
      </c>
      <c r="C18388" s="12" t="str">
        <f ca="1">IFERROR(__xludf.DUMMYFUNCTION("""COMPUTED_VALUE"""),"")</f>
        <v/>
      </c>
      <c r="D18388" s="12" t="str">
        <f ca="1">IFERROR(__xludf.DUMMYFUNCTION("""COMPUTED_VALUE"""),"")</f>
        <v/>
      </c>
    </row>
    <row r="18389" spans="2:4" ht="13">
      <c r="B18389" s="12" t="str">
        <f ca="1">IFERROR(__xludf.DUMMYFUNCTION("""COMPUTED_VALUE"""),"")</f>
        <v/>
      </c>
      <c r="C18389" s="12" t="str">
        <f ca="1">IFERROR(__xludf.DUMMYFUNCTION("""COMPUTED_VALUE"""),"")</f>
        <v/>
      </c>
      <c r="D18389" s="12" t="str">
        <f ca="1">IFERROR(__xludf.DUMMYFUNCTION("""COMPUTED_VALUE"""),"")</f>
        <v/>
      </c>
    </row>
    <row r="18390" spans="2:4" ht="13">
      <c r="B18390" s="12" t="str">
        <f ca="1">IFERROR(__xludf.DUMMYFUNCTION("""COMPUTED_VALUE"""),"")</f>
        <v/>
      </c>
      <c r="C18390" s="12" t="str">
        <f ca="1">IFERROR(__xludf.DUMMYFUNCTION("""COMPUTED_VALUE"""),"")</f>
        <v/>
      </c>
      <c r="D18390" s="12" t="str">
        <f ca="1">IFERROR(__xludf.DUMMYFUNCTION("""COMPUTED_VALUE"""),"")</f>
        <v/>
      </c>
    </row>
    <row r="18391" spans="2:4" ht="13">
      <c r="B18391" s="12" t="str">
        <f ca="1">IFERROR(__xludf.DUMMYFUNCTION("""COMPUTED_VALUE"""),"")</f>
        <v/>
      </c>
      <c r="C18391" s="12" t="str">
        <f ca="1">IFERROR(__xludf.DUMMYFUNCTION("""COMPUTED_VALUE"""),"")</f>
        <v/>
      </c>
      <c r="D18391" s="12" t="str">
        <f ca="1">IFERROR(__xludf.DUMMYFUNCTION("""COMPUTED_VALUE"""),"")</f>
        <v/>
      </c>
    </row>
    <row r="18392" spans="2:4" ht="13">
      <c r="B18392" s="12" t="str">
        <f ca="1">IFERROR(__xludf.DUMMYFUNCTION("""COMPUTED_VALUE"""),"")</f>
        <v/>
      </c>
      <c r="C18392" s="12" t="str">
        <f ca="1">IFERROR(__xludf.DUMMYFUNCTION("""COMPUTED_VALUE"""),"")</f>
        <v/>
      </c>
      <c r="D18392" s="12" t="str">
        <f ca="1">IFERROR(__xludf.DUMMYFUNCTION("""COMPUTED_VALUE"""),"")</f>
        <v/>
      </c>
    </row>
    <row r="18393" spans="2:4" ht="13">
      <c r="B18393" s="12" t="str">
        <f ca="1">IFERROR(__xludf.DUMMYFUNCTION("""COMPUTED_VALUE"""),"")</f>
        <v/>
      </c>
      <c r="C18393" s="12" t="str">
        <f ca="1">IFERROR(__xludf.DUMMYFUNCTION("""COMPUTED_VALUE"""),"")</f>
        <v/>
      </c>
      <c r="D18393" s="12" t="str">
        <f ca="1">IFERROR(__xludf.DUMMYFUNCTION("""COMPUTED_VALUE"""),"")</f>
        <v/>
      </c>
    </row>
    <row r="18394" spans="2:4" ht="13">
      <c r="B18394" s="12" t="str">
        <f ca="1">IFERROR(__xludf.DUMMYFUNCTION("""COMPUTED_VALUE"""),"")</f>
        <v/>
      </c>
      <c r="C18394" s="12" t="str">
        <f ca="1">IFERROR(__xludf.DUMMYFUNCTION("""COMPUTED_VALUE"""),"")</f>
        <v/>
      </c>
      <c r="D18394" s="12" t="str">
        <f ca="1">IFERROR(__xludf.DUMMYFUNCTION("""COMPUTED_VALUE"""),"")</f>
        <v/>
      </c>
    </row>
    <row r="18395" spans="2:4" ht="13">
      <c r="B18395" s="12" t="str">
        <f ca="1">IFERROR(__xludf.DUMMYFUNCTION("""COMPUTED_VALUE"""),"")</f>
        <v/>
      </c>
      <c r="C18395" s="12" t="str">
        <f ca="1">IFERROR(__xludf.DUMMYFUNCTION("""COMPUTED_VALUE"""),"")</f>
        <v/>
      </c>
      <c r="D18395" s="12" t="str">
        <f ca="1">IFERROR(__xludf.DUMMYFUNCTION("""COMPUTED_VALUE"""),"")</f>
        <v/>
      </c>
    </row>
    <row r="18396" spans="2:4" ht="13">
      <c r="B18396" s="12" t="str">
        <f ca="1">IFERROR(__xludf.DUMMYFUNCTION("""COMPUTED_VALUE"""),"")</f>
        <v/>
      </c>
      <c r="C18396" s="12" t="str">
        <f ca="1">IFERROR(__xludf.DUMMYFUNCTION("""COMPUTED_VALUE"""),"")</f>
        <v/>
      </c>
      <c r="D18396" s="12" t="str">
        <f ca="1">IFERROR(__xludf.DUMMYFUNCTION("""COMPUTED_VALUE"""),"")</f>
        <v/>
      </c>
    </row>
    <row r="18397" spans="2:4" ht="13">
      <c r="B18397" s="12" t="str">
        <f ca="1">IFERROR(__xludf.DUMMYFUNCTION("""COMPUTED_VALUE"""),"")</f>
        <v/>
      </c>
      <c r="C18397" s="12" t="str">
        <f ca="1">IFERROR(__xludf.DUMMYFUNCTION("""COMPUTED_VALUE"""),"")</f>
        <v/>
      </c>
      <c r="D18397" s="12" t="str">
        <f ca="1">IFERROR(__xludf.DUMMYFUNCTION("""COMPUTED_VALUE"""),"")</f>
        <v/>
      </c>
    </row>
    <row r="18398" spans="2:4" ht="13">
      <c r="B18398" s="12" t="str">
        <f ca="1">IFERROR(__xludf.DUMMYFUNCTION("""COMPUTED_VALUE"""),"")</f>
        <v/>
      </c>
      <c r="C18398" s="12" t="str">
        <f ca="1">IFERROR(__xludf.DUMMYFUNCTION("""COMPUTED_VALUE"""),"")</f>
        <v/>
      </c>
      <c r="D18398" s="12" t="str">
        <f ca="1">IFERROR(__xludf.DUMMYFUNCTION("""COMPUTED_VALUE"""),"")</f>
        <v/>
      </c>
    </row>
    <row r="18399" spans="2:4" ht="13">
      <c r="B18399" s="12" t="str">
        <f ca="1">IFERROR(__xludf.DUMMYFUNCTION("""COMPUTED_VALUE"""),"")</f>
        <v/>
      </c>
      <c r="C18399" s="12" t="str">
        <f ca="1">IFERROR(__xludf.DUMMYFUNCTION("""COMPUTED_VALUE"""),"")</f>
        <v/>
      </c>
      <c r="D18399" s="12" t="str">
        <f ca="1">IFERROR(__xludf.DUMMYFUNCTION("""COMPUTED_VALUE"""),"")</f>
        <v/>
      </c>
    </row>
    <row r="18400" spans="2:4" ht="13">
      <c r="B18400" s="12" t="str">
        <f ca="1">IFERROR(__xludf.DUMMYFUNCTION("""COMPUTED_VALUE"""),"")</f>
        <v/>
      </c>
      <c r="C18400" s="12" t="str">
        <f ca="1">IFERROR(__xludf.DUMMYFUNCTION("""COMPUTED_VALUE"""),"")</f>
        <v/>
      </c>
      <c r="D18400" s="12" t="str">
        <f ca="1">IFERROR(__xludf.DUMMYFUNCTION("""COMPUTED_VALUE"""),"")</f>
        <v/>
      </c>
    </row>
    <row r="18401" spans="2:4" ht="13">
      <c r="B18401" s="12" t="str">
        <f ca="1">IFERROR(__xludf.DUMMYFUNCTION("""COMPUTED_VALUE"""),"")</f>
        <v/>
      </c>
      <c r="C18401" s="12" t="str">
        <f ca="1">IFERROR(__xludf.DUMMYFUNCTION("""COMPUTED_VALUE"""),"")</f>
        <v/>
      </c>
      <c r="D18401" s="12" t="str">
        <f ca="1">IFERROR(__xludf.DUMMYFUNCTION("""COMPUTED_VALUE"""),"")</f>
        <v/>
      </c>
    </row>
    <row r="18402" spans="2:4" ht="13">
      <c r="B18402" s="12" t="str">
        <f ca="1">IFERROR(__xludf.DUMMYFUNCTION("""COMPUTED_VALUE"""),"")</f>
        <v/>
      </c>
      <c r="C18402" s="12" t="str">
        <f ca="1">IFERROR(__xludf.DUMMYFUNCTION("""COMPUTED_VALUE"""),"")</f>
        <v/>
      </c>
      <c r="D18402" s="12" t="str">
        <f ca="1">IFERROR(__xludf.DUMMYFUNCTION("""COMPUTED_VALUE"""),"")</f>
        <v/>
      </c>
    </row>
    <row r="18403" spans="2:4" ht="13">
      <c r="B18403" s="12" t="str">
        <f ca="1">IFERROR(__xludf.DUMMYFUNCTION("""COMPUTED_VALUE"""),"")</f>
        <v/>
      </c>
      <c r="C18403" s="12" t="str">
        <f ca="1">IFERROR(__xludf.DUMMYFUNCTION("""COMPUTED_VALUE"""),"")</f>
        <v/>
      </c>
      <c r="D18403" s="12" t="str">
        <f ca="1">IFERROR(__xludf.DUMMYFUNCTION("""COMPUTED_VALUE"""),"")</f>
        <v/>
      </c>
    </row>
    <row r="18404" spans="2:4" ht="13">
      <c r="B18404" s="12" t="str">
        <f ca="1">IFERROR(__xludf.DUMMYFUNCTION("""COMPUTED_VALUE"""),"")</f>
        <v/>
      </c>
      <c r="C18404" s="12" t="str">
        <f ca="1">IFERROR(__xludf.DUMMYFUNCTION("""COMPUTED_VALUE"""),"")</f>
        <v/>
      </c>
      <c r="D18404" s="12" t="str">
        <f ca="1">IFERROR(__xludf.DUMMYFUNCTION("""COMPUTED_VALUE"""),"")</f>
        <v/>
      </c>
    </row>
    <row r="18405" spans="2:4" ht="13">
      <c r="B18405" s="12" t="str">
        <f ca="1">IFERROR(__xludf.DUMMYFUNCTION("""COMPUTED_VALUE"""),"")</f>
        <v/>
      </c>
      <c r="C18405" s="12" t="str">
        <f ca="1">IFERROR(__xludf.DUMMYFUNCTION("""COMPUTED_VALUE"""),"")</f>
        <v/>
      </c>
      <c r="D18405" s="12" t="str">
        <f ca="1">IFERROR(__xludf.DUMMYFUNCTION("""COMPUTED_VALUE"""),"")</f>
        <v/>
      </c>
    </row>
    <row r="18406" spans="2:4" ht="13">
      <c r="B18406" s="12" t="str">
        <f ca="1">IFERROR(__xludf.DUMMYFUNCTION("""COMPUTED_VALUE"""),"")</f>
        <v/>
      </c>
      <c r="C18406" s="12" t="str">
        <f ca="1">IFERROR(__xludf.DUMMYFUNCTION("""COMPUTED_VALUE"""),"")</f>
        <v/>
      </c>
      <c r="D18406" s="12" t="str">
        <f ca="1">IFERROR(__xludf.DUMMYFUNCTION("""COMPUTED_VALUE"""),"")</f>
        <v/>
      </c>
    </row>
    <row r="18407" spans="2:4" ht="13">
      <c r="B18407" s="12" t="str">
        <f ca="1">IFERROR(__xludf.DUMMYFUNCTION("""COMPUTED_VALUE"""),"")</f>
        <v/>
      </c>
      <c r="C18407" s="12" t="str">
        <f ca="1">IFERROR(__xludf.DUMMYFUNCTION("""COMPUTED_VALUE"""),"")</f>
        <v/>
      </c>
      <c r="D18407" s="12" t="str">
        <f ca="1">IFERROR(__xludf.DUMMYFUNCTION("""COMPUTED_VALUE"""),"")</f>
        <v/>
      </c>
    </row>
    <row r="18408" spans="2:4" ht="13">
      <c r="B18408" s="12" t="str">
        <f ca="1">IFERROR(__xludf.DUMMYFUNCTION("""COMPUTED_VALUE"""),"")</f>
        <v/>
      </c>
      <c r="C18408" s="12" t="str">
        <f ca="1">IFERROR(__xludf.DUMMYFUNCTION("""COMPUTED_VALUE"""),"")</f>
        <v/>
      </c>
      <c r="D18408" s="12" t="str">
        <f ca="1">IFERROR(__xludf.DUMMYFUNCTION("""COMPUTED_VALUE"""),"")</f>
        <v/>
      </c>
    </row>
    <row r="18409" spans="2:4" ht="13">
      <c r="B18409" s="12" t="str">
        <f ca="1">IFERROR(__xludf.DUMMYFUNCTION("""COMPUTED_VALUE"""),"")</f>
        <v/>
      </c>
      <c r="C18409" s="12" t="str">
        <f ca="1">IFERROR(__xludf.DUMMYFUNCTION("""COMPUTED_VALUE"""),"")</f>
        <v/>
      </c>
      <c r="D18409" s="12" t="str">
        <f ca="1">IFERROR(__xludf.DUMMYFUNCTION("""COMPUTED_VALUE"""),"")</f>
        <v/>
      </c>
    </row>
    <row r="18410" spans="2:4" ht="13">
      <c r="B18410" s="12" t="str">
        <f ca="1">IFERROR(__xludf.DUMMYFUNCTION("""COMPUTED_VALUE"""),"")</f>
        <v/>
      </c>
      <c r="C18410" s="12" t="str">
        <f ca="1">IFERROR(__xludf.DUMMYFUNCTION("""COMPUTED_VALUE"""),"")</f>
        <v/>
      </c>
      <c r="D18410" s="12" t="str">
        <f ca="1">IFERROR(__xludf.DUMMYFUNCTION("""COMPUTED_VALUE"""),"")</f>
        <v/>
      </c>
    </row>
    <row r="18411" spans="2:4" ht="13">
      <c r="B18411" s="12" t="str">
        <f ca="1">IFERROR(__xludf.DUMMYFUNCTION("""COMPUTED_VALUE"""),"")</f>
        <v/>
      </c>
      <c r="C18411" s="12" t="str">
        <f ca="1">IFERROR(__xludf.DUMMYFUNCTION("""COMPUTED_VALUE"""),"")</f>
        <v/>
      </c>
      <c r="D18411" s="12" t="str">
        <f ca="1">IFERROR(__xludf.DUMMYFUNCTION("""COMPUTED_VALUE"""),"")</f>
        <v/>
      </c>
    </row>
    <row r="18412" spans="2:4" ht="13">
      <c r="B18412" s="12" t="str">
        <f ca="1">IFERROR(__xludf.DUMMYFUNCTION("""COMPUTED_VALUE"""),"")</f>
        <v/>
      </c>
      <c r="C18412" s="12" t="str">
        <f ca="1">IFERROR(__xludf.DUMMYFUNCTION("""COMPUTED_VALUE"""),"")</f>
        <v/>
      </c>
      <c r="D18412" s="12" t="str">
        <f ca="1">IFERROR(__xludf.DUMMYFUNCTION("""COMPUTED_VALUE"""),"")</f>
        <v/>
      </c>
    </row>
    <row r="18413" spans="2:4" ht="13">
      <c r="B18413" s="12" t="str">
        <f ca="1">IFERROR(__xludf.DUMMYFUNCTION("""COMPUTED_VALUE"""),"")</f>
        <v/>
      </c>
      <c r="C18413" s="12" t="str">
        <f ca="1">IFERROR(__xludf.DUMMYFUNCTION("""COMPUTED_VALUE"""),"")</f>
        <v/>
      </c>
      <c r="D18413" s="12" t="str">
        <f ca="1">IFERROR(__xludf.DUMMYFUNCTION("""COMPUTED_VALUE"""),"")</f>
        <v/>
      </c>
    </row>
    <row r="18414" spans="2:4" ht="13">
      <c r="B18414" s="12" t="str">
        <f ca="1">IFERROR(__xludf.DUMMYFUNCTION("""COMPUTED_VALUE"""),"")</f>
        <v/>
      </c>
      <c r="C18414" s="12" t="str">
        <f ca="1">IFERROR(__xludf.DUMMYFUNCTION("""COMPUTED_VALUE"""),"")</f>
        <v/>
      </c>
      <c r="D18414" s="12" t="str">
        <f ca="1">IFERROR(__xludf.DUMMYFUNCTION("""COMPUTED_VALUE"""),"")</f>
        <v/>
      </c>
    </row>
    <row r="18415" spans="2:4" ht="13">
      <c r="B18415" s="12" t="str">
        <f ca="1">IFERROR(__xludf.DUMMYFUNCTION("""COMPUTED_VALUE"""),"")</f>
        <v/>
      </c>
      <c r="C18415" s="12" t="str">
        <f ca="1">IFERROR(__xludf.DUMMYFUNCTION("""COMPUTED_VALUE"""),"")</f>
        <v/>
      </c>
      <c r="D18415" s="12" t="str">
        <f ca="1">IFERROR(__xludf.DUMMYFUNCTION("""COMPUTED_VALUE"""),"")</f>
        <v/>
      </c>
    </row>
    <row r="18416" spans="2:4" ht="13">
      <c r="B18416" s="12" t="str">
        <f ca="1">IFERROR(__xludf.DUMMYFUNCTION("""COMPUTED_VALUE"""),"")</f>
        <v/>
      </c>
      <c r="C18416" s="12" t="str">
        <f ca="1">IFERROR(__xludf.DUMMYFUNCTION("""COMPUTED_VALUE"""),"")</f>
        <v/>
      </c>
      <c r="D18416" s="12" t="str">
        <f ca="1">IFERROR(__xludf.DUMMYFUNCTION("""COMPUTED_VALUE"""),"")</f>
        <v/>
      </c>
    </row>
    <row r="18417" spans="2:4" ht="13">
      <c r="B18417" s="12" t="str">
        <f ca="1">IFERROR(__xludf.DUMMYFUNCTION("""COMPUTED_VALUE"""),"")</f>
        <v/>
      </c>
      <c r="C18417" s="12" t="str">
        <f ca="1">IFERROR(__xludf.DUMMYFUNCTION("""COMPUTED_VALUE"""),"")</f>
        <v/>
      </c>
      <c r="D18417" s="12" t="str">
        <f ca="1">IFERROR(__xludf.DUMMYFUNCTION("""COMPUTED_VALUE"""),"")</f>
        <v/>
      </c>
    </row>
    <row r="18418" spans="2:4" ht="13">
      <c r="B18418" s="12" t="str">
        <f ca="1">IFERROR(__xludf.DUMMYFUNCTION("""COMPUTED_VALUE"""),"")</f>
        <v/>
      </c>
      <c r="C18418" s="12" t="str">
        <f ca="1">IFERROR(__xludf.DUMMYFUNCTION("""COMPUTED_VALUE"""),"")</f>
        <v/>
      </c>
      <c r="D18418" s="12" t="str">
        <f ca="1">IFERROR(__xludf.DUMMYFUNCTION("""COMPUTED_VALUE"""),"")</f>
        <v/>
      </c>
    </row>
    <row r="18419" spans="2:4" ht="13">
      <c r="B18419" s="12" t="str">
        <f ca="1">IFERROR(__xludf.DUMMYFUNCTION("""COMPUTED_VALUE"""),"")</f>
        <v/>
      </c>
      <c r="C18419" s="12" t="str">
        <f ca="1">IFERROR(__xludf.DUMMYFUNCTION("""COMPUTED_VALUE"""),"")</f>
        <v/>
      </c>
      <c r="D18419" s="12" t="str">
        <f ca="1">IFERROR(__xludf.DUMMYFUNCTION("""COMPUTED_VALUE"""),"")</f>
        <v/>
      </c>
    </row>
    <row r="18420" spans="2:4" ht="13">
      <c r="B18420" s="12" t="str">
        <f ca="1">IFERROR(__xludf.DUMMYFUNCTION("""COMPUTED_VALUE"""),"")</f>
        <v/>
      </c>
      <c r="C18420" s="12" t="str">
        <f ca="1">IFERROR(__xludf.DUMMYFUNCTION("""COMPUTED_VALUE"""),"")</f>
        <v/>
      </c>
      <c r="D18420" s="12" t="str">
        <f ca="1">IFERROR(__xludf.DUMMYFUNCTION("""COMPUTED_VALUE"""),"")</f>
        <v/>
      </c>
    </row>
    <row r="18421" spans="2:4" ht="13">
      <c r="B18421" s="12" t="str">
        <f ca="1">IFERROR(__xludf.DUMMYFUNCTION("""COMPUTED_VALUE"""),"")</f>
        <v/>
      </c>
      <c r="C18421" s="12" t="str">
        <f ca="1">IFERROR(__xludf.DUMMYFUNCTION("""COMPUTED_VALUE"""),"")</f>
        <v/>
      </c>
      <c r="D18421" s="12" t="str">
        <f ca="1">IFERROR(__xludf.DUMMYFUNCTION("""COMPUTED_VALUE"""),"")</f>
        <v/>
      </c>
    </row>
    <row r="18422" spans="2:4" ht="13">
      <c r="B18422" s="12" t="str">
        <f ca="1">IFERROR(__xludf.DUMMYFUNCTION("""COMPUTED_VALUE"""),"")</f>
        <v/>
      </c>
      <c r="C18422" s="12" t="str">
        <f ca="1">IFERROR(__xludf.DUMMYFUNCTION("""COMPUTED_VALUE"""),"")</f>
        <v/>
      </c>
      <c r="D18422" s="12" t="str">
        <f ca="1">IFERROR(__xludf.DUMMYFUNCTION("""COMPUTED_VALUE"""),"")</f>
        <v/>
      </c>
    </row>
    <row r="18423" spans="2:4" ht="13">
      <c r="B18423" s="12" t="str">
        <f ca="1">IFERROR(__xludf.DUMMYFUNCTION("""COMPUTED_VALUE"""),"")</f>
        <v/>
      </c>
      <c r="C18423" s="12" t="str">
        <f ca="1">IFERROR(__xludf.DUMMYFUNCTION("""COMPUTED_VALUE"""),"")</f>
        <v/>
      </c>
      <c r="D18423" s="12" t="str">
        <f ca="1">IFERROR(__xludf.DUMMYFUNCTION("""COMPUTED_VALUE"""),"")</f>
        <v/>
      </c>
    </row>
    <row r="18424" spans="2:4" ht="13">
      <c r="B18424" s="12" t="str">
        <f ca="1">IFERROR(__xludf.DUMMYFUNCTION("""COMPUTED_VALUE"""),"")</f>
        <v/>
      </c>
      <c r="C18424" s="12" t="str">
        <f ca="1">IFERROR(__xludf.DUMMYFUNCTION("""COMPUTED_VALUE"""),"")</f>
        <v/>
      </c>
      <c r="D18424" s="12" t="str">
        <f ca="1">IFERROR(__xludf.DUMMYFUNCTION("""COMPUTED_VALUE"""),"")</f>
        <v/>
      </c>
    </row>
    <row r="18425" spans="2:4" ht="13">
      <c r="B18425" s="12" t="str">
        <f ca="1">IFERROR(__xludf.DUMMYFUNCTION("""COMPUTED_VALUE"""),"")</f>
        <v/>
      </c>
      <c r="C18425" s="12" t="str">
        <f ca="1">IFERROR(__xludf.DUMMYFUNCTION("""COMPUTED_VALUE"""),"")</f>
        <v/>
      </c>
      <c r="D18425" s="12" t="str">
        <f ca="1">IFERROR(__xludf.DUMMYFUNCTION("""COMPUTED_VALUE"""),"")</f>
        <v/>
      </c>
    </row>
    <row r="18426" spans="2:4" ht="13">
      <c r="B18426" s="12" t="str">
        <f ca="1">IFERROR(__xludf.DUMMYFUNCTION("""COMPUTED_VALUE"""),"")</f>
        <v/>
      </c>
      <c r="C18426" s="12" t="str">
        <f ca="1">IFERROR(__xludf.DUMMYFUNCTION("""COMPUTED_VALUE"""),"")</f>
        <v/>
      </c>
      <c r="D18426" s="12" t="str">
        <f ca="1">IFERROR(__xludf.DUMMYFUNCTION("""COMPUTED_VALUE"""),"")</f>
        <v/>
      </c>
    </row>
    <row r="18427" spans="2:4" ht="13">
      <c r="B18427" s="12" t="str">
        <f ca="1">IFERROR(__xludf.DUMMYFUNCTION("""COMPUTED_VALUE"""),"")</f>
        <v/>
      </c>
      <c r="C18427" s="12" t="str">
        <f ca="1">IFERROR(__xludf.DUMMYFUNCTION("""COMPUTED_VALUE"""),"")</f>
        <v/>
      </c>
      <c r="D18427" s="12" t="str">
        <f ca="1">IFERROR(__xludf.DUMMYFUNCTION("""COMPUTED_VALUE"""),"")</f>
        <v/>
      </c>
    </row>
    <row r="18428" spans="2:4" ht="13">
      <c r="B18428" s="12" t="str">
        <f ca="1">IFERROR(__xludf.DUMMYFUNCTION("""COMPUTED_VALUE"""),"")</f>
        <v/>
      </c>
      <c r="C18428" s="12" t="str">
        <f ca="1">IFERROR(__xludf.DUMMYFUNCTION("""COMPUTED_VALUE"""),"")</f>
        <v/>
      </c>
      <c r="D18428" s="12" t="str">
        <f ca="1">IFERROR(__xludf.DUMMYFUNCTION("""COMPUTED_VALUE"""),"")</f>
        <v/>
      </c>
    </row>
    <row r="18429" spans="2:4" ht="13">
      <c r="B18429" s="12" t="str">
        <f ca="1">IFERROR(__xludf.DUMMYFUNCTION("""COMPUTED_VALUE"""),"")</f>
        <v/>
      </c>
      <c r="C18429" s="12" t="str">
        <f ca="1">IFERROR(__xludf.DUMMYFUNCTION("""COMPUTED_VALUE"""),"")</f>
        <v/>
      </c>
      <c r="D18429" s="12" t="str">
        <f ca="1">IFERROR(__xludf.DUMMYFUNCTION("""COMPUTED_VALUE"""),"")</f>
        <v/>
      </c>
    </row>
    <row r="18430" spans="2:4" ht="13">
      <c r="B18430" s="12" t="str">
        <f ca="1">IFERROR(__xludf.DUMMYFUNCTION("""COMPUTED_VALUE"""),"")</f>
        <v/>
      </c>
      <c r="C18430" s="12" t="str">
        <f ca="1">IFERROR(__xludf.DUMMYFUNCTION("""COMPUTED_VALUE"""),"")</f>
        <v/>
      </c>
      <c r="D18430" s="12" t="str">
        <f ca="1">IFERROR(__xludf.DUMMYFUNCTION("""COMPUTED_VALUE"""),"")</f>
        <v/>
      </c>
    </row>
    <row r="18431" spans="2:4" ht="13">
      <c r="B18431" s="12" t="str">
        <f ca="1">IFERROR(__xludf.DUMMYFUNCTION("""COMPUTED_VALUE"""),"")</f>
        <v/>
      </c>
      <c r="C18431" s="12" t="str">
        <f ca="1">IFERROR(__xludf.DUMMYFUNCTION("""COMPUTED_VALUE"""),"")</f>
        <v/>
      </c>
      <c r="D18431" s="12" t="str">
        <f ca="1">IFERROR(__xludf.DUMMYFUNCTION("""COMPUTED_VALUE"""),"")</f>
        <v/>
      </c>
    </row>
    <row r="18432" spans="2:4" ht="13">
      <c r="B18432" s="12" t="str">
        <f ca="1">IFERROR(__xludf.DUMMYFUNCTION("""COMPUTED_VALUE"""),"")</f>
        <v/>
      </c>
      <c r="C18432" s="12" t="str">
        <f ca="1">IFERROR(__xludf.DUMMYFUNCTION("""COMPUTED_VALUE"""),"")</f>
        <v/>
      </c>
      <c r="D18432" s="12" t="str">
        <f ca="1">IFERROR(__xludf.DUMMYFUNCTION("""COMPUTED_VALUE"""),"")</f>
        <v/>
      </c>
    </row>
    <row r="18433" spans="2:4" ht="13">
      <c r="B18433" s="12" t="str">
        <f ca="1">IFERROR(__xludf.DUMMYFUNCTION("""COMPUTED_VALUE"""),"")</f>
        <v/>
      </c>
      <c r="C18433" s="12" t="str">
        <f ca="1">IFERROR(__xludf.DUMMYFUNCTION("""COMPUTED_VALUE"""),"")</f>
        <v/>
      </c>
      <c r="D18433" s="12" t="str">
        <f ca="1">IFERROR(__xludf.DUMMYFUNCTION("""COMPUTED_VALUE"""),"")</f>
        <v/>
      </c>
    </row>
    <row r="18434" spans="2:4" ht="13">
      <c r="B18434" s="12" t="str">
        <f ca="1">IFERROR(__xludf.DUMMYFUNCTION("""COMPUTED_VALUE"""),"")</f>
        <v/>
      </c>
      <c r="C18434" s="12" t="str">
        <f ca="1">IFERROR(__xludf.DUMMYFUNCTION("""COMPUTED_VALUE"""),"")</f>
        <v/>
      </c>
      <c r="D18434" s="12" t="str">
        <f ca="1">IFERROR(__xludf.DUMMYFUNCTION("""COMPUTED_VALUE"""),"")</f>
        <v/>
      </c>
    </row>
    <row r="18435" spans="2:4" ht="13">
      <c r="B18435" s="12" t="str">
        <f ca="1">IFERROR(__xludf.DUMMYFUNCTION("""COMPUTED_VALUE"""),"")</f>
        <v/>
      </c>
      <c r="C18435" s="12" t="str">
        <f ca="1">IFERROR(__xludf.DUMMYFUNCTION("""COMPUTED_VALUE"""),"")</f>
        <v/>
      </c>
      <c r="D18435" s="12" t="str">
        <f ca="1">IFERROR(__xludf.DUMMYFUNCTION("""COMPUTED_VALUE"""),"")</f>
        <v/>
      </c>
    </row>
    <row r="18436" spans="2:4" ht="13">
      <c r="B18436" s="12" t="str">
        <f ca="1">IFERROR(__xludf.DUMMYFUNCTION("""COMPUTED_VALUE"""),"")</f>
        <v/>
      </c>
      <c r="C18436" s="12" t="str">
        <f ca="1">IFERROR(__xludf.DUMMYFUNCTION("""COMPUTED_VALUE"""),"")</f>
        <v/>
      </c>
      <c r="D18436" s="12" t="str">
        <f ca="1">IFERROR(__xludf.DUMMYFUNCTION("""COMPUTED_VALUE"""),"")</f>
        <v/>
      </c>
    </row>
    <row r="18437" spans="2:4" ht="13">
      <c r="B18437" s="12" t="str">
        <f ca="1">IFERROR(__xludf.DUMMYFUNCTION("""COMPUTED_VALUE"""),"")</f>
        <v/>
      </c>
      <c r="C18437" s="12" t="str">
        <f ca="1">IFERROR(__xludf.DUMMYFUNCTION("""COMPUTED_VALUE"""),"")</f>
        <v/>
      </c>
      <c r="D18437" s="12" t="str">
        <f ca="1">IFERROR(__xludf.DUMMYFUNCTION("""COMPUTED_VALUE"""),"")</f>
        <v/>
      </c>
    </row>
    <row r="18438" spans="2:4" ht="13">
      <c r="B18438" s="12" t="str">
        <f ca="1">IFERROR(__xludf.DUMMYFUNCTION("""COMPUTED_VALUE"""),"")</f>
        <v/>
      </c>
      <c r="C18438" s="12" t="str">
        <f ca="1">IFERROR(__xludf.DUMMYFUNCTION("""COMPUTED_VALUE"""),"")</f>
        <v/>
      </c>
      <c r="D18438" s="12" t="str">
        <f ca="1">IFERROR(__xludf.DUMMYFUNCTION("""COMPUTED_VALUE"""),"")</f>
        <v/>
      </c>
    </row>
    <row r="18439" spans="2:4" ht="13">
      <c r="B18439" s="12" t="str">
        <f ca="1">IFERROR(__xludf.DUMMYFUNCTION("""COMPUTED_VALUE"""),"")</f>
        <v/>
      </c>
      <c r="C18439" s="12" t="str">
        <f ca="1">IFERROR(__xludf.DUMMYFUNCTION("""COMPUTED_VALUE"""),"")</f>
        <v/>
      </c>
      <c r="D18439" s="12" t="str">
        <f ca="1">IFERROR(__xludf.DUMMYFUNCTION("""COMPUTED_VALUE"""),"")</f>
        <v/>
      </c>
    </row>
    <row r="18440" spans="2:4" ht="13">
      <c r="B18440" s="12" t="str">
        <f ca="1">IFERROR(__xludf.DUMMYFUNCTION("""COMPUTED_VALUE"""),"")</f>
        <v/>
      </c>
      <c r="C18440" s="12" t="str">
        <f ca="1">IFERROR(__xludf.DUMMYFUNCTION("""COMPUTED_VALUE"""),"")</f>
        <v/>
      </c>
      <c r="D18440" s="12" t="str">
        <f ca="1">IFERROR(__xludf.DUMMYFUNCTION("""COMPUTED_VALUE"""),"")</f>
        <v/>
      </c>
    </row>
    <row r="18441" spans="2:4" ht="13">
      <c r="B18441" s="12" t="str">
        <f ca="1">IFERROR(__xludf.DUMMYFUNCTION("""COMPUTED_VALUE"""),"")</f>
        <v/>
      </c>
      <c r="C18441" s="12" t="str">
        <f ca="1">IFERROR(__xludf.DUMMYFUNCTION("""COMPUTED_VALUE"""),"")</f>
        <v/>
      </c>
      <c r="D18441" s="12" t="str">
        <f ca="1">IFERROR(__xludf.DUMMYFUNCTION("""COMPUTED_VALUE"""),"")</f>
        <v/>
      </c>
    </row>
    <row r="18442" spans="2:4" ht="13">
      <c r="B18442" s="12" t="str">
        <f ca="1">IFERROR(__xludf.DUMMYFUNCTION("""COMPUTED_VALUE"""),"")</f>
        <v/>
      </c>
      <c r="C18442" s="12" t="str">
        <f ca="1">IFERROR(__xludf.DUMMYFUNCTION("""COMPUTED_VALUE"""),"")</f>
        <v/>
      </c>
      <c r="D18442" s="12" t="str">
        <f ca="1">IFERROR(__xludf.DUMMYFUNCTION("""COMPUTED_VALUE"""),"")</f>
        <v/>
      </c>
    </row>
    <row r="18443" spans="2:4" ht="13">
      <c r="B18443" s="12" t="str">
        <f ca="1">IFERROR(__xludf.DUMMYFUNCTION("""COMPUTED_VALUE"""),"")</f>
        <v/>
      </c>
      <c r="C18443" s="12" t="str">
        <f ca="1">IFERROR(__xludf.DUMMYFUNCTION("""COMPUTED_VALUE"""),"")</f>
        <v/>
      </c>
      <c r="D18443" s="12" t="str">
        <f ca="1">IFERROR(__xludf.DUMMYFUNCTION("""COMPUTED_VALUE"""),"")</f>
        <v/>
      </c>
    </row>
    <row r="18444" spans="2:4" ht="13">
      <c r="B18444" s="12" t="str">
        <f ca="1">IFERROR(__xludf.DUMMYFUNCTION("""COMPUTED_VALUE"""),"")</f>
        <v/>
      </c>
      <c r="C18444" s="12" t="str">
        <f ca="1">IFERROR(__xludf.DUMMYFUNCTION("""COMPUTED_VALUE"""),"")</f>
        <v/>
      </c>
      <c r="D18444" s="12" t="str">
        <f ca="1">IFERROR(__xludf.DUMMYFUNCTION("""COMPUTED_VALUE"""),"")</f>
        <v/>
      </c>
    </row>
    <row r="18445" spans="2:4" ht="13">
      <c r="B18445" s="12" t="str">
        <f ca="1">IFERROR(__xludf.DUMMYFUNCTION("""COMPUTED_VALUE"""),"")</f>
        <v/>
      </c>
      <c r="C18445" s="12" t="str">
        <f ca="1">IFERROR(__xludf.DUMMYFUNCTION("""COMPUTED_VALUE"""),"")</f>
        <v/>
      </c>
      <c r="D18445" s="12" t="str">
        <f ca="1">IFERROR(__xludf.DUMMYFUNCTION("""COMPUTED_VALUE"""),"")</f>
        <v/>
      </c>
    </row>
    <row r="18446" spans="2:4" ht="13">
      <c r="B18446" s="12" t="str">
        <f ca="1">IFERROR(__xludf.DUMMYFUNCTION("""COMPUTED_VALUE"""),"")</f>
        <v/>
      </c>
      <c r="C18446" s="12" t="str">
        <f ca="1">IFERROR(__xludf.DUMMYFUNCTION("""COMPUTED_VALUE"""),"")</f>
        <v/>
      </c>
      <c r="D18446" s="12" t="str">
        <f ca="1">IFERROR(__xludf.DUMMYFUNCTION("""COMPUTED_VALUE"""),"")</f>
        <v/>
      </c>
    </row>
    <row r="18447" spans="2:4" ht="13">
      <c r="B18447" s="12" t="str">
        <f ca="1">IFERROR(__xludf.DUMMYFUNCTION("""COMPUTED_VALUE"""),"")</f>
        <v/>
      </c>
      <c r="C18447" s="12" t="str">
        <f ca="1">IFERROR(__xludf.DUMMYFUNCTION("""COMPUTED_VALUE"""),"")</f>
        <v/>
      </c>
      <c r="D18447" s="12" t="str">
        <f ca="1">IFERROR(__xludf.DUMMYFUNCTION("""COMPUTED_VALUE"""),"")</f>
        <v/>
      </c>
    </row>
    <row r="18448" spans="2:4" ht="13">
      <c r="B18448" s="12" t="str">
        <f ca="1">IFERROR(__xludf.DUMMYFUNCTION("""COMPUTED_VALUE"""),"")</f>
        <v/>
      </c>
      <c r="C18448" s="12" t="str">
        <f ca="1">IFERROR(__xludf.DUMMYFUNCTION("""COMPUTED_VALUE"""),"")</f>
        <v/>
      </c>
      <c r="D18448" s="12" t="str">
        <f ca="1">IFERROR(__xludf.DUMMYFUNCTION("""COMPUTED_VALUE"""),"")</f>
        <v/>
      </c>
    </row>
    <row r="18449" spans="2:4" ht="13">
      <c r="B18449" s="12" t="str">
        <f ca="1">IFERROR(__xludf.DUMMYFUNCTION("""COMPUTED_VALUE"""),"")</f>
        <v/>
      </c>
      <c r="C18449" s="12" t="str">
        <f ca="1">IFERROR(__xludf.DUMMYFUNCTION("""COMPUTED_VALUE"""),"")</f>
        <v/>
      </c>
      <c r="D18449" s="12" t="str">
        <f ca="1">IFERROR(__xludf.DUMMYFUNCTION("""COMPUTED_VALUE"""),"")</f>
        <v/>
      </c>
    </row>
    <row r="18450" spans="2:4" ht="13">
      <c r="B18450" s="12" t="str">
        <f ca="1">IFERROR(__xludf.DUMMYFUNCTION("""COMPUTED_VALUE"""),"")</f>
        <v/>
      </c>
      <c r="C18450" s="12" t="str">
        <f ca="1">IFERROR(__xludf.DUMMYFUNCTION("""COMPUTED_VALUE"""),"")</f>
        <v/>
      </c>
      <c r="D18450" s="12" t="str">
        <f ca="1">IFERROR(__xludf.DUMMYFUNCTION("""COMPUTED_VALUE"""),"")</f>
        <v/>
      </c>
    </row>
    <row r="18451" spans="2:4" ht="13">
      <c r="B18451" s="12" t="str">
        <f ca="1">IFERROR(__xludf.DUMMYFUNCTION("""COMPUTED_VALUE"""),"")</f>
        <v/>
      </c>
      <c r="C18451" s="12" t="str">
        <f ca="1">IFERROR(__xludf.DUMMYFUNCTION("""COMPUTED_VALUE"""),"")</f>
        <v/>
      </c>
      <c r="D18451" s="12" t="str">
        <f ca="1">IFERROR(__xludf.DUMMYFUNCTION("""COMPUTED_VALUE"""),"")</f>
        <v/>
      </c>
    </row>
    <row r="18452" spans="2:4" ht="13">
      <c r="B18452" s="12" t="str">
        <f ca="1">IFERROR(__xludf.DUMMYFUNCTION("""COMPUTED_VALUE"""),"")</f>
        <v/>
      </c>
      <c r="C18452" s="12" t="str">
        <f ca="1">IFERROR(__xludf.DUMMYFUNCTION("""COMPUTED_VALUE"""),"")</f>
        <v/>
      </c>
      <c r="D18452" s="12" t="str">
        <f ca="1">IFERROR(__xludf.DUMMYFUNCTION("""COMPUTED_VALUE"""),"")</f>
        <v/>
      </c>
    </row>
    <row r="18453" spans="2:4" ht="13">
      <c r="B18453" s="12" t="str">
        <f ca="1">IFERROR(__xludf.DUMMYFUNCTION("""COMPUTED_VALUE"""),"")</f>
        <v/>
      </c>
      <c r="C18453" s="12" t="str">
        <f ca="1">IFERROR(__xludf.DUMMYFUNCTION("""COMPUTED_VALUE"""),"")</f>
        <v/>
      </c>
      <c r="D18453" s="12" t="str">
        <f ca="1">IFERROR(__xludf.DUMMYFUNCTION("""COMPUTED_VALUE"""),"")</f>
        <v/>
      </c>
    </row>
    <row r="18454" spans="2:4" ht="13">
      <c r="B18454" s="12" t="str">
        <f ca="1">IFERROR(__xludf.DUMMYFUNCTION("""COMPUTED_VALUE"""),"")</f>
        <v/>
      </c>
      <c r="C18454" s="12" t="str">
        <f ca="1">IFERROR(__xludf.DUMMYFUNCTION("""COMPUTED_VALUE"""),"")</f>
        <v/>
      </c>
      <c r="D18454" s="12" t="str">
        <f ca="1">IFERROR(__xludf.DUMMYFUNCTION("""COMPUTED_VALUE"""),"")</f>
        <v/>
      </c>
    </row>
    <row r="18455" spans="2:4" ht="13">
      <c r="B18455" s="12" t="str">
        <f ca="1">IFERROR(__xludf.DUMMYFUNCTION("""COMPUTED_VALUE"""),"")</f>
        <v/>
      </c>
      <c r="C18455" s="12" t="str">
        <f ca="1">IFERROR(__xludf.DUMMYFUNCTION("""COMPUTED_VALUE"""),"")</f>
        <v/>
      </c>
      <c r="D18455" s="12" t="str">
        <f ca="1">IFERROR(__xludf.DUMMYFUNCTION("""COMPUTED_VALUE"""),"")</f>
        <v/>
      </c>
    </row>
    <row r="18456" spans="2:4" ht="13">
      <c r="B18456" s="12" t="str">
        <f ca="1">IFERROR(__xludf.DUMMYFUNCTION("""COMPUTED_VALUE"""),"")</f>
        <v/>
      </c>
      <c r="C18456" s="12" t="str">
        <f ca="1">IFERROR(__xludf.DUMMYFUNCTION("""COMPUTED_VALUE"""),"")</f>
        <v/>
      </c>
      <c r="D18456" s="12" t="str">
        <f ca="1">IFERROR(__xludf.DUMMYFUNCTION("""COMPUTED_VALUE"""),"")</f>
        <v/>
      </c>
    </row>
    <row r="18457" spans="2:4" ht="13">
      <c r="B18457" s="12" t="str">
        <f ca="1">IFERROR(__xludf.DUMMYFUNCTION("""COMPUTED_VALUE"""),"")</f>
        <v/>
      </c>
      <c r="C18457" s="12" t="str">
        <f ca="1">IFERROR(__xludf.DUMMYFUNCTION("""COMPUTED_VALUE"""),"")</f>
        <v/>
      </c>
      <c r="D18457" s="12" t="str">
        <f ca="1">IFERROR(__xludf.DUMMYFUNCTION("""COMPUTED_VALUE"""),"")</f>
        <v/>
      </c>
    </row>
    <row r="18458" spans="2:4" ht="13">
      <c r="B18458" s="12" t="str">
        <f ca="1">IFERROR(__xludf.DUMMYFUNCTION("""COMPUTED_VALUE"""),"")</f>
        <v/>
      </c>
      <c r="C18458" s="12" t="str">
        <f ca="1">IFERROR(__xludf.DUMMYFUNCTION("""COMPUTED_VALUE"""),"")</f>
        <v/>
      </c>
      <c r="D18458" s="12" t="str">
        <f ca="1">IFERROR(__xludf.DUMMYFUNCTION("""COMPUTED_VALUE"""),"")</f>
        <v/>
      </c>
    </row>
    <row r="18459" spans="2:4" ht="13">
      <c r="B18459" s="12" t="str">
        <f ca="1">IFERROR(__xludf.DUMMYFUNCTION("""COMPUTED_VALUE"""),"")</f>
        <v/>
      </c>
      <c r="C18459" s="12" t="str">
        <f ca="1">IFERROR(__xludf.DUMMYFUNCTION("""COMPUTED_VALUE"""),"")</f>
        <v/>
      </c>
      <c r="D18459" s="12" t="str">
        <f ca="1">IFERROR(__xludf.DUMMYFUNCTION("""COMPUTED_VALUE"""),"")</f>
        <v/>
      </c>
    </row>
    <row r="18460" spans="2:4" ht="13">
      <c r="B18460" s="12" t="str">
        <f ca="1">IFERROR(__xludf.DUMMYFUNCTION("""COMPUTED_VALUE"""),"")</f>
        <v/>
      </c>
      <c r="C18460" s="12" t="str">
        <f ca="1">IFERROR(__xludf.DUMMYFUNCTION("""COMPUTED_VALUE"""),"")</f>
        <v/>
      </c>
      <c r="D18460" s="12" t="str">
        <f ca="1">IFERROR(__xludf.DUMMYFUNCTION("""COMPUTED_VALUE"""),"")</f>
        <v/>
      </c>
    </row>
    <row r="18461" spans="2:4" ht="13">
      <c r="B18461" s="12" t="str">
        <f ca="1">IFERROR(__xludf.DUMMYFUNCTION("""COMPUTED_VALUE"""),"")</f>
        <v/>
      </c>
      <c r="C18461" s="12" t="str">
        <f ca="1">IFERROR(__xludf.DUMMYFUNCTION("""COMPUTED_VALUE"""),"")</f>
        <v/>
      </c>
      <c r="D18461" s="12" t="str">
        <f ca="1">IFERROR(__xludf.DUMMYFUNCTION("""COMPUTED_VALUE"""),"")</f>
        <v/>
      </c>
    </row>
    <row r="18462" spans="2:4" ht="13">
      <c r="B18462" s="12" t="str">
        <f ca="1">IFERROR(__xludf.DUMMYFUNCTION("""COMPUTED_VALUE"""),"")</f>
        <v/>
      </c>
      <c r="C18462" s="12" t="str">
        <f ca="1">IFERROR(__xludf.DUMMYFUNCTION("""COMPUTED_VALUE"""),"")</f>
        <v/>
      </c>
      <c r="D18462" s="12" t="str">
        <f ca="1">IFERROR(__xludf.DUMMYFUNCTION("""COMPUTED_VALUE"""),"")</f>
        <v/>
      </c>
    </row>
    <row r="18463" spans="2:4" ht="13">
      <c r="B18463" s="12" t="str">
        <f ca="1">IFERROR(__xludf.DUMMYFUNCTION("""COMPUTED_VALUE"""),"")</f>
        <v/>
      </c>
      <c r="C18463" s="12" t="str">
        <f ca="1">IFERROR(__xludf.DUMMYFUNCTION("""COMPUTED_VALUE"""),"")</f>
        <v/>
      </c>
      <c r="D18463" s="12" t="str">
        <f ca="1">IFERROR(__xludf.DUMMYFUNCTION("""COMPUTED_VALUE"""),"")</f>
        <v/>
      </c>
    </row>
    <row r="18464" spans="2:4" ht="13">
      <c r="B18464" s="12" t="str">
        <f ca="1">IFERROR(__xludf.DUMMYFUNCTION("""COMPUTED_VALUE"""),"")</f>
        <v/>
      </c>
      <c r="C18464" s="12" t="str">
        <f ca="1">IFERROR(__xludf.DUMMYFUNCTION("""COMPUTED_VALUE"""),"")</f>
        <v/>
      </c>
      <c r="D18464" s="12" t="str">
        <f ca="1">IFERROR(__xludf.DUMMYFUNCTION("""COMPUTED_VALUE"""),"")</f>
        <v/>
      </c>
    </row>
    <row r="18465" spans="2:4" ht="13">
      <c r="B18465" s="12" t="str">
        <f ca="1">IFERROR(__xludf.DUMMYFUNCTION("""COMPUTED_VALUE"""),"")</f>
        <v/>
      </c>
      <c r="C18465" s="12" t="str">
        <f ca="1">IFERROR(__xludf.DUMMYFUNCTION("""COMPUTED_VALUE"""),"")</f>
        <v/>
      </c>
      <c r="D18465" s="12" t="str">
        <f ca="1">IFERROR(__xludf.DUMMYFUNCTION("""COMPUTED_VALUE"""),"")</f>
        <v/>
      </c>
    </row>
    <row r="18466" spans="2:4" ht="13">
      <c r="B18466" s="12" t="str">
        <f ca="1">IFERROR(__xludf.DUMMYFUNCTION("""COMPUTED_VALUE"""),"")</f>
        <v/>
      </c>
      <c r="C18466" s="12" t="str">
        <f ca="1">IFERROR(__xludf.DUMMYFUNCTION("""COMPUTED_VALUE"""),"")</f>
        <v/>
      </c>
      <c r="D18466" s="12" t="str">
        <f ca="1">IFERROR(__xludf.DUMMYFUNCTION("""COMPUTED_VALUE"""),"")</f>
        <v/>
      </c>
    </row>
    <row r="18467" spans="2:4" ht="13">
      <c r="B18467" s="12" t="str">
        <f ca="1">IFERROR(__xludf.DUMMYFUNCTION("""COMPUTED_VALUE"""),"")</f>
        <v/>
      </c>
      <c r="C18467" s="12" t="str">
        <f ca="1">IFERROR(__xludf.DUMMYFUNCTION("""COMPUTED_VALUE"""),"")</f>
        <v/>
      </c>
      <c r="D18467" s="12" t="str">
        <f ca="1">IFERROR(__xludf.DUMMYFUNCTION("""COMPUTED_VALUE"""),"")</f>
        <v/>
      </c>
    </row>
    <row r="18468" spans="2:4" ht="13">
      <c r="B18468" s="12" t="str">
        <f ca="1">IFERROR(__xludf.DUMMYFUNCTION("""COMPUTED_VALUE"""),"")</f>
        <v/>
      </c>
      <c r="C18468" s="12" t="str">
        <f ca="1">IFERROR(__xludf.DUMMYFUNCTION("""COMPUTED_VALUE"""),"")</f>
        <v/>
      </c>
      <c r="D18468" s="12" t="str">
        <f ca="1">IFERROR(__xludf.DUMMYFUNCTION("""COMPUTED_VALUE"""),"")</f>
        <v/>
      </c>
    </row>
    <row r="18469" spans="2:4" ht="13">
      <c r="B18469" s="12" t="str">
        <f ca="1">IFERROR(__xludf.DUMMYFUNCTION("""COMPUTED_VALUE"""),"")</f>
        <v/>
      </c>
      <c r="C18469" s="12" t="str">
        <f ca="1">IFERROR(__xludf.DUMMYFUNCTION("""COMPUTED_VALUE"""),"")</f>
        <v/>
      </c>
      <c r="D18469" s="12" t="str">
        <f ca="1">IFERROR(__xludf.DUMMYFUNCTION("""COMPUTED_VALUE"""),"")</f>
        <v/>
      </c>
    </row>
    <row r="18470" spans="2:4" ht="13">
      <c r="B18470" s="12" t="str">
        <f ca="1">IFERROR(__xludf.DUMMYFUNCTION("""COMPUTED_VALUE"""),"")</f>
        <v/>
      </c>
      <c r="C18470" s="12" t="str">
        <f ca="1">IFERROR(__xludf.DUMMYFUNCTION("""COMPUTED_VALUE"""),"")</f>
        <v/>
      </c>
      <c r="D18470" s="12" t="str">
        <f ca="1">IFERROR(__xludf.DUMMYFUNCTION("""COMPUTED_VALUE"""),"")</f>
        <v/>
      </c>
    </row>
    <row r="18471" spans="2:4" ht="13">
      <c r="B18471" s="12" t="str">
        <f ca="1">IFERROR(__xludf.DUMMYFUNCTION("""COMPUTED_VALUE"""),"")</f>
        <v/>
      </c>
      <c r="C18471" s="12" t="str">
        <f ca="1">IFERROR(__xludf.DUMMYFUNCTION("""COMPUTED_VALUE"""),"")</f>
        <v/>
      </c>
      <c r="D18471" s="12" t="str">
        <f ca="1">IFERROR(__xludf.DUMMYFUNCTION("""COMPUTED_VALUE"""),"")</f>
        <v/>
      </c>
    </row>
    <row r="18472" spans="2:4" ht="13">
      <c r="B18472" s="12" t="str">
        <f ca="1">IFERROR(__xludf.DUMMYFUNCTION("""COMPUTED_VALUE"""),"")</f>
        <v/>
      </c>
      <c r="C18472" s="12" t="str">
        <f ca="1">IFERROR(__xludf.DUMMYFUNCTION("""COMPUTED_VALUE"""),"")</f>
        <v/>
      </c>
      <c r="D18472" s="12" t="str">
        <f ca="1">IFERROR(__xludf.DUMMYFUNCTION("""COMPUTED_VALUE"""),"")</f>
        <v/>
      </c>
    </row>
    <row r="18473" spans="2:4" ht="13">
      <c r="B18473" s="12" t="str">
        <f ca="1">IFERROR(__xludf.DUMMYFUNCTION("""COMPUTED_VALUE"""),"")</f>
        <v/>
      </c>
      <c r="C18473" s="12" t="str">
        <f ca="1">IFERROR(__xludf.DUMMYFUNCTION("""COMPUTED_VALUE"""),"")</f>
        <v/>
      </c>
      <c r="D18473" s="12" t="str">
        <f ca="1">IFERROR(__xludf.DUMMYFUNCTION("""COMPUTED_VALUE"""),"")</f>
        <v/>
      </c>
    </row>
    <row r="18474" spans="2:4" ht="13">
      <c r="B18474" s="12" t="str">
        <f ca="1">IFERROR(__xludf.DUMMYFUNCTION("""COMPUTED_VALUE"""),"")</f>
        <v/>
      </c>
      <c r="C18474" s="12" t="str">
        <f ca="1">IFERROR(__xludf.DUMMYFUNCTION("""COMPUTED_VALUE"""),"")</f>
        <v/>
      </c>
      <c r="D18474" s="12" t="str">
        <f ca="1">IFERROR(__xludf.DUMMYFUNCTION("""COMPUTED_VALUE"""),"")</f>
        <v/>
      </c>
    </row>
    <row r="18475" spans="2:4" ht="13">
      <c r="B18475" s="12" t="str">
        <f ca="1">IFERROR(__xludf.DUMMYFUNCTION("""COMPUTED_VALUE"""),"")</f>
        <v/>
      </c>
      <c r="C18475" s="12" t="str">
        <f ca="1">IFERROR(__xludf.DUMMYFUNCTION("""COMPUTED_VALUE"""),"")</f>
        <v/>
      </c>
      <c r="D18475" s="12" t="str">
        <f ca="1">IFERROR(__xludf.DUMMYFUNCTION("""COMPUTED_VALUE"""),"")</f>
        <v/>
      </c>
    </row>
    <row r="18476" spans="2:4" ht="13">
      <c r="B18476" s="12" t="str">
        <f ca="1">IFERROR(__xludf.DUMMYFUNCTION("""COMPUTED_VALUE"""),"")</f>
        <v/>
      </c>
      <c r="C18476" s="12" t="str">
        <f ca="1">IFERROR(__xludf.DUMMYFUNCTION("""COMPUTED_VALUE"""),"")</f>
        <v/>
      </c>
      <c r="D18476" s="12" t="str">
        <f ca="1">IFERROR(__xludf.DUMMYFUNCTION("""COMPUTED_VALUE"""),"")</f>
        <v/>
      </c>
    </row>
    <row r="18477" spans="2:4" ht="13">
      <c r="B18477" s="12" t="str">
        <f ca="1">IFERROR(__xludf.DUMMYFUNCTION("""COMPUTED_VALUE"""),"")</f>
        <v/>
      </c>
      <c r="C18477" s="12" t="str">
        <f ca="1">IFERROR(__xludf.DUMMYFUNCTION("""COMPUTED_VALUE"""),"")</f>
        <v/>
      </c>
      <c r="D18477" s="12" t="str">
        <f ca="1">IFERROR(__xludf.DUMMYFUNCTION("""COMPUTED_VALUE"""),"")</f>
        <v/>
      </c>
    </row>
    <row r="18478" spans="2:4" ht="13">
      <c r="B18478" s="12" t="str">
        <f ca="1">IFERROR(__xludf.DUMMYFUNCTION("""COMPUTED_VALUE"""),"")</f>
        <v/>
      </c>
      <c r="C18478" s="12" t="str">
        <f ca="1">IFERROR(__xludf.DUMMYFUNCTION("""COMPUTED_VALUE"""),"")</f>
        <v/>
      </c>
      <c r="D18478" s="12" t="str">
        <f ca="1">IFERROR(__xludf.DUMMYFUNCTION("""COMPUTED_VALUE"""),"")</f>
        <v/>
      </c>
    </row>
    <row r="18479" spans="2:4" ht="13">
      <c r="B18479" s="12" t="str">
        <f ca="1">IFERROR(__xludf.DUMMYFUNCTION("""COMPUTED_VALUE"""),"")</f>
        <v/>
      </c>
      <c r="C18479" s="12" t="str">
        <f ca="1">IFERROR(__xludf.DUMMYFUNCTION("""COMPUTED_VALUE"""),"")</f>
        <v/>
      </c>
      <c r="D18479" s="12" t="str">
        <f ca="1">IFERROR(__xludf.DUMMYFUNCTION("""COMPUTED_VALUE"""),"")</f>
        <v/>
      </c>
    </row>
    <row r="18480" spans="2:4" ht="13">
      <c r="B18480" s="12" t="str">
        <f ca="1">IFERROR(__xludf.DUMMYFUNCTION("""COMPUTED_VALUE"""),"")</f>
        <v/>
      </c>
      <c r="C18480" s="12" t="str">
        <f ca="1">IFERROR(__xludf.DUMMYFUNCTION("""COMPUTED_VALUE"""),"")</f>
        <v/>
      </c>
      <c r="D18480" s="12" t="str">
        <f ca="1">IFERROR(__xludf.DUMMYFUNCTION("""COMPUTED_VALUE"""),"")</f>
        <v/>
      </c>
    </row>
    <row r="18481" spans="2:4" ht="13">
      <c r="B18481" s="12" t="str">
        <f ca="1">IFERROR(__xludf.DUMMYFUNCTION("""COMPUTED_VALUE"""),"")</f>
        <v/>
      </c>
      <c r="C18481" s="12" t="str">
        <f ca="1">IFERROR(__xludf.DUMMYFUNCTION("""COMPUTED_VALUE"""),"")</f>
        <v/>
      </c>
      <c r="D18481" s="12" t="str">
        <f ca="1">IFERROR(__xludf.DUMMYFUNCTION("""COMPUTED_VALUE"""),"")</f>
        <v/>
      </c>
    </row>
    <row r="18482" spans="2:4" ht="13">
      <c r="B18482" s="12" t="str">
        <f ca="1">IFERROR(__xludf.DUMMYFUNCTION("""COMPUTED_VALUE"""),"")</f>
        <v/>
      </c>
      <c r="C18482" s="12" t="str">
        <f ca="1">IFERROR(__xludf.DUMMYFUNCTION("""COMPUTED_VALUE"""),"")</f>
        <v/>
      </c>
      <c r="D18482" s="12" t="str">
        <f ca="1">IFERROR(__xludf.DUMMYFUNCTION("""COMPUTED_VALUE"""),"")</f>
        <v/>
      </c>
    </row>
    <row r="18483" spans="2:4" ht="13">
      <c r="B18483" s="12" t="str">
        <f ca="1">IFERROR(__xludf.DUMMYFUNCTION("""COMPUTED_VALUE"""),"")</f>
        <v/>
      </c>
      <c r="C18483" s="12" t="str">
        <f ca="1">IFERROR(__xludf.DUMMYFUNCTION("""COMPUTED_VALUE"""),"")</f>
        <v/>
      </c>
      <c r="D18483" s="12" t="str">
        <f ca="1">IFERROR(__xludf.DUMMYFUNCTION("""COMPUTED_VALUE"""),"")</f>
        <v/>
      </c>
    </row>
    <row r="18484" spans="2:4" ht="13">
      <c r="B18484" s="12" t="str">
        <f ca="1">IFERROR(__xludf.DUMMYFUNCTION("""COMPUTED_VALUE"""),"")</f>
        <v/>
      </c>
      <c r="C18484" s="12" t="str">
        <f ca="1">IFERROR(__xludf.DUMMYFUNCTION("""COMPUTED_VALUE"""),"")</f>
        <v/>
      </c>
      <c r="D18484" s="12" t="str">
        <f ca="1">IFERROR(__xludf.DUMMYFUNCTION("""COMPUTED_VALUE"""),"")</f>
        <v/>
      </c>
    </row>
    <row r="18485" spans="2:4" ht="13">
      <c r="B18485" s="12" t="str">
        <f ca="1">IFERROR(__xludf.DUMMYFUNCTION("""COMPUTED_VALUE"""),"")</f>
        <v/>
      </c>
      <c r="C18485" s="12" t="str">
        <f ca="1">IFERROR(__xludf.DUMMYFUNCTION("""COMPUTED_VALUE"""),"")</f>
        <v/>
      </c>
      <c r="D18485" s="12" t="str">
        <f ca="1">IFERROR(__xludf.DUMMYFUNCTION("""COMPUTED_VALUE"""),"")</f>
        <v/>
      </c>
    </row>
    <row r="18486" spans="2:4" ht="13">
      <c r="B18486" s="12" t="str">
        <f ca="1">IFERROR(__xludf.DUMMYFUNCTION("""COMPUTED_VALUE"""),"")</f>
        <v/>
      </c>
      <c r="C18486" s="12" t="str">
        <f ca="1">IFERROR(__xludf.DUMMYFUNCTION("""COMPUTED_VALUE"""),"")</f>
        <v/>
      </c>
      <c r="D18486" s="12" t="str">
        <f ca="1">IFERROR(__xludf.DUMMYFUNCTION("""COMPUTED_VALUE"""),"")</f>
        <v/>
      </c>
    </row>
    <row r="18487" spans="2:4" ht="13">
      <c r="B18487" s="12" t="str">
        <f ca="1">IFERROR(__xludf.DUMMYFUNCTION("""COMPUTED_VALUE"""),"")</f>
        <v/>
      </c>
      <c r="C18487" s="12" t="str">
        <f ca="1">IFERROR(__xludf.DUMMYFUNCTION("""COMPUTED_VALUE"""),"")</f>
        <v/>
      </c>
      <c r="D18487" s="12" t="str">
        <f ca="1">IFERROR(__xludf.DUMMYFUNCTION("""COMPUTED_VALUE"""),"")</f>
        <v/>
      </c>
    </row>
    <row r="18488" spans="2:4" ht="13">
      <c r="B18488" s="12" t="str">
        <f ca="1">IFERROR(__xludf.DUMMYFUNCTION("""COMPUTED_VALUE"""),"")</f>
        <v/>
      </c>
      <c r="C18488" s="12" t="str">
        <f ca="1">IFERROR(__xludf.DUMMYFUNCTION("""COMPUTED_VALUE"""),"")</f>
        <v/>
      </c>
      <c r="D18488" s="12" t="str">
        <f ca="1">IFERROR(__xludf.DUMMYFUNCTION("""COMPUTED_VALUE"""),"")</f>
        <v/>
      </c>
    </row>
    <row r="18489" spans="2:4" ht="13">
      <c r="B18489" s="12" t="str">
        <f ca="1">IFERROR(__xludf.DUMMYFUNCTION("""COMPUTED_VALUE"""),"")</f>
        <v/>
      </c>
      <c r="C18489" s="12" t="str">
        <f ca="1">IFERROR(__xludf.DUMMYFUNCTION("""COMPUTED_VALUE"""),"")</f>
        <v/>
      </c>
      <c r="D18489" s="12" t="str">
        <f ca="1">IFERROR(__xludf.DUMMYFUNCTION("""COMPUTED_VALUE"""),"")</f>
        <v/>
      </c>
    </row>
    <row r="18490" spans="2:4" ht="13">
      <c r="B18490" s="12" t="str">
        <f ca="1">IFERROR(__xludf.DUMMYFUNCTION("""COMPUTED_VALUE"""),"")</f>
        <v/>
      </c>
      <c r="C18490" s="12" t="str">
        <f ca="1">IFERROR(__xludf.DUMMYFUNCTION("""COMPUTED_VALUE"""),"")</f>
        <v/>
      </c>
      <c r="D18490" s="12" t="str">
        <f ca="1">IFERROR(__xludf.DUMMYFUNCTION("""COMPUTED_VALUE"""),"")</f>
        <v/>
      </c>
    </row>
    <row r="18491" spans="2:4" ht="13">
      <c r="B18491" s="12" t="str">
        <f ca="1">IFERROR(__xludf.DUMMYFUNCTION("""COMPUTED_VALUE"""),"")</f>
        <v/>
      </c>
      <c r="C18491" s="12" t="str">
        <f ca="1">IFERROR(__xludf.DUMMYFUNCTION("""COMPUTED_VALUE"""),"")</f>
        <v/>
      </c>
      <c r="D18491" s="12" t="str">
        <f ca="1">IFERROR(__xludf.DUMMYFUNCTION("""COMPUTED_VALUE"""),"")</f>
        <v/>
      </c>
    </row>
    <row r="18492" spans="2:4" ht="13">
      <c r="B18492" s="12" t="str">
        <f ca="1">IFERROR(__xludf.DUMMYFUNCTION("""COMPUTED_VALUE"""),"")</f>
        <v/>
      </c>
      <c r="C18492" s="12" t="str">
        <f ca="1">IFERROR(__xludf.DUMMYFUNCTION("""COMPUTED_VALUE"""),"")</f>
        <v/>
      </c>
      <c r="D18492" s="12" t="str">
        <f ca="1">IFERROR(__xludf.DUMMYFUNCTION("""COMPUTED_VALUE"""),"")</f>
        <v/>
      </c>
    </row>
    <row r="18493" spans="2:4" ht="13">
      <c r="B18493" s="12" t="str">
        <f ca="1">IFERROR(__xludf.DUMMYFUNCTION("""COMPUTED_VALUE"""),"")</f>
        <v/>
      </c>
      <c r="C18493" s="12" t="str">
        <f ca="1">IFERROR(__xludf.DUMMYFUNCTION("""COMPUTED_VALUE"""),"")</f>
        <v/>
      </c>
      <c r="D18493" s="12" t="str">
        <f ca="1">IFERROR(__xludf.DUMMYFUNCTION("""COMPUTED_VALUE"""),"")</f>
        <v/>
      </c>
    </row>
    <row r="18494" spans="2:4" ht="13">
      <c r="B18494" s="12" t="str">
        <f ca="1">IFERROR(__xludf.DUMMYFUNCTION("""COMPUTED_VALUE"""),"")</f>
        <v/>
      </c>
      <c r="C18494" s="12" t="str">
        <f ca="1">IFERROR(__xludf.DUMMYFUNCTION("""COMPUTED_VALUE"""),"")</f>
        <v/>
      </c>
      <c r="D18494" s="12" t="str">
        <f ca="1">IFERROR(__xludf.DUMMYFUNCTION("""COMPUTED_VALUE"""),"")</f>
        <v/>
      </c>
    </row>
    <row r="18495" spans="2:4" ht="13">
      <c r="B18495" s="12" t="str">
        <f ca="1">IFERROR(__xludf.DUMMYFUNCTION("""COMPUTED_VALUE"""),"")</f>
        <v/>
      </c>
      <c r="C18495" s="12" t="str">
        <f ca="1">IFERROR(__xludf.DUMMYFUNCTION("""COMPUTED_VALUE"""),"")</f>
        <v/>
      </c>
      <c r="D18495" s="12" t="str">
        <f ca="1">IFERROR(__xludf.DUMMYFUNCTION("""COMPUTED_VALUE"""),"")</f>
        <v/>
      </c>
    </row>
    <row r="18496" spans="2:4" ht="13">
      <c r="B18496" s="12" t="str">
        <f ca="1">IFERROR(__xludf.DUMMYFUNCTION("""COMPUTED_VALUE"""),"")</f>
        <v/>
      </c>
      <c r="C18496" s="12" t="str">
        <f ca="1">IFERROR(__xludf.DUMMYFUNCTION("""COMPUTED_VALUE"""),"")</f>
        <v/>
      </c>
      <c r="D18496" s="12" t="str">
        <f ca="1">IFERROR(__xludf.DUMMYFUNCTION("""COMPUTED_VALUE"""),"")</f>
        <v/>
      </c>
    </row>
    <row r="18497" spans="2:4" ht="13">
      <c r="B18497" s="12" t="str">
        <f ca="1">IFERROR(__xludf.DUMMYFUNCTION("""COMPUTED_VALUE"""),"")</f>
        <v/>
      </c>
      <c r="C18497" s="12" t="str">
        <f ca="1">IFERROR(__xludf.DUMMYFUNCTION("""COMPUTED_VALUE"""),"")</f>
        <v/>
      </c>
      <c r="D18497" s="12" t="str">
        <f ca="1">IFERROR(__xludf.DUMMYFUNCTION("""COMPUTED_VALUE"""),"")</f>
        <v/>
      </c>
    </row>
    <row r="18498" spans="2:4" ht="13">
      <c r="B18498" s="12" t="str">
        <f ca="1">IFERROR(__xludf.DUMMYFUNCTION("""COMPUTED_VALUE"""),"")</f>
        <v/>
      </c>
      <c r="C18498" s="12" t="str">
        <f ca="1">IFERROR(__xludf.DUMMYFUNCTION("""COMPUTED_VALUE"""),"")</f>
        <v/>
      </c>
      <c r="D18498" s="12" t="str">
        <f ca="1">IFERROR(__xludf.DUMMYFUNCTION("""COMPUTED_VALUE"""),"")</f>
        <v/>
      </c>
    </row>
    <row r="18499" spans="2:4" ht="13">
      <c r="B18499" s="12" t="str">
        <f ca="1">IFERROR(__xludf.DUMMYFUNCTION("""COMPUTED_VALUE"""),"")</f>
        <v/>
      </c>
      <c r="C18499" s="12" t="str">
        <f ca="1">IFERROR(__xludf.DUMMYFUNCTION("""COMPUTED_VALUE"""),"")</f>
        <v/>
      </c>
      <c r="D18499" s="12" t="str">
        <f ca="1">IFERROR(__xludf.DUMMYFUNCTION("""COMPUTED_VALUE"""),"")</f>
        <v/>
      </c>
    </row>
    <row r="18500" spans="2:4" ht="13">
      <c r="B18500" s="12" t="str">
        <f ca="1">IFERROR(__xludf.DUMMYFUNCTION("""COMPUTED_VALUE"""),"")</f>
        <v/>
      </c>
      <c r="C18500" s="12" t="str">
        <f ca="1">IFERROR(__xludf.DUMMYFUNCTION("""COMPUTED_VALUE"""),"")</f>
        <v/>
      </c>
      <c r="D18500" s="12" t="str">
        <f ca="1">IFERROR(__xludf.DUMMYFUNCTION("""COMPUTED_VALUE"""),"")</f>
        <v/>
      </c>
    </row>
    <row r="18501" spans="2:4" ht="13">
      <c r="B18501" s="12" t="str">
        <f ca="1">IFERROR(__xludf.DUMMYFUNCTION("""COMPUTED_VALUE"""),"")</f>
        <v/>
      </c>
      <c r="C18501" s="12" t="str">
        <f ca="1">IFERROR(__xludf.DUMMYFUNCTION("""COMPUTED_VALUE"""),"")</f>
        <v/>
      </c>
      <c r="D18501" s="12" t="str">
        <f ca="1">IFERROR(__xludf.DUMMYFUNCTION("""COMPUTED_VALUE"""),"")</f>
        <v/>
      </c>
    </row>
    <row r="18502" spans="2:4" ht="13">
      <c r="B18502" s="12" t="str">
        <f ca="1">IFERROR(__xludf.DUMMYFUNCTION("""COMPUTED_VALUE"""),"")</f>
        <v/>
      </c>
      <c r="C18502" s="12" t="str">
        <f ca="1">IFERROR(__xludf.DUMMYFUNCTION("""COMPUTED_VALUE"""),"")</f>
        <v/>
      </c>
      <c r="D18502" s="12" t="str">
        <f ca="1">IFERROR(__xludf.DUMMYFUNCTION("""COMPUTED_VALUE"""),"")</f>
        <v/>
      </c>
    </row>
    <row r="18503" spans="2:4" ht="13">
      <c r="B18503" s="12" t="str">
        <f ca="1">IFERROR(__xludf.DUMMYFUNCTION("""COMPUTED_VALUE"""),"")</f>
        <v/>
      </c>
      <c r="C18503" s="12" t="str">
        <f ca="1">IFERROR(__xludf.DUMMYFUNCTION("""COMPUTED_VALUE"""),"")</f>
        <v/>
      </c>
      <c r="D18503" s="12" t="str">
        <f ca="1">IFERROR(__xludf.DUMMYFUNCTION("""COMPUTED_VALUE"""),"")</f>
        <v/>
      </c>
    </row>
    <row r="18504" spans="2:4" ht="13">
      <c r="B18504" s="12" t="str">
        <f ca="1">IFERROR(__xludf.DUMMYFUNCTION("""COMPUTED_VALUE"""),"")</f>
        <v/>
      </c>
      <c r="C18504" s="12" t="str">
        <f ca="1">IFERROR(__xludf.DUMMYFUNCTION("""COMPUTED_VALUE"""),"")</f>
        <v/>
      </c>
      <c r="D18504" s="12" t="str">
        <f ca="1">IFERROR(__xludf.DUMMYFUNCTION("""COMPUTED_VALUE"""),"")</f>
        <v/>
      </c>
    </row>
    <row r="18505" spans="2:4" ht="13">
      <c r="B18505" s="12" t="str">
        <f ca="1">IFERROR(__xludf.DUMMYFUNCTION("""COMPUTED_VALUE"""),"")</f>
        <v/>
      </c>
      <c r="C18505" s="12" t="str">
        <f ca="1">IFERROR(__xludf.DUMMYFUNCTION("""COMPUTED_VALUE"""),"")</f>
        <v/>
      </c>
      <c r="D18505" s="12" t="str">
        <f ca="1">IFERROR(__xludf.DUMMYFUNCTION("""COMPUTED_VALUE"""),"")</f>
        <v/>
      </c>
    </row>
    <row r="18506" spans="2:4" ht="13">
      <c r="B18506" s="12" t="str">
        <f ca="1">IFERROR(__xludf.DUMMYFUNCTION("""COMPUTED_VALUE"""),"")</f>
        <v/>
      </c>
      <c r="C18506" s="12" t="str">
        <f ca="1">IFERROR(__xludf.DUMMYFUNCTION("""COMPUTED_VALUE"""),"")</f>
        <v/>
      </c>
      <c r="D18506" s="12" t="str">
        <f ca="1">IFERROR(__xludf.DUMMYFUNCTION("""COMPUTED_VALUE"""),"")</f>
        <v/>
      </c>
    </row>
    <row r="18507" spans="2:4" ht="13">
      <c r="B18507" s="12" t="str">
        <f ca="1">IFERROR(__xludf.DUMMYFUNCTION("""COMPUTED_VALUE"""),"")</f>
        <v/>
      </c>
      <c r="C18507" s="12" t="str">
        <f ca="1">IFERROR(__xludf.DUMMYFUNCTION("""COMPUTED_VALUE"""),"")</f>
        <v/>
      </c>
      <c r="D18507" s="12" t="str">
        <f ca="1">IFERROR(__xludf.DUMMYFUNCTION("""COMPUTED_VALUE"""),"")</f>
        <v/>
      </c>
    </row>
    <row r="18508" spans="2:4" ht="13">
      <c r="B18508" s="12" t="str">
        <f ca="1">IFERROR(__xludf.DUMMYFUNCTION("""COMPUTED_VALUE"""),"")</f>
        <v/>
      </c>
      <c r="C18508" s="12" t="str">
        <f ca="1">IFERROR(__xludf.DUMMYFUNCTION("""COMPUTED_VALUE"""),"")</f>
        <v/>
      </c>
      <c r="D18508" s="12" t="str">
        <f ca="1">IFERROR(__xludf.DUMMYFUNCTION("""COMPUTED_VALUE"""),"")</f>
        <v/>
      </c>
    </row>
    <row r="18509" spans="2:4" ht="13">
      <c r="B18509" s="12" t="str">
        <f ca="1">IFERROR(__xludf.DUMMYFUNCTION("""COMPUTED_VALUE"""),"")</f>
        <v/>
      </c>
      <c r="C18509" s="12" t="str">
        <f ca="1">IFERROR(__xludf.DUMMYFUNCTION("""COMPUTED_VALUE"""),"")</f>
        <v/>
      </c>
      <c r="D18509" s="12" t="str">
        <f ca="1">IFERROR(__xludf.DUMMYFUNCTION("""COMPUTED_VALUE"""),"")</f>
        <v/>
      </c>
    </row>
    <row r="18510" spans="2:4" ht="13">
      <c r="B18510" s="12" t="str">
        <f ca="1">IFERROR(__xludf.DUMMYFUNCTION("""COMPUTED_VALUE"""),"")</f>
        <v/>
      </c>
      <c r="C18510" s="12" t="str">
        <f ca="1">IFERROR(__xludf.DUMMYFUNCTION("""COMPUTED_VALUE"""),"")</f>
        <v/>
      </c>
      <c r="D18510" s="12" t="str">
        <f ca="1">IFERROR(__xludf.DUMMYFUNCTION("""COMPUTED_VALUE"""),"")</f>
        <v/>
      </c>
    </row>
    <row r="18511" spans="2:4" ht="13">
      <c r="B18511" s="12" t="str">
        <f ca="1">IFERROR(__xludf.DUMMYFUNCTION("""COMPUTED_VALUE"""),"")</f>
        <v/>
      </c>
      <c r="C18511" s="12" t="str">
        <f ca="1">IFERROR(__xludf.DUMMYFUNCTION("""COMPUTED_VALUE"""),"")</f>
        <v/>
      </c>
      <c r="D18511" s="12" t="str">
        <f ca="1">IFERROR(__xludf.DUMMYFUNCTION("""COMPUTED_VALUE"""),"")</f>
        <v/>
      </c>
    </row>
    <row r="18512" spans="2:4" ht="13">
      <c r="B18512" s="12" t="str">
        <f ca="1">IFERROR(__xludf.DUMMYFUNCTION("""COMPUTED_VALUE"""),"")</f>
        <v/>
      </c>
      <c r="C18512" s="12" t="str">
        <f ca="1">IFERROR(__xludf.DUMMYFUNCTION("""COMPUTED_VALUE"""),"")</f>
        <v/>
      </c>
      <c r="D18512" s="12" t="str">
        <f ca="1">IFERROR(__xludf.DUMMYFUNCTION("""COMPUTED_VALUE"""),"")</f>
        <v/>
      </c>
    </row>
    <row r="18513" spans="2:4" ht="13">
      <c r="B18513" s="12" t="str">
        <f ca="1">IFERROR(__xludf.DUMMYFUNCTION("""COMPUTED_VALUE"""),"")</f>
        <v/>
      </c>
      <c r="C18513" s="12" t="str">
        <f ca="1">IFERROR(__xludf.DUMMYFUNCTION("""COMPUTED_VALUE"""),"")</f>
        <v/>
      </c>
      <c r="D18513" s="12" t="str">
        <f ca="1">IFERROR(__xludf.DUMMYFUNCTION("""COMPUTED_VALUE"""),"")</f>
        <v/>
      </c>
    </row>
    <row r="18514" spans="2:4" ht="13">
      <c r="B18514" s="12" t="str">
        <f ca="1">IFERROR(__xludf.DUMMYFUNCTION("""COMPUTED_VALUE"""),"")</f>
        <v/>
      </c>
      <c r="C18514" s="12" t="str">
        <f ca="1">IFERROR(__xludf.DUMMYFUNCTION("""COMPUTED_VALUE"""),"")</f>
        <v/>
      </c>
      <c r="D18514" s="12" t="str">
        <f ca="1">IFERROR(__xludf.DUMMYFUNCTION("""COMPUTED_VALUE"""),"")</f>
        <v/>
      </c>
    </row>
    <row r="18515" spans="2:4" ht="13">
      <c r="B18515" s="12" t="str">
        <f ca="1">IFERROR(__xludf.DUMMYFUNCTION("""COMPUTED_VALUE"""),"")</f>
        <v/>
      </c>
      <c r="C18515" s="12" t="str">
        <f ca="1">IFERROR(__xludf.DUMMYFUNCTION("""COMPUTED_VALUE"""),"")</f>
        <v/>
      </c>
      <c r="D18515" s="12" t="str">
        <f ca="1">IFERROR(__xludf.DUMMYFUNCTION("""COMPUTED_VALUE"""),"")</f>
        <v/>
      </c>
    </row>
    <row r="18516" spans="2:4" ht="13">
      <c r="B18516" s="12" t="str">
        <f ca="1">IFERROR(__xludf.DUMMYFUNCTION("""COMPUTED_VALUE"""),"")</f>
        <v/>
      </c>
      <c r="C18516" s="12" t="str">
        <f ca="1">IFERROR(__xludf.DUMMYFUNCTION("""COMPUTED_VALUE"""),"")</f>
        <v/>
      </c>
      <c r="D18516" s="12" t="str">
        <f ca="1">IFERROR(__xludf.DUMMYFUNCTION("""COMPUTED_VALUE"""),"")</f>
        <v/>
      </c>
    </row>
    <row r="18517" spans="2:4" ht="13">
      <c r="B18517" s="12" t="str">
        <f ca="1">IFERROR(__xludf.DUMMYFUNCTION("""COMPUTED_VALUE"""),"")</f>
        <v/>
      </c>
      <c r="C18517" s="12" t="str">
        <f ca="1">IFERROR(__xludf.DUMMYFUNCTION("""COMPUTED_VALUE"""),"")</f>
        <v/>
      </c>
      <c r="D18517" s="12" t="str">
        <f ca="1">IFERROR(__xludf.DUMMYFUNCTION("""COMPUTED_VALUE"""),"")</f>
        <v/>
      </c>
    </row>
    <row r="18518" spans="2:4" ht="13">
      <c r="B18518" s="12" t="str">
        <f ca="1">IFERROR(__xludf.DUMMYFUNCTION("""COMPUTED_VALUE"""),"")</f>
        <v/>
      </c>
      <c r="C18518" s="12" t="str">
        <f ca="1">IFERROR(__xludf.DUMMYFUNCTION("""COMPUTED_VALUE"""),"")</f>
        <v/>
      </c>
      <c r="D18518" s="12" t="str">
        <f ca="1">IFERROR(__xludf.DUMMYFUNCTION("""COMPUTED_VALUE"""),"")</f>
        <v/>
      </c>
    </row>
    <row r="18519" spans="2:4" ht="13">
      <c r="B18519" s="12" t="str">
        <f ca="1">IFERROR(__xludf.DUMMYFUNCTION("""COMPUTED_VALUE"""),"")</f>
        <v/>
      </c>
      <c r="C18519" s="12" t="str">
        <f ca="1">IFERROR(__xludf.DUMMYFUNCTION("""COMPUTED_VALUE"""),"")</f>
        <v/>
      </c>
      <c r="D18519" s="12" t="str">
        <f ca="1">IFERROR(__xludf.DUMMYFUNCTION("""COMPUTED_VALUE"""),"")</f>
        <v/>
      </c>
    </row>
    <row r="18520" spans="2:4" ht="13">
      <c r="B18520" s="12" t="str">
        <f ca="1">IFERROR(__xludf.DUMMYFUNCTION("""COMPUTED_VALUE"""),"")</f>
        <v/>
      </c>
      <c r="C18520" s="12" t="str">
        <f ca="1">IFERROR(__xludf.DUMMYFUNCTION("""COMPUTED_VALUE"""),"")</f>
        <v/>
      </c>
      <c r="D18520" s="12" t="str">
        <f ca="1">IFERROR(__xludf.DUMMYFUNCTION("""COMPUTED_VALUE"""),"")</f>
        <v/>
      </c>
    </row>
    <row r="18521" spans="2:4" ht="13">
      <c r="B18521" s="12" t="str">
        <f ca="1">IFERROR(__xludf.DUMMYFUNCTION("""COMPUTED_VALUE"""),"")</f>
        <v/>
      </c>
      <c r="C18521" s="12" t="str">
        <f ca="1">IFERROR(__xludf.DUMMYFUNCTION("""COMPUTED_VALUE"""),"")</f>
        <v/>
      </c>
      <c r="D18521" s="12" t="str">
        <f ca="1">IFERROR(__xludf.DUMMYFUNCTION("""COMPUTED_VALUE"""),"")</f>
        <v/>
      </c>
    </row>
    <row r="18522" spans="2:4" ht="13">
      <c r="B18522" s="12" t="str">
        <f ca="1">IFERROR(__xludf.DUMMYFUNCTION("""COMPUTED_VALUE"""),"")</f>
        <v/>
      </c>
      <c r="C18522" s="12" t="str">
        <f ca="1">IFERROR(__xludf.DUMMYFUNCTION("""COMPUTED_VALUE"""),"")</f>
        <v/>
      </c>
      <c r="D18522" s="12" t="str">
        <f ca="1">IFERROR(__xludf.DUMMYFUNCTION("""COMPUTED_VALUE"""),"")</f>
        <v/>
      </c>
    </row>
    <row r="18523" spans="2:4" ht="13">
      <c r="B18523" s="12" t="str">
        <f ca="1">IFERROR(__xludf.DUMMYFUNCTION("""COMPUTED_VALUE"""),"")</f>
        <v/>
      </c>
      <c r="C18523" s="12" t="str">
        <f ca="1">IFERROR(__xludf.DUMMYFUNCTION("""COMPUTED_VALUE"""),"")</f>
        <v/>
      </c>
      <c r="D18523" s="12" t="str">
        <f ca="1">IFERROR(__xludf.DUMMYFUNCTION("""COMPUTED_VALUE"""),"")</f>
        <v/>
      </c>
    </row>
    <row r="18524" spans="2:4" ht="13">
      <c r="B18524" s="12" t="str">
        <f ca="1">IFERROR(__xludf.DUMMYFUNCTION("""COMPUTED_VALUE"""),"")</f>
        <v/>
      </c>
      <c r="C18524" s="12" t="str">
        <f ca="1">IFERROR(__xludf.DUMMYFUNCTION("""COMPUTED_VALUE"""),"")</f>
        <v/>
      </c>
      <c r="D18524" s="12" t="str">
        <f ca="1">IFERROR(__xludf.DUMMYFUNCTION("""COMPUTED_VALUE"""),"")</f>
        <v/>
      </c>
    </row>
    <row r="18525" spans="2:4" ht="13">
      <c r="B18525" s="12" t="str">
        <f ca="1">IFERROR(__xludf.DUMMYFUNCTION("""COMPUTED_VALUE"""),"")</f>
        <v/>
      </c>
      <c r="C18525" s="12" t="str">
        <f ca="1">IFERROR(__xludf.DUMMYFUNCTION("""COMPUTED_VALUE"""),"")</f>
        <v/>
      </c>
      <c r="D18525" s="12" t="str">
        <f ca="1">IFERROR(__xludf.DUMMYFUNCTION("""COMPUTED_VALUE"""),"")</f>
        <v/>
      </c>
    </row>
    <row r="18526" spans="2:4" ht="13">
      <c r="B18526" s="12" t="str">
        <f ca="1">IFERROR(__xludf.DUMMYFUNCTION("""COMPUTED_VALUE"""),"")</f>
        <v/>
      </c>
      <c r="C18526" s="12" t="str">
        <f ca="1">IFERROR(__xludf.DUMMYFUNCTION("""COMPUTED_VALUE"""),"")</f>
        <v/>
      </c>
      <c r="D18526" s="12" t="str">
        <f ca="1">IFERROR(__xludf.DUMMYFUNCTION("""COMPUTED_VALUE"""),"")</f>
        <v/>
      </c>
    </row>
    <row r="18527" spans="2:4" ht="13">
      <c r="B18527" s="12" t="str">
        <f ca="1">IFERROR(__xludf.DUMMYFUNCTION("""COMPUTED_VALUE"""),"")</f>
        <v/>
      </c>
      <c r="C18527" s="12" t="str">
        <f ca="1">IFERROR(__xludf.DUMMYFUNCTION("""COMPUTED_VALUE"""),"")</f>
        <v/>
      </c>
      <c r="D18527" s="12" t="str">
        <f ca="1">IFERROR(__xludf.DUMMYFUNCTION("""COMPUTED_VALUE"""),"")</f>
        <v/>
      </c>
    </row>
    <row r="18528" spans="2:4" ht="13">
      <c r="B18528" s="12" t="str">
        <f ca="1">IFERROR(__xludf.DUMMYFUNCTION("""COMPUTED_VALUE"""),"")</f>
        <v/>
      </c>
      <c r="C18528" s="12" t="str">
        <f ca="1">IFERROR(__xludf.DUMMYFUNCTION("""COMPUTED_VALUE"""),"")</f>
        <v/>
      </c>
      <c r="D18528" s="12" t="str">
        <f ca="1">IFERROR(__xludf.DUMMYFUNCTION("""COMPUTED_VALUE"""),"")</f>
        <v/>
      </c>
    </row>
    <row r="18529" spans="2:4" ht="13">
      <c r="B18529" s="12" t="str">
        <f ca="1">IFERROR(__xludf.DUMMYFUNCTION("""COMPUTED_VALUE"""),"")</f>
        <v/>
      </c>
      <c r="C18529" s="12" t="str">
        <f ca="1">IFERROR(__xludf.DUMMYFUNCTION("""COMPUTED_VALUE"""),"")</f>
        <v/>
      </c>
      <c r="D18529" s="12" t="str">
        <f ca="1">IFERROR(__xludf.DUMMYFUNCTION("""COMPUTED_VALUE"""),"")</f>
        <v/>
      </c>
    </row>
    <row r="18530" spans="2:4" ht="13">
      <c r="B18530" s="12" t="str">
        <f ca="1">IFERROR(__xludf.DUMMYFUNCTION("""COMPUTED_VALUE"""),"")</f>
        <v/>
      </c>
      <c r="C18530" s="12" t="str">
        <f ca="1">IFERROR(__xludf.DUMMYFUNCTION("""COMPUTED_VALUE"""),"")</f>
        <v/>
      </c>
      <c r="D18530" s="12" t="str">
        <f ca="1">IFERROR(__xludf.DUMMYFUNCTION("""COMPUTED_VALUE"""),"")</f>
        <v/>
      </c>
    </row>
    <row r="18531" spans="2:4" ht="13">
      <c r="B18531" s="12" t="str">
        <f ca="1">IFERROR(__xludf.DUMMYFUNCTION("""COMPUTED_VALUE"""),"")</f>
        <v/>
      </c>
      <c r="C18531" s="12" t="str">
        <f ca="1">IFERROR(__xludf.DUMMYFUNCTION("""COMPUTED_VALUE"""),"")</f>
        <v/>
      </c>
      <c r="D18531" s="12" t="str">
        <f ca="1">IFERROR(__xludf.DUMMYFUNCTION("""COMPUTED_VALUE"""),"")</f>
        <v/>
      </c>
    </row>
    <row r="18532" spans="2:4" ht="13">
      <c r="B18532" s="12" t="str">
        <f ca="1">IFERROR(__xludf.DUMMYFUNCTION("""COMPUTED_VALUE"""),"")</f>
        <v/>
      </c>
      <c r="C18532" s="12" t="str">
        <f ca="1">IFERROR(__xludf.DUMMYFUNCTION("""COMPUTED_VALUE"""),"")</f>
        <v/>
      </c>
      <c r="D18532" s="12" t="str">
        <f ca="1">IFERROR(__xludf.DUMMYFUNCTION("""COMPUTED_VALUE"""),"")</f>
        <v/>
      </c>
    </row>
    <row r="18533" spans="2:4" ht="13">
      <c r="B18533" s="12" t="str">
        <f ca="1">IFERROR(__xludf.DUMMYFUNCTION("""COMPUTED_VALUE"""),"")</f>
        <v/>
      </c>
      <c r="C18533" s="12" t="str">
        <f ca="1">IFERROR(__xludf.DUMMYFUNCTION("""COMPUTED_VALUE"""),"")</f>
        <v/>
      </c>
      <c r="D18533" s="12" t="str">
        <f ca="1">IFERROR(__xludf.DUMMYFUNCTION("""COMPUTED_VALUE"""),"")</f>
        <v/>
      </c>
    </row>
    <row r="18534" spans="2:4" ht="13">
      <c r="B18534" s="12" t="str">
        <f ca="1">IFERROR(__xludf.DUMMYFUNCTION("""COMPUTED_VALUE"""),"")</f>
        <v/>
      </c>
      <c r="C18534" s="12" t="str">
        <f ca="1">IFERROR(__xludf.DUMMYFUNCTION("""COMPUTED_VALUE"""),"")</f>
        <v/>
      </c>
      <c r="D18534" s="12" t="str">
        <f ca="1">IFERROR(__xludf.DUMMYFUNCTION("""COMPUTED_VALUE"""),"")</f>
        <v/>
      </c>
    </row>
    <row r="18535" spans="2:4" ht="13">
      <c r="B18535" s="12" t="str">
        <f ca="1">IFERROR(__xludf.DUMMYFUNCTION("""COMPUTED_VALUE"""),"")</f>
        <v/>
      </c>
      <c r="C18535" s="12" t="str">
        <f ca="1">IFERROR(__xludf.DUMMYFUNCTION("""COMPUTED_VALUE"""),"")</f>
        <v/>
      </c>
      <c r="D18535" s="12" t="str">
        <f ca="1">IFERROR(__xludf.DUMMYFUNCTION("""COMPUTED_VALUE"""),"")</f>
        <v/>
      </c>
    </row>
    <row r="18536" spans="2:4" ht="13">
      <c r="B18536" s="12" t="str">
        <f ca="1">IFERROR(__xludf.DUMMYFUNCTION("""COMPUTED_VALUE"""),"")</f>
        <v/>
      </c>
      <c r="C18536" s="12" t="str">
        <f ca="1">IFERROR(__xludf.DUMMYFUNCTION("""COMPUTED_VALUE"""),"")</f>
        <v/>
      </c>
      <c r="D18536" s="12" t="str">
        <f ca="1">IFERROR(__xludf.DUMMYFUNCTION("""COMPUTED_VALUE"""),"")</f>
        <v/>
      </c>
    </row>
    <row r="18537" spans="2:4" ht="13">
      <c r="B18537" s="12" t="str">
        <f ca="1">IFERROR(__xludf.DUMMYFUNCTION("""COMPUTED_VALUE"""),"")</f>
        <v/>
      </c>
      <c r="C18537" s="12" t="str">
        <f ca="1">IFERROR(__xludf.DUMMYFUNCTION("""COMPUTED_VALUE"""),"")</f>
        <v/>
      </c>
      <c r="D18537" s="12" t="str">
        <f ca="1">IFERROR(__xludf.DUMMYFUNCTION("""COMPUTED_VALUE"""),"")</f>
        <v/>
      </c>
    </row>
    <row r="18538" spans="2:4" ht="13">
      <c r="B18538" s="12" t="str">
        <f ca="1">IFERROR(__xludf.DUMMYFUNCTION("""COMPUTED_VALUE"""),"")</f>
        <v/>
      </c>
      <c r="C18538" s="12" t="str">
        <f ca="1">IFERROR(__xludf.DUMMYFUNCTION("""COMPUTED_VALUE"""),"")</f>
        <v/>
      </c>
      <c r="D18538" s="12" t="str">
        <f ca="1">IFERROR(__xludf.DUMMYFUNCTION("""COMPUTED_VALUE"""),"")</f>
        <v/>
      </c>
    </row>
    <row r="18539" spans="2:4" ht="13">
      <c r="B18539" s="12" t="str">
        <f ca="1">IFERROR(__xludf.DUMMYFUNCTION("""COMPUTED_VALUE"""),"")</f>
        <v/>
      </c>
      <c r="C18539" s="12" t="str">
        <f ca="1">IFERROR(__xludf.DUMMYFUNCTION("""COMPUTED_VALUE"""),"")</f>
        <v/>
      </c>
      <c r="D18539" s="12" t="str">
        <f ca="1">IFERROR(__xludf.DUMMYFUNCTION("""COMPUTED_VALUE"""),"")</f>
        <v/>
      </c>
    </row>
    <row r="18540" spans="2:4" ht="13">
      <c r="B18540" s="12" t="str">
        <f ca="1">IFERROR(__xludf.DUMMYFUNCTION("""COMPUTED_VALUE"""),"")</f>
        <v/>
      </c>
      <c r="C18540" s="12" t="str">
        <f ca="1">IFERROR(__xludf.DUMMYFUNCTION("""COMPUTED_VALUE"""),"")</f>
        <v/>
      </c>
      <c r="D18540" s="12" t="str">
        <f ca="1">IFERROR(__xludf.DUMMYFUNCTION("""COMPUTED_VALUE"""),"")</f>
        <v/>
      </c>
    </row>
    <row r="18541" spans="2:4" ht="13">
      <c r="B18541" s="12" t="str">
        <f ca="1">IFERROR(__xludf.DUMMYFUNCTION("""COMPUTED_VALUE"""),"")</f>
        <v/>
      </c>
      <c r="C18541" s="12" t="str">
        <f ca="1">IFERROR(__xludf.DUMMYFUNCTION("""COMPUTED_VALUE"""),"")</f>
        <v/>
      </c>
      <c r="D18541" s="12" t="str">
        <f ca="1">IFERROR(__xludf.DUMMYFUNCTION("""COMPUTED_VALUE"""),"")</f>
        <v/>
      </c>
    </row>
    <row r="18542" spans="2:4" ht="13">
      <c r="B18542" s="12" t="str">
        <f ca="1">IFERROR(__xludf.DUMMYFUNCTION("""COMPUTED_VALUE"""),"")</f>
        <v/>
      </c>
      <c r="C18542" s="12" t="str">
        <f ca="1">IFERROR(__xludf.DUMMYFUNCTION("""COMPUTED_VALUE"""),"")</f>
        <v/>
      </c>
      <c r="D18542" s="12" t="str">
        <f ca="1">IFERROR(__xludf.DUMMYFUNCTION("""COMPUTED_VALUE"""),"")</f>
        <v/>
      </c>
    </row>
    <row r="18543" spans="2:4" ht="13">
      <c r="B18543" s="12" t="str">
        <f ca="1">IFERROR(__xludf.DUMMYFUNCTION("""COMPUTED_VALUE"""),"")</f>
        <v/>
      </c>
      <c r="C18543" s="12" t="str">
        <f ca="1">IFERROR(__xludf.DUMMYFUNCTION("""COMPUTED_VALUE"""),"")</f>
        <v/>
      </c>
      <c r="D18543" s="12" t="str">
        <f ca="1">IFERROR(__xludf.DUMMYFUNCTION("""COMPUTED_VALUE"""),"")</f>
        <v/>
      </c>
    </row>
    <row r="18544" spans="2:4" ht="13">
      <c r="B18544" s="12" t="str">
        <f ca="1">IFERROR(__xludf.DUMMYFUNCTION("""COMPUTED_VALUE"""),"")</f>
        <v/>
      </c>
      <c r="C18544" s="12" t="str">
        <f ca="1">IFERROR(__xludf.DUMMYFUNCTION("""COMPUTED_VALUE"""),"")</f>
        <v/>
      </c>
      <c r="D18544" s="12" t="str">
        <f ca="1">IFERROR(__xludf.DUMMYFUNCTION("""COMPUTED_VALUE"""),"")</f>
        <v/>
      </c>
    </row>
    <row r="18545" spans="2:4" ht="13">
      <c r="B18545" s="12" t="str">
        <f ca="1">IFERROR(__xludf.DUMMYFUNCTION("""COMPUTED_VALUE"""),"")</f>
        <v/>
      </c>
      <c r="C18545" s="12" t="str">
        <f ca="1">IFERROR(__xludf.DUMMYFUNCTION("""COMPUTED_VALUE"""),"")</f>
        <v/>
      </c>
      <c r="D18545" s="12" t="str">
        <f ca="1">IFERROR(__xludf.DUMMYFUNCTION("""COMPUTED_VALUE"""),"")</f>
        <v/>
      </c>
    </row>
    <row r="18546" spans="2:4" ht="13">
      <c r="B18546" s="12" t="str">
        <f ca="1">IFERROR(__xludf.DUMMYFUNCTION("""COMPUTED_VALUE"""),"")</f>
        <v/>
      </c>
      <c r="C18546" s="12" t="str">
        <f ca="1">IFERROR(__xludf.DUMMYFUNCTION("""COMPUTED_VALUE"""),"")</f>
        <v/>
      </c>
      <c r="D18546" s="12" t="str">
        <f ca="1">IFERROR(__xludf.DUMMYFUNCTION("""COMPUTED_VALUE"""),"")</f>
        <v/>
      </c>
    </row>
    <row r="18547" spans="2:4" ht="13">
      <c r="B18547" s="12" t="str">
        <f ca="1">IFERROR(__xludf.DUMMYFUNCTION("""COMPUTED_VALUE"""),"")</f>
        <v/>
      </c>
      <c r="C18547" s="12" t="str">
        <f ca="1">IFERROR(__xludf.DUMMYFUNCTION("""COMPUTED_VALUE"""),"")</f>
        <v/>
      </c>
      <c r="D18547" s="12" t="str">
        <f ca="1">IFERROR(__xludf.DUMMYFUNCTION("""COMPUTED_VALUE"""),"")</f>
        <v/>
      </c>
    </row>
    <row r="18548" spans="2:4" ht="13">
      <c r="B18548" s="12" t="str">
        <f ca="1">IFERROR(__xludf.DUMMYFUNCTION("""COMPUTED_VALUE"""),"")</f>
        <v/>
      </c>
      <c r="C18548" s="12" t="str">
        <f ca="1">IFERROR(__xludf.DUMMYFUNCTION("""COMPUTED_VALUE"""),"")</f>
        <v/>
      </c>
      <c r="D18548" s="12" t="str">
        <f ca="1">IFERROR(__xludf.DUMMYFUNCTION("""COMPUTED_VALUE"""),"")</f>
        <v/>
      </c>
    </row>
    <row r="18549" spans="2:4" ht="13">
      <c r="B18549" s="12" t="str">
        <f ca="1">IFERROR(__xludf.DUMMYFUNCTION("""COMPUTED_VALUE"""),"")</f>
        <v/>
      </c>
      <c r="C18549" s="12" t="str">
        <f ca="1">IFERROR(__xludf.DUMMYFUNCTION("""COMPUTED_VALUE"""),"")</f>
        <v/>
      </c>
      <c r="D18549" s="12" t="str">
        <f ca="1">IFERROR(__xludf.DUMMYFUNCTION("""COMPUTED_VALUE"""),"")</f>
        <v/>
      </c>
    </row>
    <row r="18550" spans="2:4" ht="13">
      <c r="B18550" s="12" t="str">
        <f ca="1">IFERROR(__xludf.DUMMYFUNCTION("""COMPUTED_VALUE"""),"")</f>
        <v/>
      </c>
      <c r="C18550" s="12" t="str">
        <f ca="1">IFERROR(__xludf.DUMMYFUNCTION("""COMPUTED_VALUE"""),"")</f>
        <v/>
      </c>
      <c r="D18550" s="12" t="str">
        <f ca="1">IFERROR(__xludf.DUMMYFUNCTION("""COMPUTED_VALUE"""),"")</f>
        <v/>
      </c>
    </row>
    <row r="18551" spans="2:4" ht="13">
      <c r="B18551" s="12" t="str">
        <f ca="1">IFERROR(__xludf.DUMMYFUNCTION("""COMPUTED_VALUE"""),"")</f>
        <v/>
      </c>
      <c r="C18551" s="12" t="str">
        <f ca="1">IFERROR(__xludf.DUMMYFUNCTION("""COMPUTED_VALUE"""),"")</f>
        <v/>
      </c>
      <c r="D18551" s="12" t="str">
        <f ca="1">IFERROR(__xludf.DUMMYFUNCTION("""COMPUTED_VALUE"""),"")</f>
        <v/>
      </c>
    </row>
    <row r="18552" spans="2:4" ht="13">
      <c r="B18552" s="12" t="str">
        <f ca="1">IFERROR(__xludf.DUMMYFUNCTION("""COMPUTED_VALUE"""),"")</f>
        <v/>
      </c>
      <c r="C18552" s="12" t="str">
        <f ca="1">IFERROR(__xludf.DUMMYFUNCTION("""COMPUTED_VALUE"""),"")</f>
        <v/>
      </c>
      <c r="D18552" s="12" t="str">
        <f ca="1">IFERROR(__xludf.DUMMYFUNCTION("""COMPUTED_VALUE"""),"")</f>
        <v/>
      </c>
    </row>
    <row r="18553" spans="2:4" ht="13">
      <c r="B18553" s="12" t="str">
        <f ca="1">IFERROR(__xludf.DUMMYFUNCTION("""COMPUTED_VALUE"""),"")</f>
        <v/>
      </c>
      <c r="C18553" s="12" t="str">
        <f ca="1">IFERROR(__xludf.DUMMYFUNCTION("""COMPUTED_VALUE"""),"")</f>
        <v/>
      </c>
      <c r="D18553" s="12" t="str">
        <f ca="1">IFERROR(__xludf.DUMMYFUNCTION("""COMPUTED_VALUE"""),"")</f>
        <v/>
      </c>
    </row>
    <row r="18554" spans="2:4" ht="13">
      <c r="B18554" s="12" t="str">
        <f ca="1">IFERROR(__xludf.DUMMYFUNCTION("""COMPUTED_VALUE"""),"")</f>
        <v/>
      </c>
      <c r="C18554" s="12" t="str">
        <f ca="1">IFERROR(__xludf.DUMMYFUNCTION("""COMPUTED_VALUE"""),"")</f>
        <v/>
      </c>
      <c r="D18554" s="12" t="str">
        <f ca="1">IFERROR(__xludf.DUMMYFUNCTION("""COMPUTED_VALUE"""),"")</f>
        <v/>
      </c>
    </row>
    <row r="18555" spans="2:4" ht="13">
      <c r="B18555" s="12" t="str">
        <f ca="1">IFERROR(__xludf.DUMMYFUNCTION("""COMPUTED_VALUE"""),"")</f>
        <v/>
      </c>
      <c r="C18555" s="12" t="str">
        <f ca="1">IFERROR(__xludf.DUMMYFUNCTION("""COMPUTED_VALUE"""),"")</f>
        <v/>
      </c>
      <c r="D18555" s="12" t="str">
        <f ca="1">IFERROR(__xludf.DUMMYFUNCTION("""COMPUTED_VALUE"""),"")</f>
        <v/>
      </c>
    </row>
    <row r="18556" spans="2:4" ht="13">
      <c r="B18556" s="12" t="str">
        <f ca="1">IFERROR(__xludf.DUMMYFUNCTION("""COMPUTED_VALUE"""),"")</f>
        <v/>
      </c>
      <c r="C18556" s="12" t="str">
        <f ca="1">IFERROR(__xludf.DUMMYFUNCTION("""COMPUTED_VALUE"""),"")</f>
        <v/>
      </c>
      <c r="D18556" s="12" t="str">
        <f ca="1">IFERROR(__xludf.DUMMYFUNCTION("""COMPUTED_VALUE"""),"")</f>
        <v/>
      </c>
    </row>
    <row r="18557" spans="2:4" ht="13">
      <c r="B18557" s="12" t="str">
        <f ca="1">IFERROR(__xludf.DUMMYFUNCTION("""COMPUTED_VALUE"""),"")</f>
        <v/>
      </c>
      <c r="C18557" s="12" t="str">
        <f ca="1">IFERROR(__xludf.DUMMYFUNCTION("""COMPUTED_VALUE"""),"")</f>
        <v/>
      </c>
      <c r="D18557" s="12" t="str">
        <f ca="1">IFERROR(__xludf.DUMMYFUNCTION("""COMPUTED_VALUE"""),"")</f>
        <v/>
      </c>
    </row>
    <row r="18558" spans="2:4" ht="13">
      <c r="B18558" s="12" t="str">
        <f ca="1">IFERROR(__xludf.DUMMYFUNCTION("""COMPUTED_VALUE"""),"")</f>
        <v/>
      </c>
      <c r="C18558" s="12" t="str">
        <f ca="1">IFERROR(__xludf.DUMMYFUNCTION("""COMPUTED_VALUE"""),"")</f>
        <v/>
      </c>
      <c r="D18558" s="12" t="str">
        <f ca="1">IFERROR(__xludf.DUMMYFUNCTION("""COMPUTED_VALUE"""),"")</f>
        <v/>
      </c>
    </row>
    <row r="18559" spans="2:4" ht="13">
      <c r="B18559" s="12" t="str">
        <f ca="1">IFERROR(__xludf.DUMMYFUNCTION("""COMPUTED_VALUE"""),"")</f>
        <v/>
      </c>
      <c r="C18559" s="12" t="str">
        <f ca="1">IFERROR(__xludf.DUMMYFUNCTION("""COMPUTED_VALUE"""),"")</f>
        <v/>
      </c>
      <c r="D18559" s="12" t="str">
        <f ca="1">IFERROR(__xludf.DUMMYFUNCTION("""COMPUTED_VALUE"""),"")</f>
        <v/>
      </c>
    </row>
    <row r="18560" spans="2:4" ht="13">
      <c r="B18560" s="12" t="str">
        <f ca="1">IFERROR(__xludf.DUMMYFUNCTION("""COMPUTED_VALUE"""),"")</f>
        <v/>
      </c>
      <c r="C18560" s="12" t="str">
        <f ca="1">IFERROR(__xludf.DUMMYFUNCTION("""COMPUTED_VALUE"""),"")</f>
        <v/>
      </c>
      <c r="D18560" s="12" t="str">
        <f ca="1">IFERROR(__xludf.DUMMYFUNCTION("""COMPUTED_VALUE"""),"")</f>
        <v/>
      </c>
    </row>
    <row r="18561" spans="2:4" ht="13">
      <c r="B18561" s="12" t="str">
        <f ca="1">IFERROR(__xludf.DUMMYFUNCTION("""COMPUTED_VALUE"""),"")</f>
        <v/>
      </c>
      <c r="C18561" s="12" t="str">
        <f ca="1">IFERROR(__xludf.DUMMYFUNCTION("""COMPUTED_VALUE"""),"")</f>
        <v/>
      </c>
      <c r="D18561" s="12" t="str">
        <f ca="1">IFERROR(__xludf.DUMMYFUNCTION("""COMPUTED_VALUE"""),"")</f>
        <v/>
      </c>
    </row>
    <row r="18562" spans="2:4" ht="13">
      <c r="B18562" s="12" t="str">
        <f ca="1">IFERROR(__xludf.DUMMYFUNCTION("""COMPUTED_VALUE"""),"")</f>
        <v/>
      </c>
      <c r="C18562" s="12" t="str">
        <f ca="1">IFERROR(__xludf.DUMMYFUNCTION("""COMPUTED_VALUE"""),"")</f>
        <v/>
      </c>
      <c r="D18562" s="12" t="str">
        <f ca="1">IFERROR(__xludf.DUMMYFUNCTION("""COMPUTED_VALUE"""),"")</f>
        <v/>
      </c>
    </row>
    <row r="18563" spans="2:4" ht="13">
      <c r="B18563" s="12" t="str">
        <f ca="1">IFERROR(__xludf.DUMMYFUNCTION("""COMPUTED_VALUE"""),"")</f>
        <v/>
      </c>
      <c r="C18563" s="12" t="str">
        <f ca="1">IFERROR(__xludf.DUMMYFUNCTION("""COMPUTED_VALUE"""),"")</f>
        <v/>
      </c>
      <c r="D18563" s="12" t="str">
        <f ca="1">IFERROR(__xludf.DUMMYFUNCTION("""COMPUTED_VALUE"""),"")</f>
        <v/>
      </c>
    </row>
    <row r="18564" spans="2:4" ht="13">
      <c r="B18564" s="12" t="str">
        <f ca="1">IFERROR(__xludf.DUMMYFUNCTION("""COMPUTED_VALUE"""),"")</f>
        <v/>
      </c>
      <c r="C18564" s="12" t="str">
        <f ca="1">IFERROR(__xludf.DUMMYFUNCTION("""COMPUTED_VALUE"""),"")</f>
        <v/>
      </c>
      <c r="D18564" s="12" t="str">
        <f ca="1">IFERROR(__xludf.DUMMYFUNCTION("""COMPUTED_VALUE"""),"")</f>
        <v/>
      </c>
    </row>
    <row r="18565" spans="2:4" ht="13">
      <c r="B18565" s="12" t="str">
        <f ca="1">IFERROR(__xludf.DUMMYFUNCTION("""COMPUTED_VALUE"""),"")</f>
        <v/>
      </c>
      <c r="C18565" s="12" t="str">
        <f ca="1">IFERROR(__xludf.DUMMYFUNCTION("""COMPUTED_VALUE"""),"")</f>
        <v/>
      </c>
      <c r="D18565" s="12" t="str">
        <f ca="1">IFERROR(__xludf.DUMMYFUNCTION("""COMPUTED_VALUE"""),"")</f>
        <v/>
      </c>
    </row>
    <row r="18566" spans="2:4" ht="13">
      <c r="B18566" s="12" t="str">
        <f ca="1">IFERROR(__xludf.DUMMYFUNCTION("""COMPUTED_VALUE"""),"")</f>
        <v/>
      </c>
      <c r="C18566" s="12" t="str">
        <f ca="1">IFERROR(__xludf.DUMMYFUNCTION("""COMPUTED_VALUE"""),"")</f>
        <v/>
      </c>
      <c r="D18566" s="12" t="str">
        <f ca="1">IFERROR(__xludf.DUMMYFUNCTION("""COMPUTED_VALUE"""),"")</f>
        <v/>
      </c>
    </row>
    <row r="18567" spans="2:4" ht="13">
      <c r="B18567" s="12" t="str">
        <f ca="1">IFERROR(__xludf.DUMMYFUNCTION("""COMPUTED_VALUE"""),"")</f>
        <v/>
      </c>
      <c r="C18567" s="12" t="str">
        <f ca="1">IFERROR(__xludf.DUMMYFUNCTION("""COMPUTED_VALUE"""),"")</f>
        <v/>
      </c>
      <c r="D18567" s="12" t="str">
        <f ca="1">IFERROR(__xludf.DUMMYFUNCTION("""COMPUTED_VALUE"""),"")</f>
        <v/>
      </c>
    </row>
    <row r="18568" spans="2:4" ht="13">
      <c r="B18568" s="12" t="str">
        <f ca="1">IFERROR(__xludf.DUMMYFUNCTION("""COMPUTED_VALUE"""),"")</f>
        <v/>
      </c>
      <c r="C18568" s="12" t="str">
        <f ca="1">IFERROR(__xludf.DUMMYFUNCTION("""COMPUTED_VALUE"""),"")</f>
        <v/>
      </c>
      <c r="D18568" s="12" t="str">
        <f ca="1">IFERROR(__xludf.DUMMYFUNCTION("""COMPUTED_VALUE"""),"")</f>
        <v/>
      </c>
    </row>
    <row r="18569" spans="2:4" ht="13">
      <c r="B18569" s="12" t="str">
        <f ca="1">IFERROR(__xludf.DUMMYFUNCTION("""COMPUTED_VALUE"""),"")</f>
        <v/>
      </c>
      <c r="C18569" s="12" t="str">
        <f ca="1">IFERROR(__xludf.DUMMYFUNCTION("""COMPUTED_VALUE"""),"")</f>
        <v/>
      </c>
      <c r="D18569" s="12" t="str">
        <f ca="1">IFERROR(__xludf.DUMMYFUNCTION("""COMPUTED_VALUE"""),"")</f>
        <v/>
      </c>
    </row>
    <row r="18570" spans="2:4" ht="13">
      <c r="B18570" s="12" t="str">
        <f ca="1">IFERROR(__xludf.DUMMYFUNCTION("""COMPUTED_VALUE"""),"")</f>
        <v/>
      </c>
      <c r="C18570" s="12" t="str">
        <f ca="1">IFERROR(__xludf.DUMMYFUNCTION("""COMPUTED_VALUE"""),"")</f>
        <v/>
      </c>
      <c r="D18570" s="12" t="str">
        <f ca="1">IFERROR(__xludf.DUMMYFUNCTION("""COMPUTED_VALUE"""),"")</f>
        <v/>
      </c>
    </row>
    <row r="18571" spans="2:4" ht="13">
      <c r="B18571" s="12" t="str">
        <f ca="1">IFERROR(__xludf.DUMMYFUNCTION("""COMPUTED_VALUE"""),"")</f>
        <v/>
      </c>
      <c r="C18571" s="12" t="str">
        <f ca="1">IFERROR(__xludf.DUMMYFUNCTION("""COMPUTED_VALUE"""),"")</f>
        <v/>
      </c>
      <c r="D18571" s="12" t="str">
        <f ca="1">IFERROR(__xludf.DUMMYFUNCTION("""COMPUTED_VALUE"""),"")</f>
        <v/>
      </c>
    </row>
    <row r="18572" spans="2:4" ht="13">
      <c r="B18572" s="12" t="str">
        <f ca="1">IFERROR(__xludf.DUMMYFUNCTION("""COMPUTED_VALUE"""),"")</f>
        <v/>
      </c>
      <c r="C18572" s="12" t="str">
        <f ca="1">IFERROR(__xludf.DUMMYFUNCTION("""COMPUTED_VALUE"""),"")</f>
        <v/>
      </c>
      <c r="D18572" s="12" t="str">
        <f ca="1">IFERROR(__xludf.DUMMYFUNCTION("""COMPUTED_VALUE"""),"")</f>
        <v/>
      </c>
    </row>
    <row r="18573" spans="2:4" ht="13">
      <c r="B18573" s="12" t="str">
        <f ca="1">IFERROR(__xludf.DUMMYFUNCTION("""COMPUTED_VALUE"""),"")</f>
        <v/>
      </c>
      <c r="C18573" s="12" t="str">
        <f ca="1">IFERROR(__xludf.DUMMYFUNCTION("""COMPUTED_VALUE"""),"")</f>
        <v/>
      </c>
      <c r="D18573" s="12" t="str">
        <f ca="1">IFERROR(__xludf.DUMMYFUNCTION("""COMPUTED_VALUE"""),"")</f>
        <v/>
      </c>
    </row>
    <row r="18574" spans="2:4" ht="13">
      <c r="B18574" s="12" t="str">
        <f ca="1">IFERROR(__xludf.DUMMYFUNCTION("""COMPUTED_VALUE"""),"")</f>
        <v/>
      </c>
      <c r="C18574" s="12" t="str">
        <f ca="1">IFERROR(__xludf.DUMMYFUNCTION("""COMPUTED_VALUE"""),"")</f>
        <v/>
      </c>
      <c r="D18574" s="12" t="str">
        <f ca="1">IFERROR(__xludf.DUMMYFUNCTION("""COMPUTED_VALUE"""),"")</f>
        <v/>
      </c>
    </row>
    <row r="18575" spans="2:4" ht="13">
      <c r="B18575" s="12" t="str">
        <f ca="1">IFERROR(__xludf.DUMMYFUNCTION("""COMPUTED_VALUE"""),"")</f>
        <v/>
      </c>
      <c r="C18575" s="12" t="str">
        <f ca="1">IFERROR(__xludf.DUMMYFUNCTION("""COMPUTED_VALUE"""),"")</f>
        <v/>
      </c>
      <c r="D18575" s="12" t="str">
        <f ca="1">IFERROR(__xludf.DUMMYFUNCTION("""COMPUTED_VALUE"""),"")</f>
        <v/>
      </c>
    </row>
    <row r="18576" spans="2:4" ht="13">
      <c r="B18576" s="12" t="str">
        <f ca="1">IFERROR(__xludf.DUMMYFUNCTION("""COMPUTED_VALUE"""),"")</f>
        <v/>
      </c>
      <c r="C18576" s="12" t="str">
        <f ca="1">IFERROR(__xludf.DUMMYFUNCTION("""COMPUTED_VALUE"""),"")</f>
        <v/>
      </c>
      <c r="D18576" s="12" t="str">
        <f ca="1">IFERROR(__xludf.DUMMYFUNCTION("""COMPUTED_VALUE"""),"")</f>
        <v/>
      </c>
    </row>
    <row r="18577" spans="2:4" ht="13">
      <c r="B18577" s="12" t="str">
        <f ca="1">IFERROR(__xludf.DUMMYFUNCTION("""COMPUTED_VALUE"""),"")</f>
        <v/>
      </c>
      <c r="C18577" s="12" t="str">
        <f ca="1">IFERROR(__xludf.DUMMYFUNCTION("""COMPUTED_VALUE"""),"")</f>
        <v/>
      </c>
      <c r="D18577" s="12" t="str">
        <f ca="1">IFERROR(__xludf.DUMMYFUNCTION("""COMPUTED_VALUE"""),"")</f>
        <v/>
      </c>
    </row>
    <row r="18578" spans="2:4" ht="13">
      <c r="B18578" s="12" t="str">
        <f ca="1">IFERROR(__xludf.DUMMYFUNCTION("""COMPUTED_VALUE"""),"")</f>
        <v/>
      </c>
      <c r="C18578" s="12" t="str">
        <f ca="1">IFERROR(__xludf.DUMMYFUNCTION("""COMPUTED_VALUE"""),"")</f>
        <v/>
      </c>
      <c r="D18578" s="12" t="str">
        <f ca="1">IFERROR(__xludf.DUMMYFUNCTION("""COMPUTED_VALUE"""),"")</f>
        <v/>
      </c>
    </row>
    <row r="18579" spans="2:4" ht="13">
      <c r="B18579" s="12" t="str">
        <f ca="1">IFERROR(__xludf.DUMMYFUNCTION("""COMPUTED_VALUE"""),"")</f>
        <v/>
      </c>
      <c r="C18579" s="12" t="str">
        <f ca="1">IFERROR(__xludf.DUMMYFUNCTION("""COMPUTED_VALUE"""),"")</f>
        <v/>
      </c>
      <c r="D18579" s="12" t="str">
        <f ca="1">IFERROR(__xludf.DUMMYFUNCTION("""COMPUTED_VALUE"""),"")</f>
        <v/>
      </c>
    </row>
    <row r="18580" spans="2:4" ht="13">
      <c r="B18580" s="12" t="str">
        <f ca="1">IFERROR(__xludf.DUMMYFUNCTION("""COMPUTED_VALUE"""),"")</f>
        <v/>
      </c>
      <c r="C18580" s="12" t="str">
        <f ca="1">IFERROR(__xludf.DUMMYFUNCTION("""COMPUTED_VALUE"""),"")</f>
        <v/>
      </c>
      <c r="D18580" s="12" t="str">
        <f ca="1">IFERROR(__xludf.DUMMYFUNCTION("""COMPUTED_VALUE"""),"")</f>
        <v/>
      </c>
    </row>
    <row r="18581" spans="2:4" ht="13">
      <c r="B18581" s="12" t="str">
        <f ca="1">IFERROR(__xludf.DUMMYFUNCTION("""COMPUTED_VALUE"""),"")</f>
        <v/>
      </c>
      <c r="C18581" s="12" t="str">
        <f ca="1">IFERROR(__xludf.DUMMYFUNCTION("""COMPUTED_VALUE"""),"")</f>
        <v/>
      </c>
      <c r="D18581" s="12" t="str">
        <f ca="1">IFERROR(__xludf.DUMMYFUNCTION("""COMPUTED_VALUE"""),"")</f>
        <v/>
      </c>
    </row>
    <row r="18582" spans="2:4" ht="13">
      <c r="B18582" s="12" t="str">
        <f ca="1">IFERROR(__xludf.DUMMYFUNCTION("""COMPUTED_VALUE"""),"")</f>
        <v/>
      </c>
      <c r="C18582" s="12" t="str">
        <f ca="1">IFERROR(__xludf.DUMMYFUNCTION("""COMPUTED_VALUE"""),"")</f>
        <v/>
      </c>
      <c r="D18582" s="12" t="str">
        <f ca="1">IFERROR(__xludf.DUMMYFUNCTION("""COMPUTED_VALUE"""),"")</f>
        <v/>
      </c>
    </row>
    <row r="18583" spans="2:4" ht="13">
      <c r="B18583" s="12" t="str">
        <f ca="1">IFERROR(__xludf.DUMMYFUNCTION("""COMPUTED_VALUE"""),"")</f>
        <v/>
      </c>
      <c r="C18583" s="12" t="str">
        <f ca="1">IFERROR(__xludf.DUMMYFUNCTION("""COMPUTED_VALUE"""),"")</f>
        <v/>
      </c>
      <c r="D18583" s="12" t="str">
        <f ca="1">IFERROR(__xludf.DUMMYFUNCTION("""COMPUTED_VALUE"""),"")</f>
        <v/>
      </c>
    </row>
    <row r="18584" spans="2:4" ht="13">
      <c r="B18584" s="12" t="str">
        <f ca="1">IFERROR(__xludf.DUMMYFUNCTION("""COMPUTED_VALUE"""),"")</f>
        <v/>
      </c>
      <c r="C18584" s="12" t="str">
        <f ca="1">IFERROR(__xludf.DUMMYFUNCTION("""COMPUTED_VALUE"""),"")</f>
        <v/>
      </c>
      <c r="D18584" s="12" t="str">
        <f ca="1">IFERROR(__xludf.DUMMYFUNCTION("""COMPUTED_VALUE"""),"")</f>
        <v/>
      </c>
    </row>
    <row r="18585" spans="2:4" ht="13">
      <c r="B18585" s="12" t="str">
        <f ca="1">IFERROR(__xludf.DUMMYFUNCTION("""COMPUTED_VALUE"""),"")</f>
        <v/>
      </c>
      <c r="C18585" s="12" t="str">
        <f ca="1">IFERROR(__xludf.DUMMYFUNCTION("""COMPUTED_VALUE"""),"")</f>
        <v/>
      </c>
      <c r="D18585" s="12" t="str">
        <f ca="1">IFERROR(__xludf.DUMMYFUNCTION("""COMPUTED_VALUE"""),"")</f>
        <v/>
      </c>
    </row>
    <row r="18586" spans="2:4" ht="13">
      <c r="B18586" s="12" t="str">
        <f ca="1">IFERROR(__xludf.DUMMYFUNCTION("""COMPUTED_VALUE"""),"")</f>
        <v/>
      </c>
      <c r="C18586" s="12" t="str">
        <f ca="1">IFERROR(__xludf.DUMMYFUNCTION("""COMPUTED_VALUE"""),"")</f>
        <v/>
      </c>
      <c r="D18586" s="12" t="str">
        <f ca="1">IFERROR(__xludf.DUMMYFUNCTION("""COMPUTED_VALUE"""),"")</f>
        <v/>
      </c>
    </row>
    <row r="18587" spans="2:4" ht="13">
      <c r="B18587" s="12" t="str">
        <f ca="1">IFERROR(__xludf.DUMMYFUNCTION("""COMPUTED_VALUE"""),"")</f>
        <v/>
      </c>
      <c r="C18587" s="12" t="str">
        <f ca="1">IFERROR(__xludf.DUMMYFUNCTION("""COMPUTED_VALUE"""),"")</f>
        <v/>
      </c>
      <c r="D18587" s="12" t="str">
        <f ca="1">IFERROR(__xludf.DUMMYFUNCTION("""COMPUTED_VALUE"""),"")</f>
        <v/>
      </c>
    </row>
    <row r="18588" spans="2:4" ht="13">
      <c r="B18588" s="12" t="str">
        <f ca="1">IFERROR(__xludf.DUMMYFUNCTION("""COMPUTED_VALUE"""),"")</f>
        <v/>
      </c>
      <c r="C18588" s="12" t="str">
        <f ca="1">IFERROR(__xludf.DUMMYFUNCTION("""COMPUTED_VALUE"""),"")</f>
        <v/>
      </c>
      <c r="D18588" s="12" t="str">
        <f ca="1">IFERROR(__xludf.DUMMYFUNCTION("""COMPUTED_VALUE"""),"")</f>
        <v/>
      </c>
    </row>
    <row r="18589" spans="2:4" ht="13">
      <c r="B18589" s="12" t="str">
        <f ca="1">IFERROR(__xludf.DUMMYFUNCTION("""COMPUTED_VALUE"""),"")</f>
        <v/>
      </c>
      <c r="C18589" s="12" t="str">
        <f ca="1">IFERROR(__xludf.DUMMYFUNCTION("""COMPUTED_VALUE"""),"")</f>
        <v/>
      </c>
      <c r="D18589" s="12" t="str">
        <f ca="1">IFERROR(__xludf.DUMMYFUNCTION("""COMPUTED_VALUE"""),"")</f>
        <v/>
      </c>
    </row>
    <row r="18590" spans="2:4" ht="13">
      <c r="B18590" s="12" t="str">
        <f ca="1">IFERROR(__xludf.DUMMYFUNCTION("""COMPUTED_VALUE"""),"")</f>
        <v/>
      </c>
      <c r="C18590" s="12" t="str">
        <f ca="1">IFERROR(__xludf.DUMMYFUNCTION("""COMPUTED_VALUE"""),"")</f>
        <v/>
      </c>
      <c r="D18590" s="12" t="str">
        <f ca="1">IFERROR(__xludf.DUMMYFUNCTION("""COMPUTED_VALUE"""),"")</f>
        <v/>
      </c>
    </row>
    <row r="18591" spans="2:4" ht="13">
      <c r="B18591" s="12" t="str">
        <f ca="1">IFERROR(__xludf.DUMMYFUNCTION("""COMPUTED_VALUE"""),"")</f>
        <v/>
      </c>
      <c r="C18591" s="12" t="str">
        <f ca="1">IFERROR(__xludf.DUMMYFUNCTION("""COMPUTED_VALUE"""),"")</f>
        <v/>
      </c>
      <c r="D18591" s="12" t="str">
        <f ca="1">IFERROR(__xludf.DUMMYFUNCTION("""COMPUTED_VALUE"""),"")</f>
        <v/>
      </c>
    </row>
    <row r="18592" spans="2:4" ht="13">
      <c r="B18592" s="12" t="str">
        <f ca="1">IFERROR(__xludf.DUMMYFUNCTION("""COMPUTED_VALUE"""),"")</f>
        <v/>
      </c>
      <c r="C18592" s="12" t="str">
        <f ca="1">IFERROR(__xludf.DUMMYFUNCTION("""COMPUTED_VALUE"""),"")</f>
        <v/>
      </c>
      <c r="D18592" s="12" t="str">
        <f ca="1">IFERROR(__xludf.DUMMYFUNCTION("""COMPUTED_VALUE"""),"")</f>
        <v/>
      </c>
    </row>
    <row r="18593" spans="2:4" ht="13">
      <c r="B18593" s="12" t="str">
        <f ca="1">IFERROR(__xludf.DUMMYFUNCTION("""COMPUTED_VALUE"""),"")</f>
        <v/>
      </c>
      <c r="C18593" s="12" t="str">
        <f ca="1">IFERROR(__xludf.DUMMYFUNCTION("""COMPUTED_VALUE"""),"")</f>
        <v/>
      </c>
      <c r="D18593" s="12" t="str">
        <f ca="1">IFERROR(__xludf.DUMMYFUNCTION("""COMPUTED_VALUE"""),"")</f>
        <v/>
      </c>
    </row>
    <row r="18594" spans="2:4" ht="13">
      <c r="B18594" s="12" t="str">
        <f ca="1">IFERROR(__xludf.DUMMYFUNCTION("""COMPUTED_VALUE"""),"")</f>
        <v/>
      </c>
      <c r="C18594" s="12" t="str">
        <f ca="1">IFERROR(__xludf.DUMMYFUNCTION("""COMPUTED_VALUE"""),"")</f>
        <v/>
      </c>
      <c r="D18594" s="12" t="str">
        <f ca="1">IFERROR(__xludf.DUMMYFUNCTION("""COMPUTED_VALUE"""),"")</f>
        <v/>
      </c>
    </row>
    <row r="18595" spans="2:4" ht="13">
      <c r="B18595" s="12" t="str">
        <f ca="1">IFERROR(__xludf.DUMMYFUNCTION("""COMPUTED_VALUE"""),"")</f>
        <v/>
      </c>
      <c r="C18595" s="12" t="str">
        <f ca="1">IFERROR(__xludf.DUMMYFUNCTION("""COMPUTED_VALUE"""),"")</f>
        <v/>
      </c>
      <c r="D18595" s="12" t="str">
        <f ca="1">IFERROR(__xludf.DUMMYFUNCTION("""COMPUTED_VALUE"""),"")</f>
        <v/>
      </c>
    </row>
    <row r="18596" spans="2:4" ht="13">
      <c r="B18596" s="12" t="str">
        <f ca="1">IFERROR(__xludf.DUMMYFUNCTION("""COMPUTED_VALUE"""),"")</f>
        <v/>
      </c>
      <c r="C18596" s="12" t="str">
        <f ca="1">IFERROR(__xludf.DUMMYFUNCTION("""COMPUTED_VALUE"""),"")</f>
        <v/>
      </c>
      <c r="D18596" s="12" t="str">
        <f ca="1">IFERROR(__xludf.DUMMYFUNCTION("""COMPUTED_VALUE"""),"")</f>
        <v/>
      </c>
    </row>
    <row r="18597" spans="2:4" ht="13">
      <c r="B18597" s="12" t="str">
        <f ca="1">IFERROR(__xludf.DUMMYFUNCTION("""COMPUTED_VALUE"""),"")</f>
        <v/>
      </c>
      <c r="C18597" s="12" t="str">
        <f ca="1">IFERROR(__xludf.DUMMYFUNCTION("""COMPUTED_VALUE"""),"")</f>
        <v/>
      </c>
      <c r="D18597" s="12" t="str">
        <f ca="1">IFERROR(__xludf.DUMMYFUNCTION("""COMPUTED_VALUE"""),"")</f>
        <v/>
      </c>
    </row>
    <row r="18598" spans="2:4" ht="13">
      <c r="B18598" s="12" t="str">
        <f ca="1">IFERROR(__xludf.DUMMYFUNCTION("""COMPUTED_VALUE"""),"")</f>
        <v/>
      </c>
      <c r="C18598" s="12" t="str">
        <f ca="1">IFERROR(__xludf.DUMMYFUNCTION("""COMPUTED_VALUE"""),"")</f>
        <v/>
      </c>
      <c r="D18598" s="12" t="str">
        <f ca="1">IFERROR(__xludf.DUMMYFUNCTION("""COMPUTED_VALUE"""),"")</f>
        <v/>
      </c>
    </row>
    <row r="18599" spans="2:4" ht="13">
      <c r="B18599" s="12" t="str">
        <f ca="1">IFERROR(__xludf.DUMMYFUNCTION("""COMPUTED_VALUE"""),"")</f>
        <v/>
      </c>
      <c r="C18599" s="12" t="str">
        <f ca="1">IFERROR(__xludf.DUMMYFUNCTION("""COMPUTED_VALUE"""),"")</f>
        <v/>
      </c>
      <c r="D18599" s="12" t="str">
        <f ca="1">IFERROR(__xludf.DUMMYFUNCTION("""COMPUTED_VALUE"""),"")</f>
        <v/>
      </c>
    </row>
    <row r="18600" spans="2:4" ht="13">
      <c r="B18600" s="12" t="str">
        <f ca="1">IFERROR(__xludf.DUMMYFUNCTION("""COMPUTED_VALUE"""),"")</f>
        <v/>
      </c>
      <c r="C18600" s="12" t="str">
        <f ca="1">IFERROR(__xludf.DUMMYFUNCTION("""COMPUTED_VALUE"""),"")</f>
        <v/>
      </c>
      <c r="D18600" s="12" t="str">
        <f ca="1">IFERROR(__xludf.DUMMYFUNCTION("""COMPUTED_VALUE"""),"")</f>
        <v/>
      </c>
    </row>
    <row r="18601" spans="2:4" ht="13">
      <c r="B18601" s="12" t="str">
        <f ca="1">IFERROR(__xludf.DUMMYFUNCTION("""COMPUTED_VALUE"""),"")</f>
        <v/>
      </c>
      <c r="C18601" s="12" t="str">
        <f ca="1">IFERROR(__xludf.DUMMYFUNCTION("""COMPUTED_VALUE"""),"")</f>
        <v/>
      </c>
      <c r="D18601" s="12" t="str">
        <f ca="1">IFERROR(__xludf.DUMMYFUNCTION("""COMPUTED_VALUE"""),"")</f>
        <v/>
      </c>
    </row>
    <row r="18602" spans="2:4" ht="13">
      <c r="B18602" s="12" t="str">
        <f ca="1">IFERROR(__xludf.DUMMYFUNCTION("""COMPUTED_VALUE"""),"")</f>
        <v/>
      </c>
      <c r="C18602" s="12" t="str">
        <f ca="1">IFERROR(__xludf.DUMMYFUNCTION("""COMPUTED_VALUE"""),"")</f>
        <v/>
      </c>
      <c r="D18602" s="12" t="str">
        <f ca="1">IFERROR(__xludf.DUMMYFUNCTION("""COMPUTED_VALUE"""),"")</f>
        <v/>
      </c>
    </row>
    <row r="18603" spans="2:4" ht="13">
      <c r="B18603" s="12" t="str">
        <f ca="1">IFERROR(__xludf.DUMMYFUNCTION("""COMPUTED_VALUE"""),"")</f>
        <v/>
      </c>
      <c r="C18603" s="12" t="str">
        <f ca="1">IFERROR(__xludf.DUMMYFUNCTION("""COMPUTED_VALUE"""),"")</f>
        <v/>
      </c>
      <c r="D18603" s="12" t="str">
        <f ca="1">IFERROR(__xludf.DUMMYFUNCTION("""COMPUTED_VALUE"""),"")</f>
        <v/>
      </c>
    </row>
    <row r="18604" spans="2:4" ht="13">
      <c r="B18604" s="12" t="str">
        <f ca="1">IFERROR(__xludf.DUMMYFUNCTION("""COMPUTED_VALUE"""),"")</f>
        <v/>
      </c>
      <c r="C18604" s="12" t="str">
        <f ca="1">IFERROR(__xludf.DUMMYFUNCTION("""COMPUTED_VALUE"""),"")</f>
        <v/>
      </c>
      <c r="D18604" s="12" t="str">
        <f ca="1">IFERROR(__xludf.DUMMYFUNCTION("""COMPUTED_VALUE"""),"")</f>
        <v/>
      </c>
    </row>
    <row r="18605" spans="2:4" ht="13">
      <c r="B18605" s="12" t="str">
        <f ca="1">IFERROR(__xludf.DUMMYFUNCTION("""COMPUTED_VALUE"""),"")</f>
        <v/>
      </c>
      <c r="C18605" s="12" t="str">
        <f ca="1">IFERROR(__xludf.DUMMYFUNCTION("""COMPUTED_VALUE"""),"")</f>
        <v/>
      </c>
      <c r="D18605" s="12" t="str">
        <f ca="1">IFERROR(__xludf.DUMMYFUNCTION("""COMPUTED_VALUE"""),"")</f>
        <v/>
      </c>
    </row>
    <row r="18606" spans="2:4" ht="13">
      <c r="B18606" s="12" t="str">
        <f ca="1">IFERROR(__xludf.DUMMYFUNCTION("""COMPUTED_VALUE"""),"")</f>
        <v/>
      </c>
      <c r="C18606" s="12" t="str">
        <f ca="1">IFERROR(__xludf.DUMMYFUNCTION("""COMPUTED_VALUE"""),"")</f>
        <v/>
      </c>
      <c r="D18606" s="12" t="str">
        <f ca="1">IFERROR(__xludf.DUMMYFUNCTION("""COMPUTED_VALUE"""),"")</f>
        <v/>
      </c>
    </row>
    <row r="18607" spans="2:4" ht="13">
      <c r="B18607" s="12" t="str">
        <f ca="1">IFERROR(__xludf.DUMMYFUNCTION("""COMPUTED_VALUE"""),"")</f>
        <v/>
      </c>
      <c r="C18607" s="12" t="str">
        <f ca="1">IFERROR(__xludf.DUMMYFUNCTION("""COMPUTED_VALUE"""),"")</f>
        <v/>
      </c>
      <c r="D18607" s="12" t="str">
        <f ca="1">IFERROR(__xludf.DUMMYFUNCTION("""COMPUTED_VALUE"""),"")</f>
        <v/>
      </c>
    </row>
    <row r="18608" spans="2:4" ht="13">
      <c r="B18608" s="12" t="str">
        <f ca="1">IFERROR(__xludf.DUMMYFUNCTION("""COMPUTED_VALUE"""),"")</f>
        <v/>
      </c>
      <c r="C18608" s="12" t="str">
        <f ca="1">IFERROR(__xludf.DUMMYFUNCTION("""COMPUTED_VALUE"""),"")</f>
        <v/>
      </c>
      <c r="D18608" s="12" t="str">
        <f ca="1">IFERROR(__xludf.DUMMYFUNCTION("""COMPUTED_VALUE"""),"")</f>
        <v/>
      </c>
    </row>
    <row r="18609" spans="2:4" ht="13">
      <c r="B18609" s="12" t="str">
        <f ca="1">IFERROR(__xludf.DUMMYFUNCTION("""COMPUTED_VALUE"""),"")</f>
        <v/>
      </c>
      <c r="C18609" s="12" t="str">
        <f ca="1">IFERROR(__xludf.DUMMYFUNCTION("""COMPUTED_VALUE"""),"")</f>
        <v/>
      </c>
      <c r="D18609" s="12" t="str">
        <f ca="1">IFERROR(__xludf.DUMMYFUNCTION("""COMPUTED_VALUE"""),"")</f>
        <v/>
      </c>
    </row>
    <row r="18610" spans="2:4" ht="13">
      <c r="B18610" s="12" t="str">
        <f ca="1">IFERROR(__xludf.DUMMYFUNCTION("""COMPUTED_VALUE"""),"")</f>
        <v/>
      </c>
      <c r="C18610" s="12" t="str">
        <f ca="1">IFERROR(__xludf.DUMMYFUNCTION("""COMPUTED_VALUE"""),"")</f>
        <v/>
      </c>
      <c r="D18610" s="12" t="str">
        <f ca="1">IFERROR(__xludf.DUMMYFUNCTION("""COMPUTED_VALUE"""),"")</f>
        <v/>
      </c>
    </row>
    <row r="18611" spans="2:4" ht="13">
      <c r="B18611" s="12" t="str">
        <f ca="1">IFERROR(__xludf.DUMMYFUNCTION("""COMPUTED_VALUE"""),"")</f>
        <v/>
      </c>
      <c r="C18611" s="12" t="str">
        <f ca="1">IFERROR(__xludf.DUMMYFUNCTION("""COMPUTED_VALUE"""),"")</f>
        <v/>
      </c>
      <c r="D18611" s="12" t="str">
        <f ca="1">IFERROR(__xludf.DUMMYFUNCTION("""COMPUTED_VALUE"""),"")</f>
        <v/>
      </c>
    </row>
    <row r="18612" spans="2:4" ht="13">
      <c r="B18612" s="12" t="str">
        <f ca="1">IFERROR(__xludf.DUMMYFUNCTION("""COMPUTED_VALUE"""),"")</f>
        <v/>
      </c>
      <c r="C18612" s="12" t="str">
        <f ca="1">IFERROR(__xludf.DUMMYFUNCTION("""COMPUTED_VALUE"""),"")</f>
        <v/>
      </c>
      <c r="D18612" s="12" t="str">
        <f ca="1">IFERROR(__xludf.DUMMYFUNCTION("""COMPUTED_VALUE"""),"")</f>
        <v/>
      </c>
    </row>
    <row r="18613" spans="2:4" ht="13">
      <c r="B18613" s="12" t="str">
        <f ca="1">IFERROR(__xludf.DUMMYFUNCTION("""COMPUTED_VALUE"""),"")</f>
        <v/>
      </c>
      <c r="C18613" s="12" t="str">
        <f ca="1">IFERROR(__xludf.DUMMYFUNCTION("""COMPUTED_VALUE"""),"")</f>
        <v/>
      </c>
      <c r="D18613" s="12" t="str">
        <f ca="1">IFERROR(__xludf.DUMMYFUNCTION("""COMPUTED_VALUE"""),"")</f>
        <v/>
      </c>
    </row>
    <row r="18614" spans="2:4" ht="13">
      <c r="B18614" s="12" t="str">
        <f ca="1">IFERROR(__xludf.DUMMYFUNCTION("""COMPUTED_VALUE"""),"")</f>
        <v/>
      </c>
      <c r="C18614" s="12" t="str">
        <f ca="1">IFERROR(__xludf.DUMMYFUNCTION("""COMPUTED_VALUE"""),"")</f>
        <v/>
      </c>
      <c r="D18614" s="12" t="str">
        <f ca="1">IFERROR(__xludf.DUMMYFUNCTION("""COMPUTED_VALUE"""),"")</f>
        <v/>
      </c>
    </row>
    <row r="18615" spans="2:4" ht="13">
      <c r="B18615" s="12" t="str">
        <f ca="1">IFERROR(__xludf.DUMMYFUNCTION("""COMPUTED_VALUE"""),"")</f>
        <v/>
      </c>
      <c r="C18615" s="12" t="str">
        <f ca="1">IFERROR(__xludf.DUMMYFUNCTION("""COMPUTED_VALUE"""),"")</f>
        <v/>
      </c>
      <c r="D18615" s="12" t="str">
        <f ca="1">IFERROR(__xludf.DUMMYFUNCTION("""COMPUTED_VALUE"""),"")</f>
        <v/>
      </c>
    </row>
    <row r="18616" spans="2:4" ht="13">
      <c r="B18616" s="12" t="str">
        <f ca="1">IFERROR(__xludf.DUMMYFUNCTION("""COMPUTED_VALUE"""),"")</f>
        <v/>
      </c>
      <c r="C18616" s="12" t="str">
        <f ca="1">IFERROR(__xludf.DUMMYFUNCTION("""COMPUTED_VALUE"""),"")</f>
        <v/>
      </c>
      <c r="D18616" s="12" t="str">
        <f ca="1">IFERROR(__xludf.DUMMYFUNCTION("""COMPUTED_VALUE"""),"")</f>
        <v/>
      </c>
    </row>
    <row r="18617" spans="2:4" ht="13">
      <c r="B18617" s="12" t="str">
        <f ca="1">IFERROR(__xludf.DUMMYFUNCTION("""COMPUTED_VALUE"""),"")</f>
        <v/>
      </c>
      <c r="C18617" s="12" t="str">
        <f ca="1">IFERROR(__xludf.DUMMYFUNCTION("""COMPUTED_VALUE"""),"")</f>
        <v/>
      </c>
      <c r="D18617" s="12" t="str">
        <f ca="1">IFERROR(__xludf.DUMMYFUNCTION("""COMPUTED_VALUE"""),"")</f>
        <v/>
      </c>
    </row>
    <row r="18618" spans="2:4" ht="13">
      <c r="B18618" s="12" t="str">
        <f ca="1">IFERROR(__xludf.DUMMYFUNCTION("""COMPUTED_VALUE"""),"")</f>
        <v/>
      </c>
      <c r="C18618" s="12" t="str">
        <f ca="1">IFERROR(__xludf.DUMMYFUNCTION("""COMPUTED_VALUE"""),"")</f>
        <v/>
      </c>
      <c r="D18618" s="12" t="str">
        <f ca="1">IFERROR(__xludf.DUMMYFUNCTION("""COMPUTED_VALUE"""),"")</f>
        <v/>
      </c>
    </row>
    <row r="18619" spans="2:4" ht="13">
      <c r="B18619" s="12" t="str">
        <f ca="1">IFERROR(__xludf.DUMMYFUNCTION("""COMPUTED_VALUE"""),"")</f>
        <v/>
      </c>
      <c r="C18619" s="12" t="str">
        <f ca="1">IFERROR(__xludf.DUMMYFUNCTION("""COMPUTED_VALUE"""),"")</f>
        <v/>
      </c>
      <c r="D18619" s="12" t="str">
        <f ca="1">IFERROR(__xludf.DUMMYFUNCTION("""COMPUTED_VALUE"""),"")</f>
        <v/>
      </c>
    </row>
    <row r="18620" spans="2:4" ht="13">
      <c r="B18620" s="12" t="str">
        <f ca="1">IFERROR(__xludf.DUMMYFUNCTION("""COMPUTED_VALUE"""),"")</f>
        <v/>
      </c>
      <c r="C18620" s="12" t="str">
        <f ca="1">IFERROR(__xludf.DUMMYFUNCTION("""COMPUTED_VALUE"""),"")</f>
        <v/>
      </c>
      <c r="D18620" s="12" t="str">
        <f ca="1">IFERROR(__xludf.DUMMYFUNCTION("""COMPUTED_VALUE"""),"")</f>
        <v/>
      </c>
    </row>
    <row r="18621" spans="2:4" ht="13">
      <c r="B18621" s="12" t="str">
        <f ca="1">IFERROR(__xludf.DUMMYFUNCTION("""COMPUTED_VALUE"""),"")</f>
        <v/>
      </c>
      <c r="C18621" s="12" t="str">
        <f ca="1">IFERROR(__xludf.DUMMYFUNCTION("""COMPUTED_VALUE"""),"")</f>
        <v/>
      </c>
      <c r="D18621" s="12" t="str">
        <f ca="1">IFERROR(__xludf.DUMMYFUNCTION("""COMPUTED_VALUE"""),"")</f>
        <v/>
      </c>
    </row>
    <row r="18622" spans="2:4" ht="13">
      <c r="B18622" s="12" t="str">
        <f ca="1">IFERROR(__xludf.DUMMYFUNCTION("""COMPUTED_VALUE"""),"")</f>
        <v/>
      </c>
      <c r="C18622" s="12" t="str">
        <f ca="1">IFERROR(__xludf.DUMMYFUNCTION("""COMPUTED_VALUE"""),"")</f>
        <v/>
      </c>
      <c r="D18622" s="12" t="str">
        <f ca="1">IFERROR(__xludf.DUMMYFUNCTION("""COMPUTED_VALUE"""),"")</f>
        <v/>
      </c>
    </row>
    <row r="18623" spans="2:4" ht="13">
      <c r="B18623" s="12" t="str">
        <f ca="1">IFERROR(__xludf.DUMMYFUNCTION("""COMPUTED_VALUE"""),"")</f>
        <v/>
      </c>
      <c r="C18623" s="12" t="str">
        <f ca="1">IFERROR(__xludf.DUMMYFUNCTION("""COMPUTED_VALUE"""),"")</f>
        <v/>
      </c>
      <c r="D18623" s="12" t="str">
        <f ca="1">IFERROR(__xludf.DUMMYFUNCTION("""COMPUTED_VALUE"""),"")</f>
        <v/>
      </c>
    </row>
    <row r="18624" spans="2:4" ht="13">
      <c r="B18624" s="12" t="str">
        <f ca="1">IFERROR(__xludf.DUMMYFUNCTION("""COMPUTED_VALUE"""),"")</f>
        <v/>
      </c>
      <c r="C18624" s="12" t="str">
        <f ca="1">IFERROR(__xludf.DUMMYFUNCTION("""COMPUTED_VALUE"""),"")</f>
        <v/>
      </c>
      <c r="D18624" s="12" t="str">
        <f ca="1">IFERROR(__xludf.DUMMYFUNCTION("""COMPUTED_VALUE"""),"")</f>
        <v/>
      </c>
    </row>
    <row r="18625" spans="2:4" ht="13">
      <c r="B18625" s="12" t="str">
        <f ca="1">IFERROR(__xludf.DUMMYFUNCTION("""COMPUTED_VALUE"""),"")</f>
        <v/>
      </c>
      <c r="C18625" s="12" t="str">
        <f ca="1">IFERROR(__xludf.DUMMYFUNCTION("""COMPUTED_VALUE"""),"")</f>
        <v/>
      </c>
      <c r="D18625" s="12" t="str">
        <f ca="1">IFERROR(__xludf.DUMMYFUNCTION("""COMPUTED_VALUE"""),"")</f>
        <v/>
      </c>
    </row>
    <row r="18626" spans="2:4" ht="13">
      <c r="B18626" s="12" t="str">
        <f ca="1">IFERROR(__xludf.DUMMYFUNCTION("""COMPUTED_VALUE"""),"")</f>
        <v/>
      </c>
      <c r="C18626" s="12" t="str">
        <f ca="1">IFERROR(__xludf.DUMMYFUNCTION("""COMPUTED_VALUE"""),"")</f>
        <v/>
      </c>
      <c r="D18626" s="12" t="str">
        <f ca="1">IFERROR(__xludf.DUMMYFUNCTION("""COMPUTED_VALUE"""),"")</f>
        <v/>
      </c>
    </row>
    <row r="18627" spans="2:4" ht="13">
      <c r="B18627" s="12" t="str">
        <f ca="1">IFERROR(__xludf.DUMMYFUNCTION("""COMPUTED_VALUE"""),"")</f>
        <v/>
      </c>
      <c r="C18627" s="12" t="str">
        <f ca="1">IFERROR(__xludf.DUMMYFUNCTION("""COMPUTED_VALUE"""),"")</f>
        <v/>
      </c>
      <c r="D18627" s="12" t="str">
        <f ca="1">IFERROR(__xludf.DUMMYFUNCTION("""COMPUTED_VALUE"""),"")</f>
        <v/>
      </c>
    </row>
    <row r="18628" spans="2:4" ht="13">
      <c r="B18628" s="12" t="str">
        <f ca="1">IFERROR(__xludf.DUMMYFUNCTION("""COMPUTED_VALUE"""),"")</f>
        <v/>
      </c>
      <c r="C18628" s="12" t="str">
        <f ca="1">IFERROR(__xludf.DUMMYFUNCTION("""COMPUTED_VALUE"""),"")</f>
        <v/>
      </c>
      <c r="D18628" s="12" t="str">
        <f ca="1">IFERROR(__xludf.DUMMYFUNCTION("""COMPUTED_VALUE"""),"")</f>
        <v/>
      </c>
    </row>
    <row r="18629" spans="2:4" ht="13">
      <c r="B18629" s="12" t="str">
        <f ca="1">IFERROR(__xludf.DUMMYFUNCTION("""COMPUTED_VALUE"""),"")</f>
        <v/>
      </c>
      <c r="C18629" s="12" t="str">
        <f ca="1">IFERROR(__xludf.DUMMYFUNCTION("""COMPUTED_VALUE"""),"")</f>
        <v/>
      </c>
      <c r="D18629" s="12" t="str">
        <f ca="1">IFERROR(__xludf.DUMMYFUNCTION("""COMPUTED_VALUE"""),"")</f>
        <v/>
      </c>
    </row>
    <row r="18630" spans="2:4" ht="13">
      <c r="B18630" s="12" t="str">
        <f ca="1">IFERROR(__xludf.DUMMYFUNCTION("""COMPUTED_VALUE"""),"")</f>
        <v/>
      </c>
      <c r="C18630" s="12" t="str">
        <f ca="1">IFERROR(__xludf.DUMMYFUNCTION("""COMPUTED_VALUE"""),"")</f>
        <v/>
      </c>
      <c r="D18630" s="12" t="str">
        <f ca="1">IFERROR(__xludf.DUMMYFUNCTION("""COMPUTED_VALUE"""),"")</f>
        <v/>
      </c>
    </row>
    <row r="18631" spans="2:4" ht="13">
      <c r="B18631" s="12" t="str">
        <f ca="1">IFERROR(__xludf.DUMMYFUNCTION("""COMPUTED_VALUE"""),"")</f>
        <v/>
      </c>
      <c r="C18631" s="12" t="str">
        <f ca="1">IFERROR(__xludf.DUMMYFUNCTION("""COMPUTED_VALUE"""),"")</f>
        <v/>
      </c>
      <c r="D18631" s="12" t="str">
        <f ca="1">IFERROR(__xludf.DUMMYFUNCTION("""COMPUTED_VALUE"""),"")</f>
        <v/>
      </c>
    </row>
    <row r="18632" spans="2:4" ht="13">
      <c r="B18632" s="12" t="str">
        <f ca="1">IFERROR(__xludf.DUMMYFUNCTION("""COMPUTED_VALUE"""),"")</f>
        <v/>
      </c>
      <c r="C18632" s="12" t="str">
        <f ca="1">IFERROR(__xludf.DUMMYFUNCTION("""COMPUTED_VALUE"""),"")</f>
        <v/>
      </c>
      <c r="D18632" s="12" t="str">
        <f ca="1">IFERROR(__xludf.DUMMYFUNCTION("""COMPUTED_VALUE"""),"")</f>
        <v/>
      </c>
    </row>
    <row r="18633" spans="2:4" ht="13">
      <c r="B18633" s="12" t="str">
        <f ca="1">IFERROR(__xludf.DUMMYFUNCTION("""COMPUTED_VALUE"""),"")</f>
        <v/>
      </c>
      <c r="C18633" s="12" t="str">
        <f ca="1">IFERROR(__xludf.DUMMYFUNCTION("""COMPUTED_VALUE"""),"")</f>
        <v/>
      </c>
      <c r="D18633" s="12" t="str">
        <f ca="1">IFERROR(__xludf.DUMMYFUNCTION("""COMPUTED_VALUE"""),"")</f>
        <v/>
      </c>
    </row>
    <row r="18634" spans="2:4" ht="13">
      <c r="B18634" s="12" t="str">
        <f ca="1">IFERROR(__xludf.DUMMYFUNCTION("""COMPUTED_VALUE"""),"")</f>
        <v/>
      </c>
      <c r="C18634" s="12" t="str">
        <f ca="1">IFERROR(__xludf.DUMMYFUNCTION("""COMPUTED_VALUE"""),"")</f>
        <v/>
      </c>
      <c r="D18634" s="12" t="str">
        <f ca="1">IFERROR(__xludf.DUMMYFUNCTION("""COMPUTED_VALUE"""),"")</f>
        <v/>
      </c>
    </row>
    <row r="18635" spans="2:4" ht="13">
      <c r="B18635" s="12" t="str">
        <f ca="1">IFERROR(__xludf.DUMMYFUNCTION("""COMPUTED_VALUE"""),"")</f>
        <v/>
      </c>
      <c r="C18635" s="12" t="str">
        <f ca="1">IFERROR(__xludf.DUMMYFUNCTION("""COMPUTED_VALUE"""),"")</f>
        <v/>
      </c>
      <c r="D18635" s="12" t="str">
        <f ca="1">IFERROR(__xludf.DUMMYFUNCTION("""COMPUTED_VALUE"""),"")</f>
        <v/>
      </c>
    </row>
    <row r="18636" spans="2:4" ht="13">
      <c r="B18636" s="12" t="str">
        <f ca="1">IFERROR(__xludf.DUMMYFUNCTION("""COMPUTED_VALUE"""),"")</f>
        <v/>
      </c>
      <c r="C18636" s="12" t="str">
        <f ca="1">IFERROR(__xludf.DUMMYFUNCTION("""COMPUTED_VALUE"""),"")</f>
        <v/>
      </c>
      <c r="D18636" s="12" t="str">
        <f ca="1">IFERROR(__xludf.DUMMYFUNCTION("""COMPUTED_VALUE"""),"")</f>
        <v/>
      </c>
    </row>
    <row r="18637" spans="2:4" ht="13">
      <c r="B18637" s="12" t="str">
        <f ca="1">IFERROR(__xludf.DUMMYFUNCTION("""COMPUTED_VALUE"""),"")</f>
        <v/>
      </c>
      <c r="C18637" s="12" t="str">
        <f ca="1">IFERROR(__xludf.DUMMYFUNCTION("""COMPUTED_VALUE"""),"")</f>
        <v/>
      </c>
      <c r="D18637" s="12" t="str">
        <f ca="1">IFERROR(__xludf.DUMMYFUNCTION("""COMPUTED_VALUE"""),"")</f>
        <v/>
      </c>
    </row>
    <row r="18638" spans="2:4" ht="13">
      <c r="B18638" s="12" t="str">
        <f ca="1">IFERROR(__xludf.DUMMYFUNCTION("""COMPUTED_VALUE"""),"")</f>
        <v/>
      </c>
      <c r="C18638" s="12" t="str">
        <f ca="1">IFERROR(__xludf.DUMMYFUNCTION("""COMPUTED_VALUE"""),"")</f>
        <v/>
      </c>
      <c r="D18638" s="12" t="str">
        <f ca="1">IFERROR(__xludf.DUMMYFUNCTION("""COMPUTED_VALUE"""),"")</f>
        <v/>
      </c>
    </row>
    <row r="18639" spans="2:4" ht="13">
      <c r="B18639" s="12" t="str">
        <f ca="1">IFERROR(__xludf.DUMMYFUNCTION("""COMPUTED_VALUE"""),"")</f>
        <v/>
      </c>
      <c r="C18639" s="12" t="str">
        <f ca="1">IFERROR(__xludf.DUMMYFUNCTION("""COMPUTED_VALUE"""),"")</f>
        <v/>
      </c>
      <c r="D18639" s="12" t="str">
        <f ca="1">IFERROR(__xludf.DUMMYFUNCTION("""COMPUTED_VALUE"""),"")</f>
        <v/>
      </c>
    </row>
    <row r="18640" spans="2:4" ht="13">
      <c r="B18640" s="12" t="str">
        <f ca="1">IFERROR(__xludf.DUMMYFUNCTION("""COMPUTED_VALUE"""),"")</f>
        <v/>
      </c>
      <c r="C18640" s="12" t="str">
        <f ca="1">IFERROR(__xludf.DUMMYFUNCTION("""COMPUTED_VALUE"""),"")</f>
        <v/>
      </c>
      <c r="D18640" s="12" t="str">
        <f ca="1">IFERROR(__xludf.DUMMYFUNCTION("""COMPUTED_VALUE"""),"")</f>
        <v/>
      </c>
    </row>
    <row r="18641" spans="2:4" ht="13">
      <c r="B18641" s="12" t="str">
        <f ca="1">IFERROR(__xludf.DUMMYFUNCTION("""COMPUTED_VALUE"""),"")</f>
        <v/>
      </c>
      <c r="C18641" s="12" t="str">
        <f ca="1">IFERROR(__xludf.DUMMYFUNCTION("""COMPUTED_VALUE"""),"")</f>
        <v/>
      </c>
      <c r="D18641" s="12" t="str">
        <f ca="1">IFERROR(__xludf.DUMMYFUNCTION("""COMPUTED_VALUE"""),"")</f>
        <v/>
      </c>
    </row>
    <row r="18642" spans="2:4" ht="13">
      <c r="B18642" s="12" t="str">
        <f ca="1">IFERROR(__xludf.DUMMYFUNCTION("""COMPUTED_VALUE"""),"")</f>
        <v/>
      </c>
      <c r="C18642" s="12" t="str">
        <f ca="1">IFERROR(__xludf.DUMMYFUNCTION("""COMPUTED_VALUE"""),"")</f>
        <v/>
      </c>
      <c r="D18642" s="12" t="str">
        <f ca="1">IFERROR(__xludf.DUMMYFUNCTION("""COMPUTED_VALUE"""),"")</f>
        <v/>
      </c>
    </row>
    <row r="18643" spans="2:4" ht="13">
      <c r="B18643" s="12" t="str">
        <f ca="1">IFERROR(__xludf.DUMMYFUNCTION("""COMPUTED_VALUE"""),"")</f>
        <v/>
      </c>
      <c r="C18643" s="12" t="str">
        <f ca="1">IFERROR(__xludf.DUMMYFUNCTION("""COMPUTED_VALUE"""),"")</f>
        <v/>
      </c>
      <c r="D18643" s="12" t="str">
        <f ca="1">IFERROR(__xludf.DUMMYFUNCTION("""COMPUTED_VALUE"""),"")</f>
        <v/>
      </c>
    </row>
    <row r="18644" spans="2:4" ht="13">
      <c r="B18644" s="12" t="str">
        <f ca="1">IFERROR(__xludf.DUMMYFUNCTION("""COMPUTED_VALUE"""),"")</f>
        <v/>
      </c>
      <c r="C18644" s="12" t="str">
        <f ca="1">IFERROR(__xludf.DUMMYFUNCTION("""COMPUTED_VALUE"""),"")</f>
        <v/>
      </c>
      <c r="D18644" s="12" t="str">
        <f ca="1">IFERROR(__xludf.DUMMYFUNCTION("""COMPUTED_VALUE"""),"")</f>
        <v/>
      </c>
    </row>
    <row r="18645" spans="2:4" ht="13">
      <c r="B18645" s="12" t="str">
        <f ca="1">IFERROR(__xludf.DUMMYFUNCTION("""COMPUTED_VALUE"""),"")</f>
        <v/>
      </c>
      <c r="C18645" s="12" t="str">
        <f ca="1">IFERROR(__xludf.DUMMYFUNCTION("""COMPUTED_VALUE"""),"")</f>
        <v/>
      </c>
      <c r="D18645" s="12" t="str">
        <f ca="1">IFERROR(__xludf.DUMMYFUNCTION("""COMPUTED_VALUE"""),"")</f>
        <v/>
      </c>
    </row>
    <row r="18646" spans="2:4" ht="13">
      <c r="B18646" s="12" t="str">
        <f ca="1">IFERROR(__xludf.DUMMYFUNCTION("""COMPUTED_VALUE"""),"")</f>
        <v/>
      </c>
      <c r="C18646" s="12" t="str">
        <f ca="1">IFERROR(__xludf.DUMMYFUNCTION("""COMPUTED_VALUE"""),"")</f>
        <v/>
      </c>
      <c r="D18646" s="12" t="str">
        <f ca="1">IFERROR(__xludf.DUMMYFUNCTION("""COMPUTED_VALUE"""),"")</f>
        <v/>
      </c>
    </row>
    <row r="18647" spans="2:4" ht="13">
      <c r="B18647" s="12" t="str">
        <f ca="1">IFERROR(__xludf.DUMMYFUNCTION("""COMPUTED_VALUE"""),"")</f>
        <v/>
      </c>
      <c r="C18647" s="12" t="str">
        <f ca="1">IFERROR(__xludf.DUMMYFUNCTION("""COMPUTED_VALUE"""),"")</f>
        <v/>
      </c>
      <c r="D18647" s="12" t="str">
        <f ca="1">IFERROR(__xludf.DUMMYFUNCTION("""COMPUTED_VALUE"""),"")</f>
        <v/>
      </c>
    </row>
    <row r="18648" spans="2:4" ht="13">
      <c r="B18648" s="12" t="str">
        <f ca="1">IFERROR(__xludf.DUMMYFUNCTION("""COMPUTED_VALUE"""),"")</f>
        <v/>
      </c>
      <c r="C18648" s="12" t="str">
        <f ca="1">IFERROR(__xludf.DUMMYFUNCTION("""COMPUTED_VALUE"""),"")</f>
        <v/>
      </c>
      <c r="D18648" s="12" t="str">
        <f ca="1">IFERROR(__xludf.DUMMYFUNCTION("""COMPUTED_VALUE"""),"")</f>
        <v/>
      </c>
    </row>
    <row r="18649" spans="2:4" ht="13">
      <c r="B18649" s="12" t="str">
        <f ca="1">IFERROR(__xludf.DUMMYFUNCTION("""COMPUTED_VALUE"""),"")</f>
        <v/>
      </c>
      <c r="C18649" s="12" t="str">
        <f ca="1">IFERROR(__xludf.DUMMYFUNCTION("""COMPUTED_VALUE"""),"")</f>
        <v/>
      </c>
      <c r="D18649" s="12" t="str">
        <f ca="1">IFERROR(__xludf.DUMMYFUNCTION("""COMPUTED_VALUE"""),"")</f>
        <v/>
      </c>
    </row>
    <row r="18650" spans="2:4" ht="13">
      <c r="B18650" s="12" t="str">
        <f ca="1">IFERROR(__xludf.DUMMYFUNCTION("""COMPUTED_VALUE"""),"")</f>
        <v/>
      </c>
      <c r="C18650" s="12" t="str">
        <f ca="1">IFERROR(__xludf.DUMMYFUNCTION("""COMPUTED_VALUE"""),"")</f>
        <v/>
      </c>
      <c r="D18650" s="12" t="str">
        <f ca="1">IFERROR(__xludf.DUMMYFUNCTION("""COMPUTED_VALUE"""),"")</f>
        <v/>
      </c>
    </row>
    <row r="18651" spans="2:4" ht="13">
      <c r="B18651" s="12" t="str">
        <f ca="1">IFERROR(__xludf.DUMMYFUNCTION("""COMPUTED_VALUE"""),"")</f>
        <v/>
      </c>
      <c r="C18651" s="12" t="str">
        <f ca="1">IFERROR(__xludf.DUMMYFUNCTION("""COMPUTED_VALUE"""),"")</f>
        <v/>
      </c>
      <c r="D18651" s="12" t="str">
        <f ca="1">IFERROR(__xludf.DUMMYFUNCTION("""COMPUTED_VALUE"""),"")</f>
        <v/>
      </c>
    </row>
    <row r="18652" spans="2:4" ht="13">
      <c r="B18652" s="12" t="str">
        <f ca="1">IFERROR(__xludf.DUMMYFUNCTION("""COMPUTED_VALUE"""),"")</f>
        <v/>
      </c>
      <c r="C18652" s="12" t="str">
        <f ca="1">IFERROR(__xludf.DUMMYFUNCTION("""COMPUTED_VALUE"""),"")</f>
        <v/>
      </c>
      <c r="D18652" s="12" t="str">
        <f ca="1">IFERROR(__xludf.DUMMYFUNCTION("""COMPUTED_VALUE"""),"")</f>
        <v/>
      </c>
    </row>
    <row r="18653" spans="2:4" ht="13">
      <c r="B18653" s="12" t="str">
        <f ca="1">IFERROR(__xludf.DUMMYFUNCTION("""COMPUTED_VALUE"""),"")</f>
        <v/>
      </c>
      <c r="C18653" s="12" t="str">
        <f ca="1">IFERROR(__xludf.DUMMYFUNCTION("""COMPUTED_VALUE"""),"")</f>
        <v/>
      </c>
      <c r="D18653" s="12" t="str">
        <f ca="1">IFERROR(__xludf.DUMMYFUNCTION("""COMPUTED_VALUE"""),"")</f>
        <v/>
      </c>
    </row>
    <row r="18654" spans="2:4" ht="13">
      <c r="B18654" s="12" t="str">
        <f ca="1">IFERROR(__xludf.DUMMYFUNCTION("""COMPUTED_VALUE"""),"")</f>
        <v/>
      </c>
      <c r="C18654" s="12" t="str">
        <f ca="1">IFERROR(__xludf.DUMMYFUNCTION("""COMPUTED_VALUE"""),"")</f>
        <v/>
      </c>
      <c r="D18654" s="12" t="str">
        <f ca="1">IFERROR(__xludf.DUMMYFUNCTION("""COMPUTED_VALUE"""),"")</f>
        <v/>
      </c>
    </row>
    <row r="18655" spans="2:4" ht="13">
      <c r="B18655" s="12" t="str">
        <f ca="1">IFERROR(__xludf.DUMMYFUNCTION("""COMPUTED_VALUE"""),"")</f>
        <v/>
      </c>
      <c r="C18655" s="12" t="str">
        <f ca="1">IFERROR(__xludf.DUMMYFUNCTION("""COMPUTED_VALUE"""),"")</f>
        <v/>
      </c>
      <c r="D18655" s="12" t="str">
        <f ca="1">IFERROR(__xludf.DUMMYFUNCTION("""COMPUTED_VALUE"""),"")</f>
        <v/>
      </c>
    </row>
    <row r="18656" spans="2:4" ht="13">
      <c r="B18656" s="12" t="str">
        <f ca="1">IFERROR(__xludf.DUMMYFUNCTION("""COMPUTED_VALUE"""),"")</f>
        <v/>
      </c>
      <c r="C18656" s="12" t="str">
        <f ca="1">IFERROR(__xludf.DUMMYFUNCTION("""COMPUTED_VALUE"""),"")</f>
        <v/>
      </c>
      <c r="D18656" s="12" t="str">
        <f ca="1">IFERROR(__xludf.DUMMYFUNCTION("""COMPUTED_VALUE"""),"")</f>
        <v/>
      </c>
    </row>
    <row r="18657" spans="2:4" ht="13">
      <c r="B18657" s="12" t="str">
        <f ca="1">IFERROR(__xludf.DUMMYFUNCTION("""COMPUTED_VALUE"""),"")</f>
        <v/>
      </c>
      <c r="C18657" s="12" t="str">
        <f ca="1">IFERROR(__xludf.DUMMYFUNCTION("""COMPUTED_VALUE"""),"")</f>
        <v/>
      </c>
      <c r="D18657" s="12" t="str">
        <f ca="1">IFERROR(__xludf.DUMMYFUNCTION("""COMPUTED_VALUE"""),"")</f>
        <v/>
      </c>
    </row>
    <row r="18658" spans="2:4" ht="13">
      <c r="B18658" s="12" t="str">
        <f ca="1">IFERROR(__xludf.DUMMYFUNCTION("""COMPUTED_VALUE"""),"")</f>
        <v/>
      </c>
      <c r="C18658" s="12" t="str">
        <f ca="1">IFERROR(__xludf.DUMMYFUNCTION("""COMPUTED_VALUE"""),"")</f>
        <v/>
      </c>
      <c r="D18658" s="12" t="str">
        <f ca="1">IFERROR(__xludf.DUMMYFUNCTION("""COMPUTED_VALUE"""),"")</f>
        <v/>
      </c>
    </row>
    <row r="18659" spans="2:4" ht="13">
      <c r="B18659" s="12" t="str">
        <f ca="1">IFERROR(__xludf.DUMMYFUNCTION("""COMPUTED_VALUE"""),"")</f>
        <v/>
      </c>
      <c r="C18659" s="12" t="str">
        <f ca="1">IFERROR(__xludf.DUMMYFUNCTION("""COMPUTED_VALUE"""),"")</f>
        <v/>
      </c>
      <c r="D18659" s="12" t="str">
        <f ca="1">IFERROR(__xludf.DUMMYFUNCTION("""COMPUTED_VALUE"""),"")</f>
        <v/>
      </c>
    </row>
    <row r="18660" spans="2:4" ht="13">
      <c r="B18660" s="12" t="str">
        <f ca="1">IFERROR(__xludf.DUMMYFUNCTION("""COMPUTED_VALUE"""),"")</f>
        <v/>
      </c>
      <c r="C18660" s="12" t="str">
        <f ca="1">IFERROR(__xludf.DUMMYFUNCTION("""COMPUTED_VALUE"""),"")</f>
        <v/>
      </c>
      <c r="D18660" s="12" t="str">
        <f ca="1">IFERROR(__xludf.DUMMYFUNCTION("""COMPUTED_VALUE"""),"")</f>
        <v/>
      </c>
    </row>
    <row r="18661" spans="2:4" ht="13">
      <c r="B18661" s="12" t="str">
        <f ca="1">IFERROR(__xludf.DUMMYFUNCTION("""COMPUTED_VALUE"""),"")</f>
        <v/>
      </c>
      <c r="C18661" s="12" t="str">
        <f ca="1">IFERROR(__xludf.DUMMYFUNCTION("""COMPUTED_VALUE"""),"")</f>
        <v/>
      </c>
      <c r="D18661" s="12" t="str">
        <f ca="1">IFERROR(__xludf.DUMMYFUNCTION("""COMPUTED_VALUE"""),"")</f>
        <v/>
      </c>
    </row>
    <row r="18662" spans="2:4" ht="13">
      <c r="B18662" s="12" t="str">
        <f ca="1">IFERROR(__xludf.DUMMYFUNCTION("""COMPUTED_VALUE"""),"")</f>
        <v/>
      </c>
      <c r="C18662" s="12" t="str">
        <f ca="1">IFERROR(__xludf.DUMMYFUNCTION("""COMPUTED_VALUE"""),"")</f>
        <v/>
      </c>
      <c r="D18662" s="12" t="str">
        <f ca="1">IFERROR(__xludf.DUMMYFUNCTION("""COMPUTED_VALUE"""),"")</f>
        <v/>
      </c>
    </row>
    <row r="18663" spans="2:4" ht="13">
      <c r="B18663" s="12" t="str">
        <f ca="1">IFERROR(__xludf.DUMMYFUNCTION("""COMPUTED_VALUE"""),"")</f>
        <v/>
      </c>
      <c r="C18663" s="12" t="str">
        <f ca="1">IFERROR(__xludf.DUMMYFUNCTION("""COMPUTED_VALUE"""),"")</f>
        <v/>
      </c>
      <c r="D18663" s="12" t="str">
        <f ca="1">IFERROR(__xludf.DUMMYFUNCTION("""COMPUTED_VALUE"""),"")</f>
        <v/>
      </c>
    </row>
    <row r="18664" spans="2:4" ht="13">
      <c r="B18664" s="12" t="str">
        <f ca="1">IFERROR(__xludf.DUMMYFUNCTION("""COMPUTED_VALUE"""),"")</f>
        <v/>
      </c>
      <c r="C18664" s="12" t="str">
        <f ca="1">IFERROR(__xludf.DUMMYFUNCTION("""COMPUTED_VALUE"""),"")</f>
        <v/>
      </c>
      <c r="D18664" s="12" t="str">
        <f ca="1">IFERROR(__xludf.DUMMYFUNCTION("""COMPUTED_VALUE"""),"")</f>
        <v/>
      </c>
    </row>
    <row r="18665" spans="2:4" ht="13">
      <c r="B18665" s="12" t="str">
        <f ca="1">IFERROR(__xludf.DUMMYFUNCTION("""COMPUTED_VALUE"""),"")</f>
        <v/>
      </c>
      <c r="C18665" s="12" t="str">
        <f ca="1">IFERROR(__xludf.DUMMYFUNCTION("""COMPUTED_VALUE"""),"")</f>
        <v/>
      </c>
      <c r="D18665" s="12" t="str">
        <f ca="1">IFERROR(__xludf.DUMMYFUNCTION("""COMPUTED_VALUE"""),"")</f>
        <v/>
      </c>
    </row>
    <row r="18666" spans="2:4" ht="13">
      <c r="B18666" s="12" t="str">
        <f ca="1">IFERROR(__xludf.DUMMYFUNCTION("""COMPUTED_VALUE"""),"")</f>
        <v/>
      </c>
      <c r="C18666" s="12" t="str">
        <f ca="1">IFERROR(__xludf.DUMMYFUNCTION("""COMPUTED_VALUE"""),"")</f>
        <v/>
      </c>
      <c r="D18666" s="12" t="str">
        <f ca="1">IFERROR(__xludf.DUMMYFUNCTION("""COMPUTED_VALUE"""),"")</f>
        <v/>
      </c>
    </row>
    <row r="18667" spans="2:4" ht="13">
      <c r="B18667" s="12" t="str">
        <f ca="1">IFERROR(__xludf.DUMMYFUNCTION("""COMPUTED_VALUE"""),"")</f>
        <v/>
      </c>
      <c r="C18667" s="12" t="str">
        <f ca="1">IFERROR(__xludf.DUMMYFUNCTION("""COMPUTED_VALUE"""),"")</f>
        <v/>
      </c>
      <c r="D18667" s="12" t="str">
        <f ca="1">IFERROR(__xludf.DUMMYFUNCTION("""COMPUTED_VALUE"""),"")</f>
        <v/>
      </c>
    </row>
    <row r="18668" spans="2:4" ht="13">
      <c r="B18668" s="12" t="str">
        <f ca="1">IFERROR(__xludf.DUMMYFUNCTION("""COMPUTED_VALUE"""),"")</f>
        <v/>
      </c>
      <c r="C18668" s="12" t="str">
        <f ca="1">IFERROR(__xludf.DUMMYFUNCTION("""COMPUTED_VALUE"""),"")</f>
        <v/>
      </c>
      <c r="D18668" s="12" t="str">
        <f ca="1">IFERROR(__xludf.DUMMYFUNCTION("""COMPUTED_VALUE"""),"")</f>
        <v/>
      </c>
    </row>
    <row r="18669" spans="2:4" ht="13">
      <c r="B18669" s="12" t="str">
        <f ca="1">IFERROR(__xludf.DUMMYFUNCTION("""COMPUTED_VALUE"""),"")</f>
        <v/>
      </c>
      <c r="C18669" s="12" t="str">
        <f ca="1">IFERROR(__xludf.DUMMYFUNCTION("""COMPUTED_VALUE"""),"")</f>
        <v/>
      </c>
      <c r="D18669" s="12" t="str">
        <f ca="1">IFERROR(__xludf.DUMMYFUNCTION("""COMPUTED_VALUE"""),"")</f>
        <v/>
      </c>
    </row>
    <row r="18670" spans="2:4" ht="13">
      <c r="B18670" s="12" t="str">
        <f ca="1">IFERROR(__xludf.DUMMYFUNCTION("""COMPUTED_VALUE"""),"")</f>
        <v/>
      </c>
      <c r="C18670" s="12" t="str">
        <f ca="1">IFERROR(__xludf.DUMMYFUNCTION("""COMPUTED_VALUE"""),"")</f>
        <v/>
      </c>
      <c r="D18670" s="12" t="str">
        <f ca="1">IFERROR(__xludf.DUMMYFUNCTION("""COMPUTED_VALUE"""),"")</f>
        <v/>
      </c>
    </row>
    <row r="18671" spans="2:4" ht="13">
      <c r="B18671" s="12" t="str">
        <f ca="1">IFERROR(__xludf.DUMMYFUNCTION("""COMPUTED_VALUE"""),"")</f>
        <v/>
      </c>
      <c r="C18671" s="12" t="str">
        <f ca="1">IFERROR(__xludf.DUMMYFUNCTION("""COMPUTED_VALUE"""),"")</f>
        <v/>
      </c>
      <c r="D18671" s="12" t="str">
        <f ca="1">IFERROR(__xludf.DUMMYFUNCTION("""COMPUTED_VALUE"""),"")</f>
        <v/>
      </c>
    </row>
    <row r="18672" spans="2:4" ht="13">
      <c r="B18672" s="12" t="str">
        <f ca="1">IFERROR(__xludf.DUMMYFUNCTION("""COMPUTED_VALUE"""),"")</f>
        <v/>
      </c>
      <c r="C18672" s="12" t="str">
        <f ca="1">IFERROR(__xludf.DUMMYFUNCTION("""COMPUTED_VALUE"""),"")</f>
        <v/>
      </c>
      <c r="D18672" s="12" t="str">
        <f ca="1">IFERROR(__xludf.DUMMYFUNCTION("""COMPUTED_VALUE"""),"")</f>
        <v/>
      </c>
    </row>
    <row r="18673" spans="2:4" ht="13">
      <c r="B18673" s="12" t="str">
        <f ca="1">IFERROR(__xludf.DUMMYFUNCTION("""COMPUTED_VALUE"""),"")</f>
        <v/>
      </c>
      <c r="C18673" s="12" t="str">
        <f ca="1">IFERROR(__xludf.DUMMYFUNCTION("""COMPUTED_VALUE"""),"")</f>
        <v/>
      </c>
      <c r="D18673" s="12" t="str">
        <f ca="1">IFERROR(__xludf.DUMMYFUNCTION("""COMPUTED_VALUE"""),"")</f>
        <v/>
      </c>
    </row>
    <row r="18674" spans="2:4" ht="13">
      <c r="B18674" s="12" t="str">
        <f ca="1">IFERROR(__xludf.DUMMYFUNCTION("""COMPUTED_VALUE"""),"")</f>
        <v/>
      </c>
      <c r="C18674" s="12" t="str">
        <f ca="1">IFERROR(__xludf.DUMMYFUNCTION("""COMPUTED_VALUE"""),"")</f>
        <v/>
      </c>
      <c r="D18674" s="12" t="str">
        <f ca="1">IFERROR(__xludf.DUMMYFUNCTION("""COMPUTED_VALUE"""),"")</f>
        <v/>
      </c>
    </row>
    <row r="18675" spans="2:4" ht="13">
      <c r="B18675" s="12" t="str">
        <f ca="1">IFERROR(__xludf.DUMMYFUNCTION("""COMPUTED_VALUE"""),"")</f>
        <v/>
      </c>
      <c r="C18675" s="12" t="str">
        <f ca="1">IFERROR(__xludf.DUMMYFUNCTION("""COMPUTED_VALUE"""),"")</f>
        <v/>
      </c>
      <c r="D18675" s="12" t="str">
        <f ca="1">IFERROR(__xludf.DUMMYFUNCTION("""COMPUTED_VALUE"""),"")</f>
        <v/>
      </c>
    </row>
    <row r="18676" spans="2:4" ht="13">
      <c r="B18676" s="12" t="str">
        <f ca="1">IFERROR(__xludf.DUMMYFUNCTION("""COMPUTED_VALUE"""),"")</f>
        <v/>
      </c>
      <c r="C18676" s="12" t="str">
        <f ca="1">IFERROR(__xludf.DUMMYFUNCTION("""COMPUTED_VALUE"""),"")</f>
        <v/>
      </c>
      <c r="D18676" s="12" t="str">
        <f ca="1">IFERROR(__xludf.DUMMYFUNCTION("""COMPUTED_VALUE"""),"")</f>
        <v/>
      </c>
    </row>
    <row r="18677" spans="2:4" ht="13">
      <c r="B18677" s="12" t="str">
        <f ca="1">IFERROR(__xludf.DUMMYFUNCTION("""COMPUTED_VALUE"""),"")</f>
        <v/>
      </c>
      <c r="C18677" s="12" t="str">
        <f ca="1">IFERROR(__xludf.DUMMYFUNCTION("""COMPUTED_VALUE"""),"")</f>
        <v/>
      </c>
      <c r="D18677" s="12" t="str">
        <f ca="1">IFERROR(__xludf.DUMMYFUNCTION("""COMPUTED_VALUE"""),"")</f>
        <v/>
      </c>
    </row>
    <row r="18678" spans="2:4" ht="13">
      <c r="B18678" s="12" t="str">
        <f ca="1">IFERROR(__xludf.DUMMYFUNCTION("""COMPUTED_VALUE"""),"")</f>
        <v/>
      </c>
      <c r="C18678" s="12" t="str">
        <f ca="1">IFERROR(__xludf.DUMMYFUNCTION("""COMPUTED_VALUE"""),"")</f>
        <v/>
      </c>
      <c r="D18678" s="12" t="str">
        <f ca="1">IFERROR(__xludf.DUMMYFUNCTION("""COMPUTED_VALUE"""),"")</f>
        <v/>
      </c>
    </row>
    <row r="18679" spans="2:4" ht="13">
      <c r="B18679" s="12" t="str">
        <f ca="1">IFERROR(__xludf.DUMMYFUNCTION("""COMPUTED_VALUE"""),"")</f>
        <v/>
      </c>
      <c r="C18679" s="12" t="str">
        <f ca="1">IFERROR(__xludf.DUMMYFUNCTION("""COMPUTED_VALUE"""),"")</f>
        <v/>
      </c>
      <c r="D18679" s="12" t="str">
        <f ca="1">IFERROR(__xludf.DUMMYFUNCTION("""COMPUTED_VALUE"""),"")</f>
        <v/>
      </c>
    </row>
    <row r="18680" spans="2:4" ht="13">
      <c r="B18680" s="12" t="str">
        <f ca="1">IFERROR(__xludf.DUMMYFUNCTION("""COMPUTED_VALUE"""),"")</f>
        <v/>
      </c>
      <c r="C18680" s="12" t="str">
        <f ca="1">IFERROR(__xludf.DUMMYFUNCTION("""COMPUTED_VALUE"""),"")</f>
        <v/>
      </c>
      <c r="D18680" s="12" t="str">
        <f ca="1">IFERROR(__xludf.DUMMYFUNCTION("""COMPUTED_VALUE"""),"")</f>
        <v/>
      </c>
    </row>
    <row r="18681" spans="2:4" ht="13">
      <c r="B18681" s="12" t="str">
        <f ca="1">IFERROR(__xludf.DUMMYFUNCTION("""COMPUTED_VALUE"""),"")</f>
        <v/>
      </c>
      <c r="C18681" s="12" t="str">
        <f ca="1">IFERROR(__xludf.DUMMYFUNCTION("""COMPUTED_VALUE"""),"")</f>
        <v/>
      </c>
      <c r="D18681" s="12" t="str">
        <f ca="1">IFERROR(__xludf.DUMMYFUNCTION("""COMPUTED_VALUE"""),"")</f>
        <v/>
      </c>
    </row>
    <row r="18682" spans="2:4" ht="13">
      <c r="B18682" s="12" t="str">
        <f ca="1">IFERROR(__xludf.DUMMYFUNCTION("""COMPUTED_VALUE"""),"")</f>
        <v/>
      </c>
      <c r="C18682" s="12" t="str">
        <f ca="1">IFERROR(__xludf.DUMMYFUNCTION("""COMPUTED_VALUE"""),"")</f>
        <v/>
      </c>
      <c r="D18682" s="12" t="str">
        <f ca="1">IFERROR(__xludf.DUMMYFUNCTION("""COMPUTED_VALUE"""),"")</f>
        <v/>
      </c>
    </row>
    <row r="18683" spans="2:4" ht="13">
      <c r="B18683" s="12" t="str">
        <f ca="1">IFERROR(__xludf.DUMMYFUNCTION("""COMPUTED_VALUE"""),"")</f>
        <v/>
      </c>
      <c r="C18683" s="12" t="str">
        <f ca="1">IFERROR(__xludf.DUMMYFUNCTION("""COMPUTED_VALUE"""),"")</f>
        <v/>
      </c>
      <c r="D18683" s="12" t="str">
        <f ca="1">IFERROR(__xludf.DUMMYFUNCTION("""COMPUTED_VALUE"""),"")</f>
        <v/>
      </c>
    </row>
    <row r="18684" spans="2:4" ht="13">
      <c r="B18684" s="12" t="str">
        <f ca="1">IFERROR(__xludf.DUMMYFUNCTION("""COMPUTED_VALUE"""),"")</f>
        <v/>
      </c>
      <c r="C18684" s="12" t="str">
        <f ca="1">IFERROR(__xludf.DUMMYFUNCTION("""COMPUTED_VALUE"""),"")</f>
        <v/>
      </c>
      <c r="D18684" s="12" t="str">
        <f ca="1">IFERROR(__xludf.DUMMYFUNCTION("""COMPUTED_VALUE"""),"")</f>
        <v/>
      </c>
    </row>
    <row r="18685" spans="2:4" ht="13">
      <c r="B18685" s="12" t="str">
        <f ca="1">IFERROR(__xludf.DUMMYFUNCTION("""COMPUTED_VALUE"""),"")</f>
        <v/>
      </c>
      <c r="C18685" s="12" t="str">
        <f ca="1">IFERROR(__xludf.DUMMYFUNCTION("""COMPUTED_VALUE"""),"")</f>
        <v/>
      </c>
      <c r="D18685" s="12" t="str">
        <f ca="1">IFERROR(__xludf.DUMMYFUNCTION("""COMPUTED_VALUE"""),"")</f>
        <v/>
      </c>
    </row>
    <row r="18686" spans="2:4" ht="13">
      <c r="B18686" s="12" t="str">
        <f ca="1">IFERROR(__xludf.DUMMYFUNCTION("""COMPUTED_VALUE"""),"")</f>
        <v/>
      </c>
      <c r="C18686" s="12" t="str">
        <f ca="1">IFERROR(__xludf.DUMMYFUNCTION("""COMPUTED_VALUE"""),"")</f>
        <v/>
      </c>
      <c r="D18686" s="12" t="str">
        <f ca="1">IFERROR(__xludf.DUMMYFUNCTION("""COMPUTED_VALUE"""),"")</f>
        <v/>
      </c>
    </row>
    <row r="18687" spans="2:4" ht="13">
      <c r="B18687" s="12" t="str">
        <f ca="1">IFERROR(__xludf.DUMMYFUNCTION("""COMPUTED_VALUE"""),"")</f>
        <v/>
      </c>
      <c r="C18687" s="12" t="str">
        <f ca="1">IFERROR(__xludf.DUMMYFUNCTION("""COMPUTED_VALUE"""),"")</f>
        <v/>
      </c>
      <c r="D18687" s="12" t="str">
        <f ca="1">IFERROR(__xludf.DUMMYFUNCTION("""COMPUTED_VALUE"""),"")</f>
        <v/>
      </c>
    </row>
    <row r="18688" spans="2:4" ht="13">
      <c r="B18688" s="12" t="str">
        <f ca="1">IFERROR(__xludf.DUMMYFUNCTION("""COMPUTED_VALUE"""),"")</f>
        <v/>
      </c>
      <c r="C18688" s="12" t="str">
        <f ca="1">IFERROR(__xludf.DUMMYFUNCTION("""COMPUTED_VALUE"""),"")</f>
        <v/>
      </c>
      <c r="D18688" s="12" t="str">
        <f ca="1">IFERROR(__xludf.DUMMYFUNCTION("""COMPUTED_VALUE"""),"")</f>
        <v/>
      </c>
    </row>
    <row r="18689" spans="2:4" ht="13">
      <c r="B18689" s="12" t="str">
        <f ca="1">IFERROR(__xludf.DUMMYFUNCTION("""COMPUTED_VALUE"""),"")</f>
        <v/>
      </c>
      <c r="C18689" s="12" t="str">
        <f ca="1">IFERROR(__xludf.DUMMYFUNCTION("""COMPUTED_VALUE"""),"")</f>
        <v/>
      </c>
      <c r="D18689" s="12" t="str">
        <f ca="1">IFERROR(__xludf.DUMMYFUNCTION("""COMPUTED_VALUE"""),"")</f>
        <v/>
      </c>
    </row>
    <row r="18690" spans="2:4" ht="13">
      <c r="B18690" s="12" t="str">
        <f ca="1">IFERROR(__xludf.DUMMYFUNCTION("""COMPUTED_VALUE"""),"")</f>
        <v/>
      </c>
      <c r="C18690" s="12" t="str">
        <f ca="1">IFERROR(__xludf.DUMMYFUNCTION("""COMPUTED_VALUE"""),"")</f>
        <v/>
      </c>
      <c r="D18690" s="12" t="str">
        <f ca="1">IFERROR(__xludf.DUMMYFUNCTION("""COMPUTED_VALUE"""),"")</f>
        <v/>
      </c>
    </row>
    <row r="18691" spans="2:4" ht="13">
      <c r="B18691" s="12" t="str">
        <f ca="1">IFERROR(__xludf.DUMMYFUNCTION("""COMPUTED_VALUE"""),"")</f>
        <v/>
      </c>
      <c r="C18691" s="12" t="str">
        <f ca="1">IFERROR(__xludf.DUMMYFUNCTION("""COMPUTED_VALUE"""),"")</f>
        <v/>
      </c>
      <c r="D18691" s="12" t="str">
        <f ca="1">IFERROR(__xludf.DUMMYFUNCTION("""COMPUTED_VALUE"""),"")</f>
        <v/>
      </c>
    </row>
    <row r="18692" spans="2:4" ht="13">
      <c r="B18692" s="12" t="str">
        <f ca="1">IFERROR(__xludf.DUMMYFUNCTION("""COMPUTED_VALUE"""),"")</f>
        <v/>
      </c>
      <c r="C18692" s="12" t="str">
        <f ca="1">IFERROR(__xludf.DUMMYFUNCTION("""COMPUTED_VALUE"""),"")</f>
        <v/>
      </c>
      <c r="D18692" s="12" t="str">
        <f ca="1">IFERROR(__xludf.DUMMYFUNCTION("""COMPUTED_VALUE"""),"")</f>
        <v/>
      </c>
    </row>
    <row r="18693" spans="2:4" ht="13">
      <c r="B18693" s="12" t="str">
        <f ca="1">IFERROR(__xludf.DUMMYFUNCTION("""COMPUTED_VALUE"""),"")</f>
        <v/>
      </c>
      <c r="C18693" s="12" t="str">
        <f ca="1">IFERROR(__xludf.DUMMYFUNCTION("""COMPUTED_VALUE"""),"")</f>
        <v/>
      </c>
      <c r="D18693" s="12" t="str">
        <f ca="1">IFERROR(__xludf.DUMMYFUNCTION("""COMPUTED_VALUE"""),"")</f>
        <v/>
      </c>
    </row>
    <row r="18694" spans="2:4" ht="13">
      <c r="B18694" s="12" t="str">
        <f ca="1">IFERROR(__xludf.DUMMYFUNCTION("""COMPUTED_VALUE"""),"")</f>
        <v/>
      </c>
      <c r="C18694" s="12" t="str">
        <f ca="1">IFERROR(__xludf.DUMMYFUNCTION("""COMPUTED_VALUE"""),"")</f>
        <v/>
      </c>
      <c r="D18694" s="12" t="str">
        <f ca="1">IFERROR(__xludf.DUMMYFUNCTION("""COMPUTED_VALUE"""),"")</f>
        <v/>
      </c>
    </row>
    <row r="18695" spans="2:4" ht="13">
      <c r="B18695" s="12" t="str">
        <f ca="1">IFERROR(__xludf.DUMMYFUNCTION("""COMPUTED_VALUE"""),"")</f>
        <v/>
      </c>
      <c r="C18695" s="12" t="str">
        <f ca="1">IFERROR(__xludf.DUMMYFUNCTION("""COMPUTED_VALUE"""),"")</f>
        <v/>
      </c>
      <c r="D18695" s="12" t="str">
        <f ca="1">IFERROR(__xludf.DUMMYFUNCTION("""COMPUTED_VALUE"""),"")</f>
        <v/>
      </c>
    </row>
    <row r="18696" spans="2:4" ht="13">
      <c r="B18696" s="12" t="str">
        <f ca="1">IFERROR(__xludf.DUMMYFUNCTION("""COMPUTED_VALUE"""),"")</f>
        <v/>
      </c>
      <c r="C18696" s="12" t="str">
        <f ca="1">IFERROR(__xludf.DUMMYFUNCTION("""COMPUTED_VALUE"""),"")</f>
        <v/>
      </c>
      <c r="D18696" s="12" t="str">
        <f ca="1">IFERROR(__xludf.DUMMYFUNCTION("""COMPUTED_VALUE"""),"")</f>
        <v/>
      </c>
    </row>
    <row r="18697" spans="2:4" ht="13">
      <c r="B18697" s="12" t="str">
        <f ca="1">IFERROR(__xludf.DUMMYFUNCTION("""COMPUTED_VALUE"""),"")</f>
        <v/>
      </c>
      <c r="C18697" s="12" t="str">
        <f ca="1">IFERROR(__xludf.DUMMYFUNCTION("""COMPUTED_VALUE"""),"")</f>
        <v/>
      </c>
      <c r="D18697" s="12" t="str">
        <f ca="1">IFERROR(__xludf.DUMMYFUNCTION("""COMPUTED_VALUE"""),"")</f>
        <v/>
      </c>
    </row>
    <row r="18698" spans="2:4" ht="13">
      <c r="B18698" s="12" t="str">
        <f ca="1">IFERROR(__xludf.DUMMYFUNCTION("""COMPUTED_VALUE"""),"")</f>
        <v/>
      </c>
      <c r="C18698" s="12" t="str">
        <f ca="1">IFERROR(__xludf.DUMMYFUNCTION("""COMPUTED_VALUE"""),"")</f>
        <v/>
      </c>
      <c r="D18698" s="12" t="str">
        <f ca="1">IFERROR(__xludf.DUMMYFUNCTION("""COMPUTED_VALUE"""),"")</f>
        <v/>
      </c>
    </row>
    <row r="18699" spans="2:4" ht="13">
      <c r="B18699" s="12" t="str">
        <f ca="1">IFERROR(__xludf.DUMMYFUNCTION("""COMPUTED_VALUE"""),"")</f>
        <v/>
      </c>
      <c r="C18699" s="12" t="str">
        <f ca="1">IFERROR(__xludf.DUMMYFUNCTION("""COMPUTED_VALUE"""),"")</f>
        <v/>
      </c>
      <c r="D18699" s="12" t="str">
        <f ca="1">IFERROR(__xludf.DUMMYFUNCTION("""COMPUTED_VALUE"""),"")</f>
        <v/>
      </c>
    </row>
    <row r="18700" spans="2:4" ht="13">
      <c r="B18700" s="12" t="str">
        <f ca="1">IFERROR(__xludf.DUMMYFUNCTION("""COMPUTED_VALUE"""),"")</f>
        <v/>
      </c>
      <c r="C18700" s="12" t="str">
        <f ca="1">IFERROR(__xludf.DUMMYFUNCTION("""COMPUTED_VALUE"""),"")</f>
        <v/>
      </c>
      <c r="D18700" s="12" t="str">
        <f ca="1">IFERROR(__xludf.DUMMYFUNCTION("""COMPUTED_VALUE"""),"")</f>
        <v/>
      </c>
    </row>
    <row r="18701" spans="2:4" ht="13">
      <c r="B18701" s="12" t="str">
        <f ca="1">IFERROR(__xludf.DUMMYFUNCTION("""COMPUTED_VALUE"""),"")</f>
        <v/>
      </c>
      <c r="C18701" s="12" t="str">
        <f ca="1">IFERROR(__xludf.DUMMYFUNCTION("""COMPUTED_VALUE"""),"")</f>
        <v/>
      </c>
      <c r="D18701" s="12" t="str">
        <f ca="1">IFERROR(__xludf.DUMMYFUNCTION("""COMPUTED_VALUE"""),"")</f>
        <v/>
      </c>
    </row>
    <row r="18702" spans="2:4" ht="13">
      <c r="B18702" s="12" t="str">
        <f ca="1">IFERROR(__xludf.DUMMYFUNCTION("""COMPUTED_VALUE"""),"")</f>
        <v/>
      </c>
      <c r="C18702" s="12" t="str">
        <f ca="1">IFERROR(__xludf.DUMMYFUNCTION("""COMPUTED_VALUE"""),"")</f>
        <v/>
      </c>
      <c r="D18702" s="12" t="str">
        <f ca="1">IFERROR(__xludf.DUMMYFUNCTION("""COMPUTED_VALUE"""),"")</f>
        <v/>
      </c>
    </row>
    <row r="18703" spans="2:4" ht="13">
      <c r="B18703" s="12" t="str">
        <f ca="1">IFERROR(__xludf.DUMMYFUNCTION("""COMPUTED_VALUE"""),"")</f>
        <v/>
      </c>
      <c r="C18703" s="12" t="str">
        <f ca="1">IFERROR(__xludf.DUMMYFUNCTION("""COMPUTED_VALUE"""),"")</f>
        <v/>
      </c>
      <c r="D18703" s="12" t="str">
        <f ca="1">IFERROR(__xludf.DUMMYFUNCTION("""COMPUTED_VALUE"""),"")</f>
        <v/>
      </c>
    </row>
    <row r="18704" spans="2:4" ht="13">
      <c r="B18704" s="12" t="str">
        <f ca="1">IFERROR(__xludf.DUMMYFUNCTION("""COMPUTED_VALUE"""),"")</f>
        <v/>
      </c>
      <c r="C18704" s="12" t="str">
        <f ca="1">IFERROR(__xludf.DUMMYFUNCTION("""COMPUTED_VALUE"""),"")</f>
        <v/>
      </c>
      <c r="D18704" s="12" t="str">
        <f ca="1">IFERROR(__xludf.DUMMYFUNCTION("""COMPUTED_VALUE"""),"")</f>
        <v/>
      </c>
    </row>
    <row r="18705" spans="2:4" ht="13">
      <c r="B18705" s="12" t="str">
        <f ca="1">IFERROR(__xludf.DUMMYFUNCTION("""COMPUTED_VALUE"""),"")</f>
        <v/>
      </c>
      <c r="C18705" s="12" t="str">
        <f ca="1">IFERROR(__xludf.DUMMYFUNCTION("""COMPUTED_VALUE"""),"")</f>
        <v/>
      </c>
      <c r="D18705" s="12" t="str">
        <f ca="1">IFERROR(__xludf.DUMMYFUNCTION("""COMPUTED_VALUE"""),"")</f>
        <v/>
      </c>
    </row>
    <row r="18706" spans="2:4" ht="13">
      <c r="B18706" s="12" t="str">
        <f ca="1">IFERROR(__xludf.DUMMYFUNCTION("""COMPUTED_VALUE"""),"")</f>
        <v/>
      </c>
      <c r="C18706" s="12" t="str">
        <f ca="1">IFERROR(__xludf.DUMMYFUNCTION("""COMPUTED_VALUE"""),"")</f>
        <v/>
      </c>
      <c r="D18706" s="12" t="str">
        <f ca="1">IFERROR(__xludf.DUMMYFUNCTION("""COMPUTED_VALUE"""),"")</f>
        <v/>
      </c>
    </row>
    <row r="18707" spans="2:4" ht="13">
      <c r="B18707" s="12" t="str">
        <f ca="1">IFERROR(__xludf.DUMMYFUNCTION("""COMPUTED_VALUE"""),"")</f>
        <v/>
      </c>
      <c r="C18707" s="12" t="str">
        <f ca="1">IFERROR(__xludf.DUMMYFUNCTION("""COMPUTED_VALUE"""),"")</f>
        <v/>
      </c>
      <c r="D18707" s="12" t="str">
        <f ca="1">IFERROR(__xludf.DUMMYFUNCTION("""COMPUTED_VALUE"""),"")</f>
        <v/>
      </c>
    </row>
    <row r="18708" spans="2:4" ht="13">
      <c r="B18708" s="12" t="str">
        <f ca="1">IFERROR(__xludf.DUMMYFUNCTION("""COMPUTED_VALUE"""),"")</f>
        <v/>
      </c>
      <c r="C18708" s="12" t="str">
        <f ca="1">IFERROR(__xludf.DUMMYFUNCTION("""COMPUTED_VALUE"""),"")</f>
        <v/>
      </c>
      <c r="D18708" s="12" t="str">
        <f ca="1">IFERROR(__xludf.DUMMYFUNCTION("""COMPUTED_VALUE"""),"")</f>
        <v/>
      </c>
    </row>
    <row r="18709" spans="2:4" ht="13">
      <c r="B18709" s="12" t="str">
        <f ca="1">IFERROR(__xludf.DUMMYFUNCTION("""COMPUTED_VALUE"""),"")</f>
        <v/>
      </c>
      <c r="C18709" s="12" t="str">
        <f ca="1">IFERROR(__xludf.DUMMYFUNCTION("""COMPUTED_VALUE"""),"")</f>
        <v/>
      </c>
      <c r="D18709" s="12" t="str">
        <f ca="1">IFERROR(__xludf.DUMMYFUNCTION("""COMPUTED_VALUE"""),"")</f>
        <v/>
      </c>
    </row>
    <row r="18710" spans="2:4" ht="13">
      <c r="B18710" s="12" t="str">
        <f ca="1">IFERROR(__xludf.DUMMYFUNCTION("""COMPUTED_VALUE"""),"")</f>
        <v/>
      </c>
      <c r="C18710" s="12" t="str">
        <f ca="1">IFERROR(__xludf.DUMMYFUNCTION("""COMPUTED_VALUE"""),"")</f>
        <v/>
      </c>
      <c r="D18710" s="12" t="str">
        <f ca="1">IFERROR(__xludf.DUMMYFUNCTION("""COMPUTED_VALUE"""),"")</f>
        <v/>
      </c>
    </row>
    <row r="18711" spans="2:4" ht="13">
      <c r="B18711" s="12" t="str">
        <f ca="1">IFERROR(__xludf.DUMMYFUNCTION("""COMPUTED_VALUE"""),"")</f>
        <v/>
      </c>
      <c r="C18711" s="12" t="str">
        <f ca="1">IFERROR(__xludf.DUMMYFUNCTION("""COMPUTED_VALUE"""),"")</f>
        <v/>
      </c>
      <c r="D18711" s="12" t="str">
        <f ca="1">IFERROR(__xludf.DUMMYFUNCTION("""COMPUTED_VALUE"""),"")</f>
        <v/>
      </c>
    </row>
    <row r="18712" spans="2:4" ht="13">
      <c r="B18712" s="12" t="str">
        <f ca="1">IFERROR(__xludf.DUMMYFUNCTION("""COMPUTED_VALUE"""),"")</f>
        <v/>
      </c>
      <c r="C18712" s="12" t="str">
        <f ca="1">IFERROR(__xludf.DUMMYFUNCTION("""COMPUTED_VALUE"""),"")</f>
        <v/>
      </c>
      <c r="D18712" s="12" t="str">
        <f ca="1">IFERROR(__xludf.DUMMYFUNCTION("""COMPUTED_VALUE"""),"")</f>
        <v/>
      </c>
    </row>
    <row r="18713" spans="2:4" ht="13">
      <c r="B18713" s="12" t="str">
        <f ca="1">IFERROR(__xludf.DUMMYFUNCTION("""COMPUTED_VALUE"""),"")</f>
        <v/>
      </c>
      <c r="C18713" s="12" t="str">
        <f ca="1">IFERROR(__xludf.DUMMYFUNCTION("""COMPUTED_VALUE"""),"")</f>
        <v/>
      </c>
      <c r="D18713" s="12" t="str">
        <f ca="1">IFERROR(__xludf.DUMMYFUNCTION("""COMPUTED_VALUE"""),"")</f>
        <v/>
      </c>
    </row>
    <row r="18714" spans="2:4" ht="13">
      <c r="B18714" s="12" t="str">
        <f ca="1">IFERROR(__xludf.DUMMYFUNCTION("""COMPUTED_VALUE"""),"")</f>
        <v/>
      </c>
      <c r="C18714" s="12" t="str">
        <f ca="1">IFERROR(__xludf.DUMMYFUNCTION("""COMPUTED_VALUE"""),"")</f>
        <v/>
      </c>
      <c r="D18714" s="12" t="str">
        <f ca="1">IFERROR(__xludf.DUMMYFUNCTION("""COMPUTED_VALUE"""),"")</f>
        <v/>
      </c>
    </row>
    <row r="18715" spans="2:4" ht="13">
      <c r="B18715" s="12" t="str">
        <f ca="1">IFERROR(__xludf.DUMMYFUNCTION("""COMPUTED_VALUE"""),"")</f>
        <v/>
      </c>
      <c r="C18715" s="12" t="str">
        <f ca="1">IFERROR(__xludf.DUMMYFUNCTION("""COMPUTED_VALUE"""),"")</f>
        <v/>
      </c>
      <c r="D18715" s="12" t="str">
        <f ca="1">IFERROR(__xludf.DUMMYFUNCTION("""COMPUTED_VALUE"""),"")</f>
        <v/>
      </c>
    </row>
    <row r="18716" spans="2:4" ht="13">
      <c r="B18716" s="12" t="str">
        <f ca="1">IFERROR(__xludf.DUMMYFUNCTION("""COMPUTED_VALUE"""),"")</f>
        <v/>
      </c>
      <c r="C18716" s="12" t="str">
        <f ca="1">IFERROR(__xludf.DUMMYFUNCTION("""COMPUTED_VALUE"""),"")</f>
        <v/>
      </c>
      <c r="D18716" s="12" t="str">
        <f ca="1">IFERROR(__xludf.DUMMYFUNCTION("""COMPUTED_VALUE"""),"")</f>
        <v/>
      </c>
    </row>
    <row r="18717" spans="2:4" ht="13">
      <c r="B18717" s="12" t="str">
        <f ca="1">IFERROR(__xludf.DUMMYFUNCTION("""COMPUTED_VALUE"""),"")</f>
        <v/>
      </c>
      <c r="C18717" s="12" t="str">
        <f ca="1">IFERROR(__xludf.DUMMYFUNCTION("""COMPUTED_VALUE"""),"")</f>
        <v/>
      </c>
      <c r="D18717" s="12" t="str">
        <f ca="1">IFERROR(__xludf.DUMMYFUNCTION("""COMPUTED_VALUE"""),"")</f>
        <v/>
      </c>
    </row>
    <row r="18718" spans="2:4" ht="13">
      <c r="B18718" s="12" t="str">
        <f ca="1">IFERROR(__xludf.DUMMYFUNCTION("""COMPUTED_VALUE"""),"")</f>
        <v/>
      </c>
      <c r="C18718" s="12" t="str">
        <f ca="1">IFERROR(__xludf.DUMMYFUNCTION("""COMPUTED_VALUE"""),"")</f>
        <v/>
      </c>
      <c r="D18718" s="12" t="str">
        <f ca="1">IFERROR(__xludf.DUMMYFUNCTION("""COMPUTED_VALUE"""),"")</f>
        <v/>
      </c>
    </row>
    <row r="18719" spans="2:4" ht="13">
      <c r="B18719" s="12" t="str">
        <f ca="1">IFERROR(__xludf.DUMMYFUNCTION("""COMPUTED_VALUE"""),"")</f>
        <v/>
      </c>
      <c r="C18719" s="12" t="str">
        <f ca="1">IFERROR(__xludf.DUMMYFUNCTION("""COMPUTED_VALUE"""),"")</f>
        <v/>
      </c>
      <c r="D18719" s="12" t="str">
        <f ca="1">IFERROR(__xludf.DUMMYFUNCTION("""COMPUTED_VALUE"""),"")</f>
        <v/>
      </c>
    </row>
    <row r="18720" spans="2:4" ht="13">
      <c r="B18720" s="12" t="str">
        <f ca="1">IFERROR(__xludf.DUMMYFUNCTION("""COMPUTED_VALUE"""),"")</f>
        <v/>
      </c>
      <c r="C18720" s="12" t="str">
        <f ca="1">IFERROR(__xludf.DUMMYFUNCTION("""COMPUTED_VALUE"""),"")</f>
        <v/>
      </c>
      <c r="D18720" s="12" t="str">
        <f ca="1">IFERROR(__xludf.DUMMYFUNCTION("""COMPUTED_VALUE"""),"")</f>
        <v/>
      </c>
    </row>
    <row r="18721" spans="2:4" ht="13">
      <c r="B18721" s="12" t="str">
        <f ca="1">IFERROR(__xludf.DUMMYFUNCTION("""COMPUTED_VALUE"""),"")</f>
        <v/>
      </c>
      <c r="C18721" s="12" t="str">
        <f ca="1">IFERROR(__xludf.DUMMYFUNCTION("""COMPUTED_VALUE"""),"")</f>
        <v/>
      </c>
      <c r="D18721" s="12" t="str">
        <f ca="1">IFERROR(__xludf.DUMMYFUNCTION("""COMPUTED_VALUE"""),"")</f>
        <v/>
      </c>
    </row>
    <row r="18722" spans="2:4" ht="13">
      <c r="B18722" s="12" t="str">
        <f ca="1">IFERROR(__xludf.DUMMYFUNCTION("""COMPUTED_VALUE"""),"")</f>
        <v/>
      </c>
      <c r="C18722" s="12" t="str">
        <f ca="1">IFERROR(__xludf.DUMMYFUNCTION("""COMPUTED_VALUE"""),"")</f>
        <v/>
      </c>
      <c r="D18722" s="12" t="str">
        <f ca="1">IFERROR(__xludf.DUMMYFUNCTION("""COMPUTED_VALUE"""),"")</f>
        <v/>
      </c>
    </row>
    <row r="18723" spans="2:4" ht="13">
      <c r="B18723" s="12" t="str">
        <f ca="1">IFERROR(__xludf.DUMMYFUNCTION("""COMPUTED_VALUE"""),"")</f>
        <v/>
      </c>
      <c r="C18723" s="12" t="str">
        <f ca="1">IFERROR(__xludf.DUMMYFUNCTION("""COMPUTED_VALUE"""),"")</f>
        <v/>
      </c>
      <c r="D18723" s="12" t="str">
        <f ca="1">IFERROR(__xludf.DUMMYFUNCTION("""COMPUTED_VALUE"""),"")</f>
        <v/>
      </c>
    </row>
    <row r="18724" spans="2:4" ht="13">
      <c r="B18724" s="12" t="str">
        <f ca="1">IFERROR(__xludf.DUMMYFUNCTION("""COMPUTED_VALUE"""),"")</f>
        <v/>
      </c>
      <c r="C18724" s="12" t="str">
        <f ca="1">IFERROR(__xludf.DUMMYFUNCTION("""COMPUTED_VALUE"""),"")</f>
        <v/>
      </c>
      <c r="D18724" s="12" t="str">
        <f ca="1">IFERROR(__xludf.DUMMYFUNCTION("""COMPUTED_VALUE"""),"")</f>
        <v/>
      </c>
    </row>
    <row r="18725" spans="2:4" ht="13">
      <c r="B18725" s="12" t="str">
        <f ca="1">IFERROR(__xludf.DUMMYFUNCTION("""COMPUTED_VALUE"""),"")</f>
        <v/>
      </c>
      <c r="C18725" s="12" t="str">
        <f ca="1">IFERROR(__xludf.DUMMYFUNCTION("""COMPUTED_VALUE"""),"")</f>
        <v/>
      </c>
      <c r="D18725" s="12" t="str">
        <f ca="1">IFERROR(__xludf.DUMMYFUNCTION("""COMPUTED_VALUE"""),"")</f>
        <v/>
      </c>
    </row>
    <row r="18726" spans="2:4" ht="13">
      <c r="B18726" s="12" t="str">
        <f ca="1">IFERROR(__xludf.DUMMYFUNCTION("""COMPUTED_VALUE"""),"")</f>
        <v/>
      </c>
      <c r="C18726" s="12" t="str">
        <f ca="1">IFERROR(__xludf.DUMMYFUNCTION("""COMPUTED_VALUE"""),"")</f>
        <v/>
      </c>
      <c r="D18726" s="12" t="str">
        <f ca="1">IFERROR(__xludf.DUMMYFUNCTION("""COMPUTED_VALUE"""),"")</f>
        <v/>
      </c>
    </row>
    <row r="18727" spans="2:4" ht="13">
      <c r="B18727" s="12" t="str">
        <f ca="1">IFERROR(__xludf.DUMMYFUNCTION("""COMPUTED_VALUE"""),"")</f>
        <v/>
      </c>
      <c r="C18727" s="12" t="str">
        <f ca="1">IFERROR(__xludf.DUMMYFUNCTION("""COMPUTED_VALUE"""),"")</f>
        <v/>
      </c>
      <c r="D18727" s="12" t="str">
        <f ca="1">IFERROR(__xludf.DUMMYFUNCTION("""COMPUTED_VALUE"""),"")</f>
        <v/>
      </c>
    </row>
    <row r="18728" spans="2:4" ht="13">
      <c r="B18728" s="12" t="str">
        <f ca="1">IFERROR(__xludf.DUMMYFUNCTION("""COMPUTED_VALUE"""),"")</f>
        <v/>
      </c>
      <c r="C18728" s="12" t="str">
        <f ca="1">IFERROR(__xludf.DUMMYFUNCTION("""COMPUTED_VALUE"""),"")</f>
        <v/>
      </c>
      <c r="D18728" s="12" t="str">
        <f ca="1">IFERROR(__xludf.DUMMYFUNCTION("""COMPUTED_VALUE"""),"")</f>
        <v/>
      </c>
    </row>
    <row r="18729" spans="2:4" ht="13">
      <c r="B18729" s="12" t="str">
        <f ca="1">IFERROR(__xludf.DUMMYFUNCTION("""COMPUTED_VALUE"""),"")</f>
        <v/>
      </c>
      <c r="C18729" s="12" t="str">
        <f ca="1">IFERROR(__xludf.DUMMYFUNCTION("""COMPUTED_VALUE"""),"")</f>
        <v/>
      </c>
      <c r="D18729" s="12" t="str">
        <f ca="1">IFERROR(__xludf.DUMMYFUNCTION("""COMPUTED_VALUE"""),"")</f>
        <v/>
      </c>
    </row>
    <row r="18730" spans="2:4" ht="13">
      <c r="B18730" s="12" t="str">
        <f ca="1">IFERROR(__xludf.DUMMYFUNCTION("""COMPUTED_VALUE"""),"")</f>
        <v/>
      </c>
      <c r="C18730" s="12" t="str">
        <f ca="1">IFERROR(__xludf.DUMMYFUNCTION("""COMPUTED_VALUE"""),"")</f>
        <v/>
      </c>
      <c r="D18730" s="12" t="str">
        <f ca="1">IFERROR(__xludf.DUMMYFUNCTION("""COMPUTED_VALUE"""),"")</f>
        <v/>
      </c>
    </row>
    <row r="18731" spans="2:4" ht="13">
      <c r="B18731" s="12" t="str">
        <f ca="1">IFERROR(__xludf.DUMMYFUNCTION("""COMPUTED_VALUE"""),"")</f>
        <v/>
      </c>
      <c r="C18731" s="12" t="str">
        <f ca="1">IFERROR(__xludf.DUMMYFUNCTION("""COMPUTED_VALUE"""),"")</f>
        <v/>
      </c>
      <c r="D18731" s="12" t="str">
        <f ca="1">IFERROR(__xludf.DUMMYFUNCTION("""COMPUTED_VALUE"""),"")</f>
        <v/>
      </c>
    </row>
    <row r="18732" spans="2:4" ht="13">
      <c r="B18732" s="12" t="str">
        <f ca="1">IFERROR(__xludf.DUMMYFUNCTION("""COMPUTED_VALUE"""),"")</f>
        <v/>
      </c>
      <c r="C18732" s="12" t="str">
        <f ca="1">IFERROR(__xludf.DUMMYFUNCTION("""COMPUTED_VALUE"""),"")</f>
        <v/>
      </c>
      <c r="D18732" s="12" t="str">
        <f ca="1">IFERROR(__xludf.DUMMYFUNCTION("""COMPUTED_VALUE"""),"")</f>
        <v/>
      </c>
    </row>
    <row r="18733" spans="2:4" ht="13">
      <c r="B18733" s="12" t="str">
        <f ca="1">IFERROR(__xludf.DUMMYFUNCTION("""COMPUTED_VALUE"""),"")</f>
        <v/>
      </c>
      <c r="C18733" s="12" t="str">
        <f ca="1">IFERROR(__xludf.DUMMYFUNCTION("""COMPUTED_VALUE"""),"")</f>
        <v/>
      </c>
      <c r="D18733" s="12" t="str">
        <f ca="1">IFERROR(__xludf.DUMMYFUNCTION("""COMPUTED_VALUE"""),"")</f>
        <v/>
      </c>
    </row>
    <row r="18734" spans="2:4" ht="13">
      <c r="B18734" s="12" t="str">
        <f ca="1">IFERROR(__xludf.DUMMYFUNCTION("""COMPUTED_VALUE"""),"")</f>
        <v/>
      </c>
      <c r="C18734" s="12" t="str">
        <f ca="1">IFERROR(__xludf.DUMMYFUNCTION("""COMPUTED_VALUE"""),"")</f>
        <v/>
      </c>
      <c r="D18734" s="12" t="str">
        <f ca="1">IFERROR(__xludf.DUMMYFUNCTION("""COMPUTED_VALUE"""),"")</f>
        <v/>
      </c>
    </row>
    <row r="18735" spans="2:4" ht="13">
      <c r="B18735" s="12" t="str">
        <f ca="1">IFERROR(__xludf.DUMMYFUNCTION("""COMPUTED_VALUE"""),"")</f>
        <v/>
      </c>
      <c r="C18735" s="12" t="str">
        <f ca="1">IFERROR(__xludf.DUMMYFUNCTION("""COMPUTED_VALUE"""),"")</f>
        <v/>
      </c>
      <c r="D18735" s="12" t="str">
        <f ca="1">IFERROR(__xludf.DUMMYFUNCTION("""COMPUTED_VALUE"""),"")</f>
        <v/>
      </c>
    </row>
    <row r="18736" spans="2:4" ht="13">
      <c r="B18736" s="12" t="str">
        <f ca="1">IFERROR(__xludf.DUMMYFUNCTION("""COMPUTED_VALUE"""),"")</f>
        <v/>
      </c>
      <c r="C18736" s="12" t="str">
        <f ca="1">IFERROR(__xludf.DUMMYFUNCTION("""COMPUTED_VALUE"""),"")</f>
        <v/>
      </c>
      <c r="D18736" s="12" t="str">
        <f ca="1">IFERROR(__xludf.DUMMYFUNCTION("""COMPUTED_VALUE"""),"")</f>
        <v/>
      </c>
    </row>
    <row r="18737" spans="2:4" ht="13">
      <c r="B18737" s="12" t="str">
        <f ca="1">IFERROR(__xludf.DUMMYFUNCTION("""COMPUTED_VALUE"""),"")</f>
        <v/>
      </c>
      <c r="C18737" s="12" t="str">
        <f ca="1">IFERROR(__xludf.DUMMYFUNCTION("""COMPUTED_VALUE"""),"")</f>
        <v/>
      </c>
      <c r="D18737" s="12" t="str">
        <f ca="1">IFERROR(__xludf.DUMMYFUNCTION("""COMPUTED_VALUE"""),"")</f>
        <v/>
      </c>
    </row>
    <row r="18738" spans="2:4" ht="13">
      <c r="B18738" s="12" t="str">
        <f ca="1">IFERROR(__xludf.DUMMYFUNCTION("""COMPUTED_VALUE"""),"")</f>
        <v/>
      </c>
      <c r="C18738" s="12" t="str">
        <f ca="1">IFERROR(__xludf.DUMMYFUNCTION("""COMPUTED_VALUE"""),"")</f>
        <v/>
      </c>
      <c r="D18738" s="12" t="str">
        <f ca="1">IFERROR(__xludf.DUMMYFUNCTION("""COMPUTED_VALUE"""),"")</f>
        <v/>
      </c>
    </row>
    <row r="18739" spans="2:4" ht="13">
      <c r="B18739" s="12" t="str">
        <f ca="1">IFERROR(__xludf.DUMMYFUNCTION("""COMPUTED_VALUE"""),"")</f>
        <v/>
      </c>
      <c r="C18739" s="12" t="str">
        <f ca="1">IFERROR(__xludf.DUMMYFUNCTION("""COMPUTED_VALUE"""),"")</f>
        <v/>
      </c>
      <c r="D18739" s="12" t="str">
        <f ca="1">IFERROR(__xludf.DUMMYFUNCTION("""COMPUTED_VALUE"""),"")</f>
        <v/>
      </c>
    </row>
    <row r="18740" spans="2:4" ht="13">
      <c r="B18740" s="12" t="str">
        <f ca="1">IFERROR(__xludf.DUMMYFUNCTION("""COMPUTED_VALUE"""),"")</f>
        <v/>
      </c>
      <c r="C18740" s="12" t="str">
        <f ca="1">IFERROR(__xludf.DUMMYFUNCTION("""COMPUTED_VALUE"""),"")</f>
        <v/>
      </c>
      <c r="D18740" s="12" t="str">
        <f ca="1">IFERROR(__xludf.DUMMYFUNCTION("""COMPUTED_VALUE"""),"")</f>
        <v/>
      </c>
    </row>
    <row r="18741" spans="2:4" ht="13">
      <c r="B18741" s="12" t="str">
        <f ca="1">IFERROR(__xludf.DUMMYFUNCTION("""COMPUTED_VALUE"""),"")</f>
        <v/>
      </c>
      <c r="C18741" s="12" t="str">
        <f ca="1">IFERROR(__xludf.DUMMYFUNCTION("""COMPUTED_VALUE"""),"")</f>
        <v/>
      </c>
      <c r="D18741" s="12" t="str">
        <f ca="1">IFERROR(__xludf.DUMMYFUNCTION("""COMPUTED_VALUE"""),"")</f>
        <v/>
      </c>
    </row>
    <row r="18742" spans="2:4" ht="13">
      <c r="B18742" s="12" t="str">
        <f ca="1">IFERROR(__xludf.DUMMYFUNCTION("""COMPUTED_VALUE"""),"")</f>
        <v/>
      </c>
      <c r="C18742" s="12" t="str">
        <f ca="1">IFERROR(__xludf.DUMMYFUNCTION("""COMPUTED_VALUE"""),"")</f>
        <v/>
      </c>
      <c r="D18742" s="12" t="str">
        <f ca="1">IFERROR(__xludf.DUMMYFUNCTION("""COMPUTED_VALUE"""),"")</f>
        <v/>
      </c>
    </row>
    <row r="18743" spans="2:4" ht="13">
      <c r="B18743" s="12" t="str">
        <f ca="1">IFERROR(__xludf.DUMMYFUNCTION("""COMPUTED_VALUE"""),"")</f>
        <v/>
      </c>
      <c r="C18743" s="12" t="str">
        <f ca="1">IFERROR(__xludf.DUMMYFUNCTION("""COMPUTED_VALUE"""),"")</f>
        <v/>
      </c>
      <c r="D18743" s="12" t="str">
        <f ca="1">IFERROR(__xludf.DUMMYFUNCTION("""COMPUTED_VALUE"""),"")</f>
        <v/>
      </c>
    </row>
    <row r="18744" spans="2:4" ht="13">
      <c r="B18744" s="12" t="str">
        <f ca="1">IFERROR(__xludf.DUMMYFUNCTION("""COMPUTED_VALUE"""),"")</f>
        <v/>
      </c>
      <c r="C18744" s="12" t="str">
        <f ca="1">IFERROR(__xludf.DUMMYFUNCTION("""COMPUTED_VALUE"""),"")</f>
        <v/>
      </c>
      <c r="D18744" s="12" t="str">
        <f ca="1">IFERROR(__xludf.DUMMYFUNCTION("""COMPUTED_VALUE"""),"")</f>
        <v/>
      </c>
    </row>
    <row r="18745" spans="2:4" ht="13">
      <c r="B18745" s="12" t="str">
        <f ca="1">IFERROR(__xludf.DUMMYFUNCTION("""COMPUTED_VALUE"""),"")</f>
        <v/>
      </c>
      <c r="C18745" s="12" t="str">
        <f ca="1">IFERROR(__xludf.DUMMYFUNCTION("""COMPUTED_VALUE"""),"")</f>
        <v/>
      </c>
      <c r="D18745" s="12" t="str">
        <f ca="1">IFERROR(__xludf.DUMMYFUNCTION("""COMPUTED_VALUE"""),"")</f>
        <v/>
      </c>
    </row>
    <row r="18746" spans="2:4" ht="13">
      <c r="B18746" s="12" t="str">
        <f ca="1">IFERROR(__xludf.DUMMYFUNCTION("""COMPUTED_VALUE"""),"")</f>
        <v/>
      </c>
      <c r="C18746" s="12" t="str">
        <f ca="1">IFERROR(__xludf.DUMMYFUNCTION("""COMPUTED_VALUE"""),"")</f>
        <v/>
      </c>
      <c r="D18746" s="12" t="str">
        <f ca="1">IFERROR(__xludf.DUMMYFUNCTION("""COMPUTED_VALUE"""),"")</f>
        <v/>
      </c>
    </row>
    <row r="18747" spans="2:4" ht="13">
      <c r="B18747" s="12" t="str">
        <f ca="1">IFERROR(__xludf.DUMMYFUNCTION("""COMPUTED_VALUE"""),"")</f>
        <v/>
      </c>
      <c r="C18747" s="12" t="str">
        <f ca="1">IFERROR(__xludf.DUMMYFUNCTION("""COMPUTED_VALUE"""),"")</f>
        <v/>
      </c>
      <c r="D18747" s="12" t="str">
        <f ca="1">IFERROR(__xludf.DUMMYFUNCTION("""COMPUTED_VALUE"""),"")</f>
        <v/>
      </c>
    </row>
    <row r="18748" spans="2:4" ht="13">
      <c r="B18748" s="12" t="str">
        <f ca="1">IFERROR(__xludf.DUMMYFUNCTION("""COMPUTED_VALUE"""),"")</f>
        <v/>
      </c>
      <c r="C18748" s="12" t="str">
        <f ca="1">IFERROR(__xludf.DUMMYFUNCTION("""COMPUTED_VALUE"""),"")</f>
        <v/>
      </c>
      <c r="D18748" s="12" t="str">
        <f ca="1">IFERROR(__xludf.DUMMYFUNCTION("""COMPUTED_VALUE"""),"")</f>
        <v/>
      </c>
    </row>
    <row r="18749" spans="2:4" ht="13">
      <c r="B18749" s="12" t="str">
        <f ca="1">IFERROR(__xludf.DUMMYFUNCTION("""COMPUTED_VALUE"""),"")</f>
        <v/>
      </c>
      <c r="C18749" s="12" t="str">
        <f ca="1">IFERROR(__xludf.DUMMYFUNCTION("""COMPUTED_VALUE"""),"")</f>
        <v/>
      </c>
      <c r="D18749" s="12" t="str">
        <f ca="1">IFERROR(__xludf.DUMMYFUNCTION("""COMPUTED_VALUE"""),"")</f>
        <v/>
      </c>
    </row>
    <row r="18750" spans="2:4" ht="13">
      <c r="B18750" s="12" t="str">
        <f ca="1">IFERROR(__xludf.DUMMYFUNCTION("""COMPUTED_VALUE"""),"")</f>
        <v/>
      </c>
      <c r="C18750" s="12" t="str">
        <f ca="1">IFERROR(__xludf.DUMMYFUNCTION("""COMPUTED_VALUE"""),"")</f>
        <v/>
      </c>
      <c r="D18750" s="12" t="str">
        <f ca="1">IFERROR(__xludf.DUMMYFUNCTION("""COMPUTED_VALUE"""),"")</f>
        <v/>
      </c>
    </row>
    <row r="18751" spans="2:4" ht="13">
      <c r="B18751" s="12" t="str">
        <f ca="1">IFERROR(__xludf.DUMMYFUNCTION("""COMPUTED_VALUE"""),"")</f>
        <v/>
      </c>
      <c r="C18751" s="12" t="str">
        <f ca="1">IFERROR(__xludf.DUMMYFUNCTION("""COMPUTED_VALUE"""),"")</f>
        <v/>
      </c>
      <c r="D18751" s="12" t="str">
        <f ca="1">IFERROR(__xludf.DUMMYFUNCTION("""COMPUTED_VALUE"""),"")</f>
        <v/>
      </c>
    </row>
    <row r="18752" spans="2:4" ht="13">
      <c r="B18752" s="12" t="str">
        <f ca="1">IFERROR(__xludf.DUMMYFUNCTION("""COMPUTED_VALUE"""),"")</f>
        <v/>
      </c>
      <c r="C18752" s="12" t="str">
        <f ca="1">IFERROR(__xludf.DUMMYFUNCTION("""COMPUTED_VALUE"""),"")</f>
        <v/>
      </c>
      <c r="D18752" s="12" t="str">
        <f ca="1">IFERROR(__xludf.DUMMYFUNCTION("""COMPUTED_VALUE"""),"")</f>
        <v/>
      </c>
    </row>
    <row r="18753" spans="2:4" ht="13">
      <c r="B18753" s="12" t="str">
        <f ca="1">IFERROR(__xludf.DUMMYFUNCTION("""COMPUTED_VALUE"""),"")</f>
        <v/>
      </c>
      <c r="C18753" s="12" t="str">
        <f ca="1">IFERROR(__xludf.DUMMYFUNCTION("""COMPUTED_VALUE"""),"")</f>
        <v/>
      </c>
      <c r="D18753" s="12" t="str">
        <f ca="1">IFERROR(__xludf.DUMMYFUNCTION("""COMPUTED_VALUE"""),"")</f>
        <v/>
      </c>
    </row>
    <row r="18754" spans="2:4" ht="13">
      <c r="B18754" s="12" t="str">
        <f ca="1">IFERROR(__xludf.DUMMYFUNCTION("""COMPUTED_VALUE"""),"")</f>
        <v/>
      </c>
      <c r="C18754" s="12" t="str">
        <f ca="1">IFERROR(__xludf.DUMMYFUNCTION("""COMPUTED_VALUE"""),"")</f>
        <v/>
      </c>
      <c r="D18754" s="12" t="str">
        <f ca="1">IFERROR(__xludf.DUMMYFUNCTION("""COMPUTED_VALUE"""),"")</f>
        <v/>
      </c>
    </row>
    <row r="18755" spans="2:4" ht="13">
      <c r="B18755" s="12" t="str">
        <f ca="1">IFERROR(__xludf.DUMMYFUNCTION("""COMPUTED_VALUE"""),"")</f>
        <v/>
      </c>
      <c r="C18755" s="12" t="str">
        <f ca="1">IFERROR(__xludf.DUMMYFUNCTION("""COMPUTED_VALUE"""),"")</f>
        <v/>
      </c>
      <c r="D18755" s="12" t="str">
        <f ca="1">IFERROR(__xludf.DUMMYFUNCTION("""COMPUTED_VALUE"""),"")</f>
        <v/>
      </c>
    </row>
    <row r="18756" spans="2:4" ht="13">
      <c r="B18756" s="12" t="str">
        <f ca="1">IFERROR(__xludf.DUMMYFUNCTION("""COMPUTED_VALUE"""),"")</f>
        <v/>
      </c>
      <c r="C18756" s="12" t="str">
        <f ca="1">IFERROR(__xludf.DUMMYFUNCTION("""COMPUTED_VALUE"""),"")</f>
        <v/>
      </c>
      <c r="D18756" s="12" t="str">
        <f ca="1">IFERROR(__xludf.DUMMYFUNCTION("""COMPUTED_VALUE"""),"")</f>
        <v/>
      </c>
    </row>
    <row r="18757" spans="2:4" ht="13">
      <c r="B18757" s="12" t="str">
        <f ca="1">IFERROR(__xludf.DUMMYFUNCTION("""COMPUTED_VALUE"""),"")</f>
        <v/>
      </c>
      <c r="C18757" s="12" t="str">
        <f ca="1">IFERROR(__xludf.DUMMYFUNCTION("""COMPUTED_VALUE"""),"")</f>
        <v/>
      </c>
      <c r="D18757" s="12" t="str">
        <f ca="1">IFERROR(__xludf.DUMMYFUNCTION("""COMPUTED_VALUE"""),"")</f>
        <v/>
      </c>
    </row>
    <row r="18758" spans="2:4" ht="13">
      <c r="B18758" s="12" t="str">
        <f ca="1">IFERROR(__xludf.DUMMYFUNCTION("""COMPUTED_VALUE"""),"")</f>
        <v/>
      </c>
      <c r="C18758" s="12" t="str">
        <f ca="1">IFERROR(__xludf.DUMMYFUNCTION("""COMPUTED_VALUE"""),"")</f>
        <v/>
      </c>
      <c r="D18758" s="12" t="str">
        <f ca="1">IFERROR(__xludf.DUMMYFUNCTION("""COMPUTED_VALUE"""),"")</f>
        <v/>
      </c>
    </row>
    <row r="18759" spans="2:4" ht="13">
      <c r="B18759" s="12" t="str">
        <f ca="1">IFERROR(__xludf.DUMMYFUNCTION("""COMPUTED_VALUE"""),"")</f>
        <v/>
      </c>
      <c r="C18759" s="12" t="str">
        <f ca="1">IFERROR(__xludf.DUMMYFUNCTION("""COMPUTED_VALUE"""),"")</f>
        <v/>
      </c>
      <c r="D18759" s="12" t="str">
        <f ca="1">IFERROR(__xludf.DUMMYFUNCTION("""COMPUTED_VALUE"""),"")</f>
        <v/>
      </c>
    </row>
    <row r="18760" spans="2:4" ht="13">
      <c r="B18760" s="12" t="str">
        <f ca="1">IFERROR(__xludf.DUMMYFUNCTION("""COMPUTED_VALUE"""),"")</f>
        <v/>
      </c>
      <c r="C18760" s="12" t="str">
        <f ca="1">IFERROR(__xludf.DUMMYFUNCTION("""COMPUTED_VALUE"""),"")</f>
        <v/>
      </c>
      <c r="D18760" s="12" t="str">
        <f ca="1">IFERROR(__xludf.DUMMYFUNCTION("""COMPUTED_VALUE"""),"")</f>
        <v/>
      </c>
    </row>
    <row r="18761" spans="2:4" ht="13">
      <c r="B18761" s="12" t="str">
        <f ca="1">IFERROR(__xludf.DUMMYFUNCTION("""COMPUTED_VALUE"""),"")</f>
        <v/>
      </c>
      <c r="C18761" s="12" t="str">
        <f ca="1">IFERROR(__xludf.DUMMYFUNCTION("""COMPUTED_VALUE"""),"")</f>
        <v/>
      </c>
      <c r="D18761" s="12" t="str">
        <f ca="1">IFERROR(__xludf.DUMMYFUNCTION("""COMPUTED_VALUE"""),"")</f>
        <v/>
      </c>
    </row>
    <row r="18762" spans="2:4" ht="13">
      <c r="B18762" s="12" t="str">
        <f ca="1">IFERROR(__xludf.DUMMYFUNCTION("""COMPUTED_VALUE"""),"")</f>
        <v/>
      </c>
      <c r="C18762" s="12" t="str">
        <f ca="1">IFERROR(__xludf.DUMMYFUNCTION("""COMPUTED_VALUE"""),"")</f>
        <v/>
      </c>
      <c r="D18762" s="12" t="str">
        <f ca="1">IFERROR(__xludf.DUMMYFUNCTION("""COMPUTED_VALUE"""),"")</f>
        <v/>
      </c>
    </row>
    <row r="18763" spans="2:4" ht="13">
      <c r="B18763" s="12" t="str">
        <f ca="1">IFERROR(__xludf.DUMMYFUNCTION("""COMPUTED_VALUE"""),"")</f>
        <v/>
      </c>
      <c r="C18763" s="12" t="str">
        <f ca="1">IFERROR(__xludf.DUMMYFUNCTION("""COMPUTED_VALUE"""),"")</f>
        <v/>
      </c>
      <c r="D18763" s="12" t="str">
        <f ca="1">IFERROR(__xludf.DUMMYFUNCTION("""COMPUTED_VALUE"""),"")</f>
        <v/>
      </c>
    </row>
    <row r="18764" spans="2:4" ht="13">
      <c r="B18764" s="12" t="str">
        <f ca="1">IFERROR(__xludf.DUMMYFUNCTION("""COMPUTED_VALUE"""),"")</f>
        <v/>
      </c>
      <c r="C18764" s="12" t="str">
        <f ca="1">IFERROR(__xludf.DUMMYFUNCTION("""COMPUTED_VALUE"""),"")</f>
        <v/>
      </c>
      <c r="D18764" s="12" t="str">
        <f ca="1">IFERROR(__xludf.DUMMYFUNCTION("""COMPUTED_VALUE"""),"")</f>
        <v/>
      </c>
    </row>
    <row r="18765" spans="2:4" ht="13">
      <c r="B18765" s="12" t="str">
        <f ca="1">IFERROR(__xludf.DUMMYFUNCTION("""COMPUTED_VALUE"""),"")</f>
        <v/>
      </c>
      <c r="C18765" s="12" t="str">
        <f ca="1">IFERROR(__xludf.DUMMYFUNCTION("""COMPUTED_VALUE"""),"")</f>
        <v/>
      </c>
      <c r="D18765" s="12" t="str">
        <f ca="1">IFERROR(__xludf.DUMMYFUNCTION("""COMPUTED_VALUE"""),"")</f>
        <v/>
      </c>
    </row>
    <row r="18766" spans="2:4" ht="13">
      <c r="B18766" s="12" t="str">
        <f ca="1">IFERROR(__xludf.DUMMYFUNCTION("""COMPUTED_VALUE"""),"")</f>
        <v/>
      </c>
      <c r="C18766" s="12" t="str">
        <f ca="1">IFERROR(__xludf.DUMMYFUNCTION("""COMPUTED_VALUE"""),"")</f>
        <v/>
      </c>
      <c r="D18766" s="12" t="str">
        <f ca="1">IFERROR(__xludf.DUMMYFUNCTION("""COMPUTED_VALUE"""),"")</f>
        <v/>
      </c>
    </row>
    <row r="18767" spans="2:4" ht="13">
      <c r="B18767" s="12" t="str">
        <f ca="1">IFERROR(__xludf.DUMMYFUNCTION("""COMPUTED_VALUE"""),"")</f>
        <v/>
      </c>
      <c r="C18767" s="12" t="str">
        <f ca="1">IFERROR(__xludf.DUMMYFUNCTION("""COMPUTED_VALUE"""),"")</f>
        <v/>
      </c>
      <c r="D18767" s="12" t="str">
        <f ca="1">IFERROR(__xludf.DUMMYFUNCTION("""COMPUTED_VALUE"""),"")</f>
        <v/>
      </c>
    </row>
    <row r="18768" spans="2:4" ht="13">
      <c r="B18768" s="12" t="str">
        <f ca="1">IFERROR(__xludf.DUMMYFUNCTION("""COMPUTED_VALUE"""),"")</f>
        <v/>
      </c>
      <c r="C18768" s="12" t="str">
        <f ca="1">IFERROR(__xludf.DUMMYFUNCTION("""COMPUTED_VALUE"""),"")</f>
        <v/>
      </c>
      <c r="D18768" s="12" t="str">
        <f ca="1">IFERROR(__xludf.DUMMYFUNCTION("""COMPUTED_VALUE"""),"")</f>
        <v/>
      </c>
    </row>
    <row r="18769" spans="2:4" ht="13">
      <c r="B18769" s="12" t="str">
        <f ca="1">IFERROR(__xludf.DUMMYFUNCTION("""COMPUTED_VALUE"""),"")</f>
        <v/>
      </c>
      <c r="C18769" s="12" t="str">
        <f ca="1">IFERROR(__xludf.DUMMYFUNCTION("""COMPUTED_VALUE"""),"")</f>
        <v/>
      </c>
      <c r="D18769" s="12" t="str">
        <f ca="1">IFERROR(__xludf.DUMMYFUNCTION("""COMPUTED_VALUE"""),"")</f>
        <v/>
      </c>
    </row>
    <row r="18770" spans="2:4" ht="13">
      <c r="B18770" s="12" t="str">
        <f ca="1">IFERROR(__xludf.DUMMYFUNCTION("""COMPUTED_VALUE"""),"")</f>
        <v/>
      </c>
      <c r="C18770" s="12" t="str">
        <f ca="1">IFERROR(__xludf.DUMMYFUNCTION("""COMPUTED_VALUE"""),"")</f>
        <v/>
      </c>
      <c r="D18770" s="12" t="str">
        <f ca="1">IFERROR(__xludf.DUMMYFUNCTION("""COMPUTED_VALUE"""),"")</f>
        <v/>
      </c>
    </row>
    <row r="18771" spans="2:4" ht="13">
      <c r="B18771" s="12" t="str">
        <f ca="1">IFERROR(__xludf.DUMMYFUNCTION("""COMPUTED_VALUE"""),"")</f>
        <v/>
      </c>
      <c r="C18771" s="12" t="str">
        <f ca="1">IFERROR(__xludf.DUMMYFUNCTION("""COMPUTED_VALUE"""),"")</f>
        <v/>
      </c>
      <c r="D18771" s="12" t="str">
        <f ca="1">IFERROR(__xludf.DUMMYFUNCTION("""COMPUTED_VALUE"""),"")</f>
        <v/>
      </c>
    </row>
    <row r="18772" spans="2:4" ht="13">
      <c r="B18772" s="12" t="str">
        <f ca="1">IFERROR(__xludf.DUMMYFUNCTION("""COMPUTED_VALUE"""),"")</f>
        <v/>
      </c>
      <c r="C18772" s="12" t="str">
        <f ca="1">IFERROR(__xludf.DUMMYFUNCTION("""COMPUTED_VALUE"""),"")</f>
        <v/>
      </c>
      <c r="D18772" s="12" t="str">
        <f ca="1">IFERROR(__xludf.DUMMYFUNCTION("""COMPUTED_VALUE"""),"")</f>
        <v/>
      </c>
    </row>
    <row r="18773" spans="2:4" ht="13">
      <c r="B18773" s="12" t="str">
        <f ca="1">IFERROR(__xludf.DUMMYFUNCTION("""COMPUTED_VALUE"""),"")</f>
        <v/>
      </c>
      <c r="C18773" s="12" t="str">
        <f ca="1">IFERROR(__xludf.DUMMYFUNCTION("""COMPUTED_VALUE"""),"")</f>
        <v/>
      </c>
      <c r="D18773" s="12" t="str">
        <f ca="1">IFERROR(__xludf.DUMMYFUNCTION("""COMPUTED_VALUE"""),"")</f>
        <v/>
      </c>
    </row>
    <row r="18774" spans="2:4" ht="13">
      <c r="B18774" s="12" t="str">
        <f ca="1">IFERROR(__xludf.DUMMYFUNCTION("""COMPUTED_VALUE"""),"")</f>
        <v/>
      </c>
      <c r="C18774" s="12" t="str">
        <f ca="1">IFERROR(__xludf.DUMMYFUNCTION("""COMPUTED_VALUE"""),"")</f>
        <v/>
      </c>
      <c r="D18774" s="12" t="str">
        <f ca="1">IFERROR(__xludf.DUMMYFUNCTION("""COMPUTED_VALUE"""),"")</f>
        <v/>
      </c>
    </row>
    <row r="18775" spans="2:4" ht="13">
      <c r="B18775" s="12" t="str">
        <f ca="1">IFERROR(__xludf.DUMMYFUNCTION("""COMPUTED_VALUE"""),"")</f>
        <v/>
      </c>
      <c r="C18775" s="12" t="str">
        <f ca="1">IFERROR(__xludf.DUMMYFUNCTION("""COMPUTED_VALUE"""),"")</f>
        <v/>
      </c>
      <c r="D18775" s="12" t="str">
        <f ca="1">IFERROR(__xludf.DUMMYFUNCTION("""COMPUTED_VALUE"""),"")</f>
        <v/>
      </c>
    </row>
    <row r="18776" spans="2:4" ht="13">
      <c r="B18776" s="12" t="str">
        <f ca="1">IFERROR(__xludf.DUMMYFUNCTION("""COMPUTED_VALUE"""),"")</f>
        <v/>
      </c>
      <c r="C18776" s="12" t="str">
        <f ca="1">IFERROR(__xludf.DUMMYFUNCTION("""COMPUTED_VALUE"""),"")</f>
        <v/>
      </c>
      <c r="D18776" s="12" t="str">
        <f ca="1">IFERROR(__xludf.DUMMYFUNCTION("""COMPUTED_VALUE"""),"")</f>
        <v/>
      </c>
    </row>
    <row r="18777" spans="2:4" ht="13">
      <c r="B18777" s="12" t="str">
        <f ca="1">IFERROR(__xludf.DUMMYFUNCTION("""COMPUTED_VALUE"""),"")</f>
        <v/>
      </c>
      <c r="C18777" s="12" t="str">
        <f ca="1">IFERROR(__xludf.DUMMYFUNCTION("""COMPUTED_VALUE"""),"")</f>
        <v/>
      </c>
      <c r="D18777" s="12" t="str">
        <f ca="1">IFERROR(__xludf.DUMMYFUNCTION("""COMPUTED_VALUE"""),"")</f>
        <v/>
      </c>
    </row>
    <row r="18778" spans="2:4" ht="13">
      <c r="B18778" s="12" t="str">
        <f ca="1">IFERROR(__xludf.DUMMYFUNCTION("""COMPUTED_VALUE"""),"")</f>
        <v/>
      </c>
      <c r="C18778" s="12" t="str">
        <f ca="1">IFERROR(__xludf.DUMMYFUNCTION("""COMPUTED_VALUE"""),"")</f>
        <v/>
      </c>
      <c r="D18778" s="12" t="str">
        <f ca="1">IFERROR(__xludf.DUMMYFUNCTION("""COMPUTED_VALUE"""),"")</f>
        <v/>
      </c>
    </row>
    <row r="18779" spans="2:4" ht="13">
      <c r="B18779" s="12" t="str">
        <f ca="1">IFERROR(__xludf.DUMMYFUNCTION("""COMPUTED_VALUE"""),"")</f>
        <v/>
      </c>
      <c r="C18779" s="12" t="str">
        <f ca="1">IFERROR(__xludf.DUMMYFUNCTION("""COMPUTED_VALUE"""),"")</f>
        <v/>
      </c>
      <c r="D18779" s="12" t="str">
        <f ca="1">IFERROR(__xludf.DUMMYFUNCTION("""COMPUTED_VALUE"""),"")</f>
        <v/>
      </c>
    </row>
    <row r="18780" spans="2:4" ht="13">
      <c r="B18780" s="12" t="str">
        <f ca="1">IFERROR(__xludf.DUMMYFUNCTION("""COMPUTED_VALUE"""),"")</f>
        <v/>
      </c>
      <c r="C18780" s="12" t="str">
        <f ca="1">IFERROR(__xludf.DUMMYFUNCTION("""COMPUTED_VALUE"""),"")</f>
        <v/>
      </c>
      <c r="D18780" s="12" t="str">
        <f ca="1">IFERROR(__xludf.DUMMYFUNCTION("""COMPUTED_VALUE"""),"")</f>
        <v/>
      </c>
    </row>
    <row r="18781" spans="2:4" ht="13">
      <c r="B18781" s="12" t="str">
        <f ca="1">IFERROR(__xludf.DUMMYFUNCTION("""COMPUTED_VALUE"""),"")</f>
        <v/>
      </c>
      <c r="C18781" s="12" t="str">
        <f ca="1">IFERROR(__xludf.DUMMYFUNCTION("""COMPUTED_VALUE"""),"")</f>
        <v/>
      </c>
      <c r="D18781" s="12" t="str">
        <f ca="1">IFERROR(__xludf.DUMMYFUNCTION("""COMPUTED_VALUE"""),"")</f>
        <v/>
      </c>
    </row>
    <row r="18782" spans="2:4" ht="13">
      <c r="B18782" s="12" t="str">
        <f ca="1">IFERROR(__xludf.DUMMYFUNCTION("""COMPUTED_VALUE"""),"")</f>
        <v/>
      </c>
      <c r="C18782" s="12" t="str">
        <f ca="1">IFERROR(__xludf.DUMMYFUNCTION("""COMPUTED_VALUE"""),"")</f>
        <v/>
      </c>
      <c r="D18782" s="12" t="str">
        <f ca="1">IFERROR(__xludf.DUMMYFUNCTION("""COMPUTED_VALUE"""),"")</f>
        <v/>
      </c>
    </row>
    <row r="18783" spans="2:4" ht="13">
      <c r="B18783" s="12" t="str">
        <f ca="1">IFERROR(__xludf.DUMMYFUNCTION("""COMPUTED_VALUE"""),"")</f>
        <v/>
      </c>
      <c r="C18783" s="12" t="str">
        <f ca="1">IFERROR(__xludf.DUMMYFUNCTION("""COMPUTED_VALUE"""),"")</f>
        <v/>
      </c>
      <c r="D18783" s="12" t="str">
        <f ca="1">IFERROR(__xludf.DUMMYFUNCTION("""COMPUTED_VALUE"""),"")</f>
        <v/>
      </c>
    </row>
    <row r="18784" spans="2:4" ht="13">
      <c r="B18784" s="12" t="str">
        <f ca="1">IFERROR(__xludf.DUMMYFUNCTION("""COMPUTED_VALUE"""),"")</f>
        <v/>
      </c>
      <c r="C18784" s="12" t="str">
        <f ca="1">IFERROR(__xludf.DUMMYFUNCTION("""COMPUTED_VALUE"""),"")</f>
        <v/>
      </c>
      <c r="D18784" s="12" t="str">
        <f ca="1">IFERROR(__xludf.DUMMYFUNCTION("""COMPUTED_VALUE"""),"")</f>
        <v/>
      </c>
    </row>
    <row r="18785" spans="2:4" ht="13">
      <c r="B18785" s="12" t="str">
        <f ca="1">IFERROR(__xludf.DUMMYFUNCTION("""COMPUTED_VALUE"""),"")</f>
        <v/>
      </c>
      <c r="C18785" s="12" t="str">
        <f ca="1">IFERROR(__xludf.DUMMYFUNCTION("""COMPUTED_VALUE"""),"")</f>
        <v/>
      </c>
      <c r="D18785" s="12" t="str">
        <f ca="1">IFERROR(__xludf.DUMMYFUNCTION("""COMPUTED_VALUE"""),"")</f>
        <v/>
      </c>
    </row>
    <row r="18786" spans="2:4" ht="13">
      <c r="B18786" s="12" t="str">
        <f ca="1">IFERROR(__xludf.DUMMYFUNCTION("""COMPUTED_VALUE"""),"")</f>
        <v/>
      </c>
      <c r="C18786" s="12" t="str">
        <f ca="1">IFERROR(__xludf.DUMMYFUNCTION("""COMPUTED_VALUE"""),"")</f>
        <v/>
      </c>
      <c r="D18786" s="12" t="str">
        <f ca="1">IFERROR(__xludf.DUMMYFUNCTION("""COMPUTED_VALUE"""),"")</f>
        <v/>
      </c>
    </row>
    <row r="18787" spans="2:4" ht="13">
      <c r="B18787" s="12" t="str">
        <f ca="1">IFERROR(__xludf.DUMMYFUNCTION("""COMPUTED_VALUE"""),"")</f>
        <v/>
      </c>
      <c r="C18787" s="12" t="str">
        <f ca="1">IFERROR(__xludf.DUMMYFUNCTION("""COMPUTED_VALUE"""),"")</f>
        <v/>
      </c>
      <c r="D18787" s="12" t="str">
        <f ca="1">IFERROR(__xludf.DUMMYFUNCTION("""COMPUTED_VALUE"""),"")</f>
        <v/>
      </c>
    </row>
    <row r="18788" spans="2:4" ht="13">
      <c r="B18788" s="12" t="str">
        <f ca="1">IFERROR(__xludf.DUMMYFUNCTION("""COMPUTED_VALUE"""),"")</f>
        <v/>
      </c>
      <c r="C18788" s="12" t="str">
        <f ca="1">IFERROR(__xludf.DUMMYFUNCTION("""COMPUTED_VALUE"""),"")</f>
        <v/>
      </c>
      <c r="D18788" s="12" t="str">
        <f ca="1">IFERROR(__xludf.DUMMYFUNCTION("""COMPUTED_VALUE"""),"")</f>
        <v/>
      </c>
    </row>
    <row r="18789" spans="2:4" ht="13">
      <c r="B18789" s="12" t="str">
        <f ca="1">IFERROR(__xludf.DUMMYFUNCTION("""COMPUTED_VALUE"""),"")</f>
        <v/>
      </c>
      <c r="C18789" s="12" t="str">
        <f ca="1">IFERROR(__xludf.DUMMYFUNCTION("""COMPUTED_VALUE"""),"")</f>
        <v/>
      </c>
      <c r="D18789" s="12" t="str">
        <f ca="1">IFERROR(__xludf.DUMMYFUNCTION("""COMPUTED_VALUE"""),"")</f>
        <v/>
      </c>
    </row>
    <row r="18790" spans="2:4" ht="13">
      <c r="B18790" s="12" t="str">
        <f ca="1">IFERROR(__xludf.DUMMYFUNCTION("""COMPUTED_VALUE"""),"")</f>
        <v/>
      </c>
      <c r="C18790" s="12" t="str">
        <f ca="1">IFERROR(__xludf.DUMMYFUNCTION("""COMPUTED_VALUE"""),"")</f>
        <v/>
      </c>
      <c r="D18790" s="12" t="str">
        <f ca="1">IFERROR(__xludf.DUMMYFUNCTION("""COMPUTED_VALUE"""),"")</f>
        <v/>
      </c>
    </row>
    <row r="18791" spans="2:4" ht="13">
      <c r="B18791" s="12" t="str">
        <f ca="1">IFERROR(__xludf.DUMMYFUNCTION("""COMPUTED_VALUE"""),"")</f>
        <v/>
      </c>
      <c r="C18791" s="12" t="str">
        <f ca="1">IFERROR(__xludf.DUMMYFUNCTION("""COMPUTED_VALUE"""),"")</f>
        <v/>
      </c>
      <c r="D18791" s="12" t="str">
        <f ca="1">IFERROR(__xludf.DUMMYFUNCTION("""COMPUTED_VALUE"""),"")</f>
        <v/>
      </c>
    </row>
    <row r="18792" spans="2:4" ht="13">
      <c r="B18792" s="12" t="str">
        <f ca="1">IFERROR(__xludf.DUMMYFUNCTION("""COMPUTED_VALUE"""),"")</f>
        <v/>
      </c>
      <c r="C18792" s="12" t="str">
        <f ca="1">IFERROR(__xludf.DUMMYFUNCTION("""COMPUTED_VALUE"""),"")</f>
        <v/>
      </c>
      <c r="D18792" s="12" t="str">
        <f ca="1">IFERROR(__xludf.DUMMYFUNCTION("""COMPUTED_VALUE"""),"")</f>
        <v/>
      </c>
    </row>
    <row r="18793" spans="2:4" ht="13">
      <c r="B18793" s="12" t="str">
        <f ca="1">IFERROR(__xludf.DUMMYFUNCTION("""COMPUTED_VALUE"""),"")</f>
        <v/>
      </c>
      <c r="C18793" s="12" t="str">
        <f ca="1">IFERROR(__xludf.DUMMYFUNCTION("""COMPUTED_VALUE"""),"")</f>
        <v/>
      </c>
      <c r="D18793" s="12" t="str">
        <f ca="1">IFERROR(__xludf.DUMMYFUNCTION("""COMPUTED_VALUE"""),"")</f>
        <v/>
      </c>
    </row>
    <row r="18794" spans="2:4" ht="13">
      <c r="B18794" s="12" t="str">
        <f ca="1">IFERROR(__xludf.DUMMYFUNCTION("""COMPUTED_VALUE"""),"")</f>
        <v/>
      </c>
      <c r="C18794" s="12" t="str">
        <f ca="1">IFERROR(__xludf.DUMMYFUNCTION("""COMPUTED_VALUE"""),"")</f>
        <v/>
      </c>
      <c r="D18794" s="12" t="str">
        <f ca="1">IFERROR(__xludf.DUMMYFUNCTION("""COMPUTED_VALUE"""),"")</f>
        <v/>
      </c>
    </row>
    <row r="18795" spans="2:4" ht="13">
      <c r="B18795" s="12" t="str">
        <f ca="1">IFERROR(__xludf.DUMMYFUNCTION("""COMPUTED_VALUE"""),"")</f>
        <v/>
      </c>
      <c r="C18795" s="12" t="str">
        <f ca="1">IFERROR(__xludf.DUMMYFUNCTION("""COMPUTED_VALUE"""),"")</f>
        <v/>
      </c>
      <c r="D18795" s="12" t="str">
        <f ca="1">IFERROR(__xludf.DUMMYFUNCTION("""COMPUTED_VALUE"""),"")</f>
        <v/>
      </c>
    </row>
    <row r="18796" spans="2:4" ht="13">
      <c r="B18796" s="12" t="str">
        <f ca="1">IFERROR(__xludf.DUMMYFUNCTION("""COMPUTED_VALUE"""),"")</f>
        <v/>
      </c>
      <c r="C18796" s="12" t="str">
        <f ca="1">IFERROR(__xludf.DUMMYFUNCTION("""COMPUTED_VALUE"""),"")</f>
        <v/>
      </c>
      <c r="D18796" s="12" t="str">
        <f ca="1">IFERROR(__xludf.DUMMYFUNCTION("""COMPUTED_VALUE"""),"")</f>
        <v/>
      </c>
    </row>
    <row r="18797" spans="2:4" ht="13">
      <c r="B18797" s="12" t="str">
        <f ca="1">IFERROR(__xludf.DUMMYFUNCTION("""COMPUTED_VALUE"""),"")</f>
        <v/>
      </c>
      <c r="C18797" s="12" t="str">
        <f ca="1">IFERROR(__xludf.DUMMYFUNCTION("""COMPUTED_VALUE"""),"")</f>
        <v/>
      </c>
      <c r="D18797" s="12" t="str">
        <f ca="1">IFERROR(__xludf.DUMMYFUNCTION("""COMPUTED_VALUE"""),"")</f>
        <v/>
      </c>
    </row>
    <row r="18798" spans="2:4" ht="13">
      <c r="B18798" s="12" t="str">
        <f ca="1">IFERROR(__xludf.DUMMYFUNCTION("""COMPUTED_VALUE"""),"")</f>
        <v/>
      </c>
      <c r="C18798" s="12" t="str">
        <f ca="1">IFERROR(__xludf.DUMMYFUNCTION("""COMPUTED_VALUE"""),"")</f>
        <v/>
      </c>
      <c r="D18798" s="12" t="str">
        <f ca="1">IFERROR(__xludf.DUMMYFUNCTION("""COMPUTED_VALUE"""),"")</f>
        <v/>
      </c>
    </row>
    <row r="18799" spans="2:4" ht="13">
      <c r="B18799" s="12" t="str">
        <f ca="1">IFERROR(__xludf.DUMMYFUNCTION("""COMPUTED_VALUE"""),"")</f>
        <v/>
      </c>
      <c r="C18799" s="12" t="str">
        <f ca="1">IFERROR(__xludf.DUMMYFUNCTION("""COMPUTED_VALUE"""),"")</f>
        <v/>
      </c>
      <c r="D18799" s="12" t="str">
        <f ca="1">IFERROR(__xludf.DUMMYFUNCTION("""COMPUTED_VALUE"""),"")</f>
        <v/>
      </c>
    </row>
    <row r="18800" spans="2:4" ht="13">
      <c r="B18800" s="12" t="str">
        <f ca="1">IFERROR(__xludf.DUMMYFUNCTION("""COMPUTED_VALUE"""),"")</f>
        <v/>
      </c>
      <c r="C18800" s="12" t="str">
        <f ca="1">IFERROR(__xludf.DUMMYFUNCTION("""COMPUTED_VALUE"""),"")</f>
        <v/>
      </c>
      <c r="D18800" s="12" t="str">
        <f ca="1">IFERROR(__xludf.DUMMYFUNCTION("""COMPUTED_VALUE"""),"")</f>
        <v/>
      </c>
    </row>
    <row r="18801" spans="2:4" ht="13">
      <c r="B18801" s="12" t="str">
        <f ca="1">IFERROR(__xludf.DUMMYFUNCTION("""COMPUTED_VALUE"""),"")</f>
        <v/>
      </c>
      <c r="C18801" s="12" t="str">
        <f ca="1">IFERROR(__xludf.DUMMYFUNCTION("""COMPUTED_VALUE"""),"")</f>
        <v/>
      </c>
      <c r="D18801" s="12" t="str">
        <f ca="1">IFERROR(__xludf.DUMMYFUNCTION("""COMPUTED_VALUE"""),"")</f>
        <v/>
      </c>
    </row>
    <row r="18802" spans="2:4" ht="13">
      <c r="B18802" s="12" t="str">
        <f ca="1">IFERROR(__xludf.DUMMYFUNCTION("""COMPUTED_VALUE"""),"")</f>
        <v/>
      </c>
      <c r="C18802" s="12" t="str">
        <f ca="1">IFERROR(__xludf.DUMMYFUNCTION("""COMPUTED_VALUE"""),"")</f>
        <v/>
      </c>
      <c r="D18802" s="12" t="str">
        <f ca="1">IFERROR(__xludf.DUMMYFUNCTION("""COMPUTED_VALUE"""),"")</f>
        <v/>
      </c>
    </row>
    <row r="18803" spans="2:4" ht="13">
      <c r="B18803" s="12" t="str">
        <f ca="1">IFERROR(__xludf.DUMMYFUNCTION("""COMPUTED_VALUE"""),"")</f>
        <v/>
      </c>
      <c r="C18803" s="12" t="str">
        <f ca="1">IFERROR(__xludf.DUMMYFUNCTION("""COMPUTED_VALUE"""),"")</f>
        <v/>
      </c>
      <c r="D18803" s="12" t="str">
        <f ca="1">IFERROR(__xludf.DUMMYFUNCTION("""COMPUTED_VALUE"""),"")</f>
        <v/>
      </c>
    </row>
    <row r="18804" spans="2:4" ht="13">
      <c r="B18804" s="12" t="str">
        <f ca="1">IFERROR(__xludf.DUMMYFUNCTION("""COMPUTED_VALUE"""),"")</f>
        <v/>
      </c>
      <c r="C18804" s="12" t="str">
        <f ca="1">IFERROR(__xludf.DUMMYFUNCTION("""COMPUTED_VALUE"""),"")</f>
        <v/>
      </c>
      <c r="D18804" s="12" t="str">
        <f ca="1">IFERROR(__xludf.DUMMYFUNCTION("""COMPUTED_VALUE"""),"")</f>
        <v/>
      </c>
    </row>
    <row r="18805" spans="2:4" ht="13">
      <c r="B18805" s="12" t="str">
        <f ca="1">IFERROR(__xludf.DUMMYFUNCTION("""COMPUTED_VALUE"""),"")</f>
        <v/>
      </c>
      <c r="C18805" s="12" t="str">
        <f ca="1">IFERROR(__xludf.DUMMYFUNCTION("""COMPUTED_VALUE"""),"")</f>
        <v/>
      </c>
      <c r="D18805" s="12" t="str">
        <f ca="1">IFERROR(__xludf.DUMMYFUNCTION("""COMPUTED_VALUE"""),"")</f>
        <v/>
      </c>
    </row>
    <row r="18806" spans="2:4" ht="13">
      <c r="B18806" s="12" t="str">
        <f ca="1">IFERROR(__xludf.DUMMYFUNCTION("""COMPUTED_VALUE"""),"")</f>
        <v/>
      </c>
      <c r="C18806" s="12" t="str">
        <f ca="1">IFERROR(__xludf.DUMMYFUNCTION("""COMPUTED_VALUE"""),"")</f>
        <v/>
      </c>
      <c r="D18806" s="12" t="str">
        <f ca="1">IFERROR(__xludf.DUMMYFUNCTION("""COMPUTED_VALUE"""),"")</f>
        <v/>
      </c>
    </row>
    <row r="18807" spans="2:4" ht="13">
      <c r="B18807" s="12" t="str">
        <f ca="1">IFERROR(__xludf.DUMMYFUNCTION("""COMPUTED_VALUE"""),"")</f>
        <v/>
      </c>
      <c r="C18807" s="12" t="str">
        <f ca="1">IFERROR(__xludf.DUMMYFUNCTION("""COMPUTED_VALUE"""),"")</f>
        <v/>
      </c>
      <c r="D18807" s="12" t="str">
        <f ca="1">IFERROR(__xludf.DUMMYFUNCTION("""COMPUTED_VALUE"""),"")</f>
        <v/>
      </c>
    </row>
    <row r="18808" spans="2:4" ht="13">
      <c r="B18808" s="12" t="str">
        <f ca="1">IFERROR(__xludf.DUMMYFUNCTION("""COMPUTED_VALUE"""),"")</f>
        <v/>
      </c>
      <c r="C18808" s="12" t="str">
        <f ca="1">IFERROR(__xludf.DUMMYFUNCTION("""COMPUTED_VALUE"""),"")</f>
        <v/>
      </c>
      <c r="D18808" s="12" t="str">
        <f ca="1">IFERROR(__xludf.DUMMYFUNCTION("""COMPUTED_VALUE"""),"")</f>
        <v/>
      </c>
    </row>
    <row r="18809" spans="2:4" ht="13">
      <c r="B18809" s="12" t="str">
        <f ca="1">IFERROR(__xludf.DUMMYFUNCTION("""COMPUTED_VALUE"""),"")</f>
        <v/>
      </c>
      <c r="C18809" s="12" t="str">
        <f ca="1">IFERROR(__xludf.DUMMYFUNCTION("""COMPUTED_VALUE"""),"")</f>
        <v/>
      </c>
      <c r="D18809" s="12" t="str">
        <f ca="1">IFERROR(__xludf.DUMMYFUNCTION("""COMPUTED_VALUE"""),"")</f>
        <v/>
      </c>
    </row>
    <row r="18810" spans="2:4" ht="13">
      <c r="B18810" s="12" t="str">
        <f ca="1">IFERROR(__xludf.DUMMYFUNCTION("""COMPUTED_VALUE"""),"")</f>
        <v/>
      </c>
      <c r="C18810" s="12" t="str">
        <f ca="1">IFERROR(__xludf.DUMMYFUNCTION("""COMPUTED_VALUE"""),"")</f>
        <v/>
      </c>
      <c r="D18810" s="12" t="str">
        <f ca="1">IFERROR(__xludf.DUMMYFUNCTION("""COMPUTED_VALUE"""),"")</f>
        <v/>
      </c>
    </row>
    <row r="18811" spans="2:4" ht="13">
      <c r="B18811" s="12" t="str">
        <f ca="1">IFERROR(__xludf.DUMMYFUNCTION("""COMPUTED_VALUE"""),"")</f>
        <v/>
      </c>
      <c r="C18811" s="12" t="str">
        <f ca="1">IFERROR(__xludf.DUMMYFUNCTION("""COMPUTED_VALUE"""),"")</f>
        <v/>
      </c>
      <c r="D18811" s="12" t="str">
        <f ca="1">IFERROR(__xludf.DUMMYFUNCTION("""COMPUTED_VALUE"""),"")</f>
        <v/>
      </c>
    </row>
    <row r="18812" spans="2:4" ht="13">
      <c r="B18812" s="12" t="str">
        <f ca="1">IFERROR(__xludf.DUMMYFUNCTION("""COMPUTED_VALUE"""),"")</f>
        <v/>
      </c>
      <c r="C18812" s="12" t="str">
        <f ca="1">IFERROR(__xludf.DUMMYFUNCTION("""COMPUTED_VALUE"""),"")</f>
        <v/>
      </c>
      <c r="D18812" s="12" t="str">
        <f ca="1">IFERROR(__xludf.DUMMYFUNCTION("""COMPUTED_VALUE"""),"")</f>
        <v/>
      </c>
    </row>
    <row r="18813" spans="2:4" ht="13">
      <c r="B18813" s="12" t="str">
        <f ca="1">IFERROR(__xludf.DUMMYFUNCTION("""COMPUTED_VALUE"""),"")</f>
        <v/>
      </c>
      <c r="C18813" s="12" t="str">
        <f ca="1">IFERROR(__xludf.DUMMYFUNCTION("""COMPUTED_VALUE"""),"")</f>
        <v/>
      </c>
      <c r="D18813" s="12" t="str">
        <f ca="1">IFERROR(__xludf.DUMMYFUNCTION("""COMPUTED_VALUE"""),"")</f>
        <v/>
      </c>
    </row>
    <row r="18814" spans="2:4" ht="13">
      <c r="B18814" s="12" t="str">
        <f ca="1">IFERROR(__xludf.DUMMYFUNCTION("""COMPUTED_VALUE"""),"")</f>
        <v/>
      </c>
      <c r="C18814" s="12" t="str">
        <f ca="1">IFERROR(__xludf.DUMMYFUNCTION("""COMPUTED_VALUE"""),"")</f>
        <v/>
      </c>
      <c r="D18814" s="12" t="str">
        <f ca="1">IFERROR(__xludf.DUMMYFUNCTION("""COMPUTED_VALUE"""),"")</f>
        <v/>
      </c>
    </row>
    <row r="18815" spans="2:4" ht="13">
      <c r="B18815" s="12" t="str">
        <f ca="1">IFERROR(__xludf.DUMMYFUNCTION("""COMPUTED_VALUE"""),"")</f>
        <v/>
      </c>
      <c r="C18815" s="12" t="str">
        <f ca="1">IFERROR(__xludf.DUMMYFUNCTION("""COMPUTED_VALUE"""),"")</f>
        <v/>
      </c>
      <c r="D18815" s="12" t="str">
        <f ca="1">IFERROR(__xludf.DUMMYFUNCTION("""COMPUTED_VALUE"""),"")</f>
        <v/>
      </c>
    </row>
    <row r="18816" spans="2:4" ht="13">
      <c r="B18816" s="12" t="str">
        <f ca="1">IFERROR(__xludf.DUMMYFUNCTION("""COMPUTED_VALUE"""),"")</f>
        <v/>
      </c>
      <c r="C18816" s="12" t="str">
        <f ca="1">IFERROR(__xludf.DUMMYFUNCTION("""COMPUTED_VALUE"""),"")</f>
        <v/>
      </c>
      <c r="D18816" s="12" t="str">
        <f ca="1">IFERROR(__xludf.DUMMYFUNCTION("""COMPUTED_VALUE"""),"")</f>
        <v/>
      </c>
    </row>
    <row r="18817" spans="2:4" ht="13">
      <c r="B18817" s="12" t="str">
        <f ca="1">IFERROR(__xludf.DUMMYFUNCTION("""COMPUTED_VALUE"""),"")</f>
        <v/>
      </c>
      <c r="C18817" s="12" t="str">
        <f ca="1">IFERROR(__xludf.DUMMYFUNCTION("""COMPUTED_VALUE"""),"")</f>
        <v/>
      </c>
      <c r="D18817" s="12" t="str">
        <f ca="1">IFERROR(__xludf.DUMMYFUNCTION("""COMPUTED_VALUE"""),"")</f>
        <v/>
      </c>
    </row>
    <row r="18818" spans="2:4" ht="13">
      <c r="B18818" s="12" t="str">
        <f ca="1">IFERROR(__xludf.DUMMYFUNCTION("""COMPUTED_VALUE"""),"")</f>
        <v/>
      </c>
      <c r="C18818" s="12" t="str">
        <f ca="1">IFERROR(__xludf.DUMMYFUNCTION("""COMPUTED_VALUE"""),"")</f>
        <v/>
      </c>
      <c r="D18818" s="12" t="str">
        <f ca="1">IFERROR(__xludf.DUMMYFUNCTION("""COMPUTED_VALUE"""),"")</f>
        <v/>
      </c>
    </row>
    <row r="18819" spans="2:4" ht="13">
      <c r="B18819" s="12" t="str">
        <f ca="1">IFERROR(__xludf.DUMMYFUNCTION("""COMPUTED_VALUE"""),"")</f>
        <v/>
      </c>
      <c r="C18819" s="12" t="str">
        <f ca="1">IFERROR(__xludf.DUMMYFUNCTION("""COMPUTED_VALUE"""),"")</f>
        <v/>
      </c>
      <c r="D18819" s="12" t="str">
        <f ca="1">IFERROR(__xludf.DUMMYFUNCTION("""COMPUTED_VALUE"""),"")</f>
        <v/>
      </c>
    </row>
    <row r="18820" spans="2:4" ht="13">
      <c r="B18820" s="12" t="str">
        <f ca="1">IFERROR(__xludf.DUMMYFUNCTION("""COMPUTED_VALUE"""),"")</f>
        <v/>
      </c>
      <c r="C18820" s="12" t="str">
        <f ca="1">IFERROR(__xludf.DUMMYFUNCTION("""COMPUTED_VALUE"""),"")</f>
        <v/>
      </c>
      <c r="D18820" s="12" t="str">
        <f ca="1">IFERROR(__xludf.DUMMYFUNCTION("""COMPUTED_VALUE"""),"")</f>
        <v/>
      </c>
    </row>
    <row r="18821" spans="2:4" ht="13">
      <c r="B18821" s="12" t="str">
        <f ca="1">IFERROR(__xludf.DUMMYFUNCTION("""COMPUTED_VALUE"""),"")</f>
        <v/>
      </c>
      <c r="C18821" s="12" t="str">
        <f ca="1">IFERROR(__xludf.DUMMYFUNCTION("""COMPUTED_VALUE"""),"")</f>
        <v/>
      </c>
      <c r="D18821" s="12" t="str">
        <f ca="1">IFERROR(__xludf.DUMMYFUNCTION("""COMPUTED_VALUE"""),"")</f>
        <v/>
      </c>
    </row>
    <row r="18822" spans="2:4" ht="13">
      <c r="B18822" s="12" t="str">
        <f ca="1">IFERROR(__xludf.DUMMYFUNCTION("""COMPUTED_VALUE"""),"")</f>
        <v/>
      </c>
      <c r="C18822" s="12" t="str">
        <f ca="1">IFERROR(__xludf.DUMMYFUNCTION("""COMPUTED_VALUE"""),"")</f>
        <v/>
      </c>
      <c r="D18822" s="12" t="str">
        <f ca="1">IFERROR(__xludf.DUMMYFUNCTION("""COMPUTED_VALUE"""),"")</f>
        <v/>
      </c>
    </row>
    <row r="18823" spans="2:4" ht="13">
      <c r="B18823" s="12" t="str">
        <f ca="1">IFERROR(__xludf.DUMMYFUNCTION("""COMPUTED_VALUE"""),"")</f>
        <v/>
      </c>
      <c r="C18823" s="12" t="str">
        <f ca="1">IFERROR(__xludf.DUMMYFUNCTION("""COMPUTED_VALUE"""),"")</f>
        <v/>
      </c>
      <c r="D18823" s="12" t="str">
        <f ca="1">IFERROR(__xludf.DUMMYFUNCTION("""COMPUTED_VALUE"""),"")</f>
        <v/>
      </c>
    </row>
    <row r="18824" spans="2:4" ht="13">
      <c r="B18824" s="12" t="str">
        <f ca="1">IFERROR(__xludf.DUMMYFUNCTION("""COMPUTED_VALUE"""),"")</f>
        <v/>
      </c>
      <c r="C18824" s="12" t="str">
        <f ca="1">IFERROR(__xludf.DUMMYFUNCTION("""COMPUTED_VALUE"""),"")</f>
        <v/>
      </c>
      <c r="D18824" s="12" t="str">
        <f ca="1">IFERROR(__xludf.DUMMYFUNCTION("""COMPUTED_VALUE"""),"")</f>
        <v/>
      </c>
    </row>
    <row r="18825" spans="2:4" ht="13">
      <c r="B18825" s="12" t="str">
        <f ca="1">IFERROR(__xludf.DUMMYFUNCTION("""COMPUTED_VALUE"""),"")</f>
        <v/>
      </c>
      <c r="C18825" s="12" t="str">
        <f ca="1">IFERROR(__xludf.DUMMYFUNCTION("""COMPUTED_VALUE"""),"")</f>
        <v/>
      </c>
      <c r="D18825" s="12" t="str">
        <f ca="1">IFERROR(__xludf.DUMMYFUNCTION("""COMPUTED_VALUE"""),"")</f>
        <v/>
      </c>
    </row>
    <row r="18826" spans="2:4" ht="13">
      <c r="B18826" s="12" t="str">
        <f ca="1">IFERROR(__xludf.DUMMYFUNCTION("""COMPUTED_VALUE"""),"")</f>
        <v/>
      </c>
      <c r="C18826" s="12" t="str">
        <f ca="1">IFERROR(__xludf.DUMMYFUNCTION("""COMPUTED_VALUE"""),"")</f>
        <v/>
      </c>
      <c r="D18826" s="12" t="str">
        <f ca="1">IFERROR(__xludf.DUMMYFUNCTION("""COMPUTED_VALUE"""),"")</f>
        <v/>
      </c>
    </row>
    <row r="18827" spans="2:4" ht="13">
      <c r="B18827" s="12" t="str">
        <f ca="1">IFERROR(__xludf.DUMMYFUNCTION("""COMPUTED_VALUE"""),"")</f>
        <v/>
      </c>
      <c r="C18827" s="12" t="str">
        <f ca="1">IFERROR(__xludf.DUMMYFUNCTION("""COMPUTED_VALUE"""),"")</f>
        <v/>
      </c>
      <c r="D18827" s="12" t="str">
        <f ca="1">IFERROR(__xludf.DUMMYFUNCTION("""COMPUTED_VALUE"""),"")</f>
        <v/>
      </c>
    </row>
    <row r="18828" spans="2:4" ht="13">
      <c r="B18828" s="12" t="str">
        <f ca="1">IFERROR(__xludf.DUMMYFUNCTION("""COMPUTED_VALUE"""),"")</f>
        <v/>
      </c>
      <c r="C18828" s="12" t="str">
        <f ca="1">IFERROR(__xludf.DUMMYFUNCTION("""COMPUTED_VALUE"""),"")</f>
        <v/>
      </c>
      <c r="D18828" s="12" t="str">
        <f ca="1">IFERROR(__xludf.DUMMYFUNCTION("""COMPUTED_VALUE"""),"")</f>
        <v/>
      </c>
    </row>
    <row r="18829" spans="2:4" ht="13">
      <c r="B18829" s="12" t="str">
        <f ca="1">IFERROR(__xludf.DUMMYFUNCTION("""COMPUTED_VALUE"""),"")</f>
        <v/>
      </c>
      <c r="C18829" s="12" t="str">
        <f ca="1">IFERROR(__xludf.DUMMYFUNCTION("""COMPUTED_VALUE"""),"")</f>
        <v/>
      </c>
      <c r="D18829" s="12" t="str">
        <f ca="1">IFERROR(__xludf.DUMMYFUNCTION("""COMPUTED_VALUE"""),"")</f>
        <v/>
      </c>
    </row>
    <row r="18830" spans="2:4" ht="13">
      <c r="B18830" s="12" t="str">
        <f ca="1">IFERROR(__xludf.DUMMYFUNCTION("""COMPUTED_VALUE"""),"")</f>
        <v/>
      </c>
      <c r="C18830" s="12" t="str">
        <f ca="1">IFERROR(__xludf.DUMMYFUNCTION("""COMPUTED_VALUE"""),"")</f>
        <v/>
      </c>
      <c r="D18830" s="12" t="str">
        <f ca="1">IFERROR(__xludf.DUMMYFUNCTION("""COMPUTED_VALUE"""),"")</f>
        <v/>
      </c>
    </row>
    <row r="18831" spans="2:4" ht="13">
      <c r="B18831" s="12" t="str">
        <f ca="1">IFERROR(__xludf.DUMMYFUNCTION("""COMPUTED_VALUE"""),"")</f>
        <v/>
      </c>
      <c r="C18831" s="12" t="str">
        <f ca="1">IFERROR(__xludf.DUMMYFUNCTION("""COMPUTED_VALUE"""),"")</f>
        <v/>
      </c>
      <c r="D18831" s="12" t="str">
        <f ca="1">IFERROR(__xludf.DUMMYFUNCTION("""COMPUTED_VALUE"""),"")</f>
        <v/>
      </c>
    </row>
    <row r="18832" spans="2:4" ht="13">
      <c r="B18832" s="12" t="str">
        <f ca="1">IFERROR(__xludf.DUMMYFUNCTION("""COMPUTED_VALUE"""),"")</f>
        <v/>
      </c>
      <c r="C18832" s="12" t="str">
        <f ca="1">IFERROR(__xludf.DUMMYFUNCTION("""COMPUTED_VALUE"""),"")</f>
        <v/>
      </c>
      <c r="D18832" s="12" t="str">
        <f ca="1">IFERROR(__xludf.DUMMYFUNCTION("""COMPUTED_VALUE"""),"")</f>
        <v/>
      </c>
    </row>
    <row r="18833" spans="2:4" ht="13">
      <c r="B18833" s="12" t="str">
        <f ca="1">IFERROR(__xludf.DUMMYFUNCTION("""COMPUTED_VALUE"""),"")</f>
        <v/>
      </c>
      <c r="C18833" s="12" t="str">
        <f ca="1">IFERROR(__xludf.DUMMYFUNCTION("""COMPUTED_VALUE"""),"")</f>
        <v/>
      </c>
      <c r="D18833" s="12" t="str">
        <f ca="1">IFERROR(__xludf.DUMMYFUNCTION("""COMPUTED_VALUE"""),"")</f>
        <v/>
      </c>
    </row>
    <row r="18834" spans="2:4" ht="13">
      <c r="B18834" s="12" t="str">
        <f ca="1">IFERROR(__xludf.DUMMYFUNCTION("""COMPUTED_VALUE"""),"")</f>
        <v/>
      </c>
      <c r="C18834" s="12" t="str">
        <f ca="1">IFERROR(__xludf.DUMMYFUNCTION("""COMPUTED_VALUE"""),"")</f>
        <v/>
      </c>
      <c r="D18834" s="12" t="str">
        <f ca="1">IFERROR(__xludf.DUMMYFUNCTION("""COMPUTED_VALUE"""),"")</f>
        <v/>
      </c>
    </row>
    <row r="18835" spans="2:4" ht="13">
      <c r="B18835" s="12" t="str">
        <f ca="1">IFERROR(__xludf.DUMMYFUNCTION("""COMPUTED_VALUE"""),"")</f>
        <v/>
      </c>
      <c r="C18835" s="12" t="str">
        <f ca="1">IFERROR(__xludf.DUMMYFUNCTION("""COMPUTED_VALUE"""),"")</f>
        <v/>
      </c>
      <c r="D18835" s="12" t="str">
        <f ca="1">IFERROR(__xludf.DUMMYFUNCTION("""COMPUTED_VALUE"""),"")</f>
        <v/>
      </c>
    </row>
    <row r="18836" spans="2:4" ht="13">
      <c r="B18836" s="12" t="str">
        <f ca="1">IFERROR(__xludf.DUMMYFUNCTION("""COMPUTED_VALUE"""),"")</f>
        <v/>
      </c>
      <c r="C18836" s="12" t="str">
        <f ca="1">IFERROR(__xludf.DUMMYFUNCTION("""COMPUTED_VALUE"""),"")</f>
        <v/>
      </c>
      <c r="D18836" s="12" t="str">
        <f ca="1">IFERROR(__xludf.DUMMYFUNCTION("""COMPUTED_VALUE"""),"")</f>
        <v/>
      </c>
    </row>
    <row r="18837" spans="2:4" ht="13">
      <c r="B18837" s="12" t="str">
        <f ca="1">IFERROR(__xludf.DUMMYFUNCTION("""COMPUTED_VALUE"""),"")</f>
        <v/>
      </c>
      <c r="C18837" s="12" t="str">
        <f ca="1">IFERROR(__xludf.DUMMYFUNCTION("""COMPUTED_VALUE"""),"")</f>
        <v/>
      </c>
      <c r="D18837" s="12" t="str">
        <f ca="1">IFERROR(__xludf.DUMMYFUNCTION("""COMPUTED_VALUE"""),"")</f>
        <v/>
      </c>
    </row>
    <row r="18838" spans="2:4" ht="13">
      <c r="B18838" s="12" t="str">
        <f ca="1">IFERROR(__xludf.DUMMYFUNCTION("""COMPUTED_VALUE"""),"")</f>
        <v/>
      </c>
      <c r="C18838" s="12" t="str">
        <f ca="1">IFERROR(__xludf.DUMMYFUNCTION("""COMPUTED_VALUE"""),"")</f>
        <v/>
      </c>
      <c r="D18838" s="12" t="str">
        <f ca="1">IFERROR(__xludf.DUMMYFUNCTION("""COMPUTED_VALUE"""),"")</f>
        <v/>
      </c>
    </row>
    <row r="18839" spans="2:4" ht="13">
      <c r="B18839" s="12" t="str">
        <f ca="1">IFERROR(__xludf.DUMMYFUNCTION("""COMPUTED_VALUE"""),"")</f>
        <v/>
      </c>
      <c r="C18839" s="12" t="str">
        <f ca="1">IFERROR(__xludf.DUMMYFUNCTION("""COMPUTED_VALUE"""),"")</f>
        <v/>
      </c>
      <c r="D18839" s="12" t="str">
        <f ca="1">IFERROR(__xludf.DUMMYFUNCTION("""COMPUTED_VALUE"""),"")</f>
        <v/>
      </c>
    </row>
    <row r="18840" spans="2:4" ht="13">
      <c r="B18840" s="12" t="str">
        <f ca="1">IFERROR(__xludf.DUMMYFUNCTION("""COMPUTED_VALUE"""),"")</f>
        <v/>
      </c>
      <c r="C18840" s="12" t="str">
        <f ca="1">IFERROR(__xludf.DUMMYFUNCTION("""COMPUTED_VALUE"""),"")</f>
        <v/>
      </c>
      <c r="D18840" s="12" t="str">
        <f ca="1">IFERROR(__xludf.DUMMYFUNCTION("""COMPUTED_VALUE"""),"")</f>
        <v/>
      </c>
    </row>
    <row r="18841" spans="2:4" ht="13">
      <c r="B18841" s="12" t="str">
        <f ca="1">IFERROR(__xludf.DUMMYFUNCTION("""COMPUTED_VALUE"""),"")</f>
        <v/>
      </c>
      <c r="C18841" s="12" t="str">
        <f ca="1">IFERROR(__xludf.DUMMYFUNCTION("""COMPUTED_VALUE"""),"")</f>
        <v/>
      </c>
      <c r="D18841" s="12" t="str">
        <f ca="1">IFERROR(__xludf.DUMMYFUNCTION("""COMPUTED_VALUE"""),"")</f>
        <v/>
      </c>
    </row>
    <row r="18842" spans="2:4" ht="13">
      <c r="B18842" s="12" t="str">
        <f ca="1">IFERROR(__xludf.DUMMYFUNCTION("""COMPUTED_VALUE"""),"")</f>
        <v/>
      </c>
      <c r="C18842" s="12" t="str">
        <f ca="1">IFERROR(__xludf.DUMMYFUNCTION("""COMPUTED_VALUE"""),"")</f>
        <v/>
      </c>
      <c r="D18842" s="12" t="str">
        <f ca="1">IFERROR(__xludf.DUMMYFUNCTION("""COMPUTED_VALUE"""),"")</f>
        <v/>
      </c>
    </row>
    <row r="18843" spans="2:4" ht="13">
      <c r="B18843" s="12" t="str">
        <f ca="1">IFERROR(__xludf.DUMMYFUNCTION("""COMPUTED_VALUE"""),"")</f>
        <v/>
      </c>
      <c r="C18843" s="12" t="str">
        <f ca="1">IFERROR(__xludf.DUMMYFUNCTION("""COMPUTED_VALUE"""),"")</f>
        <v/>
      </c>
      <c r="D18843" s="12" t="str">
        <f ca="1">IFERROR(__xludf.DUMMYFUNCTION("""COMPUTED_VALUE"""),"")</f>
        <v/>
      </c>
    </row>
    <row r="18844" spans="2:4" ht="13">
      <c r="B18844" s="12" t="str">
        <f ca="1">IFERROR(__xludf.DUMMYFUNCTION("""COMPUTED_VALUE"""),"")</f>
        <v/>
      </c>
      <c r="C18844" s="12" t="str">
        <f ca="1">IFERROR(__xludf.DUMMYFUNCTION("""COMPUTED_VALUE"""),"")</f>
        <v/>
      </c>
      <c r="D18844" s="12" t="str">
        <f ca="1">IFERROR(__xludf.DUMMYFUNCTION("""COMPUTED_VALUE"""),"")</f>
        <v/>
      </c>
    </row>
    <row r="18845" spans="2:4" ht="13">
      <c r="B18845" s="12" t="str">
        <f ca="1">IFERROR(__xludf.DUMMYFUNCTION("""COMPUTED_VALUE"""),"")</f>
        <v/>
      </c>
      <c r="C18845" s="12" t="str">
        <f ca="1">IFERROR(__xludf.DUMMYFUNCTION("""COMPUTED_VALUE"""),"")</f>
        <v/>
      </c>
      <c r="D18845" s="12" t="str">
        <f ca="1">IFERROR(__xludf.DUMMYFUNCTION("""COMPUTED_VALUE"""),"")</f>
        <v/>
      </c>
    </row>
    <row r="18846" spans="2:4" ht="13">
      <c r="B18846" s="12" t="str">
        <f ca="1">IFERROR(__xludf.DUMMYFUNCTION("""COMPUTED_VALUE"""),"")</f>
        <v/>
      </c>
      <c r="C18846" s="12" t="str">
        <f ca="1">IFERROR(__xludf.DUMMYFUNCTION("""COMPUTED_VALUE"""),"")</f>
        <v/>
      </c>
      <c r="D18846" s="12" t="str">
        <f ca="1">IFERROR(__xludf.DUMMYFUNCTION("""COMPUTED_VALUE"""),"")</f>
        <v/>
      </c>
    </row>
    <row r="18847" spans="2:4" ht="13">
      <c r="B18847" s="12" t="str">
        <f ca="1">IFERROR(__xludf.DUMMYFUNCTION("""COMPUTED_VALUE"""),"")</f>
        <v/>
      </c>
      <c r="C18847" s="12" t="str">
        <f ca="1">IFERROR(__xludf.DUMMYFUNCTION("""COMPUTED_VALUE"""),"")</f>
        <v/>
      </c>
      <c r="D18847" s="12" t="str">
        <f ca="1">IFERROR(__xludf.DUMMYFUNCTION("""COMPUTED_VALUE"""),"")</f>
        <v/>
      </c>
    </row>
    <row r="18848" spans="2:4" ht="13">
      <c r="B18848" s="12" t="str">
        <f ca="1">IFERROR(__xludf.DUMMYFUNCTION("""COMPUTED_VALUE"""),"")</f>
        <v/>
      </c>
      <c r="C18848" s="12" t="str">
        <f ca="1">IFERROR(__xludf.DUMMYFUNCTION("""COMPUTED_VALUE"""),"")</f>
        <v/>
      </c>
      <c r="D18848" s="12" t="str">
        <f ca="1">IFERROR(__xludf.DUMMYFUNCTION("""COMPUTED_VALUE"""),"")</f>
        <v/>
      </c>
    </row>
    <row r="18849" spans="2:4" ht="13">
      <c r="B18849" s="12" t="str">
        <f ca="1">IFERROR(__xludf.DUMMYFUNCTION("""COMPUTED_VALUE"""),"")</f>
        <v/>
      </c>
      <c r="C18849" s="12" t="str">
        <f ca="1">IFERROR(__xludf.DUMMYFUNCTION("""COMPUTED_VALUE"""),"")</f>
        <v/>
      </c>
      <c r="D18849" s="12" t="str">
        <f ca="1">IFERROR(__xludf.DUMMYFUNCTION("""COMPUTED_VALUE"""),"")</f>
        <v/>
      </c>
    </row>
    <row r="18850" spans="2:4" ht="13">
      <c r="B18850" s="12" t="str">
        <f ca="1">IFERROR(__xludf.DUMMYFUNCTION("""COMPUTED_VALUE"""),"")</f>
        <v/>
      </c>
      <c r="C18850" s="12" t="str">
        <f ca="1">IFERROR(__xludf.DUMMYFUNCTION("""COMPUTED_VALUE"""),"")</f>
        <v/>
      </c>
      <c r="D18850" s="12" t="str">
        <f ca="1">IFERROR(__xludf.DUMMYFUNCTION("""COMPUTED_VALUE"""),"")</f>
        <v/>
      </c>
    </row>
    <row r="18851" spans="2:4" ht="13">
      <c r="B18851" s="12" t="str">
        <f ca="1">IFERROR(__xludf.DUMMYFUNCTION("""COMPUTED_VALUE"""),"")</f>
        <v/>
      </c>
      <c r="C18851" s="12" t="str">
        <f ca="1">IFERROR(__xludf.DUMMYFUNCTION("""COMPUTED_VALUE"""),"")</f>
        <v/>
      </c>
      <c r="D18851" s="12" t="str">
        <f ca="1">IFERROR(__xludf.DUMMYFUNCTION("""COMPUTED_VALUE"""),"")</f>
        <v/>
      </c>
    </row>
    <row r="18852" spans="2:4" ht="13">
      <c r="B18852" s="12" t="str">
        <f ca="1">IFERROR(__xludf.DUMMYFUNCTION("""COMPUTED_VALUE"""),"")</f>
        <v/>
      </c>
      <c r="C18852" s="12" t="str">
        <f ca="1">IFERROR(__xludf.DUMMYFUNCTION("""COMPUTED_VALUE"""),"")</f>
        <v/>
      </c>
      <c r="D18852" s="12" t="str">
        <f ca="1">IFERROR(__xludf.DUMMYFUNCTION("""COMPUTED_VALUE"""),"")</f>
        <v/>
      </c>
    </row>
    <row r="18853" spans="2:4" ht="13">
      <c r="B18853" s="12" t="str">
        <f ca="1">IFERROR(__xludf.DUMMYFUNCTION("""COMPUTED_VALUE"""),"")</f>
        <v/>
      </c>
      <c r="C18853" s="12" t="str">
        <f ca="1">IFERROR(__xludf.DUMMYFUNCTION("""COMPUTED_VALUE"""),"")</f>
        <v/>
      </c>
      <c r="D18853" s="12" t="str">
        <f ca="1">IFERROR(__xludf.DUMMYFUNCTION("""COMPUTED_VALUE"""),"")</f>
        <v/>
      </c>
    </row>
    <row r="18854" spans="2:4" ht="13">
      <c r="B18854" s="12" t="str">
        <f ca="1">IFERROR(__xludf.DUMMYFUNCTION("""COMPUTED_VALUE"""),"")</f>
        <v/>
      </c>
      <c r="C18854" s="12" t="str">
        <f ca="1">IFERROR(__xludf.DUMMYFUNCTION("""COMPUTED_VALUE"""),"")</f>
        <v/>
      </c>
      <c r="D18854" s="12" t="str">
        <f ca="1">IFERROR(__xludf.DUMMYFUNCTION("""COMPUTED_VALUE"""),"")</f>
        <v/>
      </c>
    </row>
    <row r="18855" spans="2:4" ht="13">
      <c r="B18855" s="12" t="str">
        <f ca="1">IFERROR(__xludf.DUMMYFUNCTION("""COMPUTED_VALUE"""),"")</f>
        <v/>
      </c>
      <c r="C18855" s="12" t="str">
        <f ca="1">IFERROR(__xludf.DUMMYFUNCTION("""COMPUTED_VALUE"""),"")</f>
        <v/>
      </c>
      <c r="D18855" s="12" t="str">
        <f ca="1">IFERROR(__xludf.DUMMYFUNCTION("""COMPUTED_VALUE"""),"")</f>
        <v/>
      </c>
    </row>
    <row r="18856" spans="2:4" ht="13">
      <c r="B18856" s="12" t="str">
        <f ca="1">IFERROR(__xludf.DUMMYFUNCTION("""COMPUTED_VALUE"""),"")</f>
        <v/>
      </c>
      <c r="C18856" s="12" t="str">
        <f ca="1">IFERROR(__xludf.DUMMYFUNCTION("""COMPUTED_VALUE"""),"")</f>
        <v/>
      </c>
      <c r="D18856" s="12" t="str">
        <f ca="1">IFERROR(__xludf.DUMMYFUNCTION("""COMPUTED_VALUE"""),"")</f>
        <v/>
      </c>
    </row>
    <row r="18857" spans="2:4" ht="13">
      <c r="B18857" s="12" t="str">
        <f ca="1">IFERROR(__xludf.DUMMYFUNCTION("""COMPUTED_VALUE"""),"")</f>
        <v/>
      </c>
      <c r="C18857" s="12" t="str">
        <f ca="1">IFERROR(__xludf.DUMMYFUNCTION("""COMPUTED_VALUE"""),"")</f>
        <v/>
      </c>
      <c r="D18857" s="12" t="str">
        <f ca="1">IFERROR(__xludf.DUMMYFUNCTION("""COMPUTED_VALUE"""),"")</f>
        <v/>
      </c>
    </row>
    <row r="18858" spans="2:4" ht="13">
      <c r="B18858" s="12" t="str">
        <f ca="1">IFERROR(__xludf.DUMMYFUNCTION("""COMPUTED_VALUE"""),"")</f>
        <v/>
      </c>
      <c r="C18858" s="12" t="str">
        <f ca="1">IFERROR(__xludf.DUMMYFUNCTION("""COMPUTED_VALUE"""),"")</f>
        <v/>
      </c>
      <c r="D18858" s="12" t="str">
        <f ca="1">IFERROR(__xludf.DUMMYFUNCTION("""COMPUTED_VALUE"""),"")</f>
        <v/>
      </c>
    </row>
    <row r="18859" spans="2:4" ht="13">
      <c r="B18859" s="12" t="str">
        <f ca="1">IFERROR(__xludf.DUMMYFUNCTION("""COMPUTED_VALUE"""),"")</f>
        <v/>
      </c>
      <c r="C18859" s="12" t="str">
        <f ca="1">IFERROR(__xludf.DUMMYFUNCTION("""COMPUTED_VALUE"""),"")</f>
        <v/>
      </c>
      <c r="D18859" s="12" t="str">
        <f ca="1">IFERROR(__xludf.DUMMYFUNCTION("""COMPUTED_VALUE"""),"")</f>
        <v/>
      </c>
    </row>
    <row r="18860" spans="2:4" ht="13">
      <c r="B18860" s="12" t="str">
        <f ca="1">IFERROR(__xludf.DUMMYFUNCTION("""COMPUTED_VALUE"""),"")</f>
        <v/>
      </c>
      <c r="C18860" s="12" t="str">
        <f ca="1">IFERROR(__xludf.DUMMYFUNCTION("""COMPUTED_VALUE"""),"")</f>
        <v/>
      </c>
      <c r="D18860" s="12" t="str">
        <f ca="1">IFERROR(__xludf.DUMMYFUNCTION("""COMPUTED_VALUE"""),"")</f>
        <v/>
      </c>
    </row>
    <row r="18861" spans="2:4" ht="13">
      <c r="B18861" s="12" t="str">
        <f ca="1">IFERROR(__xludf.DUMMYFUNCTION("""COMPUTED_VALUE"""),"")</f>
        <v/>
      </c>
      <c r="C18861" s="12" t="str">
        <f ca="1">IFERROR(__xludf.DUMMYFUNCTION("""COMPUTED_VALUE"""),"")</f>
        <v/>
      </c>
      <c r="D18861" s="12" t="str">
        <f ca="1">IFERROR(__xludf.DUMMYFUNCTION("""COMPUTED_VALUE"""),"")</f>
        <v/>
      </c>
    </row>
    <row r="18862" spans="2:4" ht="13">
      <c r="B18862" s="12" t="str">
        <f ca="1">IFERROR(__xludf.DUMMYFUNCTION("""COMPUTED_VALUE"""),"")</f>
        <v/>
      </c>
      <c r="C18862" s="12" t="str">
        <f ca="1">IFERROR(__xludf.DUMMYFUNCTION("""COMPUTED_VALUE"""),"")</f>
        <v/>
      </c>
      <c r="D18862" s="12" t="str">
        <f ca="1">IFERROR(__xludf.DUMMYFUNCTION("""COMPUTED_VALUE"""),"")</f>
        <v/>
      </c>
    </row>
    <row r="18863" spans="2:4" ht="13">
      <c r="B18863" s="12" t="str">
        <f ca="1">IFERROR(__xludf.DUMMYFUNCTION("""COMPUTED_VALUE"""),"")</f>
        <v/>
      </c>
      <c r="C18863" s="12" t="str">
        <f ca="1">IFERROR(__xludf.DUMMYFUNCTION("""COMPUTED_VALUE"""),"")</f>
        <v/>
      </c>
      <c r="D18863" s="12" t="str">
        <f ca="1">IFERROR(__xludf.DUMMYFUNCTION("""COMPUTED_VALUE"""),"")</f>
        <v/>
      </c>
    </row>
    <row r="18864" spans="2:4" ht="13">
      <c r="B18864" s="12" t="str">
        <f ca="1">IFERROR(__xludf.DUMMYFUNCTION("""COMPUTED_VALUE"""),"")</f>
        <v/>
      </c>
      <c r="C18864" s="12" t="str">
        <f ca="1">IFERROR(__xludf.DUMMYFUNCTION("""COMPUTED_VALUE"""),"")</f>
        <v/>
      </c>
      <c r="D18864" s="12" t="str">
        <f ca="1">IFERROR(__xludf.DUMMYFUNCTION("""COMPUTED_VALUE"""),"")</f>
        <v/>
      </c>
    </row>
    <row r="18865" spans="2:4" ht="13">
      <c r="B18865" s="12" t="str">
        <f ca="1">IFERROR(__xludf.DUMMYFUNCTION("""COMPUTED_VALUE"""),"")</f>
        <v/>
      </c>
      <c r="C18865" s="12" t="str">
        <f ca="1">IFERROR(__xludf.DUMMYFUNCTION("""COMPUTED_VALUE"""),"")</f>
        <v/>
      </c>
      <c r="D18865" s="12" t="str">
        <f ca="1">IFERROR(__xludf.DUMMYFUNCTION("""COMPUTED_VALUE"""),"")</f>
        <v/>
      </c>
    </row>
    <row r="18866" spans="2:4" ht="13">
      <c r="B18866" s="12" t="str">
        <f ca="1">IFERROR(__xludf.DUMMYFUNCTION("""COMPUTED_VALUE"""),"")</f>
        <v/>
      </c>
      <c r="C18866" s="12" t="str">
        <f ca="1">IFERROR(__xludf.DUMMYFUNCTION("""COMPUTED_VALUE"""),"")</f>
        <v/>
      </c>
      <c r="D18866" s="12" t="str">
        <f ca="1">IFERROR(__xludf.DUMMYFUNCTION("""COMPUTED_VALUE"""),"")</f>
        <v/>
      </c>
    </row>
    <row r="18867" spans="2:4" ht="13">
      <c r="B18867" s="12" t="str">
        <f ca="1">IFERROR(__xludf.DUMMYFUNCTION("""COMPUTED_VALUE"""),"")</f>
        <v/>
      </c>
      <c r="C18867" s="12" t="str">
        <f ca="1">IFERROR(__xludf.DUMMYFUNCTION("""COMPUTED_VALUE"""),"")</f>
        <v/>
      </c>
      <c r="D18867" s="12" t="str">
        <f ca="1">IFERROR(__xludf.DUMMYFUNCTION("""COMPUTED_VALUE"""),"")</f>
        <v/>
      </c>
    </row>
    <row r="18868" spans="2:4" ht="13">
      <c r="B18868" s="12" t="str">
        <f ca="1">IFERROR(__xludf.DUMMYFUNCTION("""COMPUTED_VALUE"""),"")</f>
        <v/>
      </c>
      <c r="C18868" s="12" t="str">
        <f ca="1">IFERROR(__xludf.DUMMYFUNCTION("""COMPUTED_VALUE"""),"")</f>
        <v/>
      </c>
      <c r="D18868" s="12" t="str">
        <f ca="1">IFERROR(__xludf.DUMMYFUNCTION("""COMPUTED_VALUE"""),"")</f>
        <v/>
      </c>
    </row>
    <row r="18869" spans="2:4" ht="13">
      <c r="B18869" s="12" t="str">
        <f ca="1">IFERROR(__xludf.DUMMYFUNCTION("""COMPUTED_VALUE"""),"")</f>
        <v/>
      </c>
      <c r="C18869" s="12" t="str">
        <f ca="1">IFERROR(__xludf.DUMMYFUNCTION("""COMPUTED_VALUE"""),"")</f>
        <v/>
      </c>
      <c r="D18869" s="12" t="str">
        <f ca="1">IFERROR(__xludf.DUMMYFUNCTION("""COMPUTED_VALUE"""),"")</f>
        <v/>
      </c>
    </row>
    <row r="18870" spans="2:4" ht="13">
      <c r="B18870" s="12" t="str">
        <f ca="1">IFERROR(__xludf.DUMMYFUNCTION("""COMPUTED_VALUE"""),"")</f>
        <v/>
      </c>
      <c r="C18870" s="12" t="str">
        <f ca="1">IFERROR(__xludf.DUMMYFUNCTION("""COMPUTED_VALUE"""),"")</f>
        <v/>
      </c>
      <c r="D18870" s="12" t="str">
        <f ca="1">IFERROR(__xludf.DUMMYFUNCTION("""COMPUTED_VALUE"""),"")</f>
        <v/>
      </c>
    </row>
    <row r="18871" spans="2:4" ht="13">
      <c r="B18871" s="12" t="str">
        <f ca="1">IFERROR(__xludf.DUMMYFUNCTION("""COMPUTED_VALUE"""),"")</f>
        <v/>
      </c>
      <c r="C18871" s="12" t="str">
        <f ca="1">IFERROR(__xludf.DUMMYFUNCTION("""COMPUTED_VALUE"""),"")</f>
        <v/>
      </c>
      <c r="D18871" s="12" t="str">
        <f ca="1">IFERROR(__xludf.DUMMYFUNCTION("""COMPUTED_VALUE"""),"")</f>
        <v/>
      </c>
    </row>
    <row r="18872" spans="2:4" ht="13">
      <c r="B18872" s="12" t="str">
        <f ca="1">IFERROR(__xludf.DUMMYFUNCTION("""COMPUTED_VALUE"""),"")</f>
        <v/>
      </c>
      <c r="C18872" s="12" t="str">
        <f ca="1">IFERROR(__xludf.DUMMYFUNCTION("""COMPUTED_VALUE"""),"")</f>
        <v/>
      </c>
      <c r="D18872" s="12" t="str">
        <f ca="1">IFERROR(__xludf.DUMMYFUNCTION("""COMPUTED_VALUE"""),"")</f>
        <v/>
      </c>
    </row>
    <row r="18873" spans="2:4" ht="13">
      <c r="B18873" s="12" t="str">
        <f ca="1">IFERROR(__xludf.DUMMYFUNCTION("""COMPUTED_VALUE"""),"")</f>
        <v/>
      </c>
      <c r="C18873" s="12" t="str">
        <f ca="1">IFERROR(__xludf.DUMMYFUNCTION("""COMPUTED_VALUE"""),"")</f>
        <v/>
      </c>
      <c r="D18873" s="12" t="str">
        <f ca="1">IFERROR(__xludf.DUMMYFUNCTION("""COMPUTED_VALUE"""),"")</f>
        <v/>
      </c>
    </row>
    <row r="18874" spans="2:4" ht="13">
      <c r="B18874" s="12" t="str">
        <f ca="1">IFERROR(__xludf.DUMMYFUNCTION("""COMPUTED_VALUE"""),"")</f>
        <v/>
      </c>
      <c r="C18874" s="12" t="str">
        <f ca="1">IFERROR(__xludf.DUMMYFUNCTION("""COMPUTED_VALUE"""),"")</f>
        <v/>
      </c>
      <c r="D18874" s="12" t="str">
        <f ca="1">IFERROR(__xludf.DUMMYFUNCTION("""COMPUTED_VALUE"""),"")</f>
        <v/>
      </c>
    </row>
    <row r="18875" spans="2:4" ht="13">
      <c r="B18875" s="12" t="str">
        <f ca="1">IFERROR(__xludf.DUMMYFUNCTION("""COMPUTED_VALUE"""),"")</f>
        <v/>
      </c>
      <c r="C18875" s="12" t="str">
        <f ca="1">IFERROR(__xludf.DUMMYFUNCTION("""COMPUTED_VALUE"""),"")</f>
        <v/>
      </c>
      <c r="D18875" s="12" t="str">
        <f ca="1">IFERROR(__xludf.DUMMYFUNCTION("""COMPUTED_VALUE"""),"")</f>
        <v/>
      </c>
    </row>
    <row r="18876" spans="2:4" ht="13">
      <c r="B18876" s="12" t="str">
        <f ca="1">IFERROR(__xludf.DUMMYFUNCTION("""COMPUTED_VALUE"""),"")</f>
        <v/>
      </c>
      <c r="C18876" s="12" t="str">
        <f ca="1">IFERROR(__xludf.DUMMYFUNCTION("""COMPUTED_VALUE"""),"")</f>
        <v/>
      </c>
      <c r="D18876" s="12" t="str">
        <f ca="1">IFERROR(__xludf.DUMMYFUNCTION("""COMPUTED_VALUE"""),"")</f>
        <v/>
      </c>
    </row>
    <row r="18877" spans="2:4" ht="13">
      <c r="B18877" s="12" t="str">
        <f ca="1">IFERROR(__xludf.DUMMYFUNCTION("""COMPUTED_VALUE"""),"")</f>
        <v/>
      </c>
      <c r="C18877" s="12" t="str">
        <f ca="1">IFERROR(__xludf.DUMMYFUNCTION("""COMPUTED_VALUE"""),"")</f>
        <v/>
      </c>
      <c r="D18877" s="12" t="str">
        <f ca="1">IFERROR(__xludf.DUMMYFUNCTION("""COMPUTED_VALUE"""),"")</f>
        <v/>
      </c>
    </row>
    <row r="18878" spans="2:4" ht="13">
      <c r="B18878" s="12" t="str">
        <f ca="1">IFERROR(__xludf.DUMMYFUNCTION("""COMPUTED_VALUE"""),"")</f>
        <v/>
      </c>
      <c r="C18878" s="12" t="str">
        <f ca="1">IFERROR(__xludf.DUMMYFUNCTION("""COMPUTED_VALUE"""),"")</f>
        <v/>
      </c>
      <c r="D18878" s="12" t="str">
        <f ca="1">IFERROR(__xludf.DUMMYFUNCTION("""COMPUTED_VALUE"""),"")</f>
        <v/>
      </c>
    </row>
    <row r="18879" spans="2:4" ht="13">
      <c r="B18879" s="12" t="str">
        <f ca="1">IFERROR(__xludf.DUMMYFUNCTION("""COMPUTED_VALUE"""),"")</f>
        <v/>
      </c>
      <c r="C18879" s="12" t="str">
        <f ca="1">IFERROR(__xludf.DUMMYFUNCTION("""COMPUTED_VALUE"""),"")</f>
        <v/>
      </c>
      <c r="D18879" s="12" t="str">
        <f ca="1">IFERROR(__xludf.DUMMYFUNCTION("""COMPUTED_VALUE"""),"")</f>
        <v/>
      </c>
    </row>
    <row r="18880" spans="2:4" ht="13">
      <c r="B18880" s="12" t="str">
        <f ca="1">IFERROR(__xludf.DUMMYFUNCTION("""COMPUTED_VALUE"""),"")</f>
        <v/>
      </c>
      <c r="C18880" s="12" t="str">
        <f ca="1">IFERROR(__xludf.DUMMYFUNCTION("""COMPUTED_VALUE"""),"")</f>
        <v/>
      </c>
      <c r="D18880" s="12" t="str">
        <f ca="1">IFERROR(__xludf.DUMMYFUNCTION("""COMPUTED_VALUE"""),"")</f>
        <v/>
      </c>
    </row>
    <row r="18881" spans="2:4" ht="13">
      <c r="B18881" s="12" t="str">
        <f ca="1">IFERROR(__xludf.DUMMYFUNCTION("""COMPUTED_VALUE"""),"")</f>
        <v/>
      </c>
      <c r="C18881" s="12" t="str">
        <f ca="1">IFERROR(__xludf.DUMMYFUNCTION("""COMPUTED_VALUE"""),"")</f>
        <v/>
      </c>
      <c r="D18881" s="12" t="str">
        <f ca="1">IFERROR(__xludf.DUMMYFUNCTION("""COMPUTED_VALUE"""),"")</f>
        <v/>
      </c>
    </row>
    <row r="18882" spans="2:4" ht="13">
      <c r="B18882" s="12" t="str">
        <f ca="1">IFERROR(__xludf.DUMMYFUNCTION("""COMPUTED_VALUE"""),"")</f>
        <v/>
      </c>
      <c r="C18882" s="12" t="str">
        <f ca="1">IFERROR(__xludf.DUMMYFUNCTION("""COMPUTED_VALUE"""),"")</f>
        <v/>
      </c>
      <c r="D18882" s="12" t="str">
        <f ca="1">IFERROR(__xludf.DUMMYFUNCTION("""COMPUTED_VALUE"""),"")</f>
        <v/>
      </c>
    </row>
    <row r="18883" spans="2:4" ht="13">
      <c r="B18883" s="12" t="str">
        <f ca="1">IFERROR(__xludf.DUMMYFUNCTION("""COMPUTED_VALUE"""),"")</f>
        <v/>
      </c>
      <c r="C18883" s="12" t="str">
        <f ca="1">IFERROR(__xludf.DUMMYFUNCTION("""COMPUTED_VALUE"""),"")</f>
        <v/>
      </c>
      <c r="D18883" s="12" t="str">
        <f ca="1">IFERROR(__xludf.DUMMYFUNCTION("""COMPUTED_VALUE"""),"")</f>
        <v/>
      </c>
    </row>
    <row r="18884" spans="2:4" ht="13">
      <c r="B18884" s="12" t="str">
        <f ca="1">IFERROR(__xludf.DUMMYFUNCTION("""COMPUTED_VALUE"""),"")</f>
        <v/>
      </c>
      <c r="C18884" s="12" t="str">
        <f ca="1">IFERROR(__xludf.DUMMYFUNCTION("""COMPUTED_VALUE"""),"")</f>
        <v/>
      </c>
      <c r="D18884" s="12" t="str">
        <f ca="1">IFERROR(__xludf.DUMMYFUNCTION("""COMPUTED_VALUE"""),"")</f>
        <v/>
      </c>
    </row>
    <row r="18885" spans="2:4" ht="13">
      <c r="B18885" s="12" t="str">
        <f ca="1">IFERROR(__xludf.DUMMYFUNCTION("""COMPUTED_VALUE"""),"")</f>
        <v/>
      </c>
      <c r="C18885" s="12" t="str">
        <f ca="1">IFERROR(__xludf.DUMMYFUNCTION("""COMPUTED_VALUE"""),"")</f>
        <v/>
      </c>
      <c r="D18885" s="12" t="str">
        <f ca="1">IFERROR(__xludf.DUMMYFUNCTION("""COMPUTED_VALUE"""),"")</f>
        <v/>
      </c>
    </row>
    <row r="18886" spans="2:4" ht="13">
      <c r="B18886" s="12" t="str">
        <f ca="1">IFERROR(__xludf.DUMMYFUNCTION("""COMPUTED_VALUE"""),"")</f>
        <v/>
      </c>
      <c r="C18886" s="12" t="str">
        <f ca="1">IFERROR(__xludf.DUMMYFUNCTION("""COMPUTED_VALUE"""),"")</f>
        <v/>
      </c>
      <c r="D18886" s="12" t="str">
        <f ca="1">IFERROR(__xludf.DUMMYFUNCTION("""COMPUTED_VALUE"""),"")</f>
        <v/>
      </c>
    </row>
    <row r="18887" spans="2:4" ht="13">
      <c r="B18887" s="12" t="str">
        <f ca="1">IFERROR(__xludf.DUMMYFUNCTION("""COMPUTED_VALUE"""),"")</f>
        <v/>
      </c>
      <c r="C18887" s="12" t="str">
        <f ca="1">IFERROR(__xludf.DUMMYFUNCTION("""COMPUTED_VALUE"""),"")</f>
        <v/>
      </c>
      <c r="D18887" s="12" t="str">
        <f ca="1">IFERROR(__xludf.DUMMYFUNCTION("""COMPUTED_VALUE"""),"")</f>
        <v/>
      </c>
    </row>
    <row r="18888" spans="2:4" ht="13">
      <c r="B18888" s="12" t="str">
        <f ca="1">IFERROR(__xludf.DUMMYFUNCTION("""COMPUTED_VALUE"""),"")</f>
        <v/>
      </c>
      <c r="C18888" s="12" t="str">
        <f ca="1">IFERROR(__xludf.DUMMYFUNCTION("""COMPUTED_VALUE"""),"")</f>
        <v/>
      </c>
      <c r="D18888" s="12" t="str">
        <f ca="1">IFERROR(__xludf.DUMMYFUNCTION("""COMPUTED_VALUE"""),"")</f>
        <v/>
      </c>
    </row>
    <row r="18889" spans="2:4" ht="13">
      <c r="B18889" s="12" t="str">
        <f ca="1">IFERROR(__xludf.DUMMYFUNCTION("""COMPUTED_VALUE"""),"")</f>
        <v/>
      </c>
      <c r="C18889" s="12" t="str">
        <f ca="1">IFERROR(__xludf.DUMMYFUNCTION("""COMPUTED_VALUE"""),"")</f>
        <v/>
      </c>
      <c r="D18889" s="12" t="str">
        <f ca="1">IFERROR(__xludf.DUMMYFUNCTION("""COMPUTED_VALUE"""),"")</f>
        <v/>
      </c>
    </row>
    <row r="18890" spans="2:4" ht="13">
      <c r="B18890" s="12" t="str">
        <f ca="1">IFERROR(__xludf.DUMMYFUNCTION("""COMPUTED_VALUE"""),"")</f>
        <v/>
      </c>
      <c r="C18890" s="12" t="str">
        <f ca="1">IFERROR(__xludf.DUMMYFUNCTION("""COMPUTED_VALUE"""),"")</f>
        <v/>
      </c>
      <c r="D18890" s="12" t="str">
        <f ca="1">IFERROR(__xludf.DUMMYFUNCTION("""COMPUTED_VALUE"""),"")</f>
        <v/>
      </c>
    </row>
    <row r="18891" spans="2:4" ht="13">
      <c r="B18891" s="12" t="str">
        <f ca="1">IFERROR(__xludf.DUMMYFUNCTION("""COMPUTED_VALUE"""),"")</f>
        <v/>
      </c>
      <c r="C18891" s="12" t="str">
        <f ca="1">IFERROR(__xludf.DUMMYFUNCTION("""COMPUTED_VALUE"""),"")</f>
        <v/>
      </c>
      <c r="D18891" s="12" t="str">
        <f ca="1">IFERROR(__xludf.DUMMYFUNCTION("""COMPUTED_VALUE"""),"")</f>
        <v/>
      </c>
    </row>
    <row r="18892" spans="2:4" ht="13">
      <c r="B18892" s="12" t="str">
        <f ca="1">IFERROR(__xludf.DUMMYFUNCTION("""COMPUTED_VALUE"""),"")</f>
        <v/>
      </c>
      <c r="C18892" s="12" t="str">
        <f ca="1">IFERROR(__xludf.DUMMYFUNCTION("""COMPUTED_VALUE"""),"")</f>
        <v/>
      </c>
      <c r="D18892" s="12" t="str">
        <f ca="1">IFERROR(__xludf.DUMMYFUNCTION("""COMPUTED_VALUE"""),"")</f>
        <v/>
      </c>
    </row>
    <row r="18893" spans="2:4" ht="13">
      <c r="B18893" s="12" t="str">
        <f ca="1">IFERROR(__xludf.DUMMYFUNCTION("""COMPUTED_VALUE"""),"")</f>
        <v/>
      </c>
      <c r="C18893" s="12" t="str">
        <f ca="1">IFERROR(__xludf.DUMMYFUNCTION("""COMPUTED_VALUE"""),"")</f>
        <v/>
      </c>
      <c r="D18893" s="12" t="str">
        <f ca="1">IFERROR(__xludf.DUMMYFUNCTION("""COMPUTED_VALUE"""),"")</f>
        <v/>
      </c>
    </row>
    <row r="18894" spans="2:4" ht="13">
      <c r="B18894" s="12" t="str">
        <f ca="1">IFERROR(__xludf.DUMMYFUNCTION("""COMPUTED_VALUE"""),"")</f>
        <v/>
      </c>
      <c r="C18894" s="12" t="str">
        <f ca="1">IFERROR(__xludf.DUMMYFUNCTION("""COMPUTED_VALUE"""),"")</f>
        <v/>
      </c>
      <c r="D18894" s="12" t="str">
        <f ca="1">IFERROR(__xludf.DUMMYFUNCTION("""COMPUTED_VALUE"""),"")</f>
        <v/>
      </c>
    </row>
    <row r="18895" spans="2:4" ht="13">
      <c r="B18895" s="12" t="str">
        <f ca="1">IFERROR(__xludf.DUMMYFUNCTION("""COMPUTED_VALUE"""),"")</f>
        <v/>
      </c>
      <c r="C18895" s="12" t="str">
        <f ca="1">IFERROR(__xludf.DUMMYFUNCTION("""COMPUTED_VALUE"""),"")</f>
        <v/>
      </c>
      <c r="D18895" s="12" t="str">
        <f ca="1">IFERROR(__xludf.DUMMYFUNCTION("""COMPUTED_VALUE"""),"")</f>
        <v/>
      </c>
    </row>
    <row r="18896" spans="2:4" ht="13">
      <c r="B18896" s="12" t="str">
        <f ca="1">IFERROR(__xludf.DUMMYFUNCTION("""COMPUTED_VALUE"""),"")</f>
        <v/>
      </c>
      <c r="C18896" s="12" t="str">
        <f ca="1">IFERROR(__xludf.DUMMYFUNCTION("""COMPUTED_VALUE"""),"")</f>
        <v/>
      </c>
      <c r="D18896" s="12" t="str">
        <f ca="1">IFERROR(__xludf.DUMMYFUNCTION("""COMPUTED_VALUE"""),"")</f>
        <v/>
      </c>
    </row>
    <row r="18897" spans="2:4" ht="13">
      <c r="B18897" s="12" t="str">
        <f ca="1">IFERROR(__xludf.DUMMYFUNCTION("""COMPUTED_VALUE"""),"")</f>
        <v/>
      </c>
      <c r="C18897" s="12" t="str">
        <f ca="1">IFERROR(__xludf.DUMMYFUNCTION("""COMPUTED_VALUE"""),"")</f>
        <v/>
      </c>
      <c r="D18897" s="12" t="str">
        <f ca="1">IFERROR(__xludf.DUMMYFUNCTION("""COMPUTED_VALUE"""),"")</f>
        <v/>
      </c>
    </row>
    <row r="18898" spans="2:4" ht="13">
      <c r="B18898" s="12" t="str">
        <f ca="1">IFERROR(__xludf.DUMMYFUNCTION("""COMPUTED_VALUE"""),"")</f>
        <v/>
      </c>
      <c r="C18898" s="12" t="str">
        <f ca="1">IFERROR(__xludf.DUMMYFUNCTION("""COMPUTED_VALUE"""),"")</f>
        <v/>
      </c>
      <c r="D18898" s="12" t="str">
        <f ca="1">IFERROR(__xludf.DUMMYFUNCTION("""COMPUTED_VALUE"""),"")</f>
        <v/>
      </c>
    </row>
    <row r="18899" spans="2:4" ht="13">
      <c r="B18899" s="12" t="str">
        <f ca="1">IFERROR(__xludf.DUMMYFUNCTION("""COMPUTED_VALUE"""),"")</f>
        <v/>
      </c>
      <c r="C18899" s="12" t="str">
        <f ca="1">IFERROR(__xludf.DUMMYFUNCTION("""COMPUTED_VALUE"""),"")</f>
        <v/>
      </c>
      <c r="D18899" s="12" t="str">
        <f ca="1">IFERROR(__xludf.DUMMYFUNCTION("""COMPUTED_VALUE"""),"")</f>
        <v/>
      </c>
    </row>
    <row r="18900" spans="2:4" ht="13">
      <c r="B18900" s="12" t="str">
        <f ca="1">IFERROR(__xludf.DUMMYFUNCTION("""COMPUTED_VALUE"""),"")</f>
        <v/>
      </c>
      <c r="C18900" s="12" t="str">
        <f ca="1">IFERROR(__xludf.DUMMYFUNCTION("""COMPUTED_VALUE"""),"")</f>
        <v/>
      </c>
      <c r="D18900" s="12" t="str">
        <f ca="1">IFERROR(__xludf.DUMMYFUNCTION("""COMPUTED_VALUE"""),"")</f>
        <v/>
      </c>
    </row>
    <row r="18901" spans="2:4" ht="13">
      <c r="B18901" s="12" t="str">
        <f ca="1">IFERROR(__xludf.DUMMYFUNCTION("""COMPUTED_VALUE"""),"")</f>
        <v/>
      </c>
      <c r="C18901" s="12" t="str">
        <f ca="1">IFERROR(__xludf.DUMMYFUNCTION("""COMPUTED_VALUE"""),"")</f>
        <v/>
      </c>
      <c r="D18901" s="12" t="str">
        <f ca="1">IFERROR(__xludf.DUMMYFUNCTION("""COMPUTED_VALUE"""),"")</f>
        <v/>
      </c>
    </row>
    <row r="18902" spans="2:4" ht="13">
      <c r="B18902" s="12" t="str">
        <f ca="1">IFERROR(__xludf.DUMMYFUNCTION("""COMPUTED_VALUE"""),"")</f>
        <v/>
      </c>
      <c r="C18902" s="12" t="str">
        <f ca="1">IFERROR(__xludf.DUMMYFUNCTION("""COMPUTED_VALUE"""),"")</f>
        <v/>
      </c>
      <c r="D18902" s="12" t="str">
        <f ca="1">IFERROR(__xludf.DUMMYFUNCTION("""COMPUTED_VALUE"""),"")</f>
        <v/>
      </c>
    </row>
    <row r="18903" spans="2:4" ht="13">
      <c r="B18903" s="12" t="str">
        <f ca="1">IFERROR(__xludf.DUMMYFUNCTION("""COMPUTED_VALUE"""),"")</f>
        <v/>
      </c>
      <c r="C18903" s="12" t="str">
        <f ca="1">IFERROR(__xludf.DUMMYFUNCTION("""COMPUTED_VALUE"""),"")</f>
        <v/>
      </c>
      <c r="D18903" s="12" t="str">
        <f ca="1">IFERROR(__xludf.DUMMYFUNCTION("""COMPUTED_VALUE"""),"")</f>
        <v/>
      </c>
    </row>
    <row r="18904" spans="2:4" ht="13">
      <c r="B18904" s="12" t="str">
        <f ca="1">IFERROR(__xludf.DUMMYFUNCTION("""COMPUTED_VALUE"""),"")</f>
        <v/>
      </c>
      <c r="C18904" s="12" t="str">
        <f ca="1">IFERROR(__xludf.DUMMYFUNCTION("""COMPUTED_VALUE"""),"")</f>
        <v/>
      </c>
      <c r="D18904" s="12" t="str">
        <f ca="1">IFERROR(__xludf.DUMMYFUNCTION("""COMPUTED_VALUE"""),"")</f>
        <v/>
      </c>
    </row>
    <row r="18905" spans="2:4" ht="13">
      <c r="B18905" s="12" t="str">
        <f ca="1">IFERROR(__xludf.DUMMYFUNCTION("""COMPUTED_VALUE"""),"")</f>
        <v/>
      </c>
      <c r="C18905" s="12" t="str">
        <f ca="1">IFERROR(__xludf.DUMMYFUNCTION("""COMPUTED_VALUE"""),"")</f>
        <v/>
      </c>
      <c r="D18905" s="12" t="str">
        <f ca="1">IFERROR(__xludf.DUMMYFUNCTION("""COMPUTED_VALUE"""),"")</f>
        <v/>
      </c>
    </row>
    <row r="18906" spans="2:4" ht="13">
      <c r="B18906" s="12" t="str">
        <f ca="1">IFERROR(__xludf.DUMMYFUNCTION("""COMPUTED_VALUE"""),"")</f>
        <v/>
      </c>
      <c r="C18906" s="12" t="str">
        <f ca="1">IFERROR(__xludf.DUMMYFUNCTION("""COMPUTED_VALUE"""),"")</f>
        <v/>
      </c>
      <c r="D18906" s="12" t="str">
        <f ca="1">IFERROR(__xludf.DUMMYFUNCTION("""COMPUTED_VALUE"""),"")</f>
        <v/>
      </c>
    </row>
    <row r="18907" spans="2:4" ht="13">
      <c r="B18907" s="12" t="str">
        <f ca="1">IFERROR(__xludf.DUMMYFUNCTION("""COMPUTED_VALUE"""),"")</f>
        <v/>
      </c>
      <c r="C18907" s="12" t="str">
        <f ca="1">IFERROR(__xludf.DUMMYFUNCTION("""COMPUTED_VALUE"""),"")</f>
        <v/>
      </c>
      <c r="D18907" s="12" t="str">
        <f ca="1">IFERROR(__xludf.DUMMYFUNCTION("""COMPUTED_VALUE"""),"")</f>
        <v/>
      </c>
    </row>
    <row r="18908" spans="2:4" ht="13">
      <c r="B18908" s="12" t="str">
        <f ca="1">IFERROR(__xludf.DUMMYFUNCTION("""COMPUTED_VALUE"""),"")</f>
        <v/>
      </c>
      <c r="C18908" s="12" t="str">
        <f ca="1">IFERROR(__xludf.DUMMYFUNCTION("""COMPUTED_VALUE"""),"")</f>
        <v/>
      </c>
      <c r="D18908" s="12" t="str">
        <f ca="1">IFERROR(__xludf.DUMMYFUNCTION("""COMPUTED_VALUE"""),"")</f>
        <v/>
      </c>
    </row>
    <row r="18909" spans="2:4" ht="13">
      <c r="B18909" s="12" t="str">
        <f ca="1">IFERROR(__xludf.DUMMYFUNCTION("""COMPUTED_VALUE"""),"")</f>
        <v/>
      </c>
      <c r="C18909" s="12" t="str">
        <f ca="1">IFERROR(__xludf.DUMMYFUNCTION("""COMPUTED_VALUE"""),"")</f>
        <v/>
      </c>
      <c r="D18909" s="12" t="str">
        <f ca="1">IFERROR(__xludf.DUMMYFUNCTION("""COMPUTED_VALUE"""),"")</f>
        <v/>
      </c>
    </row>
    <row r="18910" spans="2:4" ht="13">
      <c r="B18910" s="12" t="str">
        <f ca="1">IFERROR(__xludf.DUMMYFUNCTION("""COMPUTED_VALUE"""),"")</f>
        <v/>
      </c>
      <c r="C18910" s="12" t="str">
        <f ca="1">IFERROR(__xludf.DUMMYFUNCTION("""COMPUTED_VALUE"""),"")</f>
        <v/>
      </c>
      <c r="D18910" s="12" t="str">
        <f ca="1">IFERROR(__xludf.DUMMYFUNCTION("""COMPUTED_VALUE"""),"")</f>
        <v/>
      </c>
    </row>
    <row r="18911" spans="2:4" ht="13">
      <c r="B18911" s="12" t="str">
        <f ca="1">IFERROR(__xludf.DUMMYFUNCTION("""COMPUTED_VALUE"""),"")</f>
        <v/>
      </c>
      <c r="C18911" s="12" t="str">
        <f ca="1">IFERROR(__xludf.DUMMYFUNCTION("""COMPUTED_VALUE"""),"")</f>
        <v/>
      </c>
      <c r="D18911" s="12" t="str">
        <f ca="1">IFERROR(__xludf.DUMMYFUNCTION("""COMPUTED_VALUE"""),"")</f>
        <v/>
      </c>
    </row>
    <row r="18912" spans="2:4" ht="13">
      <c r="B18912" s="12" t="str">
        <f ca="1">IFERROR(__xludf.DUMMYFUNCTION("""COMPUTED_VALUE"""),"")</f>
        <v/>
      </c>
      <c r="C18912" s="12" t="str">
        <f ca="1">IFERROR(__xludf.DUMMYFUNCTION("""COMPUTED_VALUE"""),"")</f>
        <v/>
      </c>
      <c r="D18912" s="12" t="str">
        <f ca="1">IFERROR(__xludf.DUMMYFUNCTION("""COMPUTED_VALUE"""),"")</f>
        <v/>
      </c>
    </row>
    <row r="18913" spans="2:4" ht="13">
      <c r="B18913" s="12" t="str">
        <f ca="1">IFERROR(__xludf.DUMMYFUNCTION("""COMPUTED_VALUE"""),"")</f>
        <v/>
      </c>
      <c r="C18913" s="12" t="str">
        <f ca="1">IFERROR(__xludf.DUMMYFUNCTION("""COMPUTED_VALUE"""),"")</f>
        <v/>
      </c>
      <c r="D18913" s="12" t="str">
        <f ca="1">IFERROR(__xludf.DUMMYFUNCTION("""COMPUTED_VALUE"""),"")</f>
        <v/>
      </c>
    </row>
    <row r="18914" spans="2:4" ht="13">
      <c r="B18914" s="12" t="str">
        <f ca="1">IFERROR(__xludf.DUMMYFUNCTION("""COMPUTED_VALUE"""),"")</f>
        <v/>
      </c>
      <c r="C18914" s="12" t="str">
        <f ca="1">IFERROR(__xludf.DUMMYFUNCTION("""COMPUTED_VALUE"""),"")</f>
        <v/>
      </c>
      <c r="D18914" s="12" t="str">
        <f ca="1">IFERROR(__xludf.DUMMYFUNCTION("""COMPUTED_VALUE"""),"")</f>
        <v/>
      </c>
    </row>
    <row r="18915" spans="2:4" ht="13">
      <c r="B18915" s="12" t="str">
        <f ca="1">IFERROR(__xludf.DUMMYFUNCTION("""COMPUTED_VALUE"""),"")</f>
        <v/>
      </c>
      <c r="C18915" s="12" t="str">
        <f ca="1">IFERROR(__xludf.DUMMYFUNCTION("""COMPUTED_VALUE"""),"")</f>
        <v/>
      </c>
      <c r="D18915" s="12" t="str">
        <f ca="1">IFERROR(__xludf.DUMMYFUNCTION("""COMPUTED_VALUE"""),"")</f>
        <v/>
      </c>
    </row>
    <row r="18916" spans="2:4" ht="13">
      <c r="B18916" s="12" t="str">
        <f ca="1">IFERROR(__xludf.DUMMYFUNCTION("""COMPUTED_VALUE"""),"")</f>
        <v/>
      </c>
      <c r="C18916" s="12" t="str">
        <f ca="1">IFERROR(__xludf.DUMMYFUNCTION("""COMPUTED_VALUE"""),"")</f>
        <v/>
      </c>
      <c r="D18916" s="12" t="str">
        <f ca="1">IFERROR(__xludf.DUMMYFUNCTION("""COMPUTED_VALUE"""),"")</f>
        <v/>
      </c>
    </row>
    <row r="18917" spans="2:4" ht="13">
      <c r="B18917" s="12" t="str">
        <f ca="1">IFERROR(__xludf.DUMMYFUNCTION("""COMPUTED_VALUE"""),"")</f>
        <v/>
      </c>
      <c r="C18917" s="12" t="str">
        <f ca="1">IFERROR(__xludf.DUMMYFUNCTION("""COMPUTED_VALUE"""),"")</f>
        <v/>
      </c>
      <c r="D18917" s="12" t="str">
        <f ca="1">IFERROR(__xludf.DUMMYFUNCTION("""COMPUTED_VALUE"""),"")</f>
        <v/>
      </c>
    </row>
    <row r="18918" spans="2:4" ht="13">
      <c r="B18918" s="12" t="str">
        <f ca="1">IFERROR(__xludf.DUMMYFUNCTION("""COMPUTED_VALUE"""),"")</f>
        <v/>
      </c>
      <c r="C18918" s="12" t="str">
        <f ca="1">IFERROR(__xludf.DUMMYFUNCTION("""COMPUTED_VALUE"""),"")</f>
        <v/>
      </c>
      <c r="D18918" s="12" t="str">
        <f ca="1">IFERROR(__xludf.DUMMYFUNCTION("""COMPUTED_VALUE"""),"")</f>
        <v/>
      </c>
    </row>
    <row r="18919" spans="2:4" ht="13">
      <c r="B18919" s="12" t="str">
        <f ca="1">IFERROR(__xludf.DUMMYFUNCTION("""COMPUTED_VALUE"""),"")</f>
        <v/>
      </c>
      <c r="C18919" s="12" t="str">
        <f ca="1">IFERROR(__xludf.DUMMYFUNCTION("""COMPUTED_VALUE"""),"")</f>
        <v/>
      </c>
      <c r="D18919" s="12" t="str">
        <f ca="1">IFERROR(__xludf.DUMMYFUNCTION("""COMPUTED_VALUE"""),"")</f>
        <v/>
      </c>
    </row>
    <row r="18920" spans="2:4" ht="13">
      <c r="B18920" s="12" t="str">
        <f ca="1">IFERROR(__xludf.DUMMYFUNCTION("""COMPUTED_VALUE"""),"")</f>
        <v/>
      </c>
      <c r="C18920" s="12" t="str">
        <f ca="1">IFERROR(__xludf.DUMMYFUNCTION("""COMPUTED_VALUE"""),"")</f>
        <v/>
      </c>
      <c r="D18920" s="12" t="str">
        <f ca="1">IFERROR(__xludf.DUMMYFUNCTION("""COMPUTED_VALUE"""),"")</f>
        <v/>
      </c>
    </row>
    <row r="18921" spans="2:4" ht="13">
      <c r="B18921" s="12" t="str">
        <f ca="1">IFERROR(__xludf.DUMMYFUNCTION("""COMPUTED_VALUE"""),"")</f>
        <v/>
      </c>
      <c r="C18921" s="12" t="str">
        <f ca="1">IFERROR(__xludf.DUMMYFUNCTION("""COMPUTED_VALUE"""),"")</f>
        <v/>
      </c>
      <c r="D18921" s="12" t="str">
        <f ca="1">IFERROR(__xludf.DUMMYFUNCTION("""COMPUTED_VALUE"""),"")</f>
        <v/>
      </c>
    </row>
    <row r="18922" spans="2:4" ht="13">
      <c r="B18922" s="12" t="str">
        <f ca="1">IFERROR(__xludf.DUMMYFUNCTION("""COMPUTED_VALUE"""),"")</f>
        <v/>
      </c>
      <c r="C18922" s="12" t="str">
        <f ca="1">IFERROR(__xludf.DUMMYFUNCTION("""COMPUTED_VALUE"""),"")</f>
        <v/>
      </c>
      <c r="D18922" s="12" t="str">
        <f ca="1">IFERROR(__xludf.DUMMYFUNCTION("""COMPUTED_VALUE"""),"")</f>
        <v/>
      </c>
    </row>
    <row r="18923" spans="2:4" ht="13">
      <c r="B18923" s="12" t="str">
        <f ca="1">IFERROR(__xludf.DUMMYFUNCTION("""COMPUTED_VALUE"""),"")</f>
        <v/>
      </c>
      <c r="C18923" s="12" t="str">
        <f ca="1">IFERROR(__xludf.DUMMYFUNCTION("""COMPUTED_VALUE"""),"")</f>
        <v/>
      </c>
      <c r="D18923" s="12" t="str">
        <f ca="1">IFERROR(__xludf.DUMMYFUNCTION("""COMPUTED_VALUE"""),"")</f>
        <v/>
      </c>
    </row>
    <row r="18924" spans="2:4" ht="13">
      <c r="B18924" s="12" t="str">
        <f ca="1">IFERROR(__xludf.DUMMYFUNCTION("""COMPUTED_VALUE"""),"")</f>
        <v/>
      </c>
      <c r="C18924" s="12" t="str">
        <f ca="1">IFERROR(__xludf.DUMMYFUNCTION("""COMPUTED_VALUE"""),"")</f>
        <v/>
      </c>
      <c r="D18924" s="12" t="str">
        <f ca="1">IFERROR(__xludf.DUMMYFUNCTION("""COMPUTED_VALUE"""),"")</f>
        <v/>
      </c>
    </row>
    <row r="18925" spans="2:4" ht="13">
      <c r="B18925" s="12" t="str">
        <f ca="1">IFERROR(__xludf.DUMMYFUNCTION("""COMPUTED_VALUE"""),"")</f>
        <v/>
      </c>
      <c r="C18925" s="12" t="str">
        <f ca="1">IFERROR(__xludf.DUMMYFUNCTION("""COMPUTED_VALUE"""),"")</f>
        <v/>
      </c>
      <c r="D18925" s="12" t="str">
        <f ca="1">IFERROR(__xludf.DUMMYFUNCTION("""COMPUTED_VALUE"""),"")</f>
        <v/>
      </c>
    </row>
    <row r="18926" spans="2:4" ht="13">
      <c r="B18926" s="12" t="str">
        <f ca="1">IFERROR(__xludf.DUMMYFUNCTION("""COMPUTED_VALUE"""),"")</f>
        <v/>
      </c>
      <c r="C18926" s="12" t="str">
        <f ca="1">IFERROR(__xludf.DUMMYFUNCTION("""COMPUTED_VALUE"""),"")</f>
        <v/>
      </c>
      <c r="D18926" s="12" t="str">
        <f ca="1">IFERROR(__xludf.DUMMYFUNCTION("""COMPUTED_VALUE"""),"")</f>
        <v/>
      </c>
    </row>
    <row r="18927" spans="2:4" ht="13">
      <c r="B18927" s="12" t="str">
        <f ca="1">IFERROR(__xludf.DUMMYFUNCTION("""COMPUTED_VALUE"""),"")</f>
        <v/>
      </c>
      <c r="C18927" s="12" t="str">
        <f ca="1">IFERROR(__xludf.DUMMYFUNCTION("""COMPUTED_VALUE"""),"")</f>
        <v/>
      </c>
      <c r="D18927" s="12" t="str">
        <f ca="1">IFERROR(__xludf.DUMMYFUNCTION("""COMPUTED_VALUE"""),"")</f>
        <v/>
      </c>
    </row>
    <row r="18928" spans="2:4" ht="13">
      <c r="B18928" s="12" t="str">
        <f ca="1">IFERROR(__xludf.DUMMYFUNCTION("""COMPUTED_VALUE"""),"")</f>
        <v/>
      </c>
      <c r="C18928" s="12" t="str">
        <f ca="1">IFERROR(__xludf.DUMMYFUNCTION("""COMPUTED_VALUE"""),"")</f>
        <v/>
      </c>
      <c r="D18928" s="12" t="str">
        <f ca="1">IFERROR(__xludf.DUMMYFUNCTION("""COMPUTED_VALUE"""),"")</f>
        <v/>
      </c>
    </row>
    <row r="18929" spans="2:4" ht="13">
      <c r="B18929" s="12" t="str">
        <f ca="1">IFERROR(__xludf.DUMMYFUNCTION("""COMPUTED_VALUE"""),"")</f>
        <v/>
      </c>
      <c r="C18929" s="12" t="str">
        <f ca="1">IFERROR(__xludf.DUMMYFUNCTION("""COMPUTED_VALUE"""),"")</f>
        <v/>
      </c>
      <c r="D18929" s="12" t="str">
        <f ca="1">IFERROR(__xludf.DUMMYFUNCTION("""COMPUTED_VALUE"""),"")</f>
        <v/>
      </c>
    </row>
    <row r="18930" spans="2:4" ht="13">
      <c r="B18930" s="12" t="str">
        <f ca="1">IFERROR(__xludf.DUMMYFUNCTION("""COMPUTED_VALUE"""),"")</f>
        <v/>
      </c>
      <c r="C18930" s="12" t="str">
        <f ca="1">IFERROR(__xludf.DUMMYFUNCTION("""COMPUTED_VALUE"""),"")</f>
        <v/>
      </c>
      <c r="D18930" s="12" t="str">
        <f ca="1">IFERROR(__xludf.DUMMYFUNCTION("""COMPUTED_VALUE"""),"")</f>
        <v/>
      </c>
    </row>
    <row r="18931" spans="2:4" ht="13">
      <c r="B18931" s="12" t="str">
        <f ca="1">IFERROR(__xludf.DUMMYFUNCTION("""COMPUTED_VALUE"""),"")</f>
        <v/>
      </c>
      <c r="C18931" s="12" t="str">
        <f ca="1">IFERROR(__xludf.DUMMYFUNCTION("""COMPUTED_VALUE"""),"")</f>
        <v/>
      </c>
      <c r="D18931" s="12" t="str">
        <f ca="1">IFERROR(__xludf.DUMMYFUNCTION("""COMPUTED_VALUE"""),"")</f>
        <v/>
      </c>
    </row>
    <row r="18932" spans="2:4" ht="13">
      <c r="B18932" s="12" t="str">
        <f ca="1">IFERROR(__xludf.DUMMYFUNCTION("""COMPUTED_VALUE"""),"")</f>
        <v/>
      </c>
      <c r="C18932" s="12" t="str">
        <f ca="1">IFERROR(__xludf.DUMMYFUNCTION("""COMPUTED_VALUE"""),"")</f>
        <v/>
      </c>
      <c r="D18932" s="12" t="str">
        <f ca="1">IFERROR(__xludf.DUMMYFUNCTION("""COMPUTED_VALUE"""),"")</f>
        <v/>
      </c>
    </row>
    <row r="18933" spans="2:4" ht="13">
      <c r="B18933" s="12" t="str">
        <f ca="1">IFERROR(__xludf.DUMMYFUNCTION("""COMPUTED_VALUE"""),"")</f>
        <v/>
      </c>
      <c r="C18933" s="12" t="str">
        <f ca="1">IFERROR(__xludf.DUMMYFUNCTION("""COMPUTED_VALUE"""),"")</f>
        <v/>
      </c>
      <c r="D18933" s="12" t="str">
        <f ca="1">IFERROR(__xludf.DUMMYFUNCTION("""COMPUTED_VALUE"""),"")</f>
        <v/>
      </c>
    </row>
    <row r="18934" spans="2:4" ht="13">
      <c r="B18934" s="12" t="str">
        <f ca="1">IFERROR(__xludf.DUMMYFUNCTION("""COMPUTED_VALUE"""),"")</f>
        <v/>
      </c>
      <c r="C18934" s="12" t="str">
        <f ca="1">IFERROR(__xludf.DUMMYFUNCTION("""COMPUTED_VALUE"""),"")</f>
        <v/>
      </c>
      <c r="D18934" s="12" t="str">
        <f ca="1">IFERROR(__xludf.DUMMYFUNCTION("""COMPUTED_VALUE"""),"")</f>
        <v/>
      </c>
    </row>
    <row r="18935" spans="2:4" ht="13">
      <c r="B18935" s="12" t="str">
        <f ca="1">IFERROR(__xludf.DUMMYFUNCTION("""COMPUTED_VALUE"""),"")</f>
        <v/>
      </c>
      <c r="C18935" s="12" t="str">
        <f ca="1">IFERROR(__xludf.DUMMYFUNCTION("""COMPUTED_VALUE"""),"")</f>
        <v/>
      </c>
      <c r="D18935" s="12" t="str">
        <f ca="1">IFERROR(__xludf.DUMMYFUNCTION("""COMPUTED_VALUE"""),"")</f>
        <v/>
      </c>
    </row>
    <row r="18936" spans="2:4" ht="13">
      <c r="B18936" s="12" t="str">
        <f ca="1">IFERROR(__xludf.DUMMYFUNCTION("""COMPUTED_VALUE"""),"")</f>
        <v/>
      </c>
      <c r="C18936" s="12" t="str">
        <f ca="1">IFERROR(__xludf.DUMMYFUNCTION("""COMPUTED_VALUE"""),"")</f>
        <v/>
      </c>
      <c r="D18936" s="12" t="str">
        <f ca="1">IFERROR(__xludf.DUMMYFUNCTION("""COMPUTED_VALUE"""),"")</f>
        <v/>
      </c>
    </row>
    <row r="18937" spans="2:4" ht="13">
      <c r="B18937" s="12" t="str">
        <f ca="1">IFERROR(__xludf.DUMMYFUNCTION("""COMPUTED_VALUE"""),"")</f>
        <v/>
      </c>
      <c r="C18937" s="12" t="str">
        <f ca="1">IFERROR(__xludf.DUMMYFUNCTION("""COMPUTED_VALUE"""),"")</f>
        <v/>
      </c>
      <c r="D18937" s="12" t="str">
        <f ca="1">IFERROR(__xludf.DUMMYFUNCTION("""COMPUTED_VALUE"""),"")</f>
        <v/>
      </c>
    </row>
    <row r="18938" spans="2:4" ht="13">
      <c r="B18938" s="12" t="str">
        <f ca="1">IFERROR(__xludf.DUMMYFUNCTION("""COMPUTED_VALUE"""),"")</f>
        <v/>
      </c>
      <c r="C18938" s="12" t="str">
        <f ca="1">IFERROR(__xludf.DUMMYFUNCTION("""COMPUTED_VALUE"""),"")</f>
        <v/>
      </c>
      <c r="D18938" s="12" t="str">
        <f ca="1">IFERROR(__xludf.DUMMYFUNCTION("""COMPUTED_VALUE"""),"")</f>
        <v/>
      </c>
    </row>
    <row r="18939" spans="2:4" ht="13">
      <c r="B18939" s="12" t="str">
        <f ca="1">IFERROR(__xludf.DUMMYFUNCTION("""COMPUTED_VALUE"""),"")</f>
        <v/>
      </c>
      <c r="C18939" s="12" t="str">
        <f ca="1">IFERROR(__xludf.DUMMYFUNCTION("""COMPUTED_VALUE"""),"")</f>
        <v/>
      </c>
      <c r="D18939" s="12" t="str">
        <f ca="1">IFERROR(__xludf.DUMMYFUNCTION("""COMPUTED_VALUE"""),"")</f>
        <v/>
      </c>
    </row>
    <row r="18940" spans="2:4" ht="13">
      <c r="B18940" s="12" t="str">
        <f ca="1">IFERROR(__xludf.DUMMYFUNCTION("""COMPUTED_VALUE"""),"")</f>
        <v/>
      </c>
      <c r="C18940" s="12" t="str">
        <f ca="1">IFERROR(__xludf.DUMMYFUNCTION("""COMPUTED_VALUE"""),"")</f>
        <v/>
      </c>
      <c r="D18940" s="12" t="str">
        <f ca="1">IFERROR(__xludf.DUMMYFUNCTION("""COMPUTED_VALUE"""),"")</f>
        <v/>
      </c>
    </row>
    <row r="18941" spans="2:4" ht="13">
      <c r="B18941" s="12" t="str">
        <f ca="1">IFERROR(__xludf.DUMMYFUNCTION("""COMPUTED_VALUE"""),"")</f>
        <v/>
      </c>
      <c r="C18941" s="12" t="str">
        <f ca="1">IFERROR(__xludf.DUMMYFUNCTION("""COMPUTED_VALUE"""),"")</f>
        <v/>
      </c>
      <c r="D18941" s="12" t="str">
        <f ca="1">IFERROR(__xludf.DUMMYFUNCTION("""COMPUTED_VALUE"""),"")</f>
        <v/>
      </c>
    </row>
    <row r="18942" spans="2:4" ht="13">
      <c r="B18942" s="12" t="str">
        <f ca="1">IFERROR(__xludf.DUMMYFUNCTION("""COMPUTED_VALUE"""),"")</f>
        <v/>
      </c>
      <c r="C18942" s="12" t="str">
        <f ca="1">IFERROR(__xludf.DUMMYFUNCTION("""COMPUTED_VALUE"""),"")</f>
        <v/>
      </c>
      <c r="D18942" s="12" t="str">
        <f ca="1">IFERROR(__xludf.DUMMYFUNCTION("""COMPUTED_VALUE"""),"")</f>
        <v/>
      </c>
    </row>
    <row r="18943" spans="2:4" ht="13">
      <c r="B18943" s="12" t="str">
        <f ca="1">IFERROR(__xludf.DUMMYFUNCTION("""COMPUTED_VALUE"""),"")</f>
        <v/>
      </c>
      <c r="C18943" s="12" t="str">
        <f ca="1">IFERROR(__xludf.DUMMYFUNCTION("""COMPUTED_VALUE"""),"")</f>
        <v/>
      </c>
      <c r="D18943" s="12" t="str">
        <f ca="1">IFERROR(__xludf.DUMMYFUNCTION("""COMPUTED_VALUE"""),"")</f>
        <v/>
      </c>
    </row>
    <row r="18944" spans="2:4" ht="13">
      <c r="B18944" s="12" t="str">
        <f ca="1">IFERROR(__xludf.DUMMYFUNCTION("""COMPUTED_VALUE"""),"")</f>
        <v/>
      </c>
      <c r="C18944" s="12" t="str">
        <f ca="1">IFERROR(__xludf.DUMMYFUNCTION("""COMPUTED_VALUE"""),"")</f>
        <v/>
      </c>
      <c r="D18944" s="12" t="str">
        <f ca="1">IFERROR(__xludf.DUMMYFUNCTION("""COMPUTED_VALUE"""),"")</f>
        <v/>
      </c>
    </row>
    <row r="18945" spans="2:4" ht="13">
      <c r="B18945" s="12" t="str">
        <f ca="1">IFERROR(__xludf.DUMMYFUNCTION("""COMPUTED_VALUE"""),"")</f>
        <v/>
      </c>
      <c r="C18945" s="12" t="str">
        <f ca="1">IFERROR(__xludf.DUMMYFUNCTION("""COMPUTED_VALUE"""),"")</f>
        <v/>
      </c>
      <c r="D18945" s="12" t="str">
        <f ca="1">IFERROR(__xludf.DUMMYFUNCTION("""COMPUTED_VALUE"""),"")</f>
        <v/>
      </c>
    </row>
    <row r="18946" spans="2:4" ht="13">
      <c r="B18946" s="12" t="str">
        <f ca="1">IFERROR(__xludf.DUMMYFUNCTION("""COMPUTED_VALUE"""),"")</f>
        <v/>
      </c>
      <c r="C18946" s="12" t="str">
        <f ca="1">IFERROR(__xludf.DUMMYFUNCTION("""COMPUTED_VALUE"""),"")</f>
        <v/>
      </c>
      <c r="D18946" s="12" t="str">
        <f ca="1">IFERROR(__xludf.DUMMYFUNCTION("""COMPUTED_VALUE"""),"")</f>
        <v/>
      </c>
    </row>
    <row r="18947" spans="2:4" ht="13">
      <c r="B18947" s="12" t="str">
        <f ca="1">IFERROR(__xludf.DUMMYFUNCTION("""COMPUTED_VALUE"""),"")</f>
        <v/>
      </c>
      <c r="C18947" s="12" t="str">
        <f ca="1">IFERROR(__xludf.DUMMYFUNCTION("""COMPUTED_VALUE"""),"")</f>
        <v/>
      </c>
      <c r="D18947" s="12" t="str">
        <f ca="1">IFERROR(__xludf.DUMMYFUNCTION("""COMPUTED_VALUE"""),"")</f>
        <v/>
      </c>
    </row>
    <row r="18948" spans="2:4" ht="13">
      <c r="B18948" s="12" t="str">
        <f ca="1">IFERROR(__xludf.DUMMYFUNCTION("""COMPUTED_VALUE"""),"")</f>
        <v/>
      </c>
      <c r="C18948" s="12" t="str">
        <f ca="1">IFERROR(__xludf.DUMMYFUNCTION("""COMPUTED_VALUE"""),"")</f>
        <v/>
      </c>
      <c r="D18948" s="12" t="str">
        <f ca="1">IFERROR(__xludf.DUMMYFUNCTION("""COMPUTED_VALUE"""),"")</f>
        <v/>
      </c>
    </row>
    <row r="18949" spans="2:4" ht="13">
      <c r="B18949" s="12" t="str">
        <f ca="1">IFERROR(__xludf.DUMMYFUNCTION("""COMPUTED_VALUE"""),"")</f>
        <v/>
      </c>
      <c r="C18949" s="12" t="str">
        <f ca="1">IFERROR(__xludf.DUMMYFUNCTION("""COMPUTED_VALUE"""),"")</f>
        <v/>
      </c>
      <c r="D18949" s="12" t="str">
        <f ca="1">IFERROR(__xludf.DUMMYFUNCTION("""COMPUTED_VALUE"""),"")</f>
        <v/>
      </c>
    </row>
    <row r="18950" spans="2:4" ht="13">
      <c r="B18950" s="12" t="str">
        <f ca="1">IFERROR(__xludf.DUMMYFUNCTION("""COMPUTED_VALUE"""),"")</f>
        <v/>
      </c>
      <c r="C18950" s="12" t="str">
        <f ca="1">IFERROR(__xludf.DUMMYFUNCTION("""COMPUTED_VALUE"""),"")</f>
        <v/>
      </c>
      <c r="D18950" s="12" t="str">
        <f ca="1">IFERROR(__xludf.DUMMYFUNCTION("""COMPUTED_VALUE"""),"")</f>
        <v/>
      </c>
    </row>
    <row r="18951" spans="2:4" ht="13">
      <c r="B18951" s="12" t="str">
        <f ca="1">IFERROR(__xludf.DUMMYFUNCTION("""COMPUTED_VALUE"""),"")</f>
        <v/>
      </c>
      <c r="C18951" s="12" t="str">
        <f ca="1">IFERROR(__xludf.DUMMYFUNCTION("""COMPUTED_VALUE"""),"")</f>
        <v/>
      </c>
      <c r="D18951" s="12" t="str">
        <f ca="1">IFERROR(__xludf.DUMMYFUNCTION("""COMPUTED_VALUE"""),"")</f>
        <v/>
      </c>
    </row>
    <row r="18952" spans="2:4" ht="13">
      <c r="B18952" s="12" t="str">
        <f ca="1">IFERROR(__xludf.DUMMYFUNCTION("""COMPUTED_VALUE"""),"")</f>
        <v/>
      </c>
      <c r="C18952" s="12" t="str">
        <f ca="1">IFERROR(__xludf.DUMMYFUNCTION("""COMPUTED_VALUE"""),"")</f>
        <v/>
      </c>
      <c r="D18952" s="12" t="str">
        <f ca="1">IFERROR(__xludf.DUMMYFUNCTION("""COMPUTED_VALUE"""),"")</f>
        <v/>
      </c>
    </row>
    <row r="18953" spans="2:4" ht="13">
      <c r="B18953" s="12" t="str">
        <f ca="1">IFERROR(__xludf.DUMMYFUNCTION("""COMPUTED_VALUE"""),"")</f>
        <v/>
      </c>
      <c r="C18953" s="12" t="str">
        <f ca="1">IFERROR(__xludf.DUMMYFUNCTION("""COMPUTED_VALUE"""),"")</f>
        <v/>
      </c>
      <c r="D18953" s="12" t="str">
        <f ca="1">IFERROR(__xludf.DUMMYFUNCTION("""COMPUTED_VALUE"""),"")</f>
        <v/>
      </c>
    </row>
    <row r="18954" spans="2:4" ht="13">
      <c r="B18954" s="12" t="str">
        <f ca="1">IFERROR(__xludf.DUMMYFUNCTION("""COMPUTED_VALUE"""),"")</f>
        <v/>
      </c>
      <c r="C18954" s="12" t="str">
        <f ca="1">IFERROR(__xludf.DUMMYFUNCTION("""COMPUTED_VALUE"""),"")</f>
        <v/>
      </c>
      <c r="D18954" s="12" t="str">
        <f ca="1">IFERROR(__xludf.DUMMYFUNCTION("""COMPUTED_VALUE"""),"")</f>
        <v/>
      </c>
    </row>
    <row r="18955" spans="2:4" ht="13">
      <c r="B18955" s="12" t="str">
        <f ca="1">IFERROR(__xludf.DUMMYFUNCTION("""COMPUTED_VALUE"""),"")</f>
        <v/>
      </c>
      <c r="C18955" s="12" t="str">
        <f ca="1">IFERROR(__xludf.DUMMYFUNCTION("""COMPUTED_VALUE"""),"")</f>
        <v/>
      </c>
      <c r="D18955" s="12" t="str">
        <f ca="1">IFERROR(__xludf.DUMMYFUNCTION("""COMPUTED_VALUE"""),"")</f>
        <v/>
      </c>
    </row>
    <row r="18956" spans="2:4" ht="13">
      <c r="B18956" s="12" t="str">
        <f ca="1">IFERROR(__xludf.DUMMYFUNCTION("""COMPUTED_VALUE"""),"")</f>
        <v/>
      </c>
      <c r="C18956" s="12" t="str">
        <f ca="1">IFERROR(__xludf.DUMMYFUNCTION("""COMPUTED_VALUE"""),"")</f>
        <v/>
      </c>
      <c r="D18956" s="12" t="str">
        <f ca="1">IFERROR(__xludf.DUMMYFUNCTION("""COMPUTED_VALUE"""),"")</f>
        <v/>
      </c>
    </row>
    <row r="18957" spans="2:4" ht="13">
      <c r="B18957" s="12" t="str">
        <f ca="1">IFERROR(__xludf.DUMMYFUNCTION("""COMPUTED_VALUE"""),"")</f>
        <v/>
      </c>
      <c r="C18957" s="12" t="str">
        <f ca="1">IFERROR(__xludf.DUMMYFUNCTION("""COMPUTED_VALUE"""),"")</f>
        <v/>
      </c>
      <c r="D18957" s="12" t="str">
        <f ca="1">IFERROR(__xludf.DUMMYFUNCTION("""COMPUTED_VALUE"""),"")</f>
        <v/>
      </c>
    </row>
    <row r="18958" spans="2:4" ht="13">
      <c r="B18958" s="12" t="str">
        <f ca="1">IFERROR(__xludf.DUMMYFUNCTION("""COMPUTED_VALUE"""),"")</f>
        <v/>
      </c>
      <c r="C18958" s="12" t="str">
        <f ca="1">IFERROR(__xludf.DUMMYFUNCTION("""COMPUTED_VALUE"""),"")</f>
        <v/>
      </c>
      <c r="D18958" s="12" t="str">
        <f ca="1">IFERROR(__xludf.DUMMYFUNCTION("""COMPUTED_VALUE"""),"")</f>
        <v/>
      </c>
    </row>
    <row r="18959" spans="2:4" ht="13">
      <c r="B18959" s="12" t="str">
        <f ca="1">IFERROR(__xludf.DUMMYFUNCTION("""COMPUTED_VALUE"""),"")</f>
        <v/>
      </c>
      <c r="C18959" s="12" t="str">
        <f ca="1">IFERROR(__xludf.DUMMYFUNCTION("""COMPUTED_VALUE"""),"")</f>
        <v/>
      </c>
      <c r="D18959" s="12" t="str">
        <f ca="1">IFERROR(__xludf.DUMMYFUNCTION("""COMPUTED_VALUE"""),"")</f>
        <v/>
      </c>
    </row>
    <row r="18960" spans="2:4" ht="13">
      <c r="B18960" s="12" t="str">
        <f ca="1">IFERROR(__xludf.DUMMYFUNCTION("""COMPUTED_VALUE"""),"")</f>
        <v/>
      </c>
      <c r="C18960" s="12" t="str">
        <f ca="1">IFERROR(__xludf.DUMMYFUNCTION("""COMPUTED_VALUE"""),"")</f>
        <v/>
      </c>
      <c r="D18960" s="12" t="str">
        <f ca="1">IFERROR(__xludf.DUMMYFUNCTION("""COMPUTED_VALUE"""),"")</f>
        <v/>
      </c>
    </row>
    <row r="18961" spans="2:4" ht="13">
      <c r="B18961" s="12" t="str">
        <f ca="1">IFERROR(__xludf.DUMMYFUNCTION("""COMPUTED_VALUE"""),"")</f>
        <v/>
      </c>
      <c r="C18961" s="12" t="str">
        <f ca="1">IFERROR(__xludf.DUMMYFUNCTION("""COMPUTED_VALUE"""),"")</f>
        <v/>
      </c>
      <c r="D18961" s="12" t="str">
        <f ca="1">IFERROR(__xludf.DUMMYFUNCTION("""COMPUTED_VALUE"""),"")</f>
        <v/>
      </c>
    </row>
    <row r="18962" spans="2:4" ht="13">
      <c r="B18962" s="12" t="str">
        <f ca="1">IFERROR(__xludf.DUMMYFUNCTION("""COMPUTED_VALUE"""),"")</f>
        <v/>
      </c>
      <c r="C18962" s="12" t="str">
        <f ca="1">IFERROR(__xludf.DUMMYFUNCTION("""COMPUTED_VALUE"""),"")</f>
        <v/>
      </c>
      <c r="D18962" s="12" t="str">
        <f ca="1">IFERROR(__xludf.DUMMYFUNCTION("""COMPUTED_VALUE"""),"")</f>
        <v/>
      </c>
    </row>
    <row r="18963" spans="2:4" ht="13">
      <c r="B18963" s="12" t="str">
        <f ca="1">IFERROR(__xludf.DUMMYFUNCTION("""COMPUTED_VALUE"""),"")</f>
        <v/>
      </c>
      <c r="C18963" s="12" t="str">
        <f ca="1">IFERROR(__xludf.DUMMYFUNCTION("""COMPUTED_VALUE"""),"")</f>
        <v/>
      </c>
      <c r="D18963" s="12" t="str">
        <f ca="1">IFERROR(__xludf.DUMMYFUNCTION("""COMPUTED_VALUE"""),"")</f>
        <v/>
      </c>
    </row>
    <row r="18964" spans="2:4" ht="13">
      <c r="B18964" s="12" t="str">
        <f ca="1">IFERROR(__xludf.DUMMYFUNCTION("""COMPUTED_VALUE"""),"")</f>
        <v/>
      </c>
      <c r="C18964" s="12" t="str">
        <f ca="1">IFERROR(__xludf.DUMMYFUNCTION("""COMPUTED_VALUE"""),"")</f>
        <v/>
      </c>
      <c r="D18964" s="12" t="str">
        <f ca="1">IFERROR(__xludf.DUMMYFUNCTION("""COMPUTED_VALUE"""),"")</f>
        <v/>
      </c>
    </row>
    <row r="18965" spans="2:4" ht="13">
      <c r="B18965" s="12" t="str">
        <f ca="1">IFERROR(__xludf.DUMMYFUNCTION("""COMPUTED_VALUE"""),"")</f>
        <v/>
      </c>
      <c r="C18965" s="12" t="str">
        <f ca="1">IFERROR(__xludf.DUMMYFUNCTION("""COMPUTED_VALUE"""),"")</f>
        <v/>
      </c>
      <c r="D18965" s="12" t="str">
        <f ca="1">IFERROR(__xludf.DUMMYFUNCTION("""COMPUTED_VALUE"""),"")</f>
        <v/>
      </c>
    </row>
    <row r="18966" spans="2:4" ht="13">
      <c r="B18966" s="12" t="str">
        <f ca="1">IFERROR(__xludf.DUMMYFUNCTION("""COMPUTED_VALUE"""),"")</f>
        <v/>
      </c>
      <c r="C18966" s="12" t="str">
        <f ca="1">IFERROR(__xludf.DUMMYFUNCTION("""COMPUTED_VALUE"""),"")</f>
        <v/>
      </c>
      <c r="D18966" s="12" t="str">
        <f ca="1">IFERROR(__xludf.DUMMYFUNCTION("""COMPUTED_VALUE"""),"")</f>
        <v/>
      </c>
    </row>
    <row r="18967" spans="2:4" ht="13">
      <c r="B18967" s="12" t="str">
        <f ca="1">IFERROR(__xludf.DUMMYFUNCTION("""COMPUTED_VALUE"""),"")</f>
        <v/>
      </c>
      <c r="C18967" s="12" t="str">
        <f ca="1">IFERROR(__xludf.DUMMYFUNCTION("""COMPUTED_VALUE"""),"")</f>
        <v/>
      </c>
      <c r="D18967" s="12" t="str">
        <f ca="1">IFERROR(__xludf.DUMMYFUNCTION("""COMPUTED_VALUE"""),"")</f>
        <v/>
      </c>
    </row>
    <row r="18968" spans="2:4" ht="13">
      <c r="B18968" s="12" t="str">
        <f ca="1">IFERROR(__xludf.DUMMYFUNCTION("""COMPUTED_VALUE"""),"")</f>
        <v/>
      </c>
      <c r="C18968" s="12" t="str">
        <f ca="1">IFERROR(__xludf.DUMMYFUNCTION("""COMPUTED_VALUE"""),"")</f>
        <v/>
      </c>
      <c r="D18968" s="12" t="str">
        <f ca="1">IFERROR(__xludf.DUMMYFUNCTION("""COMPUTED_VALUE"""),"")</f>
        <v/>
      </c>
    </row>
    <row r="18969" spans="2:4" ht="13">
      <c r="B18969" s="12" t="str">
        <f ca="1">IFERROR(__xludf.DUMMYFUNCTION("""COMPUTED_VALUE"""),"")</f>
        <v/>
      </c>
      <c r="C18969" s="12" t="str">
        <f ca="1">IFERROR(__xludf.DUMMYFUNCTION("""COMPUTED_VALUE"""),"")</f>
        <v/>
      </c>
      <c r="D18969" s="12" t="str">
        <f ca="1">IFERROR(__xludf.DUMMYFUNCTION("""COMPUTED_VALUE"""),"")</f>
        <v/>
      </c>
    </row>
    <row r="18970" spans="2:4" ht="13">
      <c r="B18970" s="12" t="str">
        <f ca="1">IFERROR(__xludf.DUMMYFUNCTION("""COMPUTED_VALUE"""),"")</f>
        <v/>
      </c>
      <c r="C18970" s="12" t="str">
        <f ca="1">IFERROR(__xludf.DUMMYFUNCTION("""COMPUTED_VALUE"""),"")</f>
        <v/>
      </c>
      <c r="D18970" s="12" t="str">
        <f ca="1">IFERROR(__xludf.DUMMYFUNCTION("""COMPUTED_VALUE"""),"")</f>
        <v/>
      </c>
    </row>
    <row r="18971" spans="2:4" ht="13">
      <c r="B18971" s="12" t="str">
        <f ca="1">IFERROR(__xludf.DUMMYFUNCTION("""COMPUTED_VALUE"""),"")</f>
        <v/>
      </c>
      <c r="C18971" s="12" t="str">
        <f ca="1">IFERROR(__xludf.DUMMYFUNCTION("""COMPUTED_VALUE"""),"")</f>
        <v/>
      </c>
      <c r="D18971" s="12" t="str">
        <f ca="1">IFERROR(__xludf.DUMMYFUNCTION("""COMPUTED_VALUE"""),"")</f>
        <v/>
      </c>
    </row>
    <row r="18972" spans="2:4" ht="13">
      <c r="B18972" s="12" t="str">
        <f ca="1">IFERROR(__xludf.DUMMYFUNCTION("""COMPUTED_VALUE"""),"")</f>
        <v/>
      </c>
      <c r="C18972" s="12" t="str">
        <f ca="1">IFERROR(__xludf.DUMMYFUNCTION("""COMPUTED_VALUE"""),"")</f>
        <v/>
      </c>
      <c r="D18972" s="12" t="str">
        <f ca="1">IFERROR(__xludf.DUMMYFUNCTION("""COMPUTED_VALUE"""),"")</f>
        <v/>
      </c>
    </row>
    <row r="18973" spans="2:4" ht="13">
      <c r="B18973" s="12" t="str">
        <f ca="1">IFERROR(__xludf.DUMMYFUNCTION("""COMPUTED_VALUE"""),"")</f>
        <v/>
      </c>
      <c r="C18973" s="12" t="str">
        <f ca="1">IFERROR(__xludf.DUMMYFUNCTION("""COMPUTED_VALUE"""),"")</f>
        <v/>
      </c>
      <c r="D18973" s="12" t="str">
        <f ca="1">IFERROR(__xludf.DUMMYFUNCTION("""COMPUTED_VALUE"""),"")</f>
        <v/>
      </c>
    </row>
    <row r="18974" spans="2:4" ht="13">
      <c r="B18974" s="12" t="str">
        <f ca="1">IFERROR(__xludf.DUMMYFUNCTION("""COMPUTED_VALUE"""),"")</f>
        <v/>
      </c>
      <c r="C18974" s="12" t="str">
        <f ca="1">IFERROR(__xludf.DUMMYFUNCTION("""COMPUTED_VALUE"""),"")</f>
        <v/>
      </c>
      <c r="D18974" s="12" t="str">
        <f ca="1">IFERROR(__xludf.DUMMYFUNCTION("""COMPUTED_VALUE"""),"")</f>
        <v/>
      </c>
    </row>
    <row r="18975" spans="2:4" ht="13">
      <c r="B18975" s="12" t="str">
        <f ca="1">IFERROR(__xludf.DUMMYFUNCTION("""COMPUTED_VALUE"""),"")</f>
        <v/>
      </c>
      <c r="C18975" s="12" t="str">
        <f ca="1">IFERROR(__xludf.DUMMYFUNCTION("""COMPUTED_VALUE"""),"")</f>
        <v/>
      </c>
      <c r="D18975" s="12" t="str">
        <f ca="1">IFERROR(__xludf.DUMMYFUNCTION("""COMPUTED_VALUE"""),"")</f>
        <v/>
      </c>
    </row>
    <row r="18976" spans="2:4" ht="13">
      <c r="B18976" s="12" t="str">
        <f ca="1">IFERROR(__xludf.DUMMYFUNCTION("""COMPUTED_VALUE"""),"")</f>
        <v/>
      </c>
      <c r="C18976" s="12" t="str">
        <f ca="1">IFERROR(__xludf.DUMMYFUNCTION("""COMPUTED_VALUE"""),"")</f>
        <v/>
      </c>
      <c r="D18976" s="12" t="str">
        <f ca="1">IFERROR(__xludf.DUMMYFUNCTION("""COMPUTED_VALUE"""),"")</f>
        <v/>
      </c>
    </row>
    <row r="18977" spans="2:4" ht="13">
      <c r="B18977" s="12" t="str">
        <f ca="1">IFERROR(__xludf.DUMMYFUNCTION("""COMPUTED_VALUE"""),"")</f>
        <v/>
      </c>
      <c r="C18977" s="12" t="str">
        <f ca="1">IFERROR(__xludf.DUMMYFUNCTION("""COMPUTED_VALUE"""),"")</f>
        <v/>
      </c>
      <c r="D18977" s="12" t="str">
        <f ca="1">IFERROR(__xludf.DUMMYFUNCTION("""COMPUTED_VALUE"""),"")</f>
        <v/>
      </c>
    </row>
    <row r="18978" spans="2:4" ht="13">
      <c r="B18978" s="12" t="str">
        <f ca="1">IFERROR(__xludf.DUMMYFUNCTION("""COMPUTED_VALUE"""),"")</f>
        <v/>
      </c>
      <c r="C18978" s="12" t="str">
        <f ca="1">IFERROR(__xludf.DUMMYFUNCTION("""COMPUTED_VALUE"""),"")</f>
        <v/>
      </c>
      <c r="D18978" s="12" t="str">
        <f ca="1">IFERROR(__xludf.DUMMYFUNCTION("""COMPUTED_VALUE"""),"")</f>
        <v/>
      </c>
    </row>
    <row r="18979" spans="2:4" ht="13">
      <c r="B18979" s="12" t="str">
        <f ca="1">IFERROR(__xludf.DUMMYFUNCTION("""COMPUTED_VALUE"""),"")</f>
        <v/>
      </c>
      <c r="C18979" s="12" t="str">
        <f ca="1">IFERROR(__xludf.DUMMYFUNCTION("""COMPUTED_VALUE"""),"")</f>
        <v/>
      </c>
      <c r="D18979" s="12" t="str">
        <f ca="1">IFERROR(__xludf.DUMMYFUNCTION("""COMPUTED_VALUE"""),"")</f>
        <v/>
      </c>
    </row>
    <row r="18980" spans="2:4" ht="13">
      <c r="B18980" s="12" t="str">
        <f ca="1">IFERROR(__xludf.DUMMYFUNCTION("""COMPUTED_VALUE"""),"")</f>
        <v/>
      </c>
      <c r="C18980" s="12" t="str">
        <f ca="1">IFERROR(__xludf.DUMMYFUNCTION("""COMPUTED_VALUE"""),"")</f>
        <v/>
      </c>
      <c r="D18980" s="12" t="str">
        <f ca="1">IFERROR(__xludf.DUMMYFUNCTION("""COMPUTED_VALUE"""),"")</f>
        <v/>
      </c>
    </row>
    <row r="18981" spans="2:4" ht="13">
      <c r="B18981" s="12" t="str">
        <f ca="1">IFERROR(__xludf.DUMMYFUNCTION("""COMPUTED_VALUE"""),"")</f>
        <v/>
      </c>
      <c r="C18981" s="12" t="str">
        <f ca="1">IFERROR(__xludf.DUMMYFUNCTION("""COMPUTED_VALUE"""),"")</f>
        <v/>
      </c>
      <c r="D18981" s="12" t="str">
        <f ca="1">IFERROR(__xludf.DUMMYFUNCTION("""COMPUTED_VALUE"""),"")</f>
        <v/>
      </c>
    </row>
    <row r="18982" spans="2:4" ht="13">
      <c r="B18982" s="12" t="str">
        <f ca="1">IFERROR(__xludf.DUMMYFUNCTION("""COMPUTED_VALUE"""),"")</f>
        <v/>
      </c>
      <c r="C18982" s="12" t="str">
        <f ca="1">IFERROR(__xludf.DUMMYFUNCTION("""COMPUTED_VALUE"""),"")</f>
        <v/>
      </c>
      <c r="D18982" s="12" t="str">
        <f ca="1">IFERROR(__xludf.DUMMYFUNCTION("""COMPUTED_VALUE"""),"")</f>
        <v/>
      </c>
    </row>
    <row r="18983" spans="2:4" ht="13">
      <c r="B18983" s="12" t="str">
        <f ca="1">IFERROR(__xludf.DUMMYFUNCTION("""COMPUTED_VALUE"""),"")</f>
        <v/>
      </c>
      <c r="C18983" s="12" t="str">
        <f ca="1">IFERROR(__xludf.DUMMYFUNCTION("""COMPUTED_VALUE"""),"")</f>
        <v/>
      </c>
      <c r="D18983" s="12" t="str">
        <f ca="1">IFERROR(__xludf.DUMMYFUNCTION("""COMPUTED_VALUE"""),"")</f>
        <v/>
      </c>
    </row>
    <row r="18984" spans="2:4" ht="13">
      <c r="B18984" s="12" t="str">
        <f ca="1">IFERROR(__xludf.DUMMYFUNCTION("""COMPUTED_VALUE"""),"")</f>
        <v/>
      </c>
      <c r="C18984" s="12" t="str">
        <f ca="1">IFERROR(__xludf.DUMMYFUNCTION("""COMPUTED_VALUE"""),"")</f>
        <v/>
      </c>
      <c r="D18984" s="12" t="str">
        <f ca="1">IFERROR(__xludf.DUMMYFUNCTION("""COMPUTED_VALUE"""),"")</f>
        <v/>
      </c>
    </row>
    <row r="18985" spans="2:4" ht="13">
      <c r="B18985" s="12" t="str">
        <f ca="1">IFERROR(__xludf.DUMMYFUNCTION("""COMPUTED_VALUE"""),"")</f>
        <v/>
      </c>
      <c r="C18985" s="12" t="str">
        <f ca="1">IFERROR(__xludf.DUMMYFUNCTION("""COMPUTED_VALUE"""),"")</f>
        <v/>
      </c>
      <c r="D18985" s="12" t="str">
        <f ca="1">IFERROR(__xludf.DUMMYFUNCTION("""COMPUTED_VALUE"""),"")</f>
        <v/>
      </c>
    </row>
    <row r="18986" spans="2:4" ht="13">
      <c r="B18986" s="12" t="str">
        <f ca="1">IFERROR(__xludf.DUMMYFUNCTION("""COMPUTED_VALUE"""),"")</f>
        <v/>
      </c>
      <c r="C18986" s="12" t="str">
        <f ca="1">IFERROR(__xludf.DUMMYFUNCTION("""COMPUTED_VALUE"""),"")</f>
        <v/>
      </c>
      <c r="D18986" s="12" t="str">
        <f ca="1">IFERROR(__xludf.DUMMYFUNCTION("""COMPUTED_VALUE"""),"")</f>
        <v/>
      </c>
    </row>
    <row r="18987" spans="2:4" ht="13">
      <c r="B18987" s="12" t="str">
        <f ca="1">IFERROR(__xludf.DUMMYFUNCTION("""COMPUTED_VALUE"""),"")</f>
        <v/>
      </c>
      <c r="C18987" s="12" t="str">
        <f ca="1">IFERROR(__xludf.DUMMYFUNCTION("""COMPUTED_VALUE"""),"")</f>
        <v/>
      </c>
      <c r="D18987" s="12" t="str">
        <f ca="1">IFERROR(__xludf.DUMMYFUNCTION("""COMPUTED_VALUE"""),"")</f>
        <v/>
      </c>
    </row>
    <row r="18988" spans="2:4" ht="13">
      <c r="B18988" s="12" t="str">
        <f ca="1">IFERROR(__xludf.DUMMYFUNCTION("""COMPUTED_VALUE"""),"")</f>
        <v/>
      </c>
      <c r="C18988" s="12" t="str">
        <f ca="1">IFERROR(__xludf.DUMMYFUNCTION("""COMPUTED_VALUE"""),"")</f>
        <v/>
      </c>
      <c r="D18988" s="12" t="str">
        <f ca="1">IFERROR(__xludf.DUMMYFUNCTION("""COMPUTED_VALUE"""),"")</f>
        <v/>
      </c>
    </row>
    <row r="18989" spans="2:4" ht="13">
      <c r="B18989" s="12" t="str">
        <f ca="1">IFERROR(__xludf.DUMMYFUNCTION("""COMPUTED_VALUE"""),"")</f>
        <v/>
      </c>
      <c r="C18989" s="12" t="str">
        <f ca="1">IFERROR(__xludf.DUMMYFUNCTION("""COMPUTED_VALUE"""),"")</f>
        <v/>
      </c>
      <c r="D18989" s="12" t="str">
        <f ca="1">IFERROR(__xludf.DUMMYFUNCTION("""COMPUTED_VALUE"""),"")</f>
        <v/>
      </c>
    </row>
    <row r="18990" spans="2:4" ht="13">
      <c r="B18990" s="12" t="str">
        <f ca="1">IFERROR(__xludf.DUMMYFUNCTION("""COMPUTED_VALUE"""),"")</f>
        <v/>
      </c>
      <c r="C18990" s="12" t="str">
        <f ca="1">IFERROR(__xludf.DUMMYFUNCTION("""COMPUTED_VALUE"""),"")</f>
        <v/>
      </c>
      <c r="D18990" s="12" t="str">
        <f ca="1">IFERROR(__xludf.DUMMYFUNCTION("""COMPUTED_VALUE"""),"")</f>
        <v/>
      </c>
    </row>
    <row r="18991" spans="2:4" ht="13">
      <c r="B18991" s="12" t="str">
        <f ca="1">IFERROR(__xludf.DUMMYFUNCTION("""COMPUTED_VALUE"""),"")</f>
        <v/>
      </c>
      <c r="C18991" s="12" t="str">
        <f ca="1">IFERROR(__xludf.DUMMYFUNCTION("""COMPUTED_VALUE"""),"")</f>
        <v/>
      </c>
      <c r="D18991" s="12" t="str">
        <f ca="1">IFERROR(__xludf.DUMMYFUNCTION("""COMPUTED_VALUE"""),"")</f>
        <v/>
      </c>
    </row>
    <row r="18992" spans="2:4" ht="13">
      <c r="B18992" s="12" t="str">
        <f ca="1">IFERROR(__xludf.DUMMYFUNCTION("""COMPUTED_VALUE"""),"")</f>
        <v/>
      </c>
      <c r="C18992" s="12" t="str">
        <f ca="1">IFERROR(__xludf.DUMMYFUNCTION("""COMPUTED_VALUE"""),"")</f>
        <v/>
      </c>
      <c r="D18992" s="12" t="str">
        <f ca="1">IFERROR(__xludf.DUMMYFUNCTION("""COMPUTED_VALUE"""),"")</f>
        <v/>
      </c>
    </row>
    <row r="18993" spans="2:4" ht="13">
      <c r="B18993" s="12" t="str">
        <f ca="1">IFERROR(__xludf.DUMMYFUNCTION("""COMPUTED_VALUE"""),"")</f>
        <v/>
      </c>
      <c r="C18993" s="12" t="str">
        <f ca="1">IFERROR(__xludf.DUMMYFUNCTION("""COMPUTED_VALUE"""),"")</f>
        <v/>
      </c>
      <c r="D18993" s="12" t="str">
        <f ca="1">IFERROR(__xludf.DUMMYFUNCTION("""COMPUTED_VALUE"""),"")</f>
        <v/>
      </c>
    </row>
    <row r="18994" spans="2:4" ht="13">
      <c r="B18994" s="12" t="str">
        <f ca="1">IFERROR(__xludf.DUMMYFUNCTION("""COMPUTED_VALUE"""),"")</f>
        <v/>
      </c>
      <c r="C18994" s="12" t="str">
        <f ca="1">IFERROR(__xludf.DUMMYFUNCTION("""COMPUTED_VALUE"""),"")</f>
        <v/>
      </c>
      <c r="D18994" s="12" t="str">
        <f ca="1">IFERROR(__xludf.DUMMYFUNCTION("""COMPUTED_VALUE"""),"")</f>
        <v/>
      </c>
    </row>
    <row r="18995" spans="2:4" ht="13">
      <c r="B18995" s="12" t="str">
        <f ca="1">IFERROR(__xludf.DUMMYFUNCTION("""COMPUTED_VALUE"""),"")</f>
        <v/>
      </c>
      <c r="C18995" s="12" t="str">
        <f ca="1">IFERROR(__xludf.DUMMYFUNCTION("""COMPUTED_VALUE"""),"")</f>
        <v/>
      </c>
      <c r="D18995" s="12" t="str">
        <f ca="1">IFERROR(__xludf.DUMMYFUNCTION("""COMPUTED_VALUE"""),"")</f>
        <v/>
      </c>
    </row>
    <row r="18996" spans="2:4" ht="13">
      <c r="B18996" s="12" t="str">
        <f ca="1">IFERROR(__xludf.DUMMYFUNCTION("""COMPUTED_VALUE"""),"")</f>
        <v/>
      </c>
      <c r="C18996" s="12" t="str">
        <f ca="1">IFERROR(__xludf.DUMMYFUNCTION("""COMPUTED_VALUE"""),"")</f>
        <v/>
      </c>
      <c r="D18996" s="12" t="str">
        <f ca="1">IFERROR(__xludf.DUMMYFUNCTION("""COMPUTED_VALUE"""),"")</f>
        <v/>
      </c>
    </row>
    <row r="18997" spans="2:4" ht="13">
      <c r="B18997" s="12" t="str">
        <f ca="1">IFERROR(__xludf.DUMMYFUNCTION("""COMPUTED_VALUE"""),"")</f>
        <v/>
      </c>
      <c r="C18997" s="12" t="str">
        <f ca="1">IFERROR(__xludf.DUMMYFUNCTION("""COMPUTED_VALUE"""),"")</f>
        <v/>
      </c>
      <c r="D18997" s="12" t="str">
        <f ca="1">IFERROR(__xludf.DUMMYFUNCTION("""COMPUTED_VALUE"""),"")</f>
        <v/>
      </c>
    </row>
    <row r="18998" spans="2:4" ht="13">
      <c r="B18998" s="12" t="str">
        <f ca="1">IFERROR(__xludf.DUMMYFUNCTION("""COMPUTED_VALUE"""),"")</f>
        <v/>
      </c>
      <c r="C18998" s="12" t="str">
        <f ca="1">IFERROR(__xludf.DUMMYFUNCTION("""COMPUTED_VALUE"""),"")</f>
        <v/>
      </c>
      <c r="D18998" s="12" t="str">
        <f ca="1">IFERROR(__xludf.DUMMYFUNCTION("""COMPUTED_VALUE"""),"")</f>
        <v/>
      </c>
    </row>
    <row r="18999" spans="2:4" ht="13">
      <c r="B18999" s="12" t="str">
        <f ca="1">IFERROR(__xludf.DUMMYFUNCTION("""COMPUTED_VALUE"""),"")</f>
        <v/>
      </c>
      <c r="C18999" s="12" t="str">
        <f ca="1">IFERROR(__xludf.DUMMYFUNCTION("""COMPUTED_VALUE"""),"")</f>
        <v/>
      </c>
      <c r="D18999" s="12" t="str">
        <f ca="1">IFERROR(__xludf.DUMMYFUNCTION("""COMPUTED_VALUE"""),"")</f>
        <v/>
      </c>
    </row>
    <row r="19000" spans="2:4" ht="13">
      <c r="B19000" s="12" t="str">
        <f ca="1">IFERROR(__xludf.DUMMYFUNCTION("""COMPUTED_VALUE"""),"")</f>
        <v/>
      </c>
      <c r="C19000" s="12" t="str">
        <f ca="1">IFERROR(__xludf.DUMMYFUNCTION("""COMPUTED_VALUE"""),"")</f>
        <v/>
      </c>
      <c r="D19000" s="12" t="str">
        <f ca="1">IFERROR(__xludf.DUMMYFUNCTION("""COMPUTED_VALUE"""),"")</f>
        <v/>
      </c>
    </row>
    <row r="19001" spans="2:4" ht="13">
      <c r="B19001" s="12" t="str">
        <f ca="1">IFERROR(__xludf.DUMMYFUNCTION("""COMPUTED_VALUE"""),"")</f>
        <v/>
      </c>
      <c r="C19001" s="12" t="str">
        <f ca="1">IFERROR(__xludf.DUMMYFUNCTION("""COMPUTED_VALUE"""),"")</f>
        <v/>
      </c>
      <c r="D19001" s="12" t="str">
        <f ca="1">IFERROR(__xludf.DUMMYFUNCTION("""COMPUTED_VALUE"""),"")</f>
        <v/>
      </c>
    </row>
    <row r="19002" spans="2:4" ht="13">
      <c r="B19002" s="12" t="str">
        <f ca="1">IFERROR(__xludf.DUMMYFUNCTION("""COMPUTED_VALUE"""),"")</f>
        <v/>
      </c>
      <c r="C19002" s="12" t="str">
        <f ca="1">IFERROR(__xludf.DUMMYFUNCTION("""COMPUTED_VALUE"""),"")</f>
        <v/>
      </c>
      <c r="D19002" s="12" t="str">
        <f ca="1">IFERROR(__xludf.DUMMYFUNCTION("""COMPUTED_VALUE"""),"")</f>
        <v/>
      </c>
    </row>
    <row r="19003" spans="2:4" ht="13">
      <c r="B19003" s="12" t="str">
        <f ca="1">IFERROR(__xludf.DUMMYFUNCTION("""COMPUTED_VALUE"""),"")</f>
        <v/>
      </c>
      <c r="C19003" s="12" t="str">
        <f ca="1">IFERROR(__xludf.DUMMYFUNCTION("""COMPUTED_VALUE"""),"")</f>
        <v/>
      </c>
      <c r="D19003" s="12" t="str">
        <f ca="1">IFERROR(__xludf.DUMMYFUNCTION("""COMPUTED_VALUE"""),"")</f>
        <v/>
      </c>
    </row>
    <row r="19004" spans="2:4" ht="13">
      <c r="B19004" s="12" t="str">
        <f ca="1">IFERROR(__xludf.DUMMYFUNCTION("""COMPUTED_VALUE"""),"")</f>
        <v/>
      </c>
      <c r="C19004" s="12" t="str">
        <f ca="1">IFERROR(__xludf.DUMMYFUNCTION("""COMPUTED_VALUE"""),"")</f>
        <v/>
      </c>
      <c r="D19004" s="12" t="str">
        <f ca="1">IFERROR(__xludf.DUMMYFUNCTION("""COMPUTED_VALUE"""),"")</f>
        <v/>
      </c>
    </row>
    <row r="19005" spans="2:4" ht="13">
      <c r="B19005" s="12" t="str">
        <f ca="1">IFERROR(__xludf.DUMMYFUNCTION("""COMPUTED_VALUE"""),"")</f>
        <v/>
      </c>
      <c r="C19005" s="12" t="str">
        <f ca="1">IFERROR(__xludf.DUMMYFUNCTION("""COMPUTED_VALUE"""),"")</f>
        <v/>
      </c>
      <c r="D19005" s="12" t="str">
        <f ca="1">IFERROR(__xludf.DUMMYFUNCTION("""COMPUTED_VALUE"""),"")</f>
        <v/>
      </c>
    </row>
    <row r="19006" spans="2:4" ht="13">
      <c r="B19006" s="12" t="str">
        <f ca="1">IFERROR(__xludf.DUMMYFUNCTION("""COMPUTED_VALUE"""),"")</f>
        <v/>
      </c>
      <c r="C19006" s="12" t="str">
        <f ca="1">IFERROR(__xludf.DUMMYFUNCTION("""COMPUTED_VALUE"""),"")</f>
        <v/>
      </c>
      <c r="D19006" s="12" t="str">
        <f ca="1">IFERROR(__xludf.DUMMYFUNCTION("""COMPUTED_VALUE"""),"")</f>
        <v/>
      </c>
    </row>
    <row r="19007" spans="2:4" ht="13">
      <c r="B19007" s="12" t="str">
        <f ca="1">IFERROR(__xludf.DUMMYFUNCTION("""COMPUTED_VALUE"""),"")</f>
        <v/>
      </c>
      <c r="C19007" s="12" t="str">
        <f ca="1">IFERROR(__xludf.DUMMYFUNCTION("""COMPUTED_VALUE"""),"")</f>
        <v/>
      </c>
      <c r="D19007" s="12" t="str">
        <f ca="1">IFERROR(__xludf.DUMMYFUNCTION("""COMPUTED_VALUE"""),"")</f>
        <v/>
      </c>
    </row>
    <row r="19008" spans="2:4" ht="13">
      <c r="B19008" s="12" t="str">
        <f ca="1">IFERROR(__xludf.DUMMYFUNCTION("""COMPUTED_VALUE"""),"")</f>
        <v/>
      </c>
      <c r="C19008" s="12" t="str">
        <f ca="1">IFERROR(__xludf.DUMMYFUNCTION("""COMPUTED_VALUE"""),"")</f>
        <v/>
      </c>
      <c r="D19008" s="12" t="str">
        <f ca="1">IFERROR(__xludf.DUMMYFUNCTION("""COMPUTED_VALUE"""),"")</f>
        <v/>
      </c>
    </row>
    <row r="19009" spans="2:4" ht="13">
      <c r="B19009" s="12" t="str">
        <f ca="1">IFERROR(__xludf.DUMMYFUNCTION("""COMPUTED_VALUE"""),"")</f>
        <v/>
      </c>
      <c r="C19009" s="12" t="str">
        <f ca="1">IFERROR(__xludf.DUMMYFUNCTION("""COMPUTED_VALUE"""),"")</f>
        <v/>
      </c>
      <c r="D19009" s="12" t="str">
        <f ca="1">IFERROR(__xludf.DUMMYFUNCTION("""COMPUTED_VALUE"""),"")</f>
        <v/>
      </c>
    </row>
    <row r="19010" spans="2:4" ht="13">
      <c r="B19010" s="12" t="str">
        <f ca="1">IFERROR(__xludf.DUMMYFUNCTION("""COMPUTED_VALUE"""),"")</f>
        <v/>
      </c>
      <c r="C19010" s="12" t="str">
        <f ca="1">IFERROR(__xludf.DUMMYFUNCTION("""COMPUTED_VALUE"""),"")</f>
        <v/>
      </c>
      <c r="D19010" s="12" t="str">
        <f ca="1">IFERROR(__xludf.DUMMYFUNCTION("""COMPUTED_VALUE"""),"")</f>
        <v/>
      </c>
    </row>
    <row r="19011" spans="2:4" ht="13">
      <c r="B19011" s="12" t="str">
        <f ca="1">IFERROR(__xludf.DUMMYFUNCTION("""COMPUTED_VALUE"""),"")</f>
        <v/>
      </c>
      <c r="C19011" s="12" t="str">
        <f ca="1">IFERROR(__xludf.DUMMYFUNCTION("""COMPUTED_VALUE"""),"")</f>
        <v/>
      </c>
      <c r="D19011" s="12" t="str">
        <f ca="1">IFERROR(__xludf.DUMMYFUNCTION("""COMPUTED_VALUE"""),"")</f>
        <v/>
      </c>
    </row>
    <row r="19012" spans="2:4" ht="13">
      <c r="B19012" s="12" t="str">
        <f ca="1">IFERROR(__xludf.DUMMYFUNCTION("""COMPUTED_VALUE"""),"")</f>
        <v/>
      </c>
      <c r="C19012" s="12" t="str">
        <f ca="1">IFERROR(__xludf.DUMMYFUNCTION("""COMPUTED_VALUE"""),"")</f>
        <v/>
      </c>
      <c r="D19012" s="12" t="str">
        <f ca="1">IFERROR(__xludf.DUMMYFUNCTION("""COMPUTED_VALUE"""),"")</f>
        <v/>
      </c>
    </row>
    <row r="19013" spans="2:4" ht="13">
      <c r="B19013" s="12" t="str">
        <f ca="1">IFERROR(__xludf.DUMMYFUNCTION("""COMPUTED_VALUE"""),"")</f>
        <v/>
      </c>
      <c r="C19013" s="12" t="str">
        <f ca="1">IFERROR(__xludf.DUMMYFUNCTION("""COMPUTED_VALUE"""),"")</f>
        <v/>
      </c>
      <c r="D19013" s="12" t="str">
        <f ca="1">IFERROR(__xludf.DUMMYFUNCTION("""COMPUTED_VALUE"""),"")</f>
        <v/>
      </c>
    </row>
    <row r="19014" spans="2:4" ht="13">
      <c r="B19014" s="12" t="str">
        <f ca="1">IFERROR(__xludf.DUMMYFUNCTION("""COMPUTED_VALUE"""),"")</f>
        <v/>
      </c>
      <c r="C19014" s="12" t="str">
        <f ca="1">IFERROR(__xludf.DUMMYFUNCTION("""COMPUTED_VALUE"""),"")</f>
        <v/>
      </c>
      <c r="D19014" s="12" t="str">
        <f ca="1">IFERROR(__xludf.DUMMYFUNCTION("""COMPUTED_VALUE"""),"")</f>
        <v/>
      </c>
    </row>
    <row r="19015" spans="2:4" ht="13">
      <c r="B19015" s="12" t="str">
        <f ca="1">IFERROR(__xludf.DUMMYFUNCTION("""COMPUTED_VALUE"""),"")</f>
        <v/>
      </c>
      <c r="C19015" s="12" t="str">
        <f ca="1">IFERROR(__xludf.DUMMYFUNCTION("""COMPUTED_VALUE"""),"")</f>
        <v/>
      </c>
      <c r="D19015" s="12" t="str">
        <f ca="1">IFERROR(__xludf.DUMMYFUNCTION("""COMPUTED_VALUE"""),"")</f>
        <v/>
      </c>
    </row>
    <row r="19016" spans="2:4" ht="13">
      <c r="B19016" s="12" t="str">
        <f ca="1">IFERROR(__xludf.DUMMYFUNCTION("""COMPUTED_VALUE"""),"")</f>
        <v/>
      </c>
      <c r="C19016" s="12" t="str">
        <f ca="1">IFERROR(__xludf.DUMMYFUNCTION("""COMPUTED_VALUE"""),"")</f>
        <v/>
      </c>
      <c r="D19016" s="12" t="str">
        <f ca="1">IFERROR(__xludf.DUMMYFUNCTION("""COMPUTED_VALUE"""),"")</f>
        <v/>
      </c>
    </row>
    <row r="19017" spans="2:4" ht="13">
      <c r="B19017" s="12" t="str">
        <f ca="1">IFERROR(__xludf.DUMMYFUNCTION("""COMPUTED_VALUE"""),"")</f>
        <v/>
      </c>
      <c r="C19017" s="12" t="str">
        <f ca="1">IFERROR(__xludf.DUMMYFUNCTION("""COMPUTED_VALUE"""),"")</f>
        <v/>
      </c>
      <c r="D19017" s="12" t="str">
        <f ca="1">IFERROR(__xludf.DUMMYFUNCTION("""COMPUTED_VALUE"""),"")</f>
        <v/>
      </c>
    </row>
    <row r="19018" spans="2:4" ht="13">
      <c r="B19018" s="12" t="str">
        <f ca="1">IFERROR(__xludf.DUMMYFUNCTION("""COMPUTED_VALUE"""),"")</f>
        <v/>
      </c>
      <c r="C19018" s="12" t="str">
        <f ca="1">IFERROR(__xludf.DUMMYFUNCTION("""COMPUTED_VALUE"""),"")</f>
        <v/>
      </c>
      <c r="D19018" s="12" t="str">
        <f ca="1">IFERROR(__xludf.DUMMYFUNCTION("""COMPUTED_VALUE"""),"")</f>
        <v/>
      </c>
    </row>
    <row r="19019" spans="2:4" ht="13">
      <c r="B19019" s="12" t="str">
        <f ca="1">IFERROR(__xludf.DUMMYFUNCTION("""COMPUTED_VALUE"""),"")</f>
        <v/>
      </c>
      <c r="C19019" s="12" t="str">
        <f ca="1">IFERROR(__xludf.DUMMYFUNCTION("""COMPUTED_VALUE"""),"")</f>
        <v/>
      </c>
      <c r="D19019" s="12" t="str">
        <f ca="1">IFERROR(__xludf.DUMMYFUNCTION("""COMPUTED_VALUE"""),"")</f>
        <v/>
      </c>
    </row>
    <row r="19020" spans="2:4" ht="13">
      <c r="B19020" s="12" t="str">
        <f ca="1">IFERROR(__xludf.DUMMYFUNCTION("""COMPUTED_VALUE"""),"")</f>
        <v/>
      </c>
      <c r="C19020" s="12" t="str">
        <f ca="1">IFERROR(__xludf.DUMMYFUNCTION("""COMPUTED_VALUE"""),"")</f>
        <v/>
      </c>
      <c r="D19020" s="12" t="str">
        <f ca="1">IFERROR(__xludf.DUMMYFUNCTION("""COMPUTED_VALUE"""),"")</f>
        <v/>
      </c>
    </row>
    <row r="19021" spans="2:4" ht="13">
      <c r="B19021" s="12" t="str">
        <f ca="1">IFERROR(__xludf.DUMMYFUNCTION("""COMPUTED_VALUE"""),"")</f>
        <v/>
      </c>
      <c r="C19021" s="12" t="str">
        <f ca="1">IFERROR(__xludf.DUMMYFUNCTION("""COMPUTED_VALUE"""),"")</f>
        <v/>
      </c>
      <c r="D19021" s="12" t="str">
        <f ca="1">IFERROR(__xludf.DUMMYFUNCTION("""COMPUTED_VALUE"""),"")</f>
        <v/>
      </c>
    </row>
    <row r="19022" spans="2:4" ht="13">
      <c r="B19022" s="12" t="str">
        <f ca="1">IFERROR(__xludf.DUMMYFUNCTION("""COMPUTED_VALUE"""),"")</f>
        <v/>
      </c>
      <c r="C19022" s="12" t="str">
        <f ca="1">IFERROR(__xludf.DUMMYFUNCTION("""COMPUTED_VALUE"""),"")</f>
        <v/>
      </c>
      <c r="D19022" s="12" t="str">
        <f ca="1">IFERROR(__xludf.DUMMYFUNCTION("""COMPUTED_VALUE"""),"")</f>
        <v/>
      </c>
    </row>
    <row r="19023" spans="2:4" ht="13">
      <c r="B19023" s="12" t="str">
        <f ca="1">IFERROR(__xludf.DUMMYFUNCTION("""COMPUTED_VALUE"""),"")</f>
        <v/>
      </c>
      <c r="C19023" s="12" t="str">
        <f ca="1">IFERROR(__xludf.DUMMYFUNCTION("""COMPUTED_VALUE"""),"")</f>
        <v/>
      </c>
      <c r="D19023" s="12" t="str">
        <f ca="1">IFERROR(__xludf.DUMMYFUNCTION("""COMPUTED_VALUE"""),"")</f>
        <v/>
      </c>
    </row>
    <row r="19024" spans="2:4" ht="13">
      <c r="B19024" s="12" t="str">
        <f ca="1">IFERROR(__xludf.DUMMYFUNCTION("""COMPUTED_VALUE"""),"")</f>
        <v/>
      </c>
      <c r="C19024" s="12" t="str">
        <f ca="1">IFERROR(__xludf.DUMMYFUNCTION("""COMPUTED_VALUE"""),"")</f>
        <v/>
      </c>
      <c r="D19024" s="12" t="str">
        <f ca="1">IFERROR(__xludf.DUMMYFUNCTION("""COMPUTED_VALUE"""),"")</f>
        <v/>
      </c>
    </row>
    <row r="19025" spans="2:4" ht="13">
      <c r="B19025" s="12" t="str">
        <f ca="1">IFERROR(__xludf.DUMMYFUNCTION("""COMPUTED_VALUE"""),"")</f>
        <v/>
      </c>
      <c r="C19025" s="12" t="str">
        <f ca="1">IFERROR(__xludf.DUMMYFUNCTION("""COMPUTED_VALUE"""),"")</f>
        <v/>
      </c>
      <c r="D19025" s="12" t="str">
        <f ca="1">IFERROR(__xludf.DUMMYFUNCTION("""COMPUTED_VALUE"""),"")</f>
        <v/>
      </c>
    </row>
    <row r="19026" spans="2:4" ht="13">
      <c r="B19026" s="12" t="str">
        <f ca="1">IFERROR(__xludf.DUMMYFUNCTION("""COMPUTED_VALUE"""),"")</f>
        <v/>
      </c>
      <c r="C19026" s="12" t="str">
        <f ca="1">IFERROR(__xludf.DUMMYFUNCTION("""COMPUTED_VALUE"""),"")</f>
        <v/>
      </c>
      <c r="D19026" s="12" t="str">
        <f ca="1">IFERROR(__xludf.DUMMYFUNCTION("""COMPUTED_VALUE"""),"")</f>
        <v/>
      </c>
    </row>
    <row r="19027" spans="2:4" ht="13">
      <c r="B19027" s="12" t="str">
        <f ca="1">IFERROR(__xludf.DUMMYFUNCTION("""COMPUTED_VALUE"""),"")</f>
        <v/>
      </c>
      <c r="C19027" s="12" t="str">
        <f ca="1">IFERROR(__xludf.DUMMYFUNCTION("""COMPUTED_VALUE"""),"")</f>
        <v/>
      </c>
      <c r="D19027" s="12" t="str">
        <f ca="1">IFERROR(__xludf.DUMMYFUNCTION("""COMPUTED_VALUE"""),"")</f>
        <v/>
      </c>
    </row>
    <row r="19028" spans="2:4" ht="13">
      <c r="B19028" s="12" t="str">
        <f ca="1">IFERROR(__xludf.DUMMYFUNCTION("""COMPUTED_VALUE"""),"")</f>
        <v/>
      </c>
      <c r="C19028" s="12" t="str">
        <f ca="1">IFERROR(__xludf.DUMMYFUNCTION("""COMPUTED_VALUE"""),"")</f>
        <v/>
      </c>
      <c r="D19028" s="12" t="str">
        <f ca="1">IFERROR(__xludf.DUMMYFUNCTION("""COMPUTED_VALUE"""),"")</f>
        <v/>
      </c>
    </row>
    <row r="19029" spans="2:4" ht="13">
      <c r="B19029" s="12" t="str">
        <f ca="1">IFERROR(__xludf.DUMMYFUNCTION("""COMPUTED_VALUE"""),"")</f>
        <v/>
      </c>
      <c r="C19029" s="12" t="str">
        <f ca="1">IFERROR(__xludf.DUMMYFUNCTION("""COMPUTED_VALUE"""),"")</f>
        <v/>
      </c>
      <c r="D19029" s="12" t="str">
        <f ca="1">IFERROR(__xludf.DUMMYFUNCTION("""COMPUTED_VALUE"""),"")</f>
        <v/>
      </c>
    </row>
    <row r="19030" spans="2:4" ht="13">
      <c r="B19030" s="12" t="str">
        <f ca="1">IFERROR(__xludf.DUMMYFUNCTION("""COMPUTED_VALUE"""),"")</f>
        <v/>
      </c>
      <c r="C19030" s="12" t="str">
        <f ca="1">IFERROR(__xludf.DUMMYFUNCTION("""COMPUTED_VALUE"""),"")</f>
        <v/>
      </c>
      <c r="D19030" s="12" t="str">
        <f ca="1">IFERROR(__xludf.DUMMYFUNCTION("""COMPUTED_VALUE"""),"")</f>
        <v/>
      </c>
    </row>
    <row r="19031" spans="2:4" ht="13">
      <c r="B19031" s="12" t="str">
        <f ca="1">IFERROR(__xludf.DUMMYFUNCTION("""COMPUTED_VALUE"""),"")</f>
        <v/>
      </c>
      <c r="C19031" s="12" t="str">
        <f ca="1">IFERROR(__xludf.DUMMYFUNCTION("""COMPUTED_VALUE"""),"")</f>
        <v/>
      </c>
      <c r="D19031" s="12" t="str">
        <f ca="1">IFERROR(__xludf.DUMMYFUNCTION("""COMPUTED_VALUE"""),"")</f>
        <v/>
      </c>
    </row>
    <row r="19032" spans="2:4" ht="13">
      <c r="B19032" s="12" t="str">
        <f ca="1">IFERROR(__xludf.DUMMYFUNCTION("""COMPUTED_VALUE"""),"")</f>
        <v/>
      </c>
      <c r="C19032" s="12" t="str">
        <f ca="1">IFERROR(__xludf.DUMMYFUNCTION("""COMPUTED_VALUE"""),"")</f>
        <v/>
      </c>
      <c r="D19032" s="12" t="str">
        <f ca="1">IFERROR(__xludf.DUMMYFUNCTION("""COMPUTED_VALUE"""),"")</f>
        <v/>
      </c>
    </row>
    <row r="19033" spans="2:4" ht="13">
      <c r="B19033" s="12" t="str">
        <f ca="1">IFERROR(__xludf.DUMMYFUNCTION("""COMPUTED_VALUE"""),"")</f>
        <v/>
      </c>
      <c r="C19033" s="12" t="str">
        <f ca="1">IFERROR(__xludf.DUMMYFUNCTION("""COMPUTED_VALUE"""),"")</f>
        <v/>
      </c>
      <c r="D19033" s="12" t="str">
        <f ca="1">IFERROR(__xludf.DUMMYFUNCTION("""COMPUTED_VALUE"""),"")</f>
        <v/>
      </c>
    </row>
    <row r="19034" spans="2:4" ht="13">
      <c r="B19034" s="12" t="str">
        <f ca="1">IFERROR(__xludf.DUMMYFUNCTION("""COMPUTED_VALUE"""),"")</f>
        <v/>
      </c>
      <c r="C19034" s="12" t="str">
        <f ca="1">IFERROR(__xludf.DUMMYFUNCTION("""COMPUTED_VALUE"""),"")</f>
        <v/>
      </c>
      <c r="D19034" s="12" t="str">
        <f ca="1">IFERROR(__xludf.DUMMYFUNCTION("""COMPUTED_VALUE"""),"")</f>
        <v/>
      </c>
    </row>
    <row r="19035" spans="2:4" ht="13">
      <c r="B19035" s="12" t="str">
        <f ca="1">IFERROR(__xludf.DUMMYFUNCTION("""COMPUTED_VALUE"""),"")</f>
        <v/>
      </c>
      <c r="C19035" s="12" t="str">
        <f ca="1">IFERROR(__xludf.DUMMYFUNCTION("""COMPUTED_VALUE"""),"")</f>
        <v/>
      </c>
      <c r="D19035" s="12" t="str">
        <f ca="1">IFERROR(__xludf.DUMMYFUNCTION("""COMPUTED_VALUE"""),"")</f>
        <v/>
      </c>
    </row>
    <row r="19036" spans="2:4" ht="13">
      <c r="B19036" s="12" t="str">
        <f ca="1">IFERROR(__xludf.DUMMYFUNCTION("""COMPUTED_VALUE"""),"")</f>
        <v/>
      </c>
      <c r="C19036" s="12" t="str">
        <f ca="1">IFERROR(__xludf.DUMMYFUNCTION("""COMPUTED_VALUE"""),"")</f>
        <v/>
      </c>
      <c r="D19036" s="12" t="str">
        <f ca="1">IFERROR(__xludf.DUMMYFUNCTION("""COMPUTED_VALUE"""),"")</f>
        <v/>
      </c>
    </row>
    <row r="19037" spans="2:4" ht="13">
      <c r="B19037" s="12" t="str">
        <f ca="1">IFERROR(__xludf.DUMMYFUNCTION("""COMPUTED_VALUE"""),"")</f>
        <v/>
      </c>
      <c r="C19037" s="12" t="str">
        <f ca="1">IFERROR(__xludf.DUMMYFUNCTION("""COMPUTED_VALUE"""),"")</f>
        <v/>
      </c>
      <c r="D19037" s="12" t="str">
        <f ca="1">IFERROR(__xludf.DUMMYFUNCTION("""COMPUTED_VALUE"""),"")</f>
        <v/>
      </c>
    </row>
    <row r="19038" spans="2:4" ht="13">
      <c r="B19038" s="12" t="str">
        <f ca="1">IFERROR(__xludf.DUMMYFUNCTION("""COMPUTED_VALUE"""),"")</f>
        <v/>
      </c>
      <c r="C19038" s="12" t="str">
        <f ca="1">IFERROR(__xludf.DUMMYFUNCTION("""COMPUTED_VALUE"""),"")</f>
        <v/>
      </c>
      <c r="D19038" s="12" t="str">
        <f ca="1">IFERROR(__xludf.DUMMYFUNCTION("""COMPUTED_VALUE"""),"")</f>
        <v/>
      </c>
    </row>
    <row r="19039" spans="2:4" ht="13">
      <c r="B19039" s="12" t="str">
        <f ca="1">IFERROR(__xludf.DUMMYFUNCTION("""COMPUTED_VALUE"""),"")</f>
        <v/>
      </c>
      <c r="C19039" s="12" t="str">
        <f ca="1">IFERROR(__xludf.DUMMYFUNCTION("""COMPUTED_VALUE"""),"")</f>
        <v/>
      </c>
      <c r="D19039" s="12" t="str">
        <f ca="1">IFERROR(__xludf.DUMMYFUNCTION("""COMPUTED_VALUE"""),"")</f>
        <v/>
      </c>
    </row>
    <row r="19040" spans="2:4" ht="13">
      <c r="B19040" s="12" t="str">
        <f ca="1">IFERROR(__xludf.DUMMYFUNCTION("""COMPUTED_VALUE"""),"")</f>
        <v/>
      </c>
      <c r="C19040" s="12" t="str">
        <f ca="1">IFERROR(__xludf.DUMMYFUNCTION("""COMPUTED_VALUE"""),"")</f>
        <v/>
      </c>
      <c r="D19040" s="12" t="str">
        <f ca="1">IFERROR(__xludf.DUMMYFUNCTION("""COMPUTED_VALUE"""),"")</f>
        <v/>
      </c>
    </row>
    <row r="19041" spans="2:4" ht="13">
      <c r="B19041" s="12" t="str">
        <f ca="1">IFERROR(__xludf.DUMMYFUNCTION("""COMPUTED_VALUE"""),"")</f>
        <v/>
      </c>
      <c r="C19041" s="12" t="str">
        <f ca="1">IFERROR(__xludf.DUMMYFUNCTION("""COMPUTED_VALUE"""),"")</f>
        <v/>
      </c>
      <c r="D19041" s="12" t="str">
        <f ca="1">IFERROR(__xludf.DUMMYFUNCTION("""COMPUTED_VALUE"""),"")</f>
        <v/>
      </c>
    </row>
    <row r="19042" spans="2:4" ht="13">
      <c r="B19042" s="12" t="str">
        <f ca="1">IFERROR(__xludf.DUMMYFUNCTION("""COMPUTED_VALUE"""),"")</f>
        <v/>
      </c>
      <c r="C19042" s="12" t="str">
        <f ca="1">IFERROR(__xludf.DUMMYFUNCTION("""COMPUTED_VALUE"""),"")</f>
        <v/>
      </c>
      <c r="D19042" s="12" t="str">
        <f ca="1">IFERROR(__xludf.DUMMYFUNCTION("""COMPUTED_VALUE"""),"")</f>
        <v/>
      </c>
    </row>
    <row r="19043" spans="2:4" ht="13">
      <c r="B19043" s="12" t="str">
        <f ca="1">IFERROR(__xludf.DUMMYFUNCTION("""COMPUTED_VALUE"""),"")</f>
        <v/>
      </c>
      <c r="C19043" s="12" t="str">
        <f ca="1">IFERROR(__xludf.DUMMYFUNCTION("""COMPUTED_VALUE"""),"")</f>
        <v/>
      </c>
      <c r="D19043" s="12" t="str">
        <f ca="1">IFERROR(__xludf.DUMMYFUNCTION("""COMPUTED_VALUE"""),"")</f>
        <v/>
      </c>
    </row>
    <row r="19044" spans="2:4" ht="13">
      <c r="B19044" s="12" t="str">
        <f ca="1">IFERROR(__xludf.DUMMYFUNCTION("""COMPUTED_VALUE"""),"")</f>
        <v/>
      </c>
      <c r="C19044" s="12" t="str">
        <f ca="1">IFERROR(__xludf.DUMMYFUNCTION("""COMPUTED_VALUE"""),"")</f>
        <v/>
      </c>
      <c r="D19044" s="12" t="str">
        <f ca="1">IFERROR(__xludf.DUMMYFUNCTION("""COMPUTED_VALUE"""),"")</f>
        <v/>
      </c>
    </row>
    <row r="19045" spans="2:4" ht="13">
      <c r="B19045" s="12" t="str">
        <f ca="1">IFERROR(__xludf.DUMMYFUNCTION("""COMPUTED_VALUE"""),"")</f>
        <v/>
      </c>
      <c r="C19045" s="12" t="str">
        <f ca="1">IFERROR(__xludf.DUMMYFUNCTION("""COMPUTED_VALUE"""),"")</f>
        <v/>
      </c>
      <c r="D19045" s="12" t="str">
        <f ca="1">IFERROR(__xludf.DUMMYFUNCTION("""COMPUTED_VALUE"""),"")</f>
        <v/>
      </c>
    </row>
    <row r="19046" spans="2:4" ht="13">
      <c r="B19046" s="12" t="str">
        <f ca="1">IFERROR(__xludf.DUMMYFUNCTION("""COMPUTED_VALUE"""),"")</f>
        <v/>
      </c>
      <c r="C19046" s="12" t="str">
        <f ca="1">IFERROR(__xludf.DUMMYFUNCTION("""COMPUTED_VALUE"""),"")</f>
        <v/>
      </c>
      <c r="D19046" s="12" t="str">
        <f ca="1">IFERROR(__xludf.DUMMYFUNCTION("""COMPUTED_VALUE"""),"")</f>
        <v/>
      </c>
    </row>
    <row r="19047" spans="2:4" ht="13">
      <c r="B19047" s="12" t="str">
        <f ca="1">IFERROR(__xludf.DUMMYFUNCTION("""COMPUTED_VALUE"""),"")</f>
        <v/>
      </c>
      <c r="C19047" s="12" t="str">
        <f ca="1">IFERROR(__xludf.DUMMYFUNCTION("""COMPUTED_VALUE"""),"")</f>
        <v/>
      </c>
      <c r="D19047" s="12" t="str">
        <f ca="1">IFERROR(__xludf.DUMMYFUNCTION("""COMPUTED_VALUE"""),"")</f>
        <v/>
      </c>
    </row>
    <row r="19048" spans="2:4" ht="13">
      <c r="B19048" s="12" t="str">
        <f ca="1">IFERROR(__xludf.DUMMYFUNCTION("""COMPUTED_VALUE"""),"")</f>
        <v/>
      </c>
      <c r="C19048" s="12" t="str">
        <f ca="1">IFERROR(__xludf.DUMMYFUNCTION("""COMPUTED_VALUE"""),"")</f>
        <v/>
      </c>
      <c r="D19048" s="12" t="str">
        <f ca="1">IFERROR(__xludf.DUMMYFUNCTION("""COMPUTED_VALUE"""),"")</f>
        <v/>
      </c>
    </row>
    <row r="19049" spans="2:4" ht="13">
      <c r="B19049" s="12" t="str">
        <f ca="1">IFERROR(__xludf.DUMMYFUNCTION("""COMPUTED_VALUE"""),"")</f>
        <v/>
      </c>
      <c r="C19049" s="12" t="str">
        <f ca="1">IFERROR(__xludf.DUMMYFUNCTION("""COMPUTED_VALUE"""),"")</f>
        <v/>
      </c>
      <c r="D19049" s="12" t="str">
        <f ca="1">IFERROR(__xludf.DUMMYFUNCTION("""COMPUTED_VALUE"""),"")</f>
        <v/>
      </c>
    </row>
    <row r="19050" spans="2:4" ht="13">
      <c r="B19050" s="12" t="str">
        <f ca="1">IFERROR(__xludf.DUMMYFUNCTION("""COMPUTED_VALUE"""),"")</f>
        <v/>
      </c>
      <c r="C19050" s="12" t="str">
        <f ca="1">IFERROR(__xludf.DUMMYFUNCTION("""COMPUTED_VALUE"""),"")</f>
        <v/>
      </c>
      <c r="D19050" s="12" t="str">
        <f ca="1">IFERROR(__xludf.DUMMYFUNCTION("""COMPUTED_VALUE"""),"")</f>
        <v/>
      </c>
    </row>
    <row r="19051" spans="2:4" ht="13">
      <c r="B19051" s="12" t="str">
        <f ca="1">IFERROR(__xludf.DUMMYFUNCTION("""COMPUTED_VALUE"""),"")</f>
        <v/>
      </c>
      <c r="C19051" s="12" t="str">
        <f ca="1">IFERROR(__xludf.DUMMYFUNCTION("""COMPUTED_VALUE"""),"")</f>
        <v/>
      </c>
      <c r="D19051" s="12" t="str">
        <f ca="1">IFERROR(__xludf.DUMMYFUNCTION("""COMPUTED_VALUE"""),"")</f>
        <v/>
      </c>
    </row>
    <row r="19052" spans="2:4" ht="13">
      <c r="B19052" s="12" t="str">
        <f ca="1">IFERROR(__xludf.DUMMYFUNCTION("""COMPUTED_VALUE"""),"")</f>
        <v/>
      </c>
      <c r="C19052" s="12" t="str">
        <f ca="1">IFERROR(__xludf.DUMMYFUNCTION("""COMPUTED_VALUE"""),"")</f>
        <v/>
      </c>
      <c r="D19052" s="12" t="str">
        <f ca="1">IFERROR(__xludf.DUMMYFUNCTION("""COMPUTED_VALUE"""),"")</f>
        <v/>
      </c>
    </row>
    <row r="19053" spans="2:4" ht="13">
      <c r="B19053" s="12" t="str">
        <f ca="1">IFERROR(__xludf.DUMMYFUNCTION("""COMPUTED_VALUE"""),"")</f>
        <v/>
      </c>
      <c r="C19053" s="12" t="str">
        <f ca="1">IFERROR(__xludf.DUMMYFUNCTION("""COMPUTED_VALUE"""),"")</f>
        <v/>
      </c>
      <c r="D19053" s="12" t="str">
        <f ca="1">IFERROR(__xludf.DUMMYFUNCTION("""COMPUTED_VALUE"""),"")</f>
        <v/>
      </c>
    </row>
    <row r="19054" spans="2:4" ht="13">
      <c r="B19054" s="12" t="str">
        <f ca="1">IFERROR(__xludf.DUMMYFUNCTION("""COMPUTED_VALUE"""),"")</f>
        <v/>
      </c>
      <c r="C19054" s="12" t="str">
        <f ca="1">IFERROR(__xludf.DUMMYFUNCTION("""COMPUTED_VALUE"""),"")</f>
        <v/>
      </c>
      <c r="D19054" s="12" t="str">
        <f ca="1">IFERROR(__xludf.DUMMYFUNCTION("""COMPUTED_VALUE"""),"")</f>
        <v/>
      </c>
    </row>
    <row r="19055" spans="2:4" ht="13">
      <c r="B19055" s="12" t="str">
        <f ca="1">IFERROR(__xludf.DUMMYFUNCTION("""COMPUTED_VALUE"""),"")</f>
        <v/>
      </c>
      <c r="C19055" s="12" t="str">
        <f ca="1">IFERROR(__xludf.DUMMYFUNCTION("""COMPUTED_VALUE"""),"")</f>
        <v/>
      </c>
      <c r="D19055" s="12" t="str">
        <f ca="1">IFERROR(__xludf.DUMMYFUNCTION("""COMPUTED_VALUE"""),"")</f>
        <v/>
      </c>
    </row>
    <row r="19056" spans="2:4" ht="13">
      <c r="B19056" s="12" t="str">
        <f ca="1">IFERROR(__xludf.DUMMYFUNCTION("""COMPUTED_VALUE"""),"")</f>
        <v/>
      </c>
      <c r="C19056" s="12" t="str">
        <f ca="1">IFERROR(__xludf.DUMMYFUNCTION("""COMPUTED_VALUE"""),"")</f>
        <v/>
      </c>
      <c r="D19056" s="12" t="str">
        <f ca="1">IFERROR(__xludf.DUMMYFUNCTION("""COMPUTED_VALUE"""),"")</f>
        <v/>
      </c>
    </row>
    <row r="19057" spans="2:4" ht="13">
      <c r="B19057" s="12" t="str">
        <f ca="1">IFERROR(__xludf.DUMMYFUNCTION("""COMPUTED_VALUE"""),"")</f>
        <v/>
      </c>
      <c r="C19057" s="12" t="str">
        <f ca="1">IFERROR(__xludf.DUMMYFUNCTION("""COMPUTED_VALUE"""),"")</f>
        <v/>
      </c>
      <c r="D19057" s="12" t="str">
        <f ca="1">IFERROR(__xludf.DUMMYFUNCTION("""COMPUTED_VALUE"""),"")</f>
        <v/>
      </c>
    </row>
    <row r="19058" spans="2:4" ht="13">
      <c r="B19058" s="12" t="str">
        <f ca="1">IFERROR(__xludf.DUMMYFUNCTION("""COMPUTED_VALUE"""),"")</f>
        <v/>
      </c>
      <c r="C19058" s="12" t="str">
        <f ca="1">IFERROR(__xludf.DUMMYFUNCTION("""COMPUTED_VALUE"""),"")</f>
        <v/>
      </c>
      <c r="D19058" s="12" t="str">
        <f ca="1">IFERROR(__xludf.DUMMYFUNCTION("""COMPUTED_VALUE"""),"")</f>
        <v/>
      </c>
    </row>
    <row r="19059" spans="2:4" ht="13">
      <c r="B19059" s="12" t="str">
        <f ca="1">IFERROR(__xludf.DUMMYFUNCTION("""COMPUTED_VALUE"""),"")</f>
        <v/>
      </c>
      <c r="C19059" s="12" t="str">
        <f ca="1">IFERROR(__xludf.DUMMYFUNCTION("""COMPUTED_VALUE"""),"")</f>
        <v/>
      </c>
      <c r="D19059" s="12" t="str">
        <f ca="1">IFERROR(__xludf.DUMMYFUNCTION("""COMPUTED_VALUE"""),"")</f>
        <v/>
      </c>
    </row>
    <row r="19060" spans="2:4" ht="13">
      <c r="B19060" s="12" t="str">
        <f ca="1">IFERROR(__xludf.DUMMYFUNCTION("""COMPUTED_VALUE"""),"")</f>
        <v/>
      </c>
      <c r="C19060" s="12" t="str">
        <f ca="1">IFERROR(__xludf.DUMMYFUNCTION("""COMPUTED_VALUE"""),"")</f>
        <v/>
      </c>
      <c r="D19060" s="12" t="str">
        <f ca="1">IFERROR(__xludf.DUMMYFUNCTION("""COMPUTED_VALUE"""),"")</f>
        <v/>
      </c>
    </row>
    <row r="19061" spans="2:4" ht="13">
      <c r="B19061" s="12" t="str">
        <f ca="1">IFERROR(__xludf.DUMMYFUNCTION("""COMPUTED_VALUE"""),"")</f>
        <v/>
      </c>
      <c r="C19061" s="12" t="str">
        <f ca="1">IFERROR(__xludf.DUMMYFUNCTION("""COMPUTED_VALUE"""),"")</f>
        <v/>
      </c>
      <c r="D19061" s="12" t="str">
        <f ca="1">IFERROR(__xludf.DUMMYFUNCTION("""COMPUTED_VALUE"""),"")</f>
        <v/>
      </c>
    </row>
    <row r="19062" spans="2:4" ht="13">
      <c r="B19062" s="12" t="str">
        <f ca="1">IFERROR(__xludf.DUMMYFUNCTION("""COMPUTED_VALUE"""),"")</f>
        <v/>
      </c>
      <c r="C19062" s="12" t="str">
        <f ca="1">IFERROR(__xludf.DUMMYFUNCTION("""COMPUTED_VALUE"""),"")</f>
        <v/>
      </c>
      <c r="D19062" s="12" t="str">
        <f ca="1">IFERROR(__xludf.DUMMYFUNCTION("""COMPUTED_VALUE"""),"")</f>
        <v/>
      </c>
    </row>
    <row r="19063" spans="2:4" ht="13">
      <c r="B19063" s="12" t="str">
        <f ca="1">IFERROR(__xludf.DUMMYFUNCTION("""COMPUTED_VALUE"""),"")</f>
        <v/>
      </c>
      <c r="C19063" s="12" t="str">
        <f ca="1">IFERROR(__xludf.DUMMYFUNCTION("""COMPUTED_VALUE"""),"")</f>
        <v/>
      </c>
      <c r="D19063" s="12" t="str">
        <f ca="1">IFERROR(__xludf.DUMMYFUNCTION("""COMPUTED_VALUE"""),"")</f>
        <v/>
      </c>
    </row>
    <row r="19064" spans="2:4" ht="13">
      <c r="B19064" s="12" t="str">
        <f ca="1">IFERROR(__xludf.DUMMYFUNCTION("""COMPUTED_VALUE"""),"")</f>
        <v/>
      </c>
      <c r="C19064" s="12" t="str">
        <f ca="1">IFERROR(__xludf.DUMMYFUNCTION("""COMPUTED_VALUE"""),"")</f>
        <v/>
      </c>
      <c r="D19064" s="12" t="str">
        <f ca="1">IFERROR(__xludf.DUMMYFUNCTION("""COMPUTED_VALUE"""),"")</f>
        <v/>
      </c>
    </row>
    <row r="19065" spans="2:4" ht="13">
      <c r="B19065" s="12" t="str">
        <f ca="1">IFERROR(__xludf.DUMMYFUNCTION("""COMPUTED_VALUE"""),"")</f>
        <v/>
      </c>
      <c r="C19065" s="12" t="str">
        <f ca="1">IFERROR(__xludf.DUMMYFUNCTION("""COMPUTED_VALUE"""),"")</f>
        <v/>
      </c>
      <c r="D19065" s="12" t="str">
        <f ca="1">IFERROR(__xludf.DUMMYFUNCTION("""COMPUTED_VALUE"""),"")</f>
        <v/>
      </c>
    </row>
    <row r="19066" spans="2:4" ht="13">
      <c r="B19066" s="12" t="str">
        <f ca="1">IFERROR(__xludf.DUMMYFUNCTION("""COMPUTED_VALUE"""),"")</f>
        <v/>
      </c>
      <c r="C19066" s="12" t="str">
        <f ca="1">IFERROR(__xludf.DUMMYFUNCTION("""COMPUTED_VALUE"""),"")</f>
        <v/>
      </c>
      <c r="D19066" s="12" t="str">
        <f ca="1">IFERROR(__xludf.DUMMYFUNCTION("""COMPUTED_VALUE"""),"")</f>
        <v/>
      </c>
    </row>
    <row r="19067" spans="2:4" ht="13">
      <c r="B19067" s="12" t="str">
        <f ca="1">IFERROR(__xludf.DUMMYFUNCTION("""COMPUTED_VALUE"""),"")</f>
        <v/>
      </c>
      <c r="C19067" s="12" t="str">
        <f ca="1">IFERROR(__xludf.DUMMYFUNCTION("""COMPUTED_VALUE"""),"")</f>
        <v/>
      </c>
      <c r="D19067" s="12" t="str">
        <f ca="1">IFERROR(__xludf.DUMMYFUNCTION("""COMPUTED_VALUE"""),"")</f>
        <v/>
      </c>
    </row>
    <row r="19068" spans="2:4" ht="13">
      <c r="B19068" s="12" t="str">
        <f ca="1">IFERROR(__xludf.DUMMYFUNCTION("""COMPUTED_VALUE"""),"")</f>
        <v/>
      </c>
      <c r="C19068" s="12" t="str">
        <f ca="1">IFERROR(__xludf.DUMMYFUNCTION("""COMPUTED_VALUE"""),"")</f>
        <v/>
      </c>
      <c r="D19068" s="12" t="str">
        <f ca="1">IFERROR(__xludf.DUMMYFUNCTION("""COMPUTED_VALUE"""),"")</f>
        <v/>
      </c>
    </row>
    <row r="19069" spans="2:4" ht="13">
      <c r="B19069" s="12" t="str">
        <f ca="1">IFERROR(__xludf.DUMMYFUNCTION("""COMPUTED_VALUE"""),"")</f>
        <v/>
      </c>
      <c r="C19069" s="12" t="str">
        <f ca="1">IFERROR(__xludf.DUMMYFUNCTION("""COMPUTED_VALUE"""),"")</f>
        <v/>
      </c>
      <c r="D19069" s="12" t="str">
        <f ca="1">IFERROR(__xludf.DUMMYFUNCTION("""COMPUTED_VALUE"""),"")</f>
        <v/>
      </c>
    </row>
    <row r="19070" spans="2:4" ht="13">
      <c r="B19070" s="12" t="str">
        <f ca="1">IFERROR(__xludf.DUMMYFUNCTION("""COMPUTED_VALUE"""),"")</f>
        <v/>
      </c>
      <c r="C19070" s="12" t="str">
        <f ca="1">IFERROR(__xludf.DUMMYFUNCTION("""COMPUTED_VALUE"""),"")</f>
        <v/>
      </c>
      <c r="D19070" s="12" t="str">
        <f ca="1">IFERROR(__xludf.DUMMYFUNCTION("""COMPUTED_VALUE"""),"")</f>
        <v/>
      </c>
    </row>
    <row r="19071" spans="2:4" ht="13">
      <c r="B19071" s="12" t="str">
        <f ca="1">IFERROR(__xludf.DUMMYFUNCTION("""COMPUTED_VALUE"""),"")</f>
        <v/>
      </c>
      <c r="C19071" s="12" t="str">
        <f ca="1">IFERROR(__xludf.DUMMYFUNCTION("""COMPUTED_VALUE"""),"")</f>
        <v/>
      </c>
      <c r="D19071" s="12" t="str">
        <f ca="1">IFERROR(__xludf.DUMMYFUNCTION("""COMPUTED_VALUE"""),"")</f>
        <v/>
      </c>
    </row>
    <row r="19072" spans="2:4" ht="13">
      <c r="B19072" s="12" t="str">
        <f ca="1">IFERROR(__xludf.DUMMYFUNCTION("""COMPUTED_VALUE"""),"")</f>
        <v/>
      </c>
      <c r="C19072" s="12" t="str">
        <f ca="1">IFERROR(__xludf.DUMMYFUNCTION("""COMPUTED_VALUE"""),"")</f>
        <v/>
      </c>
      <c r="D19072" s="12" t="str">
        <f ca="1">IFERROR(__xludf.DUMMYFUNCTION("""COMPUTED_VALUE"""),"")</f>
        <v/>
      </c>
    </row>
    <row r="19073" spans="2:4" ht="13">
      <c r="B19073" s="12" t="str">
        <f ca="1">IFERROR(__xludf.DUMMYFUNCTION("""COMPUTED_VALUE"""),"")</f>
        <v/>
      </c>
      <c r="C19073" s="12" t="str">
        <f ca="1">IFERROR(__xludf.DUMMYFUNCTION("""COMPUTED_VALUE"""),"")</f>
        <v/>
      </c>
      <c r="D19073" s="12" t="str">
        <f ca="1">IFERROR(__xludf.DUMMYFUNCTION("""COMPUTED_VALUE"""),"")</f>
        <v/>
      </c>
    </row>
    <row r="19074" spans="2:4" ht="13">
      <c r="B19074" s="12" t="str">
        <f ca="1">IFERROR(__xludf.DUMMYFUNCTION("""COMPUTED_VALUE"""),"")</f>
        <v/>
      </c>
      <c r="C19074" s="12" t="str">
        <f ca="1">IFERROR(__xludf.DUMMYFUNCTION("""COMPUTED_VALUE"""),"")</f>
        <v/>
      </c>
      <c r="D19074" s="12" t="str">
        <f ca="1">IFERROR(__xludf.DUMMYFUNCTION("""COMPUTED_VALUE"""),"")</f>
        <v/>
      </c>
    </row>
    <row r="19075" spans="2:4" ht="13">
      <c r="B19075" s="12" t="str">
        <f ca="1">IFERROR(__xludf.DUMMYFUNCTION("""COMPUTED_VALUE"""),"")</f>
        <v/>
      </c>
      <c r="C19075" s="12" t="str">
        <f ca="1">IFERROR(__xludf.DUMMYFUNCTION("""COMPUTED_VALUE"""),"")</f>
        <v/>
      </c>
      <c r="D19075" s="12" t="str">
        <f ca="1">IFERROR(__xludf.DUMMYFUNCTION("""COMPUTED_VALUE"""),"")</f>
        <v/>
      </c>
    </row>
    <row r="19076" spans="2:4" ht="13">
      <c r="B19076" s="12" t="str">
        <f ca="1">IFERROR(__xludf.DUMMYFUNCTION("""COMPUTED_VALUE"""),"")</f>
        <v/>
      </c>
      <c r="C19076" s="12" t="str">
        <f ca="1">IFERROR(__xludf.DUMMYFUNCTION("""COMPUTED_VALUE"""),"")</f>
        <v/>
      </c>
      <c r="D19076" s="12" t="str">
        <f ca="1">IFERROR(__xludf.DUMMYFUNCTION("""COMPUTED_VALUE"""),"")</f>
        <v/>
      </c>
    </row>
    <row r="19077" spans="2:4" ht="13">
      <c r="B19077" s="12" t="str">
        <f ca="1">IFERROR(__xludf.DUMMYFUNCTION("""COMPUTED_VALUE"""),"")</f>
        <v/>
      </c>
      <c r="C19077" s="12" t="str">
        <f ca="1">IFERROR(__xludf.DUMMYFUNCTION("""COMPUTED_VALUE"""),"")</f>
        <v/>
      </c>
      <c r="D19077" s="12" t="str">
        <f ca="1">IFERROR(__xludf.DUMMYFUNCTION("""COMPUTED_VALUE"""),"")</f>
        <v/>
      </c>
    </row>
    <row r="19078" spans="2:4" ht="13">
      <c r="B19078" s="12" t="str">
        <f ca="1">IFERROR(__xludf.DUMMYFUNCTION("""COMPUTED_VALUE"""),"")</f>
        <v/>
      </c>
      <c r="C19078" s="12" t="str">
        <f ca="1">IFERROR(__xludf.DUMMYFUNCTION("""COMPUTED_VALUE"""),"")</f>
        <v/>
      </c>
      <c r="D19078" s="12" t="str">
        <f ca="1">IFERROR(__xludf.DUMMYFUNCTION("""COMPUTED_VALUE"""),"")</f>
        <v/>
      </c>
    </row>
    <row r="19079" spans="2:4" ht="13">
      <c r="B19079" s="12" t="str">
        <f ca="1">IFERROR(__xludf.DUMMYFUNCTION("""COMPUTED_VALUE"""),"")</f>
        <v/>
      </c>
      <c r="C19079" s="12" t="str">
        <f ca="1">IFERROR(__xludf.DUMMYFUNCTION("""COMPUTED_VALUE"""),"")</f>
        <v/>
      </c>
      <c r="D19079" s="12" t="str">
        <f ca="1">IFERROR(__xludf.DUMMYFUNCTION("""COMPUTED_VALUE"""),"")</f>
        <v/>
      </c>
    </row>
    <row r="19080" spans="2:4" ht="13">
      <c r="B19080" s="12" t="str">
        <f ca="1">IFERROR(__xludf.DUMMYFUNCTION("""COMPUTED_VALUE"""),"")</f>
        <v/>
      </c>
      <c r="C19080" s="12" t="str">
        <f ca="1">IFERROR(__xludf.DUMMYFUNCTION("""COMPUTED_VALUE"""),"")</f>
        <v/>
      </c>
      <c r="D19080" s="12" t="str">
        <f ca="1">IFERROR(__xludf.DUMMYFUNCTION("""COMPUTED_VALUE"""),"")</f>
        <v/>
      </c>
    </row>
    <row r="19081" spans="2:4" ht="13">
      <c r="B19081" s="12" t="str">
        <f ca="1">IFERROR(__xludf.DUMMYFUNCTION("""COMPUTED_VALUE"""),"")</f>
        <v/>
      </c>
      <c r="C19081" s="12" t="str">
        <f ca="1">IFERROR(__xludf.DUMMYFUNCTION("""COMPUTED_VALUE"""),"")</f>
        <v/>
      </c>
      <c r="D19081" s="12" t="str">
        <f ca="1">IFERROR(__xludf.DUMMYFUNCTION("""COMPUTED_VALUE"""),"")</f>
        <v/>
      </c>
    </row>
    <row r="19082" spans="2:4" ht="13">
      <c r="B19082" s="12" t="str">
        <f ca="1">IFERROR(__xludf.DUMMYFUNCTION("""COMPUTED_VALUE"""),"")</f>
        <v/>
      </c>
      <c r="C19082" s="12" t="str">
        <f ca="1">IFERROR(__xludf.DUMMYFUNCTION("""COMPUTED_VALUE"""),"")</f>
        <v/>
      </c>
      <c r="D19082" s="12" t="str">
        <f ca="1">IFERROR(__xludf.DUMMYFUNCTION("""COMPUTED_VALUE"""),"")</f>
        <v/>
      </c>
    </row>
    <row r="19083" spans="2:4" ht="13">
      <c r="B19083" s="12" t="str">
        <f ca="1">IFERROR(__xludf.DUMMYFUNCTION("""COMPUTED_VALUE"""),"")</f>
        <v/>
      </c>
      <c r="C19083" s="12" t="str">
        <f ca="1">IFERROR(__xludf.DUMMYFUNCTION("""COMPUTED_VALUE"""),"")</f>
        <v/>
      </c>
      <c r="D19083" s="12" t="str">
        <f ca="1">IFERROR(__xludf.DUMMYFUNCTION("""COMPUTED_VALUE"""),"")</f>
        <v/>
      </c>
    </row>
    <row r="19084" spans="2:4" ht="13">
      <c r="B19084" s="12" t="str">
        <f ca="1">IFERROR(__xludf.DUMMYFUNCTION("""COMPUTED_VALUE"""),"")</f>
        <v/>
      </c>
      <c r="C19084" s="12" t="str">
        <f ca="1">IFERROR(__xludf.DUMMYFUNCTION("""COMPUTED_VALUE"""),"")</f>
        <v/>
      </c>
      <c r="D19084" s="12" t="str">
        <f ca="1">IFERROR(__xludf.DUMMYFUNCTION("""COMPUTED_VALUE"""),"")</f>
        <v/>
      </c>
    </row>
    <row r="19085" spans="2:4" ht="13">
      <c r="B19085" s="12" t="str">
        <f ca="1">IFERROR(__xludf.DUMMYFUNCTION("""COMPUTED_VALUE"""),"")</f>
        <v/>
      </c>
      <c r="C19085" s="12" t="str">
        <f ca="1">IFERROR(__xludf.DUMMYFUNCTION("""COMPUTED_VALUE"""),"")</f>
        <v/>
      </c>
      <c r="D19085" s="12" t="str">
        <f ca="1">IFERROR(__xludf.DUMMYFUNCTION("""COMPUTED_VALUE"""),"")</f>
        <v/>
      </c>
    </row>
    <row r="19086" spans="2:4" ht="13">
      <c r="B19086" s="12" t="str">
        <f ca="1">IFERROR(__xludf.DUMMYFUNCTION("""COMPUTED_VALUE"""),"")</f>
        <v/>
      </c>
      <c r="C19086" s="12" t="str">
        <f ca="1">IFERROR(__xludf.DUMMYFUNCTION("""COMPUTED_VALUE"""),"")</f>
        <v/>
      </c>
      <c r="D19086" s="12" t="str">
        <f ca="1">IFERROR(__xludf.DUMMYFUNCTION("""COMPUTED_VALUE"""),"")</f>
        <v/>
      </c>
    </row>
    <row r="19087" spans="2:4" ht="13">
      <c r="B19087" s="12" t="str">
        <f ca="1">IFERROR(__xludf.DUMMYFUNCTION("""COMPUTED_VALUE"""),"")</f>
        <v/>
      </c>
      <c r="C19087" s="12" t="str">
        <f ca="1">IFERROR(__xludf.DUMMYFUNCTION("""COMPUTED_VALUE"""),"")</f>
        <v/>
      </c>
      <c r="D19087" s="12" t="str">
        <f ca="1">IFERROR(__xludf.DUMMYFUNCTION("""COMPUTED_VALUE"""),"")</f>
        <v/>
      </c>
    </row>
    <row r="19088" spans="2:4" ht="13">
      <c r="B19088" s="12" t="str">
        <f ca="1">IFERROR(__xludf.DUMMYFUNCTION("""COMPUTED_VALUE"""),"")</f>
        <v/>
      </c>
      <c r="C19088" s="12" t="str">
        <f ca="1">IFERROR(__xludf.DUMMYFUNCTION("""COMPUTED_VALUE"""),"")</f>
        <v/>
      </c>
      <c r="D19088" s="12" t="str">
        <f ca="1">IFERROR(__xludf.DUMMYFUNCTION("""COMPUTED_VALUE"""),"")</f>
        <v/>
      </c>
    </row>
    <row r="19089" spans="2:4" ht="13">
      <c r="B19089" s="12" t="str">
        <f ca="1">IFERROR(__xludf.DUMMYFUNCTION("""COMPUTED_VALUE"""),"")</f>
        <v/>
      </c>
      <c r="C19089" s="12" t="str">
        <f ca="1">IFERROR(__xludf.DUMMYFUNCTION("""COMPUTED_VALUE"""),"")</f>
        <v/>
      </c>
      <c r="D19089" s="12" t="str">
        <f ca="1">IFERROR(__xludf.DUMMYFUNCTION("""COMPUTED_VALUE"""),"")</f>
        <v/>
      </c>
    </row>
    <row r="19090" spans="2:4" ht="13">
      <c r="B19090" s="12" t="str">
        <f ca="1">IFERROR(__xludf.DUMMYFUNCTION("""COMPUTED_VALUE"""),"")</f>
        <v/>
      </c>
      <c r="C19090" s="12" t="str">
        <f ca="1">IFERROR(__xludf.DUMMYFUNCTION("""COMPUTED_VALUE"""),"")</f>
        <v/>
      </c>
      <c r="D19090" s="12" t="str">
        <f ca="1">IFERROR(__xludf.DUMMYFUNCTION("""COMPUTED_VALUE"""),"")</f>
        <v/>
      </c>
    </row>
    <row r="19091" spans="2:4" ht="13">
      <c r="B19091" s="12" t="str">
        <f ca="1">IFERROR(__xludf.DUMMYFUNCTION("""COMPUTED_VALUE"""),"")</f>
        <v/>
      </c>
      <c r="C19091" s="12" t="str">
        <f ca="1">IFERROR(__xludf.DUMMYFUNCTION("""COMPUTED_VALUE"""),"")</f>
        <v/>
      </c>
      <c r="D19091" s="12" t="str">
        <f ca="1">IFERROR(__xludf.DUMMYFUNCTION("""COMPUTED_VALUE"""),"")</f>
        <v/>
      </c>
    </row>
    <row r="19092" spans="2:4" ht="13">
      <c r="B19092" s="12" t="str">
        <f ca="1">IFERROR(__xludf.DUMMYFUNCTION("""COMPUTED_VALUE"""),"")</f>
        <v/>
      </c>
      <c r="C19092" s="12" t="str">
        <f ca="1">IFERROR(__xludf.DUMMYFUNCTION("""COMPUTED_VALUE"""),"")</f>
        <v/>
      </c>
      <c r="D19092" s="12" t="str">
        <f ca="1">IFERROR(__xludf.DUMMYFUNCTION("""COMPUTED_VALUE"""),"")</f>
        <v/>
      </c>
    </row>
    <row r="19093" spans="2:4" ht="13">
      <c r="B19093" s="12" t="str">
        <f ca="1">IFERROR(__xludf.DUMMYFUNCTION("""COMPUTED_VALUE"""),"")</f>
        <v/>
      </c>
      <c r="C19093" s="12" t="str">
        <f ca="1">IFERROR(__xludf.DUMMYFUNCTION("""COMPUTED_VALUE"""),"")</f>
        <v/>
      </c>
      <c r="D19093" s="12" t="str">
        <f ca="1">IFERROR(__xludf.DUMMYFUNCTION("""COMPUTED_VALUE"""),"")</f>
        <v/>
      </c>
    </row>
    <row r="19094" spans="2:4" ht="13">
      <c r="B19094" s="12" t="str">
        <f ca="1">IFERROR(__xludf.DUMMYFUNCTION("""COMPUTED_VALUE"""),"")</f>
        <v/>
      </c>
      <c r="C19094" s="12" t="str">
        <f ca="1">IFERROR(__xludf.DUMMYFUNCTION("""COMPUTED_VALUE"""),"")</f>
        <v/>
      </c>
      <c r="D19094" s="12" t="str">
        <f ca="1">IFERROR(__xludf.DUMMYFUNCTION("""COMPUTED_VALUE"""),"")</f>
        <v/>
      </c>
    </row>
    <row r="19095" spans="2:4" ht="13">
      <c r="B19095" s="12" t="str">
        <f ca="1">IFERROR(__xludf.DUMMYFUNCTION("""COMPUTED_VALUE"""),"")</f>
        <v/>
      </c>
      <c r="C19095" s="12" t="str">
        <f ca="1">IFERROR(__xludf.DUMMYFUNCTION("""COMPUTED_VALUE"""),"")</f>
        <v/>
      </c>
      <c r="D19095" s="12" t="str">
        <f ca="1">IFERROR(__xludf.DUMMYFUNCTION("""COMPUTED_VALUE"""),"")</f>
        <v/>
      </c>
    </row>
    <row r="19096" spans="2:4" ht="13">
      <c r="B19096" s="12" t="str">
        <f ca="1">IFERROR(__xludf.DUMMYFUNCTION("""COMPUTED_VALUE"""),"")</f>
        <v/>
      </c>
      <c r="C19096" s="12" t="str">
        <f ca="1">IFERROR(__xludf.DUMMYFUNCTION("""COMPUTED_VALUE"""),"")</f>
        <v/>
      </c>
      <c r="D19096" s="12" t="str">
        <f ca="1">IFERROR(__xludf.DUMMYFUNCTION("""COMPUTED_VALUE"""),"")</f>
        <v/>
      </c>
    </row>
    <row r="19097" spans="2:4" ht="13">
      <c r="B19097" s="12" t="str">
        <f ca="1">IFERROR(__xludf.DUMMYFUNCTION("""COMPUTED_VALUE"""),"")</f>
        <v/>
      </c>
      <c r="C19097" s="12" t="str">
        <f ca="1">IFERROR(__xludf.DUMMYFUNCTION("""COMPUTED_VALUE"""),"")</f>
        <v/>
      </c>
      <c r="D19097" s="12" t="str">
        <f ca="1">IFERROR(__xludf.DUMMYFUNCTION("""COMPUTED_VALUE"""),"")</f>
        <v/>
      </c>
    </row>
    <row r="19098" spans="2:4" ht="13">
      <c r="B19098" s="12" t="str">
        <f ca="1">IFERROR(__xludf.DUMMYFUNCTION("""COMPUTED_VALUE"""),"")</f>
        <v/>
      </c>
      <c r="C19098" s="12" t="str">
        <f ca="1">IFERROR(__xludf.DUMMYFUNCTION("""COMPUTED_VALUE"""),"")</f>
        <v/>
      </c>
      <c r="D19098" s="12" t="str">
        <f ca="1">IFERROR(__xludf.DUMMYFUNCTION("""COMPUTED_VALUE"""),"")</f>
        <v/>
      </c>
    </row>
    <row r="19099" spans="2:4" ht="13">
      <c r="B19099" s="12" t="str">
        <f ca="1">IFERROR(__xludf.DUMMYFUNCTION("""COMPUTED_VALUE"""),"")</f>
        <v/>
      </c>
      <c r="C19099" s="12" t="str">
        <f ca="1">IFERROR(__xludf.DUMMYFUNCTION("""COMPUTED_VALUE"""),"")</f>
        <v/>
      </c>
      <c r="D19099" s="12" t="str">
        <f ca="1">IFERROR(__xludf.DUMMYFUNCTION("""COMPUTED_VALUE"""),"")</f>
        <v/>
      </c>
    </row>
    <row r="19100" spans="2:4" ht="13">
      <c r="B19100" s="12" t="str">
        <f ca="1">IFERROR(__xludf.DUMMYFUNCTION("""COMPUTED_VALUE"""),"")</f>
        <v/>
      </c>
      <c r="C19100" s="12" t="str">
        <f ca="1">IFERROR(__xludf.DUMMYFUNCTION("""COMPUTED_VALUE"""),"")</f>
        <v/>
      </c>
      <c r="D19100" s="12" t="str">
        <f ca="1">IFERROR(__xludf.DUMMYFUNCTION("""COMPUTED_VALUE"""),"")</f>
        <v/>
      </c>
    </row>
    <row r="19101" spans="2:4" ht="13">
      <c r="B19101" s="12" t="str">
        <f ca="1">IFERROR(__xludf.DUMMYFUNCTION("""COMPUTED_VALUE"""),"")</f>
        <v/>
      </c>
      <c r="C19101" s="12" t="str">
        <f ca="1">IFERROR(__xludf.DUMMYFUNCTION("""COMPUTED_VALUE"""),"")</f>
        <v/>
      </c>
      <c r="D19101" s="12" t="str">
        <f ca="1">IFERROR(__xludf.DUMMYFUNCTION("""COMPUTED_VALUE"""),"")</f>
        <v/>
      </c>
    </row>
    <row r="19102" spans="2:4" ht="13">
      <c r="B19102" s="12" t="str">
        <f ca="1">IFERROR(__xludf.DUMMYFUNCTION("""COMPUTED_VALUE"""),"")</f>
        <v/>
      </c>
      <c r="C19102" s="12" t="str">
        <f ca="1">IFERROR(__xludf.DUMMYFUNCTION("""COMPUTED_VALUE"""),"")</f>
        <v/>
      </c>
      <c r="D19102" s="12" t="str">
        <f ca="1">IFERROR(__xludf.DUMMYFUNCTION("""COMPUTED_VALUE"""),"")</f>
        <v/>
      </c>
    </row>
    <row r="19103" spans="2:4" ht="13">
      <c r="B19103" s="12" t="str">
        <f ca="1">IFERROR(__xludf.DUMMYFUNCTION("""COMPUTED_VALUE"""),"")</f>
        <v/>
      </c>
      <c r="C19103" s="12" t="str">
        <f ca="1">IFERROR(__xludf.DUMMYFUNCTION("""COMPUTED_VALUE"""),"")</f>
        <v/>
      </c>
      <c r="D19103" s="12" t="str">
        <f ca="1">IFERROR(__xludf.DUMMYFUNCTION("""COMPUTED_VALUE"""),"")</f>
        <v/>
      </c>
    </row>
    <row r="19104" spans="2:4" ht="13">
      <c r="B19104" s="12" t="str">
        <f ca="1">IFERROR(__xludf.DUMMYFUNCTION("""COMPUTED_VALUE"""),"")</f>
        <v/>
      </c>
      <c r="C19104" s="12" t="str">
        <f ca="1">IFERROR(__xludf.DUMMYFUNCTION("""COMPUTED_VALUE"""),"")</f>
        <v/>
      </c>
      <c r="D19104" s="12" t="str">
        <f ca="1">IFERROR(__xludf.DUMMYFUNCTION("""COMPUTED_VALUE"""),"")</f>
        <v/>
      </c>
    </row>
    <row r="19105" spans="2:4" ht="13">
      <c r="B19105" s="12" t="str">
        <f ca="1">IFERROR(__xludf.DUMMYFUNCTION("""COMPUTED_VALUE"""),"")</f>
        <v/>
      </c>
      <c r="C19105" s="12" t="str">
        <f ca="1">IFERROR(__xludf.DUMMYFUNCTION("""COMPUTED_VALUE"""),"")</f>
        <v/>
      </c>
      <c r="D19105" s="12" t="str">
        <f ca="1">IFERROR(__xludf.DUMMYFUNCTION("""COMPUTED_VALUE"""),"")</f>
        <v/>
      </c>
    </row>
    <row r="19106" spans="2:4" ht="13">
      <c r="B19106" s="12" t="str">
        <f ca="1">IFERROR(__xludf.DUMMYFUNCTION("""COMPUTED_VALUE"""),"")</f>
        <v/>
      </c>
      <c r="C19106" s="12" t="str">
        <f ca="1">IFERROR(__xludf.DUMMYFUNCTION("""COMPUTED_VALUE"""),"")</f>
        <v/>
      </c>
      <c r="D19106" s="12" t="str">
        <f ca="1">IFERROR(__xludf.DUMMYFUNCTION("""COMPUTED_VALUE"""),"")</f>
        <v/>
      </c>
    </row>
    <row r="19107" spans="2:4" ht="13">
      <c r="B19107" s="12" t="str">
        <f ca="1">IFERROR(__xludf.DUMMYFUNCTION("""COMPUTED_VALUE"""),"")</f>
        <v/>
      </c>
      <c r="C19107" s="12" t="str">
        <f ca="1">IFERROR(__xludf.DUMMYFUNCTION("""COMPUTED_VALUE"""),"")</f>
        <v/>
      </c>
      <c r="D19107" s="12" t="str">
        <f ca="1">IFERROR(__xludf.DUMMYFUNCTION("""COMPUTED_VALUE"""),"")</f>
        <v/>
      </c>
    </row>
    <row r="19108" spans="2:4" ht="13">
      <c r="B19108" s="12" t="str">
        <f ca="1">IFERROR(__xludf.DUMMYFUNCTION("""COMPUTED_VALUE"""),"")</f>
        <v/>
      </c>
      <c r="C19108" s="12" t="str">
        <f ca="1">IFERROR(__xludf.DUMMYFUNCTION("""COMPUTED_VALUE"""),"")</f>
        <v/>
      </c>
      <c r="D19108" s="12" t="str">
        <f ca="1">IFERROR(__xludf.DUMMYFUNCTION("""COMPUTED_VALUE"""),"")</f>
        <v/>
      </c>
    </row>
    <row r="19109" spans="2:4" ht="13">
      <c r="B19109" s="12" t="str">
        <f ca="1">IFERROR(__xludf.DUMMYFUNCTION("""COMPUTED_VALUE"""),"")</f>
        <v/>
      </c>
      <c r="C19109" s="12" t="str">
        <f ca="1">IFERROR(__xludf.DUMMYFUNCTION("""COMPUTED_VALUE"""),"")</f>
        <v/>
      </c>
      <c r="D19109" s="12" t="str">
        <f ca="1">IFERROR(__xludf.DUMMYFUNCTION("""COMPUTED_VALUE"""),"")</f>
        <v/>
      </c>
    </row>
    <row r="19110" spans="2:4" ht="13">
      <c r="B19110" s="12" t="str">
        <f ca="1">IFERROR(__xludf.DUMMYFUNCTION("""COMPUTED_VALUE"""),"")</f>
        <v/>
      </c>
      <c r="C19110" s="12" t="str">
        <f ca="1">IFERROR(__xludf.DUMMYFUNCTION("""COMPUTED_VALUE"""),"")</f>
        <v/>
      </c>
      <c r="D19110" s="12" t="str">
        <f ca="1">IFERROR(__xludf.DUMMYFUNCTION("""COMPUTED_VALUE"""),"")</f>
        <v/>
      </c>
    </row>
    <row r="19111" spans="2:4" ht="13">
      <c r="B19111" s="12" t="str">
        <f ca="1">IFERROR(__xludf.DUMMYFUNCTION("""COMPUTED_VALUE"""),"")</f>
        <v/>
      </c>
      <c r="C19111" s="12" t="str">
        <f ca="1">IFERROR(__xludf.DUMMYFUNCTION("""COMPUTED_VALUE"""),"")</f>
        <v/>
      </c>
      <c r="D19111" s="12" t="str">
        <f ca="1">IFERROR(__xludf.DUMMYFUNCTION("""COMPUTED_VALUE"""),"")</f>
        <v/>
      </c>
    </row>
    <row r="19112" spans="2:4" ht="13">
      <c r="B19112" s="12" t="str">
        <f ca="1">IFERROR(__xludf.DUMMYFUNCTION("""COMPUTED_VALUE"""),"")</f>
        <v/>
      </c>
      <c r="C19112" s="12" t="str">
        <f ca="1">IFERROR(__xludf.DUMMYFUNCTION("""COMPUTED_VALUE"""),"")</f>
        <v/>
      </c>
      <c r="D19112" s="12" t="str">
        <f ca="1">IFERROR(__xludf.DUMMYFUNCTION("""COMPUTED_VALUE"""),"")</f>
        <v/>
      </c>
    </row>
    <row r="19113" spans="2:4" ht="13">
      <c r="B19113" s="12" t="str">
        <f ca="1">IFERROR(__xludf.DUMMYFUNCTION("""COMPUTED_VALUE"""),"")</f>
        <v/>
      </c>
      <c r="C19113" s="12" t="str">
        <f ca="1">IFERROR(__xludf.DUMMYFUNCTION("""COMPUTED_VALUE"""),"")</f>
        <v/>
      </c>
      <c r="D19113" s="12" t="str">
        <f ca="1">IFERROR(__xludf.DUMMYFUNCTION("""COMPUTED_VALUE"""),"")</f>
        <v/>
      </c>
    </row>
    <row r="19114" spans="2:4" ht="13">
      <c r="B19114" s="12" t="str">
        <f ca="1">IFERROR(__xludf.DUMMYFUNCTION("""COMPUTED_VALUE"""),"")</f>
        <v/>
      </c>
      <c r="C19114" s="12" t="str">
        <f ca="1">IFERROR(__xludf.DUMMYFUNCTION("""COMPUTED_VALUE"""),"")</f>
        <v/>
      </c>
      <c r="D19114" s="12" t="str">
        <f ca="1">IFERROR(__xludf.DUMMYFUNCTION("""COMPUTED_VALUE"""),"")</f>
        <v/>
      </c>
    </row>
    <row r="19115" spans="2:4" ht="13">
      <c r="B19115" s="12" t="str">
        <f ca="1">IFERROR(__xludf.DUMMYFUNCTION("""COMPUTED_VALUE"""),"")</f>
        <v/>
      </c>
      <c r="C19115" s="12" t="str">
        <f ca="1">IFERROR(__xludf.DUMMYFUNCTION("""COMPUTED_VALUE"""),"")</f>
        <v/>
      </c>
      <c r="D19115" s="12" t="str">
        <f ca="1">IFERROR(__xludf.DUMMYFUNCTION("""COMPUTED_VALUE"""),"")</f>
        <v/>
      </c>
    </row>
    <row r="19116" spans="2:4" ht="13">
      <c r="B19116" s="12" t="str">
        <f ca="1">IFERROR(__xludf.DUMMYFUNCTION("""COMPUTED_VALUE"""),"")</f>
        <v/>
      </c>
      <c r="C19116" s="12" t="str">
        <f ca="1">IFERROR(__xludf.DUMMYFUNCTION("""COMPUTED_VALUE"""),"")</f>
        <v/>
      </c>
      <c r="D19116" s="12" t="str">
        <f ca="1">IFERROR(__xludf.DUMMYFUNCTION("""COMPUTED_VALUE"""),"")</f>
        <v/>
      </c>
    </row>
    <row r="19117" spans="2:4" ht="13">
      <c r="B19117" s="12" t="str">
        <f ca="1">IFERROR(__xludf.DUMMYFUNCTION("""COMPUTED_VALUE"""),"")</f>
        <v/>
      </c>
      <c r="C19117" s="12" t="str">
        <f ca="1">IFERROR(__xludf.DUMMYFUNCTION("""COMPUTED_VALUE"""),"")</f>
        <v/>
      </c>
      <c r="D19117" s="12" t="str">
        <f ca="1">IFERROR(__xludf.DUMMYFUNCTION("""COMPUTED_VALUE"""),"")</f>
        <v/>
      </c>
    </row>
    <row r="19118" spans="2:4" ht="13">
      <c r="B19118" s="12" t="str">
        <f ca="1">IFERROR(__xludf.DUMMYFUNCTION("""COMPUTED_VALUE"""),"")</f>
        <v/>
      </c>
      <c r="C19118" s="12" t="str">
        <f ca="1">IFERROR(__xludf.DUMMYFUNCTION("""COMPUTED_VALUE"""),"")</f>
        <v/>
      </c>
      <c r="D19118" s="12" t="str">
        <f ca="1">IFERROR(__xludf.DUMMYFUNCTION("""COMPUTED_VALUE"""),"")</f>
        <v/>
      </c>
    </row>
    <row r="19119" spans="2:4" ht="13">
      <c r="B19119" s="12" t="str">
        <f ca="1">IFERROR(__xludf.DUMMYFUNCTION("""COMPUTED_VALUE"""),"")</f>
        <v/>
      </c>
      <c r="C19119" s="12" t="str">
        <f ca="1">IFERROR(__xludf.DUMMYFUNCTION("""COMPUTED_VALUE"""),"")</f>
        <v/>
      </c>
      <c r="D19119" s="12" t="str">
        <f ca="1">IFERROR(__xludf.DUMMYFUNCTION("""COMPUTED_VALUE"""),"")</f>
        <v/>
      </c>
    </row>
    <row r="19120" spans="2:4" ht="13">
      <c r="B19120" s="12" t="str">
        <f ca="1">IFERROR(__xludf.DUMMYFUNCTION("""COMPUTED_VALUE"""),"")</f>
        <v/>
      </c>
      <c r="C19120" s="12" t="str">
        <f ca="1">IFERROR(__xludf.DUMMYFUNCTION("""COMPUTED_VALUE"""),"")</f>
        <v/>
      </c>
      <c r="D19120" s="12" t="str">
        <f ca="1">IFERROR(__xludf.DUMMYFUNCTION("""COMPUTED_VALUE"""),"")</f>
        <v/>
      </c>
    </row>
    <row r="19121" spans="2:4" ht="13">
      <c r="B19121" s="12" t="str">
        <f ca="1">IFERROR(__xludf.DUMMYFUNCTION("""COMPUTED_VALUE"""),"")</f>
        <v/>
      </c>
      <c r="C19121" s="12" t="str">
        <f ca="1">IFERROR(__xludf.DUMMYFUNCTION("""COMPUTED_VALUE"""),"")</f>
        <v/>
      </c>
      <c r="D19121" s="12" t="str">
        <f ca="1">IFERROR(__xludf.DUMMYFUNCTION("""COMPUTED_VALUE"""),"")</f>
        <v/>
      </c>
    </row>
    <row r="19122" spans="2:4" ht="13">
      <c r="B19122" s="12" t="str">
        <f ca="1">IFERROR(__xludf.DUMMYFUNCTION("""COMPUTED_VALUE"""),"")</f>
        <v/>
      </c>
      <c r="C19122" s="12" t="str">
        <f ca="1">IFERROR(__xludf.DUMMYFUNCTION("""COMPUTED_VALUE"""),"")</f>
        <v/>
      </c>
      <c r="D19122" s="12" t="str">
        <f ca="1">IFERROR(__xludf.DUMMYFUNCTION("""COMPUTED_VALUE"""),"")</f>
        <v/>
      </c>
    </row>
    <row r="19123" spans="2:4" ht="13">
      <c r="B19123" s="12" t="str">
        <f ca="1">IFERROR(__xludf.DUMMYFUNCTION("""COMPUTED_VALUE"""),"")</f>
        <v/>
      </c>
      <c r="C19123" s="12" t="str">
        <f ca="1">IFERROR(__xludf.DUMMYFUNCTION("""COMPUTED_VALUE"""),"")</f>
        <v/>
      </c>
      <c r="D19123" s="12" t="str">
        <f ca="1">IFERROR(__xludf.DUMMYFUNCTION("""COMPUTED_VALUE"""),"")</f>
        <v/>
      </c>
    </row>
    <row r="19124" spans="2:4" ht="13">
      <c r="B19124" s="12" t="str">
        <f ca="1">IFERROR(__xludf.DUMMYFUNCTION("""COMPUTED_VALUE"""),"")</f>
        <v/>
      </c>
      <c r="C19124" s="12" t="str">
        <f ca="1">IFERROR(__xludf.DUMMYFUNCTION("""COMPUTED_VALUE"""),"")</f>
        <v/>
      </c>
      <c r="D19124" s="12" t="str">
        <f ca="1">IFERROR(__xludf.DUMMYFUNCTION("""COMPUTED_VALUE"""),"")</f>
        <v/>
      </c>
    </row>
    <row r="19125" spans="2:4" ht="13">
      <c r="B19125" s="12" t="str">
        <f ca="1">IFERROR(__xludf.DUMMYFUNCTION("""COMPUTED_VALUE"""),"")</f>
        <v/>
      </c>
      <c r="C19125" s="12" t="str">
        <f ca="1">IFERROR(__xludf.DUMMYFUNCTION("""COMPUTED_VALUE"""),"")</f>
        <v/>
      </c>
      <c r="D19125" s="12" t="str">
        <f ca="1">IFERROR(__xludf.DUMMYFUNCTION("""COMPUTED_VALUE"""),"")</f>
        <v/>
      </c>
    </row>
    <row r="19126" spans="2:4" ht="13">
      <c r="B19126" s="12" t="str">
        <f ca="1">IFERROR(__xludf.DUMMYFUNCTION("""COMPUTED_VALUE"""),"")</f>
        <v/>
      </c>
      <c r="C19126" s="12" t="str">
        <f ca="1">IFERROR(__xludf.DUMMYFUNCTION("""COMPUTED_VALUE"""),"")</f>
        <v/>
      </c>
      <c r="D19126" s="12" t="str">
        <f ca="1">IFERROR(__xludf.DUMMYFUNCTION("""COMPUTED_VALUE"""),"")</f>
        <v/>
      </c>
    </row>
    <row r="19127" spans="2:4" ht="13">
      <c r="B19127" s="12" t="str">
        <f ca="1">IFERROR(__xludf.DUMMYFUNCTION("""COMPUTED_VALUE"""),"")</f>
        <v/>
      </c>
      <c r="C19127" s="12" t="str">
        <f ca="1">IFERROR(__xludf.DUMMYFUNCTION("""COMPUTED_VALUE"""),"")</f>
        <v/>
      </c>
      <c r="D19127" s="12" t="str">
        <f ca="1">IFERROR(__xludf.DUMMYFUNCTION("""COMPUTED_VALUE"""),"")</f>
        <v/>
      </c>
    </row>
    <row r="19128" spans="2:4" ht="13">
      <c r="B19128" s="12" t="str">
        <f ca="1">IFERROR(__xludf.DUMMYFUNCTION("""COMPUTED_VALUE"""),"")</f>
        <v/>
      </c>
      <c r="C19128" s="12" t="str">
        <f ca="1">IFERROR(__xludf.DUMMYFUNCTION("""COMPUTED_VALUE"""),"")</f>
        <v/>
      </c>
      <c r="D19128" s="12" t="str">
        <f ca="1">IFERROR(__xludf.DUMMYFUNCTION("""COMPUTED_VALUE"""),"")</f>
        <v/>
      </c>
    </row>
    <row r="19129" spans="2:4" ht="13">
      <c r="B19129" s="12" t="str">
        <f ca="1">IFERROR(__xludf.DUMMYFUNCTION("""COMPUTED_VALUE"""),"")</f>
        <v/>
      </c>
      <c r="C19129" s="12" t="str">
        <f ca="1">IFERROR(__xludf.DUMMYFUNCTION("""COMPUTED_VALUE"""),"")</f>
        <v/>
      </c>
      <c r="D19129" s="12" t="str">
        <f ca="1">IFERROR(__xludf.DUMMYFUNCTION("""COMPUTED_VALUE"""),"")</f>
        <v/>
      </c>
    </row>
    <row r="19130" spans="2:4" ht="13">
      <c r="B19130" s="12" t="str">
        <f ca="1">IFERROR(__xludf.DUMMYFUNCTION("""COMPUTED_VALUE"""),"")</f>
        <v/>
      </c>
      <c r="C19130" s="12" t="str">
        <f ca="1">IFERROR(__xludf.DUMMYFUNCTION("""COMPUTED_VALUE"""),"")</f>
        <v/>
      </c>
      <c r="D19130" s="12" t="str">
        <f ca="1">IFERROR(__xludf.DUMMYFUNCTION("""COMPUTED_VALUE"""),"")</f>
        <v/>
      </c>
    </row>
    <row r="19131" spans="2:4" ht="13">
      <c r="B19131" s="12" t="str">
        <f ca="1">IFERROR(__xludf.DUMMYFUNCTION("""COMPUTED_VALUE"""),"")</f>
        <v/>
      </c>
      <c r="C19131" s="12" t="str">
        <f ca="1">IFERROR(__xludf.DUMMYFUNCTION("""COMPUTED_VALUE"""),"")</f>
        <v/>
      </c>
      <c r="D19131" s="12" t="str">
        <f ca="1">IFERROR(__xludf.DUMMYFUNCTION("""COMPUTED_VALUE"""),"")</f>
        <v/>
      </c>
    </row>
    <row r="19132" spans="2:4" ht="13">
      <c r="B19132" s="12" t="str">
        <f ca="1">IFERROR(__xludf.DUMMYFUNCTION("""COMPUTED_VALUE"""),"")</f>
        <v/>
      </c>
      <c r="C19132" s="12" t="str">
        <f ca="1">IFERROR(__xludf.DUMMYFUNCTION("""COMPUTED_VALUE"""),"")</f>
        <v/>
      </c>
      <c r="D19132" s="12" t="str">
        <f ca="1">IFERROR(__xludf.DUMMYFUNCTION("""COMPUTED_VALUE"""),"")</f>
        <v/>
      </c>
    </row>
    <row r="19133" spans="2:4" ht="13">
      <c r="B19133" s="12" t="str">
        <f ca="1">IFERROR(__xludf.DUMMYFUNCTION("""COMPUTED_VALUE"""),"")</f>
        <v/>
      </c>
      <c r="C19133" s="12" t="str">
        <f ca="1">IFERROR(__xludf.DUMMYFUNCTION("""COMPUTED_VALUE"""),"")</f>
        <v/>
      </c>
      <c r="D19133" s="12" t="str">
        <f ca="1">IFERROR(__xludf.DUMMYFUNCTION("""COMPUTED_VALUE"""),"")</f>
        <v/>
      </c>
    </row>
    <row r="19134" spans="2:4" ht="13">
      <c r="B19134" s="12" t="str">
        <f ca="1">IFERROR(__xludf.DUMMYFUNCTION("""COMPUTED_VALUE"""),"")</f>
        <v/>
      </c>
      <c r="C19134" s="12" t="str">
        <f ca="1">IFERROR(__xludf.DUMMYFUNCTION("""COMPUTED_VALUE"""),"")</f>
        <v/>
      </c>
      <c r="D19134" s="12" t="str">
        <f ca="1">IFERROR(__xludf.DUMMYFUNCTION("""COMPUTED_VALUE"""),"")</f>
        <v/>
      </c>
    </row>
    <row r="19135" spans="2:4" ht="13">
      <c r="B19135" s="12" t="str">
        <f ca="1">IFERROR(__xludf.DUMMYFUNCTION("""COMPUTED_VALUE"""),"")</f>
        <v/>
      </c>
      <c r="C19135" s="12" t="str">
        <f ca="1">IFERROR(__xludf.DUMMYFUNCTION("""COMPUTED_VALUE"""),"")</f>
        <v/>
      </c>
      <c r="D19135" s="12" t="str">
        <f ca="1">IFERROR(__xludf.DUMMYFUNCTION("""COMPUTED_VALUE"""),"")</f>
        <v/>
      </c>
    </row>
    <row r="19136" spans="2:4" ht="13">
      <c r="B19136" s="12" t="str">
        <f ca="1">IFERROR(__xludf.DUMMYFUNCTION("""COMPUTED_VALUE"""),"")</f>
        <v/>
      </c>
      <c r="C19136" s="12" t="str">
        <f ca="1">IFERROR(__xludf.DUMMYFUNCTION("""COMPUTED_VALUE"""),"")</f>
        <v/>
      </c>
      <c r="D19136" s="12" t="str">
        <f ca="1">IFERROR(__xludf.DUMMYFUNCTION("""COMPUTED_VALUE"""),"")</f>
        <v/>
      </c>
    </row>
    <row r="19137" spans="2:4" ht="13">
      <c r="B19137" s="12" t="str">
        <f ca="1">IFERROR(__xludf.DUMMYFUNCTION("""COMPUTED_VALUE"""),"")</f>
        <v/>
      </c>
      <c r="C19137" s="12" t="str">
        <f ca="1">IFERROR(__xludf.DUMMYFUNCTION("""COMPUTED_VALUE"""),"")</f>
        <v/>
      </c>
      <c r="D19137" s="12" t="str">
        <f ca="1">IFERROR(__xludf.DUMMYFUNCTION("""COMPUTED_VALUE"""),"")</f>
        <v/>
      </c>
    </row>
    <row r="19138" spans="2:4" ht="13">
      <c r="B19138" s="12" t="str">
        <f ca="1">IFERROR(__xludf.DUMMYFUNCTION("""COMPUTED_VALUE"""),"")</f>
        <v/>
      </c>
      <c r="C19138" s="12" t="str">
        <f ca="1">IFERROR(__xludf.DUMMYFUNCTION("""COMPUTED_VALUE"""),"")</f>
        <v/>
      </c>
      <c r="D19138" s="12" t="str">
        <f ca="1">IFERROR(__xludf.DUMMYFUNCTION("""COMPUTED_VALUE"""),"")</f>
        <v/>
      </c>
    </row>
    <row r="19139" spans="2:4" ht="13">
      <c r="B19139" s="12" t="str">
        <f ca="1">IFERROR(__xludf.DUMMYFUNCTION("""COMPUTED_VALUE"""),"")</f>
        <v/>
      </c>
      <c r="C19139" s="12" t="str">
        <f ca="1">IFERROR(__xludf.DUMMYFUNCTION("""COMPUTED_VALUE"""),"")</f>
        <v/>
      </c>
      <c r="D19139" s="12" t="str">
        <f ca="1">IFERROR(__xludf.DUMMYFUNCTION("""COMPUTED_VALUE"""),"")</f>
        <v/>
      </c>
    </row>
    <row r="19140" spans="2:4" ht="13">
      <c r="B19140" s="12" t="str">
        <f ca="1">IFERROR(__xludf.DUMMYFUNCTION("""COMPUTED_VALUE"""),"")</f>
        <v/>
      </c>
      <c r="C19140" s="12" t="str">
        <f ca="1">IFERROR(__xludf.DUMMYFUNCTION("""COMPUTED_VALUE"""),"")</f>
        <v/>
      </c>
      <c r="D19140" s="12" t="str">
        <f ca="1">IFERROR(__xludf.DUMMYFUNCTION("""COMPUTED_VALUE"""),"")</f>
        <v/>
      </c>
    </row>
    <row r="19141" spans="2:4" ht="13">
      <c r="B19141" s="12" t="str">
        <f ca="1">IFERROR(__xludf.DUMMYFUNCTION("""COMPUTED_VALUE"""),"")</f>
        <v/>
      </c>
      <c r="C19141" s="12" t="str">
        <f ca="1">IFERROR(__xludf.DUMMYFUNCTION("""COMPUTED_VALUE"""),"")</f>
        <v/>
      </c>
      <c r="D19141" s="12" t="str">
        <f ca="1">IFERROR(__xludf.DUMMYFUNCTION("""COMPUTED_VALUE"""),"")</f>
        <v/>
      </c>
    </row>
    <row r="19142" spans="2:4" ht="13">
      <c r="B19142" s="12" t="str">
        <f ca="1">IFERROR(__xludf.DUMMYFUNCTION("""COMPUTED_VALUE"""),"")</f>
        <v/>
      </c>
      <c r="C19142" s="12" t="str">
        <f ca="1">IFERROR(__xludf.DUMMYFUNCTION("""COMPUTED_VALUE"""),"")</f>
        <v/>
      </c>
      <c r="D19142" s="12" t="str">
        <f ca="1">IFERROR(__xludf.DUMMYFUNCTION("""COMPUTED_VALUE"""),"")</f>
        <v/>
      </c>
    </row>
    <row r="19143" spans="2:4" ht="13">
      <c r="B19143" s="12" t="str">
        <f ca="1">IFERROR(__xludf.DUMMYFUNCTION("""COMPUTED_VALUE"""),"")</f>
        <v/>
      </c>
      <c r="C19143" s="12" t="str">
        <f ca="1">IFERROR(__xludf.DUMMYFUNCTION("""COMPUTED_VALUE"""),"")</f>
        <v/>
      </c>
      <c r="D19143" s="12" t="str">
        <f ca="1">IFERROR(__xludf.DUMMYFUNCTION("""COMPUTED_VALUE"""),"")</f>
        <v/>
      </c>
    </row>
    <row r="19144" spans="2:4" ht="13">
      <c r="B19144" s="12" t="str">
        <f ca="1">IFERROR(__xludf.DUMMYFUNCTION("""COMPUTED_VALUE"""),"")</f>
        <v/>
      </c>
      <c r="C19144" s="12" t="str">
        <f ca="1">IFERROR(__xludf.DUMMYFUNCTION("""COMPUTED_VALUE"""),"")</f>
        <v/>
      </c>
      <c r="D19144" s="12" t="str">
        <f ca="1">IFERROR(__xludf.DUMMYFUNCTION("""COMPUTED_VALUE"""),"")</f>
        <v/>
      </c>
    </row>
    <row r="19145" spans="2:4" ht="13">
      <c r="B19145" s="12" t="str">
        <f ca="1">IFERROR(__xludf.DUMMYFUNCTION("""COMPUTED_VALUE"""),"")</f>
        <v/>
      </c>
      <c r="C19145" s="12" t="str">
        <f ca="1">IFERROR(__xludf.DUMMYFUNCTION("""COMPUTED_VALUE"""),"")</f>
        <v/>
      </c>
      <c r="D19145" s="12" t="str">
        <f ca="1">IFERROR(__xludf.DUMMYFUNCTION("""COMPUTED_VALUE"""),"")</f>
        <v/>
      </c>
    </row>
    <row r="19146" spans="2:4" ht="13">
      <c r="B19146" s="12" t="str">
        <f ca="1">IFERROR(__xludf.DUMMYFUNCTION("""COMPUTED_VALUE"""),"")</f>
        <v/>
      </c>
      <c r="C19146" s="12" t="str">
        <f ca="1">IFERROR(__xludf.DUMMYFUNCTION("""COMPUTED_VALUE"""),"")</f>
        <v/>
      </c>
      <c r="D19146" s="12" t="str">
        <f ca="1">IFERROR(__xludf.DUMMYFUNCTION("""COMPUTED_VALUE"""),"")</f>
        <v/>
      </c>
    </row>
    <row r="19147" spans="2:4" ht="13">
      <c r="B19147" s="12" t="str">
        <f ca="1">IFERROR(__xludf.DUMMYFUNCTION("""COMPUTED_VALUE"""),"")</f>
        <v/>
      </c>
      <c r="C19147" s="12" t="str">
        <f ca="1">IFERROR(__xludf.DUMMYFUNCTION("""COMPUTED_VALUE"""),"")</f>
        <v/>
      </c>
      <c r="D19147" s="12" t="str">
        <f ca="1">IFERROR(__xludf.DUMMYFUNCTION("""COMPUTED_VALUE"""),"")</f>
        <v/>
      </c>
    </row>
    <row r="19148" spans="2:4" ht="13">
      <c r="B19148" s="12" t="str">
        <f ca="1">IFERROR(__xludf.DUMMYFUNCTION("""COMPUTED_VALUE"""),"")</f>
        <v/>
      </c>
      <c r="C19148" s="12" t="str">
        <f ca="1">IFERROR(__xludf.DUMMYFUNCTION("""COMPUTED_VALUE"""),"")</f>
        <v/>
      </c>
      <c r="D19148" s="12" t="str">
        <f ca="1">IFERROR(__xludf.DUMMYFUNCTION("""COMPUTED_VALUE"""),"")</f>
        <v/>
      </c>
    </row>
    <row r="19149" spans="2:4" ht="13">
      <c r="B19149" s="12" t="str">
        <f ca="1">IFERROR(__xludf.DUMMYFUNCTION("""COMPUTED_VALUE"""),"")</f>
        <v/>
      </c>
      <c r="C19149" s="12" t="str">
        <f ca="1">IFERROR(__xludf.DUMMYFUNCTION("""COMPUTED_VALUE"""),"")</f>
        <v/>
      </c>
      <c r="D19149" s="12" t="str">
        <f ca="1">IFERROR(__xludf.DUMMYFUNCTION("""COMPUTED_VALUE"""),"")</f>
        <v/>
      </c>
    </row>
    <row r="19150" spans="2:4" ht="13">
      <c r="B19150" s="12" t="str">
        <f ca="1">IFERROR(__xludf.DUMMYFUNCTION("""COMPUTED_VALUE"""),"")</f>
        <v/>
      </c>
      <c r="C19150" s="12" t="str">
        <f ca="1">IFERROR(__xludf.DUMMYFUNCTION("""COMPUTED_VALUE"""),"")</f>
        <v/>
      </c>
      <c r="D19150" s="12" t="str">
        <f ca="1">IFERROR(__xludf.DUMMYFUNCTION("""COMPUTED_VALUE"""),"")</f>
        <v/>
      </c>
    </row>
    <row r="19151" spans="2:4" ht="13">
      <c r="B19151" s="12" t="str">
        <f ca="1">IFERROR(__xludf.DUMMYFUNCTION("""COMPUTED_VALUE"""),"")</f>
        <v/>
      </c>
      <c r="C19151" s="12" t="str">
        <f ca="1">IFERROR(__xludf.DUMMYFUNCTION("""COMPUTED_VALUE"""),"")</f>
        <v/>
      </c>
      <c r="D19151" s="12" t="str">
        <f ca="1">IFERROR(__xludf.DUMMYFUNCTION("""COMPUTED_VALUE"""),"")</f>
        <v/>
      </c>
    </row>
    <row r="19152" spans="2:4" ht="13">
      <c r="B19152" s="12" t="str">
        <f ca="1">IFERROR(__xludf.DUMMYFUNCTION("""COMPUTED_VALUE"""),"")</f>
        <v/>
      </c>
      <c r="C19152" s="12" t="str">
        <f ca="1">IFERROR(__xludf.DUMMYFUNCTION("""COMPUTED_VALUE"""),"")</f>
        <v/>
      </c>
      <c r="D19152" s="12" t="str">
        <f ca="1">IFERROR(__xludf.DUMMYFUNCTION("""COMPUTED_VALUE"""),"")</f>
        <v/>
      </c>
    </row>
    <row r="19153" spans="2:4" ht="13">
      <c r="B19153" s="12" t="str">
        <f ca="1">IFERROR(__xludf.DUMMYFUNCTION("""COMPUTED_VALUE"""),"")</f>
        <v/>
      </c>
      <c r="C19153" s="12" t="str">
        <f ca="1">IFERROR(__xludf.DUMMYFUNCTION("""COMPUTED_VALUE"""),"")</f>
        <v/>
      </c>
      <c r="D19153" s="12" t="str">
        <f ca="1">IFERROR(__xludf.DUMMYFUNCTION("""COMPUTED_VALUE"""),"")</f>
        <v/>
      </c>
    </row>
    <row r="19154" spans="2:4" ht="13">
      <c r="B19154" s="12" t="str">
        <f ca="1">IFERROR(__xludf.DUMMYFUNCTION("""COMPUTED_VALUE"""),"")</f>
        <v/>
      </c>
      <c r="C19154" s="12" t="str">
        <f ca="1">IFERROR(__xludf.DUMMYFUNCTION("""COMPUTED_VALUE"""),"")</f>
        <v/>
      </c>
      <c r="D19154" s="12" t="str">
        <f ca="1">IFERROR(__xludf.DUMMYFUNCTION("""COMPUTED_VALUE"""),"")</f>
        <v/>
      </c>
    </row>
    <row r="19155" spans="2:4" ht="13">
      <c r="B19155" s="12" t="str">
        <f ca="1">IFERROR(__xludf.DUMMYFUNCTION("""COMPUTED_VALUE"""),"")</f>
        <v/>
      </c>
      <c r="C19155" s="12" t="str">
        <f ca="1">IFERROR(__xludf.DUMMYFUNCTION("""COMPUTED_VALUE"""),"")</f>
        <v/>
      </c>
      <c r="D19155" s="12" t="str">
        <f ca="1">IFERROR(__xludf.DUMMYFUNCTION("""COMPUTED_VALUE"""),"")</f>
        <v/>
      </c>
    </row>
    <row r="19156" spans="2:4" ht="13">
      <c r="B19156" s="12" t="str">
        <f ca="1">IFERROR(__xludf.DUMMYFUNCTION("""COMPUTED_VALUE"""),"")</f>
        <v/>
      </c>
      <c r="C19156" s="12" t="str">
        <f ca="1">IFERROR(__xludf.DUMMYFUNCTION("""COMPUTED_VALUE"""),"")</f>
        <v/>
      </c>
      <c r="D19156" s="12" t="str">
        <f ca="1">IFERROR(__xludf.DUMMYFUNCTION("""COMPUTED_VALUE"""),"")</f>
        <v/>
      </c>
    </row>
    <row r="19157" spans="2:4" ht="13">
      <c r="B19157" s="12" t="str">
        <f ca="1">IFERROR(__xludf.DUMMYFUNCTION("""COMPUTED_VALUE"""),"")</f>
        <v/>
      </c>
      <c r="C19157" s="12" t="str">
        <f ca="1">IFERROR(__xludf.DUMMYFUNCTION("""COMPUTED_VALUE"""),"")</f>
        <v/>
      </c>
      <c r="D19157" s="12" t="str">
        <f ca="1">IFERROR(__xludf.DUMMYFUNCTION("""COMPUTED_VALUE"""),"")</f>
        <v/>
      </c>
    </row>
    <row r="19158" spans="2:4" ht="13">
      <c r="B19158" s="12" t="str">
        <f ca="1">IFERROR(__xludf.DUMMYFUNCTION("""COMPUTED_VALUE"""),"")</f>
        <v/>
      </c>
      <c r="C19158" s="12" t="str">
        <f ca="1">IFERROR(__xludf.DUMMYFUNCTION("""COMPUTED_VALUE"""),"")</f>
        <v/>
      </c>
      <c r="D19158" s="12" t="str">
        <f ca="1">IFERROR(__xludf.DUMMYFUNCTION("""COMPUTED_VALUE"""),"")</f>
        <v/>
      </c>
    </row>
    <row r="19159" spans="2:4" ht="13">
      <c r="B19159" s="12" t="str">
        <f ca="1">IFERROR(__xludf.DUMMYFUNCTION("""COMPUTED_VALUE"""),"")</f>
        <v/>
      </c>
      <c r="C19159" s="12" t="str">
        <f ca="1">IFERROR(__xludf.DUMMYFUNCTION("""COMPUTED_VALUE"""),"")</f>
        <v/>
      </c>
      <c r="D19159" s="12" t="str">
        <f ca="1">IFERROR(__xludf.DUMMYFUNCTION("""COMPUTED_VALUE"""),"")</f>
        <v/>
      </c>
    </row>
    <row r="19160" spans="2:4" ht="13">
      <c r="B19160" s="12" t="str">
        <f ca="1">IFERROR(__xludf.DUMMYFUNCTION("""COMPUTED_VALUE"""),"")</f>
        <v/>
      </c>
      <c r="C19160" s="12" t="str">
        <f ca="1">IFERROR(__xludf.DUMMYFUNCTION("""COMPUTED_VALUE"""),"")</f>
        <v/>
      </c>
      <c r="D19160" s="12" t="str">
        <f ca="1">IFERROR(__xludf.DUMMYFUNCTION("""COMPUTED_VALUE"""),"")</f>
        <v/>
      </c>
    </row>
    <row r="19161" spans="2:4" ht="13">
      <c r="B19161" s="12" t="str">
        <f ca="1">IFERROR(__xludf.DUMMYFUNCTION("""COMPUTED_VALUE"""),"")</f>
        <v/>
      </c>
      <c r="C19161" s="12" t="str">
        <f ca="1">IFERROR(__xludf.DUMMYFUNCTION("""COMPUTED_VALUE"""),"")</f>
        <v/>
      </c>
      <c r="D19161" s="12" t="str">
        <f ca="1">IFERROR(__xludf.DUMMYFUNCTION("""COMPUTED_VALUE"""),"")</f>
        <v/>
      </c>
    </row>
    <row r="19162" spans="2:4" ht="13">
      <c r="B19162" s="12" t="str">
        <f ca="1">IFERROR(__xludf.DUMMYFUNCTION("""COMPUTED_VALUE"""),"")</f>
        <v/>
      </c>
      <c r="C19162" s="12" t="str">
        <f ca="1">IFERROR(__xludf.DUMMYFUNCTION("""COMPUTED_VALUE"""),"")</f>
        <v/>
      </c>
      <c r="D19162" s="12" t="str">
        <f ca="1">IFERROR(__xludf.DUMMYFUNCTION("""COMPUTED_VALUE"""),"")</f>
        <v/>
      </c>
    </row>
    <row r="19163" spans="2:4" ht="13">
      <c r="B19163" s="12" t="str">
        <f ca="1">IFERROR(__xludf.DUMMYFUNCTION("""COMPUTED_VALUE"""),"")</f>
        <v/>
      </c>
      <c r="C19163" s="12" t="str">
        <f ca="1">IFERROR(__xludf.DUMMYFUNCTION("""COMPUTED_VALUE"""),"")</f>
        <v/>
      </c>
      <c r="D19163" s="12" t="str">
        <f ca="1">IFERROR(__xludf.DUMMYFUNCTION("""COMPUTED_VALUE"""),"")</f>
        <v/>
      </c>
    </row>
    <row r="19164" spans="2:4" ht="13">
      <c r="B19164" s="12" t="str">
        <f ca="1">IFERROR(__xludf.DUMMYFUNCTION("""COMPUTED_VALUE"""),"")</f>
        <v/>
      </c>
      <c r="C19164" s="12" t="str">
        <f ca="1">IFERROR(__xludf.DUMMYFUNCTION("""COMPUTED_VALUE"""),"")</f>
        <v/>
      </c>
      <c r="D19164" s="12" t="str">
        <f ca="1">IFERROR(__xludf.DUMMYFUNCTION("""COMPUTED_VALUE"""),"")</f>
        <v/>
      </c>
    </row>
    <row r="19165" spans="2:4" ht="13">
      <c r="B19165" s="12" t="str">
        <f ca="1">IFERROR(__xludf.DUMMYFUNCTION("""COMPUTED_VALUE"""),"")</f>
        <v/>
      </c>
      <c r="C19165" s="12" t="str">
        <f ca="1">IFERROR(__xludf.DUMMYFUNCTION("""COMPUTED_VALUE"""),"")</f>
        <v/>
      </c>
      <c r="D19165" s="12" t="str">
        <f ca="1">IFERROR(__xludf.DUMMYFUNCTION("""COMPUTED_VALUE"""),"")</f>
        <v/>
      </c>
    </row>
    <row r="19166" spans="2:4" ht="13">
      <c r="B19166" s="12" t="str">
        <f ca="1">IFERROR(__xludf.DUMMYFUNCTION("""COMPUTED_VALUE"""),"")</f>
        <v/>
      </c>
      <c r="C19166" s="12" t="str">
        <f ca="1">IFERROR(__xludf.DUMMYFUNCTION("""COMPUTED_VALUE"""),"")</f>
        <v/>
      </c>
      <c r="D19166" s="12" t="str">
        <f ca="1">IFERROR(__xludf.DUMMYFUNCTION("""COMPUTED_VALUE"""),"")</f>
        <v/>
      </c>
    </row>
    <row r="19167" spans="2:4" ht="13">
      <c r="B19167" s="12" t="str">
        <f ca="1">IFERROR(__xludf.DUMMYFUNCTION("""COMPUTED_VALUE"""),"")</f>
        <v/>
      </c>
      <c r="C19167" s="12" t="str">
        <f ca="1">IFERROR(__xludf.DUMMYFUNCTION("""COMPUTED_VALUE"""),"")</f>
        <v/>
      </c>
      <c r="D19167" s="12" t="str">
        <f ca="1">IFERROR(__xludf.DUMMYFUNCTION("""COMPUTED_VALUE"""),"")</f>
        <v/>
      </c>
    </row>
    <row r="19168" spans="2:4" ht="13">
      <c r="B19168" s="12" t="str">
        <f ca="1">IFERROR(__xludf.DUMMYFUNCTION("""COMPUTED_VALUE"""),"")</f>
        <v/>
      </c>
      <c r="C19168" s="12" t="str">
        <f ca="1">IFERROR(__xludf.DUMMYFUNCTION("""COMPUTED_VALUE"""),"")</f>
        <v/>
      </c>
      <c r="D19168" s="12" t="str">
        <f ca="1">IFERROR(__xludf.DUMMYFUNCTION("""COMPUTED_VALUE"""),"")</f>
        <v/>
      </c>
    </row>
    <row r="19169" spans="2:4" ht="13">
      <c r="B19169" s="12" t="str">
        <f ca="1">IFERROR(__xludf.DUMMYFUNCTION("""COMPUTED_VALUE"""),"")</f>
        <v/>
      </c>
      <c r="C19169" s="12" t="str">
        <f ca="1">IFERROR(__xludf.DUMMYFUNCTION("""COMPUTED_VALUE"""),"")</f>
        <v/>
      </c>
      <c r="D19169" s="12" t="str">
        <f ca="1">IFERROR(__xludf.DUMMYFUNCTION("""COMPUTED_VALUE"""),"")</f>
        <v/>
      </c>
    </row>
    <row r="19170" spans="2:4" ht="13">
      <c r="B19170" s="12" t="str">
        <f ca="1">IFERROR(__xludf.DUMMYFUNCTION("""COMPUTED_VALUE"""),"")</f>
        <v/>
      </c>
      <c r="C19170" s="12" t="str">
        <f ca="1">IFERROR(__xludf.DUMMYFUNCTION("""COMPUTED_VALUE"""),"")</f>
        <v/>
      </c>
      <c r="D19170" s="12" t="str">
        <f ca="1">IFERROR(__xludf.DUMMYFUNCTION("""COMPUTED_VALUE"""),"")</f>
        <v/>
      </c>
    </row>
    <row r="19171" spans="2:4" ht="13">
      <c r="B19171" s="12" t="str">
        <f ca="1">IFERROR(__xludf.DUMMYFUNCTION("""COMPUTED_VALUE"""),"")</f>
        <v/>
      </c>
      <c r="C19171" s="12" t="str">
        <f ca="1">IFERROR(__xludf.DUMMYFUNCTION("""COMPUTED_VALUE"""),"")</f>
        <v/>
      </c>
      <c r="D19171" s="12" t="str">
        <f ca="1">IFERROR(__xludf.DUMMYFUNCTION("""COMPUTED_VALUE"""),"")</f>
        <v/>
      </c>
    </row>
    <row r="19172" spans="2:4" ht="13">
      <c r="B19172" s="12" t="str">
        <f ca="1">IFERROR(__xludf.DUMMYFUNCTION("""COMPUTED_VALUE"""),"")</f>
        <v/>
      </c>
      <c r="C19172" s="12" t="str">
        <f ca="1">IFERROR(__xludf.DUMMYFUNCTION("""COMPUTED_VALUE"""),"")</f>
        <v/>
      </c>
      <c r="D19172" s="12" t="str">
        <f ca="1">IFERROR(__xludf.DUMMYFUNCTION("""COMPUTED_VALUE"""),"")</f>
        <v/>
      </c>
    </row>
    <row r="19173" spans="2:4" ht="13">
      <c r="B19173" s="12" t="str">
        <f ca="1">IFERROR(__xludf.DUMMYFUNCTION("""COMPUTED_VALUE"""),"")</f>
        <v/>
      </c>
      <c r="C19173" s="12" t="str">
        <f ca="1">IFERROR(__xludf.DUMMYFUNCTION("""COMPUTED_VALUE"""),"")</f>
        <v/>
      </c>
      <c r="D19173" s="12" t="str">
        <f ca="1">IFERROR(__xludf.DUMMYFUNCTION("""COMPUTED_VALUE"""),"")</f>
        <v/>
      </c>
    </row>
    <row r="19174" spans="2:4" ht="13">
      <c r="B19174" s="12" t="str">
        <f ca="1">IFERROR(__xludf.DUMMYFUNCTION("""COMPUTED_VALUE"""),"")</f>
        <v/>
      </c>
      <c r="C19174" s="12" t="str">
        <f ca="1">IFERROR(__xludf.DUMMYFUNCTION("""COMPUTED_VALUE"""),"")</f>
        <v/>
      </c>
      <c r="D19174" s="12" t="str">
        <f ca="1">IFERROR(__xludf.DUMMYFUNCTION("""COMPUTED_VALUE"""),"")</f>
        <v/>
      </c>
    </row>
    <row r="19175" spans="2:4" ht="13">
      <c r="B19175" s="12" t="str">
        <f ca="1">IFERROR(__xludf.DUMMYFUNCTION("""COMPUTED_VALUE"""),"")</f>
        <v/>
      </c>
      <c r="C19175" s="12" t="str">
        <f ca="1">IFERROR(__xludf.DUMMYFUNCTION("""COMPUTED_VALUE"""),"")</f>
        <v/>
      </c>
      <c r="D19175" s="12" t="str">
        <f ca="1">IFERROR(__xludf.DUMMYFUNCTION("""COMPUTED_VALUE"""),"")</f>
        <v/>
      </c>
    </row>
    <row r="19176" spans="2:4" ht="13">
      <c r="B19176" s="12" t="str">
        <f ca="1">IFERROR(__xludf.DUMMYFUNCTION("""COMPUTED_VALUE"""),"")</f>
        <v/>
      </c>
      <c r="C19176" s="12" t="str">
        <f ca="1">IFERROR(__xludf.DUMMYFUNCTION("""COMPUTED_VALUE"""),"")</f>
        <v/>
      </c>
      <c r="D19176" s="12" t="str">
        <f ca="1">IFERROR(__xludf.DUMMYFUNCTION("""COMPUTED_VALUE"""),"")</f>
        <v/>
      </c>
    </row>
    <row r="19177" spans="2:4" ht="13">
      <c r="B19177" s="12" t="str">
        <f ca="1">IFERROR(__xludf.DUMMYFUNCTION("""COMPUTED_VALUE"""),"")</f>
        <v/>
      </c>
      <c r="C19177" s="12" t="str">
        <f ca="1">IFERROR(__xludf.DUMMYFUNCTION("""COMPUTED_VALUE"""),"")</f>
        <v/>
      </c>
      <c r="D19177" s="12" t="str">
        <f ca="1">IFERROR(__xludf.DUMMYFUNCTION("""COMPUTED_VALUE"""),"")</f>
        <v/>
      </c>
    </row>
    <row r="19178" spans="2:4" ht="13">
      <c r="B19178" s="12" t="str">
        <f ca="1">IFERROR(__xludf.DUMMYFUNCTION("""COMPUTED_VALUE"""),"")</f>
        <v/>
      </c>
      <c r="C19178" s="12" t="str">
        <f ca="1">IFERROR(__xludf.DUMMYFUNCTION("""COMPUTED_VALUE"""),"")</f>
        <v/>
      </c>
      <c r="D19178" s="12" t="str">
        <f ca="1">IFERROR(__xludf.DUMMYFUNCTION("""COMPUTED_VALUE"""),"")</f>
        <v/>
      </c>
    </row>
    <row r="19179" spans="2:4" ht="13">
      <c r="B19179" s="12" t="str">
        <f ca="1">IFERROR(__xludf.DUMMYFUNCTION("""COMPUTED_VALUE"""),"")</f>
        <v/>
      </c>
      <c r="C19179" s="12" t="str">
        <f ca="1">IFERROR(__xludf.DUMMYFUNCTION("""COMPUTED_VALUE"""),"")</f>
        <v/>
      </c>
      <c r="D19179" s="12" t="str">
        <f ca="1">IFERROR(__xludf.DUMMYFUNCTION("""COMPUTED_VALUE"""),"")</f>
        <v/>
      </c>
    </row>
    <row r="19180" spans="2:4" ht="13">
      <c r="B19180" s="12" t="str">
        <f ca="1">IFERROR(__xludf.DUMMYFUNCTION("""COMPUTED_VALUE"""),"")</f>
        <v/>
      </c>
      <c r="C19180" s="12" t="str">
        <f ca="1">IFERROR(__xludf.DUMMYFUNCTION("""COMPUTED_VALUE"""),"")</f>
        <v/>
      </c>
      <c r="D19180" s="12" t="str">
        <f ca="1">IFERROR(__xludf.DUMMYFUNCTION("""COMPUTED_VALUE"""),"")</f>
        <v/>
      </c>
    </row>
    <row r="19181" spans="2:4" ht="13">
      <c r="B19181" s="12" t="str">
        <f ca="1">IFERROR(__xludf.DUMMYFUNCTION("""COMPUTED_VALUE"""),"")</f>
        <v/>
      </c>
      <c r="C19181" s="12" t="str">
        <f ca="1">IFERROR(__xludf.DUMMYFUNCTION("""COMPUTED_VALUE"""),"")</f>
        <v/>
      </c>
      <c r="D19181" s="12" t="str">
        <f ca="1">IFERROR(__xludf.DUMMYFUNCTION("""COMPUTED_VALUE"""),"")</f>
        <v/>
      </c>
    </row>
    <row r="19182" spans="2:4" ht="13">
      <c r="B19182" s="12" t="str">
        <f ca="1">IFERROR(__xludf.DUMMYFUNCTION("""COMPUTED_VALUE"""),"")</f>
        <v/>
      </c>
      <c r="C19182" s="12" t="str">
        <f ca="1">IFERROR(__xludf.DUMMYFUNCTION("""COMPUTED_VALUE"""),"")</f>
        <v/>
      </c>
      <c r="D19182" s="12" t="str">
        <f ca="1">IFERROR(__xludf.DUMMYFUNCTION("""COMPUTED_VALUE"""),"")</f>
        <v/>
      </c>
    </row>
    <row r="19183" spans="2:4" ht="13">
      <c r="B19183" s="12" t="str">
        <f ca="1">IFERROR(__xludf.DUMMYFUNCTION("""COMPUTED_VALUE"""),"")</f>
        <v/>
      </c>
      <c r="C19183" s="12" t="str">
        <f ca="1">IFERROR(__xludf.DUMMYFUNCTION("""COMPUTED_VALUE"""),"")</f>
        <v/>
      </c>
      <c r="D19183" s="12" t="str">
        <f ca="1">IFERROR(__xludf.DUMMYFUNCTION("""COMPUTED_VALUE"""),"")</f>
        <v/>
      </c>
    </row>
    <row r="19184" spans="2:4" ht="13">
      <c r="B19184" s="12" t="str">
        <f ca="1">IFERROR(__xludf.DUMMYFUNCTION("""COMPUTED_VALUE"""),"")</f>
        <v/>
      </c>
      <c r="C19184" s="12" t="str">
        <f ca="1">IFERROR(__xludf.DUMMYFUNCTION("""COMPUTED_VALUE"""),"")</f>
        <v/>
      </c>
      <c r="D19184" s="12" t="str">
        <f ca="1">IFERROR(__xludf.DUMMYFUNCTION("""COMPUTED_VALUE"""),"")</f>
        <v/>
      </c>
    </row>
    <row r="19185" spans="2:4" ht="13">
      <c r="B19185" s="12" t="str">
        <f ca="1">IFERROR(__xludf.DUMMYFUNCTION("""COMPUTED_VALUE"""),"")</f>
        <v/>
      </c>
      <c r="C19185" s="12" t="str">
        <f ca="1">IFERROR(__xludf.DUMMYFUNCTION("""COMPUTED_VALUE"""),"")</f>
        <v/>
      </c>
      <c r="D19185" s="12" t="str">
        <f ca="1">IFERROR(__xludf.DUMMYFUNCTION("""COMPUTED_VALUE"""),"")</f>
        <v/>
      </c>
    </row>
    <row r="19186" spans="2:4" ht="13">
      <c r="B19186" s="12" t="str">
        <f ca="1">IFERROR(__xludf.DUMMYFUNCTION("""COMPUTED_VALUE"""),"")</f>
        <v/>
      </c>
      <c r="C19186" s="12" t="str">
        <f ca="1">IFERROR(__xludf.DUMMYFUNCTION("""COMPUTED_VALUE"""),"")</f>
        <v/>
      </c>
      <c r="D19186" s="12" t="str">
        <f ca="1">IFERROR(__xludf.DUMMYFUNCTION("""COMPUTED_VALUE"""),"")</f>
        <v/>
      </c>
    </row>
    <row r="19187" spans="2:4" ht="13">
      <c r="B19187" s="12" t="str">
        <f ca="1">IFERROR(__xludf.DUMMYFUNCTION("""COMPUTED_VALUE"""),"")</f>
        <v/>
      </c>
      <c r="C19187" s="12" t="str">
        <f ca="1">IFERROR(__xludf.DUMMYFUNCTION("""COMPUTED_VALUE"""),"")</f>
        <v/>
      </c>
      <c r="D19187" s="12" t="str">
        <f ca="1">IFERROR(__xludf.DUMMYFUNCTION("""COMPUTED_VALUE"""),"")</f>
        <v/>
      </c>
    </row>
    <row r="19188" spans="2:4" ht="13">
      <c r="B19188" s="12" t="str">
        <f ca="1">IFERROR(__xludf.DUMMYFUNCTION("""COMPUTED_VALUE"""),"")</f>
        <v/>
      </c>
      <c r="C19188" s="12" t="str">
        <f ca="1">IFERROR(__xludf.DUMMYFUNCTION("""COMPUTED_VALUE"""),"")</f>
        <v/>
      </c>
      <c r="D19188" s="12" t="str">
        <f ca="1">IFERROR(__xludf.DUMMYFUNCTION("""COMPUTED_VALUE"""),"")</f>
        <v/>
      </c>
    </row>
    <row r="19189" spans="2:4" ht="13">
      <c r="B19189" s="12" t="str">
        <f ca="1">IFERROR(__xludf.DUMMYFUNCTION("""COMPUTED_VALUE"""),"")</f>
        <v/>
      </c>
      <c r="C19189" s="12" t="str">
        <f ca="1">IFERROR(__xludf.DUMMYFUNCTION("""COMPUTED_VALUE"""),"")</f>
        <v/>
      </c>
      <c r="D19189" s="12" t="str">
        <f ca="1">IFERROR(__xludf.DUMMYFUNCTION("""COMPUTED_VALUE"""),"")</f>
        <v/>
      </c>
    </row>
    <row r="19190" spans="2:4" ht="13">
      <c r="B19190" s="12" t="str">
        <f ca="1">IFERROR(__xludf.DUMMYFUNCTION("""COMPUTED_VALUE"""),"")</f>
        <v/>
      </c>
      <c r="C19190" s="12" t="str">
        <f ca="1">IFERROR(__xludf.DUMMYFUNCTION("""COMPUTED_VALUE"""),"")</f>
        <v/>
      </c>
      <c r="D19190" s="12" t="str">
        <f ca="1">IFERROR(__xludf.DUMMYFUNCTION("""COMPUTED_VALUE"""),"")</f>
        <v/>
      </c>
    </row>
    <row r="19191" spans="2:4" ht="13">
      <c r="B19191" s="12" t="str">
        <f ca="1">IFERROR(__xludf.DUMMYFUNCTION("""COMPUTED_VALUE"""),"")</f>
        <v/>
      </c>
      <c r="C19191" s="12" t="str">
        <f ca="1">IFERROR(__xludf.DUMMYFUNCTION("""COMPUTED_VALUE"""),"")</f>
        <v/>
      </c>
      <c r="D19191" s="12" t="str">
        <f ca="1">IFERROR(__xludf.DUMMYFUNCTION("""COMPUTED_VALUE"""),"")</f>
        <v/>
      </c>
    </row>
    <row r="19192" spans="2:4" ht="13">
      <c r="B19192" s="12" t="str">
        <f ca="1">IFERROR(__xludf.DUMMYFUNCTION("""COMPUTED_VALUE"""),"")</f>
        <v/>
      </c>
      <c r="C19192" s="12" t="str">
        <f ca="1">IFERROR(__xludf.DUMMYFUNCTION("""COMPUTED_VALUE"""),"")</f>
        <v/>
      </c>
      <c r="D19192" s="12" t="str">
        <f ca="1">IFERROR(__xludf.DUMMYFUNCTION("""COMPUTED_VALUE"""),"")</f>
        <v/>
      </c>
    </row>
    <row r="19193" spans="2:4" ht="13">
      <c r="B19193" s="12" t="str">
        <f ca="1">IFERROR(__xludf.DUMMYFUNCTION("""COMPUTED_VALUE"""),"")</f>
        <v/>
      </c>
      <c r="C19193" s="12" t="str">
        <f ca="1">IFERROR(__xludf.DUMMYFUNCTION("""COMPUTED_VALUE"""),"")</f>
        <v/>
      </c>
      <c r="D19193" s="12" t="str">
        <f ca="1">IFERROR(__xludf.DUMMYFUNCTION("""COMPUTED_VALUE"""),"")</f>
        <v/>
      </c>
    </row>
    <row r="19194" spans="2:4" ht="13">
      <c r="B19194" s="12" t="str">
        <f ca="1">IFERROR(__xludf.DUMMYFUNCTION("""COMPUTED_VALUE"""),"")</f>
        <v/>
      </c>
      <c r="C19194" s="12" t="str">
        <f ca="1">IFERROR(__xludf.DUMMYFUNCTION("""COMPUTED_VALUE"""),"")</f>
        <v/>
      </c>
      <c r="D19194" s="12" t="str">
        <f ca="1">IFERROR(__xludf.DUMMYFUNCTION("""COMPUTED_VALUE"""),"")</f>
        <v/>
      </c>
    </row>
    <row r="19195" spans="2:4" ht="13">
      <c r="B19195" s="12" t="str">
        <f ca="1">IFERROR(__xludf.DUMMYFUNCTION("""COMPUTED_VALUE"""),"")</f>
        <v/>
      </c>
      <c r="C19195" s="12" t="str">
        <f ca="1">IFERROR(__xludf.DUMMYFUNCTION("""COMPUTED_VALUE"""),"")</f>
        <v/>
      </c>
      <c r="D19195" s="12" t="str">
        <f ca="1">IFERROR(__xludf.DUMMYFUNCTION("""COMPUTED_VALUE"""),"")</f>
        <v/>
      </c>
    </row>
    <row r="19196" spans="2:4" ht="13">
      <c r="B19196" s="12" t="str">
        <f ca="1">IFERROR(__xludf.DUMMYFUNCTION("""COMPUTED_VALUE"""),"")</f>
        <v/>
      </c>
      <c r="C19196" s="12" t="str">
        <f ca="1">IFERROR(__xludf.DUMMYFUNCTION("""COMPUTED_VALUE"""),"")</f>
        <v/>
      </c>
      <c r="D19196" s="12" t="str">
        <f ca="1">IFERROR(__xludf.DUMMYFUNCTION("""COMPUTED_VALUE"""),"")</f>
        <v/>
      </c>
    </row>
    <row r="19197" spans="2:4" ht="13">
      <c r="B19197" s="12" t="str">
        <f ca="1">IFERROR(__xludf.DUMMYFUNCTION("""COMPUTED_VALUE"""),"")</f>
        <v/>
      </c>
      <c r="C19197" s="12" t="str">
        <f ca="1">IFERROR(__xludf.DUMMYFUNCTION("""COMPUTED_VALUE"""),"")</f>
        <v/>
      </c>
      <c r="D19197" s="12" t="str">
        <f ca="1">IFERROR(__xludf.DUMMYFUNCTION("""COMPUTED_VALUE"""),"")</f>
        <v/>
      </c>
    </row>
    <row r="19198" spans="2:4" ht="13">
      <c r="B19198" s="12" t="str">
        <f ca="1">IFERROR(__xludf.DUMMYFUNCTION("""COMPUTED_VALUE"""),"")</f>
        <v/>
      </c>
      <c r="C19198" s="12" t="str">
        <f ca="1">IFERROR(__xludf.DUMMYFUNCTION("""COMPUTED_VALUE"""),"")</f>
        <v/>
      </c>
      <c r="D19198" s="12" t="str">
        <f ca="1">IFERROR(__xludf.DUMMYFUNCTION("""COMPUTED_VALUE"""),"")</f>
        <v/>
      </c>
    </row>
    <row r="19199" spans="2:4" ht="13">
      <c r="B19199" s="12" t="str">
        <f ca="1">IFERROR(__xludf.DUMMYFUNCTION("""COMPUTED_VALUE"""),"")</f>
        <v/>
      </c>
      <c r="C19199" s="12" t="str">
        <f ca="1">IFERROR(__xludf.DUMMYFUNCTION("""COMPUTED_VALUE"""),"")</f>
        <v/>
      </c>
      <c r="D19199" s="12" t="str">
        <f ca="1">IFERROR(__xludf.DUMMYFUNCTION("""COMPUTED_VALUE"""),"")</f>
        <v/>
      </c>
    </row>
    <row r="19200" spans="2:4" ht="13">
      <c r="B19200" s="12" t="str">
        <f ca="1">IFERROR(__xludf.DUMMYFUNCTION("""COMPUTED_VALUE"""),"")</f>
        <v/>
      </c>
      <c r="C19200" s="12" t="str">
        <f ca="1">IFERROR(__xludf.DUMMYFUNCTION("""COMPUTED_VALUE"""),"")</f>
        <v/>
      </c>
      <c r="D19200" s="12" t="str">
        <f ca="1">IFERROR(__xludf.DUMMYFUNCTION("""COMPUTED_VALUE"""),"")</f>
        <v/>
      </c>
    </row>
    <row r="19201" spans="2:4" ht="13">
      <c r="B19201" s="12" t="str">
        <f ca="1">IFERROR(__xludf.DUMMYFUNCTION("""COMPUTED_VALUE"""),"")</f>
        <v/>
      </c>
      <c r="C19201" s="12" t="str">
        <f ca="1">IFERROR(__xludf.DUMMYFUNCTION("""COMPUTED_VALUE"""),"")</f>
        <v/>
      </c>
      <c r="D19201" s="12" t="str">
        <f ca="1">IFERROR(__xludf.DUMMYFUNCTION("""COMPUTED_VALUE"""),"")</f>
        <v/>
      </c>
    </row>
    <row r="19202" spans="2:4" ht="13">
      <c r="B19202" s="12" t="str">
        <f ca="1">IFERROR(__xludf.DUMMYFUNCTION("""COMPUTED_VALUE"""),"")</f>
        <v/>
      </c>
      <c r="C19202" s="12" t="str">
        <f ca="1">IFERROR(__xludf.DUMMYFUNCTION("""COMPUTED_VALUE"""),"")</f>
        <v/>
      </c>
      <c r="D19202" s="12" t="str">
        <f ca="1">IFERROR(__xludf.DUMMYFUNCTION("""COMPUTED_VALUE"""),"")</f>
        <v/>
      </c>
    </row>
    <row r="19203" spans="2:4" ht="13">
      <c r="B19203" s="12" t="str">
        <f ca="1">IFERROR(__xludf.DUMMYFUNCTION("""COMPUTED_VALUE"""),"")</f>
        <v/>
      </c>
      <c r="C19203" s="12" t="str">
        <f ca="1">IFERROR(__xludf.DUMMYFUNCTION("""COMPUTED_VALUE"""),"")</f>
        <v/>
      </c>
      <c r="D19203" s="12" t="str">
        <f ca="1">IFERROR(__xludf.DUMMYFUNCTION("""COMPUTED_VALUE"""),"")</f>
        <v/>
      </c>
    </row>
    <row r="19204" spans="2:4" ht="13">
      <c r="B19204" s="12" t="str">
        <f ca="1">IFERROR(__xludf.DUMMYFUNCTION("""COMPUTED_VALUE"""),"")</f>
        <v/>
      </c>
      <c r="C19204" s="12" t="str">
        <f ca="1">IFERROR(__xludf.DUMMYFUNCTION("""COMPUTED_VALUE"""),"")</f>
        <v/>
      </c>
      <c r="D19204" s="12" t="str">
        <f ca="1">IFERROR(__xludf.DUMMYFUNCTION("""COMPUTED_VALUE"""),"")</f>
        <v/>
      </c>
    </row>
    <row r="19205" spans="2:4" ht="13">
      <c r="B19205" s="12" t="str">
        <f ca="1">IFERROR(__xludf.DUMMYFUNCTION("""COMPUTED_VALUE"""),"")</f>
        <v/>
      </c>
      <c r="C19205" s="12" t="str">
        <f ca="1">IFERROR(__xludf.DUMMYFUNCTION("""COMPUTED_VALUE"""),"")</f>
        <v/>
      </c>
      <c r="D19205" s="12" t="str">
        <f ca="1">IFERROR(__xludf.DUMMYFUNCTION("""COMPUTED_VALUE"""),"")</f>
        <v/>
      </c>
    </row>
    <row r="19206" spans="2:4" ht="13">
      <c r="B19206" s="12" t="str">
        <f ca="1">IFERROR(__xludf.DUMMYFUNCTION("""COMPUTED_VALUE"""),"")</f>
        <v/>
      </c>
      <c r="C19206" s="12" t="str">
        <f ca="1">IFERROR(__xludf.DUMMYFUNCTION("""COMPUTED_VALUE"""),"")</f>
        <v/>
      </c>
      <c r="D19206" s="12" t="str">
        <f ca="1">IFERROR(__xludf.DUMMYFUNCTION("""COMPUTED_VALUE"""),"")</f>
        <v/>
      </c>
    </row>
    <row r="19207" spans="2:4" ht="13">
      <c r="B19207" s="12" t="str">
        <f ca="1">IFERROR(__xludf.DUMMYFUNCTION("""COMPUTED_VALUE"""),"")</f>
        <v/>
      </c>
      <c r="C19207" s="12" t="str">
        <f ca="1">IFERROR(__xludf.DUMMYFUNCTION("""COMPUTED_VALUE"""),"")</f>
        <v/>
      </c>
      <c r="D19207" s="12" t="str">
        <f ca="1">IFERROR(__xludf.DUMMYFUNCTION("""COMPUTED_VALUE"""),"")</f>
        <v/>
      </c>
    </row>
    <row r="19208" spans="2:4" ht="13">
      <c r="B19208" s="12" t="str">
        <f ca="1">IFERROR(__xludf.DUMMYFUNCTION("""COMPUTED_VALUE"""),"")</f>
        <v/>
      </c>
      <c r="C19208" s="12" t="str">
        <f ca="1">IFERROR(__xludf.DUMMYFUNCTION("""COMPUTED_VALUE"""),"")</f>
        <v/>
      </c>
      <c r="D19208" s="12" t="str">
        <f ca="1">IFERROR(__xludf.DUMMYFUNCTION("""COMPUTED_VALUE"""),"")</f>
        <v/>
      </c>
    </row>
    <row r="19209" spans="2:4" ht="13">
      <c r="B19209" s="12" t="str">
        <f ca="1">IFERROR(__xludf.DUMMYFUNCTION("""COMPUTED_VALUE"""),"")</f>
        <v/>
      </c>
      <c r="C19209" s="12" t="str">
        <f ca="1">IFERROR(__xludf.DUMMYFUNCTION("""COMPUTED_VALUE"""),"")</f>
        <v/>
      </c>
      <c r="D19209" s="12" t="str">
        <f ca="1">IFERROR(__xludf.DUMMYFUNCTION("""COMPUTED_VALUE"""),"")</f>
        <v/>
      </c>
    </row>
    <row r="19210" spans="2:4" ht="13">
      <c r="B19210" s="12" t="str">
        <f ca="1">IFERROR(__xludf.DUMMYFUNCTION("""COMPUTED_VALUE"""),"")</f>
        <v/>
      </c>
      <c r="C19210" s="12" t="str">
        <f ca="1">IFERROR(__xludf.DUMMYFUNCTION("""COMPUTED_VALUE"""),"")</f>
        <v/>
      </c>
      <c r="D19210" s="12" t="str">
        <f ca="1">IFERROR(__xludf.DUMMYFUNCTION("""COMPUTED_VALUE"""),"")</f>
        <v/>
      </c>
    </row>
    <row r="19211" spans="2:4" ht="13">
      <c r="B19211" s="12" t="str">
        <f ca="1">IFERROR(__xludf.DUMMYFUNCTION("""COMPUTED_VALUE"""),"")</f>
        <v/>
      </c>
      <c r="C19211" s="12" t="str">
        <f ca="1">IFERROR(__xludf.DUMMYFUNCTION("""COMPUTED_VALUE"""),"")</f>
        <v/>
      </c>
      <c r="D19211" s="12" t="str">
        <f ca="1">IFERROR(__xludf.DUMMYFUNCTION("""COMPUTED_VALUE"""),"")</f>
        <v/>
      </c>
    </row>
    <row r="19212" spans="2:4" ht="13">
      <c r="B19212" s="12" t="str">
        <f ca="1">IFERROR(__xludf.DUMMYFUNCTION("""COMPUTED_VALUE"""),"")</f>
        <v/>
      </c>
      <c r="C19212" s="12" t="str">
        <f ca="1">IFERROR(__xludf.DUMMYFUNCTION("""COMPUTED_VALUE"""),"")</f>
        <v/>
      </c>
      <c r="D19212" s="12" t="str">
        <f ca="1">IFERROR(__xludf.DUMMYFUNCTION("""COMPUTED_VALUE"""),"")</f>
        <v/>
      </c>
    </row>
    <row r="19213" spans="2:4" ht="13">
      <c r="B19213" s="12" t="str">
        <f ca="1">IFERROR(__xludf.DUMMYFUNCTION("""COMPUTED_VALUE"""),"")</f>
        <v/>
      </c>
      <c r="C19213" s="12" t="str">
        <f ca="1">IFERROR(__xludf.DUMMYFUNCTION("""COMPUTED_VALUE"""),"")</f>
        <v/>
      </c>
      <c r="D19213" s="12" t="str">
        <f ca="1">IFERROR(__xludf.DUMMYFUNCTION("""COMPUTED_VALUE"""),"")</f>
        <v/>
      </c>
    </row>
    <row r="19214" spans="2:4" ht="13">
      <c r="B19214" s="12" t="str">
        <f ca="1">IFERROR(__xludf.DUMMYFUNCTION("""COMPUTED_VALUE"""),"")</f>
        <v/>
      </c>
      <c r="C19214" s="12" t="str">
        <f ca="1">IFERROR(__xludf.DUMMYFUNCTION("""COMPUTED_VALUE"""),"")</f>
        <v/>
      </c>
      <c r="D19214" s="12" t="str">
        <f ca="1">IFERROR(__xludf.DUMMYFUNCTION("""COMPUTED_VALUE"""),"")</f>
        <v/>
      </c>
    </row>
    <row r="19215" spans="2:4" ht="13">
      <c r="B19215" s="12" t="str">
        <f ca="1">IFERROR(__xludf.DUMMYFUNCTION("""COMPUTED_VALUE"""),"")</f>
        <v/>
      </c>
      <c r="C19215" s="12" t="str">
        <f ca="1">IFERROR(__xludf.DUMMYFUNCTION("""COMPUTED_VALUE"""),"")</f>
        <v/>
      </c>
      <c r="D19215" s="12" t="str">
        <f ca="1">IFERROR(__xludf.DUMMYFUNCTION("""COMPUTED_VALUE"""),"")</f>
        <v/>
      </c>
    </row>
    <row r="19216" spans="2:4" ht="13">
      <c r="B19216" s="12" t="str">
        <f ca="1">IFERROR(__xludf.DUMMYFUNCTION("""COMPUTED_VALUE"""),"")</f>
        <v/>
      </c>
      <c r="C19216" s="12" t="str">
        <f ca="1">IFERROR(__xludf.DUMMYFUNCTION("""COMPUTED_VALUE"""),"")</f>
        <v/>
      </c>
      <c r="D19216" s="12" t="str">
        <f ca="1">IFERROR(__xludf.DUMMYFUNCTION("""COMPUTED_VALUE"""),"")</f>
        <v/>
      </c>
    </row>
    <row r="19217" spans="2:4" ht="13">
      <c r="B19217" s="12" t="str">
        <f ca="1">IFERROR(__xludf.DUMMYFUNCTION("""COMPUTED_VALUE"""),"")</f>
        <v/>
      </c>
      <c r="C19217" s="12" t="str">
        <f ca="1">IFERROR(__xludf.DUMMYFUNCTION("""COMPUTED_VALUE"""),"")</f>
        <v/>
      </c>
      <c r="D19217" s="12" t="str">
        <f ca="1">IFERROR(__xludf.DUMMYFUNCTION("""COMPUTED_VALUE"""),"")</f>
        <v/>
      </c>
    </row>
    <row r="19218" spans="2:4" ht="13">
      <c r="B19218" s="12" t="str">
        <f ca="1">IFERROR(__xludf.DUMMYFUNCTION("""COMPUTED_VALUE"""),"")</f>
        <v/>
      </c>
      <c r="C19218" s="12" t="str">
        <f ca="1">IFERROR(__xludf.DUMMYFUNCTION("""COMPUTED_VALUE"""),"")</f>
        <v/>
      </c>
      <c r="D19218" s="12" t="str">
        <f ca="1">IFERROR(__xludf.DUMMYFUNCTION("""COMPUTED_VALUE"""),"")</f>
        <v/>
      </c>
    </row>
    <row r="19219" spans="2:4" ht="13">
      <c r="B19219" s="12" t="str">
        <f ca="1">IFERROR(__xludf.DUMMYFUNCTION("""COMPUTED_VALUE"""),"")</f>
        <v/>
      </c>
      <c r="C19219" s="12" t="str">
        <f ca="1">IFERROR(__xludf.DUMMYFUNCTION("""COMPUTED_VALUE"""),"")</f>
        <v/>
      </c>
      <c r="D19219" s="12" t="str">
        <f ca="1">IFERROR(__xludf.DUMMYFUNCTION("""COMPUTED_VALUE"""),"")</f>
        <v/>
      </c>
    </row>
    <row r="19220" spans="2:4" ht="13">
      <c r="B19220" s="12" t="str">
        <f ca="1">IFERROR(__xludf.DUMMYFUNCTION("""COMPUTED_VALUE"""),"")</f>
        <v/>
      </c>
      <c r="C19220" s="12" t="str">
        <f ca="1">IFERROR(__xludf.DUMMYFUNCTION("""COMPUTED_VALUE"""),"")</f>
        <v/>
      </c>
      <c r="D19220" s="12" t="str">
        <f ca="1">IFERROR(__xludf.DUMMYFUNCTION("""COMPUTED_VALUE"""),"")</f>
        <v/>
      </c>
    </row>
    <row r="19221" spans="2:4" ht="13">
      <c r="B19221" s="12" t="str">
        <f ca="1">IFERROR(__xludf.DUMMYFUNCTION("""COMPUTED_VALUE"""),"")</f>
        <v/>
      </c>
      <c r="C19221" s="12" t="str">
        <f ca="1">IFERROR(__xludf.DUMMYFUNCTION("""COMPUTED_VALUE"""),"")</f>
        <v/>
      </c>
      <c r="D19221" s="12" t="str">
        <f ca="1">IFERROR(__xludf.DUMMYFUNCTION("""COMPUTED_VALUE"""),"")</f>
        <v/>
      </c>
    </row>
    <row r="19222" spans="2:4" ht="13">
      <c r="B19222" s="12" t="str">
        <f ca="1">IFERROR(__xludf.DUMMYFUNCTION("""COMPUTED_VALUE"""),"")</f>
        <v/>
      </c>
      <c r="C19222" s="12" t="str">
        <f ca="1">IFERROR(__xludf.DUMMYFUNCTION("""COMPUTED_VALUE"""),"")</f>
        <v/>
      </c>
      <c r="D19222" s="12" t="str">
        <f ca="1">IFERROR(__xludf.DUMMYFUNCTION("""COMPUTED_VALUE"""),"")</f>
        <v/>
      </c>
    </row>
    <row r="19223" spans="2:4" ht="13">
      <c r="B19223" s="12" t="str">
        <f ca="1">IFERROR(__xludf.DUMMYFUNCTION("""COMPUTED_VALUE"""),"")</f>
        <v/>
      </c>
      <c r="C19223" s="12" t="str">
        <f ca="1">IFERROR(__xludf.DUMMYFUNCTION("""COMPUTED_VALUE"""),"")</f>
        <v/>
      </c>
      <c r="D19223" s="12" t="str">
        <f ca="1">IFERROR(__xludf.DUMMYFUNCTION("""COMPUTED_VALUE"""),"")</f>
        <v/>
      </c>
    </row>
    <row r="19224" spans="2:4" ht="13">
      <c r="B19224" s="12" t="str">
        <f ca="1">IFERROR(__xludf.DUMMYFUNCTION("""COMPUTED_VALUE"""),"")</f>
        <v/>
      </c>
      <c r="C19224" s="12" t="str">
        <f ca="1">IFERROR(__xludf.DUMMYFUNCTION("""COMPUTED_VALUE"""),"")</f>
        <v/>
      </c>
      <c r="D19224" s="12" t="str">
        <f ca="1">IFERROR(__xludf.DUMMYFUNCTION("""COMPUTED_VALUE"""),"")</f>
        <v/>
      </c>
    </row>
    <row r="19225" spans="2:4" ht="13">
      <c r="B19225" s="12" t="str">
        <f ca="1">IFERROR(__xludf.DUMMYFUNCTION("""COMPUTED_VALUE"""),"")</f>
        <v/>
      </c>
      <c r="C19225" s="12" t="str">
        <f ca="1">IFERROR(__xludf.DUMMYFUNCTION("""COMPUTED_VALUE"""),"")</f>
        <v/>
      </c>
      <c r="D19225" s="12" t="str">
        <f ca="1">IFERROR(__xludf.DUMMYFUNCTION("""COMPUTED_VALUE"""),"")</f>
        <v/>
      </c>
    </row>
    <row r="19226" spans="2:4" ht="13">
      <c r="B19226" s="12" t="str">
        <f ca="1">IFERROR(__xludf.DUMMYFUNCTION("""COMPUTED_VALUE"""),"")</f>
        <v/>
      </c>
      <c r="C19226" s="12" t="str">
        <f ca="1">IFERROR(__xludf.DUMMYFUNCTION("""COMPUTED_VALUE"""),"")</f>
        <v/>
      </c>
      <c r="D19226" s="12" t="str">
        <f ca="1">IFERROR(__xludf.DUMMYFUNCTION("""COMPUTED_VALUE"""),"")</f>
        <v/>
      </c>
    </row>
    <row r="19227" spans="2:4" ht="13">
      <c r="B19227" s="12" t="str">
        <f ca="1">IFERROR(__xludf.DUMMYFUNCTION("""COMPUTED_VALUE"""),"")</f>
        <v/>
      </c>
      <c r="C19227" s="12" t="str">
        <f ca="1">IFERROR(__xludf.DUMMYFUNCTION("""COMPUTED_VALUE"""),"")</f>
        <v/>
      </c>
      <c r="D19227" s="12" t="str">
        <f ca="1">IFERROR(__xludf.DUMMYFUNCTION("""COMPUTED_VALUE"""),"")</f>
        <v/>
      </c>
    </row>
    <row r="19228" spans="2:4" ht="13">
      <c r="B19228" s="12" t="str">
        <f ca="1">IFERROR(__xludf.DUMMYFUNCTION("""COMPUTED_VALUE"""),"")</f>
        <v/>
      </c>
      <c r="C19228" s="12" t="str">
        <f ca="1">IFERROR(__xludf.DUMMYFUNCTION("""COMPUTED_VALUE"""),"")</f>
        <v/>
      </c>
      <c r="D19228" s="12" t="str">
        <f ca="1">IFERROR(__xludf.DUMMYFUNCTION("""COMPUTED_VALUE"""),"")</f>
        <v/>
      </c>
    </row>
    <row r="19229" spans="2:4" ht="13">
      <c r="B19229" s="12" t="str">
        <f ca="1">IFERROR(__xludf.DUMMYFUNCTION("""COMPUTED_VALUE"""),"")</f>
        <v/>
      </c>
      <c r="C19229" s="12" t="str">
        <f ca="1">IFERROR(__xludf.DUMMYFUNCTION("""COMPUTED_VALUE"""),"")</f>
        <v/>
      </c>
      <c r="D19229" s="12" t="str">
        <f ca="1">IFERROR(__xludf.DUMMYFUNCTION("""COMPUTED_VALUE"""),"")</f>
        <v/>
      </c>
    </row>
    <row r="19230" spans="2:4" ht="13">
      <c r="B19230" s="12" t="str">
        <f ca="1">IFERROR(__xludf.DUMMYFUNCTION("""COMPUTED_VALUE"""),"")</f>
        <v/>
      </c>
      <c r="C19230" s="12" t="str">
        <f ca="1">IFERROR(__xludf.DUMMYFUNCTION("""COMPUTED_VALUE"""),"")</f>
        <v/>
      </c>
      <c r="D19230" s="12" t="str">
        <f ca="1">IFERROR(__xludf.DUMMYFUNCTION("""COMPUTED_VALUE"""),"")</f>
        <v/>
      </c>
    </row>
    <row r="19231" spans="2:4" ht="13">
      <c r="B19231" s="12" t="str">
        <f ca="1">IFERROR(__xludf.DUMMYFUNCTION("""COMPUTED_VALUE"""),"")</f>
        <v/>
      </c>
      <c r="C19231" s="12" t="str">
        <f ca="1">IFERROR(__xludf.DUMMYFUNCTION("""COMPUTED_VALUE"""),"")</f>
        <v/>
      </c>
      <c r="D19231" s="12" t="str">
        <f ca="1">IFERROR(__xludf.DUMMYFUNCTION("""COMPUTED_VALUE"""),"")</f>
        <v/>
      </c>
    </row>
    <row r="19232" spans="2:4" ht="13">
      <c r="B19232" s="12" t="str">
        <f ca="1">IFERROR(__xludf.DUMMYFUNCTION("""COMPUTED_VALUE"""),"")</f>
        <v/>
      </c>
      <c r="C19232" s="12" t="str">
        <f ca="1">IFERROR(__xludf.DUMMYFUNCTION("""COMPUTED_VALUE"""),"")</f>
        <v/>
      </c>
      <c r="D19232" s="12" t="str">
        <f ca="1">IFERROR(__xludf.DUMMYFUNCTION("""COMPUTED_VALUE"""),"")</f>
        <v/>
      </c>
    </row>
    <row r="19233" spans="2:4" ht="13">
      <c r="B19233" s="12" t="str">
        <f ca="1">IFERROR(__xludf.DUMMYFUNCTION("""COMPUTED_VALUE"""),"")</f>
        <v/>
      </c>
      <c r="C19233" s="12" t="str">
        <f ca="1">IFERROR(__xludf.DUMMYFUNCTION("""COMPUTED_VALUE"""),"")</f>
        <v/>
      </c>
      <c r="D19233" s="12" t="str">
        <f ca="1">IFERROR(__xludf.DUMMYFUNCTION("""COMPUTED_VALUE"""),"")</f>
        <v/>
      </c>
    </row>
    <row r="19234" spans="2:4" ht="13">
      <c r="B19234" s="12" t="str">
        <f ca="1">IFERROR(__xludf.DUMMYFUNCTION("""COMPUTED_VALUE"""),"")</f>
        <v/>
      </c>
      <c r="C19234" s="12" t="str">
        <f ca="1">IFERROR(__xludf.DUMMYFUNCTION("""COMPUTED_VALUE"""),"")</f>
        <v/>
      </c>
      <c r="D19234" s="12" t="str">
        <f ca="1">IFERROR(__xludf.DUMMYFUNCTION("""COMPUTED_VALUE"""),"")</f>
        <v/>
      </c>
    </row>
    <row r="19235" spans="2:4" ht="13">
      <c r="B19235" s="12" t="str">
        <f ca="1">IFERROR(__xludf.DUMMYFUNCTION("""COMPUTED_VALUE"""),"")</f>
        <v/>
      </c>
      <c r="C19235" s="12" t="str">
        <f ca="1">IFERROR(__xludf.DUMMYFUNCTION("""COMPUTED_VALUE"""),"")</f>
        <v/>
      </c>
      <c r="D19235" s="12" t="str">
        <f ca="1">IFERROR(__xludf.DUMMYFUNCTION("""COMPUTED_VALUE"""),"")</f>
        <v/>
      </c>
    </row>
    <row r="19236" spans="2:4" ht="13">
      <c r="B19236" s="12" t="str">
        <f ca="1">IFERROR(__xludf.DUMMYFUNCTION("""COMPUTED_VALUE"""),"")</f>
        <v/>
      </c>
      <c r="C19236" s="12" t="str">
        <f ca="1">IFERROR(__xludf.DUMMYFUNCTION("""COMPUTED_VALUE"""),"")</f>
        <v/>
      </c>
      <c r="D19236" s="12" t="str">
        <f ca="1">IFERROR(__xludf.DUMMYFUNCTION("""COMPUTED_VALUE"""),"")</f>
        <v/>
      </c>
    </row>
    <row r="19237" spans="2:4" ht="13">
      <c r="B19237" s="12" t="str">
        <f ca="1">IFERROR(__xludf.DUMMYFUNCTION("""COMPUTED_VALUE"""),"")</f>
        <v/>
      </c>
      <c r="C19237" s="12" t="str">
        <f ca="1">IFERROR(__xludf.DUMMYFUNCTION("""COMPUTED_VALUE"""),"")</f>
        <v/>
      </c>
      <c r="D19237" s="12" t="str">
        <f ca="1">IFERROR(__xludf.DUMMYFUNCTION("""COMPUTED_VALUE"""),"")</f>
        <v/>
      </c>
    </row>
    <row r="19238" spans="2:4" ht="13">
      <c r="B19238" s="12" t="str">
        <f ca="1">IFERROR(__xludf.DUMMYFUNCTION("""COMPUTED_VALUE"""),"")</f>
        <v/>
      </c>
      <c r="C19238" s="12" t="str">
        <f ca="1">IFERROR(__xludf.DUMMYFUNCTION("""COMPUTED_VALUE"""),"")</f>
        <v/>
      </c>
      <c r="D19238" s="12" t="str">
        <f ca="1">IFERROR(__xludf.DUMMYFUNCTION("""COMPUTED_VALUE"""),"")</f>
        <v/>
      </c>
    </row>
    <row r="19239" spans="2:4" ht="13">
      <c r="B19239" s="12" t="str">
        <f ca="1">IFERROR(__xludf.DUMMYFUNCTION("""COMPUTED_VALUE"""),"")</f>
        <v/>
      </c>
      <c r="C19239" s="12" t="str">
        <f ca="1">IFERROR(__xludf.DUMMYFUNCTION("""COMPUTED_VALUE"""),"")</f>
        <v/>
      </c>
      <c r="D19239" s="12" t="str">
        <f ca="1">IFERROR(__xludf.DUMMYFUNCTION("""COMPUTED_VALUE"""),"")</f>
        <v/>
      </c>
    </row>
    <row r="19240" spans="2:4" ht="13">
      <c r="B19240" s="12" t="str">
        <f ca="1">IFERROR(__xludf.DUMMYFUNCTION("""COMPUTED_VALUE"""),"")</f>
        <v/>
      </c>
      <c r="C19240" s="12" t="str">
        <f ca="1">IFERROR(__xludf.DUMMYFUNCTION("""COMPUTED_VALUE"""),"")</f>
        <v/>
      </c>
      <c r="D19240" s="12" t="str">
        <f ca="1">IFERROR(__xludf.DUMMYFUNCTION("""COMPUTED_VALUE"""),"")</f>
        <v/>
      </c>
    </row>
    <row r="19241" spans="2:4" ht="13">
      <c r="B19241" s="12" t="str">
        <f ca="1">IFERROR(__xludf.DUMMYFUNCTION("""COMPUTED_VALUE"""),"")</f>
        <v/>
      </c>
      <c r="C19241" s="12" t="str">
        <f ca="1">IFERROR(__xludf.DUMMYFUNCTION("""COMPUTED_VALUE"""),"")</f>
        <v/>
      </c>
      <c r="D19241" s="12" t="str">
        <f ca="1">IFERROR(__xludf.DUMMYFUNCTION("""COMPUTED_VALUE"""),"")</f>
        <v/>
      </c>
    </row>
    <row r="19242" spans="2:4" ht="13">
      <c r="B19242" s="12" t="str">
        <f ca="1">IFERROR(__xludf.DUMMYFUNCTION("""COMPUTED_VALUE"""),"")</f>
        <v/>
      </c>
      <c r="C19242" s="12" t="str">
        <f ca="1">IFERROR(__xludf.DUMMYFUNCTION("""COMPUTED_VALUE"""),"")</f>
        <v/>
      </c>
      <c r="D19242" s="12" t="str">
        <f ca="1">IFERROR(__xludf.DUMMYFUNCTION("""COMPUTED_VALUE"""),"")</f>
        <v/>
      </c>
    </row>
    <row r="19243" spans="2:4" ht="13">
      <c r="B19243" s="12" t="str">
        <f ca="1">IFERROR(__xludf.DUMMYFUNCTION("""COMPUTED_VALUE"""),"")</f>
        <v/>
      </c>
      <c r="C19243" s="12" t="str">
        <f ca="1">IFERROR(__xludf.DUMMYFUNCTION("""COMPUTED_VALUE"""),"")</f>
        <v/>
      </c>
      <c r="D19243" s="12" t="str">
        <f ca="1">IFERROR(__xludf.DUMMYFUNCTION("""COMPUTED_VALUE"""),"")</f>
        <v/>
      </c>
    </row>
    <row r="19244" spans="2:4" ht="13">
      <c r="B19244" s="12" t="str">
        <f ca="1">IFERROR(__xludf.DUMMYFUNCTION("""COMPUTED_VALUE"""),"")</f>
        <v/>
      </c>
      <c r="C19244" s="12" t="str">
        <f ca="1">IFERROR(__xludf.DUMMYFUNCTION("""COMPUTED_VALUE"""),"")</f>
        <v/>
      </c>
      <c r="D19244" s="12" t="str">
        <f ca="1">IFERROR(__xludf.DUMMYFUNCTION("""COMPUTED_VALUE"""),"")</f>
        <v/>
      </c>
    </row>
    <row r="19245" spans="2:4" ht="13">
      <c r="B19245" s="12" t="str">
        <f ca="1">IFERROR(__xludf.DUMMYFUNCTION("""COMPUTED_VALUE"""),"")</f>
        <v/>
      </c>
      <c r="C19245" s="12" t="str">
        <f ca="1">IFERROR(__xludf.DUMMYFUNCTION("""COMPUTED_VALUE"""),"")</f>
        <v/>
      </c>
      <c r="D19245" s="12" t="str">
        <f ca="1">IFERROR(__xludf.DUMMYFUNCTION("""COMPUTED_VALUE"""),"")</f>
        <v/>
      </c>
    </row>
    <row r="19246" spans="2:4" ht="13">
      <c r="B19246" s="12" t="str">
        <f ca="1">IFERROR(__xludf.DUMMYFUNCTION("""COMPUTED_VALUE"""),"")</f>
        <v/>
      </c>
      <c r="C19246" s="12" t="str">
        <f ca="1">IFERROR(__xludf.DUMMYFUNCTION("""COMPUTED_VALUE"""),"")</f>
        <v/>
      </c>
      <c r="D19246" s="12" t="str">
        <f ca="1">IFERROR(__xludf.DUMMYFUNCTION("""COMPUTED_VALUE"""),"")</f>
        <v/>
      </c>
    </row>
    <row r="19247" spans="2:4" ht="13">
      <c r="B19247" s="12" t="str">
        <f ca="1">IFERROR(__xludf.DUMMYFUNCTION("""COMPUTED_VALUE"""),"")</f>
        <v/>
      </c>
      <c r="C19247" s="12" t="str">
        <f ca="1">IFERROR(__xludf.DUMMYFUNCTION("""COMPUTED_VALUE"""),"")</f>
        <v/>
      </c>
      <c r="D19247" s="12" t="str">
        <f ca="1">IFERROR(__xludf.DUMMYFUNCTION("""COMPUTED_VALUE"""),"")</f>
        <v/>
      </c>
    </row>
    <row r="19248" spans="2:4" ht="13">
      <c r="B19248" s="12" t="str">
        <f ca="1">IFERROR(__xludf.DUMMYFUNCTION("""COMPUTED_VALUE"""),"")</f>
        <v/>
      </c>
      <c r="C19248" s="12" t="str">
        <f ca="1">IFERROR(__xludf.DUMMYFUNCTION("""COMPUTED_VALUE"""),"")</f>
        <v/>
      </c>
      <c r="D19248" s="12" t="str">
        <f ca="1">IFERROR(__xludf.DUMMYFUNCTION("""COMPUTED_VALUE"""),"")</f>
        <v/>
      </c>
    </row>
    <row r="19249" spans="2:4" ht="13">
      <c r="B19249" s="12" t="str">
        <f ca="1">IFERROR(__xludf.DUMMYFUNCTION("""COMPUTED_VALUE"""),"")</f>
        <v/>
      </c>
      <c r="C19249" s="12" t="str">
        <f ca="1">IFERROR(__xludf.DUMMYFUNCTION("""COMPUTED_VALUE"""),"")</f>
        <v/>
      </c>
      <c r="D19249" s="12" t="str">
        <f ca="1">IFERROR(__xludf.DUMMYFUNCTION("""COMPUTED_VALUE"""),"")</f>
        <v/>
      </c>
    </row>
    <row r="19250" spans="2:4" ht="13">
      <c r="B19250" s="12" t="str">
        <f ca="1">IFERROR(__xludf.DUMMYFUNCTION("""COMPUTED_VALUE"""),"")</f>
        <v/>
      </c>
      <c r="C19250" s="12" t="str">
        <f ca="1">IFERROR(__xludf.DUMMYFUNCTION("""COMPUTED_VALUE"""),"")</f>
        <v/>
      </c>
      <c r="D19250" s="12" t="str">
        <f ca="1">IFERROR(__xludf.DUMMYFUNCTION("""COMPUTED_VALUE"""),"")</f>
        <v/>
      </c>
    </row>
    <row r="19251" spans="2:4" ht="13">
      <c r="B19251" s="12" t="str">
        <f ca="1">IFERROR(__xludf.DUMMYFUNCTION("""COMPUTED_VALUE"""),"")</f>
        <v/>
      </c>
      <c r="C19251" s="12" t="str">
        <f ca="1">IFERROR(__xludf.DUMMYFUNCTION("""COMPUTED_VALUE"""),"")</f>
        <v/>
      </c>
      <c r="D19251" s="12" t="str">
        <f ca="1">IFERROR(__xludf.DUMMYFUNCTION("""COMPUTED_VALUE"""),"")</f>
        <v/>
      </c>
    </row>
    <row r="19252" spans="2:4" ht="13">
      <c r="B19252" s="12" t="str">
        <f ca="1">IFERROR(__xludf.DUMMYFUNCTION("""COMPUTED_VALUE"""),"")</f>
        <v/>
      </c>
      <c r="C19252" s="12" t="str">
        <f ca="1">IFERROR(__xludf.DUMMYFUNCTION("""COMPUTED_VALUE"""),"")</f>
        <v/>
      </c>
      <c r="D19252" s="12" t="str">
        <f ca="1">IFERROR(__xludf.DUMMYFUNCTION("""COMPUTED_VALUE"""),"")</f>
        <v/>
      </c>
    </row>
    <row r="19253" spans="2:4" ht="13">
      <c r="B19253" s="12" t="str">
        <f ca="1">IFERROR(__xludf.DUMMYFUNCTION("""COMPUTED_VALUE"""),"")</f>
        <v/>
      </c>
      <c r="C19253" s="12" t="str">
        <f ca="1">IFERROR(__xludf.DUMMYFUNCTION("""COMPUTED_VALUE"""),"")</f>
        <v/>
      </c>
      <c r="D19253" s="12" t="str">
        <f ca="1">IFERROR(__xludf.DUMMYFUNCTION("""COMPUTED_VALUE"""),"")</f>
        <v/>
      </c>
    </row>
    <row r="19254" spans="2:4" ht="13">
      <c r="B19254" s="12" t="str">
        <f ca="1">IFERROR(__xludf.DUMMYFUNCTION("""COMPUTED_VALUE"""),"")</f>
        <v/>
      </c>
      <c r="C19254" s="12" t="str">
        <f ca="1">IFERROR(__xludf.DUMMYFUNCTION("""COMPUTED_VALUE"""),"")</f>
        <v/>
      </c>
      <c r="D19254" s="12" t="str">
        <f ca="1">IFERROR(__xludf.DUMMYFUNCTION("""COMPUTED_VALUE"""),"")</f>
        <v/>
      </c>
    </row>
    <row r="19255" spans="2:4" ht="13">
      <c r="B19255" s="12" t="str">
        <f ca="1">IFERROR(__xludf.DUMMYFUNCTION("""COMPUTED_VALUE"""),"")</f>
        <v/>
      </c>
      <c r="C19255" s="12" t="str">
        <f ca="1">IFERROR(__xludf.DUMMYFUNCTION("""COMPUTED_VALUE"""),"")</f>
        <v/>
      </c>
      <c r="D19255" s="12" t="str">
        <f ca="1">IFERROR(__xludf.DUMMYFUNCTION("""COMPUTED_VALUE"""),"")</f>
        <v/>
      </c>
    </row>
    <row r="19256" spans="2:4" ht="13">
      <c r="B19256" s="12" t="str">
        <f ca="1">IFERROR(__xludf.DUMMYFUNCTION("""COMPUTED_VALUE"""),"")</f>
        <v/>
      </c>
      <c r="C19256" s="12" t="str">
        <f ca="1">IFERROR(__xludf.DUMMYFUNCTION("""COMPUTED_VALUE"""),"")</f>
        <v/>
      </c>
      <c r="D19256" s="12" t="str">
        <f ca="1">IFERROR(__xludf.DUMMYFUNCTION("""COMPUTED_VALUE"""),"")</f>
        <v/>
      </c>
    </row>
    <row r="19257" spans="2:4" ht="13">
      <c r="B19257" s="12" t="str">
        <f ca="1">IFERROR(__xludf.DUMMYFUNCTION("""COMPUTED_VALUE"""),"")</f>
        <v/>
      </c>
      <c r="C19257" s="12" t="str">
        <f ca="1">IFERROR(__xludf.DUMMYFUNCTION("""COMPUTED_VALUE"""),"")</f>
        <v/>
      </c>
      <c r="D19257" s="12" t="str">
        <f ca="1">IFERROR(__xludf.DUMMYFUNCTION("""COMPUTED_VALUE"""),"")</f>
        <v/>
      </c>
    </row>
    <row r="19258" spans="2:4" ht="13">
      <c r="B19258" s="12" t="str">
        <f ca="1">IFERROR(__xludf.DUMMYFUNCTION("""COMPUTED_VALUE"""),"")</f>
        <v/>
      </c>
      <c r="C19258" s="12" t="str">
        <f ca="1">IFERROR(__xludf.DUMMYFUNCTION("""COMPUTED_VALUE"""),"")</f>
        <v/>
      </c>
      <c r="D19258" s="12" t="str">
        <f ca="1">IFERROR(__xludf.DUMMYFUNCTION("""COMPUTED_VALUE"""),"")</f>
        <v/>
      </c>
    </row>
    <row r="19259" spans="2:4" ht="13">
      <c r="B19259" s="12" t="str">
        <f ca="1">IFERROR(__xludf.DUMMYFUNCTION("""COMPUTED_VALUE"""),"")</f>
        <v/>
      </c>
      <c r="C19259" s="12" t="str">
        <f ca="1">IFERROR(__xludf.DUMMYFUNCTION("""COMPUTED_VALUE"""),"")</f>
        <v/>
      </c>
      <c r="D19259" s="12" t="str">
        <f ca="1">IFERROR(__xludf.DUMMYFUNCTION("""COMPUTED_VALUE"""),"")</f>
        <v/>
      </c>
    </row>
    <row r="19260" spans="2:4" ht="13">
      <c r="B19260" s="12" t="str">
        <f ca="1">IFERROR(__xludf.DUMMYFUNCTION("""COMPUTED_VALUE"""),"")</f>
        <v/>
      </c>
      <c r="C19260" s="12" t="str">
        <f ca="1">IFERROR(__xludf.DUMMYFUNCTION("""COMPUTED_VALUE"""),"")</f>
        <v/>
      </c>
      <c r="D19260" s="12" t="str">
        <f ca="1">IFERROR(__xludf.DUMMYFUNCTION("""COMPUTED_VALUE"""),"")</f>
        <v/>
      </c>
    </row>
    <row r="19261" spans="2:4" ht="13">
      <c r="B19261" s="12" t="str">
        <f ca="1">IFERROR(__xludf.DUMMYFUNCTION("""COMPUTED_VALUE"""),"")</f>
        <v/>
      </c>
      <c r="C19261" s="12" t="str">
        <f ca="1">IFERROR(__xludf.DUMMYFUNCTION("""COMPUTED_VALUE"""),"")</f>
        <v/>
      </c>
      <c r="D19261" s="12" t="str">
        <f ca="1">IFERROR(__xludf.DUMMYFUNCTION("""COMPUTED_VALUE"""),"")</f>
        <v/>
      </c>
    </row>
    <row r="19262" spans="2:4" ht="13">
      <c r="B19262" s="12" t="str">
        <f ca="1">IFERROR(__xludf.DUMMYFUNCTION("""COMPUTED_VALUE"""),"")</f>
        <v/>
      </c>
      <c r="C19262" s="12" t="str">
        <f ca="1">IFERROR(__xludf.DUMMYFUNCTION("""COMPUTED_VALUE"""),"")</f>
        <v/>
      </c>
      <c r="D19262" s="12" t="str">
        <f ca="1">IFERROR(__xludf.DUMMYFUNCTION("""COMPUTED_VALUE"""),"")</f>
        <v/>
      </c>
    </row>
    <row r="19263" spans="2:4" ht="13">
      <c r="B19263" s="12" t="str">
        <f ca="1">IFERROR(__xludf.DUMMYFUNCTION("""COMPUTED_VALUE"""),"")</f>
        <v/>
      </c>
      <c r="C19263" s="12" t="str">
        <f ca="1">IFERROR(__xludf.DUMMYFUNCTION("""COMPUTED_VALUE"""),"")</f>
        <v/>
      </c>
      <c r="D19263" s="12" t="str">
        <f ca="1">IFERROR(__xludf.DUMMYFUNCTION("""COMPUTED_VALUE"""),"")</f>
        <v/>
      </c>
    </row>
    <row r="19264" spans="2:4" ht="13">
      <c r="B19264" s="12" t="str">
        <f ca="1">IFERROR(__xludf.DUMMYFUNCTION("""COMPUTED_VALUE"""),"")</f>
        <v/>
      </c>
      <c r="C19264" s="12" t="str">
        <f ca="1">IFERROR(__xludf.DUMMYFUNCTION("""COMPUTED_VALUE"""),"")</f>
        <v/>
      </c>
      <c r="D19264" s="12" t="str">
        <f ca="1">IFERROR(__xludf.DUMMYFUNCTION("""COMPUTED_VALUE"""),"")</f>
        <v/>
      </c>
    </row>
    <row r="19265" spans="2:4" ht="13">
      <c r="B19265" s="12" t="str">
        <f ca="1">IFERROR(__xludf.DUMMYFUNCTION("""COMPUTED_VALUE"""),"")</f>
        <v/>
      </c>
      <c r="C19265" s="12" t="str">
        <f ca="1">IFERROR(__xludf.DUMMYFUNCTION("""COMPUTED_VALUE"""),"")</f>
        <v/>
      </c>
      <c r="D19265" s="12" t="str">
        <f ca="1">IFERROR(__xludf.DUMMYFUNCTION("""COMPUTED_VALUE"""),"")</f>
        <v/>
      </c>
    </row>
    <row r="19266" spans="2:4" ht="13">
      <c r="B19266" s="12" t="str">
        <f ca="1">IFERROR(__xludf.DUMMYFUNCTION("""COMPUTED_VALUE"""),"")</f>
        <v/>
      </c>
      <c r="C19266" s="12" t="str">
        <f ca="1">IFERROR(__xludf.DUMMYFUNCTION("""COMPUTED_VALUE"""),"")</f>
        <v/>
      </c>
      <c r="D19266" s="12" t="str">
        <f ca="1">IFERROR(__xludf.DUMMYFUNCTION("""COMPUTED_VALUE"""),"")</f>
        <v/>
      </c>
    </row>
    <row r="19267" spans="2:4" ht="13">
      <c r="B19267" s="12" t="str">
        <f ca="1">IFERROR(__xludf.DUMMYFUNCTION("""COMPUTED_VALUE"""),"")</f>
        <v/>
      </c>
      <c r="C19267" s="12" t="str">
        <f ca="1">IFERROR(__xludf.DUMMYFUNCTION("""COMPUTED_VALUE"""),"")</f>
        <v/>
      </c>
      <c r="D19267" s="12" t="str">
        <f ca="1">IFERROR(__xludf.DUMMYFUNCTION("""COMPUTED_VALUE"""),"")</f>
        <v/>
      </c>
    </row>
    <row r="19268" spans="2:4" ht="13">
      <c r="B19268" s="12" t="str">
        <f ca="1">IFERROR(__xludf.DUMMYFUNCTION("""COMPUTED_VALUE"""),"")</f>
        <v/>
      </c>
      <c r="C19268" s="12" t="str">
        <f ca="1">IFERROR(__xludf.DUMMYFUNCTION("""COMPUTED_VALUE"""),"")</f>
        <v/>
      </c>
      <c r="D19268" s="12" t="str">
        <f ca="1">IFERROR(__xludf.DUMMYFUNCTION("""COMPUTED_VALUE"""),"")</f>
        <v/>
      </c>
    </row>
    <row r="19269" spans="2:4" ht="13">
      <c r="B19269" s="12" t="str">
        <f ca="1">IFERROR(__xludf.DUMMYFUNCTION("""COMPUTED_VALUE"""),"")</f>
        <v/>
      </c>
      <c r="C19269" s="12" t="str">
        <f ca="1">IFERROR(__xludf.DUMMYFUNCTION("""COMPUTED_VALUE"""),"")</f>
        <v/>
      </c>
      <c r="D19269" s="12" t="str">
        <f ca="1">IFERROR(__xludf.DUMMYFUNCTION("""COMPUTED_VALUE"""),"")</f>
        <v/>
      </c>
    </row>
    <row r="19270" spans="2:4" ht="13">
      <c r="B19270" s="12" t="str">
        <f ca="1">IFERROR(__xludf.DUMMYFUNCTION("""COMPUTED_VALUE"""),"")</f>
        <v/>
      </c>
      <c r="C19270" s="12" t="str">
        <f ca="1">IFERROR(__xludf.DUMMYFUNCTION("""COMPUTED_VALUE"""),"")</f>
        <v/>
      </c>
      <c r="D19270" s="12" t="str">
        <f ca="1">IFERROR(__xludf.DUMMYFUNCTION("""COMPUTED_VALUE"""),"")</f>
        <v/>
      </c>
    </row>
    <row r="19271" spans="2:4" ht="13">
      <c r="B19271" s="12" t="str">
        <f ca="1">IFERROR(__xludf.DUMMYFUNCTION("""COMPUTED_VALUE"""),"")</f>
        <v/>
      </c>
      <c r="C19271" s="12" t="str">
        <f ca="1">IFERROR(__xludf.DUMMYFUNCTION("""COMPUTED_VALUE"""),"")</f>
        <v/>
      </c>
      <c r="D19271" s="12" t="str">
        <f ca="1">IFERROR(__xludf.DUMMYFUNCTION("""COMPUTED_VALUE"""),"")</f>
        <v/>
      </c>
    </row>
    <row r="19272" spans="2:4" ht="13">
      <c r="B19272" s="12" t="str">
        <f ca="1">IFERROR(__xludf.DUMMYFUNCTION("""COMPUTED_VALUE"""),"")</f>
        <v/>
      </c>
      <c r="C19272" s="12" t="str">
        <f ca="1">IFERROR(__xludf.DUMMYFUNCTION("""COMPUTED_VALUE"""),"")</f>
        <v/>
      </c>
      <c r="D19272" s="12" t="str">
        <f ca="1">IFERROR(__xludf.DUMMYFUNCTION("""COMPUTED_VALUE"""),"")</f>
        <v/>
      </c>
    </row>
    <row r="19273" spans="2:4" ht="13">
      <c r="B19273" s="12" t="str">
        <f ca="1">IFERROR(__xludf.DUMMYFUNCTION("""COMPUTED_VALUE"""),"")</f>
        <v/>
      </c>
      <c r="C19273" s="12" t="str">
        <f ca="1">IFERROR(__xludf.DUMMYFUNCTION("""COMPUTED_VALUE"""),"")</f>
        <v/>
      </c>
      <c r="D19273" s="12" t="str">
        <f ca="1">IFERROR(__xludf.DUMMYFUNCTION("""COMPUTED_VALUE"""),"")</f>
        <v/>
      </c>
    </row>
    <row r="19274" spans="2:4" ht="13">
      <c r="B19274" s="12" t="str">
        <f ca="1">IFERROR(__xludf.DUMMYFUNCTION("""COMPUTED_VALUE"""),"")</f>
        <v/>
      </c>
      <c r="C19274" s="12" t="str">
        <f ca="1">IFERROR(__xludf.DUMMYFUNCTION("""COMPUTED_VALUE"""),"")</f>
        <v/>
      </c>
      <c r="D19274" s="12" t="str">
        <f ca="1">IFERROR(__xludf.DUMMYFUNCTION("""COMPUTED_VALUE"""),"")</f>
        <v/>
      </c>
    </row>
    <row r="19275" spans="2:4" ht="13">
      <c r="B19275" s="12" t="str">
        <f ca="1">IFERROR(__xludf.DUMMYFUNCTION("""COMPUTED_VALUE"""),"")</f>
        <v/>
      </c>
      <c r="C19275" s="12" t="str">
        <f ca="1">IFERROR(__xludf.DUMMYFUNCTION("""COMPUTED_VALUE"""),"")</f>
        <v/>
      </c>
      <c r="D19275" s="12" t="str">
        <f ca="1">IFERROR(__xludf.DUMMYFUNCTION("""COMPUTED_VALUE"""),"")</f>
        <v/>
      </c>
    </row>
    <row r="19276" spans="2:4" ht="13">
      <c r="B19276" s="12" t="str">
        <f ca="1">IFERROR(__xludf.DUMMYFUNCTION("""COMPUTED_VALUE"""),"")</f>
        <v/>
      </c>
      <c r="C19276" s="12" t="str">
        <f ca="1">IFERROR(__xludf.DUMMYFUNCTION("""COMPUTED_VALUE"""),"")</f>
        <v/>
      </c>
      <c r="D19276" s="12" t="str">
        <f ca="1">IFERROR(__xludf.DUMMYFUNCTION("""COMPUTED_VALUE"""),"")</f>
        <v/>
      </c>
    </row>
    <row r="19277" spans="2:4" ht="13">
      <c r="B19277" s="12" t="str">
        <f ca="1">IFERROR(__xludf.DUMMYFUNCTION("""COMPUTED_VALUE"""),"")</f>
        <v/>
      </c>
      <c r="C19277" s="12" t="str">
        <f ca="1">IFERROR(__xludf.DUMMYFUNCTION("""COMPUTED_VALUE"""),"")</f>
        <v/>
      </c>
      <c r="D19277" s="12" t="str">
        <f ca="1">IFERROR(__xludf.DUMMYFUNCTION("""COMPUTED_VALUE"""),"")</f>
        <v/>
      </c>
    </row>
    <row r="19278" spans="2:4" ht="13">
      <c r="B19278" s="12" t="str">
        <f ca="1">IFERROR(__xludf.DUMMYFUNCTION("""COMPUTED_VALUE"""),"")</f>
        <v/>
      </c>
      <c r="C19278" s="12" t="str">
        <f ca="1">IFERROR(__xludf.DUMMYFUNCTION("""COMPUTED_VALUE"""),"")</f>
        <v/>
      </c>
      <c r="D19278" s="12" t="str">
        <f ca="1">IFERROR(__xludf.DUMMYFUNCTION("""COMPUTED_VALUE"""),"")</f>
        <v/>
      </c>
    </row>
    <row r="19279" spans="2:4" ht="13">
      <c r="B19279" s="12" t="str">
        <f ca="1">IFERROR(__xludf.DUMMYFUNCTION("""COMPUTED_VALUE"""),"")</f>
        <v/>
      </c>
      <c r="C19279" s="12" t="str">
        <f ca="1">IFERROR(__xludf.DUMMYFUNCTION("""COMPUTED_VALUE"""),"")</f>
        <v/>
      </c>
      <c r="D19279" s="12" t="str">
        <f ca="1">IFERROR(__xludf.DUMMYFUNCTION("""COMPUTED_VALUE"""),"")</f>
        <v/>
      </c>
    </row>
    <row r="19280" spans="2:4" ht="13">
      <c r="B19280" s="12" t="str">
        <f ca="1">IFERROR(__xludf.DUMMYFUNCTION("""COMPUTED_VALUE"""),"")</f>
        <v/>
      </c>
      <c r="C19280" s="12" t="str">
        <f ca="1">IFERROR(__xludf.DUMMYFUNCTION("""COMPUTED_VALUE"""),"")</f>
        <v/>
      </c>
      <c r="D19280" s="12" t="str">
        <f ca="1">IFERROR(__xludf.DUMMYFUNCTION("""COMPUTED_VALUE"""),"")</f>
        <v/>
      </c>
    </row>
    <row r="19281" spans="2:4" ht="13">
      <c r="B19281" s="12" t="str">
        <f ca="1">IFERROR(__xludf.DUMMYFUNCTION("""COMPUTED_VALUE"""),"")</f>
        <v/>
      </c>
      <c r="C19281" s="12" t="str">
        <f ca="1">IFERROR(__xludf.DUMMYFUNCTION("""COMPUTED_VALUE"""),"")</f>
        <v/>
      </c>
      <c r="D19281" s="12" t="str">
        <f ca="1">IFERROR(__xludf.DUMMYFUNCTION("""COMPUTED_VALUE"""),"")</f>
        <v/>
      </c>
    </row>
    <row r="19282" spans="2:4" ht="13">
      <c r="B19282" s="12" t="str">
        <f ca="1">IFERROR(__xludf.DUMMYFUNCTION("""COMPUTED_VALUE"""),"")</f>
        <v/>
      </c>
      <c r="C19282" s="12" t="str">
        <f ca="1">IFERROR(__xludf.DUMMYFUNCTION("""COMPUTED_VALUE"""),"")</f>
        <v/>
      </c>
      <c r="D19282" s="12" t="str">
        <f ca="1">IFERROR(__xludf.DUMMYFUNCTION("""COMPUTED_VALUE"""),"")</f>
        <v/>
      </c>
    </row>
    <row r="19283" spans="2:4" ht="13">
      <c r="B19283" s="12" t="str">
        <f ca="1">IFERROR(__xludf.DUMMYFUNCTION("""COMPUTED_VALUE"""),"")</f>
        <v/>
      </c>
      <c r="C19283" s="12" t="str">
        <f ca="1">IFERROR(__xludf.DUMMYFUNCTION("""COMPUTED_VALUE"""),"")</f>
        <v/>
      </c>
      <c r="D19283" s="12" t="str">
        <f ca="1">IFERROR(__xludf.DUMMYFUNCTION("""COMPUTED_VALUE"""),"")</f>
        <v/>
      </c>
    </row>
    <row r="19284" spans="2:4" ht="13">
      <c r="B19284" s="12" t="str">
        <f ca="1">IFERROR(__xludf.DUMMYFUNCTION("""COMPUTED_VALUE"""),"")</f>
        <v/>
      </c>
      <c r="C19284" s="12" t="str">
        <f ca="1">IFERROR(__xludf.DUMMYFUNCTION("""COMPUTED_VALUE"""),"")</f>
        <v/>
      </c>
      <c r="D19284" s="12" t="str">
        <f ca="1">IFERROR(__xludf.DUMMYFUNCTION("""COMPUTED_VALUE"""),"")</f>
        <v/>
      </c>
    </row>
    <row r="19285" spans="2:4" ht="13">
      <c r="B19285" s="12" t="str">
        <f ca="1">IFERROR(__xludf.DUMMYFUNCTION("""COMPUTED_VALUE"""),"")</f>
        <v/>
      </c>
      <c r="C19285" s="12" t="str">
        <f ca="1">IFERROR(__xludf.DUMMYFUNCTION("""COMPUTED_VALUE"""),"")</f>
        <v/>
      </c>
      <c r="D19285" s="12" t="str">
        <f ca="1">IFERROR(__xludf.DUMMYFUNCTION("""COMPUTED_VALUE"""),"")</f>
        <v/>
      </c>
    </row>
    <row r="19286" spans="2:4" ht="13">
      <c r="B19286" s="12" t="str">
        <f ca="1">IFERROR(__xludf.DUMMYFUNCTION("""COMPUTED_VALUE"""),"")</f>
        <v/>
      </c>
      <c r="C19286" s="12" t="str">
        <f ca="1">IFERROR(__xludf.DUMMYFUNCTION("""COMPUTED_VALUE"""),"")</f>
        <v/>
      </c>
      <c r="D19286" s="12" t="str">
        <f ca="1">IFERROR(__xludf.DUMMYFUNCTION("""COMPUTED_VALUE"""),"")</f>
        <v/>
      </c>
    </row>
    <row r="19287" spans="2:4" ht="13">
      <c r="B19287" s="12" t="str">
        <f ca="1">IFERROR(__xludf.DUMMYFUNCTION("""COMPUTED_VALUE"""),"")</f>
        <v/>
      </c>
      <c r="C19287" s="12" t="str">
        <f ca="1">IFERROR(__xludf.DUMMYFUNCTION("""COMPUTED_VALUE"""),"")</f>
        <v/>
      </c>
      <c r="D19287" s="12" t="str">
        <f ca="1">IFERROR(__xludf.DUMMYFUNCTION("""COMPUTED_VALUE"""),"")</f>
        <v/>
      </c>
    </row>
    <row r="19288" spans="2:4" ht="13">
      <c r="B19288" s="12" t="str">
        <f ca="1">IFERROR(__xludf.DUMMYFUNCTION("""COMPUTED_VALUE"""),"")</f>
        <v/>
      </c>
      <c r="C19288" s="12" t="str">
        <f ca="1">IFERROR(__xludf.DUMMYFUNCTION("""COMPUTED_VALUE"""),"")</f>
        <v/>
      </c>
      <c r="D19288" s="12" t="str">
        <f ca="1">IFERROR(__xludf.DUMMYFUNCTION("""COMPUTED_VALUE"""),"")</f>
        <v/>
      </c>
    </row>
    <row r="19289" spans="2:4" ht="13">
      <c r="B19289" s="12" t="str">
        <f ca="1">IFERROR(__xludf.DUMMYFUNCTION("""COMPUTED_VALUE"""),"")</f>
        <v/>
      </c>
      <c r="C19289" s="12" t="str">
        <f ca="1">IFERROR(__xludf.DUMMYFUNCTION("""COMPUTED_VALUE"""),"")</f>
        <v/>
      </c>
      <c r="D19289" s="12" t="str">
        <f ca="1">IFERROR(__xludf.DUMMYFUNCTION("""COMPUTED_VALUE"""),"")</f>
        <v/>
      </c>
    </row>
    <row r="19290" spans="2:4" ht="13">
      <c r="B19290" s="12" t="str">
        <f ca="1">IFERROR(__xludf.DUMMYFUNCTION("""COMPUTED_VALUE"""),"")</f>
        <v/>
      </c>
      <c r="C19290" s="12" t="str">
        <f ca="1">IFERROR(__xludf.DUMMYFUNCTION("""COMPUTED_VALUE"""),"")</f>
        <v/>
      </c>
      <c r="D19290" s="12" t="str">
        <f ca="1">IFERROR(__xludf.DUMMYFUNCTION("""COMPUTED_VALUE"""),"")</f>
        <v/>
      </c>
    </row>
    <row r="19291" spans="2:4" ht="13">
      <c r="B19291" s="12" t="str">
        <f ca="1">IFERROR(__xludf.DUMMYFUNCTION("""COMPUTED_VALUE"""),"")</f>
        <v/>
      </c>
      <c r="C19291" s="12" t="str">
        <f ca="1">IFERROR(__xludf.DUMMYFUNCTION("""COMPUTED_VALUE"""),"")</f>
        <v/>
      </c>
      <c r="D19291" s="12" t="str">
        <f ca="1">IFERROR(__xludf.DUMMYFUNCTION("""COMPUTED_VALUE"""),"")</f>
        <v/>
      </c>
    </row>
    <row r="19292" spans="2:4" ht="13">
      <c r="B19292" s="12" t="str">
        <f ca="1">IFERROR(__xludf.DUMMYFUNCTION("""COMPUTED_VALUE"""),"")</f>
        <v/>
      </c>
      <c r="C19292" s="12" t="str">
        <f ca="1">IFERROR(__xludf.DUMMYFUNCTION("""COMPUTED_VALUE"""),"")</f>
        <v/>
      </c>
      <c r="D19292" s="12" t="str">
        <f ca="1">IFERROR(__xludf.DUMMYFUNCTION("""COMPUTED_VALUE"""),"")</f>
        <v/>
      </c>
    </row>
    <row r="19293" spans="2:4" ht="13">
      <c r="B19293" s="12" t="str">
        <f ca="1">IFERROR(__xludf.DUMMYFUNCTION("""COMPUTED_VALUE"""),"")</f>
        <v/>
      </c>
      <c r="C19293" s="12" t="str">
        <f ca="1">IFERROR(__xludf.DUMMYFUNCTION("""COMPUTED_VALUE"""),"")</f>
        <v/>
      </c>
      <c r="D19293" s="12" t="str">
        <f ca="1">IFERROR(__xludf.DUMMYFUNCTION("""COMPUTED_VALUE"""),"")</f>
        <v/>
      </c>
    </row>
    <row r="19294" spans="2:4" ht="13">
      <c r="B19294" s="12" t="str">
        <f ca="1">IFERROR(__xludf.DUMMYFUNCTION("""COMPUTED_VALUE"""),"")</f>
        <v/>
      </c>
      <c r="C19294" s="12" t="str">
        <f ca="1">IFERROR(__xludf.DUMMYFUNCTION("""COMPUTED_VALUE"""),"")</f>
        <v/>
      </c>
      <c r="D19294" s="12" t="str">
        <f ca="1">IFERROR(__xludf.DUMMYFUNCTION("""COMPUTED_VALUE"""),"")</f>
        <v/>
      </c>
    </row>
    <row r="19295" spans="2:4" ht="13">
      <c r="B19295" s="12" t="str">
        <f ca="1">IFERROR(__xludf.DUMMYFUNCTION("""COMPUTED_VALUE"""),"")</f>
        <v/>
      </c>
      <c r="C19295" s="12" t="str">
        <f ca="1">IFERROR(__xludf.DUMMYFUNCTION("""COMPUTED_VALUE"""),"")</f>
        <v/>
      </c>
      <c r="D19295" s="12" t="str">
        <f ca="1">IFERROR(__xludf.DUMMYFUNCTION("""COMPUTED_VALUE"""),"")</f>
        <v/>
      </c>
    </row>
    <row r="19296" spans="2:4" ht="13">
      <c r="B19296" s="12" t="str">
        <f ca="1">IFERROR(__xludf.DUMMYFUNCTION("""COMPUTED_VALUE"""),"")</f>
        <v/>
      </c>
      <c r="C19296" s="12" t="str">
        <f ca="1">IFERROR(__xludf.DUMMYFUNCTION("""COMPUTED_VALUE"""),"")</f>
        <v/>
      </c>
      <c r="D19296" s="12" t="str">
        <f ca="1">IFERROR(__xludf.DUMMYFUNCTION("""COMPUTED_VALUE"""),"")</f>
        <v/>
      </c>
    </row>
    <row r="19297" spans="2:4" ht="13">
      <c r="B19297" s="12" t="str">
        <f ca="1">IFERROR(__xludf.DUMMYFUNCTION("""COMPUTED_VALUE"""),"")</f>
        <v/>
      </c>
      <c r="C19297" s="12" t="str">
        <f ca="1">IFERROR(__xludf.DUMMYFUNCTION("""COMPUTED_VALUE"""),"")</f>
        <v/>
      </c>
      <c r="D19297" s="12" t="str">
        <f ca="1">IFERROR(__xludf.DUMMYFUNCTION("""COMPUTED_VALUE"""),"")</f>
        <v/>
      </c>
    </row>
    <row r="19298" spans="2:4" ht="13">
      <c r="B19298" s="12" t="str">
        <f ca="1">IFERROR(__xludf.DUMMYFUNCTION("""COMPUTED_VALUE"""),"")</f>
        <v/>
      </c>
      <c r="C19298" s="12" t="str">
        <f ca="1">IFERROR(__xludf.DUMMYFUNCTION("""COMPUTED_VALUE"""),"")</f>
        <v/>
      </c>
      <c r="D19298" s="12" t="str">
        <f ca="1">IFERROR(__xludf.DUMMYFUNCTION("""COMPUTED_VALUE"""),"")</f>
        <v/>
      </c>
    </row>
    <row r="19299" spans="2:4" ht="13">
      <c r="B19299" s="12" t="str">
        <f ca="1">IFERROR(__xludf.DUMMYFUNCTION("""COMPUTED_VALUE"""),"")</f>
        <v/>
      </c>
      <c r="C19299" s="12" t="str">
        <f ca="1">IFERROR(__xludf.DUMMYFUNCTION("""COMPUTED_VALUE"""),"")</f>
        <v/>
      </c>
      <c r="D19299" s="12" t="str">
        <f ca="1">IFERROR(__xludf.DUMMYFUNCTION("""COMPUTED_VALUE"""),"")</f>
        <v/>
      </c>
    </row>
    <row r="19300" spans="2:4" ht="13">
      <c r="B19300" s="12" t="str">
        <f ca="1">IFERROR(__xludf.DUMMYFUNCTION("""COMPUTED_VALUE"""),"")</f>
        <v/>
      </c>
      <c r="C19300" s="12" t="str">
        <f ca="1">IFERROR(__xludf.DUMMYFUNCTION("""COMPUTED_VALUE"""),"")</f>
        <v/>
      </c>
      <c r="D19300" s="12" t="str">
        <f ca="1">IFERROR(__xludf.DUMMYFUNCTION("""COMPUTED_VALUE"""),"")</f>
        <v/>
      </c>
    </row>
    <row r="19301" spans="2:4" ht="13">
      <c r="B19301" s="12" t="str">
        <f ca="1">IFERROR(__xludf.DUMMYFUNCTION("""COMPUTED_VALUE"""),"")</f>
        <v/>
      </c>
      <c r="C19301" s="12" t="str">
        <f ca="1">IFERROR(__xludf.DUMMYFUNCTION("""COMPUTED_VALUE"""),"")</f>
        <v/>
      </c>
      <c r="D19301" s="12" t="str">
        <f ca="1">IFERROR(__xludf.DUMMYFUNCTION("""COMPUTED_VALUE"""),"")</f>
        <v/>
      </c>
    </row>
    <row r="19302" spans="2:4" ht="13">
      <c r="B19302" s="12" t="str">
        <f ca="1">IFERROR(__xludf.DUMMYFUNCTION("""COMPUTED_VALUE"""),"")</f>
        <v/>
      </c>
      <c r="C19302" s="12" t="str">
        <f ca="1">IFERROR(__xludf.DUMMYFUNCTION("""COMPUTED_VALUE"""),"")</f>
        <v/>
      </c>
      <c r="D19302" s="12" t="str">
        <f ca="1">IFERROR(__xludf.DUMMYFUNCTION("""COMPUTED_VALUE"""),"")</f>
        <v/>
      </c>
    </row>
    <row r="19303" spans="2:4" ht="13">
      <c r="B19303" s="12" t="str">
        <f ca="1">IFERROR(__xludf.DUMMYFUNCTION("""COMPUTED_VALUE"""),"")</f>
        <v/>
      </c>
      <c r="C19303" s="12" t="str">
        <f ca="1">IFERROR(__xludf.DUMMYFUNCTION("""COMPUTED_VALUE"""),"")</f>
        <v/>
      </c>
      <c r="D19303" s="12" t="str">
        <f ca="1">IFERROR(__xludf.DUMMYFUNCTION("""COMPUTED_VALUE"""),"")</f>
        <v/>
      </c>
    </row>
    <row r="19304" spans="2:4" ht="13">
      <c r="B19304" s="12" t="str">
        <f ca="1">IFERROR(__xludf.DUMMYFUNCTION("""COMPUTED_VALUE"""),"")</f>
        <v/>
      </c>
      <c r="C19304" s="12" t="str">
        <f ca="1">IFERROR(__xludf.DUMMYFUNCTION("""COMPUTED_VALUE"""),"")</f>
        <v/>
      </c>
      <c r="D19304" s="12" t="str">
        <f ca="1">IFERROR(__xludf.DUMMYFUNCTION("""COMPUTED_VALUE"""),"")</f>
        <v/>
      </c>
    </row>
    <row r="19305" spans="2:4" ht="13">
      <c r="B19305" s="12" t="str">
        <f ca="1">IFERROR(__xludf.DUMMYFUNCTION("""COMPUTED_VALUE"""),"")</f>
        <v/>
      </c>
      <c r="C19305" s="12" t="str">
        <f ca="1">IFERROR(__xludf.DUMMYFUNCTION("""COMPUTED_VALUE"""),"")</f>
        <v/>
      </c>
      <c r="D19305" s="12" t="str">
        <f ca="1">IFERROR(__xludf.DUMMYFUNCTION("""COMPUTED_VALUE"""),"")</f>
        <v/>
      </c>
    </row>
    <row r="19306" spans="2:4" ht="13">
      <c r="B19306" s="12" t="str">
        <f ca="1">IFERROR(__xludf.DUMMYFUNCTION("""COMPUTED_VALUE"""),"")</f>
        <v/>
      </c>
      <c r="C19306" s="12" t="str">
        <f ca="1">IFERROR(__xludf.DUMMYFUNCTION("""COMPUTED_VALUE"""),"")</f>
        <v/>
      </c>
      <c r="D19306" s="12" t="str">
        <f ca="1">IFERROR(__xludf.DUMMYFUNCTION("""COMPUTED_VALUE"""),"")</f>
        <v/>
      </c>
    </row>
    <row r="19307" spans="2:4" ht="13">
      <c r="B19307" s="12" t="str">
        <f ca="1">IFERROR(__xludf.DUMMYFUNCTION("""COMPUTED_VALUE"""),"")</f>
        <v/>
      </c>
      <c r="C19307" s="12" t="str">
        <f ca="1">IFERROR(__xludf.DUMMYFUNCTION("""COMPUTED_VALUE"""),"")</f>
        <v/>
      </c>
      <c r="D19307" s="12" t="str">
        <f ca="1">IFERROR(__xludf.DUMMYFUNCTION("""COMPUTED_VALUE"""),"")</f>
        <v/>
      </c>
    </row>
    <row r="19308" spans="2:4" ht="13">
      <c r="B19308" s="12" t="str">
        <f ca="1">IFERROR(__xludf.DUMMYFUNCTION("""COMPUTED_VALUE"""),"")</f>
        <v/>
      </c>
      <c r="C19308" s="12" t="str">
        <f ca="1">IFERROR(__xludf.DUMMYFUNCTION("""COMPUTED_VALUE"""),"")</f>
        <v/>
      </c>
      <c r="D19308" s="12" t="str">
        <f ca="1">IFERROR(__xludf.DUMMYFUNCTION("""COMPUTED_VALUE"""),"")</f>
        <v/>
      </c>
    </row>
    <row r="19309" spans="2:4" ht="13">
      <c r="B19309" s="12" t="str">
        <f ca="1">IFERROR(__xludf.DUMMYFUNCTION("""COMPUTED_VALUE"""),"")</f>
        <v/>
      </c>
      <c r="C19309" s="12" t="str">
        <f ca="1">IFERROR(__xludf.DUMMYFUNCTION("""COMPUTED_VALUE"""),"")</f>
        <v/>
      </c>
      <c r="D19309" s="12" t="str">
        <f ca="1">IFERROR(__xludf.DUMMYFUNCTION("""COMPUTED_VALUE"""),"")</f>
        <v/>
      </c>
    </row>
    <row r="19310" spans="2:4" ht="13">
      <c r="B19310" s="12" t="str">
        <f ca="1">IFERROR(__xludf.DUMMYFUNCTION("""COMPUTED_VALUE"""),"")</f>
        <v/>
      </c>
      <c r="C19310" s="12" t="str">
        <f ca="1">IFERROR(__xludf.DUMMYFUNCTION("""COMPUTED_VALUE"""),"")</f>
        <v/>
      </c>
      <c r="D19310" s="12" t="str">
        <f ca="1">IFERROR(__xludf.DUMMYFUNCTION("""COMPUTED_VALUE"""),"")</f>
        <v/>
      </c>
    </row>
    <row r="19311" spans="2:4" ht="13">
      <c r="B19311" s="12" t="str">
        <f ca="1">IFERROR(__xludf.DUMMYFUNCTION("""COMPUTED_VALUE"""),"")</f>
        <v/>
      </c>
      <c r="C19311" s="12" t="str">
        <f ca="1">IFERROR(__xludf.DUMMYFUNCTION("""COMPUTED_VALUE"""),"")</f>
        <v/>
      </c>
      <c r="D19311" s="12" t="str">
        <f ca="1">IFERROR(__xludf.DUMMYFUNCTION("""COMPUTED_VALUE"""),"")</f>
        <v/>
      </c>
    </row>
    <row r="19312" spans="2:4" ht="13">
      <c r="B19312" s="12" t="str">
        <f ca="1">IFERROR(__xludf.DUMMYFUNCTION("""COMPUTED_VALUE"""),"")</f>
        <v/>
      </c>
      <c r="C19312" s="12" t="str">
        <f ca="1">IFERROR(__xludf.DUMMYFUNCTION("""COMPUTED_VALUE"""),"")</f>
        <v/>
      </c>
      <c r="D19312" s="12" t="str">
        <f ca="1">IFERROR(__xludf.DUMMYFUNCTION("""COMPUTED_VALUE"""),"")</f>
        <v/>
      </c>
    </row>
    <row r="19313" spans="2:4" ht="13">
      <c r="B19313" s="12" t="str">
        <f ca="1">IFERROR(__xludf.DUMMYFUNCTION("""COMPUTED_VALUE"""),"")</f>
        <v/>
      </c>
      <c r="C19313" s="12" t="str">
        <f ca="1">IFERROR(__xludf.DUMMYFUNCTION("""COMPUTED_VALUE"""),"")</f>
        <v/>
      </c>
      <c r="D19313" s="12" t="str">
        <f ca="1">IFERROR(__xludf.DUMMYFUNCTION("""COMPUTED_VALUE"""),"")</f>
        <v/>
      </c>
    </row>
    <row r="19314" spans="2:4" ht="13">
      <c r="B19314" s="12" t="str">
        <f ca="1">IFERROR(__xludf.DUMMYFUNCTION("""COMPUTED_VALUE"""),"")</f>
        <v/>
      </c>
      <c r="C19314" s="12" t="str">
        <f ca="1">IFERROR(__xludf.DUMMYFUNCTION("""COMPUTED_VALUE"""),"")</f>
        <v/>
      </c>
      <c r="D19314" s="12" t="str">
        <f ca="1">IFERROR(__xludf.DUMMYFUNCTION("""COMPUTED_VALUE"""),"")</f>
        <v/>
      </c>
    </row>
    <row r="19315" spans="2:4" ht="13">
      <c r="B19315" s="12" t="str">
        <f ca="1">IFERROR(__xludf.DUMMYFUNCTION("""COMPUTED_VALUE"""),"")</f>
        <v/>
      </c>
      <c r="C19315" s="12" t="str">
        <f ca="1">IFERROR(__xludf.DUMMYFUNCTION("""COMPUTED_VALUE"""),"")</f>
        <v/>
      </c>
      <c r="D19315" s="12" t="str">
        <f ca="1">IFERROR(__xludf.DUMMYFUNCTION("""COMPUTED_VALUE"""),"")</f>
        <v/>
      </c>
    </row>
    <row r="19316" spans="2:4" ht="13">
      <c r="B19316" s="12" t="str">
        <f ca="1">IFERROR(__xludf.DUMMYFUNCTION("""COMPUTED_VALUE"""),"")</f>
        <v/>
      </c>
      <c r="C19316" s="12" t="str">
        <f ca="1">IFERROR(__xludf.DUMMYFUNCTION("""COMPUTED_VALUE"""),"")</f>
        <v/>
      </c>
      <c r="D19316" s="12" t="str">
        <f ca="1">IFERROR(__xludf.DUMMYFUNCTION("""COMPUTED_VALUE"""),"")</f>
        <v/>
      </c>
    </row>
    <row r="19317" spans="2:4" ht="13">
      <c r="B19317" s="12" t="str">
        <f ca="1">IFERROR(__xludf.DUMMYFUNCTION("""COMPUTED_VALUE"""),"")</f>
        <v/>
      </c>
      <c r="C19317" s="12" t="str">
        <f ca="1">IFERROR(__xludf.DUMMYFUNCTION("""COMPUTED_VALUE"""),"")</f>
        <v/>
      </c>
      <c r="D19317" s="12" t="str">
        <f ca="1">IFERROR(__xludf.DUMMYFUNCTION("""COMPUTED_VALUE"""),"")</f>
        <v/>
      </c>
    </row>
    <row r="19318" spans="2:4" ht="13">
      <c r="B19318" s="12" t="str">
        <f ca="1">IFERROR(__xludf.DUMMYFUNCTION("""COMPUTED_VALUE"""),"")</f>
        <v/>
      </c>
      <c r="C19318" s="12" t="str">
        <f ca="1">IFERROR(__xludf.DUMMYFUNCTION("""COMPUTED_VALUE"""),"")</f>
        <v/>
      </c>
      <c r="D19318" s="12" t="str">
        <f ca="1">IFERROR(__xludf.DUMMYFUNCTION("""COMPUTED_VALUE"""),"")</f>
        <v/>
      </c>
    </row>
    <row r="19319" spans="2:4" ht="13">
      <c r="B19319" s="12" t="str">
        <f ca="1">IFERROR(__xludf.DUMMYFUNCTION("""COMPUTED_VALUE"""),"")</f>
        <v/>
      </c>
      <c r="C19319" s="12" t="str">
        <f ca="1">IFERROR(__xludf.DUMMYFUNCTION("""COMPUTED_VALUE"""),"")</f>
        <v/>
      </c>
      <c r="D19319" s="12" t="str">
        <f ca="1">IFERROR(__xludf.DUMMYFUNCTION("""COMPUTED_VALUE"""),"")</f>
        <v/>
      </c>
    </row>
    <row r="19320" spans="2:4" ht="13">
      <c r="B19320" s="12" t="str">
        <f ca="1">IFERROR(__xludf.DUMMYFUNCTION("""COMPUTED_VALUE"""),"")</f>
        <v/>
      </c>
      <c r="C19320" s="12" t="str">
        <f ca="1">IFERROR(__xludf.DUMMYFUNCTION("""COMPUTED_VALUE"""),"")</f>
        <v/>
      </c>
      <c r="D19320" s="12" t="str">
        <f ca="1">IFERROR(__xludf.DUMMYFUNCTION("""COMPUTED_VALUE"""),"")</f>
        <v/>
      </c>
    </row>
    <row r="19321" spans="2:4" ht="13">
      <c r="B19321" s="12" t="str">
        <f ca="1">IFERROR(__xludf.DUMMYFUNCTION("""COMPUTED_VALUE"""),"")</f>
        <v/>
      </c>
      <c r="C19321" s="12" t="str">
        <f ca="1">IFERROR(__xludf.DUMMYFUNCTION("""COMPUTED_VALUE"""),"")</f>
        <v/>
      </c>
      <c r="D19321" s="12" t="str">
        <f ca="1">IFERROR(__xludf.DUMMYFUNCTION("""COMPUTED_VALUE"""),"")</f>
        <v/>
      </c>
    </row>
    <row r="19322" spans="2:4" ht="13">
      <c r="B19322" s="12" t="str">
        <f ca="1">IFERROR(__xludf.DUMMYFUNCTION("""COMPUTED_VALUE"""),"")</f>
        <v/>
      </c>
      <c r="C19322" s="12" t="str">
        <f ca="1">IFERROR(__xludf.DUMMYFUNCTION("""COMPUTED_VALUE"""),"")</f>
        <v/>
      </c>
      <c r="D19322" s="12" t="str">
        <f ca="1">IFERROR(__xludf.DUMMYFUNCTION("""COMPUTED_VALUE"""),"")</f>
        <v/>
      </c>
    </row>
    <row r="19323" spans="2:4" ht="13">
      <c r="B19323" s="12" t="str">
        <f ca="1">IFERROR(__xludf.DUMMYFUNCTION("""COMPUTED_VALUE"""),"")</f>
        <v/>
      </c>
      <c r="C19323" s="12" t="str">
        <f ca="1">IFERROR(__xludf.DUMMYFUNCTION("""COMPUTED_VALUE"""),"")</f>
        <v/>
      </c>
      <c r="D19323" s="12" t="str">
        <f ca="1">IFERROR(__xludf.DUMMYFUNCTION("""COMPUTED_VALUE"""),"")</f>
        <v/>
      </c>
    </row>
    <row r="19324" spans="2:4" ht="13">
      <c r="B19324" s="12" t="str">
        <f ca="1">IFERROR(__xludf.DUMMYFUNCTION("""COMPUTED_VALUE"""),"")</f>
        <v/>
      </c>
      <c r="C19324" s="12" t="str">
        <f ca="1">IFERROR(__xludf.DUMMYFUNCTION("""COMPUTED_VALUE"""),"")</f>
        <v/>
      </c>
      <c r="D19324" s="12" t="str">
        <f ca="1">IFERROR(__xludf.DUMMYFUNCTION("""COMPUTED_VALUE"""),"")</f>
        <v/>
      </c>
    </row>
    <row r="19325" spans="2:4" ht="13">
      <c r="B19325" s="12" t="str">
        <f ca="1">IFERROR(__xludf.DUMMYFUNCTION("""COMPUTED_VALUE"""),"")</f>
        <v/>
      </c>
      <c r="C19325" s="12" t="str">
        <f ca="1">IFERROR(__xludf.DUMMYFUNCTION("""COMPUTED_VALUE"""),"")</f>
        <v/>
      </c>
      <c r="D19325" s="12" t="str">
        <f ca="1">IFERROR(__xludf.DUMMYFUNCTION("""COMPUTED_VALUE"""),"")</f>
        <v/>
      </c>
    </row>
    <row r="19326" spans="2:4" ht="13">
      <c r="B19326" s="12" t="str">
        <f ca="1">IFERROR(__xludf.DUMMYFUNCTION("""COMPUTED_VALUE"""),"")</f>
        <v/>
      </c>
      <c r="C19326" s="12" t="str">
        <f ca="1">IFERROR(__xludf.DUMMYFUNCTION("""COMPUTED_VALUE"""),"")</f>
        <v/>
      </c>
      <c r="D19326" s="12" t="str">
        <f ca="1">IFERROR(__xludf.DUMMYFUNCTION("""COMPUTED_VALUE"""),"")</f>
        <v/>
      </c>
    </row>
    <row r="19327" spans="2:4" ht="13">
      <c r="B19327" s="12" t="str">
        <f ca="1">IFERROR(__xludf.DUMMYFUNCTION("""COMPUTED_VALUE"""),"")</f>
        <v/>
      </c>
      <c r="C19327" s="12" t="str">
        <f ca="1">IFERROR(__xludf.DUMMYFUNCTION("""COMPUTED_VALUE"""),"")</f>
        <v/>
      </c>
      <c r="D19327" s="12" t="str">
        <f ca="1">IFERROR(__xludf.DUMMYFUNCTION("""COMPUTED_VALUE"""),"")</f>
        <v/>
      </c>
    </row>
    <row r="19328" spans="2:4" ht="13">
      <c r="B19328" s="12" t="str">
        <f ca="1">IFERROR(__xludf.DUMMYFUNCTION("""COMPUTED_VALUE"""),"")</f>
        <v/>
      </c>
      <c r="C19328" s="12" t="str">
        <f ca="1">IFERROR(__xludf.DUMMYFUNCTION("""COMPUTED_VALUE"""),"")</f>
        <v/>
      </c>
      <c r="D19328" s="12" t="str">
        <f ca="1">IFERROR(__xludf.DUMMYFUNCTION("""COMPUTED_VALUE"""),"")</f>
        <v/>
      </c>
    </row>
    <row r="19329" spans="2:4" ht="13">
      <c r="B19329" s="12" t="str">
        <f ca="1">IFERROR(__xludf.DUMMYFUNCTION("""COMPUTED_VALUE"""),"")</f>
        <v/>
      </c>
      <c r="C19329" s="12" t="str">
        <f ca="1">IFERROR(__xludf.DUMMYFUNCTION("""COMPUTED_VALUE"""),"")</f>
        <v/>
      </c>
      <c r="D19329" s="12" t="str">
        <f ca="1">IFERROR(__xludf.DUMMYFUNCTION("""COMPUTED_VALUE"""),"")</f>
        <v/>
      </c>
    </row>
    <row r="19330" spans="2:4" ht="13">
      <c r="B19330" s="12" t="str">
        <f ca="1">IFERROR(__xludf.DUMMYFUNCTION("""COMPUTED_VALUE"""),"")</f>
        <v/>
      </c>
      <c r="C19330" s="12" t="str">
        <f ca="1">IFERROR(__xludf.DUMMYFUNCTION("""COMPUTED_VALUE"""),"")</f>
        <v/>
      </c>
      <c r="D19330" s="12" t="str">
        <f ca="1">IFERROR(__xludf.DUMMYFUNCTION("""COMPUTED_VALUE"""),"")</f>
        <v/>
      </c>
    </row>
    <row r="19331" spans="2:4" ht="13">
      <c r="B19331" s="12" t="str">
        <f ca="1">IFERROR(__xludf.DUMMYFUNCTION("""COMPUTED_VALUE"""),"")</f>
        <v/>
      </c>
      <c r="C19331" s="12" t="str">
        <f ca="1">IFERROR(__xludf.DUMMYFUNCTION("""COMPUTED_VALUE"""),"")</f>
        <v/>
      </c>
      <c r="D19331" s="12" t="str">
        <f ca="1">IFERROR(__xludf.DUMMYFUNCTION("""COMPUTED_VALUE"""),"")</f>
        <v/>
      </c>
    </row>
    <row r="19332" spans="2:4" ht="13">
      <c r="B19332" s="12" t="str">
        <f ca="1">IFERROR(__xludf.DUMMYFUNCTION("""COMPUTED_VALUE"""),"")</f>
        <v/>
      </c>
      <c r="C19332" s="12" t="str">
        <f ca="1">IFERROR(__xludf.DUMMYFUNCTION("""COMPUTED_VALUE"""),"")</f>
        <v/>
      </c>
      <c r="D19332" s="12" t="str">
        <f ca="1">IFERROR(__xludf.DUMMYFUNCTION("""COMPUTED_VALUE"""),"")</f>
        <v/>
      </c>
    </row>
    <row r="19333" spans="2:4" ht="13">
      <c r="B19333" s="12" t="str">
        <f ca="1">IFERROR(__xludf.DUMMYFUNCTION("""COMPUTED_VALUE"""),"")</f>
        <v/>
      </c>
      <c r="C19333" s="12" t="str">
        <f ca="1">IFERROR(__xludf.DUMMYFUNCTION("""COMPUTED_VALUE"""),"")</f>
        <v/>
      </c>
      <c r="D19333" s="12" t="str">
        <f ca="1">IFERROR(__xludf.DUMMYFUNCTION("""COMPUTED_VALUE"""),"")</f>
        <v/>
      </c>
    </row>
    <row r="19334" spans="2:4" ht="13">
      <c r="B19334" s="12" t="str">
        <f ca="1">IFERROR(__xludf.DUMMYFUNCTION("""COMPUTED_VALUE"""),"")</f>
        <v/>
      </c>
      <c r="C19334" s="12" t="str">
        <f ca="1">IFERROR(__xludf.DUMMYFUNCTION("""COMPUTED_VALUE"""),"")</f>
        <v/>
      </c>
      <c r="D19334" s="12" t="str">
        <f ca="1">IFERROR(__xludf.DUMMYFUNCTION("""COMPUTED_VALUE"""),"")</f>
        <v/>
      </c>
    </row>
    <row r="19335" spans="2:4" ht="13">
      <c r="B19335" s="12" t="str">
        <f ca="1">IFERROR(__xludf.DUMMYFUNCTION("""COMPUTED_VALUE"""),"")</f>
        <v/>
      </c>
      <c r="C19335" s="12" t="str">
        <f ca="1">IFERROR(__xludf.DUMMYFUNCTION("""COMPUTED_VALUE"""),"")</f>
        <v/>
      </c>
      <c r="D19335" s="12" t="str">
        <f ca="1">IFERROR(__xludf.DUMMYFUNCTION("""COMPUTED_VALUE"""),"")</f>
        <v/>
      </c>
    </row>
    <row r="19336" spans="2:4" ht="13">
      <c r="B19336" s="12" t="str">
        <f ca="1">IFERROR(__xludf.DUMMYFUNCTION("""COMPUTED_VALUE"""),"")</f>
        <v/>
      </c>
      <c r="C19336" s="12" t="str">
        <f ca="1">IFERROR(__xludf.DUMMYFUNCTION("""COMPUTED_VALUE"""),"")</f>
        <v/>
      </c>
      <c r="D19336" s="12" t="str">
        <f ca="1">IFERROR(__xludf.DUMMYFUNCTION("""COMPUTED_VALUE"""),"")</f>
        <v/>
      </c>
    </row>
    <row r="19337" spans="2:4" ht="13">
      <c r="B19337" s="12" t="str">
        <f ca="1">IFERROR(__xludf.DUMMYFUNCTION("""COMPUTED_VALUE"""),"")</f>
        <v/>
      </c>
      <c r="C19337" s="12" t="str">
        <f ca="1">IFERROR(__xludf.DUMMYFUNCTION("""COMPUTED_VALUE"""),"")</f>
        <v/>
      </c>
      <c r="D19337" s="12" t="str">
        <f ca="1">IFERROR(__xludf.DUMMYFUNCTION("""COMPUTED_VALUE"""),"")</f>
        <v/>
      </c>
    </row>
    <row r="19338" spans="2:4" ht="13">
      <c r="B19338" s="12" t="str">
        <f ca="1">IFERROR(__xludf.DUMMYFUNCTION("""COMPUTED_VALUE"""),"")</f>
        <v/>
      </c>
      <c r="C19338" s="12" t="str">
        <f ca="1">IFERROR(__xludf.DUMMYFUNCTION("""COMPUTED_VALUE"""),"")</f>
        <v/>
      </c>
      <c r="D19338" s="12" t="str">
        <f ca="1">IFERROR(__xludf.DUMMYFUNCTION("""COMPUTED_VALUE"""),"")</f>
        <v/>
      </c>
    </row>
    <row r="19339" spans="2:4" ht="13">
      <c r="B19339" s="12" t="str">
        <f ca="1">IFERROR(__xludf.DUMMYFUNCTION("""COMPUTED_VALUE"""),"")</f>
        <v/>
      </c>
      <c r="C19339" s="12" t="str">
        <f ca="1">IFERROR(__xludf.DUMMYFUNCTION("""COMPUTED_VALUE"""),"")</f>
        <v/>
      </c>
      <c r="D19339" s="12" t="str">
        <f ca="1">IFERROR(__xludf.DUMMYFUNCTION("""COMPUTED_VALUE"""),"")</f>
        <v/>
      </c>
    </row>
    <row r="19340" spans="2:4" ht="13">
      <c r="B19340" s="12" t="str">
        <f ca="1">IFERROR(__xludf.DUMMYFUNCTION("""COMPUTED_VALUE"""),"")</f>
        <v/>
      </c>
      <c r="C19340" s="12" t="str">
        <f ca="1">IFERROR(__xludf.DUMMYFUNCTION("""COMPUTED_VALUE"""),"")</f>
        <v/>
      </c>
      <c r="D19340" s="12" t="str">
        <f ca="1">IFERROR(__xludf.DUMMYFUNCTION("""COMPUTED_VALUE"""),"")</f>
        <v/>
      </c>
    </row>
    <row r="19341" spans="2:4" ht="13">
      <c r="B19341" s="12" t="str">
        <f ca="1">IFERROR(__xludf.DUMMYFUNCTION("""COMPUTED_VALUE"""),"")</f>
        <v/>
      </c>
      <c r="C19341" s="12" t="str">
        <f ca="1">IFERROR(__xludf.DUMMYFUNCTION("""COMPUTED_VALUE"""),"")</f>
        <v/>
      </c>
      <c r="D19341" s="12" t="str">
        <f ca="1">IFERROR(__xludf.DUMMYFUNCTION("""COMPUTED_VALUE"""),"")</f>
        <v/>
      </c>
    </row>
    <row r="19342" spans="2:4" ht="13">
      <c r="B19342" s="12" t="str">
        <f ca="1">IFERROR(__xludf.DUMMYFUNCTION("""COMPUTED_VALUE"""),"")</f>
        <v/>
      </c>
      <c r="C19342" s="12" t="str">
        <f ca="1">IFERROR(__xludf.DUMMYFUNCTION("""COMPUTED_VALUE"""),"")</f>
        <v/>
      </c>
      <c r="D19342" s="12" t="str">
        <f ca="1">IFERROR(__xludf.DUMMYFUNCTION("""COMPUTED_VALUE"""),"")</f>
        <v/>
      </c>
    </row>
    <row r="19343" spans="2:4" ht="13">
      <c r="B19343" s="12" t="str">
        <f ca="1">IFERROR(__xludf.DUMMYFUNCTION("""COMPUTED_VALUE"""),"")</f>
        <v/>
      </c>
      <c r="C19343" s="12" t="str">
        <f ca="1">IFERROR(__xludf.DUMMYFUNCTION("""COMPUTED_VALUE"""),"")</f>
        <v/>
      </c>
      <c r="D19343" s="12" t="str">
        <f ca="1">IFERROR(__xludf.DUMMYFUNCTION("""COMPUTED_VALUE"""),"")</f>
        <v/>
      </c>
    </row>
    <row r="19344" spans="2:4" ht="13">
      <c r="B19344" s="12" t="str">
        <f ca="1">IFERROR(__xludf.DUMMYFUNCTION("""COMPUTED_VALUE"""),"")</f>
        <v/>
      </c>
      <c r="C19344" s="12" t="str">
        <f ca="1">IFERROR(__xludf.DUMMYFUNCTION("""COMPUTED_VALUE"""),"")</f>
        <v/>
      </c>
      <c r="D19344" s="12" t="str">
        <f ca="1">IFERROR(__xludf.DUMMYFUNCTION("""COMPUTED_VALUE"""),"")</f>
        <v/>
      </c>
    </row>
    <row r="19345" spans="2:4" ht="13">
      <c r="B19345" s="12" t="str">
        <f ca="1">IFERROR(__xludf.DUMMYFUNCTION("""COMPUTED_VALUE"""),"")</f>
        <v/>
      </c>
      <c r="C19345" s="12" t="str">
        <f ca="1">IFERROR(__xludf.DUMMYFUNCTION("""COMPUTED_VALUE"""),"")</f>
        <v/>
      </c>
      <c r="D19345" s="12" t="str">
        <f ca="1">IFERROR(__xludf.DUMMYFUNCTION("""COMPUTED_VALUE"""),"")</f>
        <v/>
      </c>
    </row>
    <row r="19346" spans="2:4" ht="13">
      <c r="B19346" s="12" t="str">
        <f ca="1">IFERROR(__xludf.DUMMYFUNCTION("""COMPUTED_VALUE"""),"")</f>
        <v/>
      </c>
      <c r="C19346" s="12" t="str">
        <f ca="1">IFERROR(__xludf.DUMMYFUNCTION("""COMPUTED_VALUE"""),"")</f>
        <v/>
      </c>
      <c r="D19346" s="12" t="str">
        <f ca="1">IFERROR(__xludf.DUMMYFUNCTION("""COMPUTED_VALUE"""),"")</f>
        <v/>
      </c>
    </row>
    <row r="19347" spans="2:4" ht="13">
      <c r="B19347" s="12" t="str">
        <f ca="1">IFERROR(__xludf.DUMMYFUNCTION("""COMPUTED_VALUE"""),"")</f>
        <v/>
      </c>
      <c r="C19347" s="12" t="str">
        <f ca="1">IFERROR(__xludf.DUMMYFUNCTION("""COMPUTED_VALUE"""),"")</f>
        <v/>
      </c>
      <c r="D19347" s="12" t="str">
        <f ca="1">IFERROR(__xludf.DUMMYFUNCTION("""COMPUTED_VALUE"""),"")</f>
        <v/>
      </c>
    </row>
    <row r="19348" spans="2:4" ht="13">
      <c r="B19348" s="12" t="str">
        <f ca="1">IFERROR(__xludf.DUMMYFUNCTION("""COMPUTED_VALUE"""),"")</f>
        <v/>
      </c>
      <c r="C19348" s="12" t="str">
        <f ca="1">IFERROR(__xludf.DUMMYFUNCTION("""COMPUTED_VALUE"""),"")</f>
        <v/>
      </c>
      <c r="D19348" s="12" t="str">
        <f ca="1">IFERROR(__xludf.DUMMYFUNCTION("""COMPUTED_VALUE"""),"")</f>
        <v/>
      </c>
    </row>
    <row r="19349" spans="2:4" ht="13">
      <c r="B19349" s="12" t="str">
        <f ca="1">IFERROR(__xludf.DUMMYFUNCTION("""COMPUTED_VALUE"""),"")</f>
        <v/>
      </c>
      <c r="C19349" s="12" t="str">
        <f ca="1">IFERROR(__xludf.DUMMYFUNCTION("""COMPUTED_VALUE"""),"")</f>
        <v/>
      </c>
      <c r="D19349" s="12" t="str">
        <f ca="1">IFERROR(__xludf.DUMMYFUNCTION("""COMPUTED_VALUE"""),"")</f>
        <v/>
      </c>
    </row>
    <row r="19350" spans="2:4" ht="13">
      <c r="B19350" s="12" t="str">
        <f ca="1">IFERROR(__xludf.DUMMYFUNCTION("""COMPUTED_VALUE"""),"")</f>
        <v/>
      </c>
      <c r="C19350" s="12" t="str">
        <f ca="1">IFERROR(__xludf.DUMMYFUNCTION("""COMPUTED_VALUE"""),"")</f>
        <v/>
      </c>
      <c r="D19350" s="12" t="str">
        <f ca="1">IFERROR(__xludf.DUMMYFUNCTION("""COMPUTED_VALUE"""),"")</f>
        <v/>
      </c>
    </row>
    <row r="19351" spans="2:4" ht="13">
      <c r="B19351" s="12" t="str">
        <f ca="1">IFERROR(__xludf.DUMMYFUNCTION("""COMPUTED_VALUE"""),"")</f>
        <v/>
      </c>
      <c r="C19351" s="12" t="str">
        <f ca="1">IFERROR(__xludf.DUMMYFUNCTION("""COMPUTED_VALUE"""),"")</f>
        <v/>
      </c>
      <c r="D19351" s="12" t="str">
        <f ca="1">IFERROR(__xludf.DUMMYFUNCTION("""COMPUTED_VALUE"""),"")</f>
        <v/>
      </c>
    </row>
    <row r="19352" spans="2:4" ht="13">
      <c r="B19352" s="12" t="str">
        <f ca="1">IFERROR(__xludf.DUMMYFUNCTION("""COMPUTED_VALUE"""),"")</f>
        <v/>
      </c>
      <c r="C19352" s="12" t="str">
        <f ca="1">IFERROR(__xludf.DUMMYFUNCTION("""COMPUTED_VALUE"""),"")</f>
        <v/>
      </c>
      <c r="D19352" s="12" t="str">
        <f ca="1">IFERROR(__xludf.DUMMYFUNCTION("""COMPUTED_VALUE"""),"")</f>
        <v/>
      </c>
    </row>
    <row r="19353" spans="2:4" ht="13">
      <c r="B19353" s="12" t="str">
        <f ca="1">IFERROR(__xludf.DUMMYFUNCTION("""COMPUTED_VALUE"""),"")</f>
        <v/>
      </c>
      <c r="C19353" s="12" t="str">
        <f ca="1">IFERROR(__xludf.DUMMYFUNCTION("""COMPUTED_VALUE"""),"")</f>
        <v/>
      </c>
      <c r="D19353" s="12" t="str">
        <f ca="1">IFERROR(__xludf.DUMMYFUNCTION("""COMPUTED_VALUE"""),"")</f>
        <v/>
      </c>
    </row>
    <row r="19354" spans="2:4" ht="13">
      <c r="B19354" s="12" t="str">
        <f ca="1">IFERROR(__xludf.DUMMYFUNCTION("""COMPUTED_VALUE"""),"")</f>
        <v/>
      </c>
      <c r="C19354" s="12" t="str">
        <f ca="1">IFERROR(__xludf.DUMMYFUNCTION("""COMPUTED_VALUE"""),"")</f>
        <v/>
      </c>
      <c r="D19354" s="12" t="str">
        <f ca="1">IFERROR(__xludf.DUMMYFUNCTION("""COMPUTED_VALUE"""),"")</f>
        <v/>
      </c>
    </row>
    <row r="19355" spans="2:4" ht="13">
      <c r="B19355" s="12" t="str">
        <f ca="1">IFERROR(__xludf.DUMMYFUNCTION("""COMPUTED_VALUE"""),"")</f>
        <v/>
      </c>
      <c r="C19355" s="12" t="str">
        <f ca="1">IFERROR(__xludf.DUMMYFUNCTION("""COMPUTED_VALUE"""),"")</f>
        <v/>
      </c>
      <c r="D19355" s="12" t="str">
        <f ca="1">IFERROR(__xludf.DUMMYFUNCTION("""COMPUTED_VALUE"""),"")</f>
        <v/>
      </c>
    </row>
    <row r="19356" spans="2:4" ht="13">
      <c r="B19356" s="12" t="str">
        <f ca="1">IFERROR(__xludf.DUMMYFUNCTION("""COMPUTED_VALUE"""),"")</f>
        <v/>
      </c>
      <c r="C19356" s="12" t="str">
        <f ca="1">IFERROR(__xludf.DUMMYFUNCTION("""COMPUTED_VALUE"""),"")</f>
        <v/>
      </c>
      <c r="D19356" s="12" t="str">
        <f ca="1">IFERROR(__xludf.DUMMYFUNCTION("""COMPUTED_VALUE"""),"")</f>
        <v/>
      </c>
    </row>
    <row r="19357" spans="2:4" ht="13">
      <c r="B19357" s="12" t="str">
        <f ca="1">IFERROR(__xludf.DUMMYFUNCTION("""COMPUTED_VALUE"""),"")</f>
        <v/>
      </c>
      <c r="C19357" s="12" t="str">
        <f ca="1">IFERROR(__xludf.DUMMYFUNCTION("""COMPUTED_VALUE"""),"")</f>
        <v/>
      </c>
      <c r="D19357" s="12" t="str">
        <f ca="1">IFERROR(__xludf.DUMMYFUNCTION("""COMPUTED_VALUE"""),"")</f>
        <v/>
      </c>
    </row>
    <row r="19358" spans="2:4" ht="13">
      <c r="B19358" s="12" t="str">
        <f ca="1">IFERROR(__xludf.DUMMYFUNCTION("""COMPUTED_VALUE"""),"")</f>
        <v/>
      </c>
      <c r="C19358" s="12" t="str">
        <f ca="1">IFERROR(__xludf.DUMMYFUNCTION("""COMPUTED_VALUE"""),"")</f>
        <v/>
      </c>
      <c r="D19358" s="12" t="str">
        <f ca="1">IFERROR(__xludf.DUMMYFUNCTION("""COMPUTED_VALUE"""),"")</f>
        <v/>
      </c>
    </row>
    <row r="19359" spans="2:4" ht="13">
      <c r="B19359" s="12" t="str">
        <f ca="1">IFERROR(__xludf.DUMMYFUNCTION("""COMPUTED_VALUE"""),"")</f>
        <v/>
      </c>
      <c r="C19359" s="12" t="str">
        <f ca="1">IFERROR(__xludf.DUMMYFUNCTION("""COMPUTED_VALUE"""),"")</f>
        <v/>
      </c>
      <c r="D19359" s="12" t="str">
        <f ca="1">IFERROR(__xludf.DUMMYFUNCTION("""COMPUTED_VALUE"""),"")</f>
        <v/>
      </c>
    </row>
    <row r="19360" spans="2:4" ht="13">
      <c r="B19360" s="12" t="str">
        <f ca="1">IFERROR(__xludf.DUMMYFUNCTION("""COMPUTED_VALUE"""),"")</f>
        <v/>
      </c>
      <c r="C19360" s="12" t="str">
        <f ca="1">IFERROR(__xludf.DUMMYFUNCTION("""COMPUTED_VALUE"""),"")</f>
        <v/>
      </c>
      <c r="D19360" s="12" t="str">
        <f ca="1">IFERROR(__xludf.DUMMYFUNCTION("""COMPUTED_VALUE"""),"")</f>
        <v/>
      </c>
    </row>
    <row r="19361" spans="2:4" ht="13">
      <c r="B19361" s="12" t="str">
        <f ca="1">IFERROR(__xludf.DUMMYFUNCTION("""COMPUTED_VALUE"""),"")</f>
        <v/>
      </c>
      <c r="C19361" s="12" t="str">
        <f ca="1">IFERROR(__xludf.DUMMYFUNCTION("""COMPUTED_VALUE"""),"")</f>
        <v/>
      </c>
      <c r="D19361" s="12" t="str">
        <f ca="1">IFERROR(__xludf.DUMMYFUNCTION("""COMPUTED_VALUE"""),"")</f>
        <v/>
      </c>
    </row>
    <row r="19362" spans="2:4" ht="13">
      <c r="B19362" s="12" t="str">
        <f ca="1">IFERROR(__xludf.DUMMYFUNCTION("""COMPUTED_VALUE"""),"")</f>
        <v/>
      </c>
      <c r="C19362" s="12" t="str">
        <f ca="1">IFERROR(__xludf.DUMMYFUNCTION("""COMPUTED_VALUE"""),"")</f>
        <v/>
      </c>
      <c r="D19362" s="12" t="str">
        <f ca="1">IFERROR(__xludf.DUMMYFUNCTION("""COMPUTED_VALUE"""),"")</f>
        <v/>
      </c>
    </row>
    <row r="19363" spans="2:4" ht="13">
      <c r="B19363" s="12" t="str">
        <f ca="1">IFERROR(__xludf.DUMMYFUNCTION("""COMPUTED_VALUE"""),"")</f>
        <v/>
      </c>
      <c r="C19363" s="12" t="str">
        <f ca="1">IFERROR(__xludf.DUMMYFUNCTION("""COMPUTED_VALUE"""),"")</f>
        <v/>
      </c>
      <c r="D19363" s="12" t="str">
        <f ca="1">IFERROR(__xludf.DUMMYFUNCTION("""COMPUTED_VALUE"""),"")</f>
        <v/>
      </c>
    </row>
    <row r="19364" spans="2:4" ht="13">
      <c r="B19364" s="12" t="str">
        <f ca="1">IFERROR(__xludf.DUMMYFUNCTION("""COMPUTED_VALUE"""),"")</f>
        <v/>
      </c>
      <c r="C19364" s="12" t="str">
        <f ca="1">IFERROR(__xludf.DUMMYFUNCTION("""COMPUTED_VALUE"""),"")</f>
        <v/>
      </c>
      <c r="D19364" s="12" t="str">
        <f ca="1">IFERROR(__xludf.DUMMYFUNCTION("""COMPUTED_VALUE"""),"")</f>
        <v/>
      </c>
    </row>
    <row r="19365" spans="2:4" ht="13">
      <c r="B19365" s="12" t="str">
        <f ca="1">IFERROR(__xludf.DUMMYFUNCTION("""COMPUTED_VALUE"""),"")</f>
        <v/>
      </c>
      <c r="C19365" s="12" t="str">
        <f ca="1">IFERROR(__xludf.DUMMYFUNCTION("""COMPUTED_VALUE"""),"")</f>
        <v/>
      </c>
      <c r="D19365" s="12" t="str">
        <f ca="1">IFERROR(__xludf.DUMMYFUNCTION("""COMPUTED_VALUE"""),"")</f>
        <v/>
      </c>
    </row>
    <row r="19366" spans="2:4" ht="13">
      <c r="B19366" s="12" t="str">
        <f ca="1">IFERROR(__xludf.DUMMYFUNCTION("""COMPUTED_VALUE"""),"")</f>
        <v/>
      </c>
      <c r="C19366" s="12" t="str">
        <f ca="1">IFERROR(__xludf.DUMMYFUNCTION("""COMPUTED_VALUE"""),"")</f>
        <v/>
      </c>
      <c r="D19366" s="12" t="str">
        <f ca="1">IFERROR(__xludf.DUMMYFUNCTION("""COMPUTED_VALUE"""),"")</f>
        <v/>
      </c>
    </row>
    <row r="19367" spans="2:4" ht="13">
      <c r="B19367" s="12" t="str">
        <f ca="1">IFERROR(__xludf.DUMMYFUNCTION("""COMPUTED_VALUE"""),"")</f>
        <v/>
      </c>
      <c r="C19367" s="12" t="str">
        <f ca="1">IFERROR(__xludf.DUMMYFUNCTION("""COMPUTED_VALUE"""),"")</f>
        <v/>
      </c>
      <c r="D19367" s="12" t="str">
        <f ca="1">IFERROR(__xludf.DUMMYFUNCTION("""COMPUTED_VALUE"""),"")</f>
        <v/>
      </c>
    </row>
    <row r="19368" spans="2:4" ht="13">
      <c r="B19368" s="12" t="str">
        <f ca="1">IFERROR(__xludf.DUMMYFUNCTION("""COMPUTED_VALUE"""),"")</f>
        <v/>
      </c>
      <c r="C19368" s="12" t="str">
        <f ca="1">IFERROR(__xludf.DUMMYFUNCTION("""COMPUTED_VALUE"""),"")</f>
        <v/>
      </c>
      <c r="D19368" s="12" t="str">
        <f ca="1">IFERROR(__xludf.DUMMYFUNCTION("""COMPUTED_VALUE"""),"")</f>
        <v/>
      </c>
    </row>
    <row r="19369" spans="2:4" ht="13">
      <c r="B19369" s="12" t="str">
        <f ca="1">IFERROR(__xludf.DUMMYFUNCTION("""COMPUTED_VALUE"""),"")</f>
        <v/>
      </c>
      <c r="C19369" s="12" t="str">
        <f ca="1">IFERROR(__xludf.DUMMYFUNCTION("""COMPUTED_VALUE"""),"")</f>
        <v/>
      </c>
      <c r="D19369" s="12" t="str">
        <f ca="1">IFERROR(__xludf.DUMMYFUNCTION("""COMPUTED_VALUE"""),"")</f>
        <v/>
      </c>
    </row>
    <row r="19370" spans="2:4" ht="13">
      <c r="B19370" s="12" t="str">
        <f ca="1">IFERROR(__xludf.DUMMYFUNCTION("""COMPUTED_VALUE"""),"")</f>
        <v/>
      </c>
      <c r="C19370" s="12" t="str">
        <f ca="1">IFERROR(__xludf.DUMMYFUNCTION("""COMPUTED_VALUE"""),"")</f>
        <v/>
      </c>
      <c r="D19370" s="12" t="str">
        <f ca="1">IFERROR(__xludf.DUMMYFUNCTION("""COMPUTED_VALUE"""),"")</f>
        <v/>
      </c>
    </row>
    <row r="19371" spans="2:4" ht="13">
      <c r="B19371" s="12" t="str">
        <f ca="1">IFERROR(__xludf.DUMMYFUNCTION("""COMPUTED_VALUE"""),"")</f>
        <v/>
      </c>
      <c r="C19371" s="12" t="str">
        <f ca="1">IFERROR(__xludf.DUMMYFUNCTION("""COMPUTED_VALUE"""),"")</f>
        <v/>
      </c>
      <c r="D19371" s="12" t="str">
        <f ca="1">IFERROR(__xludf.DUMMYFUNCTION("""COMPUTED_VALUE"""),"")</f>
        <v/>
      </c>
    </row>
    <row r="19372" spans="2:4" ht="13">
      <c r="B19372" s="12" t="str">
        <f ca="1">IFERROR(__xludf.DUMMYFUNCTION("""COMPUTED_VALUE"""),"")</f>
        <v/>
      </c>
      <c r="C19372" s="12" t="str">
        <f ca="1">IFERROR(__xludf.DUMMYFUNCTION("""COMPUTED_VALUE"""),"")</f>
        <v/>
      </c>
      <c r="D19372" s="12" t="str">
        <f ca="1">IFERROR(__xludf.DUMMYFUNCTION("""COMPUTED_VALUE"""),"")</f>
        <v/>
      </c>
    </row>
    <row r="19373" spans="2:4" ht="13">
      <c r="B19373" s="12" t="str">
        <f ca="1">IFERROR(__xludf.DUMMYFUNCTION("""COMPUTED_VALUE"""),"")</f>
        <v/>
      </c>
      <c r="C19373" s="12" t="str">
        <f ca="1">IFERROR(__xludf.DUMMYFUNCTION("""COMPUTED_VALUE"""),"")</f>
        <v/>
      </c>
      <c r="D19373" s="12" t="str">
        <f ca="1">IFERROR(__xludf.DUMMYFUNCTION("""COMPUTED_VALUE"""),"")</f>
        <v/>
      </c>
    </row>
    <row r="19374" spans="2:4" ht="13">
      <c r="B19374" s="12" t="str">
        <f ca="1">IFERROR(__xludf.DUMMYFUNCTION("""COMPUTED_VALUE"""),"")</f>
        <v/>
      </c>
      <c r="C19374" s="12" t="str">
        <f ca="1">IFERROR(__xludf.DUMMYFUNCTION("""COMPUTED_VALUE"""),"")</f>
        <v/>
      </c>
      <c r="D19374" s="12" t="str">
        <f ca="1">IFERROR(__xludf.DUMMYFUNCTION("""COMPUTED_VALUE"""),"")</f>
        <v/>
      </c>
    </row>
    <row r="19375" spans="2:4" ht="13">
      <c r="B19375" s="12" t="str">
        <f ca="1">IFERROR(__xludf.DUMMYFUNCTION("""COMPUTED_VALUE"""),"")</f>
        <v/>
      </c>
      <c r="C19375" s="12" t="str">
        <f ca="1">IFERROR(__xludf.DUMMYFUNCTION("""COMPUTED_VALUE"""),"")</f>
        <v/>
      </c>
      <c r="D19375" s="12" t="str">
        <f ca="1">IFERROR(__xludf.DUMMYFUNCTION("""COMPUTED_VALUE"""),"")</f>
        <v/>
      </c>
    </row>
    <row r="19376" spans="2:4" ht="13">
      <c r="B19376" s="12" t="str">
        <f ca="1">IFERROR(__xludf.DUMMYFUNCTION("""COMPUTED_VALUE"""),"")</f>
        <v/>
      </c>
      <c r="C19376" s="12" t="str">
        <f ca="1">IFERROR(__xludf.DUMMYFUNCTION("""COMPUTED_VALUE"""),"")</f>
        <v/>
      </c>
      <c r="D19376" s="12" t="str">
        <f ca="1">IFERROR(__xludf.DUMMYFUNCTION("""COMPUTED_VALUE"""),"")</f>
        <v/>
      </c>
    </row>
    <row r="19377" spans="2:4" ht="13">
      <c r="B19377" s="12" t="str">
        <f ca="1">IFERROR(__xludf.DUMMYFUNCTION("""COMPUTED_VALUE"""),"")</f>
        <v/>
      </c>
      <c r="C19377" s="12" t="str">
        <f ca="1">IFERROR(__xludf.DUMMYFUNCTION("""COMPUTED_VALUE"""),"")</f>
        <v/>
      </c>
      <c r="D19377" s="12" t="str">
        <f ca="1">IFERROR(__xludf.DUMMYFUNCTION("""COMPUTED_VALUE"""),"")</f>
        <v/>
      </c>
    </row>
    <row r="19378" spans="2:4" ht="13">
      <c r="B19378" s="12" t="str">
        <f ca="1">IFERROR(__xludf.DUMMYFUNCTION("""COMPUTED_VALUE"""),"")</f>
        <v/>
      </c>
      <c r="C19378" s="12" t="str">
        <f ca="1">IFERROR(__xludf.DUMMYFUNCTION("""COMPUTED_VALUE"""),"")</f>
        <v/>
      </c>
      <c r="D19378" s="12" t="str">
        <f ca="1">IFERROR(__xludf.DUMMYFUNCTION("""COMPUTED_VALUE"""),"")</f>
        <v/>
      </c>
    </row>
    <row r="19379" spans="2:4" ht="13">
      <c r="B19379" s="12" t="str">
        <f ca="1">IFERROR(__xludf.DUMMYFUNCTION("""COMPUTED_VALUE"""),"")</f>
        <v/>
      </c>
      <c r="C19379" s="12" t="str">
        <f ca="1">IFERROR(__xludf.DUMMYFUNCTION("""COMPUTED_VALUE"""),"")</f>
        <v/>
      </c>
      <c r="D19379" s="12" t="str">
        <f ca="1">IFERROR(__xludf.DUMMYFUNCTION("""COMPUTED_VALUE"""),"")</f>
        <v/>
      </c>
    </row>
    <row r="19380" spans="2:4" ht="13">
      <c r="B19380" s="12" t="str">
        <f ca="1">IFERROR(__xludf.DUMMYFUNCTION("""COMPUTED_VALUE"""),"")</f>
        <v/>
      </c>
      <c r="C19380" s="12" t="str">
        <f ca="1">IFERROR(__xludf.DUMMYFUNCTION("""COMPUTED_VALUE"""),"")</f>
        <v/>
      </c>
      <c r="D19380" s="12" t="str">
        <f ca="1">IFERROR(__xludf.DUMMYFUNCTION("""COMPUTED_VALUE"""),"")</f>
        <v/>
      </c>
    </row>
    <row r="19381" spans="2:4" ht="13">
      <c r="B19381" s="12" t="str">
        <f ca="1">IFERROR(__xludf.DUMMYFUNCTION("""COMPUTED_VALUE"""),"")</f>
        <v/>
      </c>
      <c r="C19381" s="12" t="str">
        <f ca="1">IFERROR(__xludf.DUMMYFUNCTION("""COMPUTED_VALUE"""),"")</f>
        <v/>
      </c>
      <c r="D19381" s="12" t="str">
        <f ca="1">IFERROR(__xludf.DUMMYFUNCTION("""COMPUTED_VALUE"""),"")</f>
        <v/>
      </c>
    </row>
    <row r="19382" spans="2:4" ht="13">
      <c r="B19382" s="12" t="str">
        <f ca="1">IFERROR(__xludf.DUMMYFUNCTION("""COMPUTED_VALUE"""),"")</f>
        <v/>
      </c>
      <c r="C19382" s="12" t="str">
        <f ca="1">IFERROR(__xludf.DUMMYFUNCTION("""COMPUTED_VALUE"""),"")</f>
        <v/>
      </c>
      <c r="D19382" s="12" t="str">
        <f ca="1">IFERROR(__xludf.DUMMYFUNCTION("""COMPUTED_VALUE"""),"")</f>
        <v/>
      </c>
    </row>
    <row r="19383" spans="2:4" ht="13">
      <c r="B19383" s="12" t="str">
        <f ca="1">IFERROR(__xludf.DUMMYFUNCTION("""COMPUTED_VALUE"""),"")</f>
        <v/>
      </c>
      <c r="C19383" s="12" t="str">
        <f ca="1">IFERROR(__xludf.DUMMYFUNCTION("""COMPUTED_VALUE"""),"")</f>
        <v/>
      </c>
      <c r="D19383" s="12" t="str">
        <f ca="1">IFERROR(__xludf.DUMMYFUNCTION("""COMPUTED_VALUE"""),"")</f>
        <v/>
      </c>
    </row>
    <row r="19384" spans="2:4" ht="13">
      <c r="B19384" s="12" t="str">
        <f ca="1">IFERROR(__xludf.DUMMYFUNCTION("""COMPUTED_VALUE"""),"")</f>
        <v/>
      </c>
      <c r="C19384" s="12" t="str">
        <f ca="1">IFERROR(__xludf.DUMMYFUNCTION("""COMPUTED_VALUE"""),"")</f>
        <v/>
      </c>
      <c r="D19384" s="12" t="str">
        <f ca="1">IFERROR(__xludf.DUMMYFUNCTION("""COMPUTED_VALUE"""),"")</f>
        <v/>
      </c>
    </row>
    <row r="19385" spans="2:4" ht="13">
      <c r="B19385" s="12" t="str">
        <f ca="1">IFERROR(__xludf.DUMMYFUNCTION("""COMPUTED_VALUE"""),"")</f>
        <v/>
      </c>
      <c r="C19385" s="12" t="str">
        <f ca="1">IFERROR(__xludf.DUMMYFUNCTION("""COMPUTED_VALUE"""),"")</f>
        <v/>
      </c>
      <c r="D19385" s="12" t="str">
        <f ca="1">IFERROR(__xludf.DUMMYFUNCTION("""COMPUTED_VALUE"""),"")</f>
        <v/>
      </c>
    </row>
    <row r="19386" spans="2:4" ht="13">
      <c r="B19386" s="12" t="str">
        <f ca="1">IFERROR(__xludf.DUMMYFUNCTION("""COMPUTED_VALUE"""),"")</f>
        <v/>
      </c>
      <c r="C19386" s="12" t="str">
        <f ca="1">IFERROR(__xludf.DUMMYFUNCTION("""COMPUTED_VALUE"""),"")</f>
        <v/>
      </c>
      <c r="D19386" s="12" t="str">
        <f ca="1">IFERROR(__xludf.DUMMYFUNCTION("""COMPUTED_VALUE"""),"")</f>
        <v/>
      </c>
    </row>
    <row r="19387" spans="2:4" ht="13">
      <c r="B19387" s="12" t="str">
        <f ca="1">IFERROR(__xludf.DUMMYFUNCTION("""COMPUTED_VALUE"""),"")</f>
        <v/>
      </c>
      <c r="C19387" s="12" t="str">
        <f ca="1">IFERROR(__xludf.DUMMYFUNCTION("""COMPUTED_VALUE"""),"")</f>
        <v/>
      </c>
      <c r="D19387" s="12" t="str">
        <f ca="1">IFERROR(__xludf.DUMMYFUNCTION("""COMPUTED_VALUE"""),"")</f>
        <v/>
      </c>
    </row>
    <row r="19388" spans="2:4" ht="13">
      <c r="B19388" s="12" t="str">
        <f ca="1">IFERROR(__xludf.DUMMYFUNCTION("""COMPUTED_VALUE"""),"")</f>
        <v/>
      </c>
      <c r="C19388" s="12" t="str">
        <f ca="1">IFERROR(__xludf.DUMMYFUNCTION("""COMPUTED_VALUE"""),"")</f>
        <v/>
      </c>
      <c r="D19388" s="12" t="str">
        <f ca="1">IFERROR(__xludf.DUMMYFUNCTION("""COMPUTED_VALUE"""),"")</f>
        <v/>
      </c>
    </row>
    <row r="19389" spans="2:4" ht="13">
      <c r="B19389" s="12" t="str">
        <f ca="1">IFERROR(__xludf.DUMMYFUNCTION("""COMPUTED_VALUE"""),"")</f>
        <v/>
      </c>
      <c r="C19389" s="12" t="str">
        <f ca="1">IFERROR(__xludf.DUMMYFUNCTION("""COMPUTED_VALUE"""),"")</f>
        <v/>
      </c>
      <c r="D19389" s="12" t="str">
        <f ca="1">IFERROR(__xludf.DUMMYFUNCTION("""COMPUTED_VALUE"""),"")</f>
        <v/>
      </c>
    </row>
    <row r="19390" spans="2:4" ht="13">
      <c r="B19390" s="12" t="str">
        <f ca="1">IFERROR(__xludf.DUMMYFUNCTION("""COMPUTED_VALUE"""),"")</f>
        <v/>
      </c>
      <c r="C19390" s="12" t="str">
        <f ca="1">IFERROR(__xludf.DUMMYFUNCTION("""COMPUTED_VALUE"""),"")</f>
        <v/>
      </c>
      <c r="D19390" s="12" t="str">
        <f ca="1">IFERROR(__xludf.DUMMYFUNCTION("""COMPUTED_VALUE"""),"")</f>
        <v/>
      </c>
    </row>
    <row r="19391" spans="2:4" ht="13">
      <c r="B19391" s="12" t="str">
        <f ca="1">IFERROR(__xludf.DUMMYFUNCTION("""COMPUTED_VALUE"""),"")</f>
        <v/>
      </c>
      <c r="C19391" s="12" t="str">
        <f ca="1">IFERROR(__xludf.DUMMYFUNCTION("""COMPUTED_VALUE"""),"")</f>
        <v/>
      </c>
      <c r="D19391" s="12" t="str">
        <f ca="1">IFERROR(__xludf.DUMMYFUNCTION("""COMPUTED_VALUE"""),"")</f>
        <v/>
      </c>
    </row>
    <row r="19392" spans="2:4" ht="13">
      <c r="B19392" s="12" t="str">
        <f ca="1">IFERROR(__xludf.DUMMYFUNCTION("""COMPUTED_VALUE"""),"")</f>
        <v/>
      </c>
      <c r="C19392" s="12" t="str">
        <f ca="1">IFERROR(__xludf.DUMMYFUNCTION("""COMPUTED_VALUE"""),"")</f>
        <v/>
      </c>
      <c r="D19392" s="12" t="str">
        <f ca="1">IFERROR(__xludf.DUMMYFUNCTION("""COMPUTED_VALUE"""),"")</f>
        <v/>
      </c>
    </row>
    <row r="19393" spans="2:4" ht="13">
      <c r="B19393" s="12" t="str">
        <f ca="1">IFERROR(__xludf.DUMMYFUNCTION("""COMPUTED_VALUE"""),"")</f>
        <v/>
      </c>
      <c r="C19393" s="12" t="str">
        <f ca="1">IFERROR(__xludf.DUMMYFUNCTION("""COMPUTED_VALUE"""),"")</f>
        <v/>
      </c>
      <c r="D19393" s="12" t="str">
        <f ca="1">IFERROR(__xludf.DUMMYFUNCTION("""COMPUTED_VALUE"""),"")</f>
        <v/>
      </c>
    </row>
    <row r="19394" spans="2:4" ht="13">
      <c r="B19394" s="12" t="str">
        <f ca="1">IFERROR(__xludf.DUMMYFUNCTION("""COMPUTED_VALUE"""),"")</f>
        <v/>
      </c>
      <c r="C19394" s="12" t="str">
        <f ca="1">IFERROR(__xludf.DUMMYFUNCTION("""COMPUTED_VALUE"""),"")</f>
        <v/>
      </c>
      <c r="D19394" s="12" t="str">
        <f ca="1">IFERROR(__xludf.DUMMYFUNCTION("""COMPUTED_VALUE"""),"")</f>
        <v/>
      </c>
    </row>
    <row r="19395" spans="2:4" ht="13">
      <c r="B19395" s="12" t="str">
        <f ca="1">IFERROR(__xludf.DUMMYFUNCTION("""COMPUTED_VALUE"""),"")</f>
        <v/>
      </c>
      <c r="C19395" s="12" t="str">
        <f ca="1">IFERROR(__xludf.DUMMYFUNCTION("""COMPUTED_VALUE"""),"")</f>
        <v/>
      </c>
      <c r="D19395" s="12" t="str">
        <f ca="1">IFERROR(__xludf.DUMMYFUNCTION("""COMPUTED_VALUE"""),"")</f>
        <v/>
      </c>
    </row>
    <row r="19396" spans="2:4" ht="13">
      <c r="B19396" s="12" t="str">
        <f ca="1">IFERROR(__xludf.DUMMYFUNCTION("""COMPUTED_VALUE"""),"")</f>
        <v/>
      </c>
      <c r="C19396" s="12" t="str">
        <f ca="1">IFERROR(__xludf.DUMMYFUNCTION("""COMPUTED_VALUE"""),"")</f>
        <v/>
      </c>
      <c r="D19396" s="12" t="str">
        <f ca="1">IFERROR(__xludf.DUMMYFUNCTION("""COMPUTED_VALUE"""),"")</f>
        <v/>
      </c>
    </row>
    <row r="19397" spans="2:4" ht="13">
      <c r="B19397" s="12" t="str">
        <f ca="1">IFERROR(__xludf.DUMMYFUNCTION("""COMPUTED_VALUE"""),"")</f>
        <v/>
      </c>
      <c r="C19397" s="12" t="str">
        <f ca="1">IFERROR(__xludf.DUMMYFUNCTION("""COMPUTED_VALUE"""),"")</f>
        <v/>
      </c>
      <c r="D19397" s="12" t="str">
        <f ca="1">IFERROR(__xludf.DUMMYFUNCTION("""COMPUTED_VALUE"""),"")</f>
        <v/>
      </c>
    </row>
    <row r="19398" spans="2:4" ht="13">
      <c r="B19398" s="12" t="str">
        <f ca="1">IFERROR(__xludf.DUMMYFUNCTION("""COMPUTED_VALUE"""),"")</f>
        <v/>
      </c>
      <c r="C19398" s="12" t="str">
        <f ca="1">IFERROR(__xludf.DUMMYFUNCTION("""COMPUTED_VALUE"""),"")</f>
        <v/>
      </c>
      <c r="D19398" s="12" t="str">
        <f ca="1">IFERROR(__xludf.DUMMYFUNCTION("""COMPUTED_VALUE"""),"")</f>
        <v/>
      </c>
    </row>
    <row r="19399" spans="2:4" ht="13">
      <c r="B19399" s="12" t="str">
        <f ca="1">IFERROR(__xludf.DUMMYFUNCTION("""COMPUTED_VALUE"""),"")</f>
        <v/>
      </c>
      <c r="C19399" s="12" t="str">
        <f ca="1">IFERROR(__xludf.DUMMYFUNCTION("""COMPUTED_VALUE"""),"")</f>
        <v/>
      </c>
      <c r="D19399" s="12" t="str">
        <f ca="1">IFERROR(__xludf.DUMMYFUNCTION("""COMPUTED_VALUE"""),"")</f>
        <v/>
      </c>
    </row>
    <row r="19400" spans="2:4" ht="13">
      <c r="B19400" s="12" t="str">
        <f ca="1">IFERROR(__xludf.DUMMYFUNCTION("""COMPUTED_VALUE"""),"")</f>
        <v/>
      </c>
      <c r="C19400" s="12" t="str">
        <f ca="1">IFERROR(__xludf.DUMMYFUNCTION("""COMPUTED_VALUE"""),"")</f>
        <v/>
      </c>
      <c r="D19400" s="12" t="str">
        <f ca="1">IFERROR(__xludf.DUMMYFUNCTION("""COMPUTED_VALUE"""),"")</f>
        <v/>
      </c>
    </row>
    <row r="19401" spans="2:4" ht="13">
      <c r="B19401" s="12" t="str">
        <f ca="1">IFERROR(__xludf.DUMMYFUNCTION("""COMPUTED_VALUE"""),"")</f>
        <v/>
      </c>
      <c r="C19401" s="12" t="str">
        <f ca="1">IFERROR(__xludf.DUMMYFUNCTION("""COMPUTED_VALUE"""),"")</f>
        <v/>
      </c>
      <c r="D19401" s="12" t="str">
        <f ca="1">IFERROR(__xludf.DUMMYFUNCTION("""COMPUTED_VALUE"""),"")</f>
        <v/>
      </c>
    </row>
    <row r="19402" spans="2:4" ht="13">
      <c r="B19402" s="12" t="str">
        <f ca="1">IFERROR(__xludf.DUMMYFUNCTION("""COMPUTED_VALUE"""),"")</f>
        <v/>
      </c>
      <c r="C19402" s="12" t="str">
        <f ca="1">IFERROR(__xludf.DUMMYFUNCTION("""COMPUTED_VALUE"""),"")</f>
        <v/>
      </c>
      <c r="D19402" s="12" t="str">
        <f ca="1">IFERROR(__xludf.DUMMYFUNCTION("""COMPUTED_VALUE"""),"")</f>
        <v/>
      </c>
    </row>
    <row r="19403" spans="2:4" ht="13">
      <c r="B19403" s="12" t="str">
        <f ca="1">IFERROR(__xludf.DUMMYFUNCTION("""COMPUTED_VALUE"""),"")</f>
        <v/>
      </c>
      <c r="C19403" s="12" t="str">
        <f ca="1">IFERROR(__xludf.DUMMYFUNCTION("""COMPUTED_VALUE"""),"")</f>
        <v/>
      </c>
      <c r="D19403" s="12" t="str">
        <f ca="1">IFERROR(__xludf.DUMMYFUNCTION("""COMPUTED_VALUE"""),"")</f>
        <v/>
      </c>
    </row>
    <row r="19404" spans="2:4" ht="13">
      <c r="B19404" s="12" t="str">
        <f ca="1">IFERROR(__xludf.DUMMYFUNCTION("""COMPUTED_VALUE"""),"")</f>
        <v/>
      </c>
      <c r="C19404" s="12" t="str">
        <f ca="1">IFERROR(__xludf.DUMMYFUNCTION("""COMPUTED_VALUE"""),"")</f>
        <v/>
      </c>
      <c r="D19404" s="12" t="str">
        <f ca="1">IFERROR(__xludf.DUMMYFUNCTION("""COMPUTED_VALUE"""),"")</f>
        <v/>
      </c>
    </row>
    <row r="19405" spans="2:4" ht="13">
      <c r="B19405" s="12" t="str">
        <f ca="1">IFERROR(__xludf.DUMMYFUNCTION("""COMPUTED_VALUE"""),"")</f>
        <v/>
      </c>
      <c r="C19405" s="12" t="str">
        <f ca="1">IFERROR(__xludf.DUMMYFUNCTION("""COMPUTED_VALUE"""),"")</f>
        <v/>
      </c>
      <c r="D19405" s="12" t="str">
        <f ca="1">IFERROR(__xludf.DUMMYFUNCTION("""COMPUTED_VALUE"""),"")</f>
        <v/>
      </c>
    </row>
    <row r="19406" spans="2:4" ht="13">
      <c r="B19406" s="12" t="str">
        <f ca="1">IFERROR(__xludf.DUMMYFUNCTION("""COMPUTED_VALUE"""),"")</f>
        <v/>
      </c>
      <c r="C19406" s="12" t="str">
        <f ca="1">IFERROR(__xludf.DUMMYFUNCTION("""COMPUTED_VALUE"""),"")</f>
        <v/>
      </c>
      <c r="D19406" s="12" t="str">
        <f ca="1">IFERROR(__xludf.DUMMYFUNCTION("""COMPUTED_VALUE"""),"")</f>
        <v/>
      </c>
    </row>
    <row r="19407" spans="2:4" ht="13">
      <c r="B19407" s="12" t="str">
        <f ca="1">IFERROR(__xludf.DUMMYFUNCTION("""COMPUTED_VALUE"""),"")</f>
        <v/>
      </c>
      <c r="C19407" s="12" t="str">
        <f ca="1">IFERROR(__xludf.DUMMYFUNCTION("""COMPUTED_VALUE"""),"")</f>
        <v/>
      </c>
      <c r="D19407" s="12" t="str">
        <f ca="1">IFERROR(__xludf.DUMMYFUNCTION("""COMPUTED_VALUE"""),"")</f>
        <v/>
      </c>
    </row>
    <row r="19408" spans="2:4" ht="13">
      <c r="B19408" s="12" t="str">
        <f ca="1">IFERROR(__xludf.DUMMYFUNCTION("""COMPUTED_VALUE"""),"")</f>
        <v/>
      </c>
      <c r="C19408" s="12" t="str">
        <f ca="1">IFERROR(__xludf.DUMMYFUNCTION("""COMPUTED_VALUE"""),"")</f>
        <v/>
      </c>
      <c r="D19408" s="12" t="str">
        <f ca="1">IFERROR(__xludf.DUMMYFUNCTION("""COMPUTED_VALUE"""),"")</f>
        <v/>
      </c>
    </row>
    <row r="19409" spans="2:4" ht="13">
      <c r="B19409" s="12" t="str">
        <f ca="1">IFERROR(__xludf.DUMMYFUNCTION("""COMPUTED_VALUE"""),"")</f>
        <v/>
      </c>
      <c r="C19409" s="12" t="str">
        <f ca="1">IFERROR(__xludf.DUMMYFUNCTION("""COMPUTED_VALUE"""),"")</f>
        <v/>
      </c>
      <c r="D19409" s="12" t="str">
        <f ca="1">IFERROR(__xludf.DUMMYFUNCTION("""COMPUTED_VALUE"""),"")</f>
        <v/>
      </c>
    </row>
    <row r="19410" spans="2:4" ht="13">
      <c r="B19410" s="12" t="str">
        <f ca="1">IFERROR(__xludf.DUMMYFUNCTION("""COMPUTED_VALUE"""),"")</f>
        <v/>
      </c>
      <c r="C19410" s="12" t="str">
        <f ca="1">IFERROR(__xludf.DUMMYFUNCTION("""COMPUTED_VALUE"""),"")</f>
        <v/>
      </c>
      <c r="D19410" s="12" t="str">
        <f ca="1">IFERROR(__xludf.DUMMYFUNCTION("""COMPUTED_VALUE"""),"")</f>
        <v/>
      </c>
    </row>
    <row r="19411" spans="2:4" ht="13">
      <c r="B19411" s="12" t="str">
        <f ca="1">IFERROR(__xludf.DUMMYFUNCTION("""COMPUTED_VALUE"""),"")</f>
        <v/>
      </c>
      <c r="C19411" s="12" t="str">
        <f ca="1">IFERROR(__xludf.DUMMYFUNCTION("""COMPUTED_VALUE"""),"")</f>
        <v/>
      </c>
      <c r="D19411" s="12" t="str">
        <f ca="1">IFERROR(__xludf.DUMMYFUNCTION("""COMPUTED_VALUE"""),"")</f>
        <v/>
      </c>
    </row>
    <row r="19412" spans="2:4" ht="13">
      <c r="B19412" s="12" t="str">
        <f ca="1">IFERROR(__xludf.DUMMYFUNCTION("""COMPUTED_VALUE"""),"")</f>
        <v/>
      </c>
      <c r="C19412" s="12" t="str">
        <f ca="1">IFERROR(__xludf.DUMMYFUNCTION("""COMPUTED_VALUE"""),"")</f>
        <v/>
      </c>
      <c r="D19412" s="12" t="str">
        <f ca="1">IFERROR(__xludf.DUMMYFUNCTION("""COMPUTED_VALUE"""),"")</f>
        <v/>
      </c>
    </row>
    <row r="19413" spans="2:4" ht="13">
      <c r="B19413" s="12" t="str">
        <f ca="1">IFERROR(__xludf.DUMMYFUNCTION("""COMPUTED_VALUE"""),"")</f>
        <v/>
      </c>
      <c r="C19413" s="12" t="str">
        <f ca="1">IFERROR(__xludf.DUMMYFUNCTION("""COMPUTED_VALUE"""),"")</f>
        <v/>
      </c>
      <c r="D19413" s="12" t="str">
        <f ca="1">IFERROR(__xludf.DUMMYFUNCTION("""COMPUTED_VALUE"""),"")</f>
        <v/>
      </c>
    </row>
    <row r="19414" spans="2:4" ht="13">
      <c r="B19414" s="12" t="str">
        <f ca="1">IFERROR(__xludf.DUMMYFUNCTION("""COMPUTED_VALUE"""),"")</f>
        <v/>
      </c>
      <c r="C19414" s="12" t="str">
        <f ca="1">IFERROR(__xludf.DUMMYFUNCTION("""COMPUTED_VALUE"""),"")</f>
        <v/>
      </c>
      <c r="D19414" s="12" t="str">
        <f ca="1">IFERROR(__xludf.DUMMYFUNCTION("""COMPUTED_VALUE"""),"")</f>
        <v/>
      </c>
    </row>
    <row r="19415" spans="2:4" ht="13">
      <c r="B19415" s="12" t="str">
        <f ca="1">IFERROR(__xludf.DUMMYFUNCTION("""COMPUTED_VALUE"""),"")</f>
        <v/>
      </c>
      <c r="C19415" s="12" t="str">
        <f ca="1">IFERROR(__xludf.DUMMYFUNCTION("""COMPUTED_VALUE"""),"")</f>
        <v/>
      </c>
      <c r="D19415" s="12" t="str">
        <f ca="1">IFERROR(__xludf.DUMMYFUNCTION("""COMPUTED_VALUE"""),"")</f>
        <v/>
      </c>
    </row>
    <row r="19416" spans="2:4" ht="13">
      <c r="B19416" s="12" t="str">
        <f ca="1">IFERROR(__xludf.DUMMYFUNCTION("""COMPUTED_VALUE"""),"")</f>
        <v/>
      </c>
      <c r="C19416" s="12" t="str">
        <f ca="1">IFERROR(__xludf.DUMMYFUNCTION("""COMPUTED_VALUE"""),"")</f>
        <v/>
      </c>
      <c r="D19416" s="12" t="str">
        <f ca="1">IFERROR(__xludf.DUMMYFUNCTION("""COMPUTED_VALUE"""),"")</f>
        <v/>
      </c>
    </row>
    <row r="19417" spans="2:4" ht="13">
      <c r="B19417" s="12" t="str">
        <f ca="1">IFERROR(__xludf.DUMMYFUNCTION("""COMPUTED_VALUE"""),"")</f>
        <v/>
      </c>
      <c r="C19417" s="12" t="str">
        <f ca="1">IFERROR(__xludf.DUMMYFUNCTION("""COMPUTED_VALUE"""),"")</f>
        <v/>
      </c>
      <c r="D19417" s="12" t="str">
        <f ca="1">IFERROR(__xludf.DUMMYFUNCTION("""COMPUTED_VALUE"""),"")</f>
        <v/>
      </c>
    </row>
    <row r="19418" spans="2:4" ht="13">
      <c r="B19418" s="12" t="str">
        <f ca="1">IFERROR(__xludf.DUMMYFUNCTION("""COMPUTED_VALUE"""),"")</f>
        <v/>
      </c>
      <c r="C19418" s="12" t="str">
        <f ca="1">IFERROR(__xludf.DUMMYFUNCTION("""COMPUTED_VALUE"""),"")</f>
        <v/>
      </c>
      <c r="D19418" s="12" t="str">
        <f ca="1">IFERROR(__xludf.DUMMYFUNCTION("""COMPUTED_VALUE"""),"")</f>
        <v/>
      </c>
    </row>
    <row r="19419" spans="2:4" ht="13">
      <c r="B19419" s="12" t="str">
        <f ca="1">IFERROR(__xludf.DUMMYFUNCTION("""COMPUTED_VALUE"""),"")</f>
        <v/>
      </c>
      <c r="C19419" s="12" t="str">
        <f ca="1">IFERROR(__xludf.DUMMYFUNCTION("""COMPUTED_VALUE"""),"")</f>
        <v/>
      </c>
      <c r="D19419" s="12" t="str">
        <f ca="1">IFERROR(__xludf.DUMMYFUNCTION("""COMPUTED_VALUE"""),"")</f>
        <v/>
      </c>
    </row>
    <row r="19420" spans="2:4" ht="13">
      <c r="B19420" s="12" t="str">
        <f ca="1">IFERROR(__xludf.DUMMYFUNCTION("""COMPUTED_VALUE"""),"")</f>
        <v/>
      </c>
      <c r="C19420" s="12" t="str">
        <f ca="1">IFERROR(__xludf.DUMMYFUNCTION("""COMPUTED_VALUE"""),"")</f>
        <v/>
      </c>
      <c r="D19420" s="12" t="str">
        <f ca="1">IFERROR(__xludf.DUMMYFUNCTION("""COMPUTED_VALUE"""),"")</f>
        <v/>
      </c>
    </row>
    <row r="19421" spans="2:4" ht="13">
      <c r="B19421" s="12" t="str">
        <f ca="1">IFERROR(__xludf.DUMMYFUNCTION("""COMPUTED_VALUE"""),"")</f>
        <v/>
      </c>
      <c r="C19421" s="12" t="str">
        <f ca="1">IFERROR(__xludf.DUMMYFUNCTION("""COMPUTED_VALUE"""),"")</f>
        <v/>
      </c>
      <c r="D19421" s="12" t="str">
        <f ca="1">IFERROR(__xludf.DUMMYFUNCTION("""COMPUTED_VALUE"""),"")</f>
        <v/>
      </c>
    </row>
    <row r="19422" spans="2:4" ht="13">
      <c r="B19422" s="12" t="str">
        <f ca="1">IFERROR(__xludf.DUMMYFUNCTION("""COMPUTED_VALUE"""),"")</f>
        <v/>
      </c>
      <c r="C19422" s="12" t="str">
        <f ca="1">IFERROR(__xludf.DUMMYFUNCTION("""COMPUTED_VALUE"""),"")</f>
        <v/>
      </c>
      <c r="D19422" s="12" t="str">
        <f ca="1">IFERROR(__xludf.DUMMYFUNCTION("""COMPUTED_VALUE"""),"")</f>
        <v/>
      </c>
    </row>
    <row r="19423" spans="2:4" ht="13">
      <c r="B19423" s="12" t="str">
        <f ca="1">IFERROR(__xludf.DUMMYFUNCTION("""COMPUTED_VALUE"""),"")</f>
        <v/>
      </c>
      <c r="C19423" s="12" t="str">
        <f ca="1">IFERROR(__xludf.DUMMYFUNCTION("""COMPUTED_VALUE"""),"")</f>
        <v/>
      </c>
      <c r="D19423" s="12" t="str">
        <f ca="1">IFERROR(__xludf.DUMMYFUNCTION("""COMPUTED_VALUE"""),"")</f>
        <v/>
      </c>
    </row>
    <row r="19424" spans="2:4" ht="13">
      <c r="B19424" s="12" t="str">
        <f ca="1">IFERROR(__xludf.DUMMYFUNCTION("""COMPUTED_VALUE"""),"")</f>
        <v/>
      </c>
      <c r="C19424" s="12" t="str">
        <f ca="1">IFERROR(__xludf.DUMMYFUNCTION("""COMPUTED_VALUE"""),"")</f>
        <v/>
      </c>
      <c r="D19424" s="12" t="str">
        <f ca="1">IFERROR(__xludf.DUMMYFUNCTION("""COMPUTED_VALUE"""),"")</f>
        <v/>
      </c>
    </row>
    <row r="19425" spans="2:4" ht="13">
      <c r="B19425" s="12" t="str">
        <f ca="1">IFERROR(__xludf.DUMMYFUNCTION("""COMPUTED_VALUE"""),"")</f>
        <v/>
      </c>
      <c r="C19425" s="12" t="str">
        <f ca="1">IFERROR(__xludf.DUMMYFUNCTION("""COMPUTED_VALUE"""),"")</f>
        <v/>
      </c>
      <c r="D19425" s="12" t="str">
        <f ca="1">IFERROR(__xludf.DUMMYFUNCTION("""COMPUTED_VALUE"""),"")</f>
        <v/>
      </c>
    </row>
    <row r="19426" spans="2:4" ht="13">
      <c r="B19426" s="12" t="str">
        <f ca="1">IFERROR(__xludf.DUMMYFUNCTION("""COMPUTED_VALUE"""),"")</f>
        <v/>
      </c>
      <c r="C19426" s="12" t="str">
        <f ca="1">IFERROR(__xludf.DUMMYFUNCTION("""COMPUTED_VALUE"""),"")</f>
        <v/>
      </c>
      <c r="D19426" s="12" t="str">
        <f ca="1">IFERROR(__xludf.DUMMYFUNCTION("""COMPUTED_VALUE"""),"")</f>
        <v/>
      </c>
    </row>
    <row r="19427" spans="2:4" ht="13">
      <c r="B19427" s="12" t="str">
        <f ca="1">IFERROR(__xludf.DUMMYFUNCTION("""COMPUTED_VALUE"""),"")</f>
        <v/>
      </c>
      <c r="C19427" s="12" t="str">
        <f ca="1">IFERROR(__xludf.DUMMYFUNCTION("""COMPUTED_VALUE"""),"")</f>
        <v/>
      </c>
      <c r="D19427" s="12" t="str">
        <f ca="1">IFERROR(__xludf.DUMMYFUNCTION("""COMPUTED_VALUE"""),"")</f>
        <v/>
      </c>
    </row>
    <row r="19428" spans="2:4" ht="13">
      <c r="B19428" s="12" t="str">
        <f ca="1">IFERROR(__xludf.DUMMYFUNCTION("""COMPUTED_VALUE"""),"")</f>
        <v/>
      </c>
      <c r="C19428" s="12" t="str">
        <f ca="1">IFERROR(__xludf.DUMMYFUNCTION("""COMPUTED_VALUE"""),"")</f>
        <v/>
      </c>
      <c r="D19428" s="12" t="str">
        <f ca="1">IFERROR(__xludf.DUMMYFUNCTION("""COMPUTED_VALUE"""),"")</f>
        <v/>
      </c>
    </row>
    <row r="19429" spans="2:4" ht="13">
      <c r="B19429" s="12" t="str">
        <f ca="1">IFERROR(__xludf.DUMMYFUNCTION("""COMPUTED_VALUE"""),"")</f>
        <v/>
      </c>
      <c r="C19429" s="12" t="str">
        <f ca="1">IFERROR(__xludf.DUMMYFUNCTION("""COMPUTED_VALUE"""),"")</f>
        <v/>
      </c>
      <c r="D19429" s="12" t="str">
        <f ca="1">IFERROR(__xludf.DUMMYFUNCTION("""COMPUTED_VALUE"""),"")</f>
        <v/>
      </c>
    </row>
    <row r="19430" spans="2:4" ht="13">
      <c r="B19430" s="12" t="str">
        <f ca="1">IFERROR(__xludf.DUMMYFUNCTION("""COMPUTED_VALUE"""),"")</f>
        <v/>
      </c>
      <c r="C19430" s="12" t="str">
        <f ca="1">IFERROR(__xludf.DUMMYFUNCTION("""COMPUTED_VALUE"""),"")</f>
        <v/>
      </c>
      <c r="D19430" s="12" t="str">
        <f ca="1">IFERROR(__xludf.DUMMYFUNCTION("""COMPUTED_VALUE"""),"")</f>
        <v/>
      </c>
    </row>
    <row r="19431" spans="2:4" ht="13">
      <c r="B19431" s="12" t="str">
        <f ca="1">IFERROR(__xludf.DUMMYFUNCTION("""COMPUTED_VALUE"""),"")</f>
        <v/>
      </c>
      <c r="C19431" s="12" t="str">
        <f ca="1">IFERROR(__xludf.DUMMYFUNCTION("""COMPUTED_VALUE"""),"")</f>
        <v/>
      </c>
      <c r="D19431" s="12" t="str">
        <f ca="1">IFERROR(__xludf.DUMMYFUNCTION("""COMPUTED_VALUE"""),"")</f>
        <v/>
      </c>
    </row>
    <row r="19432" spans="2:4" ht="13">
      <c r="B19432" s="12" t="str">
        <f ca="1">IFERROR(__xludf.DUMMYFUNCTION("""COMPUTED_VALUE"""),"")</f>
        <v/>
      </c>
      <c r="C19432" s="12" t="str">
        <f ca="1">IFERROR(__xludf.DUMMYFUNCTION("""COMPUTED_VALUE"""),"")</f>
        <v/>
      </c>
      <c r="D19432" s="12" t="str">
        <f ca="1">IFERROR(__xludf.DUMMYFUNCTION("""COMPUTED_VALUE"""),"")</f>
        <v/>
      </c>
    </row>
    <row r="19433" spans="2:4" ht="13">
      <c r="B19433" s="12" t="str">
        <f ca="1">IFERROR(__xludf.DUMMYFUNCTION("""COMPUTED_VALUE"""),"")</f>
        <v/>
      </c>
      <c r="C19433" s="12" t="str">
        <f ca="1">IFERROR(__xludf.DUMMYFUNCTION("""COMPUTED_VALUE"""),"")</f>
        <v/>
      </c>
      <c r="D19433" s="12" t="str">
        <f ca="1">IFERROR(__xludf.DUMMYFUNCTION("""COMPUTED_VALUE"""),"")</f>
        <v/>
      </c>
    </row>
    <row r="19434" spans="2:4" ht="13">
      <c r="B19434" s="12" t="str">
        <f ca="1">IFERROR(__xludf.DUMMYFUNCTION("""COMPUTED_VALUE"""),"")</f>
        <v/>
      </c>
      <c r="C19434" s="12" t="str">
        <f ca="1">IFERROR(__xludf.DUMMYFUNCTION("""COMPUTED_VALUE"""),"")</f>
        <v/>
      </c>
      <c r="D19434" s="12" t="str">
        <f ca="1">IFERROR(__xludf.DUMMYFUNCTION("""COMPUTED_VALUE"""),"")</f>
        <v/>
      </c>
    </row>
    <row r="19435" spans="2:4" ht="13">
      <c r="B19435" s="12" t="str">
        <f ca="1">IFERROR(__xludf.DUMMYFUNCTION("""COMPUTED_VALUE"""),"")</f>
        <v/>
      </c>
      <c r="C19435" s="12" t="str">
        <f ca="1">IFERROR(__xludf.DUMMYFUNCTION("""COMPUTED_VALUE"""),"")</f>
        <v/>
      </c>
      <c r="D19435" s="12" t="str">
        <f ca="1">IFERROR(__xludf.DUMMYFUNCTION("""COMPUTED_VALUE"""),"")</f>
        <v/>
      </c>
    </row>
    <row r="19436" spans="2:4" ht="13">
      <c r="B19436" s="12" t="str">
        <f ca="1">IFERROR(__xludf.DUMMYFUNCTION("""COMPUTED_VALUE"""),"")</f>
        <v/>
      </c>
      <c r="C19436" s="12" t="str">
        <f ca="1">IFERROR(__xludf.DUMMYFUNCTION("""COMPUTED_VALUE"""),"")</f>
        <v/>
      </c>
      <c r="D19436" s="12" t="str">
        <f ca="1">IFERROR(__xludf.DUMMYFUNCTION("""COMPUTED_VALUE"""),"")</f>
        <v/>
      </c>
    </row>
    <row r="19437" spans="2:4" ht="13">
      <c r="B19437" s="12" t="str">
        <f ca="1">IFERROR(__xludf.DUMMYFUNCTION("""COMPUTED_VALUE"""),"")</f>
        <v/>
      </c>
      <c r="C19437" s="12" t="str">
        <f ca="1">IFERROR(__xludf.DUMMYFUNCTION("""COMPUTED_VALUE"""),"")</f>
        <v/>
      </c>
      <c r="D19437" s="12" t="str">
        <f ca="1">IFERROR(__xludf.DUMMYFUNCTION("""COMPUTED_VALUE"""),"")</f>
        <v/>
      </c>
    </row>
    <row r="19438" spans="2:4" ht="13">
      <c r="B19438" s="12" t="str">
        <f ca="1">IFERROR(__xludf.DUMMYFUNCTION("""COMPUTED_VALUE"""),"")</f>
        <v/>
      </c>
      <c r="C19438" s="12" t="str">
        <f ca="1">IFERROR(__xludf.DUMMYFUNCTION("""COMPUTED_VALUE"""),"")</f>
        <v/>
      </c>
      <c r="D19438" s="12" t="str">
        <f ca="1">IFERROR(__xludf.DUMMYFUNCTION("""COMPUTED_VALUE"""),"")</f>
        <v/>
      </c>
    </row>
    <row r="19439" spans="2:4" ht="13">
      <c r="B19439" s="12" t="str">
        <f ca="1">IFERROR(__xludf.DUMMYFUNCTION("""COMPUTED_VALUE"""),"")</f>
        <v/>
      </c>
      <c r="C19439" s="12" t="str">
        <f ca="1">IFERROR(__xludf.DUMMYFUNCTION("""COMPUTED_VALUE"""),"")</f>
        <v/>
      </c>
      <c r="D19439" s="12" t="str">
        <f ca="1">IFERROR(__xludf.DUMMYFUNCTION("""COMPUTED_VALUE"""),"")</f>
        <v/>
      </c>
    </row>
    <row r="19440" spans="2:4" ht="13">
      <c r="B19440" s="12" t="str">
        <f ca="1">IFERROR(__xludf.DUMMYFUNCTION("""COMPUTED_VALUE"""),"")</f>
        <v/>
      </c>
      <c r="C19440" s="12" t="str">
        <f ca="1">IFERROR(__xludf.DUMMYFUNCTION("""COMPUTED_VALUE"""),"")</f>
        <v/>
      </c>
      <c r="D19440" s="12" t="str">
        <f ca="1">IFERROR(__xludf.DUMMYFUNCTION("""COMPUTED_VALUE"""),"")</f>
        <v/>
      </c>
    </row>
    <row r="19441" spans="2:4" ht="13">
      <c r="B19441" s="12" t="str">
        <f ca="1">IFERROR(__xludf.DUMMYFUNCTION("""COMPUTED_VALUE"""),"")</f>
        <v/>
      </c>
      <c r="C19441" s="12" t="str">
        <f ca="1">IFERROR(__xludf.DUMMYFUNCTION("""COMPUTED_VALUE"""),"")</f>
        <v/>
      </c>
      <c r="D19441" s="12" t="str">
        <f ca="1">IFERROR(__xludf.DUMMYFUNCTION("""COMPUTED_VALUE"""),"")</f>
        <v/>
      </c>
    </row>
    <row r="19442" spans="2:4" ht="13">
      <c r="B19442" s="12" t="str">
        <f ca="1">IFERROR(__xludf.DUMMYFUNCTION("""COMPUTED_VALUE"""),"")</f>
        <v/>
      </c>
      <c r="C19442" s="12" t="str">
        <f ca="1">IFERROR(__xludf.DUMMYFUNCTION("""COMPUTED_VALUE"""),"")</f>
        <v/>
      </c>
      <c r="D19442" s="12" t="str">
        <f ca="1">IFERROR(__xludf.DUMMYFUNCTION("""COMPUTED_VALUE"""),"")</f>
        <v/>
      </c>
    </row>
    <row r="19443" spans="2:4" ht="13">
      <c r="B19443" s="12" t="str">
        <f ca="1">IFERROR(__xludf.DUMMYFUNCTION("""COMPUTED_VALUE"""),"")</f>
        <v/>
      </c>
      <c r="C19443" s="12" t="str">
        <f ca="1">IFERROR(__xludf.DUMMYFUNCTION("""COMPUTED_VALUE"""),"")</f>
        <v/>
      </c>
      <c r="D19443" s="12" t="str">
        <f ca="1">IFERROR(__xludf.DUMMYFUNCTION("""COMPUTED_VALUE"""),"")</f>
        <v/>
      </c>
    </row>
    <row r="19444" spans="2:4" ht="13">
      <c r="B19444" s="12" t="str">
        <f ca="1">IFERROR(__xludf.DUMMYFUNCTION("""COMPUTED_VALUE"""),"")</f>
        <v/>
      </c>
      <c r="C19444" s="12" t="str">
        <f ca="1">IFERROR(__xludf.DUMMYFUNCTION("""COMPUTED_VALUE"""),"")</f>
        <v/>
      </c>
      <c r="D19444" s="12" t="str">
        <f ca="1">IFERROR(__xludf.DUMMYFUNCTION("""COMPUTED_VALUE"""),"")</f>
        <v/>
      </c>
    </row>
    <row r="19445" spans="2:4" ht="13">
      <c r="B19445" s="12" t="str">
        <f ca="1">IFERROR(__xludf.DUMMYFUNCTION("""COMPUTED_VALUE"""),"")</f>
        <v/>
      </c>
      <c r="C19445" s="12" t="str">
        <f ca="1">IFERROR(__xludf.DUMMYFUNCTION("""COMPUTED_VALUE"""),"")</f>
        <v/>
      </c>
      <c r="D19445" s="12" t="str">
        <f ca="1">IFERROR(__xludf.DUMMYFUNCTION("""COMPUTED_VALUE"""),"")</f>
        <v/>
      </c>
    </row>
    <row r="19446" spans="2:4" ht="13">
      <c r="B19446" s="12" t="str">
        <f ca="1">IFERROR(__xludf.DUMMYFUNCTION("""COMPUTED_VALUE"""),"")</f>
        <v/>
      </c>
      <c r="C19446" s="12" t="str">
        <f ca="1">IFERROR(__xludf.DUMMYFUNCTION("""COMPUTED_VALUE"""),"")</f>
        <v/>
      </c>
      <c r="D19446" s="12" t="str">
        <f ca="1">IFERROR(__xludf.DUMMYFUNCTION("""COMPUTED_VALUE"""),"")</f>
        <v/>
      </c>
    </row>
    <row r="19447" spans="2:4" ht="13">
      <c r="B19447" s="12" t="str">
        <f ca="1">IFERROR(__xludf.DUMMYFUNCTION("""COMPUTED_VALUE"""),"")</f>
        <v/>
      </c>
      <c r="C19447" s="12" t="str">
        <f ca="1">IFERROR(__xludf.DUMMYFUNCTION("""COMPUTED_VALUE"""),"")</f>
        <v/>
      </c>
      <c r="D19447" s="12" t="str">
        <f ca="1">IFERROR(__xludf.DUMMYFUNCTION("""COMPUTED_VALUE"""),"")</f>
        <v/>
      </c>
    </row>
    <row r="19448" spans="2:4" ht="13">
      <c r="B19448" s="12" t="str">
        <f ca="1">IFERROR(__xludf.DUMMYFUNCTION("""COMPUTED_VALUE"""),"")</f>
        <v/>
      </c>
      <c r="C19448" s="12" t="str">
        <f ca="1">IFERROR(__xludf.DUMMYFUNCTION("""COMPUTED_VALUE"""),"")</f>
        <v/>
      </c>
      <c r="D19448" s="12" t="str">
        <f ca="1">IFERROR(__xludf.DUMMYFUNCTION("""COMPUTED_VALUE"""),"")</f>
        <v/>
      </c>
    </row>
    <row r="19449" spans="2:4" ht="13">
      <c r="B19449" s="12" t="str">
        <f ca="1">IFERROR(__xludf.DUMMYFUNCTION("""COMPUTED_VALUE"""),"")</f>
        <v/>
      </c>
      <c r="C19449" s="12" t="str">
        <f ca="1">IFERROR(__xludf.DUMMYFUNCTION("""COMPUTED_VALUE"""),"")</f>
        <v/>
      </c>
      <c r="D19449" s="12" t="str">
        <f ca="1">IFERROR(__xludf.DUMMYFUNCTION("""COMPUTED_VALUE"""),"")</f>
        <v/>
      </c>
    </row>
    <row r="19450" spans="2:4" ht="13">
      <c r="B19450" s="12" t="str">
        <f ca="1">IFERROR(__xludf.DUMMYFUNCTION("""COMPUTED_VALUE"""),"")</f>
        <v/>
      </c>
      <c r="C19450" s="12" t="str">
        <f ca="1">IFERROR(__xludf.DUMMYFUNCTION("""COMPUTED_VALUE"""),"")</f>
        <v/>
      </c>
      <c r="D19450" s="12" t="str">
        <f ca="1">IFERROR(__xludf.DUMMYFUNCTION("""COMPUTED_VALUE"""),"")</f>
        <v/>
      </c>
    </row>
    <row r="19451" spans="2:4" ht="13">
      <c r="B19451" s="12" t="str">
        <f ca="1">IFERROR(__xludf.DUMMYFUNCTION("""COMPUTED_VALUE"""),"")</f>
        <v/>
      </c>
      <c r="C19451" s="12" t="str">
        <f ca="1">IFERROR(__xludf.DUMMYFUNCTION("""COMPUTED_VALUE"""),"")</f>
        <v/>
      </c>
      <c r="D19451" s="12" t="str">
        <f ca="1">IFERROR(__xludf.DUMMYFUNCTION("""COMPUTED_VALUE"""),"")</f>
        <v/>
      </c>
    </row>
    <row r="19452" spans="2:4" ht="13">
      <c r="B19452" s="12" t="str">
        <f ca="1">IFERROR(__xludf.DUMMYFUNCTION("""COMPUTED_VALUE"""),"")</f>
        <v/>
      </c>
      <c r="C19452" s="12" t="str">
        <f ca="1">IFERROR(__xludf.DUMMYFUNCTION("""COMPUTED_VALUE"""),"")</f>
        <v/>
      </c>
      <c r="D19452" s="12" t="str">
        <f ca="1">IFERROR(__xludf.DUMMYFUNCTION("""COMPUTED_VALUE"""),"")</f>
        <v/>
      </c>
    </row>
    <row r="19453" spans="2:4" ht="13">
      <c r="B19453" s="12" t="str">
        <f ca="1">IFERROR(__xludf.DUMMYFUNCTION("""COMPUTED_VALUE"""),"")</f>
        <v/>
      </c>
      <c r="C19453" s="12" t="str">
        <f ca="1">IFERROR(__xludf.DUMMYFUNCTION("""COMPUTED_VALUE"""),"")</f>
        <v/>
      </c>
      <c r="D19453" s="12" t="str">
        <f ca="1">IFERROR(__xludf.DUMMYFUNCTION("""COMPUTED_VALUE"""),"")</f>
        <v/>
      </c>
    </row>
    <row r="19454" spans="2:4" ht="13">
      <c r="B19454" s="12" t="str">
        <f ca="1">IFERROR(__xludf.DUMMYFUNCTION("""COMPUTED_VALUE"""),"")</f>
        <v/>
      </c>
      <c r="C19454" s="12" t="str">
        <f ca="1">IFERROR(__xludf.DUMMYFUNCTION("""COMPUTED_VALUE"""),"")</f>
        <v/>
      </c>
      <c r="D19454" s="12" t="str">
        <f ca="1">IFERROR(__xludf.DUMMYFUNCTION("""COMPUTED_VALUE"""),"")</f>
        <v/>
      </c>
    </row>
    <row r="19455" spans="2:4" ht="13">
      <c r="B19455" s="12" t="str">
        <f ca="1">IFERROR(__xludf.DUMMYFUNCTION("""COMPUTED_VALUE"""),"")</f>
        <v/>
      </c>
      <c r="C19455" s="12" t="str">
        <f ca="1">IFERROR(__xludf.DUMMYFUNCTION("""COMPUTED_VALUE"""),"")</f>
        <v/>
      </c>
      <c r="D19455" s="12" t="str">
        <f ca="1">IFERROR(__xludf.DUMMYFUNCTION("""COMPUTED_VALUE"""),"")</f>
        <v/>
      </c>
    </row>
    <row r="19456" spans="2:4" ht="13">
      <c r="B19456" s="12" t="str">
        <f ca="1">IFERROR(__xludf.DUMMYFUNCTION("""COMPUTED_VALUE"""),"")</f>
        <v/>
      </c>
      <c r="C19456" s="12" t="str">
        <f ca="1">IFERROR(__xludf.DUMMYFUNCTION("""COMPUTED_VALUE"""),"")</f>
        <v/>
      </c>
      <c r="D19456" s="12" t="str">
        <f ca="1">IFERROR(__xludf.DUMMYFUNCTION("""COMPUTED_VALUE"""),"")</f>
        <v/>
      </c>
    </row>
    <row r="19457" spans="2:4" ht="13">
      <c r="B19457" s="12" t="str">
        <f ca="1">IFERROR(__xludf.DUMMYFUNCTION("""COMPUTED_VALUE"""),"")</f>
        <v/>
      </c>
      <c r="C19457" s="12" t="str">
        <f ca="1">IFERROR(__xludf.DUMMYFUNCTION("""COMPUTED_VALUE"""),"")</f>
        <v/>
      </c>
      <c r="D19457" s="12" t="str">
        <f ca="1">IFERROR(__xludf.DUMMYFUNCTION("""COMPUTED_VALUE"""),"")</f>
        <v/>
      </c>
    </row>
    <row r="19458" spans="2:4" ht="13">
      <c r="B19458" s="12" t="str">
        <f ca="1">IFERROR(__xludf.DUMMYFUNCTION("""COMPUTED_VALUE"""),"")</f>
        <v/>
      </c>
      <c r="C19458" s="12" t="str">
        <f ca="1">IFERROR(__xludf.DUMMYFUNCTION("""COMPUTED_VALUE"""),"")</f>
        <v/>
      </c>
      <c r="D19458" s="12" t="str">
        <f ca="1">IFERROR(__xludf.DUMMYFUNCTION("""COMPUTED_VALUE"""),"")</f>
        <v/>
      </c>
    </row>
    <row r="19459" spans="2:4" ht="13">
      <c r="B19459" s="12" t="str">
        <f ca="1">IFERROR(__xludf.DUMMYFUNCTION("""COMPUTED_VALUE"""),"")</f>
        <v/>
      </c>
      <c r="C19459" s="12" t="str">
        <f ca="1">IFERROR(__xludf.DUMMYFUNCTION("""COMPUTED_VALUE"""),"")</f>
        <v/>
      </c>
      <c r="D19459" s="12" t="str">
        <f ca="1">IFERROR(__xludf.DUMMYFUNCTION("""COMPUTED_VALUE"""),"")</f>
        <v/>
      </c>
    </row>
    <row r="19460" spans="2:4" ht="13">
      <c r="B19460" s="12" t="str">
        <f ca="1">IFERROR(__xludf.DUMMYFUNCTION("""COMPUTED_VALUE"""),"")</f>
        <v/>
      </c>
      <c r="C19460" s="12" t="str">
        <f ca="1">IFERROR(__xludf.DUMMYFUNCTION("""COMPUTED_VALUE"""),"")</f>
        <v/>
      </c>
      <c r="D19460" s="12" t="str">
        <f ca="1">IFERROR(__xludf.DUMMYFUNCTION("""COMPUTED_VALUE"""),"")</f>
        <v/>
      </c>
    </row>
    <row r="19461" spans="2:4" ht="13">
      <c r="B19461" s="12" t="str">
        <f ca="1">IFERROR(__xludf.DUMMYFUNCTION("""COMPUTED_VALUE"""),"")</f>
        <v/>
      </c>
      <c r="C19461" s="12" t="str">
        <f ca="1">IFERROR(__xludf.DUMMYFUNCTION("""COMPUTED_VALUE"""),"")</f>
        <v/>
      </c>
      <c r="D19461" s="12" t="str">
        <f ca="1">IFERROR(__xludf.DUMMYFUNCTION("""COMPUTED_VALUE"""),"")</f>
        <v/>
      </c>
    </row>
    <row r="19462" spans="2:4" ht="13">
      <c r="B19462" s="12" t="str">
        <f ca="1">IFERROR(__xludf.DUMMYFUNCTION("""COMPUTED_VALUE"""),"")</f>
        <v/>
      </c>
      <c r="C19462" s="12" t="str">
        <f ca="1">IFERROR(__xludf.DUMMYFUNCTION("""COMPUTED_VALUE"""),"")</f>
        <v/>
      </c>
      <c r="D19462" s="12" t="str">
        <f ca="1">IFERROR(__xludf.DUMMYFUNCTION("""COMPUTED_VALUE"""),"")</f>
        <v/>
      </c>
    </row>
    <row r="19463" spans="2:4" ht="13">
      <c r="B19463" s="12" t="str">
        <f ca="1">IFERROR(__xludf.DUMMYFUNCTION("""COMPUTED_VALUE"""),"")</f>
        <v/>
      </c>
      <c r="C19463" s="12" t="str">
        <f ca="1">IFERROR(__xludf.DUMMYFUNCTION("""COMPUTED_VALUE"""),"")</f>
        <v/>
      </c>
      <c r="D19463" s="12" t="str">
        <f ca="1">IFERROR(__xludf.DUMMYFUNCTION("""COMPUTED_VALUE"""),"")</f>
        <v/>
      </c>
    </row>
    <row r="19464" spans="2:4" ht="13">
      <c r="B19464" s="12" t="str">
        <f ca="1">IFERROR(__xludf.DUMMYFUNCTION("""COMPUTED_VALUE"""),"")</f>
        <v/>
      </c>
      <c r="C19464" s="12" t="str">
        <f ca="1">IFERROR(__xludf.DUMMYFUNCTION("""COMPUTED_VALUE"""),"")</f>
        <v/>
      </c>
      <c r="D19464" s="12" t="str">
        <f ca="1">IFERROR(__xludf.DUMMYFUNCTION("""COMPUTED_VALUE"""),"")</f>
        <v/>
      </c>
    </row>
    <row r="19465" spans="2:4" ht="13">
      <c r="B19465" s="12" t="str">
        <f ca="1">IFERROR(__xludf.DUMMYFUNCTION("""COMPUTED_VALUE"""),"")</f>
        <v/>
      </c>
      <c r="C19465" s="12" t="str">
        <f ca="1">IFERROR(__xludf.DUMMYFUNCTION("""COMPUTED_VALUE"""),"")</f>
        <v/>
      </c>
      <c r="D19465" s="12" t="str">
        <f ca="1">IFERROR(__xludf.DUMMYFUNCTION("""COMPUTED_VALUE"""),"")</f>
        <v/>
      </c>
    </row>
    <row r="19466" spans="2:4" ht="13">
      <c r="B19466" s="12" t="str">
        <f ca="1">IFERROR(__xludf.DUMMYFUNCTION("""COMPUTED_VALUE"""),"")</f>
        <v/>
      </c>
      <c r="C19466" s="12" t="str">
        <f ca="1">IFERROR(__xludf.DUMMYFUNCTION("""COMPUTED_VALUE"""),"")</f>
        <v/>
      </c>
      <c r="D19466" s="12" t="str">
        <f ca="1">IFERROR(__xludf.DUMMYFUNCTION("""COMPUTED_VALUE"""),"")</f>
        <v/>
      </c>
    </row>
    <row r="19467" spans="2:4" ht="13">
      <c r="B19467" s="12" t="str">
        <f ca="1">IFERROR(__xludf.DUMMYFUNCTION("""COMPUTED_VALUE"""),"")</f>
        <v/>
      </c>
      <c r="C19467" s="12" t="str">
        <f ca="1">IFERROR(__xludf.DUMMYFUNCTION("""COMPUTED_VALUE"""),"")</f>
        <v/>
      </c>
      <c r="D19467" s="12" t="str">
        <f ca="1">IFERROR(__xludf.DUMMYFUNCTION("""COMPUTED_VALUE"""),"")</f>
        <v/>
      </c>
    </row>
    <row r="19468" spans="2:4" ht="13">
      <c r="B19468" s="12" t="str">
        <f ca="1">IFERROR(__xludf.DUMMYFUNCTION("""COMPUTED_VALUE"""),"")</f>
        <v/>
      </c>
      <c r="C19468" s="12" t="str">
        <f ca="1">IFERROR(__xludf.DUMMYFUNCTION("""COMPUTED_VALUE"""),"")</f>
        <v/>
      </c>
      <c r="D19468" s="12" t="str">
        <f ca="1">IFERROR(__xludf.DUMMYFUNCTION("""COMPUTED_VALUE"""),"")</f>
        <v/>
      </c>
    </row>
    <row r="19469" spans="2:4" ht="13">
      <c r="B19469" s="12" t="str">
        <f ca="1">IFERROR(__xludf.DUMMYFUNCTION("""COMPUTED_VALUE"""),"")</f>
        <v/>
      </c>
      <c r="C19469" s="12" t="str">
        <f ca="1">IFERROR(__xludf.DUMMYFUNCTION("""COMPUTED_VALUE"""),"")</f>
        <v/>
      </c>
      <c r="D19469" s="12" t="str">
        <f ca="1">IFERROR(__xludf.DUMMYFUNCTION("""COMPUTED_VALUE"""),"")</f>
        <v/>
      </c>
    </row>
    <row r="19470" spans="2:4" ht="13">
      <c r="B19470" s="12" t="str">
        <f ca="1">IFERROR(__xludf.DUMMYFUNCTION("""COMPUTED_VALUE"""),"")</f>
        <v/>
      </c>
      <c r="C19470" s="12" t="str">
        <f ca="1">IFERROR(__xludf.DUMMYFUNCTION("""COMPUTED_VALUE"""),"")</f>
        <v/>
      </c>
      <c r="D19470" s="12" t="str">
        <f ca="1">IFERROR(__xludf.DUMMYFUNCTION("""COMPUTED_VALUE"""),"")</f>
        <v/>
      </c>
    </row>
    <row r="19471" spans="2:4" ht="13">
      <c r="B19471" s="12" t="str">
        <f ca="1">IFERROR(__xludf.DUMMYFUNCTION("""COMPUTED_VALUE"""),"")</f>
        <v/>
      </c>
      <c r="C19471" s="12" t="str">
        <f ca="1">IFERROR(__xludf.DUMMYFUNCTION("""COMPUTED_VALUE"""),"")</f>
        <v/>
      </c>
      <c r="D19471" s="12" t="str">
        <f ca="1">IFERROR(__xludf.DUMMYFUNCTION("""COMPUTED_VALUE"""),"")</f>
        <v/>
      </c>
    </row>
    <row r="19472" spans="2:4" ht="13">
      <c r="B19472" s="12" t="str">
        <f ca="1">IFERROR(__xludf.DUMMYFUNCTION("""COMPUTED_VALUE"""),"")</f>
        <v/>
      </c>
      <c r="C19472" s="12" t="str">
        <f ca="1">IFERROR(__xludf.DUMMYFUNCTION("""COMPUTED_VALUE"""),"")</f>
        <v/>
      </c>
      <c r="D19472" s="12" t="str">
        <f ca="1">IFERROR(__xludf.DUMMYFUNCTION("""COMPUTED_VALUE"""),"")</f>
        <v/>
      </c>
    </row>
    <row r="19473" spans="2:4" ht="13">
      <c r="B19473" s="12" t="str">
        <f ca="1">IFERROR(__xludf.DUMMYFUNCTION("""COMPUTED_VALUE"""),"")</f>
        <v/>
      </c>
      <c r="C19473" s="12" t="str">
        <f ca="1">IFERROR(__xludf.DUMMYFUNCTION("""COMPUTED_VALUE"""),"")</f>
        <v/>
      </c>
      <c r="D19473" s="12" t="str">
        <f ca="1">IFERROR(__xludf.DUMMYFUNCTION("""COMPUTED_VALUE"""),"")</f>
        <v/>
      </c>
    </row>
    <row r="19474" spans="2:4" ht="13">
      <c r="B19474" s="12" t="str">
        <f ca="1">IFERROR(__xludf.DUMMYFUNCTION("""COMPUTED_VALUE"""),"")</f>
        <v/>
      </c>
      <c r="C19474" s="12" t="str">
        <f ca="1">IFERROR(__xludf.DUMMYFUNCTION("""COMPUTED_VALUE"""),"")</f>
        <v/>
      </c>
      <c r="D19474" s="12" t="str">
        <f ca="1">IFERROR(__xludf.DUMMYFUNCTION("""COMPUTED_VALUE"""),"")</f>
        <v/>
      </c>
    </row>
    <row r="19475" spans="2:4" ht="13">
      <c r="B19475" s="12" t="str">
        <f ca="1">IFERROR(__xludf.DUMMYFUNCTION("""COMPUTED_VALUE"""),"")</f>
        <v/>
      </c>
      <c r="C19475" s="12" t="str">
        <f ca="1">IFERROR(__xludf.DUMMYFUNCTION("""COMPUTED_VALUE"""),"")</f>
        <v/>
      </c>
      <c r="D19475" s="12" t="str">
        <f ca="1">IFERROR(__xludf.DUMMYFUNCTION("""COMPUTED_VALUE"""),"")</f>
        <v/>
      </c>
    </row>
    <row r="19476" spans="2:4" ht="13">
      <c r="B19476" s="12" t="str">
        <f ca="1">IFERROR(__xludf.DUMMYFUNCTION("""COMPUTED_VALUE"""),"")</f>
        <v/>
      </c>
      <c r="C19476" s="12" t="str">
        <f ca="1">IFERROR(__xludf.DUMMYFUNCTION("""COMPUTED_VALUE"""),"")</f>
        <v/>
      </c>
      <c r="D19476" s="12" t="str">
        <f ca="1">IFERROR(__xludf.DUMMYFUNCTION("""COMPUTED_VALUE"""),"")</f>
        <v/>
      </c>
    </row>
    <row r="19477" spans="2:4" ht="13">
      <c r="B19477" s="12" t="str">
        <f ca="1">IFERROR(__xludf.DUMMYFUNCTION("""COMPUTED_VALUE"""),"")</f>
        <v/>
      </c>
      <c r="C19477" s="12" t="str">
        <f ca="1">IFERROR(__xludf.DUMMYFUNCTION("""COMPUTED_VALUE"""),"")</f>
        <v/>
      </c>
      <c r="D19477" s="12" t="str">
        <f ca="1">IFERROR(__xludf.DUMMYFUNCTION("""COMPUTED_VALUE"""),"")</f>
        <v/>
      </c>
    </row>
    <row r="19478" spans="2:4" ht="13">
      <c r="B19478" s="12" t="str">
        <f ca="1">IFERROR(__xludf.DUMMYFUNCTION("""COMPUTED_VALUE"""),"")</f>
        <v/>
      </c>
      <c r="C19478" s="12" t="str">
        <f ca="1">IFERROR(__xludf.DUMMYFUNCTION("""COMPUTED_VALUE"""),"")</f>
        <v/>
      </c>
      <c r="D19478" s="12" t="str">
        <f ca="1">IFERROR(__xludf.DUMMYFUNCTION("""COMPUTED_VALUE"""),"")</f>
        <v/>
      </c>
    </row>
    <row r="19479" spans="2:4" ht="13">
      <c r="B19479" s="12" t="str">
        <f ca="1">IFERROR(__xludf.DUMMYFUNCTION("""COMPUTED_VALUE"""),"")</f>
        <v/>
      </c>
      <c r="C19479" s="12" t="str">
        <f ca="1">IFERROR(__xludf.DUMMYFUNCTION("""COMPUTED_VALUE"""),"")</f>
        <v/>
      </c>
      <c r="D19479" s="12" t="str">
        <f ca="1">IFERROR(__xludf.DUMMYFUNCTION("""COMPUTED_VALUE"""),"")</f>
        <v/>
      </c>
    </row>
    <row r="19480" spans="2:4" ht="13">
      <c r="B19480" s="12" t="str">
        <f ca="1">IFERROR(__xludf.DUMMYFUNCTION("""COMPUTED_VALUE"""),"")</f>
        <v/>
      </c>
      <c r="C19480" s="12" t="str">
        <f ca="1">IFERROR(__xludf.DUMMYFUNCTION("""COMPUTED_VALUE"""),"")</f>
        <v/>
      </c>
      <c r="D19480" s="12" t="str">
        <f ca="1">IFERROR(__xludf.DUMMYFUNCTION("""COMPUTED_VALUE"""),"")</f>
        <v/>
      </c>
    </row>
    <row r="19481" spans="2:4" ht="13">
      <c r="B19481" s="12" t="str">
        <f ca="1">IFERROR(__xludf.DUMMYFUNCTION("""COMPUTED_VALUE"""),"")</f>
        <v/>
      </c>
      <c r="C19481" s="12" t="str">
        <f ca="1">IFERROR(__xludf.DUMMYFUNCTION("""COMPUTED_VALUE"""),"")</f>
        <v/>
      </c>
      <c r="D19481" s="12" t="str">
        <f ca="1">IFERROR(__xludf.DUMMYFUNCTION("""COMPUTED_VALUE"""),"")</f>
        <v/>
      </c>
    </row>
    <row r="19482" spans="2:4" ht="13">
      <c r="B19482" s="12" t="str">
        <f ca="1">IFERROR(__xludf.DUMMYFUNCTION("""COMPUTED_VALUE"""),"")</f>
        <v/>
      </c>
      <c r="C19482" s="12" t="str">
        <f ca="1">IFERROR(__xludf.DUMMYFUNCTION("""COMPUTED_VALUE"""),"")</f>
        <v/>
      </c>
      <c r="D19482" s="12" t="str">
        <f ca="1">IFERROR(__xludf.DUMMYFUNCTION("""COMPUTED_VALUE"""),"")</f>
        <v/>
      </c>
    </row>
    <row r="19483" spans="2:4" ht="13">
      <c r="B19483" s="12" t="str">
        <f ca="1">IFERROR(__xludf.DUMMYFUNCTION("""COMPUTED_VALUE"""),"")</f>
        <v/>
      </c>
      <c r="C19483" s="12" t="str">
        <f ca="1">IFERROR(__xludf.DUMMYFUNCTION("""COMPUTED_VALUE"""),"")</f>
        <v/>
      </c>
      <c r="D19483" s="12" t="str">
        <f ca="1">IFERROR(__xludf.DUMMYFUNCTION("""COMPUTED_VALUE"""),"")</f>
        <v/>
      </c>
    </row>
    <row r="19484" spans="2:4" ht="13">
      <c r="B19484" s="12" t="str">
        <f ca="1">IFERROR(__xludf.DUMMYFUNCTION("""COMPUTED_VALUE"""),"")</f>
        <v/>
      </c>
      <c r="C19484" s="12" t="str">
        <f ca="1">IFERROR(__xludf.DUMMYFUNCTION("""COMPUTED_VALUE"""),"")</f>
        <v/>
      </c>
      <c r="D19484" s="12" t="str">
        <f ca="1">IFERROR(__xludf.DUMMYFUNCTION("""COMPUTED_VALUE"""),"")</f>
        <v/>
      </c>
    </row>
    <row r="19485" spans="2:4" ht="13">
      <c r="B19485" s="12" t="str">
        <f ca="1">IFERROR(__xludf.DUMMYFUNCTION("""COMPUTED_VALUE"""),"")</f>
        <v/>
      </c>
      <c r="C19485" s="12" t="str">
        <f ca="1">IFERROR(__xludf.DUMMYFUNCTION("""COMPUTED_VALUE"""),"")</f>
        <v/>
      </c>
      <c r="D19485" s="12" t="str">
        <f ca="1">IFERROR(__xludf.DUMMYFUNCTION("""COMPUTED_VALUE"""),"")</f>
        <v/>
      </c>
    </row>
    <row r="19486" spans="2:4" ht="13">
      <c r="B19486" s="12" t="str">
        <f ca="1">IFERROR(__xludf.DUMMYFUNCTION("""COMPUTED_VALUE"""),"")</f>
        <v/>
      </c>
      <c r="C19486" s="12" t="str">
        <f ca="1">IFERROR(__xludf.DUMMYFUNCTION("""COMPUTED_VALUE"""),"")</f>
        <v/>
      </c>
      <c r="D19486" s="12" t="str">
        <f ca="1">IFERROR(__xludf.DUMMYFUNCTION("""COMPUTED_VALUE"""),"")</f>
        <v/>
      </c>
    </row>
    <row r="19487" spans="2:4" ht="13">
      <c r="B19487" s="12" t="str">
        <f ca="1">IFERROR(__xludf.DUMMYFUNCTION("""COMPUTED_VALUE"""),"")</f>
        <v/>
      </c>
      <c r="C19487" s="12" t="str">
        <f ca="1">IFERROR(__xludf.DUMMYFUNCTION("""COMPUTED_VALUE"""),"")</f>
        <v/>
      </c>
      <c r="D19487" s="12" t="str">
        <f ca="1">IFERROR(__xludf.DUMMYFUNCTION("""COMPUTED_VALUE"""),"")</f>
        <v/>
      </c>
    </row>
    <row r="19488" spans="2:4" ht="13">
      <c r="B19488" s="12" t="str">
        <f ca="1">IFERROR(__xludf.DUMMYFUNCTION("""COMPUTED_VALUE"""),"")</f>
        <v/>
      </c>
      <c r="C19488" s="12" t="str">
        <f ca="1">IFERROR(__xludf.DUMMYFUNCTION("""COMPUTED_VALUE"""),"")</f>
        <v/>
      </c>
      <c r="D19488" s="12" t="str">
        <f ca="1">IFERROR(__xludf.DUMMYFUNCTION("""COMPUTED_VALUE"""),"")</f>
        <v/>
      </c>
    </row>
    <row r="19489" spans="2:4" ht="13">
      <c r="B19489" s="12" t="str">
        <f ca="1">IFERROR(__xludf.DUMMYFUNCTION("""COMPUTED_VALUE"""),"")</f>
        <v/>
      </c>
      <c r="C19489" s="12" t="str">
        <f ca="1">IFERROR(__xludf.DUMMYFUNCTION("""COMPUTED_VALUE"""),"")</f>
        <v/>
      </c>
      <c r="D19489" s="12" t="str">
        <f ca="1">IFERROR(__xludf.DUMMYFUNCTION("""COMPUTED_VALUE"""),"")</f>
        <v/>
      </c>
    </row>
    <row r="19490" spans="2:4" ht="13">
      <c r="B19490" s="12" t="str">
        <f ca="1">IFERROR(__xludf.DUMMYFUNCTION("""COMPUTED_VALUE"""),"")</f>
        <v/>
      </c>
      <c r="C19490" s="12" t="str">
        <f ca="1">IFERROR(__xludf.DUMMYFUNCTION("""COMPUTED_VALUE"""),"")</f>
        <v/>
      </c>
      <c r="D19490" s="12" t="str">
        <f ca="1">IFERROR(__xludf.DUMMYFUNCTION("""COMPUTED_VALUE"""),"")</f>
        <v/>
      </c>
    </row>
    <row r="19491" spans="2:4" ht="13">
      <c r="B19491" s="12" t="str">
        <f ca="1">IFERROR(__xludf.DUMMYFUNCTION("""COMPUTED_VALUE"""),"")</f>
        <v/>
      </c>
      <c r="C19491" s="12" t="str">
        <f ca="1">IFERROR(__xludf.DUMMYFUNCTION("""COMPUTED_VALUE"""),"")</f>
        <v/>
      </c>
      <c r="D19491" s="12" t="str">
        <f ca="1">IFERROR(__xludf.DUMMYFUNCTION("""COMPUTED_VALUE"""),"")</f>
        <v/>
      </c>
    </row>
    <row r="19492" spans="2:4" ht="13">
      <c r="B19492" s="12" t="str">
        <f ca="1">IFERROR(__xludf.DUMMYFUNCTION("""COMPUTED_VALUE"""),"")</f>
        <v/>
      </c>
      <c r="C19492" s="12" t="str">
        <f ca="1">IFERROR(__xludf.DUMMYFUNCTION("""COMPUTED_VALUE"""),"")</f>
        <v/>
      </c>
      <c r="D19492" s="12" t="str">
        <f ca="1">IFERROR(__xludf.DUMMYFUNCTION("""COMPUTED_VALUE"""),"")</f>
        <v/>
      </c>
    </row>
    <row r="19493" spans="2:4" ht="13">
      <c r="B19493" s="12" t="str">
        <f ca="1">IFERROR(__xludf.DUMMYFUNCTION("""COMPUTED_VALUE"""),"")</f>
        <v/>
      </c>
      <c r="C19493" s="12" t="str">
        <f ca="1">IFERROR(__xludf.DUMMYFUNCTION("""COMPUTED_VALUE"""),"")</f>
        <v/>
      </c>
      <c r="D19493" s="12" t="str">
        <f ca="1">IFERROR(__xludf.DUMMYFUNCTION("""COMPUTED_VALUE"""),"")</f>
        <v/>
      </c>
    </row>
    <row r="19494" spans="2:4" ht="13">
      <c r="B19494" s="12" t="str">
        <f ca="1">IFERROR(__xludf.DUMMYFUNCTION("""COMPUTED_VALUE"""),"")</f>
        <v/>
      </c>
      <c r="C19494" s="12" t="str">
        <f ca="1">IFERROR(__xludf.DUMMYFUNCTION("""COMPUTED_VALUE"""),"")</f>
        <v/>
      </c>
      <c r="D19494" s="12" t="str">
        <f ca="1">IFERROR(__xludf.DUMMYFUNCTION("""COMPUTED_VALUE"""),"")</f>
        <v/>
      </c>
    </row>
    <row r="19495" spans="2:4" ht="13">
      <c r="B19495" s="12" t="str">
        <f ca="1">IFERROR(__xludf.DUMMYFUNCTION("""COMPUTED_VALUE"""),"")</f>
        <v/>
      </c>
      <c r="C19495" s="12" t="str">
        <f ca="1">IFERROR(__xludf.DUMMYFUNCTION("""COMPUTED_VALUE"""),"")</f>
        <v/>
      </c>
      <c r="D19495" s="12" t="str">
        <f ca="1">IFERROR(__xludf.DUMMYFUNCTION("""COMPUTED_VALUE"""),"")</f>
        <v/>
      </c>
    </row>
    <row r="19496" spans="2:4" ht="13">
      <c r="B19496" s="12" t="str">
        <f ca="1">IFERROR(__xludf.DUMMYFUNCTION("""COMPUTED_VALUE"""),"")</f>
        <v/>
      </c>
      <c r="C19496" s="12" t="str">
        <f ca="1">IFERROR(__xludf.DUMMYFUNCTION("""COMPUTED_VALUE"""),"")</f>
        <v/>
      </c>
      <c r="D19496" s="12" t="str">
        <f ca="1">IFERROR(__xludf.DUMMYFUNCTION("""COMPUTED_VALUE"""),"")</f>
        <v/>
      </c>
    </row>
    <row r="19497" spans="2:4" ht="13">
      <c r="B19497" s="12" t="str">
        <f ca="1">IFERROR(__xludf.DUMMYFUNCTION("""COMPUTED_VALUE"""),"")</f>
        <v/>
      </c>
      <c r="C19497" s="12" t="str">
        <f ca="1">IFERROR(__xludf.DUMMYFUNCTION("""COMPUTED_VALUE"""),"")</f>
        <v/>
      </c>
      <c r="D19497" s="12" t="str">
        <f ca="1">IFERROR(__xludf.DUMMYFUNCTION("""COMPUTED_VALUE"""),"")</f>
        <v/>
      </c>
    </row>
    <row r="19498" spans="2:4" ht="13">
      <c r="B19498" s="12" t="str">
        <f ca="1">IFERROR(__xludf.DUMMYFUNCTION("""COMPUTED_VALUE"""),"")</f>
        <v/>
      </c>
      <c r="C19498" s="12" t="str">
        <f ca="1">IFERROR(__xludf.DUMMYFUNCTION("""COMPUTED_VALUE"""),"")</f>
        <v/>
      </c>
      <c r="D19498" s="12" t="str">
        <f ca="1">IFERROR(__xludf.DUMMYFUNCTION("""COMPUTED_VALUE"""),"")</f>
        <v/>
      </c>
    </row>
    <row r="19499" spans="2:4" ht="13">
      <c r="B19499" s="12" t="str">
        <f ca="1">IFERROR(__xludf.DUMMYFUNCTION("""COMPUTED_VALUE"""),"")</f>
        <v/>
      </c>
      <c r="C19499" s="12" t="str">
        <f ca="1">IFERROR(__xludf.DUMMYFUNCTION("""COMPUTED_VALUE"""),"")</f>
        <v/>
      </c>
      <c r="D19499" s="12" t="str">
        <f ca="1">IFERROR(__xludf.DUMMYFUNCTION("""COMPUTED_VALUE"""),"")</f>
        <v/>
      </c>
    </row>
    <row r="19500" spans="2:4" ht="13">
      <c r="B19500" s="12" t="str">
        <f ca="1">IFERROR(__xludf.DUMMYFUNCTION("""COMPUTED_VALUE"""),"")</f>
        <v/>
      </c>
      <c r="C19500" s="12" t="str">
        <f ca="1">IFERROR(__xludf.DUMMYFUNCTION("""COMPUTED_VALUE"""),"")</f>
        <v/>
      </c>
      <c r="D19500" s="12" t="str">
        <f ca="1">IFERROR(__xludf.DUMMYFUNCTION("""COMPUTED_VALUE"""),"")</f>
        <v/>
      </c>
    </row>
    <row r="19501" spans="2:4" ht="13">
      <c r="B19501" s="12" t="str">
        <f ca="1">IFERROR(__xludf.DUMMYFUNCTION("""COMPUTED_VALUE"""),"")</f>
        <v/>
      </c>
      <c r="C19501" s="12" t="str">
        <f ca="1">IFERROR(__xludf.DUMMYFUNCTION("""COMPUTED_VALUE"""),"")</f>
        <v/>
      </c>
      <c r="D19501" s="12" t="str">
        <f ca="1">IFERROR(__xludf.DUMMYFUNCTION("""COMPUTED_VALUE"""),"")</f>
        <v/>
      </c>
    </row>
    <row r="19502" spans="2:4" ht="13">
      <c r="B19502" s="12" t="str">
        <f ca="1">IFERROR(__xludf.DUMMYFUNCTION("""COMPUTED_VALUE"""),"")</f>
        <v/>
      </c>
      <c r="C19502" s="12" t="str">
        <f ca="1">IFERROR(__xludf.DUMMYFUNCTION("""COMPUTED_VALUE"""),"")</f>
        <v/>
      </c>
      <c r="D19502" s="12" t="str">
        <f ca="1">IFERROR(__xludf.DUMMYFUNCTION("""COMPUTED_VALUE"""),"")</f>
        <v/>
      </c>
    </row>
    <row r="19503" spans="2:4" ht="13">
      <c r="B19503" s="12" t="str">
        <f ca="1">IFERROR(__xludf.DUMMYFUNCTION("""COMPUTED_VALUE"""),"")</f>
        <v/>
      </c>
      <c r="C19503" s="12" t="str">
        <f ca="1">IFERROR(__xludf.DUMMYFUNCTION("""COMPUTED_VALUE"""),"")</f>
        <v/>
      </c>
      <c r="D19503" s="12" t="str">
        <f ca="1">IFERROR(__xludf.DUMMYFUNCTION("""COMPUTED_VALUE"""),"")</f>
        <v/>
      </c>
    </row>
    <row r="19504" spans="2:4" ht="13">
      <c r="B19504" s="12" t="str">
        <f ca="1">IFERROR(__xludf.DUMMYFUNCTION("""COMPUTED_VALUE"""),"")</f>
        <v/>
      </c>
      <c r="C19504" s="12" t="str">
        <f ca="1">IFERROR(__xludf.DUMMYFUNCTION("""COMPUTED_VALUE"""),"")</f>
        <v/>
      </c>
      <c r="D19504" s="12" t="str">
        <f ca="1">IFERROR(__xludf.DUMMYFUNCTION("""COMPUTED_VALUE"""),"")</f>
        <v/>
      </c>
    </row>
    <row r="19505" spans="2:4" ht="13">
      <c r="B19505" s="12" t="str">
        <f ca="1">IFERROR(__xludf.DUMMYFUNCTION("""COMPUTED_VALUE"""),"")</f>
        <v/>
      </c>
      <c r="C19505" s="12" t="str">
        <f ca="1">IFERROR(__xludf.DUMMYFUNCTION("""COMPUTED_VALUE"""),"")</f>
        <v/>
      </c>
      <c r="D19505" s="12" t="str">
        <f ca="1">IFERROR(__xludf.DUMMYFUNCTION("""COMPUTED_VALUE"""),"")</f>
        <v/>
      </c>
    </row>
    <row r="19506" spans="2:4" ht="13">
      <c r="B19506" s="12" t="str">
        <f ca="1">IFERROR(__xludf.DUMMYFUNCTION("""COMPUTED_VALUE"""),"")</f>
        <v/>
      </c>
      <c r="C19506" s="12" t="str">
        <f ca="1">IFERROR(__xludf.DUMMYFUNCTION("""COMPUTED_VALUE"""),"")</f>
        <v/>
      </c>
      <c r="D19506" s="12" t="str">
        <f ca="1">IFERROR(__xludf.DUMMYFUNCTION("""COMPUTED_VALUE"""),"")</f>
        <v/>
      </c>
    </row>
    <row r="19507" spans="2:4" ht="13">
      <c r="B19507" s="12" t="str">
        <f ca="1">IFERROR(__xludf.DUMMYFUNCTION("""COMPUTED_VALUE"""),"")</f>
        <v/>
      </c>
      <c r="C19507" s="12" t="str">
        <f ca="1">IFERROR(__xludf.DUMMYFUNCTION("""COMPUTED_VALUE"""),"")</f>
        <v/>
      </c>
      <c r="D19507" s="12" t="str">
        <f ca="1">IFERROR(__xludf.DUMMYFUNCTION("""COMPUTED_VALUE"""),"")</f>
        <v/>
      </c>
    </row>
    <row r="19508" spans="2:4" ht="13">
      <c r="B19508" s="12" t="str">
        <f ca="1">IFERROR(__xludf.DUMMYFUNCTION("""COMPUTED_VALUE"""),"")</f>
        <v/>
      </c>
      <c r="C19508" s="12" t="str">
        <f ca="1">IFERROR(__xludf.DUMMYFUNCTION("""COMPUTED_VALUE"""),"")</f>
        <v/>
      </c>
      <c r="D19508" s="12" t="str">
        <f ca="1">IFERROR(__xludf.DUMMYFUNCTION("""COMPUTED_VALUE"""),"")</f>
        <v/>
      </c>
    </row>
    <row r="19509" spans="2:4" ht="13">
      <c r="B19509" s="12" t="str">
        <f ca="1">IFERROR(__xludf.DUMMYFUNCTION("""COMPUTED_VALUE"""),"")</f>
        <v/>
      </c>
      <c r="C19509" s="12" t="str">
        <f ca="1">IFERROR(__xludf.DUMMYFUNCTION("""COMPUTED_VALUE"""),"")</f>
        <v/>
      </c>
      <c r="D19509" s="12" t="str">
        <f ca="1">IFERROR(__xludf.DUMMYFUNCTION("""COMPUTED_VALUE"""),"")</f>
        <v/>
      </c>
    </row>
    <row r="19510" spans="2:4" ht="13">
      <c r="B19510" s="12" t="str">
        <f ca="1">IFERROR(__xludf.DUMMYFUNCTION("""COMPUTED_VALUE"""),"")</f>
        <v/>
      </c>
      <c r="C19510" s="12" t="str">
        <f ca="1">IFERROR(__xludf.DUMMYFUNCTION("""COMPUTED_VALUE"""),"")</f>
        <v/>
      </c>
      <c r="D19510" s="12" t="str">
        <f ca="1">IFERROR(__xludf.DUMMYFUNCTION("""COMPUTED_VALUE"""),"")</f>
        <v/>
      </c>
    </row>
    <row r="19511" spans="2:4" ht="13">
      <c r="B19511" s="12" t="str">
        <f ca="1">IFERROR(__xludf.DUMMYFUNCTION("""COMPUTED_VALUE"""),"")</f>
        <v/>
      </c>
      <c r="C19511" s="12" t="str">
        <f ca="1">IFERROR(__xludf.DUMMYFUNCTION("""COMPUTED_VALUE"""),"")</f>
        <v/>
      </c>
      <c r="D19511" s="12" t="str">
        <f ca="1">IFERROR(__xludf.DUMMYFUNCTION("""COMPUTED_VALUE"""),"")</f>
        <v/>
      </c>
    </row>
    <row r="19512" spans="2:4" ht="13">
      <c r="B19512" s="12" t="str">
        <f ca="1">IFERROR(__xludf.DUMMYFUNCTION("""COMPUTED_VALUE"""),"")</f>
        <v/>
      </c>
      <c r="C19512" s="12" t="str">
        <f ca="1">IFERROR(__xludf.DUMMYFUNCTION("""COMPUTED_VALUE"""),"")</f>
        <v/>
      </c>
      <c r="D19512" s="12" t="str">
        <f ca="1">IFERROR(__xludf.DUMMYFUNCTION("""COMPUTED_VALUE"""),"")</f>
        <v/>
      </c>
    </row>
    <row r="19513" spans="2:4" ht="13">
      <c r="B19513" s="12" t="str">
        <f ca="1">IFERROR(__xludf.DUMMYFUNCTION("""COMPUTED_VALUE"""),"")</f>
        <v/>
      </c>
      <c r="C19513" s="12" t="str">
        <f ca="1">IFERROR(__xludf.DUMMYFUNCTION("""COMPUTED_VALUE"""),"")</f>
        <v/>
      </c>
      <c r="D19513" s="12" t="str">
        <f ca="1">IFERROR(__xludf.DUMMYFUNCTION("""COMPUTED_VALUE"""),"")</f>
        <v/>
      </c>
    </row>
    <row r="19514" spans="2:4" ht="13">
      <c r="B19514" s="12" t="str">
        <f ca="1">IFERROR(__xludf.DUMMYFUNCTION("""COMPUTED_VALUE"""),"")</f>
        <v/>
      </c>
      <c r="C19514" s="12" t="str">
        <f ca="1">IFERROR(__xludf.DUMMYFUNCTION("""COMPUTED_VALUE"""),"")</f>
        <v/>
      </c>
      <c r="D19514" s="12" t="str">
        <f ca="1">IFERROR(__xludf.DUMMYFUNCTION("""COMPUTED_VALUE"""),"")</f>
        <v/>
      </c>
    </row>
    <row r="19515" spans="2:4" ht="13">
      <c r="B19515" s="12" t="str">
        <f ca="1">IFERROR(__xludf.DUMMYFUNCTION("""COMPUTED_VALUE"""),"")</f>
        <v/>
      </c>
      <c r="C19515" s="12" t="str">
        <f ca="1">IFERROR(__xludf.DUMMYFUNCTION("""COMPUTED_VALUE"""),"")</f>
        <v/>
      </c>
      <c r="D19515" s="12" t="str">
        <f ca="1">IFERROR(__xludf.DUMMYFUNCTION("""COMPUTED_VALUE"""),"")</f>
        <v/>
      </c>
    </row>
    <row r="19516" spans="2:4" ht="13">
      <c r="B19516" s="12" t="str">
        <f ca="1">IFERROR(__xludf.DUMMYFUNCTION("""COMPUTED_VALUE"""),"")</f>
        <v/>
      </c>
      <c r="C19516" s="12" t="str">
        <f ca="1">IFERROR(__xludf.DUMMYFUNCTION("""COMPUTED_VALUE"""),"")</f>
        <v/>
      </c>
      <c r="D19516" s="12" t="str">
        <f ca="1">IFERROR(__xludf.DUMMYFUNCTION("""COMPUTED_VALUE"""),"")</f>
        <v/>
      </c>
    </row>
    <row r="19517" spans="2:4" ht="13">
      <c r="B19517" s="12" t="str">
        <f ca="1">IFERROR(__xludf.DUMMYFUNCTION("""COMPUTED_VALUE"""),"")</f>
        <v/>
      </c>
      <c r="C19517" s="12" t="str">
        <f ca="1">IFERROR(__xludf.DUMMYFUNCTION("""COMPUTED_VALUE"""),"")</f>
        <v/>
      </c>
      <c r="D19517" s="12" t="str">
        <f ca="1">IFERROR(__xludf.DUMMYFUNCTION("""COMPUTED_VALUE"""),"")</f>
        <v/>
      </c>
    </row>
    <row r="19518" spans="2:4" ht="13">
      <c r="B19518" s="12" t="str">
        <f ca="1">IFERROR(__xludf.DUMMYFUNCTION("""COMPUTED_VALUE"""),"")</f>
        <v/>
      </c>
      <c r="C19518" s="12" t="str">
        <f ca="1">IFERROR(__xludf.DUMMYFUNCTION("""COMPUTED_VALUE"""),"")</f>
        <v/>
      </c>
      <c r="D19518" s="12" t="str">
        <f ca="1">IFERROR(__xludf.DUMMYFUNCTION("""COMPUTED_VALUE"""),"")</f>
        <v/>
      </c>
    </row>
    <row r="19519" spans="2:4" ht="13">
      <c r="B19519" s="12" t="str">
        <f ca="1">IFERROR(__xludf.DUMMYFUNCTION("""COMPUTED_VALUE"""),"")</f>
        <v/>
      </c>
      <c r="C19519" s="12" t="str">
        <f ca="1">IFERROR(__xludf.DUMMYFUNCTION("""COMPUTED_VALUE"""),"")</f>
        <v/>
      </c>
      <c r="D19519" s="12" t="str">
        <f ca="1">IFERROR(__xludf.DUMMYFUNCTION("""COMPUTED_VALUE"""),"")</f>
        <v/>
      </c>
    </row>
    <row r="19520" spans="2:4" ht="13">
      <c r="B19520" s="12" t="str">
        <f ca="1">IFERROR(__xludf.DUMMYFUNCTION("""COMPUTED_VALUE"""),"")</f>
        <v/>
      </c>
      <c r="C19520" s="12" t="str">
        <f ca="1">IFERROR(__xludf.DUMMYFUNCTION("""COMPUTED_VALUE"""),"")</f>
        <v/>
      </c>
      <c r="D19520" s="12" t="str">
        <f ca="1">IFERROR(__xludf.DUMMYFUNCTION("""COMPUTED_VALUE"""),"")</f>
        <v/>
      </c>
    </row>
    <row r="19521" spans="2:4" ht="13">
      <c r="B19521" s="12" t="str">
        <f ca="1">IFERROR(__xludf.DUMMYFUNCTION("""COMPUTED_VALUE"""),"")</f>
        <v/>
      </c>
      <c r="C19521" s="12" t="str">
        <f ca="1">IFERROR(__xludf.DUMMYFUNCTION("""COMPUTED_VALUE"""),"")</f>
        <v/>
      </c>
      <c r="D19521" s="12" t="str">
        <f ca="1">IFERROR(__xludf.DUMMYFUNCTION("""COMPUTED_VALUE"""),"")</f>
        <v/>
      </c>
    </row>
    <row r="19522" spans="2:4" ht="13">
      <c r="B19522" s="12" t="str">
        <f ca="1">IFERROR(__xludf.DUMMYFUNCTION("""COMPUTED_VALUE"""),"")</f>
        <v/>
      </c>
      <c r="C19522" s="12" t="str">
        <f ca="1">IFERROR(__xludf.DUMMYFUNCTION("""COMPUTED_VALUE"""),"")</f>
        <v/>
      </c>
      <c r="D19522" s="12" t="str">
        <f ca="1">IFERROR(__xludf.DUMMYFUNCTION("""COMPUTED_VALUE"""),"")</f>
        <v/>
      </c>
    </row>
    <row r="19523" spans="2:4" ht="13">
      <c r="B19523" s="12" t="str">
        <f ca="1">IFERROR(__xludf.DUMMYFUNCTION("""COMPUTED_VALUE"""),"")</f>
        <v/>
      </c>
      <c r="C19523" s="12" t="str">
        <f ca="1">IFERROR(__xludf.DUMMYFUNCTION("""COMPUTED_VALUE"""),"")</f>
        <v/>
      </c>
      <c r="D19523" s="12" t="str">
        <f ca="1">IFERROR(__xludf.DUMMYFUNCTION("""COMPUTED_VALUE"""),"")</f>
        <v/>
      </c>
    </row>
    <row r="19524" spans="2:4" ht="13">
      <c r="B19524" s="12" t="str">
        <f ca="1">IFERROR(__xludf.DUMMYFUNCTION("""COMPUTED_VALUE"""),"")</f>
        <v/>
      </c>
      <c r="C19524" s="12" t="str">
        <f ca="1">IFERROR(__xludf.DUMMYFUNCTION("""COMPUTED_VALUE"""),"")</f>
        <v/>
      </c>
      <c r="D19524" s="12" t="str">
        <f ca="1">IFERROR(__xludf.DUMMYFUNCTION("""COMPUTED_VALUE"""),"")</f>
        <v/>
      </c>
    </row>
    <row r="19525" spans="2:4" ht="13">
      <c r="B19525" s="12" t="str">
        <f ca="1">IFERROR(__xludf.DUMMYFUNCTION("""COMPUTED_VALUE"""),"")</f>
        <v/>
      </c>
      <c r="C19525" s="12" t="str">
        <f ca="1">IFERROR(__xludf.DUMMYFUNCTION("""COMPUTED_VALUE"""),"")</f>
        <v/>
      </c>
      <c r="D19525" s="12" t="str">
        <f ca="1">IFERROR(__xludf.DUMMYFUNCTION("""COMPUTED_VALUE"""),"")</f>
        <v/>
      </c>
    </row>
    <row r="19526" spans="2:4" ht="13">
      <c r="B19526" s="12" t="str">
        <f ca="1">IFERROR(__xludf.DUMMYFUNCTION("""COMPUTED_VALUE"""),"")</f>
        <v/>
      </c>
      <c r="C19526" s="12" t="str">
        <f ca="1">IFERROR(__xludf.DUMMYFUNCTION("""COMPUTED_VALUE"""),"")</f>
        <v/>
      </c>
      <c r="D19526" s="12" t="str">
        <f ca="1">IFERROR(__xludf.DUMMYFUNCTION("""COMPUTED_VALUE"""),"")</f>
        <v/>
      </c>
    </row>
    <row r="19527" spans="2:4" ht="13">
      <c r="B19527" s="12" t="str">
        <f ca="1">IFERROR(__xludf.DUMMYFUNCTION("""COMPUTED_VALUE"""),"")</f>
        <v/>
      </c>
      <c r="C19527" s="12" t="str">
        <f ca="1">IFERROR(__xludf.DUMMYFUNCTION("""COMPUTED_VALUE"""),"")</f>
        <v/>
      </c>
      <c r="D19527" s="12" t="str">
        <f ca="1">IFERROR(__xludf.DUMMYFUNCTION("""COMPUTED_VALUE"""),"")</f>
        <v/>
      </c>
    </row>
    <row r="19528" spans="2:4" ht="13">
      <c r="B19528" s="12" t="str">
        <f ca="1">IFERROR(__xludf.DUMMYFUNCTION("""COMPUTED_VALUE"""),"")</f>
        <v/>
      </c>
      <c r="C19528" s="12" t="str">
        <f ca="1">IFERROR(__xludf.DUMMYFUNCTION("""COMPUTED_VALUE"""),"")</f>
        <v/>
      </c>
      <c r="D19528" s="12" t="str">
        <f ca="1">IFERROR(__xludf.DUMMYFUNCTION("""COMPUTED_VALUE"""),"")</f>
        <v/>
      </c>
    </row>
    <row r="19529" spans="2:4" ht="13">
      <c r="B19529" s="12" t="str">
        <f ca="1">IFERROR(__xludf.DUMMYFUNCTION("""COMPUTED_VALUE"""),"")</f>
        <v/>
      </c>
      <c r="C19529" s="12" t="str">
        <f ca="1">IFERROR(__xludf.DUMMYFUNCTION("""COMPUTED_VALUE"""),"")</f>
        <v/>
      </c>
      <c r="D19529" s="12" t="str">
        <f ca="1">IFERROR(__xludf.DUMMYFUNCTION("""COMPUTED_VALUE"""),"")</f>
        <v/>
      </c>
    </row>
    <row r="19530" spans="2:4" ht="13">
      <c r="B19530" s="12" t="str">
        <f ca="1">IFERROR(__xludf.DUMMYFUNCTION("""COMPUTED_VALUE"""),"")</f>
        <v/>
      </c>
      <c r="C19530" s="12" t="str">
        <f ca="1">IFERROR(__xludf.DUMMYFUNCTION("""COMPUTED_VALUE"""),"")</f>
        <v/>
      </c>
      <c r="D19530" s="12" t="str">
        <f ca="1">IFERROR(__xludf.DUMMYFUNCTION("""COMPUTED_VALUE"""),"")</f>
        <v/>
      </c>
    </row>
    <row r="19531" spans="2:4" ht="13">
      <c r="B19531" s="12" t="str">
        <f ca="1">IFERROR(__xludf.DUMMYFUNCTION("""COMPUTED_VALUE"""),"")</f>
        <v/>
      </c>
      <c r="C19531" s="12" t="str">
        <f ca="1">IFERROR(__xludf.DUMMYFUNCTION("""COMPUTED_VALUE"""),"")</f>
        <v/>
      </c>
      <c r="D19531" s="12" t="str">
        <f ca="1">IFERROR(__xludf.DUMMYFUNCTION("""COMPUTED_VALUE"""),"")</f>
        <v/>
      </c>
    </row>
    <row r="19532" spans="2:4" ht="13">
      <c r="B19532" s="12" t="str">
        <f ca="1">IFERROR(__xludf.DUMMYFUNCTION("""COMPUTED_VALUE"""),"")</f>
        <v/>
      </c>
      <c r="C19532" s="12" t="str">
        <f ca="1">IFERROR(__xludf.DUMMYFUNCTION("""COMPUTED_VALUE"""),"")</f>
        <v/>
      </c>
      <c r="D19532" s="12" t="str">
        <f ca="1">IFERROR(__xludf.DUMMYFUNCTION("""COMPUTED_VALUE"""),"")</f>
        <v/>
      </c>
    </row>
    <row r="19533" spans="2:4" ht="13">
      <c r="B19533" s="12" t="str">
        <f ca="1">IFERROR(__xludf.DUMMYFUNCTION("""COMPUTED_VALUE"""),"")</f>
        <v/>
      </c>
      <c r="C19533" s="12" t="str">
        <f ca="1">IFERROR(__xludf.DUMMYFUNCTION("""COMPUTED_VALUE"""),"")</f>
        <v/>
      </c>
      <c r="D19533" s="12" t="str">
        <f ca="1">IFERROR(__xludf.DUMMYFUNCTION("""COMPUTED_VALUE"""),"")</f>
        <v/>
      </c>
    </row>
    <row r="19534" spans="2:4" ht="13">
      <c r="B19534" s="12" t="str">
        <f ca="1">IFERROR(__xludf.DUMMYFUNCTION("""COMPUTED_VALUE"""),"")</f>
        <v/>
      </c>
      <c r="C19534" s="12" t="str">
        <f ca="1">IFERROR(__xludf.DUMMYFUNCTION("""COMPUTED_VALUE"""),"")</f>
        <v/>
      </c>
      <c r="D19534" s="12" t="str">
        <f ca="1">IFERROR(__xludf.DUMMYFUNCTION("""COMPUTED_VALUE"""),"")</f>
        <v/>
      </c>
    </row>
    <row r="19535" spans="2:4" ht="13">
      <c r="B19535" s="12" t="str">
        <f ca="1">IFERROR(__xludf.DUMMYFUNCTION("""COMPUTED_VALUE"""),"")</f>
        <v/>
      </c>
      <c r="C19535" s="12" t="str">
        <f ca="1">IFERROR(__xludf.DUMMYFUNCTION("""COMPUTED_VALUE"""),"")</f>
        <v/>
      </c>
      <c r="D19535" s="12" t="str">
        <f ca="1">IFERROR(__xludf.DUMMYFUNCTION("""COMPUTED_VALUE"""),"")</f>
        <v/>
      </c>
    </row>
    <row r="19536" spans="2:4" ht="13">
      <c r="B19536" s="12" t="str">
        <f ca="1">IFERROR(__xludf.DUMMYFUNCTION("""COMPUTED_VALUE"""),"")</f>
        <v/>
      </c>
      <c r="C19536" s="12" t="str">
        <f ca="1">IFERROR(__xludf.DUMMYFUNCTION("""COMPUTED_VALUE"""),"")</f>
        <v/>
      </c>
      <c r="D19536" s="12" t="str">
        <f ca="1">IFERROR(__xludf.DUMMYFUNCTION("""COMPUTED_VALUE"""),"")</f>
        <v/>
      </c>
    </row>
    <row r="19537" spans="2:4" ht="13">
      <c r="B19537" s="12" t="str">
        <f ca="1">IFERROR(__xludf.DUMMYFUNCTION("""COMPUTED_VALUE"""),"")</f>
        <v/>
      </c>
      <c r="C19537" s="12" t="str">
        <f ca="1">IFERROR(__xludf.DUMMYFUNCTION("""COMPUTED_VALUE"""),"")</f>
        <v/>
      </c>
      <c r="D19537" s="12" t="str">
        <f ca="1">IFERROR(__xludf.DUMMYFUNCTION("""COMPUTED_VALUE"""),"")</f>
        <v/>
      </c>
    </row>
    <row r="19538" spans="2:4" ht="13">
      <c r="B19538" s="12" t="str">
        <f ca="1">IFERROR(__xludf.DUMMYFUNCTION("""COMPUTED_VALUE"""),"")</f>
        <v/>
      </c>
      <c r="C19538" s="12" t="str">
        <f ca="1">IFERROR(__xludf.DUMMYFUNCTION("""COMPUTED_VALUE"""),"")</f>
        <v/>
      </c>
      <c r="D19538" s="12" t="str">
        <f ca="1">IFERROR(__xludf.DUMMYFUNCTION("""COMPUTED_VALUE"""),"")</f>
        <v/>
      </c>
    </row>
    <row r="19539" spans="2:4" ht="13">
      <c r="B19539" s="12" t="str">
        <f ca="1">IFERROR(__xludf.DUMMYFUNCTION("""COMPUTED_VALUE"""),"")</f>
        <v/>
      </c>
      <c r="C19539" s="12" t="str">
        <f ca="1">IFERROR(__xludf.DUMMYFUNCTION("""COMPUTED_VALUE"""),"")</f>
        <v/>
      </c>
      <c r="D19539" s="12" t="str">
        <f ca="1">IFERROR(__xludf.DUMMYFUNCTION("""COMPUTED_VALUE"""),"")</f>
        <v/>
      </c>
    </row>
    <row r="19540" spans="2:4" ht="13">
      <c r="B19540" s="12" t="str">
        <f ca="1">IFERROR(__xludf.DUMMYFUNCTION("""COMPUTED_VALUE"""),"")</f>
        <v/>
      </c>
      <c r="C19540" s="12" t="str">
        <f ca="1">IFERROR(__xludf.DUMMYFUNCTION("""COMPUTED_VALUE"""),"")</f>
        <v/>
      </c>
      <c r="D19540" s="12" t="str">
        <f ca="1">IFERROR(__xludf.DUMMYFUNCTION("""COMPUTED_VALUE"""),"")</f>
        <v/>
      </c>
    </row>
    <row r="19541" spans="2:4" ht="13">
      <c r="B19541" s="12" t="str">
        <f ca="1">IFERROR(__xludf.DUMMYFUNCTION("""COMPUTED_VALUE"""),"")</f>
        <v/>
      </c>
      <c r="C19541" s="12" t="str">
        <f ca="1">IFERROR(__xludf.DUMMYFUNCTION("""COMPUTED_VALUE"""),"")</f>
        <v/>
      </c>
      <c r="D19541" s="12" t="str">
        <f ca="1">IFERROR(__xludf.DUMMYFUNCTION("""COMPUTED_VALUE"""),"")</f>
        <v/>
      </c>
    </row>
    <row r="19542" spans="2:4" ht="13">
      <c r="B19542" s="12" t="str">
        <f ca="1">IFERROR(__xludf.DUMMYFUNCTION("""COMPUTED_VALUE"""),"")</f>
        <v/>
      </c>
      <c r="C19542" s="12" t="str">
        <f ca="1">IFERROR(__xludf.DUMMYFUNCTION("""COMPUTED_VALUE"""),"")</f>
        <v/>
      </c>
      <c r="D19542" s="12" t="str">
        <f ca="1">IFERROR(__xludf.DUMMYFUNCTION("""COMPUTED_VALUE"""),"")</f>
        <v/>
      </c>
    </row>
    <row r="19543" spans="2:4" ht="13">
      <c r="B19543" s="12" t="str">
        <f ca="1">IFERROR(__xludf.DUMMYFUNCTION("""COMPUTED_VALUE"""),"")</f>
        <v/>
      </c>
      <c r="C19543" s="12" t="str">
        <f ca="1">IFERROR(__xludf.DUMMYFUNCTION("""COMPUTED_VALUE"""),"")</f>
        <v/>
      </c>
      <c r="D19543" s="12" t="str">
        <f ca="1">IFERROR(__xludf.DUMMYFUNCTION("""COMPUTED_VALUE"""),"")</f>
        <v/>
      </c>
    </row>
    <row r="19544" spans="2:4" ht="13">
      <c r="B19544" s="12" t="str">
        <f ca="1">IFERROR(__xludf.DUMMYFUNCTION("""COMPUTED_VALUE"""),"")</f>
        <v/>
      </c>
      <c r="C19544" s="12" t="str">
        <f ca="1">IFERROR(__xludf.DUMMYFUNCTION("""COMPUTED_VALUE"""),"")</f>
        <v/>
      </c>
      <c r="D19544" s="12" t="str">
        <f ca="1">IFERROR(__xludf.DUMMYFUNCTION("""COMPUTED_VALUE"""),"")</f>
        <v/>
      </c>
    </row>
    <row r="19545" spans="2:4" ht="13">
      <c r="B19545" s="12" t="str">
        <f ca="1">IFERROR(__xludf.DUMMYFUNCTION("""COMPUTED_VALUE"""),"")</f>
        <v/>
      </c>
      <c r="C19545" s="12" t="str">
        <f ca="1">IFERROR(__xludf.DUMMYFUNCTION("""COMPUTED_VALUE"""),"")</f>
        <v/>
      </c>
      <c r="D19545" s="12" t="str">
        <f ca="1">IFERROR(__xludf.DUMMYFUNCTION("""COMPUTED_VALUE"""),"")</f>
        <v/>
      </c>
    </row>
    <row r="19546" spans="2:4" ht="13">
      <c r="B19546" s="12" t="str">
        <f ca="1">IFERROR(__xludf.DUMMYFUNCTION("""COMPUTED_VALUE"""),"")</f>
        <v/>
      </c>
      <c r="C19546" s="12" t="str">
        <f ca="1">IFERROR(__xludf.DUMMYFUNCTION("""COMPUTED_VALUE"""),"")</f>
        <v/>
      </c>
      <c r="D19546" s="12" t="str">
        <f ca="1">IFERROR(__xludf.DUMMYFUNCTION("""COMPUTED_VALUE"""),"")</f>
        <v/>
      </c>
    </row>
    <row r="19547" spans="2:4" ht="13">
      <c r="B19547" s="12" t="str">
        <f ca="1">IFERROR(__xludf.DUMMYFUNCTION("""COMPUTED_VALUE"""),"")</f>
        <v/>
      </c>
      <c r="C19547" s="12" t="str">
        <f ca="1">IFERROR(__xludf.DUMMYFUNCTION("""COMPUTED_VALUE"""),"")</f>
        <v/>
      </c>
      <c r="D19547" s="12" t="str">
        <f ca="1">IFERROR(__xludf.DUMMYFUNCTION("""COMPUTED_VALUE"""),"")</f>
        <v/>
      </c>
    </row>
    <row r="19548" spans="2:4" ht="13">
      <c r="B19548" s="12" t="str">
        <f ca="1">IFERROR(__xludf.DUMMYFUNCTION("""COMPUTED_VALUE"""),"")</f>
        <v/>
      </c>
      <c r="C19548" s="12" t="str">
        <f ca="1">IFERROR(__xludf.DUMMYFUNCTION("""COMPUTED_VALUE"""),"")</f>
        <v/>
      </c>
      <c r="D19548" s="12" t="str">
        <f ca="1">IFERROR(__xludf.DUMMYFUNCTION("""COMPUTED_VALUE"""),"")</f>
        <v/>
      </c>
    </row>
    <row r="19549" spans="2:4" ht="13">
      <c r="B19549" s="12" t="str">
        <f ca="1">IFERROR(__xludf.DUMMYFUNCTION("""COMPUTED_VALUE"""),"")</f>
        <v/>
      </c>
      <c r="C19549" s="12" t="str">
        <f ca="1">IFERROR(__xludf.DUMMYFUNCTION("""COMPUTED_VALUE"""),"")</f>
        <v/>
      </c>
      <c r="D19549" s="12" t="str">
        <f ca="1">IFERROR(__xludf.DUMMYFUNCTION("""COMPUTED_VALUE"""),"")</f>
        <v/>
      </c>
    </row>
    <row r="19550" spans="2:4" ht="13">
      <c r="B19550" s="12" t="str">
        <f ca="1">IFERROR(__xludf.DUMMYFUNCTION("""COMPUTED_VALUE"""),"")</f>
        <v/>
      </c>
      <c r="C19550" s="12" t="str">
        <f ca="1">IFERROR(__xludf.DUMMYFUNCTION("""COMPUTED_VALUE"""),"")</f>
        <v/>
      </c>
      <c r="D19550" s="12" t="str">
        <f ca="1">IFERROR(__xludf.DUMMYFUNCTION("""COMPUTED_VALUE"""),"")</f>
        <v/>
      </c>
    </row>
    <row r="19551" spans="2:4" ht="13">
      <c r="B19551" s="12" t="str">
        <f ca="1">IFERROR(__xludf.DUMMYFUNCTION("""COMPUTED_VALUE"""),"")</f>
        <v/>
      </c>
      <c r="C19551" s="12" t="str">
        <f ca="1">IFERROR(__xludf.DUMMYFUNCTION("""COMPUTED_VALUE"""),"")</f>
        <v/>
      </c>
      <c r="D19551" s="12" t="str">
        <f ca="1">IFERROR(__xludf.DUMMYFUNCTION("""COMPUTED_VALUE"""),"")</f>
        <v/>
      </c>
    </row>
    <row r="19552" spans="2:4" ht="13">
      <c r="B19552" s="12" t="str">
        <f ca="1">IFERROR(__xludf.DUMMYFUNCTION("""COMPUTED_VALUE"""),"")</f>
        <v/>
      </c>
      <c r="C19552" s="12" t="str">
        <f ca="1">IFERROR(__xludf.DUMMYFUNCTION("""COMPUTED_VALUE"""),"")</f>
        <v/>
      </c>
      <c r="D19552" s="12" t="str">
        <f ca="1">IFERROR(__xludf.DUMMYFUNCTION("""COMPUTED_VALUE"""),"")</f>
        <v/>
      </c>
    </row>
    <row r="19553" spans="2:4" ht="13">
      <c r="B19553" s="12" t="str">
        <f ca="1">IFERROR(__xludf.DUMMYFUNCTION("""COMPUTED_VALUE"""),"")</f>
        <v/>
      </c>
      <c r="C19553" s="12" t="str">
        <f ca="1">IFERROR(__xludf.DUMMYFUNCTION("""COMPUTED_VALUE"""),"")</f>
        <v/>
      </c>
      <c r="D19553" s="12" t="str">
        <f ca="1">IFERROR(__xludf.DUMMYFUNCTION("""COMPUTED_VALUE"""),"")</f>
        <v/>
      </c>
    </row>
    <row r="19554" spans="2:4" ht="13">
      <c r="B19554" s="12" t="str">
        <f ca="1">IFERROR(__xludf.DUMMYFUNCTION("""COMPUTED_VALUE"""),"")</f>
        <v/>
      </c>
      <c r="C19554" s="12" t="str">
        <f ca="1">IFERROR(__xludf.DUMMYFUNCTION("""COMPUTED_VALUE"""),"")</f>
        <v/>
      </c>
      <c r="D19554" s="12" t="str">
        <f ca="1">IFERROR(__xludf.DUMMYFUNCTION("""COMPUTED_VALUE"""),"")</f>
        <v/>
      </c>
    </row>
    <row r="19555" spans="2:4" ht="13">
      <c r="B19555" s="12" t="str">
        <f ca="1">IFERROR(__xludf.DUMMYFUNCTION("""COMPUTED_VALUE"""),"")</f>
        <v/>
      </c>
      <c r="C19555" s="12" t="str">
        <f ca="1">IFERROR(__xludf.DUMMYFUNCTION("""COMPUTED_VALUE"""),"")</f>
        <v/>
      </c>
      <c r="D19555" s="12" t="str">
        <f ca="1">IFERROR(__xludf.DUMMYFUNCTION("""COMPUTED_VALUE"""),"")</f>
        <v/>
      </c>
    </row>
    <row r="19556" spans="2:4" ht="13">
      <c r="B19556" s="12" t="str">
        <f ca="1">IFERROR(__xludf.DUMMYFUNCTION("""COMPUTED_VALUE"""),"")</f>
        <v/>
      </c>
      <c r="C19556" s="12" t="str">
        <f ca="1">IFERROR(__xludf.DUMMYFUNCTION("""COMPUTED_VALUE"""),"")</f>
        <v/>
      </c>
      <c r="D19556" s="12" t="str">
        <f ca="1">IFERROR(__xludf.DUMMYFUNCTION("""COMPUTED_VALUE"""),"")</f>
        <v/>
      </c>
    </row>
    <row r="19557" spans="2:4" ht="13">
      <c r="B19557" s="12" t="str">
        <f ca="1">IFERROR(__xludf.DUMMYFUNCTION("""COMPUTED_VALUE"""),"")</f>
        <v/>
      </c>
      <c r="C19557" s="12" t="str">
        <f ca="1">IFERROR(__xludf.DUMMYFUNCTION("""COMPUTED_VALUE"""),"")</f>
        <v/>
      </c>
      <c r="D19557" s="12" t="str">
        <f ca="1">IFERROR(__xludf.DUMMYFUNCTION("""COMPUTED_VALUE"""),"")</f>
        <v/>
      </c>
    </row>
    <row r="19558" spans="2:4" ht="13">
      <c r="B19558" s="12" t="str">
        <f ca="1">IFERROR(__xludf.DUMMYFUNCTION("""COMPUTED_VALUE"""),"")</f>
        <v/>
      </c>
      <c r="C19558" s="12" t="str">
        <f ca="1">IFERROR(__xludf.DUMMYFUNCTION("""COMPUTED_VALUE"""),"")</f>
        <v/>
      </c>
      <c r="D19558" s="12" t="str">
        <f ca="1">IFERROR(__xludf.DUMMYFUNCTION("""COMPUTED_VALUE"""),"")</f>
        <v/>
      </c>
    </row>
    <row r="19559" spans="2:4" ht="13">
      <c r="B19559" s="12" t="str">
        <f ca="1">IFERROR(__xludf.DUMMYFUNCTION("""COMPUTED_VALUE"""),"")</f>
        <v/>
      </c>
      <c r="C19559" s="12" t="str">
        <f ca="1">IFERROR(__xludf.DUMMYFUNCTION("""COMPUTED_VALUE"""),"")</f>
        <v/>
      </c>
      <c r="D19559" s="12" t="str">
        <f ca="1">IFERROR(__xludf.DUMMYFUNCTION("""COMPUTED_VALUE"""),"")</f>
        <v/>
      </c>
    </row>
    <row r="19560" spans="2:4" ht="13">
      <c r="B19560" s="12" t="str">
        <f ca="1">IFERROR(__xludf.DUMMYFUNCTION("""COMPUTED_VALUE"""),"")</f>
        <v/>
      </c>
      <c r="C19560" s="12" t="str">
        <f ca="1">IFERROR(__xludf.DUMMYFUNCTION("""COMPUTED_VALUE"""),"")</f>
        <v/>
      </c>
      <c r="D19560" s="12" t="str">
        <f ca="1">IFERROR(__xludf.DUMMYFUNCTION("""COMPUTED_VALUE"""),"")</f>
        <v/>
      </c>
    </row>
    <row r="19561" spans="2:4" ht="13">
      <c r="B19561" s="12" t="str">
        <f ca="1">IFERROR(__xludf.DUMMYFUNCTION("""COMPUTED_VALUE"""),"")</f>
        <v/>
      </c>
      <c r="C19561" s="12" t="str">
        <f ca="1">IFERROR(__xludf.DUMMYFUNCTION("""COMPUTED_VALUE"""),"")</f>
        <v/>
      </c>
      <c r="D19561" s="12" t="str">
        <f ca="1">IFERROR(__xludf.DUMMYFUNCTION("""COMPUTED_VALUE"""),"")</f>
        <v/>
      </c>
    </row>
    <row r="19562" spans="2:4" ht="13">
      <c r="B19562" s="12" t="str">
        <f ca="1">IFERROR(__xludf.DUMMYFUNCTION("""COMPUTED_VALUE"""),"")</f>
        <v/>
      </c>
      <c r="C19562" s="12" t="str">
        <f ca="1">IFERROR(__xludf.DUMMYFUNCTION("""COMPUTED_VALUE"""),"")</f>
        <v/>
      </c>
      <c r="D19562" s="12" t="str">
        <f ca="1">IFERROR(__xludf.DUMMYFUNCTION("""COMPUTED_VALUE"""),"")</f>
        <v/>
      </c>
    </row>
    <row r="19563" spans="2:4" ht="13">
      <c r="B19563" s="12" t="str">
        <f ca="1">IFERROR(__xludf.DUMMYFUNCTION("""COMPUTED_VALUE"""),"")</f>
        <v/>
      </c>
      <c r="C19563" s="12" t="str">
        <f ca="1">IFERROR(__xludf.DUMMYFUNCTION("""COMPUTED_VALUE"""),"")</f>
        <v/>
      </c>
      <c r="D19563" s="12" t="str">
        <f ca="1">IFERROR(__xludf.DUMMYFUNCTION("""COMPUTED_VALUE"""),"")</f>
        <v/>
      </c>
    </row>
    <row r="19564" spans="2:4" ht="13">
      <c r="B19564" s="12" t="str">
        <f ca="1">IFERROR(__xludf.DUMMYFUNCTION("""COMPUTED_VALUE"""),"")</f>
        <v/>
      </c>
      <c r="C19564" s="12" t="str">
        <f ca="1">IFERROR(__xludf.DUMMYFUNCTION("""COMPUTED_VALUE"""),"")</f>
        <v/>
      </c>
      <c r="D19564" s="12" t="str">
        <f ca="1">IFERROR(__xludf.DUMMYFUNCTION("""COMPUTED_VALUE"""),"")</f>
        <v/>
      </c>
    </row>
    <row r="19565" spans="2:4" ht="13">
      <c r="B19565" s="12" t="str">
        <f ca="1">IFERROR(__xludf.DUMMYFUNCTION("""COMPUTED_VALUE"""),"")</f>
        <v/>
      </c>
      <c r="C19565" s="12" t="str">
        <f ca="1">IFERROR(__xludf.DUMMYFUNCTION("""COMPUTED_VALUE"""),"")</f>
        <v/>
      </c>
      <c r="D19565" s="12" t="str">
        <f ca="1">IFERROR(__xludf.DUMMYFUNCTION("""COMPUTED_VALUE"""),"")</f>
        <v/>
      </c>
    </row>
    <row r="19566" spans="2:4" ht="13">
      <c r="B19566" s="12" t="str">
        <f ca="1">IFERROR(__xludf.DUMMYFUNCTION("""COMPUTED_VALUE"""),"")</f>
        <v/>
      </c>
      <c r="C19566" s="12" t="str">
        <f ca="1">IFERROR(__xludf.DUMMYFUNCTION("""COMPUTED_VALUE"""),"")</f>
        <v/>
      </c>
      <c r="D19566" s="12" t="str">
        <f ca="1">IFERROR(__xludf.DUMMYFUNCTION("""COMPUTED_VALUE"""),"")</f>
        <v/>
      </c>
    </row>
    <row r="19567" spans="2:4" ht="13">
      <c r="B19567" s="12" t="str">
        <f ca="1">IFERROR(__xludf.DUMMYFUNCTION("""COMPUTED_VALUE"""),"")</f>
        <v/>
      </c>
      <c r="C19567" s="12" t="str">
        <f ca="1">IFERROR(__xludf.DUMMYFUNCTION("""COMPUTED_VALUE"""),"")</f>
        <v/>
      </c>
      <c r="D19567" s="12" t="str">
        <f ca="1">IFERROR(__xludf.DUMMYFUNCTION("""COMPUTED_VALUE"""),"")</f>
        <v/>
      </c>
    </row>
    <row r="19568" spans="2:4" ht="13">
      <c r="B19568" s="12" t="str">
        <f ca="1">IFERROR(__xludf.DUMMYFUNCTION("""COMPUTED_VALUE"""),"")</f>
        <v/>
      </c>
      <c r="C19568" s="12" t="str">
        <f ca="1">IFERROR(__xludf.DUMMYFUNCTION("""COMPUTED_VALUE"""),"")</f>
        <v/>
      </c>
      <c r="D19568" s="12" t="str">
        <f ca="1">IFERROR(__xludf.DUMMYFUNCTION("""COMPUTED_VALUE"""),"")</f>
        <v/>
      </c>
    </row>
    <row r="19569" spans="2:4" ht="13">
      <c r="B19569" s="12" t="str">
        <f ca="1">IFERROR(__xludf.DUMMYFUNCTION("""COMPUTED_VALUE"""),"")</f>
        <v/>
      </c>
      <c r="C19569" s="12" t="str">
        <f ca="1">IFERROR(__xludf.DUMMYFUNCTION("""COMPUTED_VALUE"""),"")</f>
        <v/>
      </c>
      <c r="D19569" s="12" t="str">
        <f ca="1">IFERROR(__xludf.DUMMYFUNCTION("""COMPUTED_VALUE"""),"")</f>
        <v/>
      </c>
    </row>
    <row r="19570" spans="2:4" ht="13">
      <c r="B19570" s="12" t="str">
        <f ca="1">IFERROR(__xludf.DUMMYFUNCTION("""COMPUTED_VALUE"""),"")</f>
        <v/>
      </c>
      <c r="C19570" s="12" t="str">
        <f ca="1">IFERROR(__xludf.DUMMYFUNCTION("""COMPUTED_VALUE"""),"")</f>
        <v/>
      </c>
      <c r="D19570" s="12" t="str">
        <f ca="1">IFERROR(__xludf.DUMMYFUNCTION("""COMPUTED_VALUE"""),"")</f>
        <v/>
      </c>
    </row>
    <row r="19571" spans="2:4" ht="13">
      <c r="B19571" s="12" t="str">
        <f ca="1">IFERROR(__xludf.DUMMYFUNCTION("""COMPUTED_VALUE"""),"")</f>
        <v/>
      </c>
      <c r="C19571" s="12" t="str">
        <f ca="1">IFERROR(__xludf.DUMMYFUNCTION("""COMPUTED_VALUE"""),"")</f>
        <v/>
      </c>
      <c r="D19571" s="12" t="str">
        <f ca="1">IFERROR(__xludf.DUMMYFUNCTION("""COMPUTED_VALUE"""),"")</f>
        <v/>
      </c>
    </row>
    <row r="19572" spans="2:4" ht="13">
      <c r="B19572" s="12" t="str">
        <f ca="1">IFERROR(__xludf.DUMMYFUNCTION("""COMPUTED_VALUE"""),"")</f>
        <v/>
      </c>
      <c r="C19572" s="12" t="str">
        <f ca="1">IFERROR(__xludf.DUMMYFUNCTION("""COMPUTED_VALUE"""),"")</f>
        <v/>
      </c>
      <c r="D19572" s="12" t="str">
        <f ca="1">IFERROR(__xludf.DUMMYFUNCTION("""COMPUTED_VALUE"""),"")</f>
        <v/>
      </c>
    </row>
    <row r="19573" spans="2:4" ht="13">
      <c r="B19573" s="12" t="str">
        <f ca="1">IFERROR(__xludf.DUMMYFUNCTION("""COMPUTED_VALUE"""),"")</f>
        <v/>
      </c>
      <c r="C19573" s="12" t="str">
        <f ca="1">IFERROR(__xludf.DUMMYFUNCTION("""COMPUTED_VALUE"""),"")</f>
        <v/>
      </c>
      <c r="D19573" s="12" t="str">
        <f ca="1">IFERROR(__xludf.DUMMYFUNCTION("""COMPUTED_VALUE"""),"")</f>
        <v/>
      </c>
    </row>
    <row r="19574" spans="2:4" ht="13">
      <c r="B19574" s="12" t="str">
        <f ca="1">IFERROR(__xludf.DUMMYFUNCTION("""COMPUTED_VALUE"""),"")</f>
        <v/>
      </c>
      <c r="C19574" s="12" t="str">
        <f ca="1">IFERROR(__xludf.DUMMYFUNCTION("""COMPUTED_VALUE"""),"")</f>
        <v/>
      </c>
      <c r="D19574" s="12" t="str">
        <f ca="1">IFERROR(__xludf.DUMMYFUNCTION("""COMPUTED_VALUE"""),"")</f>
        <v/>
      </c>
    </row>
    <row r="19575" spans="2:4" ht="13">
      <c r="B19575" s="12" t="str">
        <f ca="1">IFERROR(__xludf.DUMMYFUNCTION("""COMPUTED_VALUE"""),"")</f>
        <v/>
      </c>
      <c r="C19575" s="12" t="str">
        <f ca="1">IFERROR(__xludf.DUMMYFUNCTION("""COMPUTED_VALUE"""),"")</f>
        <v/>
      </c>
      <c r="D19575" s="12" t="str">
        <f ca="1">IFERROR(__xludf.DUMMYFUNCTION("""COMPUTED_VALUE"""),"")</f>
        <v/>
      </c>
    </row>
    <row r="19576" spans="2:4" ht="13">
      <c r="B19576" s="12" t="str">
        <f ca="1">IFERROR(__xludf.DUMMYFUNCTION("""COMPUTED_VALUE"""),"")</f>
        <v/>
      </c>
      <c r="C19576" s="12" t="str">
        <f ca="1">IFERROR(__xludf.DUMMYFUNCTION("""COMPUTED_VALUE"""),"")</f>
        <v/>
      </c>
      <c r="D19576" s="12" t="str">
        <f ca="1">IFERROR(__xludf.DUMMYFUNCTION("""COMPUTED_VALUE"""),"")</f>
        <v/>
      </c>
    </row>
    <row r="19577" spans="2:4" ht="13">
      <c r="B19577" s="12" t="str">
        <f ca="1">IFERROR(__xludf.DUMMYFUNCTION("""COMPUTED_VALUE"""),"")</f>
        <v/>
      </c>
      <c r="C19577" s="12" t="str">
        <f ca="1">IFERROR(__xludf.DUMMYFUNCTION("""COMPUTED_VALUE"""),"")</f>
        <v/>
      </c>
      <c r="D19577" s="12" t="str">
        <f ca="1">IFERROR(__xludf.DUMMYFUNCTION("""COMPUTED_VALUE"""),"")</f>
        <v/>
      </c>
    </row>
    <row r="19578" spans="2:4" ht="13">
      <c r="B19578" s="12" t="str">
        <f ca="1">IFERROR(__xludf.DUMMYFUNCTION("""COMPUTED_VALUE"""),"")</f>
        <v/>
      </c>
      <c r="C19578" s="12" t="str">
        <f ca="1">IFERROR(__xludf.DUMMYFUNCTION("""COMPUTED_VALUE"""),"")</f>
        <v/>
      </c>
      <c r="D19578" s="12" t="str">
        <f ca="1">IFERROR(__xludf.DUMMYFUNCTION("""COMPUTED_VALUE"""),"")</f>
        <v/>
      </c>
    </row>
    <row r="19579" spans="2:4" ht="13">
      <c r="B19579" s="12" t="str">
        <f ca="1">IFERROR(__xludf.DUMMYFUNCTION("""COMPUTED_VALUE"""),"")</f>
        <v/>
      </c>
      <c r="C19579" s="12" t="str">
        <f ca="1">IFERROR(__xludf.DUMMYFUNCTION("""COMPUTED_VALUE"""),"")</f>
        <v/>
      </c>
      <c r="D19579" s="12" t="str">
        <f ca="1">IFERROR(__xludf.DUMMYFUNCTION("""COMPUTED_VALUE"""),"")</f>
        <v/>
      </c>
    </row>
    <row r="19580" spans="2:4" ht="13">
      <c r="B19580" s="12" t="str">
        <f ca="1">IFERROR(__xludf.DUMMYFUNCTION("""COMPUTED_VALUE"""),"")</f>
        <v/>
      </c>
      <c r="C19580" s="12" t="str">
        <f ca="1">IFERROR(__xludf.DUMMYFUNCTION("""COMPUTED_VALUE"""),"")</f>
        <v/>
      </c>
      <c r="D19580" s="12" t="str">
        <f ca="1">IFERROR(__xludf.DUMMYFUNCTION("""COMPUTED_VALUE"""),"")</f>
        <v/>
      </c>
    </row>
    <row r="19581" spans="2:4" ht="13">
      <c r="B19581" s="12" t="str">
        <f ca="1">IFERROR(__xludf.DUMMYFUNCTION("""COMPUTED_VALUE"""),"")</f>
        <v/>
      </c>
      <c r="C19581" s="12" t="str">
        <f ca="1">IFERROR(__xludf.DUMMYFUNCTION("""COMPUTED_VALUE"""),"")</f>
        <v/>
      </c>
      <c r="D19581" s="12" t="str">
        <f ca="1">IFERROR(__xludf.DUMMYFUNCTION("""COMPUTED_VALUE"""),"")</f>
        <v/>
      </c>
    </row>
    <row r="19582" spans="2:4" ht="13">
      <c r="B19582" s="12" t="str">
        <f ca="1">IFERROR(__xludf.DUMMYFUNCTION("""COMPUTED_VALUE"""),"")</f>
        <v/>
      </c>
      <c r="C19582" s="12" t="str">
        <f ca="1">IFERROR(__xludf.DUMMYFUNCTION("""COMPUTED_VALUE"""),"")</f>
        <v/>
      </c>
      <c r="D19582" s="12" t="str">
        <f ca="1">IFERROR(__xludf.DUMMYFUNCTION("""COMPUTED_VALUE"""),"")</f>
        <v/>
      </c>
    </row>
    <row r="19583" spans="2:4" ht="13">
      <c r="B19583" s="12" t="str">
        <f ca="1">IFERROR(__xludf.DUMMYFUNCTION("""COMPUTED_VALUE"""),"")</f>
        <v/>
      </c>
      <c r="C19583" s="12" t="str">
        <f ca="1">IFERROR(__xludf.DUMMYFUNCTION("""COMPUTED_VALUE"""),"")</f>
        <v/>
      </c>
      <c r="D19583" s="12" t="str">
        <f ca="1">IFERROR(__xludf.DUMMYFUNCTION("""COMPUTED_VALUE"""),"")</f>
        <v/>
      </c>
    </row>
    <row r="19584" spans="2:4" ht="13">
      <c r="B19584" s="12" t="str">
        <f ca="1">IFERROR(__xludf.DUMMYFUNCTION("""COMPUTED_VALUE"""),"")</f>
        <v/>
      </c>
      <c r="C19584" s="12" t="str">
        <f ca="1">IFERROR(__xludf.DUMMYFUNCTION("""COMPUTED_VALUE"""),"")</f>
        <v/>
      </c>
      <c r="D19584" s="12" t="str">
        <f ca="1">IFERROR(__xludf.DUMMYFUNCTION("""COMPUTED_VALUE"""),"")</f>
        <v/>
      </c>
    </row>
    <row r="19585" spans="2:4" ht="13">
      <c r="B19585" s="12" t="str">
        <f ca="1">IFERROR(__xludf.DUMMYFUNCTION("""COMPUTED_VALUE"""),"")</f>
        <v/>
      </c>
      <c r="C19585" s="12" t="str">
        <f ca="1">IFERROR(__xludf.DUMMYFUNCTION("""COMPUTED_VALUE"""),"")</f>
        <v/>
      </c>
      <c r="D19585" s="12" t="str">
        <f ca="1">IFERROR(__xludf.DUMMYFUNCTION("""COMPUTED_VALUE"""),"")</f>
        <v/>
      </c>
    </row>
    <row r="19586" spans="2:4" ht="13">
      <c r="B19586" s="12" t="str">
        <f ca="1">IFERROR(__xludf.DUMMYFUNCTION("""COMPUTED_VALUE"""),"")</f>
        <v/>
      </c>
      <c r="C19586" s="12" t="str">
        <f ca="1">IFERROR(__xludf.DUMMYFUNCTION("""COMPUTED_VALUE"""),"")</f>
        <v/>
      </c>
      <c r="D19586" s="12" t="str">
        <f ca="1">IFERROR(__xludf.DUMMYFUNCTION("""COMPUTED_VALUE"""),"")</f>
        <v/>
      </c>
    </row>
    <row r="19587" spans="2:4" ht="13">
      <c r="B19587" s="12" t="str">
        <f ca="1">IFERROR(__xludf.DUMMYFUNCTION("""COMPUTED_VALUE"""),"")</f>
        <v/>
      </c>
      <c r="C19587" s="12" t="str">
        <f ca="1">IFERROR(__xludf.DUMMYFUNCTION("""COMPUTED_VALUE"""),"")</f>
        <v/>
      </c>
      <c r="D19587" s="12" t="str">
        <f ca="1">IFERROR(__xludf.DUMMYFUNCTION("""COMPUTED_VALUE"""),"")</f>
        <v/>
      </c>
    </row>
    <row r="19588" spans="2:4" ht="13">
      <c r="B19588" s="12" t="str">
        <f ca="1">IFERROR(__xludf.DUMMYFUNCTION("""COMPUTED_VALUE"""),"")</f>
        <v/>
      </c>
      <c r="C19588" s="12" t="str">
        <f ca="1">IFERROR(__xludf.DUMMYFUNCTION("""COMPUTED_VALUE"""),"")</f>
        <v/>
      </c>
      <c r="D19588" s="12" t="str">
        <f ca="1">IFERROR(__xludf.DUMMYFUNCTION("""COMPUTED_VALUE"""),"")</f>
        <v/>
      </c>
    </row>
    <row r="19589" spans="2:4" ht="13">
      <c r="B19589" s="12" t="str">
        <f ca="1">IFERROR(__xludf.DUMMYFUNCTION("""COMPUTED_VALUE"""),"")</f>
        <v/>
      </c>
      <c r="C19589" s="12" t="str">
        <f ca="1">IFERROR(__xludf.DUMMYFUNCTION("""COMPUTED_VALUE"""),"")</f>
        <v/>
      </c>
      <c r="D19589" s="12" t="str">
        <f ca="1">IFERROR(__xludf.DUMMYFUNCTION("""COMPUTED_VALUE"""),"")</f>
        <v/>
      </c>
    </row>
    <row r="19590" spans="2:4" ht="13">
      <c r="B19590" s="12" t="str">
        <f ca="1">IFERROR(__xludf.DUMMYFUNCTION("""COMPUTED_VALUE"""),"")</f>
        <v/>
      </c>
      <c r="C19590" s="12" t="str">
        <f ca="1">IFERROR(__xludf.DUMMYFUNCTION("""COMPUTED_VALUE"""),"")</f>
        <v/>
      </c>
      <c r="D19590" s="12" t="str">
        <f ca="1">IFERROR(__xludf.DUMMYFUNCTION("""COMPUTED_VALUE"""),"")</f>
        <v/>
      </c>
    </row>
    <row r="19591" spans="2:4" ht="13">
      <c r="B19591" s="12" t="str">
        <f ca="1">IFERROR(__xludf.DUMMYFUNCTION("""COMPUTED_VALUE"""),"")</f>
        <v/>
      </c>
      <c r="C19591" s="12" t="str">
        <f ca="1">IFERROR(__xludf.DUMMYFUNCTION("""COMPUTED_VALUE"""),"")</f>
        <v/>
      </c>
      <c r="D19591" s="12" t="str">
        <f ca="1">IFERROR(__xludf.DUMMYFUNCTION("""COMPUTED_VALUE"""),"")</f>
        <v/>
      </c>
    </row>
    <row r="19592" spans="2:4" ht="13">
      <c r="B19592" s="12" t="str">
        <f ca="1">IFERROR(__xludf.DUMMYFUNCTION("""COMPUTED_VALUE"""),"")</f>
        <v/>
      </c>
      <c r="C19592" s="12" t="str">
        <f ca="1">IFERROR(__xludf.DUMMYFUNCTION("""COMPUTED_VALUE"""),"")</f>
        <v/>
      </c>
      <c r="D19592" s="12" t="str">
        <f ca="1">IFERROR(__xludf.DUMMYFUNCTION("""COMPUTED_VALUE"""),"")</f>
        <v/>
      </c>
    </row>
    <row r="19593" spans="2:4" ht="13">
      <c r="B19593" s="12" t="str">
        <f ca="1">IFERROR(__xludf.DUMMYFUNCTION("""COMPUTED_VALUE"""),"")</f>
        <v/>
      </c>
      <c r="C19593" s="12" t="str">
        <f ca="1">IFERROR(__xludf.DUMMYFUNCTION("""COMPUTED_VALUE"""),"")</f>
        <v/>
      </c>
      <c r="D19593" s="12" t="str">
        <f ca="1">IFERROR(__xludf.DUMMYFUNCTION("""COMPUTED_VALUE"""),"")</f>
        <v/>
      </c>
    </row>
    <row r="19594" spans="2:4" ht="13">
      <c r="B19594" s="12" t="str">
        <f ca="1">IFERROR(__xludf.DUMMYFUNCTION("""COMPUTED_VALUE"""),"")</f>
        <v/>
      </c>
      <c r="C19594" s="12" t="str">
        <f ca="1">IFERROR(__xludf.DUMMYFUNCTION("""COMPUTED_VALUE"""),"")</f>
        <v/>
      </c>
      <c r="D19594" s="12" t="str">
        <f ca="1">IFERROR(__xludf.DUMMYFUNCTION("""COMPUTED_VALUE"""),"")</f>
        <v/>
      </c>
    </row>
    <row r="19595" spans="2:4" ht="13">
      <c r="B19595" s="12" t="str">
        <f ca="1">IFERROR(__xludf.DUMMYFUNCTION("""COMPUTED_VALUE"""),"")</f>
        <v/>
      </c>
      <c r="C19595" s="12" t="str">
        <f ca="1">IFERROR(__xludf.DUMMYFUNCTION("""COMPUTED_VALUE"""),"")</f>
        <v/>
      </c>
      <c r="D19595" s="12" t="str">
        <f ca="1">IFERROR(__xludf.DUMMYFUNCTION("""COMPUTED_VALUE"""),"")</f>
        <v/>
      </c>
    </row>
    <row r="19596" spans="2:4" ht="13">
      <c r="B19596" s="12" t="str">
        <f ca="1">IFERROR(__xludf.DUMMYFUNCTION("""COMPUTED_VALUE"""),"")</f>
        <v/>
      </c>
      <c r="C19596" s="12" t="str">
        <f ca="1">IFERROR(__xludf.DUMMYFUNCTION("""COMPUTED_VALUE"""),"")</f>
        <v/>
      </c>
      <c r="D19596" s="12" t="str">
        <f ca="1">IFERROR(__xludf.DUMMYFUNCTION("""COMPUTED_VALUE"""),"")</f>
        <v/>
      </c>
    </row>
    <row r="19597" spans="2:4" ht="13">
      <c r="B19597" s="12" t="str">
        <f ca="1">IFERROR(__xludf.DUMMYFUNCTION("""COMPUTED_VALUE"""),"")</f>
        <v/>
      </c>
      <c r="C19597" s="12" t="str">
        <f ca="1">IFERROR(__xludf.DUMMYFUNCTION("""COMPUTED_VALUE"""),"")</f>
        <v/>
      </c>
      <c r="D19597" s="12" t="str">
        <f ca="1">IFERROR(__xludf.DUMMYFUNCTION("""COMPUTED_VALUE"""),"")</f>
        <v/>
      </c>
    </row>
    <row r="19598" spans="2:4" ht="13">
      <c r="B19598" s="12" t="str">
        <f ca="1">IFERROR(__xludf.DUMMYFUNCTION("""COMPUTED_VALUE"""),"")</f>
        <v/>
      </c>
      <c r="C19598" s="12" t="str">
        <f ca="1">IFERROR(__xludf.DUMMYFUNCTION("""COMPUTED_VALUE"""),"")</f>
        <v/>
      </c>
      <c r="D19598" s="12" t="str">
        <f ca="1">IFERROR(__xludf.DUMMYFUNCTION("""COMPUTED_VALUE"""),"")</f>
        <v/>
      </c>
    </row>
    <row r="19599" spans="2:4" ht="13">
      <c r="B19599" s="12" t="str">
        <f ca="1">IFERROR(__xludf.DUMMYFUNCTION("""COMPUTED_VALUE"""),"")</f>
        <v/>
      </c>
      <c r="C19599" s="12" t="str">
        <f ca="1">IFERROR(__xludf.DUMMYFUNCTION("""COMPUTED_VALUE"""),"")</f>
        <v/>
      </c>
      <c r="D19599" s="12" t="str">
        <f ca="1">IFERROR(__xludf.DUMMYFUNCTION("""COMPUTED_VALUE"""),"")</f>
        <v/>
      </c>
    </row>
    <row r="19600" spans="2:4" ht="13">
      <c r="B19600" s="12" t="str">
        <f ca="1">IFERROR(__xludf.DUMMYFUNCTION("""COMPUTED_VALUE"""),"")</f>
        <v/>
      </c>
      <c r="C19600" s="12" t="str">
        <f ca="1">IFERROR(__xludf.DUMMYFUNCTION("""COMPUTED_VALUE"""),"")</f>
        <v/>
      </c>
      <c r="D19600" s="12" t="str">
        <f ca="1">IFERROR(__xludf.DUMMYFUNCTION("""COMPUTED_VALUE"""),"")</f>
        <v/>
      </c>
    </row>
    <row r="19601" spans="2:4" ht="13">
      <c r="B19601" s="12" t="str">
        <f ca="1">IFERROR(__xludf.DUMMYFUNCTION("""COMPUTED_VALUE"""),"")</f>
        <v/>
      </c>
      <c r="C19601" s="12" t="str">
        <f ca="1">IFERROR(__xludf.DUMMYFUNCTION("""COMPUTED_VALUE"""),"")</f>
        <v/>
      </c>
      <c r="D19601" s="12" t="str">
        <f ca="1">IFERROR(__xludf.DUMMYFUNCTION("""COMPUTED_VALUE"""),"")</f>
        <v/>
      </c>
    </row>
    <row r="19602" spans="2:4" ht="13">
      <c r="B19602" s="12" t="str">
        <f ca="1">IFERROR(__xludf.DUMMYFUNCTION("""COMPUTED_VALUE"""),"")</f>
        <v/>
      </c>
      <c r="C19602" s="12" t="str">
        <f ca="1">IFERROR(__xludf.DUMMYFUNCTION("""COMPUTED_VALUE"""),"")</f>
        <v/>
      </c>
      <c r="D19602" s="12" t="str">
        <f ca="1">IFERROR(__xludf.DUMMYFUNCTION("""COMPUTED_VALUE"""),"")</f>
        <v/>
      </c>
    </row>
    <row r="19603" spans="2:4" ht="13">
      <c r="B19603" s="12" t="str">
        <f ca="1">IFERROR(__xludf.DUMMYFUNCTION("""COMPUTED_VALUE"""),"")</f>
        <v/>
      </c>
      <c r="C19603" s="12" t="str">
        <f ca="1">IFERROR(__xludf.DUMMYFUNCTION("""COMPUTED_VALUE"""),"")</f>
        <v/>
      </c>
      <c r="D19603" s="12" t="str">
        <f ca="1">IFERROR(__xludf.DUMMYFUNCTION("""COMPUTED_VALUE"""),"")</f>
        <v/>
      </c>
    </row>
    <row r="19604" spans="2:4" ht="13">
      <c r="B19604" s="12" t="str">
        <f ca="1">IFERROR(__xludf.DUMMYFUNCTION("""COMPUTED_VALUE"""),"")</f>
        <v/>
      </c>
      <c r="C19604" s="12" t="str">
        <f ca="1">IFERROR(__xludf.DUMMYFUNCTION("""COMPUTED_VALUE"""),"")</f>
        <v/>
      </c>
      <c r="D19604" s="12" t="str">
        <f ca="1">IFERROR(__xludf.DUMMYFUNCTION("""COMPUTED_VALUE"""),"")</f>
        <v/>
      </c>
    </row>
    <row r="19605" spans="2:4" ht="13">
      <c r="B19605" s="12" t="str">
        <f ca="1">IFERROR(__xludf.DUMMYFUNCTION("""COMPUTED_VALUE"""),"")</f>
        <v/>
      </c>
      <c r="C19605" s="12" t="str">
        <f ca="1">IFERROR(__xludf.DUMMYFUNCTION("""COMPUTED_VALUE"""),"")</f>
        <v/>
      </c>
      <c r="D19605" s="12" t="str">
        <f ca="1">IFERROR(__xludf.DUMMYFUNCTION("""COMPUTED_VALUE"""),"")</f>
        <v/>
      </c>
    </row>
    <row r="19606" spans="2:4" ht="13">
      <c r="B19606" s="12" t="str">
        <f ca="1">IFERROR(__xludf.DUMMYFUNCTION("""COMPUTED_VALUE"""),"")</f>
        <v/>
      </c>
      <c r="C19606" s="12" t="str">
        <f ca="1">IFERROR(__xludf.DUMMYFUNCTION("""COMPUTED_VALUE"""),"")</f>
        <v/>
      </c>
      <c r="D19606" s="12" t="str">
        <f ca="1">IFERROR(__xludf.DUMMYFUNCTION("""COMPUTED_VALUE"""),"")</f>
        <v/>
      </c>
    </row>
    <row r="19607" spans="2:4" ht="13">
      <c r="B19607" s="12" t="str">
        <f ca="1">IFERROR(__xludf.DUMMYFUNCTION("""COMPUTED_VALUE"""),"")</f>
        <v/>
      </c>
      <c r="C19607" s="12" t="str">
        <f ca="1">IFERROR(__xludf.DUMMYFUNCTION("""COMPUTED_VALUE"""),"")</f>
        <v/>
      </c>
      <c r="D19607" s="12" t="str">
        <f ca="1">IFERROR(__xludf.DUMMYFUNCTION("""COMPUTED_VALUE"""),"")</f>
        <v/>
      </c>
    </row>
    <row r="19608" spans="2:4" ht="13">
      <c r="B19608" s="12" t="str">
        <f ca="1">IFERROR(__xludf.DUMMYFUNCTION("""COMPUTED_VALUE"""),"")</f>
        <v/>
      </c>
      <c r="C19608" s="12" t="str">
        <f ca="1">IFERROR(__xludf.DUMMYFUNCTION("""COMPUTED_VALUE"""),"")</f>
        <v/>
      </c>
      <c r="D19608" s="12" t="str">
        <f ca="1">IFERROR(__xludf.DUMMYFUNCTION("""COMPUTED_VALUE"""),"")</f>
        <v/>
      </c>
    </row>
    <row r="19609" spans="2:4" ht="13">
      <c r="B19609" s="12" t="str">
        <f ca="1">IFERROR(__xludf.DUMMYFUNCTION("""COMPUTED_VALUE"""),"")</f>
        <v/>
      </c>
      <c r="C19609" s="12" t="str">
        <f ca="1">IFERROR(__xludf.DUMMYFUNCTION("""COMPUTED_VALUE"""),"")</f>
        <v/>
      </c>
      <c r="D19609" s="12" t="str">
        <f ca="1">IFERROR(__xludf.DUMMYFUNCTION("""COMPUTED_VALUE"""),"")</f>
        <v/>
      </c>
    </row>
    <row r="19610" spans="2:4" ht="13">
      <c r="B19610" s="12" t="str">
        <f ca="1">IFERROR(__xludf.DUMMYFUNCTION("""COMPUTED_VALUE"""),"")</f>
        <v/>
      </c>
      <c r="C19610" s="12" t="str">
        <f ca="1">IFERROR(__xludf.DUMMYFUNCTION("""COMPUTED_VALUE"""),"")</f>
        <v/>
      </c>
      <c r="D19610" s="12" t="str">
        <f ca="1">IFERROR(__xludf.DUMMYFUNCTION("""COMPUTED_VALUE"""),"")</f>
        <v/>
      </c>
    </row>
    <row r="19611" spans="2:4" ht="13">
      <c r="B19611" s="12" t="str">
        <f ca="1">IFERROR(__xludf.DUMMYFUNCTION("""COMPUTED_VALUE"""),"")</f>
        <v/>
      </c>
      <c r="C19611" s="12" t="str">
        <f ca="1">IFERROR(__xludf.DUMMYFUNCTION("""COMPUTED_VALUE"""),"")</f>
        <v/>
      </c>
      <c r="D19611" s="12" t="str">
        <f ca="1">IFERROR(__xludf.DUMMYFUNCTION("""COMPUTED_VALUE"""),"")</f>
        <v/>
      </c>
    </row>
    <row r="19612" spans="2:4" ht="13">
      <c r="B19612" s="12" t="str">
        <f ca="1">IFERROR(__xludf.DUMMYFUNCTION("""COMPUTED_VALUE"""),"")</f>
        <v/>
      </c>
      <c r="C19612" s="12" t="str">
        <f ca="1">IFERROR(__xludf.DUMMYFUNCTION("""COMPUTED_VALUE"""),"")</f>
        <v/>
      </c>
      <c r="D19612" s="12" t="str">
        <f ca="1">IFERROR(__xludf.DUMMYFUNCTION("""COMPUTED_VALUE"""),"")</f>
        <v/>
      </c>
    </row>
    <row r="19613" spans="2:4" ht="13">
      <c r="B19613" s="12" t="str">
        <f ca="1">IFERROR(__xludf.DUMMYFUNCTION("""COMPUTED_VALUE"""),"")</f>
        <v/>
      </c>
      <c r="C19613" s="12" t="str">
        <f ca="1">IFERROR(__xludf.DUMMYFUNCTION("""COMPUTED_VALUE"""),"")</f>
        <v/>
      </c>
      <c r="D19613" s="12" t="str">
        <f ca="1">IFERROR(__xludf.DUMMYFUNCTION("""COMPUTED_VALUE"""),"")</f>
        <v/>
      </c>
    </row>
    <row r="19614" spans="2:4" ht="13">
      <c r="B19614" s="12" t="str">
        <f ca="1">IFERROR(__xludf.DUMMYFUNCTION("""COMPUTED_VALUE"""),"")</f>
        <v/>
      </c>
      <c r="C19614" s="12" t="str">
        <f ca="1">IFERROR(__xludf.DUMMYFUNCTION("""COMPUTED_VALUE"""),"")</f>
        <v/>
      </c>
      <c r="D19614" s="12" t="str">
        <f ca="1">IFERROR(__xludf.DUMMYFUNCTION("""COMPUTED_VALUE"""),"")</f>
        <v/>
      </c>
    </row>
    <row r="19615" spans="2:4" ht="13">
      <c r="B19615" s="12" t="str">
        <f ca="1">IFERROR(__xludf.DUMMYFUNCTION("""COMPUTED_VALUE"""),"")</f>
        <v/>
      </c>
      <c r="C19615" s="12" t="str">
        <f ca="1">IFERROR(__xludf.DUMMYFUNCTION("""COMPUTED_VALUE"""),"")</f>
        <v/>
      </c>
      <c r="D19615" s="12" t="str">
        <f ca="1">IFERROR(__xludf.DUMMYFUNCTION("""COMPUTED_VALUE"""),"")</f>
        <v/>
      </c>
    </row>
    <row r="19616" spans="2:4" ht="13">
      <c r="B19616" s="12" t="str">
        <f ca="1">IFERROR(__xludf.DUMMYFUNCTION("""COMPUTED_VALUE"""),"")</f>
        <v/>
      </c>
      <c r="C19616" s="12" t="str">
        <f ca="1">IFERROR(__xludf.DUMMYFUNCTION("""COMPUTED_VALUE"""),"")</f>
        <v/>
      </c>
      <c r="D19616" s="12" t="str">
        <f ca="1">IFERROR(__xludf.DUMMYFUNCTION("""COMPUTED_VALUE"""),"")</f>
        <v/>
      </c>
    </row>
    <row r="19617" spans="2:4" ht="13">
      <c r="B19617" s="12" t="str">
        <f ca="1">IFERROR(__xludf.DUMMYFUNCTION("""COMPUTED_VALUE"""),"")</f>
        <v/>
      </c>
      <c r="C19617" s="12" t="str">
        <f ca="1">IFERROR(__xludf.DUMMYFUNCTION("""COMPUTED_VALUE"""),"")</f>
        <v/>
      </c>
      <c r="D19617" s="12" t="str">
        <f ca="1">IFERROR(__xludf.DUMMYFUNCTION("""COMPUTED_VALUE"""),"")</f>
        <v/>
      </c>
    </row>
    <row r="19618" spans="2:4" ht="13">
      <c r="B19618" s="12" t="str">
        <f ca="1">IFERROR(__xludf.DUMMYFUNCTION("""COMPUTED_VALUE"""),"")</f>
        <v/>
      </c>
      <c r="C19618" s="12" t="str">
        <f ca="1">IFERROR(__xludf.DUMMYFUNCTION("""COMPUTED_VALUE"""),"")</f>
        <v/>
      </c>
      <c r="D19618" s="12" t="str">
        <f ca="1">IFERROR(__xludf.DUMMYFUNCTION("""COMPUTED_VALUE"""),"")</f>
        <v/>
      </c>
    </row>
    <row r="19619" spans="2:4" ht="13">
      <c r="B19619" s="12" t="str">
        <f ca="1">IFERROR(__xludf.DUMMYFUNCTION("""COMPUTED_VALUE"""),"")</f>
        <v/>
      </c>
      <c r="C19619" s="12" t="str">
        <f ca="1">IFERROR(__xludf.DUMMYFUNCTION("""COMPUTED_VALUE"""),"")</f>
        <v/>
      </c>
      <c r="D19619" s="12" t="str">
        <f ca="1">IFERROR(__xludf.DUMMYFUNCTION("""COMPUTED_VALUE"""),"")</f>
        <v/>
      </c>
    </row>
    <row r="19620" spans="2:4" ht="13">
      <c r="B19620" s="12" t="str">
        <f ca="1">IFERROR(__xludf.DUMMYFUNCTION("""COMPUTED_VALUE"""),"")</f>
        <v/>
      </c>
      <c r="C19620" s="12" t="str">
        <f ca="1">IFERROR(__xludf.DUMMYFUNCTION("""COMPUTED_VALUE"""),"")</f>
        <v/>
      </c>
      <c r="D19620" s="12" t="str">
        <f ca="1">IFERROR(__xludf.DUMMYFUNCTION("""COMPUTED_VALUE"""),"")</f>
        <v/>
      </c>
    </row>
    <row r="19621" spans="2:4" ht="13">
      <c r="B19621" s="12" t="str">
        <f ca="1">IFERROR(__xludf.DUMMYFUNCTION("""COMPUTED_VALUE"""),"")</f>
        <v/>
      </c>
      <c r="C19621" s="12" t="str">
        <f ca="1">IFERROR(__xludf.DUMMYFUNCTION("""COMPUTED_VALUE"""),"")</f>
        <v/>
      </c>
      <c r="D19621" s="12" t="str">
        <f ca="1">IFERROR(__xludf.DUMMYFUNCTION("""COMPUTED_VALUE"""),"")</f>
        <v/>
      </c>
    </row>
    <row r="19622" spans="2:4" ht="13">
      <c r="B19622" s="12" t="str">
        <f ca="1">IFERROR(__xludf.DUMMYFUNCTION("""COMPUTED_VALUE"""),"")</f>
        <v/>
      </c>
      <c r="C19622" s="12" t="str">
        <f ca="1">IFERROR(__xludf.DUMMYFUNCTION("""COMPUTED_VALUE"""),"")</f>
        <v/>
      </c>
      <c r="D19622" s="12" t="str">
        <f ca="1">IFERROR(__xludf.DUMMYFUNCTION("""COMPUTED_VALUE"""),"")</f>
        <v/>
      </c>
    </row>
    <row r="19623" spans="2:4" ht="13">
      <c r="B19623" s="12" t="str">
        <f ca="1">IFERROR(__xludf.DUMMYFUNCTION("""COMPUTED_VALUE"""),"")</f>
        <v/>
      </c>
      <c r="C19623" s="12" t="str">
        <f ca="1">IFERROR(__xludf.DUMMYFUNCTION("""COMPUTED_VALUE"""),"")</f>
        <v/>
      </c>
      <c r="D19623" s="12" t="str">
        <f ca="1">IFERROR(__xludf.DUMMYFUNCTION("""COMPUTED_VALUE"""),"")</f>
        <v/>
      </c>
    </row>
    <row r="19624" spans="2:4" ht="13">
      <c r="B19624" s="12" t="str">
        <f ca="1">IFERROR(__xludf.DUMMYFUNCTION("""COMPUTED_VALUE"""),"")</f>
        <v/>
      </c>
      <c r="C19624" s="12" t="str">
        <f ca="1">IFERROR(__xludf.DUMMYFUNCTION("""COMPUTED_VALUE"""),"")</f>
        <v/>
      </c>
      <c r="D19624" s="12" t="str">
        <f ca="1">IFERROR(__xludf.DUMMYFUNCTION("""COMPUTED_VALUE"""),"")</f>
        <v/>
      </c>
    </row>
    <row r="19625" spans="2:4" ht="13">
      <c r="B19625" s="12" t="str">
        <f ca="1">IFERROR(__xludf.DUMMYFUNCTION("""COMPUTED_VALUE"""),"")</f>
        <v/>
      </c>
      <c r="C19625" s="12" t="str">
        <f ca="1">IFERROR(__xludf.DUMMYFUNCTION("""COMPUTED_VALUE"""),"")</f>
        <v/>
      </c>
      <c r="D19625" s="12" t="str">
        <f ca="1">IFERROR(__xludf.DUMMYFUNCTION("""COMPUTED_VALUE"""),"")</f>
        <v/>
      </c>
    </row>
    <row r="19626" spans="2:4" ht="13">
      <c r="B19626" s="12" t="str">
        <f ca="1">IFERROR(__xludf.DUMMYFUNCTION("""COMPUTED_VALUE"""),"")</f>
        <v/>
      </c>
      <c r="C19626" s="12" t="str">
        <f ca="1">IFERROR(__xludf.DUMMYFUNCTION("""COMPUTED_VALUE"""),"")</f>
        <v/>
      </c>
      <c r="D19626" s="12" t="str">
        <f ca="1">IFERROR(__xludf.DUMMYFUNCTION("""COMPUTED_VALUE"""),"")</f>
        <v/>
      </c>
    </row>
    <row r="19627" spans="2:4" ht="13">
      <c r="B19627" s="12" t="str">
        <f ca="1">IFERROR(__xludf.DUMMYFUNCTION("""COMPUTED_VALUE"""),"")</f>
        <v/>
      </c>
      <c r="C19627" s="12" t="str">
        <f ca="1">IFERROR(__xludf.DUMMYFUNCTION("""COMPUTED_VALUE"""),"")</f>
        <v/>
      </c>
      <c r="D19627" s="12" t="str">
        <f ca="1">IFERROR(__xludf.DUMMYFUNCTION("""COMPUTED_VALUE"""),"")</f>
        <v/>
      </c>
    </row>
    <row r="19628" spans="2:4" ht="13">
      <c r="B19628" s="12" t="str">
        <f ca="1">IFERROR(__xludf.DUMMYFUNCTION("""COMPUTED_VALUE"""),"")</f>
        <v/>
      </c>
      <c r="C19628" s="12" t="str">
        <f ca="1">IFERROR(__xludf.DUMMYFUNCTION("""COMPUTED_VALUE"""),"")</f>
        <v/>
      </c>
      <c r="D19628" s="12" t="str">
        <f ca="1">IFERROR(__xludf.DUMMYFUNCTION("""COMPUTED_VALUE"""),"")</f>
        <v/>
      </c>
    </row>
    <row r="19629" spans="2:4" ht="13">
      <c r="B19629" s="12" t="str">
        <f ca="1">IFERROR(__xludf.DUMMYFUNCTION("""COMPUTED_VALUE"""),"")</f>
        <v/>
      </c>
      <c r="C19629" s="12" t="str">
        <f ca="1">IFERROR(__xludf.DUMMYFUNCTION("""COMPUTED_VALUE"""),"")</f>
        <v/>
      </c>
      <c r="D19629" s="12" t="str">
        <f ca="1">IFERROR(__xludf.DUMMYFUNCTION("""COMPUTED_VALUE"""),"")</f>
        <v/>
      </c>
    </row>
    <row r="19630" spans="2:4" ht="13">
      <c r="B19630" s="12" t="str">
        <f ca="1">IFERROR(__xludf.DUMMYFUNCTION("""COMPUTED_VALUE"""),"")</f>
        <v/>
      </c>
      <c r="C19630" s="12" t="str">
        <f ca="1">IFERROR(__xludf.DUMMYFUNCTION("""COMPUTED_VALUE"""),"")</f>
        <v/>
      </c>
      <c r="D19630" s="12" t="str">
        <f ca="1">IFERROR(__xludf.DUMMYFUNCTION("""COMPUTED_VALUE"""),"")</f>
        <v/>
      </c>
    </row>
    <row r="19631" spans="2:4" ht="13">
      <c r="B19631" s="12" t="str">
        <f ca="1">IFERROR(__xludf.DUMMYFUNCTION("""COMPUTED_VALUE"""),"")</f>
        <v/>
      </c>
      <c r="C19631" s="12" t="str">
        <f ca="1">IFERROR(__xludf.DUMMYFUNCTION("""COMPUTED_VALUE"""),"")</f>
        <v/>
      </c>
      <c r="D19631" s="12" t="str">
        <f ca="1">IFERROR(__xludf.DUMMYFUNCTION("""COMPUTED_VALUE"""),"")</f>
        <v/>
      </c>
    </row>
    <row r="19632" spans="2:4" ht="13">
      <c r="B19632" s="12" t="str">
        <f ca="1">IFERROR(__xludf.DUMMYFUNCTION("""COMPUTED_VALUE"""),"")</f>
        <v/>
      </c>
      <c r="C19632" s="12" t="str">
        <f ca="1">IFERROR(__xludf.DUMMYFUNCTION("""COMPUTED_VALUE"""),"")</f>
        <v/>
      </c>
      <c r="D19632" s="12" t="str">
        <f ca="1">IFERROR(__xludf.DUMMYFUNCTION("""COMPUTED_VALUE"""),"")</f>
        <v/>
      </c>
    </row>
    <row r="19633" spans="2:4" ht="13">
      <c r="B19633" s="12" t="str">
        <f ca="1">IFERROR(__xludf.DUMMYFUNCTION("""COMPUTED_VALUE"""),"")</f>
        <v/>
      </c>
      <c r="C19633" s="12" t="str">
        <f ca="1">IFERROR(__xludf.DUMMYFUNCTION("""COMPUTED_VALUE"""),"")</f>
        <v/>
      </c>
      <c r="D19633" s="12" t="str">
        <f ca="1">IFERROR(__xludf.DUMMYFUNCTION("""COMPUTED_VALUE"""),"")</f>
        <v/>
      </c>
    </row>
    <row r="19634" spans="2:4" ht="13">
      <c r="B19634" s="12" t="str">
        <f ca="1">IFERROR(__xludf.DUMMYFUNCTION("""COMPUTED_VALUE"""),"")</f>
        <v/>
      </c>
      <c r="C19634" s="12" t="str">
        <f ca="1">IFERROR(__xludf.DUMMYFUNCTION("""COMPUTED_VALUE"""),"")</f>
        <v/>
      </c>
      <c r="D19634" s="12" t="str">
        <f ca="1">IFERROR(__xludf.DUMMYFUNCTION("""COMPUTED_VALUE"""),"")</f>
        <v/>
      </c>
    </row>
    <row r="19635" spans="2:4" ht="13">
      <c r="B19635" s="12" t="str">
        <f ca="1">IFERROR(__xludf.DUMMYFUNCTION("""COMPUTED_VALUE"""),"")</f>
        <v/>
      </c>
      <c r="C19635" s="12" t="str">
        <f ca="1">IFERROR(__xludf.DUMMYFUNCTION("""COMPUTED_VALUE"""),"")</f>
        <v/>
      </c>
      <c r="D19635" s="12" t="str">
        <f ca="1">IFERROR(__xludf.DUMMYFUNCTION("""COMPUTED_VALUE"""),"")</f>
        <v/>
      </c>
    </row>
    <row r="19636" spans="2:4" ht="13">
      <c r="B19636" s="12" t="str">
        <f ca="1">IFERROR(__xludf.DUMMYFUNCTION("""COMPUTED_VALUE"""),"")</f>
        <v/>
      </c>
      <c r="C19636" s="12" t="str">
        <f ca="1">IFERROR(__xludf.DUMMYFUNCTION("""COMPUTED_VALUE"""),"")</f>
        <v/>
      </c>
      <c r="D19636" s="12" t="str">
        <f ca="1">IFERROR(__xludf.DUMMYFUNCTION("""COMPUTED_VALUE"""),"")</f>
        <v/>
      </c>
    </row>
    <row r="19637" spans="2:4" ht="13">
      <c r="B19637" s="12" t="str">
        <f ca="1">IFERROR(__xludf.DUMMYFUNCTION("""COMPUTED_VALUE"""),"")</f>
        <v/>
      </c>
      <c r="C19637" s="12" t="str">
        <f ca="1">IFERROR(__xludf.DUMMYFUNCTION("""COMPUTED_VALUE"""),"")</f>
        <v/>
      </c>
      <c r="D19637" s="12" t="str">
        <f ca="1">IFERROR(__xludf.DUMMYFUNCTION("""COMPUTED_VALUE"""),"")</f>
        <v/>
      </c>
    </row>
    <row r="19638" spans="2:4" ht="13">
      <c r="B19638" s="12" t="str">
        <f ca="1">IFERROR(__xludf.DUMMYFUNCTION("""COMPUTED_VALUE"""),"")</f>
        <v/>
      </c>
      <c r="C19638" s="12" t="str">
        <f ca="1">IFERROR(__xludf.DUMMYFUNCTION("""COMPUTED_VALUE"""),"")</f>
        <v/>
      </c>
      <c r="D19638" s="12" t="str">
        <f ca="1">IFERROR(__xludf.DUMMYFUNCTION("""COMPUTED_VALUE"""),"")</f>
        <v/>
      </c>
    </row>
    <row r="19639" spans="2:4" ht="13">
      <c r="B19639" s="12" t="str">
        <f ca="1">IFERROR(__xludf.DUMMYFUNCTION("""COMPUTED_VALUE"""),"")</f>
        <v/>
      </c>
      <c r="C19639" s="12" t="str">
        <f ca="1">IFERROR(__xludf.DUMMYFUNCTION("""COMPUTED_VALUE"""),"")</f>
        <v/>
      </c>
      <c r="D19639" s="12" t="str">
        <f ca="1">IFERROR(__xludf.DUMMYFUNCTION("""COMPUTED_VALUE"""),"")</f>
        <v/>
      </c>
    </row>
    <row r="19640" spans="2:4" ht="13">
      <c r="B19640" s="12" t="str">
        <f ca="1">IFERROR(__xludf.DUMMYFUNCTION("""COMPUTED_VALUE"""),"")</f>
        <v/>
      </c>
      <c r="C19640" s="12" t="str">
        <f ca="1">IFERROR(__xludf.DUMMYFUNCTION("""COMPUTED_VALUE"""),"")</f>
        <v/>
      </c>
      <c r="D19640" s="12" t="str">
        <f ca="1">IFERROR(__xludf.DUMMYFUNCTION("""COMPUTED_VALUE"""),"")</f>
        <v/>
      </c>
    </row>
    <row r="19641" spans="2:4" ht="13">
      <c r="B19641" s="12" t="str">
        <f ca="1">IFERROR(__xludf.DUMMYFUNCTION("""COMPUTED_VALUE"""),"")</f>
        <v/>
      </c>
      <c r="C19641" s="12" t="str">
        <f ca="1">IFERROR(__xludf.DUMMYFUNCTION("""COMPUTED_VALUE"""),"")</f>
        <v/>
      </c>
      <c r="D19641" s="12" t="str">
        <f ca="1">IFERROR(__xludf.DUMMYFUNCTION("""COMPUTED_VALUE"""),"")</f>
        <v/>
      </c>
    </row>
    <row r="19642" spans="2:4" ht="13">
      <c r="B19642" s="12" t="str">
        <f ca="1">IFERROR(__xludf.DUMMYFUNCTION("""COMPUTED_VALUE"""),"")</f>
        <v/>
      </c>
      <c r="C19642" s="12" t="str">
        <f ca="1">IFERROR(__xludf.DUMMYFUNCTION("""COMPUTED_VALUE"""),"")</f>
        <v/>
      </c>
      <c r="D19642" s="12" t="str">
        <f ca="1">IFERROR(__xludf.DUMMYFUNCTION("""COMPUTED_VALUE"""),"")</f>
        <v/>
      </c>
    </row>
    <row r="19643" spans="2:4" ht="13">
      <c r="B19643" s="12" t="str">
        <f ca="1">IFERROR(__xludf.DUMMYFUNCTION("""COMPUTED_VALUE"""),"")</f>
        <v/>
      </c>
      <c r="C19643" s="12" t="str">
        <f ca="1">IFERROR(__xludf.DUMMYFUNCTION("""COMPUTED_VALUE"""),"")</f>
        <v/>
      </c>
      <c r="D19643" s="12" t="str">
        <f ca="1">IFERROR(__xludf.DUMMYFUNCTION("""COMPUTED_VALUE"""),"")</f>
        <v/>
      </c>
    </row>
    <row r="19644" spans="2:4" ht="13">
      <c r="B19644" s="12" t="str">
        <f ca="1">IFERROR(__xludf.DUMMYFUNCTION("""COMPUTED_VALUE"""),"")</f>
        <v/>
      </c>
      <c r="C19644" s="12" t="str">
        <f ca="1">IFERROR(__xludf.DUMMYFUNCTION("""COMPUTED_VALUE"""),"")</f>
        <v/>
      </c>
      <c r="D19644" s="12" t="str">
        <f ca="1">IFERROR(__xludf.DUMMYFUNCTION("""COMPUTED_VALUE"""),"")</f>
        <v/>
      </c>
    </row>
    <row r="19645" spans="2:4" ht="13">
      <c r="B19645" s="12" t="str">
        <f ca="1">IFERROR(__xludf.DUMMYFUNCTION("""COMPUTED_VALUE"""),"")</f>
        <v/>
      </c>
      <c r="C19645" s="12" t="str">
        <f ca="1">IFERROR(__xludf.DUMMYFUNCTION("""COMPUTED_VALUE"""),"")</f>
        <v/>
      </c>
      <c r="D19645" s="12" t="str">
        <f ca="1">IFERROR(__xludf.DUMMYFUNCTION("""COMPUTED_VALUE"""),"")</f>
        <v/>
      </c>
    </row>
    <row r="19646" spans="2:4" ht="13">
      <c r="B19646" s="12" t="str">
        <f ca="1">IFERROR(__xludf.DUMMYFUNCTION("""COMPUTED_VALUE"""),"")</f>
        <v/>
      </c>
      <c r="C19646" s="12" t="str">
        <f ca="1">IFERROR(__xludf.DUMMYFUNCTION("""COMPUTED_VALUE"""),"")</f>
        <v/>
      </c>
      <c r="D19646" s="12" t="str">
        <f ca="1">IFERROR(__xludf.DUMMYFUNCTION("""COMPUTED_VALUE"""),"")</f>
        <v/>
      </c>
    </row>
    <row r="19647" spans="2:4" ht="13">
      <c r="B19647" s="12" t="str">
        <f ca="1">IFERROR(__xludf.DUMMYFUNCTION("""COMPUTED_VALUE"""),"")</f>
        <v/>
      </c>
      <c r="C19647" s="12" t="str">
        <f ca="1">IFERROR(__xludf.DUMMYFUNCTION("""COMPUTED_VALUE"""),"")</f>
        <v/>
      </c>
      <c r="D19647" s="12" t="str">
        <f ca="1">IFERROR(__xludf.DUMMYFUNCTION("""COMPUTED_VALUE"""),"")</f>
        <v/>
      </c>
    </row>
    <row r="19648" spans="2:4" ht="13">
      <c r="B19648" s="12" t="str">
        <f ca="1">IFERROR(__xludf.DUMMYFUNCTION("""COMPUTED_VALUE"""),"")</f>
        <v/>
      </c>
      <c r="C19648" s="12" t="str">
        <f ca="1">IFERROR(__xludf.DUMMYFUNCTION("""COMPUTED_VALUE"""),"")</f>
        <v/>
      </c>
      <c r="D19648" s="12" t="str">
        <f ca="1">IFERROR(__xludf.DUMMYFUNCTION("""COMPUTED_VALUE"""),"")</f>
        <v/>
      </c>
    </row>
    <row r="19649" spans="2:4" ht="13">
      <c r="B19649" s="12" t="str">
        <f ca="1">IFERROR(__xludf.DUMMYFUNCTION("""COMPUTED_VALUE"""),"")</f>
        <v/>
      </c>
      <c r="C19649" s="12" t="str">
        <f ca="1">IFERROR(__xludf.DUMMYFUNCTION("""COMPUTED_VALUE"""),"")</f>
        <v/>
      </c>
      <c r="D19649" s="12" t="str">
        <f ca="1">IFERROR(__xludf.DUMMYFUNCTION("""COMPUTED_VALUE"""),"")</f>
        <v/>
      </c>
    </row>
    <row r="19650" spans="2:4" ht="13">
      <c r="B19650" s="12" t="str">
        <f ca="1">IFERROR(__xludf.DUMMYFUNCTION("""COMPUTED_VALUE"""),"")</f>
        <v/>
      </c>
      <c r="C19650" s="12" t="str">
        <f ca="1">IFERROR(__xludf.DUMMYFUNCTION("""COMPUTED_VALUE"""),"")</f>
        <v/>
      </c>
      <c r="D19650" s="12" t="str">
        <f ca="1">IFERROR(__xludf.DUMMYFUNCTION("""COMPUTED_VALUE"""),"")</f>
        <v/>
      </c>
    </row>
    <row r="19651" spans="2:4" ht="13">
      <c r="B19651" s="12" t="str">
        <f ca="1">IFERROR(__xludf.DUMMYFUNCTION("""COMPUTED_VALUE"""),"")</f>
        <v/>
      </c>
      <c r="C19651" s="12" t="str">
        <f ca="1">IFERROR(__xludf.DUMMYFUNCTION("""COMPUTED_VALUE"""),"")</f>
        <v/>
      </c>
      <c r="D19651" s="12" t="str">
        <f ca="1">IFERROR(__xludf.DUMMYFUNCTION("""COMPUTED_VALUE"""),"")</f>
        <v/>
      </c>
    </row>
    <row r="19652" spans="2:4" ht="13">
      <c r="B19652" s="12" t="str">
        <f ca="1">IFERROR(__xludf.DUMMYFUNCTION("""COMPUTED_VALUE"""),"")</f>
        <v/>
      </c>
      <c r="C19652" s="12" t="str">
        <f ca="1">IFERROR(__xludf.DUMMYFUNCTION("""COMPUTED_VALUE"""),"")</f>
        <v/>
      </c>
      <c r="D19652" s="12" t="str">
        <f ca="1">IFERROR(__xludf.DUMMYFUNCTION("""COMPUTED_VALUE"""),"")</f>
        <v/>
      </c>
    </row>
    <row r="19653" spans="2:4" ht="13">
      <c r="B19653" s="12" t="str">
        <f ca="1">IFERROR(__xludf.DUMMYFUNCTION("""COMPUTED_VALUE"""),"")</f>
        <v/>
      </c>
      <c r="C19653" s="12" t="str">
        <f ca="1">IFERROR(__xludf.DUMMYFUNCTION("""COMPUTED_VALUE"""),"")</f>
        <v/>
      </c>
      <c r="D19653" s="12" t="str">
        <f ca="1">IFERROR(__xludf.DUMMYFUNCTION("""COMPUTED_VALUE"""),"")</f>
        <v/>
      </c>
    </row>
    <row r="19654" spans="2:4" ht="13">
      <c r="B19654" s="12" t="str">
        <f ca="1">IFERROR(__xludf.DUMMYFUNCTION("""COMPUTED_VALUE"""),"")</f>
        <v/>
      </c>
      <c r="C19654" s="12" t="str">
        <f ca="1">IFERROR(__xludf.DUMMYFUNCTION("""COMPUTED_VALUE"""),"")</f>
        <v/>
      </c>
      <c r="D19654" s="12" t="str">
        <f ca="1">IFERROR(__xludf.DUMMYFUNCTION("""COMPUTED_VALUE"""),"")</f>
        <v/>
      </c>
    </row>
    <row r="19655" spans="2:4" ht="13">
      <c r="B19655" s="12" t="str">
        <f ca="1">IFERROR(__xludf.DUMMYFUNCTION("""COMPUTED_VALUE"""),"")</f>
        <v/>
      </c>
      <c r="C19655" s="12" t="str">
        <f ca="1">IFERROR(__xludf.DUMMYFUNCTION("""COMPUTED_VALUE"""),"")</f>
        <v/>
      </c>
      <c r="D19655" s="12" t="str">
        <f ca="1">IFERROR(__xludf.DUMMYFUNCTION("""COMPUTED_VALUE"""),"")</f>
        <v/>
      </c>
    </row>
    <row r="19656" spans="2:4" ht="13">
      <c r="B19656" s="12" t="str">
        <f ca="1">IFERROR(__xludf.DUMMYFUNCTION("""COMPUTED_VALUE"""),"")</f>
        <v/>
      </c>
      <c r="C19656" s="12" t="str">
        <f ca="1">IFERROR(__xludf.DUMMYFUNCTION("""COMPUTED_VALUE"""),"")</f>
        <v/>
      </c>
      <c r="D19656" s="12" t="str">
        <f ca="1">IFERROR(__xludf.DUMMYFUNCTION("""COMPUTED_VALUE"""),"")</f>
        <v/>
      </c>
    </row>
    <row r="19657" spans="2:4" ht="13">
      <c r="B19657" s="12" t="str">
        <f ca="1">IFERROR(__xludf.DUMMYFUNCTION("""COMPUTED_VALUE"""),"")</f>
        <v/>
      </c>
      <c r="C19657" s="12" t="str">
        <f ca="1">IFERROR(__xludf.DUMMYFUNCTION("""COMPUTED_VALUE"""),"")</f>
        <v/>
      </c>
      <c r="D19657" s="12" t="str">
        <f ca="1">IFERROR(__xludf.DUMMYFUNCTION("""COMPUTED_VALUE"""),"")</f>
        <v/>
      </c>
    </row>
    <row r="19658" spans="2:4" ht="13">
      <c r="B19658" s="12" t="str">
        <f ca="1">IFERROR(__xludf.DUMMYFUNCTION("""COMPUTED_VALUE"""),"")</f>
        <v/>
      </c>
      <c r="C19658" s="12" t="str">
        <f ca="1">IFERROR(__xludf.DUMMYFUNCTION("""COMPUTED_VALUE"""),"")</f>
        <v/>
      </c>
      <c r="D19658" s="12" t="str">
        <f ca="1">IFERROR(__xludf.DUMMYFUNCTION("""COMPUTED_VALUE"""),"")</f>
        <v/>
      </c>
    </row>
    <row r="19659" spans="2:4" ht="13">
      <c r="B19659" s="12" t="str">
        <f ca="1">IFERROR(__xludf.DUMMYFUNCTION("""COMPUTED_VALUE"""),"")</f>
        <v/>
      </c>
      <c r="C19659" s="12" t="str">
        <f ca="1">IFERROR(__xludf.DUMMYFUNCTION("""COMPUTED_VALUE"""),"")</f>
        <v/>
      </c>
      <c r="D19659" s="12" t="str">
        <f ca="1">IFERROR(__xludf.DUMMYFUNCTION("""COMPUTED_VALUE"""),"")</f>
        <v/>
      </c>
    </row>
    <row r="19660" spans="2:4" ht="13">
      <c r="B19660" s="12" t="str">
        <f ca="1">IFERROR(__xludf.DUMMYFUNCTION("""COMPUTED_VALUE"""),"")</f>
        <v/>
      </c>
      <c r="C19660" s="12" t="str">
        <f ca="1">IFERROR(__xludf.DUMMYFUNCTION("""COMPUTED_VALUE"""),"")</f>
        <v/>
      </c>
      <c r="D19660" s="12" t="str">
        <f ca="1">IFERROR(__xludf.DUMMYFUNCTION("""COMPUTED_VALUE"""),"")</f>
        <v/>
      </c>
    </row>
    <row r="19661" spans="2:4" ht="13">
      <c r="B19661" s="12" t="str">
        <f ca="1">IFERROR(__xludf.DUMMYFUNCTION("""COMPUTED_VALUE"""),"")</f>
        <v/>
      </c>
      <c r="C19661" s="12" t="str">
        <f ca="1">IFERROR(__xludf.DUMMYFUNCTION("""COMPUTED_VALUE"""),"")</f>
        <v/>
      </c>
      <c r="D19661" s="12" t="str">
        <f ca="1">IFERROR(__xludf.DUMMYFUNCTION("""COMPUTED_VALUE"""),"")</f>
        <v/>
      </c>
    </row>
    <row r="19662" spans="2:4" ht="13">
      <c r="B19662" s="12" t="str">
        <f ca="1">IFERROR(__xludf.DUMMYFUNCTION("""COMPUTED_VALUE"""),"")</f>
        <v/>
      </c>
      <c r="C19662" s="12" t="str">
        <f ca="1">IFERROR(__xludf.DUMMYFUNCTION("""COMPUTED_VALUE"""),"")</f>
        <v/>
      </c>
      <c r="D19662" s="12" t="str">
        <f ca="1">IFERROR(__xludf.DUMMYFUNCTION("""COMPUTED_VALUE"""),"")</f>
        <v/>
      </c>
    </row>
    <row r="19663" spans="2:4" ht="13">
      <c r="B19663" s="12" t="str">
        <f ca="1">IFERROR(__xludf.DUMMYFUNCTION("""COMPUTED_VALUE"""),"")</f>
        <v/>
      </c>
      <c r="C19663" s="12" t="str">
        <f ca="1">IFERROR(__xludf.DUMMYFUNCTION("""COMPUTED_VALUE"""),"")</f>
        <v/>
      </c>
      <c r="D19663" s="12" t="str">
        <f ca="1">IFERROR(__xludf.DUMMYFUNCTION("""COMPUTED_VALUE"""),"")</f>
        <v/>
      </c>
    </row>
    <row r="19664" spans="2:4" ht="13">
      <c r="B19664" s="12" t="str">
        <f ca="1">IFERROR(__xludf.DUMMYFUNCTION("""COMPUTED_VALUE"""),"")</f>
        <v/>
      </c>
      <c r="C19664" s="12" t="str">
        <f ca="1">IFERROR(__xludf.DUMMYFUNCTION("""COMPUTED_VALUE"""),"")</f>
        <v/>
      </c>
      <c r="D19664" s="12" t="str">
        <f ca="1">IFERROR(__xludf.DUMMYFUNCTION("""COMPUTED_VALUE"""),"")</f>
        <v/>
      </c>
    </row>
    <row r="19665" spans="2:4" ht="13">
      <c r="B19665" s="12" t="str">
        <f ca="1">IFERROR(__xludf.DUMMYFUNCTION("""COMPUTED_VALUE"""),"")</f>
        <v/>
      </c>
      <c r="C19665" s="12" t="str">
        <f ca="1">IFERROR(__xludf.DUMMYFUNCTION("""COMPUTED_VALUE"""),"")</f>
        <v/>
      </c>
      <c r="D19665" s="12" t="str">
        <f ca="1">IFERROR(__xludf.DUMMYFUNCTION("""COMPUTED_VALUE"""),"")</f>
        <v/>
      </c>
    </row>
    <row r="19666" spans="2:4" ht="13">
      <c r="B19666" s="12" t="str">
        <f ca="1">IFERROR(__xludf.DUMMYFUNCTION("""COMPUTED_VALUE"""),"")</f>
        <v/>
      </c>
      <c r="C19666" s="12" t="str">
        <f ca="1">IFERROR(__xludf.DUMMYFUNCTION("""COMPUTED_VALUE"""),"")</f>
        <v/>
      </c>
      <c r="D19666" s="12" t="str">
        <f ca="1">IFERROR(__xludf.DUMMYFUNCTION("""COMPUTED_VALUE"""),"")</f>
        <v/>
      </c>
    </row>
    <row r="19667" spans="2:4" ht="13">
      <c r="B19667" s="12" t="str">
        <f ca="1">IFERROR(__xludf.DUMMYFUNCTION("""COMPUTED_VALUE"""),"")</f>
        <v/>
      </c>
      <c r="C19667" s="12" t="str">
        <f ca="1">IFERROR(__xludf.DUMMYFUNCTION("""COMPUTED_VALUE"""),"")</f>
        <v/>
      </c>
      <c r="D19667" s="12" t="str">
        <f ca="1">IFERROR(__xludf.DUMMYFUNCTION("""COMPUTED_VALUE"""),"")</f>
        <v/>
      </c>
    </row>
    <row r="19668" spans="2:4" ht="13">
      <c r="B19668" s="12" t="str">
        <f ca="1">IFERROR(__xludf.DUMMYFUNCTION("""COMPUTED_VALUE"""),"")</f>
        <v/>
      </c>
      <c r="C19668" s="12" t="str">
        <f ca="1">IFERROR(__xludf.DUMMYFUNCTION("""COMPUTED_VALUE"""),"")</f>
        <v/>
      </c>
      <c r="D19668" s="12" t="str">
        <f ca="1">IFERROR(__xludf.DUMMYFUNCTION("""COMPUTED_VALUE"""),"")</f>
        <v/>
      </c>
    </row>
    <row r="19669" spans="2:4" ht="13">
      <c r="B19669" s="12" t="str">
        <f ca="1">IFERROR(__xludf.DUMMYFUNCTION("""COMPUTED_VALUE"""),"")</f>
        <v/>
      </c>
      <c r="C19669" s="12" t="str">
        <f ca="1">IFERROR(__xludf.DUMMYFUNCTION("""COMPUTED_VALUE"""),"")</f>
        <v/>
      </c>
      <c r="D19669" s="12" t="str">
        <f ca="1">IFERROR(__xludf.DUMMYFUNCTION("""COMPUTED_VALUE"""),"")</f>
        <v/>
      </c>
    </row>
    <row r="19670" spans="2:4" ht="13">
      <c r="B19670" s="12" t="str">
        <f ca="1">IFERROR(__xludf.DUMMYFUNCTION("""COMPUTED_VALUE"""),"")</f>
        <v/>
      </c>
      <c r="C19670" s="12" t="str">
        <f ca="1">IFERROR(__xludf.DUMMYFUNCTION("""COMPUTED_VALUE"""),"")</f>
        <v/>
      </c>
      <c r="D19670" s="12" t="str">
        <f ca="1">IFERROR(__xludf.DUMMYFUNCTION("""COMPUTED_VALUE"""),"")</f>
        <v/>
      </c>
    </row>
    <row r="19671" spans="2:4" ht="13">
      <c r="B19671" s="12" t="str">
        <f ca="1">IFERROR(__xludf.DUMMYFUNCTION("""COMPUTED_VALUE"""),"")</f>
        <v/>
      </c>
      <c r="C19671" s="12" t="str">
        <f ca="1">IFERROR(__xludf.DUMMYFUNCTION("""COMPUTED_VALUE"""),"")</f>
        <v/>
      </c>
      <c r="D19671" s="12" t="str">
        <f ca="1">IFERROR(__xludf.DUMMYFUNCTION("""COMPUTED_VALUE"""),"")</f>
        <v/>
      </c>
    </row>
    <row r="19672" spans="2:4" ht="13">
      <c r="B19672" s="12" t="str">
        <f ca="1">IFERROR(__xludf.DUMMYFUNCTION("""COMPUTED_VALUE"""),"")</f>
        <v/>
      </c>
      <c r="C19672" s="12" t="str">
        <f ca="1">IFERROR(__xludf.DUMMYFUNCTION("""COMPUTED_VALUE"""),"")</f>
        <v/>
      </c>
      <c r="D19672" s="12" t="str">
        <f ca="1">IFERROR(__xludf.DUMMYFUNCTION("""COMPUTED_VALUE"""),"")</f>
        <v/>
      </c>
    </row>
    <row r="19673" spans="2:4" ht="13">
      <c r="B19673" s="12" t="str">
        <f ca="1">IFERROR(__xludf.DUMMYFUNCTION("""COMPUTED_VALUE"""),"")</f>
        <v/>
      </c>
      <c r="C19673" s="12" t="str">
        <f ca="1">IFERROR(__xludf.DUMMYFUNCTION("""COMPUTED_VALUE"""),"")</f>
        <v/>
      </c>
      <c r="D19673" s="12" t="str">
        <f ca="1">IFERROR(__xludf.DUMMYFUNCTION("""COMPUTED_VALUE"""),"")</f>
        <v/>
      </c>
    </row>
    <row r="19674" spans="2:4" ht="13">
      <c r="B19674" s="12" t="str">
        <f ca="1">IFERROR(__xludf.DUMMYFUNCTION("""COMPUTED_VALUE"""),"")</f>
        <v/>
      </c>
      <c r="C19674" s="12" t="str">
        <f ca="1">IFERROR(__xludf.DUMMYFUNCTION("""COMPUTED_VALUE"""),"")</f>
        <v/>
      </c>
      <c r="D19674" s="12" t="str">
        <f ca="1">IFERROR(__xludf.DUMMYFUNCTION("""COMPUTED_VALUE"""),"")</f>
        <v/>
      </c>
    </row>
    <row r="19675" spans="2:4" ht="13">
      <c r="B19675" s="12" t="str">
        <f ca="1">IFERROR(__xludf.DUMMYFUNCTION("""COMPUTED_VALUE"""),"")</f>
        <v/>
      </c>
      <c r="C19675" s="12" t="str">
        <f ca="1">IFERROR(__xludf.DUMMYFUNCTION("""COMPUTED_VALUE"""),"")</f>
        <v/>
      </c>
      <c r="D19675" s="12" t="str">
        <f ca="1">IFERROR(__xludf.DUMMYFUNCTION("""COMPUTED_VALUE"""),"")</f>
        <v/>
      </c>
    </row>
    <row r="19676" spans="2:4" ht="13">
      <c r="B19676" s="12" t="str">
        <f ca="1">IFERROR(__xludf.DUMMYFUNCTION("""COMPUTED_VALUE"""),"")</f>
        <v/>
      </c>
      <c r="C19676" s="12" t="str">
        <f ca="1">IFERROR(__xludf.DUMMYFUNCTION("""COMPUTED_VALUE"""),"")</f>
        <v/>
      </c>
      <c r="D19676" s="12" t="str">
        <f ca="1">IFERROR(__xludf.DUMMYFUNCTION("""COMPUTED_VALUE"""),"")</f>
        <v/>
      </c>
    </row>
    <row r="19677" spans="2:4" ht="13">
      <c r="B19677" s="12" t="str">
        <f ca="1">IFERROR(__xludf.DUMMYFUNCTION("""COMPUTED_VALUE"""),"")</f>
        <v/>
      </c>
      <c r="C19677" s="12" t="str">
        <f ca="1">IFERROR(__xludf.DUMMYFUNCTION("""COMPUTED_VALUE"""),"")</f>
        <v/>
      </c>
      <c r="D19677" s="12" t="str">
        <f ca="1">IFERROR(__xludf.DUMMYFUNCTION("""COMPUTED_VALUE"""),"")</f>
        <v/>
      </c>
    </row>
    <row r="19678" spans="2:4" ht="13">
      <c r="B19678" s="12" t="str">
        <f ca="1">IFERROR(__xludf.DUMMYFUNCTION("""COMPUTED_VALUE"""),"")</f>
        <v/>
      </c>
      <c r="C19678" s="12" t="str">
        <f ca="1">IFERROR(__xludf.DUMMYFUNCTION("""COMPUTED_VALUE"""),"")</f>
        <v/>
      </c>
      <c r="D19678" s="12" t="str">
        <f ca="1">IFERROR(__xludf.DUMMYFUNCTION("""COMPUTED_VALUE"""),"")</f>
        <v/>
      </c>
    </row>
    <row r="19679" spans="2:4" ht="13">
      <c r="B19679" s="12" t="str">
        <f ca="1">IFERROR(__xludf.DUMMYFUNCTION("""COMPUTED_VALUE"""),"")</f>
        <v/>
      </c>
      <c r="C19679" s="12" t="str">
        <f ca="1">IFERROR(__xludf.DUMMYFUNCTION("""COMPUTED_VALUE"""),"")</f>
        <v/>
      </c>
      <c r="D19679" s="12" t="str">
        <f ca="1">IFERROR(__xludf.DUMMYFUNCTION("""COMPUTED_VALUE"""),"")</f>
        <v/>
      </c>
    </row>
    <row r="19680" spans="2:4" ht="13">
      <c r="B19680" s="12" t="str">
        <f ca="1">IFERROR(__xludf.DUMMYFUNCTION("""COMPUTED_VALUE"""),"")</f>
        <v/>
      </c>
      <c r="C19680" s="12" t="str">
        <f ca="1">IFERROR(__xludf.DUMMYFUNCTION("""COMPUTED_VALUE"""),"")</f>
        <v/>
      </c>
      <c r="D19680" s="12" t="str">
        <f ca="1">IFERROR(__xludf.DUMMYFUNCTION("""COMPUTED_VALUE"""),"")</f>
        <v/>
      </c>
    </row>
    <row r="19681" spans="2:4" ht="13">
      <c r="B19681" s="12" t="str">
        <f ca="1">IFERROR(__xludf.DUMMYFUNCTION("""COMPUTED_VALUE"""),"")</f>
        <v/>
      </c>
      <c r="C19681" s="12" t="str">
        <f ca="1">IFERROR(__xludf.DUMMYFUNCTION("""COMPUTED_VALUE"""),"")</f>
        <v/>
      </c>
      <c r="D19681" s="12" t="str">
        <f ca="1">IFERROR(__xludf.DUMMYFUNCTION("""COMPUTED_VALUE"""),"")</f>
        <v/>
      </c>
    </row>
    <row r="19682" spans="2:4" ht="13">
      <c r="B19682" s="12" t="str">
        <f ca="1">IFERROR(__xludf.DUMMYFUNCTION("""COMPUTED_VALUE"""),"")</f>
        <v/>
      </c>
      <c r="C19682" s="12" t="str">
        <f ca="1">IFERROR(__xludf.DUMMYFUNCTION("""COMPUTED_VALUE"""),"")</f>
        <v/>
      </c>
      <c r="D19682" s="12" t="str">
        <f ca="1">IFERROR(__xludf.DUMMYFUNCTION("""COMPUTED_VALUE"""),"")</f>
        <v/>
      </c>
    </row>
    <row r="19683" spans="2:4" ht="13">
      <c r="B19683" s="12" t="str">
        <f ca="1">IFERROR(__xludf.DUMMYFUNCTION("""COMPUTED_VALUE"""),"")</f>
        <v/>
      </c>
      <c r="C19683" s="12" t="str">
        <f ca="1">IFERROR(__xludf.DUMMYFUNCTION("""COMPUTED_VALUE"""),"")</f>
        <v/>
      </c>
      <c r="D19683" s="12" t="str">
        <f ca="1">IFERROR(__xludf.DUMMYFUNCTION("""COMPUTED_VALUE"""),"")</f>
        <v/>
      </c>
    </row>
    <row r="19684" spans="2:4" ht="13">
      <c r="B19684" s="12" t="str">
        <f ca="1">IFERROR(__xludf.DUMMYFUNCTION("""COMPUTED_VALUE"""),"")</f>
        <v/>
      </c>
      <c r="C19684" s="12" t="str">
        <f ca="1">IFERROR(__xludf.DUMMYFUNCTION("""COMPUTED_VALUE"""),"")</f>
        <v/>
      </c>
      <c r="D19684" s="12" t="str">
        <f ca="1">IFERROR(__xludf.DUMMYFUNCTION("""COMPUTED_VALUE"""),"")</f>
        <v/>
      </c>
    </row>
    <row r="19685" spans="2:4" ht="13">
      <c r="B19685" s="12" t="str">
        <f ca="1">IFERROR(__xludf.DUMMYFUNCTION("""COMPUTED_VALUE"""),"")</f>
        <v/>
      </c>
      <c r="C19685" s="12" t="str">
        <f ca="1">IFERROR(__xludf.DUMMYFUNCTION("""COMPUTED_VALUE"""),"")</f>
        <v/>
      </c>
      <c r="D19685" s="12" t="str">
        <f ca="1">IFERROR(__xludf.DUMMYFUNCTION("""COMPUTED_VALUE"""),"")</f>
        <v/>
      </c>
    </row>
    <row r="19686" spans="2:4" ht="13">
      <c r="B19686" s="12" t="str">
        <f ca="1">IFERROR(__xludf.DUMMYFUNCTION("""COMPUTED_VALUE"""),"")</f>
        <v/>
      </c>
      <c r="C19686" s="12" t="str">
        <f ca="1">IFERROR(__xludf.DUMMYFUNCTION("""COMPUTED_VALUE"""),"")</f>
        <v/>
      </c>
      <c r="D19686" s="12" t="str">
        <f ca="1">IFERROR(__xludf.DUMMYFUNCTION("""COMPUTED_VALUE"""),"")</f>
        <v/>
      </c>
    </row>
    <row r="19687" spans="2:4" ht="13">
      <c r="B19687" s="12" t="str">
        <f ca="1">IFERROR(__xludf.DUMMYFUNCTION("""COMPUTED_VALUE"""),"")</f>
        <v/>
      </c>
      <c r="C19687" s="12" t="str">
        <f ca="1">IFERROR(__xludf.DUMMYFUNCTION("""COMPUTED_VALUE"""),"")</f>
        <v/>
      </c>
      <c r="D19687" s="12" t="str">
        <f ca="1">IFERROR(__xludf.DUMMYFUNCTION("""COMPUTED_VALUE"""),"")</f>
        <v/>
      </c>
    </row>
    <row r="19688" spans="2:4" ht="13">
      <c r="B19688" s="12" t="str">
        <f ca="1">IFERROR(__xludf.DUMMYFUNCTION("""COMPUTED_VALUE"""),"")</f>
        <v/>
      </c>
      <c r="C19688" s="12" t="str">
        <f ca="1">IFERROR(__xludf.DUMMYFUNCTION("""COMPUTED_VALUE"""),"")</f>
        <v/>
      </c>
      <c r="D19688" s="12" t="str">
        <f ca="1">IFERROR(__xludf.DUMMYFUNCTION("""COMPUTED_VALUE"""),"")</f>
        <v/>
      </c>
    </row>
    <row r="19689" spans="2:4" ht="13">
      <c r="B19689" s="12" t="str">
        <f ca="1">IFERROR(__xludf.DUMMYFUNCTION("""COMPUTED_VALUE"""),"")</f>
        <v/>
      </c>
      <c r="C19689" s="12" t="str">
        <f ca="1">IFERROR(__xludf.DUMMYFUNCTION("""COMPUTED_VALUE"""),"")</f>
        <v/>
      </c>
      <c r="D19689" s="12" t="str">
        <f ca="1">IFERROR(__xludf.DUMMYFUNCTION("""COMPUTED_VALUE"""),"")</f>
        <v/>
      </c>
    </row>
    <row r="19690" spans="2:4" ht="13">
      <c r="B19690" s="12" t="str">
        <f ca="1">IFERROR(__xludf.DUMMYFUNCTION("""COMPUTED_VALUE"""),"")</f>
        <v/>
      </c>
      <c r="C19690" s="12" t="str">
        <f ca="1">IFERROR(__xludf.DUMMYFUNCTION("""COMPUTED_VALUE"""),"")</f>
        <v/>
      </c>
      <c r="D19690" s="12" t="str">
        <f ca="1">IFERROR(__xludf.DUMMYFUNCTION("""COMPUTED_VALUE"""),"")</f>
        <v/>
      </c>
    </row>
    <row r="19691" spans="2:4" ht="13">
      <c r="B19691" s="12" t="str">
        <f ca="1">IFERROR(__xludf.DUMMYFUNCTION("""COMPUTED_VALUE"""),"")</f>
        <v/>
      </c>
      <c r="C19691" s="12" t="str">
        <f ca="1">IFERROR(__xludf.DUMMYFUNCTION("""COMPUTED_VALUE"""),"")</f>
        <v/>
      </c>
      <c r="D19691" s="12" t="str">
        <f ca="1">IFERROR(__xludf.DUMMYFUNCTION("""COMPUTED_VALUE"""),"")</f>
        <v/>
      </c>
    </row>
    <row r="19692" spans="2:4" ht="13">
      <c r="B19692" s="12" t="str">
        <f ca="1">IFERROR(__xludf.DUMMYFUNCTION("""COMPUTED_VALUE"""),"")</f>
        <v/>
      </c>
      <c r="C19692" s="12" t="str">
        <f ca="1">IFERROR(__xludf.DUMMYFUNCTION("""COMPUTED_VALUE"""),"")</f>
        <v/>
      </c>
      <c r="D19692" s="12" t="str">
        <f ca="1">IFERROR(__xludf.DUMMYFUNCTION("""COMPUTED_VALUE"""),"")</f>
        <v/>
      </c>
    </row>
    <row r="19693" spans="2:4" ht="13">
      <c r="B19693" s="12" t="str">
        <f ca="1">IFERROR(__xludf.DUMMYFUNCTION("""COMPUTED_VALUE"""),"")</f>
        <v/>
      </c>
      <c r="C19693" s="12" t="str">
        <f ca="1">IFERROR(__xludf.DUMMYFUNCTION("""COMPUTED_VALUE"""),"")</f>
        <v/>
      </c>
      <c r="D19693" s="12" t="str">
        <f ca="1">IFERROR(__xludf.DUMMYFUNCTION("""COMPUTED_VALUE"""),"")</f>
        <v/>
      </c>
    </row>
    <row r="19694" spans="2:4" ht="13">
      <c r="B19694" s="12" t="str">
        <f ca="1">IFERROR(__xludf.DUMMYFUNCTION("""COMPUTED_VALUE"""),"")</f>
        <v/>
      </c>
      <c r="C19694" s="12" t="str">
        <f ca="1">IFERROR(__xludf.DUMMYFUNCTION("""COMPUTED_VALUE"""),"")</f>
        <v/>
      </c>
      <c r="D19694" s="12" t="str">
        <f ca="1">IFERROR(__xludf.DUMMYFUNCTION("""COMPUTED_VALUE"""),"")</f>
        <v/>
      </c>
    </row>
    <row r="19695" spans="2:4" ht="13">
      <c r="B19695" s="12" t="str">
        <f ca="1">IFERROR(__xludf.DUMMYFUNCTION("""COMPUTED_VALUE"""),"")</f>
        <v/>
      </c>
      <c r="C19695" s="12" t="str">
        <f ca="1">IFERROR(__xludf.DUMMYFUNCTION("""COMPUTED_VALUE"""),"")</f>
        <v/>
      </c>
      <c r="D19695" s="12" t="str">
        <f ca="1">IFERROR(__xludf.DUMMYFUNCTION("""COMPUTED_VALUE"""),"")</f>
        <v/>
      </c>
    </row>
    <row r="19696" spans="2:4" ht="13">
      <c r="B19696" s="12" t="str">
        <f ca="1">IFERROR(__xludf.DUMMYFUNCTION("""COMPUTED_VALUE"""),"")</f>
        <v/>
      </c>
      <c r="C19696" s="12" t="str">
        <f ca="1">IFERROR(__xludf.DUMMYFUNCTION("""COMPUTED_VALUE"""),"")</f>
        <v/>
      </c>
      <c r="D19696" s="12" t="str">
        <f ca="1">IFERROR(__xludf.DUMMYFUNCTION("""COMPUTED_VALUE"""),"")</f>
        <v/>
      </c>
    </row>
    <row r="19697" spans="2:4" ht="13">
      <c r="B19697" s="12" t="str">
        <f ca="1">IFERROR(__xludf.DUMMYFUNCTION("""COMPUTED_VALUE"""),"")</f>
        <v/>
      </c>
      <c r="C19697" s="12" t="str">
        <f ca="1">IFERROR(__xludf.DUMMYFUNCTION("""COMPUTED_VALUE"""),"")</f>
        <v/>
      </c>
      <c r="D19697" s="12" t="str">
        <f ca="1">IFERROR(__xludf.DUMMYFUNCTION("""COMPUTED_VALUE"""),"")</f>
        <v/>
      </c>
    </row>
    <row r="19698" spans="2:4" ht="13">
      <c r="B19698" s="12" t="str">
        <f ca="1">IFERROR(__xludf.DUMMYFUNCTION("""COMPUTED_VALUE"""),"")</f>
        <v/>
      </c>
      <c r="C19698" s="12" t="str">
        <f ca="1">IFERROR(__xludf.DUMMYFUNCTION("""COMPUTED_VALUE"""),"")</f>
        <v/>
      </c>
      <c r="D19698" s="12" t="str">
        <f ca="1">IFERROR(__xludf.DUMMYFUNCTION("""COMPUTED_VALUE"""),"")</f>
        <v/>
      </c>
    </row>
    <row r="19699" spans="2:4" ht="13">
      <c r="B19699" s="12" t="str">
        <f ca="1">IFERROR(__xludf.DUMMYFUNCTION("""COMPUTED_VALUE"""),"")</f>
        <v/>
      </c>
      <c r="C19699" s="12" t="str">
        <f ca="1">IFERROR(__xludf.DUMMYFUNCTION("""COMPUTED_VALUE"""),"")</f>
        <v/>
      </c>
      <c r="D19699" s="12" t="str">
        <f ca="1">IFERROR(__xludf.DUMMYFUNCTION("""COMPUTED_VALUE"""),"")</f>
        <v/>
      </c>
    </row>
    <row r="19700" spans="2:4" ht="13">
      <c r="B19700" s="12" t="str">
        <f ca="1">IFERROR(__xludf.DUMMYFUNCTION("""COMPUTED_VALUE"""),"")</f>
        <v/>
      </c>
      <c r="C19700" s="12" t="str">
        <f ca="1">IFERROR(__xludf.DUMMYFUNCTION("""COMPUTED_VALUE"""),"")</f>
        <v/>
      </c>
      <c r="D19700" s="12" t="str">
        <f ca="1">IFERROR(__xludf.DUMMYFUNCTION("""COMPUTED_VALUE"""),"")</f>
        <v/>
      </c>
    </row>
    <row r="19701" spans="2:4" ht="13">
      <c r="B19701" s="12" t="str">
        <f ca="1">IFERROR(__xludf.DUMMYFUNCTION("""COMPUTED_VALUE"""),"")</f>
        <v/>
      </c>
      <c r="C19701" s="12" t="str">
        <f ca="1">IFERROR(__xludf.DUMMYFUNCTION("""COMPUTED_VALUE"""),"")</f>
        <v/>
      </c>
      <c r="D19701" s="12" t="str">
        <f ca="1">IFERROR(__xludf.DUMMYFUNCTION("""COMPUTED_VALUE"""),"")</f>
        <v/>
      </c>
    </row>
    <row r="19702" spans="2:4" ht="13">
      <c r="B19702" s="12" t="str">
        <f ca="1">IFERROR(__xludf.DUMMYFUNCTION("""COMPUTED_VALUE"""),"")</f>
        <v/>
      </c>
      <c r="C19702" s="12" t="str">
        <f ca="1">IFERROR(__xludf.DUMMYFUNCTION("""COMPUTED_VALUE"""),"")</f>
        <v/>
      </c>
      <c r="D19702" s="12" t="str">
        <f ca="1">IFERROR(__xludf.DUMMYFUNCTION("""COMPUTED_VALUE"""),"")</f>
        <v/>
      </c>
    </row>
    <row r="19703" spans="2:4" ht="13">
      <c r="B19703" s="12" t="str">
        <f ca="1">IFERROR(__xludf.DUMMYFUNCTION("""COMPUTED_VALUE"""),"")</f>
        <v/>
      </c>
      <c r="C19703" s="12" t="str">
        <f ca="1">IFERROR(__xludf.DUMMYFUNCTION("""COMPUTED_VALUE"""),"")</f>
        <v/>
      </c>
      <c r="D19703" s="12" t="str">
        <f ca="1">IFERROR(__xludf.DUMMYFUNCTION("""COMPUTED_VALUE"""),"")</f>
        <v/>
      </c>
    </row>
    <row r="19704" spans="2:4" ht="13">
      <c r="B19704" s="12" t="str">
        <f ca="1">IFERROR(__xludf.DUMMYFUNCTION("""COMPUTED_VALUE"""),"")</f>
        <v/>
      </c>
      <c r="C19704" s="12" t="str">
        <f ca="1">IFERROR(__xludf.DUMMYFUNCTION("""COMPUTED_VALUE"""),"")</f>
        <v/>
      </c>
      <c r="D19704" s="12" t="str">
        <f ca="1">IFERROR(__xludf.DUMMYFUNCTION("""COMPUTED_VALUE"""),"")</f>
        <v/>
      </c>
    </row>
    <row r="19705" spans="2:4" ht="13">
      <c r="B19705" s="12" t="str">
        <f ca="1">IFERROR(__xludf.DUMMYFUNCTION("""COMPUTED_VALUE"""),"")</f>
        <v/>
      </c>
      <c r="C19705" s="12" t="str">
        <f ca="1">IFERROR(__xludf.DUMMYFUNCTION("""COMPUTED_VALUE"""),"")</f>
        <v/>
      </c>
      <c r="D19705" s="12" t="str">
        <f ca="1">IFERROR(__xludf.DUMMYFUNCTION("""COMPUTED_VALUE"""),"")</f>
        <v/>
      </c>
    </row>
    <row r="19706" spans="2:4" ht="13">
      <c r="B19706" s="12" t="str">
        <f ca="1">IFERROR(__xludf.DUMMYFUNCTION("""COMPUTED_VALUE"""),"")</f>
        <v/>
      </c>
      <c r="C19706" s="12" t="str">
        <f ca="1">IFERROR(__xludf.DUMMYFUNCTION("""COMPUTED_VALUE"""),"")</f>
        <v/>
      </c>
      <c r="D19706" s="12" t="str">
        <f ca="1">IFERROR(__xludf.DUMMYFUNCTION("""COMPUTED_VALUE"""),"")</f>
        <v/>
      </c>
    </row>
    <row r="19707" spans="2:4" ht="13">
      <c r="B19707" s="12" t="str">
        <f ca="1">IFERROR(__xludf.DUMMYFUNCTION("""COMPUTED_VALUE"""),"")</f>
        <v/>
      </c>
      <c r="C19707" s="12" t="str">
        <f ca="1">IFERROR(__xludf.DUMMYFUNCTION("""COMPUTED_VALUE"""),"")</f>
        <v/>
      </c>
      <c r="D19707" s="12" t="str">
        <f ca="1">IFERROR(__xludf.DUMMYFUNCTION("""COMPUTED_VALUE"""),"")</f>
        <v/>
      </c>
    </row>
    <row r="19708" spans="2:4" ht="13">
      <c r="B19708" s="12" t="str">
        <f ca="1">IFERROR(__xludf.DUMMYFUNCTION("""COMPUTED_VALUE"""),"")</f>
        <v/>
      </c>
      <c r="C19708" s="12" t="str">
        <f ca="1">IFERROR(__xludf.DUMMYFUNCTION("""COMPUTED_VALUE"""),"")</f>
        <v/>
      </c>
      <c r="D19708" s="12" t="str">
        <f ca="1">IFERROR(__xludf.DUMMYFUNCTION("""COMPUTED_VALUE"""),"")</f>
        <v/>
      </c>
    </row>
    <row r="19709" spans="2:4" ht="13">
      <c r="B19709" s="12" t="str">
        <f ca="1">IFERROR(__xludf.DUMMYFUNCTION("""COMPUTED_VALUE"""),"")</f>
        <v/>
      </c>
      <c r="C19709" s="12" t="str">
        <f ca="1">IFERROR(__xludf.DUMMYFUNCTION("""COMPUTED_VALUE"""),"")</f>
        <v/>
      </c>
      <c r="D19709" s="12" t="str">
        <f ca="1">IFERROR(__xludf.DUMMYFUNCTION("""COMPUTED_VALUE"""),"")</f>
        <v/>
      </c>
    </row>
    <row r="19710" spans="2:4" ht="13">
      <c r="B19710" s="12" t="str">
        <f ca="1">IFERROR(__xludf.DUMMYFUNCTION("""COMPUTED_VALUE"""),"")</f>
        <v/>
      </c>
      <c r="C19710" s="12" t="str">
        <f ca="1">IFERROR(__xludf.DUMMYFUNCTION("""COMPUTED_VALUE"""),"")</f>
        <v/>
      </c>
      <c r="D19710" s="12" t="str">
        <f ca="1">IFERROR(__xludf.DUMMYFUNCTION("""COMPUTED_VALUE"""),"")</f>
        <v/>
      </c>
    </row>
    <row r="19711" spans="2:4" ht="13">
      <c r="B19711" s="12" t="str">
        <f ca="1">IFERROR(__xludf.DUMMYFUNCTION("""COMPUTED_VALUE"""),"")</f>
        <v/>
      </c>
      <c r="C19711" s="12" t="str">
        <f ca="1">IFERROR(__xludf.DUMMYFUNCTION("""COMPUTED_VALUE"""),"")</f>
        <v/>
      </c>
      <c r="D19711" s="12" t="str">
        <f ca="1">IFERROR(__xludf.DUMMYFUNCTION("""COMPUTED_VALUE"""),"")</f>
        <v/>
      </c>
    </row>
    <row r="19712" spans="2:4" ht="13">
      <c r="B19712" s="12" t="str">
        <f ca="1">IFERROR(__xludf.DUMMYFUNCTION("""COMPUTED_VALUE"""),"")</f>
        <v/>
      </c>
      <c r="C19712" s="12" t="str">
        <f ca="1">IFERROR(__xludf.DUMMYFUNCTION("""COMPUTED_VALUE"""),"")</f>
        <v/>
      </c>
      <c r="D19712" s="12" t="str">
        <f ca="1">IFERROR(__xludf.DUMMYFUNCTION("""COMPUTED_VALUE"""),"")</f>
        <v/>
      </c>
    </row>
    <row r="19713" spans="2:4" ht="13">
      <c r="B19713" s="12" t="str">
        <f ca="1">IFERROR(__xludf.DUMMYFUNCTION("""COMPUTED_VALUE"""),"")</f>
        <v/>
      </c>
      <c r="C19713" s="12" t="str">
        <f ca="1">IFERROR(__xludf.DUMMYFUNCTION("""COMPUTED_VALUE"""),"")</f>
        <v/>
      </c>
      <c r="D19713" s="12" t="str">
        <f ca="1">IFERROR(__xludf.DUMMYFUNCTION("""COMPUTED_VALUE"""),"")</f>
        <v/>
      </c>
    </row>
    <row r="19714" spans="2:4" ht="13">
      <c r="B19714" s="12" t="str">
        <f ca="1">IFERROR(__xludf.DUMMYFUNCTION("""COMPUTED_VALUE"""),"")</f>
        <v/>
      </c>
      <c r="C19714" s="12" t="str">
        <f ca="1">IFERROR(__xludf.DUMMYFUNCTION("""COMPUTED_VALUE"""),"")</f>
        <v/>
      </c>
      <c r="D19714" s="12" t="str">
        <f ca="1">IFERROR(__xludf.DUMMYFUNCTION("""COMPUTED_VALUE"""),"")</f>
        <v/>
      </c>
    </row>
    <row r="19715" spans="2:4" ht="13">
      <c r="B19715" s="12" t="str">
        <f ca="1">IFERROR(__xludf.DUMMYFUNCTION("""COMPUTED_VALUE"""),"")</f>
        <v/>
      </c>
      <c r="C19715" s="12" t="str">
        <f ca="1">IFERROR(__xludf.DUMMYFUNCTION("""COMPUTED_VALUE"""),"")</f>
        <v/>
      </c>
      <c r="D19715" s="12" t="str">
        <f ca="1">IFERROR(__xludf.DUMMYFUNCTION("""COMPUTED_VALUE"""),"")</f>
        <v/>
      </c>
    </row>
    <row r="19716" spans="2:4" ht="13">
      <c r="B19716" s="12" t="str">
        <f ca="1">IFERROR(__xludf.DUMMYFUNCTION("""COMPUTED_VALUE"""),"")</f>
        <v/>
      </c>
      <c r="C19716" s="12" t="str">
        <f ca="1">IFERROR(__xludf.DUMMYFUNCTION("""COMPUTED_VALUE"""),"")</f>
        <v/>
      </c>
      <c r="D19716" s="12" t="str">
        <f ca="1">IFERROR(__xludf.DUMMYFUNCTION("""COMPUTED_VALUE"""),"")</f>
        <v/>
      </c>
    </row>
    <row r="19717" spans="2:4" ht="13">
      <c r="B19717" s="12" t="str">
        <f ca="1">IFERROR(__xludf.DUMMYFUNCTION("""COMPUTED_VALUE"""),"")</f>
        <v/>
      </c>
      <c r="C19717" s="12" t="str">
        <f ca="1">IFERROR(__xludf.DUMMYFUNCTION("""COMPUTED_VALUE"""),"")</f>
        <v/>
      </c>
      <c r="D19717" s="12" t="str">
        <f ca="1">IFERROR(__xludf.DUMMYFUNCTION("""COMPUTED_VALUE"""),"")</f>
        <v/>
      </c>
    </row>
    <row r="19718" spans="2:4" ht="13">
      <c r="B19718" s="12" t="str">
        <f ca="1">IFERROR(__xludf.DUMMYFUNCTION("""COMPUTED_VALUE"""),"")</f>
        <v/>
      </c>
      <c r="C19718" s="12" t="str">
        <f ca="1">IFERROR(__xludf.DUMMYFUNCTION("""COMPUTED_VALUE"""),"")</f>
        <v/>
      </c>
      <c r="D19718" s="12" t="str">
        <f ca="1">IFERROR(__xludf.DUMMYFUNCTION("""COMPUTED_VALUE"""),"")</f>
        <v/>
      </c>
    </row>
    <row r="19719" spans="2:4" ht="13">
      <c r="B19719" s="12" t="str">
        <f ca="1">IFERROR(__xludf.DUMMYFUNCTION("""COMPUTED_VALUE"""),"")</f>
        <v/>
      </c>
      <c r="C19719" s="12" t="str">
        <f ca="1">IFERROR(__xludf.DUMMYFUNCTION("""COMPUTED_VALUE"""),"")</f>
        <v/>
      </c>
      <c r="D19719" s="12" t="str">
        <f ca="1">IFERROR(__xludf.DUMMYFUNCTION("""COMPUTED_VALUE"""),"")</f>
        <v/>
      </c>
    </row>
    <row r="19720" spans="2:4" ht="13">
      <c r="B19720" s="12" t="str">
        <f ca="1">IFERROR(__xludf.DUMMYFUNCTION("""COMPUTED_VALUE"""),"")</f>
        <v/>
      </c>
      <c r="C19720" s="12" t="str">
        <f ca="1">IFERROR(__xludf.DUMMYFUNCTION("""COMPUTED_VALUE"""),"")</f>
        <v/>
      </c>
      <c r="D19720" s="12" t="str">
        <f ca="1">IFERROR(__xludf.DUMMYFUNCTION("""COMPUTED_VALUE"""),"")</f>
        <v/>
      </c>
    </row>
    <row r="19721" spans="2:4" ht="13">
      <c r="B19721" s="12" t="str">
        <f ca="1">IFERROR(__xludf.DUMMYFUNCTION("""COMPUTED_VALUE"""),"")</f>
        <v/>
      </c>
      <c r="C19721" s="12" t="str">
        <f ca="1">IFERROR(__xludf.DUMMYFUNCTION("""COMPUTED_VALUE"""),"")</f>
        <v/>
      </c>
      <c r="D19721" s="12" t="str">
        <f ca="1">IFERROR(__xludf.DUMMYFUNCTION("""COMPUTED_VALUE"""),"")</f>
        <v/>
      </c>
    </row>
    <row r="19722" spans="2:4" ht="13">
      <c r="B19722" s="12" t="str">
        <f ca="1">IFERROR(__xludf.DUMMYFUNCTION("""COMPUTED_VALUE"""),"")</f>
        <v/>
      </c>
      <c r="C19722" s="12" t="str">
        <f ca="1">IFERROR(__xludf.DUMMYFUNCTION("""COMPUTED_VALUE"""),"")</f>
        <v/>
      </c>
      <c r="D19722" s="12" t="str">
        <f ca="1">IFERROR(__xludf.DUMMYFUNCTION("""COMPUTED_VALUE"""),"")</f>
        <v/>
      </c>
    </row>
    <row r="19723" spans="2:4" ht="13">
      <c r="B19723" s="12" t="str">
        <f ca="1">IFERROR(__xludf.DUMMYFUNCTION("""COMPUTED_VALUE"""),"")</f>
        <v/>
      </c>
      <c r="C19723" s="12" t="str">
        <f ca="1">IFERROR(__xludf.DUMMYFUNCTION("""COMPUTED_VALUE"""),"")</f>
        <v/>
      </c>
      <c r="D19723" s="12" t="str">
        <f ca="1">IFERROR(__xludf.DUMMYFUNCTION("""COMPUTED_VALUE"""),"")</f>
        <v/>
      </c>
    </row>
    <row r="19724" spans="2:4" ht="13">
      <c r="B19724" s="12" t="str">
        <f ca="1">IFERROR(__xludf.DUMMYFUNCTION("""COMPUTED_VALUE"""),"")</f>
        <v/>
      </c>
      <c r="C19724" s="12" t="str">
        <f ca="1">IFERROR(__xludf.DUMMYFUNCTION("""COMPUTED_VALUE"""),"")</f>
        <v/>
      </c>
      <c r="D19724" s="12" t="str">
        <f ca="1">IFERROR(__xludf.DUMMYFUNCTION("""COMPUTED_VALUE"""),"")</f>
        <v/>
      </c>
    </row>
    <row r="19725" spans="2:4" ht="13">
      <c r="B19725" s="12" t="str">
        <f ca="1">IFERROR(__xludf.DUMMYFUNCTION("""COMPUTED_VALUE"""),"")</f>
        <v/>
      </c>
      <c r="C19725" s="12" t="str">
        <f ca="1">IFERROR(__xludf.DUMMYFUNCTION("""COMPUTED_VALUE"""),"")</f>
        <v/>
      </c>
      <c r="D19725" s="12" t="str">
        <f ca="1">IFERROR(__xludf.DUMMYFUNCTION("""COMPUTED_VALUE"""),"")</f>
        <v/>
      </c>
    </row>
    <row r="19726" spans="2:4" ht="13">
      <c r="B19726" s="12" t="str">
        <f ca="1">IFERROR(__xludf.DUMMYFUNCTION("""COMPUTED_VALUE"""),"")</f>
        <v/>
      </c>
      <c r="C19726" s="12" t="str">
        <f ca="1">IFERROR(__xludf.DUMMYFUNCTION("""COMPUTED_VALUE"""),"")</f>
        <v/>
      </c>
      <c r="D19726" s="12" t="str">
        <f ca="1">IFERROR(__xludf.DUMMYFUNCTION("""COMPUTED_VALUE"""),"")</f>
        <v/>
      </c>
    </row>
    <row r="19727" spans="2:4" ht="13">
      <c r="B19727" s="12" t="str">
        <f ca="1">IFERROR(__xludf.DUMMYFUNCTION("""COMPUTED_VALUE"""),"")</f>
        <v/>
      </c>
      <c r="C19727" s="12" t="str">
        <f ca="1">IFERROR(__xludf.DUMMYFUNCTION("""COMPUTED_VALUE"""),"")</f>
        <v/>
      </c>
      <c r="D19727" s="12" t="str">
        <f ca="1">IFERROR(__xludf.DUMMYFUNCTION("""COMPUTED_VALUE"""),"")</f>
        <v/>
      </c>
    </row>
    <row r="19728" spans="2:4" ht="13">
      <c r="B19728" s="12" t="str">
        <f ca="1">IFERROR(__xludf.DUMMYFUNCTION("""COMPUTED_VALUE"""),"")</f>
        <v/>
      </c>
      <c r="C19728" s="12" t="str">
        <f ca="1">IFERROR(__xludf.DUMMYFUNCTION("""COMPUTED_VALUE"""),"")</f>
        <v/>
      </c>
      <c r="D19728" s="12" t="str">
        <f ca="1">IFERROR(__xludf.DUMMYFUNCTION("""COMPUTED_VALUE"""),"")</f>
        <v/>
      </c>
    </row>
    <row r="19729" spans="2:4" ht="13">
      <c r="B19729" s="12" t="str">
        <f ca="1">IFERROR(__xludf.DUMMYFUNCTION("""COMPUTED_VALUE"""),"")</f>
        <v/>
      </c>
      <c r="C19729" s="12" t="str">
        <f ca="1">IFERROR(__xludf.DUMMYFUNCTION("""COMPUTED_VALUE"""),"")</f>
        <v/>
      </c>
      <c r="D19729" s="12" t="str">
        <f ca="1">IFERROR(__xludf.DUMMYFUNCTION("""COMPUTED_VALUE"""),"")</f>
        <v/>
      </c>
    </row>
    <row r="19730" spans="2:4" ht="13">
      <c r="B19730" s="12" t="str">
        <f ca="1">IFERROR(__xludf.DUMMYFUNCTION("""COMPUTED_VALUE"""),"")</f>
        <v/>
      </c>
      <c r="C19730" s="12" t="str">
        <f ca="1">IFERROR(__xludf.DUMMYFUNCTION("""COMPUTED_VALUE"""),"")</f>
        <v/>
      </c>
      <c r="D19730" s="12" t="str">
        <f ca="1">IFERROR(__xludf.DUMMYFUNCTION("""COMPUTED_VALUE"""),"")</f>
        <v/>
      </c>
    </row>
    <row r="19731" spans="2:4" ht="13">
      <c r="B19731" s="12" t="str">
        <f ca="1">IFERROR(__xludf.DUMMYFUNCTION("""COMPUTED_VALUE"""),"")</f>
        <v/>
      </c>
      <c r="C19731" s="12" t="str">
        <f ca="1">IFERROR(__xludf.DUMMYFUNCTION("""COMPUTED_VALUE"""),"")</f>
        <v/>
      </c>
      <c r="D19731" s="12" t="str">
        <f ca="1">IFERROR(__xludf.DUMMYFUNCTION("""COMPUTED_VALUE"""),"")</f>
        <v/>
      </c>
    </row>
    <row r="19732" spans="2:4" ht="13">
      <c r="B19732" s="12" t="str">
        <f ca="1">IFERROR(__xludf.DUMMYFUNCTION("""COMPUTED_VALUE"""),"")</f>
        <v/>
      </c>
      <c r="C19732" s="12" t="str">
        <f ca="1">IFERROR(__xludf.DUMMYFUNCTION("""COMPUTED_VALUE"""),"")</f>
        <v/>
      </c>
      <c r="D19732" s="12" t="str">
        <f ca="1">IFERROR(__xludf.DUMMYFUNCTION("""COMPUTED_VALUE"""),"")</f>
        <v/>
      </c>
    </row>
    <row r="19733" spans="2:4" ht="13">
      <c r="B19733" s="12" t="str">
        <f ca="1">IFERROR(__xludf.DUMMYFUNCTION("""COMPUTED_VALUE"""),"")</f>
        <v/>
      </c>
      <c r="C19733" s="12" t="str">
        <f ca="1">IFERROR(__xludf.DUMMYFUNCTION("""COMPUTED_VALUE"""),"")</f>
        <v/>
      </c>
      <c r="D19733" s="12" t="str">
        <f ca="1">IFERROR(__xludf.DUMMYFUNCTION("""COMPUTED_VALUE"""),"")</f>
        <v/>
      </c>
    </row>
    <row r="19734" spans="2:4" ht="13">
      <c r="B19734" s="12" t="str">
        <f ca="1">IFERROR(__xludf.DUMMYFUNCTION("""COMPUTED_VALUE"""),"")</f>
        <v/>
      </c>
      <c r="C19734" s="12" t="str">
        <f ca="1">IFERROR(__xludf.DUMMYFUNCTION("""COMPUTED_VALUE"""),"")</f>
        <v/>
      </c>
      <c r="D19734" s="12" t="str">
        <f ca="1">IFERROR(__xludf.DUMMYFUNCTION("""COMPUTED_VALUE"""),"")</f>
        <v/>
      </c>
    </row>
    <row r="19735" spans="2:4" ht="13">
      <c r="B19735" s="12" t="str">
        <f ca="1">IFERROR(__xludf.DUMMYFUNCTION("""COMPUTED_VALUE"""),"")</f>
        <v/>
      </c>
      <c r="C19735" s="12" t="str">
        <f ca="1">IFERROR(__xludf.DUMMYFUNCTION("""COMPUTED_VALUE"""),"")</f>
        <v/>
      </c>
      <c r="D19735" s="12" t="str">
        <f ca="1">IFERROR(__xludf.DUMMYFUNCTION("""COMPUTED_VALUE"""),"")</f>
        <v/>
      </c>
    </row>
    <row r="19736" spans="2:4" ht="13">
      <c r="B19736" s="12" t="str">
        <f ca="1">IFERROR(__xludf.DUMMYFUNCTION("""COMPUTED_VALUE"""),"")</f>
        <v/>
      </c>
      <c r="C19736" s="12" t="str">
        <f ca="1">IFERROR(__xludf.DUMMYFUNCTION("""COMPUTED_VALUE"""),"")</f>
        <v/>
      </c>
      <c r="D19736" s="12" t="str">
        <f ca="1">IFERROR(__xludf.DUMMYFUNCTION("""COMPUTED_VALUE"""),"")</f>
        <v/>
      </c>
    </row>
    <row r="19737" spans="2:4" ht="13">
      <c r="B19737" s="12" t="str">
        <f ca="1">IFERROR(__xludf.DUMMYFUNCTION("""COMPUTED_VALUE"""),"")</f>
        <v/>
      </c>
      <c r="C19737" s="12" t="str">
        <f ca="1">IFERROR(__xludf.DUMMYFUNCTION("""COMPUTED_VALUE"""),"")</f>
        <v/>
      </c>
      <c r="D19737" s="12" t="str">
        <f ca="1">IFERROR(__xludf.DUMMYFUNCTION("""COMPUTED_VALUE"""),"")</f>
        <v/>
      </c>
    </row>
    <row r="19738" spans="2:4" ht="13">
      <c r="B19738" s="12" t="str">
        <f ca="1">IFERROR(__xludf.DUMMYFUNCTION("""COMPUTED_VALUE"""),"")</f>
        <v/>
      </c>
      <c r="C19738" s="12" t="str">
        <f ca="1">IFERROR(__xludf.DUMMYFUNCTION("""COMPUTED_VALUE"""),"")</f>
        <v/>
      </c>
      <c r="D19738" s="12" t="str">
        <f ca="1">IFERROR(__xludf.DUMMYFUNCTION("""COMPUTED_VALUE"""),"")</f>
        <v/>
      </c>
    </row>
    <row r="19739" spans="2:4" ht="13">
      <c r="B19739" s="12" t="str">
        <f ca="1">IFERROR(__xludf.DUMMYFUNCTION("""COMPUTED_VALUE"""),"")</f>
        <v/>
      </c>
      <c r="C19739" s="12" t="str">
        <f ca="1">IFERROR(__xludf.DUMMYFUNCTION("""COMPUTED_VALUE"""),"")</f>
        <v/>
      </c>
      <c r="D19739" s="12" t="str">
        <f ca="1">IFERROR(__xludf.DUMMYFUNCTION("""COMPUTED_VALUE"""),"")</f>
        <v/>
      </c>
    </row>
    <row r="19740" spans="2:4" ht="13">
      <c r="B19740" s="12" t="str">
        <f ca="1">IFERROR(__xludf.DUMMYFUNCTION("""COMPUTED_VALUE"""),"")</f>
        <v/>
      </c>
      <c r="C19740" s="12" t="str">
        <f ca="1">IFERROR(__xludf.DUMMYFUNCTION("""COMPUTED_VALUE"""),"")</f>
        <v/>
      </c>
      <c r="D19740" s="12" t="str">
        <f ca="1">IFERROR(__xludf.DUMMYFUNCTION("""COMPUTED_VALUE"""),"")</f>
        <v/>
      </c>
    </row>
    <row r="19741" spans="2:4" ht="13">
      <c r="B19741" s="12" t="str">
        <f ca="1">IFERROR(__xludf.DUMMYFUNCTION("""COMPUTED_VALUE"""),"")</f>
        <v/>
      </c>
      <c r="C19741" s="12" t="str">
        <f ca="1">IFERROR(__xludf.DUMMYFUNCTION("""COMPUTED_VALUE"""),"")</f>
        <v/>
      </c>
      <c r="D19741" s="12" t="str">
        <f ca="1">IFERROR(__xludf.DUMMYFUNCTION("""COMPUTED_VALUE"""),"")</f>
        <v/>
      </c>
    </row>
    <row r="19742" spans="2:4" ht="13">
      <c r="B19742" s="12" t="str">
        <f ca="1">IFERROR(__xludf.DUMMYFUNCTION("""COMPUTED_VALUE"""),"")</f>
        <v/>
      </c>
      <c r="C19742" s="12" t="str">
        <f ca="1">IFERROR(__xludf.DUMMYFUNCTION("""COMPUTED_VALUE"""),"")</f>
        <v/>
      </c>
      <c r="D19742" s="12" t="str">
        <f ca="1">IFERROR(__xludf.DUMMYFUNCTION("""COMPUTED_VALUE"""),"")</f>
        <v/>
      </c>
    </row>
    <row r="19743" spans="2:4" ht="13">
      <c r="B19743" s="12" t="str">
        <f ca="1">IFERROR(__xludf.DUMMYFUNCTION("""COMPUTED_VALUE"""),"")</f>
        <v/>
      </c>
      <c r="C19743" s="12" t="str">
        <f ca="1">IFERROR(__xludf.DUMMYFUNCTION("""COMPUTED_VALUE"""),"")</f>
        <v/>
      </c>
      <c r="D19743" s="12" t="str">
        <f ca="1">IFERROR(__xludf.DUMMYFUNCTION("""COMPUTED_VALUE"""),"")</f>
        <v/>
      </c>
    </row>
    <row r="19744" spans="2:4" ht="13">
      <c r="B19744" s="12" t="str">
        <f ca="1">IFERROR(__xludf.DUMMYFUNCTION("""COMPUTED_VALUE"""),"")</f>
        <v/>
      </c>
      <c r="C19744" s="12" t="str">
        <f ca="1">IFERROR(__xludf.DUMMYFUNCTION("""COMPUTED_VALUE"""),"")</f>
        <v/>
      </c>
      <c r="D19744" s="12" t="str">
        <f ca="1">IFERROR(__xludf.DUMMYFUNCTION("""COMPUTED_VALUE"""),"")</f>
        <v/>
      </c>
    </row>
    <row r="19745" spans="2:4" ht="13">
      <c r="B19745" s="12" t="str">
        <f ca="1">IFERROR(__xludf.DUMMYFUNCTION("""COMPUTED_VALUE"""),"")</f>
        <v/>
      </c>
      <c r="C19745" s="12" t="str">
        <f ca="1">IFERROR(__xludf.DUMMYFUNCTION("""COMPUTED_VALUE"""),"")</f>
        <v/>
      </c>
      <c r="D19745" s="12" t="str">
        <f ca="1">IFERROR(__xludf.DUMMYFUNCTION("""COMPUTED_VALUE"""),"")</f>
        <v/>
      </c>
    </row>
    <row r="19746" spans="2:4" ht="13">
      <c r="B19746" s="12" t="str">
        <f ca="1">IFERROR(__xludf.DUMMYFUNCTION("""COMPUTED_VALUE"""),"")</f>
        <v/>
      </c>
      <c r="C19746" s="12" t="str">
        <f ca="1">IFERROR(__xludf.DUMMYFUNCTION("""COMPUTED_VALUE"""),"")</f>
        <v/>
      </c>
      <c r="D19746" s="12" t="str">
        <f ca="1">IFERROR(__xludf.DUMMYFUNCTION("""COMPUTED_VALUE"""),"")</f>
        <v/>
      </c>
    </row>
    <row r="19747" spans="2:4" ht="13">
      <c r="B19747" s="12" t="str">
        <f ca="1">IFERROR(__xludf.DUMMYFUNCTION("""COMPUTED_VALUE"""),"")</f>
        <v/>
      </c>
      <c r="C19747" s="12" t="str">
        <f ca="1">IFERROR(__xludf.DUMMYFUNCTION("""COMPUTED_VALUE"""),"")</f>
        <v/>
      </c>
      <c r="D19747" s="12" t="str">
        <f ca="1">IFERROR(__xludf.DUMMYFUNCTION("""COMPUTED_VALUE"""),"")</f>
        <v/>
      </c>
    </row>
    <row r="19748" spans="2:4" ht="13">
      <c r="B19748" s="12" t="str">
        <f ca="1">IFERROR(__xludf.DUMMYFUNCTION("""COMPUTED_VALUE"""),"")</f>
        <v/>
      </c>
      <c r="C19748" s="12" t="str">
        <f ca="1">IFERROR(__xludf.DUMMYFUNCTION("""COMPUTED_VALUE"""),"")</f>
        <v/>
      </c>
      <c r="D19748" s="12" t="str">
        <f ca="1">IFERROR(__xludf.DUMMYFUNCTION("""COMPUTED_VALUE"""),"")</f>
        <v/>
      </c>
    </row>
    <row r="19749" spans="2:4" ht="13">
      <c r="B19749" s="12" t="str">
        <f ca="1">IFERROR(__xludf.DUMMYFUNCTION("""COMPUTED_VALUE"""),"")</f>
        <v/>
      </c>
      <c r="C19749" s="12" t="str">
        <f ca="1">IFERROR(__xludf.DUMMYFUNCTION("""COMPUTED_VALUE"""),"")</f>
        <v/>
      </c>
      <c r="D19749" s="12" t="str">
        <f ca="1">IFERROR(__xludf.DUMMYFUNCTION("""COMPUTED_VALUE"""),"")</f>
        <v/>
      </c>
    </row>
    <row r="19750" spans="2:4" ht="13">
      <c r="B19750" s="12" t="str">
        <f ca="1">IFERROR(__xludf.DUMMYFUNCTION("""COMPUTED_VALUE"""),"")</f>
        <v/>
      </c>
      <c r="C19750" s="12" t="str">
        <f ca="1">IFERROR(__xludf.DUMMYFUNCTION("""COMPUTED_VALUE"""),"")</f>
        <v/>
      </c>
      <c r="D19750" s="12" t="str">
        <f ca="1">IFERROR(__xludf.DUMMYFUNCTION("""COMPUTED_VALUE"""),"")</f>
        <v/>
      </c>
    </row>
    <row r="19751" spans="2:4" ht="13">
      <c r="B19751" s="12" t="str">
        <f ca="1">IFERROR(__xludf.DUMMYFUNCTION("""COMPUTED_VALUE"""),"")</f>
        <v/>
      </c>
      <c r="C19751" s="12" t="str">
        <f ca="1">IFERROR(__xludf.DUMMYFUNCTION("""COMPUTED_VALUE"""),"")</f>
        <v/>
      </c>
      <c r="D19751" s="12" t="str">
        <f ca="1">IFERROR(__xludf.DUMMYFUNCTION("""COMPUTED_VALUE"""),"")</f>
        <v/>
      </c>
    </row>
    <row r="19752" spans="2:4" ht="13">
      <c r="B19752" s="12" t="str">
        <f ca="1">IFERROR(__xludf.DUMMYFUNCTION("""COMPUTED_VALUE"""),"")</f>
        <v/>
      </c>
      <c r="C19752" s="12" t="str">
        <f ca="1">IFERROR(__xludf.DUMMYFUNCTION("""COMPUTED_VALUE"""),"")</f>
        <v/>
      </c>
      <c r="D19752" s="12" t="str">
        <f ca="1">IFERROR(__xludf.DUMMYFUNCTION("""COMPUTED_VALUE"""),"")</f>
        <v/>
      </c>
    </row>
    <row r="19753" spans="2:4" ht="13">
      <c r="B19753" s="12" t="str">
        <f ca="1">IFERROR(__xludf.DUMMYFUNCTION("""COMPUTED_VALUE"""),"")</f>
        <v/>
      </c>
      <c r="C19753" s="12" t="str">
        <f ca="1">IFERROR(__xludf.DUMMYFUNCTION("""COMPUTED_VALUE"""),"")</f>
        <v/>
      </c>
      <c r="D19753" s="12" t="str">
        <f ca="1">IFERROR(__xludf.DUMMYFUNCTION("""COMPUTED_VALUE"""),"")</f>
        <v/>
      </c>
    </row>
    <row r="19754" spans="2:4" ht="13">
      <c r="B19754" s="12" t="str">
        <f ca="1">IFERROR(__xludf.DUMMYFUNCTION("""COMPUTED_VALUE"""),"")</f>
        <v/>
      </c>
      <c r="C19754" s="12" t="str">
        <f ca="1">IFERROR(__xludf.DUMMYFUNCTION("""COMPUTED_VALUE"""),"")</f>
        <v/>
      </c>
      <c r="D19754" s="12" t="str">
        <f ca="1">IFERROR(__xludf.DUMMYFUNCTION("""COMPUTED_VALUE"""),"")</f>
        <v/>
      </c>
    </row>
    <row r="19755" spans="2:4" ht="13">
      <c r="B19755" s="12" t="str">
        <f ca="1">IFERROR(__xludf.DUMMYFUNCTION("""COMPUTED_VALUE"""),"")</f>
        <v/>
      </c>
      <c r="C19755" s="12" t="str">
        <f ca="1">IFERROR(__xludf.DUMMYFUNCTION("""COMPUTED_VALUE"""),"")</f>
        <v/>
      </c>
      <c r="D19755" s="12" t="str">
        <f ca="1">IFERROR(__xludf.DUMMYFUNCTION("""COMPUTED_VALUE"""),"")</f>
        <v/>
      </c>
    </row>
    <row r="19756" spans="2:4" ht="13">
      <c r="B19756" s="12" t="str">
        <f ca="1">IFERROR(__xludf.DUMMYFUNCTION("""COMPUTED_VALUE"""),"")</f>
        <v/>
      </c>
      <c r="C19756" s="12" t="str">
        <f ca="1">IFERROR(__xludf.DUMMYFUNCTION("""COMPUTED_VALUE"""),"")</f>
        <v/>
      </c>
      <c r="D19756" s="12" t="str">
        <f ca="1">IFERROR(__xludf.DUMMYFUNCTION("""COMPUTED_VALUE"""),"")</f>
        <v/>
      </c>
    </row>
    <row r="19757" spans="2:4" ht="13">
      <c r="B19757" s="12" t="str">
        <f ca="1">IFERROR(__xludf.DUMMYFUNCTION("""COMPUTED_VALUE"""),"")</f>
        <v/>
      </c>
      <c r="C19757" s="12" t="str">
        <f ca="1">IFERROR(__xludf.DUMMYFUNCTION("""COMPUTED_VALUE"""),"")</f>
        <v/>
      </c>
      <c r="D19757" s="12" t="str">
        <f ca="1">IFERROR(__xludf.DUMMYFUNCTION("""COMPUTED_VALUE"""),"")</f>
        <v/>
      </c>
    </row>
    <row r="19758" spans="2:4" ht="13">
      <c r="B19758" s="12" t="str">
        <f ca="1">IFERROR(__xludf.DUMMYFUNCTION("""COMPUTED_VALUE"""),"")</f>
        <v/>
      </c>
      <c r="C19758" s="12" t="str">
        <f ca="1">IFERROR(__xludf.DUMMYFUNCTION("""COMPUTED_VALUE"""),"")</f>
        <v/>
      </c>
      <c r="D19758" s="12" t="str">
        <f ca="1">IFERROR(__xludf.DUMMYFUNCTION("""COMPUTED_VALUE"""),"")</f>
        <v/>
      </c>
    </row>
    <row r="19759" spans="2:4" ht="13">
      <c r="B19759" s="12" t="str">
        <f ca="1">IFERROR(__xludf.DUMMYFUNCTION("""COMPUTED_VALUE"""),"")</f>
        <v/>
      </c>
      <c r="C19759" s="12" t="str">
        <f ca="1">IFERROR(__xludf.DUMMYFUNCTION("""COMPUTED_VALUE"""),"")</f>
        <v/>
      </c>
      <c r="D19759" s="12" t="str">
        <f ca="1">IFERROR(__xludf.DUMMYFUNCTION("""COMPUTED_VALUE"""),"")</f>
        <v/>
      </c>
    </row>
    <row r="19760" spans="2:4" ht="13">
      <c r="B19760" s="12" t="str">
        <f ca="1">IFERROR(__xludf.DUMMYFUNCTION("""COMPUTED_VALUE"""),"")</f>
        <v/>
      </c>
      <c r="C19760" s="12" t="str">
        <f ca="1">IFERROR(__xludf.DUMMYFUNCTION("""COMPUTED_VALUE"""),"")</f>
        <v/>
      </c>
      <c r="D19760" s="12" t="str">
        <f ca="1">IFERROR(__xludf.DUMMYFUNCTION("""COMPUTED_VALUE"""),"")</f>
        <v/>
      </c>
    </row>
    <row r="19761" spans="2:4" ht="13">
      <c r="B19761" s="12" t="str">
        <f ca="1">IFERROR(__xludf.DUMMYFUNCTION("""COMPUTED_VALUE"""),"")</f>
        <v/>
      </c>
      <c r="C19761" s="12" t="str">
        <f ca="1">IFERROR(__xludf.DUMMYFUNCTION("""COMPUTED_VALUE"""),"")</f>
        <v/>
      </c>
      <c r="D19761" s="12" t="str">
        <f ca="1">IFERROR(__xludf.DUMMYFUNCTION("""COMPUTED_VALUE"""),"")</f>
        <v/>
      </c>
    </row>
    <row r="19762" spans="2:4" ht="13">
      <c r="B19762" s="12" t="str">
        <f ca="1">IFERROR(__xludf.DUMMYFUNCTION("""COMPUTED_VALUE"""),"")</f>
        <v/>
      </c>
      <c r="C19762" s="12" t="str">
        <f ca="1">IFERROR(__xludf.DUMMYFUNCTION("""COMPUTED_VALUE"""),"")</f>
        <v/>
      </c>
      <c r="D19762" s="12" t="str">
        <f ca="1">IFERROR(__xludf.DUMMYFUNCTION("""COMPUTED_VALUE"""),"")</f>
        <v/>
      </c>
    </row>
    <row r="19763" spans="2:4" ht="13">
      <c r="B19763" s="12" t="str">
        <f ca="1">IFERROR(__xludf.DUMMYFUNCTION("""COMPUTED_VALUE"""),"")</f>
        <v/>
      </c>
      <c r="C19763" s="12" t="str">
        <f ca="1">IFERROR(__xludf.DUMMYFUNCTION("""COMPUTED_VALUE"""),"")</f>
        <v/>
      </c>
      <c r="D19763" s="12" t="str">
        <f ca="1">IFERROR(__xludf.DUMMYFUNCTION("""COMPUTED_VALUE"""),"")</f>
        <v/>
      </c>
    </row>
    <row r="19764" spans="2:4" ht="13">
      <c r="B19764" s="12" t="str">
        <f ca="1">IFERROR(__xludf.DUMMYFUNCTION("""COMPUTED_VALUE"""),"")</f>
        <v/>
      </c>
      <c r="C19764" s="12" t="str">
        <f ca="1">IFERROR(__xludf.DUMMYFUNCTION("""COMPUTED_VALUE"""),"")</f>
        <v/>
      </c>
      <c r="D19764" s="12" t="str">
        <f ca="1">IFERROR(__xludf.DUMMYFUNCTION("""COMPUTED_VALUE"""),"")</f>
        <v/>
      </c>
    </row>
    <row r="19765" spans="2:4" ht="13">
      <c r="B19765" s="12" t="str">
        <f ca="1">IFERROR(__xludf.DUMMYFUNCTION("""COMPUTED_VALUE"""),"")</f>
        <v/>
      </c>
      <c r="C19765" s="12" t="str">
        <f ca="1">IFERROR(__xludf.DUMMYFUNCTION("""COMPUTED_VALUE"""),"")</f>
        <v/>
      </c>
      <c r="D19765" s="12" t="str">
        <f ca="1">IFERROR(__xludf.DUMMYFUNCTION("""COMPUTED_VALUE"""),"")</f>
        <v/>
      </c>
    </row>
    <row r="19766" spans="2:4" ht="13">
      <c r="B19766" s="12" t="str">
        <f ca="1">IFERROR(__xludf.DUMMYFUNCTION("""COMPUTED_VALUE"""),"")</f>
        <v/>
      </c>
      <c r="C19766" s="12" t="str">
        <f ca="1">IFERROR(__xludf.DUMMYFUNCTION("""COMPUTED_VALUE"""),"")</f>
        <v/>
      </c>
      <c r="D19766" s="12" t="str">
        <f ca="1">IFERROR(__xludf.DUMMYFUNCTION("""COMPUTED_VALUE"""),"")</f>
        <v/>
      </c>
    </row>
    <row r="19767" spans="2:4" ht="13">
      <c r="B19767" s="12" t="str">
        <f ca="1">IFERROR(__xludf.DUMMYFUNCTION("""COMPUTED_VALUE"""),"")</f>
        <v/>
      </c>
      <c r="C19767" s="12" t="str">
        <f ca="1">IFERROR(__xludf.DUMMYFUNCTION("""COMPUTED_VALUE"""),"")</f>
        <v/>
      </c>
      <c r="D19767" s="12" t="str">
        <f ca="1">IFERROR(__xludf.DUMMYFUNCTION("""COMPUTED_VALUE"""),"")</f>
        <v/>
      </c>
    </row>
    <row r="19768" spans="2:4" ht="13">
      <c r="B19768" s="12" t="str">
        <f ca="1">IFERROR(__xludf.DUMMYFUNCTION("""COMPUTED_VALUE"""),"")</f>
        <v/>
      </c>
      <c r="C19768" s="12" t="str">
        <f ca="1">IFERROR(__xludf.DUMMYFUNCTION("""COMPUTED_VALUE"""),"")</f>
        <v/>
      </c>
      <c r="D19768" s="12" t="str">
        <f ca="1">IFERROR(__xludf.DUMMYFUNCTION("""COMPUTED_VALUE"""),"")</f>
        <v/>
      </c>
    </row>
    <row r="19769" spans="2:4" ht="13">
      <c r="B19769" s="12" t="str">
        <f ca="1">IFERROR(__xludf.DUMMYFUNCTION("""COMPUTED_VALUE"""),"")</f>
        <v/>
      </c>
      <c r="C19769" s="12" t="str">
        <f ca="1">IFERROR(__xludf.DUMMYFUNCTION("""COMPUTED_VALUE"""),"")</f>
        <v/>
      </c>
      <c r="D19769" s="12" t="str">
        <f ca="1">IFERROR(__xludf.DUMMYFUNCTION("""COMPUTED_VALUE"""),"")</f>
        <v/>
      </c>
    </row>
    <row r="19770" spans="2:4" ht="13">
      <c r="B19770" s="12" t="str">
        <f ca="1">IFERROR(__xludf.DUMMYFUNCTION("""COMPUTED_VALUE"""),"")</f>
        <v/>
      </c>
      <c r="C19770" s="12" t="str">
        <f ca="1">IFERROR(__xludf.DUMMYFUNCTION("""COMPUTED_VALUE"""),"")</f>
        <v/>
      </c>
      <c r="D19770" s="12" t="str">
        <f ca="1">IFERROR(__xludf.DUMMYFUNCTION("""COMPUTED_VALUE"""),"")</f>
        <v/>
      </c>
    </row>
    <row r="19771" spans="2:4" ht="13">
      <c r="B19771" s="12" t="str">
        <f ca="1">IFERROR(__xludf.DUMMYFUNCTION("""COMPUTED_VALUE"""),"")</f>
        <v/>
      </c>
      <c r="C19771" s="12" t="str">
        <f ca="1">IFERROR(__xludf.DUMMYFUNCTION("""COMPUTED_VALUE"""),"")</f>
        <v/>
      </c>
      <c r="D19771" s="12" t="str">
        <f ca="1">IFERROR(__xludf.DUMMYFUNCTION("""COMPUTED_VALUE"""),"")</f>
        <v/>
      </c>
    </row>
    <row r="19772" spans="2:4" ht="13">
      <c r="B19772" s="12" t="str">
        <f ca="1">IFERROR(__xludf.DUMMYFUNCTION("""COMPUTED_VALUE"""),"")</f>
        <v/>
      </c>
      <c r="C19772" s="12" t="str">
        <f ca="1">IFERROR(__xludf.DUMMYFUNCTION("""COMPUTED_VALUE"""),"")</f>
        <v/>
      </c>
      <c r="D19772" s="12" t="str">
        <f ca="1">IFERROR(__xludf.DUMMYFUNCTION("""COMPUTED_VALUE"""),"")</f>
        <v/>
      </c>
    </row>
    <row r="19773" spans="2:4" ht="13">
      <c r="B19773" s="12" t="str">
        <f ca="1">IFERROR(__xludf.DUMMYFUNCTION("""COMPUTED_VALUE"""),"")</f>
        <v/>
      </c>
      <c r="C19773" s="12" t="str">
        <f ca="1">IFERROR(__xludf.DUMMYFUNCTION("""COMPUTED_VALUE"""),"")</f>
        <v/>
      </c>
      <c r="D19773" s="12" t="str">
        <f ca="1">IFERROR(__xludf.DUMMYFUNCTION("""COMPUTED_VALUE"""),"")</f>
        <v/>
      </c>
    </row>
    <row r="19774" spans="2:4" ht="13">
      <c r="B19774" s="12" t="str">
        <f ca="1">IFERROR(__xludf.DUMMYFUNCTION("""COMPUTED_VALUE"""),"")</f>
        <v/>
      </c>
      <c r="C19774" s="12" t="str">
        <f ca="1">IFERROR(__xludf.DUMMYFUNCTION("""COMPUTED_VALUE"""),"")</f>
        <v/>
      </c>
      <c r="D19774" s="12" t="str">
        <f ca="1">IFERROR(__xludf.DUMMYFUNCTION("""COMPUTED_VALUE"""),"")</f>
        <v/>
      </c>
    </row>
    <row r="19775" spans="2:4" ht="13">
      <c r="B19775" s="12" t="str">
        <f ca="1">IFERROR(__xludf.DUMMYFUNCTION("""COMPUTED_VALUE"""),"")</f>
        <v/>
      </c>
      <c r="C19775" s="12" t="str">
        <f ca="1">IFERROR(__xludf.DUMMYFUNCTION("""COMPUTED_VALUE"""),"")</f>
        <v/>
      </c>
      <c r="D19775" s="12" t="str">
        <f ca="1">IFERROR(__xludf.DUMMYFUNCTION("""COMPUTED_VALUE"""),"")</f>
        <v/>
      </c>
    </row>
    <row r="19776" spans="2:4" ht="13">
      <c r="B19776" s="12" t="str">
        <f ca="1">IFERROR(__xludf.DUMMYFUNCTION("""COMPUTED_VALUE"""),"")</f>
        <v/>
      </c>
      <c r="C19776" s="12" t="str">
        <f ca="1">IFERROR(__xludf.DUMMYFUNCTION("""COMPUTED_VALUE"""),"")</f>
        <v/>
      </c>
      <c r="D19776" s="12" t="str">
        <f ca="1">IFERROR(__xludf.DUMMYFUNCTION("""COMPUTED_VALUE"""),"")</f>
        <v/>
      </c>
    </row>
    <row r="19777" spans="2:4" ht="13">
      <c r="B19777" s="12" t="str">
        <f ca="1">IFERROR(__xludf.DUMMYFUNCTION("""COMPUTED_VALUE"""),"")</f>
        <v/>
      </c>
      <c r="C19777" s="12" t="str">
        <f ca="1">IFERROR(__xludf.DUMMYFUNCTION("""COMPUTED_VALUE"""),"")</f>
        <v/>
      </c>
      <c r="D19777" s="12" t="str">
        <f ca="1">IFERROR(__xludf.DUMMYFUNCTION("""COMPUTED_VALUE"""),"")</f>
        <v/>
      </c>
    </row>
    <row r="19778" spans="2:4" ht="13">
      <c r="B19778" s="12" t="str">
        <f ca="1">IFERROR(__xludf.DUMMYFUNCTION("""COMPUTED_VALUE"""),"")</f>
        <v/>
      </c>
      <c r="C19778" s="12" t="str">
        <f ca="1">IFERROR(__xludf.DUMMYFUNCTION("""COMPUTED_VALUE"""),"")</f>
        <v/>
      </c>
      <c r="D19778" s="12" t="str">
        <f ca="1">IFERROR(__xludf.DUMMYFUNCTION("""COMPUTED_VALUE"""),"")</f>
        <v/>
      </c>
    </row>
    <row r="19779" spans="2:4" ht="13">
      <c r="B19779" s="12" t="str">
        <f ca="1">IFERROR(__xludf.DUMMYFUNCTION("""COMPUTED_VALUE"""),"")</f>
        <v/>
      </c>
      <c r="C19779" s="12" t="str">
        <f ca="1">IFERROR(__xludf.DUMMYFUNCTION("""COMPUTED_VALUE"""),"")</f>
        <v/>
      </c>
      <c r="D19779" s="12" t="str">
        <f ca="1">IFERROR(__xludf.DUMMYFUNCTION("""COMPUTED_VALUE"""),"")</f>
        <v/>
      </c>
    </row>
    <row r="19780" spans="2:4" ht="13">
      <c r="B19780" s="12" t="str">
        <f ca="1">IFERROR(__xludf.DUMMYFUNCTION("""COMPUTED_VALUE"""),"")</f>
        <v/>
      </c>
      <c r="C19780" s="12" t="str">
        <f ca="1">IFERROR(__xludf.DUMMYFUNCTION("""COMPUTED_VALUE"""),"")</f>
        <v/>
      </c>
      <c r="D19780" s="12" t="str">
        <f ca="1">IFERROR(__xludf.DUMMYFUNCTION("""COMPUTED_VALUE"""),"")</f>
        <v/>
      </c>
    </row>
    <row r="19781" spans="2:4" ht="13">
      <c r="B19781" s="12" t="str">
        <f ca="1">IFERROR(__xludf.DUMMYFUNCTION("""COMPUTED_VALUE"""),"")</f>
        <v/>
      </c>
      <c r="C19781" s="12" t="str">
        <f ca="1">IFERROR(__xludf.DUMMYFUNCTION("""COMPUTED_VALUE"""),"")</f>
        <v/>
      </c>
      <c r="D19781" s="12" t="str">
        <f ca="1">IFERROR(__xludf.DUMMYFUNCTION("""COMPUTED_VALUE"""),"")</f>
        <v/>
      </c>
    </row>
    <row r="19782" spans="2:4" ht="13">
      <c r="B19782" s="12" t="str">
        <f ca="1">IFERROR(__xludf.DUMMYFUNCTION("""COMPUTED_VALUE"""),"")</f>
        <v/>
      </c>
      <c r="C19782" s="12" t="str">
        <f ca="1">IFERROR(__xludf.DUMMYFUNCTION("""COMPUTED_VALUE"""),"")</f>
        <v/>
      </c>
      <c r="D19782" s="12" t="str">
        <f ca="1">IFERROR(__xludf.DUMMYFUNCTION("""COMPUTED_VALUE"""),"")</f>
        <v/>
      </c>
    </row>
    <row r="19783" spans="2:4" ht="13">
      <c r="B19783" s="12" t="str">
        <f ca="1">IFERROR(__xludf.DUMMYFUNCTION("""COMPUTED_VALUE"""),"")</f>
        <v/>
      </c>
      <c r="C19783" s="12" t="str">
        <f ca="1">IFERROR(__xludf.DUMMYFUNCTION("""COMPUTED_VALUE"""),"")</f>
        <v/>
      </c>
      <c r="D19783" s="12" t="str">
        <f ca="1">IFERROR(__xludf.DUMMYFUNCTION("""COMPUTED_VALUE"""),"")</f>
        <v/>
      </c>
    </row>
    <row r="19784" spans="2:4" ht="13">
      <c r="B19784" s="12" t="str">
        <f ca="1">IFERROR(__xludf.DUMMYFUNCTION("""COMPUTED_VALUE"""),"")</f>
        <v/>
      </c>
      <c r="C19784" s="12" t="str">
        <f ca="1">IFERROR(__xludf.DUMMYFUNCTION("""COMPUTED_VALUE"""),"")</f>
        <v/>
      </c>
      <c r="D19784" s="12" t="str">
        <f ca="1">IFERROR(__xludf.DUMMYFUNCTION("""COMPUTED_VALUE"""),"")</f>
        <v/>
      </c>
    </row>
    <row r="19785" spans="2:4" ht="13">
      <c r="B19785" s="12" t="str">
        <f ca="1">IFERROR(__xludf.DUMMYFUNCTION("""COMPUTED_VALUE"""),"")</f>
        <v/>
      </c>
      <c r="C19785" s="12" t="str">
        <f ca="1">IFERROR(__xludf.DUMMYFUNCTION("""COMPUTED_VALUE"""),"")</f>
        <v/>
      </c>
      <c r="D19785" s="12" t="str">
        <f ca="1">IFERROR(__xludf.DUMMYFUNCTION("""COMPUTED_VALUE"""),"")</f>
        <v/>
      </c>
    </row>
    <row r="19786" spans="2:4" ht="13">
      <c r="B19786" s="12" t="str">
        <f ca="1">IFERROR(__xludf.DUMMYFUNCTION("""COMPUTED_VALUE"""),"")</f>
        <v/>
      </c>
      <c r="C19786" s="12" t="str">
        <f ca="1">IFERROR(__xludf.DUMMYFUNCTION("""COMPUTED_VALUE"""),"")</f>
        <v/>
      </c>
      <c r="D19786" s="12" t="str">
        <f ca="1">IFERROR(__xludf.DUMMYFUNCTION("""COMPUTED_VALUE"""),"")</f>
        <v/>
      </c>
    </row>
    <row r="19787" spans="2:4" ht="13">
      <c r="B19787" s="12" t="str">
        <f ca="1">IFERROR(__xludf.DUMMYFUNCTION("""COMPUTED_VALUE"""),"")</f>
        <v/>
      </c>
      <c r="C19787" s="12" t="str">
        <f ca="1">IFERROR(__xludf.DUMMYFUNCTION("""COMPUTED_VALUE"""),"")</f>
        <v/>
      </c>
      <c r="D19787" s="12" t="str">
        <f ca="1">IFERROR(__xludf.DUMMYFUNCTION("""COMPUTED_VALUE"""),"")</f>
        <v/>
      </c>
    </row>
    <row r="19788" spans="2:4" ht="13">
      <c r="B19788" s="12" t="str">
        <f ca="1">IFERROR(__xludf.DUMMYFUNCTION("""COMPUTED_VALUE"""),"")</f>
        <v/>
      </c>
      <c r="C19788" s="12" t="str">
        <f ca="1">IFERROR(__xludf.DUMMYFUNCTION("""COMPUTED_VALUE"""),"")</f>
        <v/>
      </c>
      <c r="D19788" s="12" t="str">
        <f ca="1">IFERROR(__xludf.DUMMYFUNCTION("""COMPUTED_VALUE"""),"")</f>
        <v/>
      </c>
    </row>
    <row r="19789" spans="2:4" ht="13">
      <c r="B19789" s="12" t="str">
        <f ca="1">IFERROR(__xludf.DUMMYFUNCTION("""COMPUTED_VALUE"""),"")</f>
        <v/>
      </c>
      <c r="C19789" s="12" t="str">
        <f ca="1">IFERROR(__xludf.DUMMYFUNCTION("""COMPUTED_VALUE"""),"")</f>
        <v/>
      </c>
      <c r="D19789" s="12" t="str">
        <f ca="1">IFERROR(__xludf.DUMMYFUNCTION("""COMPUTED_VALUE"""),"")</f>
        <v/>
      </c>
    </row>
    <row r="19790" spans="2:4" ht="13">
      <c r="B19790" s="12" t="str">
        <f ca="1">IFERROR(__xludf.DUMMYFUNCTION("""COMPUTED_VALUE"""),"")</f>
        <v/>
      </c>
      <c r="C19790" s="12" t="str">
        <f ca="1">IFERROR(__xludf.DUMMYFUNCTION("""COMPUTED_VALUE"""),"")</f>
        <v/>
      </c>
      <c r="D19790" s="12" t="str">
        <f ca="1">IFERROR(__xludf.DUMMYFUNCTION("""COMPUTED_VALUE"""),"")</f>
        <v/>
      </c>
    </row>
    <row r="19791" spans="2:4" ht="13">
      <c r="B19791" s="12" t="str">
        <f ca="1">IFERROR(__xludf.DUMMYFUNCTION("""COMPUTED_VALUE"""),"")</f>
        <v/>
      </c>
      <c r="C19791" s="12" t="str">
        <f ca="1">IFERROR(__xludf.DUMMYFUNCTION("""COMPUTED_VALUE"""),"")</f>
        <v/>
      </c>
      <c r="D19791" s="12" t="str">
        <f ca="1">IFERROR(__xludf.DUMMYFUNCTION("""COMPUTED_VALUE"""),"")</f>
        <v/>
      </c>
    </row>
    <row r="19792" spans="2:4" ht="13">
      <c r="B19792" s="12" t="str">
        <f ca="1">IFERROR(__xludf.DUMMYFUNCTION("""COMPUTED_VALUE"""),"")</f>
        <v/>
      </c>
      <c r="C19792" s="12" t="str">
        <f ca="1">IFERROR(__xludf.DUMMYFUNCTION("""COMPUTED_VALUE"""),"")</f>
        <v/>
      </c>
      <c r="D19792" s="12" t="str">
        <f ca="1">IFERROR(__xludf.DUMMYFUNCTION("""COMPUTED_VALUE"""),"")</f>
        <v/>
      </c>
    </row>
    <row r="19793" spans="2:4" ht="13">
      <c r="B19793" s="12" t="str">
        <f ca="1">IFERROR(__xludf.DUMMYFUNCTION("""COMPUTED_VALUE"""),"")</f>
        <v/>
      </c>
      <c r="C19793" s="12" t="str">
        <f ca="1">IFERROR(__xludf.DUMMYFUNCTION("""COMPUTED_VALUE"""),"")</f>
        <v/>
      </c>
      <c r="D19793" s="12" t="str">
        <f ca="1">IFERROR(__xludf.DUMMYFUNCTION("""COMPUTED_VALUE"""),"")</f>
        <v/>
      </c>
    </row>
    <row r="19794" spans="2:4" ht="13">
      <c r="B19794" s="12" t="str">
        <f ca="1">IFERROR(__xludf.DUMMYFUNCTION("""COMPUTED_VALUE"""),"")</f>
        <v/>
      </c>
      <c r="C19794" s="12" t="str">
        <f ca="1">IFERROR(__xludf.DUMMYFUNCTION("""COMPUTED_VALUE"""),"")</f>
        <v/>
      </c>
      <c r="D19794" s="12" t="str">
        <f ca="1">IFERROR(__xludf.DUMMYFUNCTION("""COMPUTED_VALUE"""),"")</f>
        <v/>
      </c>
    </row>
    <row r="19795" spans="2:4" ht="13">
      <c r="B19795" s="12" t="str">
        <f ca="1">IFERROR(__xludf.DUMMYFUNCTION("""COMPUTED_VALUE"""),"")</f>
        <v/>
      </c>
      <c r="C19795" s="12" t="str">
        <f ca="1">IFERROR(__xludf.DUMMYFUNCTION("""COMPUTED_VALUE"""),"")</f>
        <v/>
      </c>
      <c r="D19795" s="12" t="str">
        <f ca="1">IFERROR(__xludf.DUMMYFUNCTION("""COMPUTED_VALUE"""),"")</f>
        <v/>
      </c>
    </row>
    <row r="19796" spans="2:4" ht="13">
      <c r="B19796" s="12" t="str">
        <f ca="1">IFERROR(__xludf.DUMMYFUNCTION("""COMPUTED_VALUE"""),"")</f>
        <v/>
      </c>
      <c r="C19796" s="12" t="str">
        <f ca="1">IFERROR(__xludf.DUMMYFUNCTION("""COMPUTED_VALUE"""),"")</f>
        <v/>
      </c>
      <c r="D19796" s="12" t="str">
        <f ca="1">IFERROR(__xludf.DUMMYFUNCTION("""COMPUTED_VALUE"""),"")</f>
        <v/>
      </c>
    </row>
    <row r="19797" spans="2:4" ht="13">
      <c r="B19797" s="12" t="str">
        <f ca="1">IFERROR(__xludf.DUMMYFUNCTION("""COMPUTED_VALUE"""),"")</f>
        <v/>
      </c>
      <c r="C19797" s="12" t="str">
        <f ca="1">IFERROR(__xludf.DUMMYFUNCTION("""COMPUTED_VALUE"""),"")</f>
        <v/>
      </c>
      <c r="D19797" s="12" t="str">
        <f ca="1">IFERROR(__xludf.DUMMYFUNCTION("""COMPUTED_VALUE"""),"")</f>
        <v/>
      </c>
    </row>
    <row r="19798" spans="2:4" ht="13">
      <c r="B19798" s="12" t="str">
        <f ca="1">IFERROR(__xludf.DUMMYFUNCTION("""COMPUTED_VALUE"""),"")</f>
        <v/>
      </c>
      <c r="C19798" s="12" t="str">
        <f ca="1">IFERROR(__xludf.DUMMYFUNCTION("""COMPUTED_VALUE"""),"")</f>
        <v/>
      </c>
      <c r="D19798" s="12" t="str">
        <f ca="1">IFERROR(__xludf.DUMMYFUNCTION("""COMPUTED_VALUE"""),"")</f>
        <v/>
      </c>
    </row>
    <row r="19799" spans="2:4" ht="13">
      <c r="B19799" s="12" t="str">
        <f ca="1">IFERROR(__xludf.DUMMYFUNCTION("""COMPUTED_VALUE"""),"")</f>
        <v/>
      </c>
      <c r="C19799" s="12" t="str">
        <f ca="1">IFERROR(__xludf.DUMMYFUNCTION("""COMPUTED_VALUE"""),"")</f>
        <v/>
      </c>
      <c r="D19799" s="12" t="str">
        <f ca="1">IFERROR(__xludf.DUMMYFUNCTION("""COMPUTED_VALUE"""),"")</f>
        <v/>
      </c>
    </row>
    <row r="19800" spans="2:4" ht="13">
      <c r="B19800" s="12" t="str">
        <f ca="1">IFERROR(__xludf.DUMMYFUNCTION("""COMPUTED_VALUE"""),"")</f>
        <v/>
      </c>
      <c r="C19800" s="12" t="str">
        <f ca="1">IFERROR(__xludf.DUMMYFUNCTION("""COMPUTED_VALUE"""),"")</f>
        <v/>
      </c>
      <c r="D19800" s="12" t="str">
        <f ca="1">IFERROR(__xludf.DUMMYFUNCTION("""COMPUTED_VALUE"""),"")</f>
        <v/>
      </c>
    </row>
    <row r="19801" spans="2:4" ht="13">
      <c r="B19801" s="12" t="str">
        <f ca="1">IFERROR(__xludf.DUMMYFUNCTION("""COMPUTED_VALUE"""),"")</f>
        <v/>
      </c>
      <c r="C19801" s="12" t="str">
        <f ca="1">IFERROR(__xludf.DUMMYFUNCTION("""COMPUTED_VALUE"""),"")</f>
        <v/>
      </c>
      <c r="D19801" s="12" t="str">
        <f ca="1">IFERROR(__xludf.DUMMYFUNCTION("""COMPUTED_VALUE"""),"")</f>
        <v/>
      </c>
    </row>
    <row r="19802" spans="2:4" ht="13">
      <c r="B19802" s="12" t="str">
        <f ca="1">IFERROR(__xludf.DUMMYFUNCTION("""COMPUTED_VALUE"""),"")</f>
        <v/>
      </c>
      <c r="C19802" s="12" t="str">
        <f ca="1">IFERROR(__xludf.DUMMYFUNCTION("""COMPUTED_VALUE"""),"")</f>
        <v/>
      </c>
      <c r="D19802" s="12" t="str">
        <f ca="1">IFERROR(__xludf.DUMMYFUNCTION("""COMPUTED_VALUE"""),"")</f>
        <v/>
      </c>
    </row>
    <row r="19803" spans="2:4" ht="13">
      <c r="B19803" s="12" t="str">
        <f ca="1">IFERROR(__xludf.DUMMYFUNCTION("""COMPUTED_VALUE"""),"")</f>
        <v/>
      </c>
      <c r="C19803" s="12" t="str">
        <f ca="1">IFERROR(__xludf.DUMMYFUNCTION("""COMPUTED_VALUE"""),"")</f>
        <v/>
      </c>
      <c r="D19803" s="12" t="str">
        <f ca="1">IFERROR(__xludf.DUMMYFUNCTION("""COMPUTED_VALUE"""),"")</f>
        <v/>
      </c>
    </row>
    <row r="19804" spans="2:4" ht="13">
      <c r="B19804" s="12" t="str">
        <f ca="1">IFERROR(__xludf.DUMMYFUNCTION("""COMPUTED_VALUE"""),"")</f>
        <v/>
      </c>
      <c r="C19804" s="12" t="str">
        <f ca="1">IFERROR(__xludf.DUMMYFUNCTION("""COMPUTED_VALUE"""),"")</f>
        <v/>
      </c>
      <c r="D19804" s="12" t="str">
        <f ca="1">IFERROR(__xludf.DUMMYFUNCTION("""COMPUTED_VALUE"""),"")</f>
        <v/>
      </c>
    </row>
    <row r="19805" spans="2:4" ht="13">
      <c r="B19805" s="12" t="str">
        <f ca="1">IFERROR(__xludf.DUMMYFUNCTION("""COMPUTED_VALUE"""),"")</f>
        <v/>
      </c>
      <c r="C19805" s="12" t="str">
        <f ca="1">IFERROR(__xludf.DUMMYFUNCTION("""COMPUTED_VALUE"""),"")</f>
        <v/>
      </c>
      <c r="D19805" s="12" t="str">
        <f ca="1">IFERROR(__xludf.DUMMYFUNCTION("""COMPUTED_VALUE"""),"")</f>
        <v/>
      </c>
    </row>
    <row r="19806" spans="2:4" ht="13">
      <c r="B19806" s="12" t="str">
        <f ca="1">IFERROR(__xludf.DUMMYFUNCTION("""COMPUTED_VALUE"""),"")</f>
        <v/>
      </c>
      <c r="C19806" s="12" t="str">
        <f ca="1">IFERROR(__xludf.DUMMYFUNCTION("""COMPUTED_VALUE"""),"")</f>
        <v/>
      </c>
      <c r="D19806" s="12" t="str">
        <f ca="1">IFERROR(__xludf.DUMMYFUNCTION("""COMPUTED_VALUE"""),"")</f>
        <v/>
      </c>
    </row>
    <row r="19807" spans="2:4" ht="13">
      <c r="B19807" s="12" t="str">
        <f ca="1">IFERROR(__xludf.DUMMYFUNCTION("""COMPUTED_VALUE"""),"")</f>
        <v/>
      </c>
      <c r="C19807" s="12" t="str">
        <f ca="1">IFERROR(__xludf.DUMMYFUNCTION("""COMPUTED_VALUE"""),"")</f>
        <v/>
      </c>
      <c r="D19807" s="12" t="str">
        <f ca="1">IFERROR(__xludf.DUMMYFUNCTION("""COMPUTED_VALUE"""),"")</f>
        <v/>
      </c>
    </row>
    <row r="19808" spans="2:4" ht="13">
      <c r="B19808" s="12" t="str">
        <f ca="1">IFERROR(__xludf.DUMMYFUNCTION("""COMPUTED_VALUE"""),"")</f>
        <v/>
      </c>
      <c r="C19808" s="12" t="str">
        <f ca="1">IFERROR(__xludf.DUMMYFUNCTION("""COMPUTED_VALUE"""),"")</f>
        <v/>
      </c>
      <c r="D19808" s="12" t="str">
        <f ca="1">IFERROR(__xludf.DUMMYFUNCTION("""COMPUTED_VALUE"""),"")</f>
        <v/>
      </c>
    </row>
    <row r="19809" spans="2:4" ht="13">
      <c r="B19809" s="12" t="str">
        <f ca="1">IFERROR(__xludf.DUMMYFUNCTION("""COMPUTED_VALUE"""),"")</f>
        <v/>
      </c>
      <c r="C19809" s="12" t="str">
        <f ca="1">IFERROR(__xludf.DUMMYFUNCTION("""COMPUTED_VALUE"""),"")</f>
        <v/>
      </c>
      <c r="D19809" s="12" t="str">
        <f ca="1">IFERROR(__xludf.DUMMYFUNCTION("""COMPUTED_VALUE"""),"")</f>
        <v/>
      </c>
    </row>
    <row r="19810" spans="2:4" ht="13">
      <c r="B19810" s="12" t="str">
        <f ca="1">IFERROR(__xludf.DUMMYFUNCTION("""COMPUTED_VALUE"""),"")</f>
        <v/>
      </c>
      <c r="C19810" s="12" t="str">
        <f ca="1">IFERROR(__xludf.DUMMYFUNCTION("""COMPUTED_VALUE"""),"")</f>
        <v/>
      </c>
      <c r="D19810" s="12" t="str">
        <f ca="1">IFERROR(__xludf.DUMMYFUNCTION("""COMPUTED_VALUE"""),"")</f>
        <v/>
      </c>
    </row>
    <row r="19811" spans="2:4" ht="13">
      <c r="B19811" s="12" t="str">
        <f ca="1">IFERROR(__xludf.DUMMYFUNCTION("""COMPUTED_VALUE"""),"")</f>
        <v/>
      </c>
      <c r="C19811" s="12" t="str">
        <f ca="1">IFERROR(__xludf.DUMMYFUNCTION("""COMPUTED_VALUE"""),"")</f>
        <v/>
      </c>
      <c r="D19811" s="12" t="str">
        <f ca="1">IFERROR(__xludf.DUMMYFUNCTION("""COMPUTED_VALUE"""),"")</f>
        <v/>
      </c>
    </row>
    <row r="19812" spans="2:4" ht="13">
      <c r="B19812" s="12" t="str">
        <f ca="1">IFERROR(__xludf.DUMMYFUNCTION("""COMPUTED_VALUE"""),"")</f>
        <v/>
      </c>
      <c r="C19812" s="12" t="str">
        <f ca="1">IFERROR(__xludf.DUMMYFUNCTION("""COMPUTED_VALUE"""),"")</f>
        <v/>
      </c>
      <c r="D19812" s="12" t="str">
        <f ca="1">IFERROR(__xludf.DUMMYFUNCTION("""COMPUTED_VALUE"""),"")</f>
        <v/>
      </c>
    </row>
    <row r="19813" spans="2:4" ht="13">
      <c r="B19813" s="12" t="str">
        <f ca="1">IFERROR(__xludf.DUMMYFUNCTION("""COMPUTED_VALUE"""),"")</f>
        <v/>
      </c>
      <c r="C19813" s="12" t="str">
        <f ca="1">IFERROR(__xludf.DUMMYFUNCTION("""COMPUTED_VALUE"""),"")</f>
        <v/>
      </c>
      <c r="D19813" s="12" t="str">
        <f ca="1">IFERROR(__xludf.DUMMYFUNCTION("""COMPUTED_VALUE"""),"")</f>
        <v/>
      </c>
    </row>
    <row r="19814" spans="2:4" ht="13">
      <c r="B19814" s="12" t="str">
        <f ca="1">IFERROR(__xludf.DUMMYFUNCTION("""COMPUTED_VALUE"""),"")</f>
        <v/>
      </c>
      <c r="C19814" s="12" t="str">
        <f ca="1">IFERROR(__xludf.DUMMYFUNCTION("""COMPUTED_VALUE"""),"")</f>
        <v/>
      </c>
      <c r="D19814" s="12" t="str">
        <f ca="1">IFERROR(__xludf.DUMMYFUNCTION("""COMPUTED_VALUE"""),"")</f>
        <v/>
      </c>
    </row>
    <row r="19815" spans="2:4" ht="13">
      <c r="B19815" s="12" t="str">
        <f ca="1">IFERROR(__xludf.DUMMYFUNCTION("""COMPUTED_VALUE"""),"")</f>
        <v/>
      </c>
      <c r="C19815" s="12" t="str">
        <f ca="1">IFERROR(__xludf.DUMMYFUNCTION("""COMPUTED_VALUE"""),"")</f>
        <v/>
      </c>
      <c r="D19815" s="12" t="str">
        <f ca="1">IFERROR(__xludf.DUMMYFUNCTION("""COMPUTED_VALUE"""),"")</f>
        <v/>
      </c>
    </row>
    <row r="19816" spans="2:4" ht="13">
      <c r="B19816" s="12" t="str">
        <f ca="1">IFERROR(__xludf.DUMMYFUNCTION("""COMPUTED_VALUE"""),"")</f>
        <v/>
      </c>
      <c r="C19816" s="12" t="str">
        <f ca="1">IFERROR(__xludf.DUMMYFUNCTION("""COMPUTED_VALUE"""),"")</f>
        <v/>
      </c>
      <c r="D19816" s="12" t="str">
        <f ca="1">IFERROR(__xludf.DUMMYFUNCTION("""COMPUTED_VALUE"""),"")</f>
        <v/>
      </c>
    </row>
    <row r="19817" spans="2:4" ht="13">
      <c r="B19817" s="12" t="str">
        <f ca="1">IFERROR(__xludf.DUMMYFUNCTION("""COMPUTED_VALUE"""),"")</f>
        <v/>
      </c>
      <c r="C19817" s="12" t="str">
        <f ca="1">IFERROR(__xludf.DUMMYFUNCTION("""COMPUTED_VALUE"""),"")</f>
        <v/>
      </c>
      <c r="D19817" s="12" t="str">
        <f ca="1">IFERROR(__xludf.DUMMYFUNCTION("""COMPUTED_VALUE"""),"")</f>
        <v/>
      </c>
    </row>
    <row r="19818" spans="2:4" ht="13">
      <c r="B19818" s="12" t="str">
        <f ca="1">IFERROR(__xludf.DUMMYFUNCTION("""COMPUTED_VALUE"""),"")</f>
        <v/>
      </c>
      <c r="C19818" s="12" t="str">
        <f ca="1">IFERROR(__xludf.DUMMYFUNCTION("""COMPUTED_VALUE"""),"")</f>
        <v/>
      </c>
      <c r="D19818" s="12" t="str">
        <f ca="1">IFERROR(__xludf.DUMMYFUNCTION("""COMPUTED_VALUE"""),"")</f>
        <v/>
      </c>
    </row>
    <row r="19819" spans="2:4" ht="13">
      <c r="B19819" s="12" t="str">
        <f ca="1">IFERROR(__xludf.DUMMYFUNCTION("""COMPUTED_VALUE"""),"")</f>
        <v/>
      </c>
      <c r="C19819" s="12" t="str">
        <f ca="1">IFERROR(__xludf.DUMMYFUNCTION("""COMPUTED_VALUE"""),"")</f>
        <v/>
      </c>
      <c r="D19819" s="12" t="str">
        <f ca="1">IFERROR(__xludf.DUMMYFUNCTION("""COMPUTED_VALUE"""),"")</f>
        <v/>
      </c>
    </row>
    <row r="19820" spans="2:4" ht="13">
      <c r="B19820" s="12" t="str">
        <f ca="1">IFERROR(__xludf.DUMMYFUNCTION("""COMPUTED_VALUE"""),"")</f>
        <v/>
      </c>
      <c r="C19820" s="12" t="str">
        <f ca="1">IFERROR(__xludf.DUMMYFUNCTION("""COMPUTED_VALUE"""),"")</f>
        <v/>
      </c>
      <c r="D19820" s="12" t="str">
        <f ca="1">IFERROR(__xludf.DUMMYFUNCTION("""COMPUTED_VALUE"""),"")</f>
        <v/>
      </c>
    </row>
    <row r="19821" spans="2:4" ht="13">
      <c r="B19821" s="12" t="str">
        <f ca="1">IFERROR(__xludf.DUMMYFUNCTION("""COMPUTED_VALUE"""),"")</f>
        <v/>
      </c>
      <c r="C19821" s="12" t="str">
        <f ca="1">IFERROR(__xludf.DUMMYFUNCTION("""COMPUTED_VALUE"""),"")</f>
        <v/>
      </c>
      <c r="D19821" s="12" t="str">
        <f ca="1">IFERROR(__xludf.DUMMYFUNCTION("""COMPUTED_VALUE"""),"")</f>
        <v/>
      </c>
    </row>
    <row r="19822" spans="2:4" ht="13">
      <c r="B19822" s="12" t="str">
        <f ca="1">IFERROR(__xludf.DUMMYFUNCTION("""COMPUTED_VALUE"""),"")</f>
        <v/>
      </c>
      <c r="C19822" s="12" t="str">
        <f ca="1">IFERROR(__xludf.DUMMYFUNCTION("""COMPUTED_VALUE"""),"")</f>
        <v/>
      </c>
      <c r="D19822" s="12" t="str">
        <f ca="1">IFERROR(__xludf.DUMMYFUNCTION("""COMPUTED_VALUE"""),"")</f>
        <v/>
      </c>
    </row>
    <row r="19823" spans="2:4" ht="13">
      <c r="B19823" s="12" t="str">
        <f ca="1">IFERROR(__xludf.DUMMYFUNCTION("""COMPUTED_VALUE"""),"")</f>
        <v/>
      </c>
      <c r="C19823" s="12" t="str">
        <f ca="1">IFERROR(__xludf.DUMMYFUNCTION("""COMPUTED_VALUE"""),"")</f>
        <v/>
      </c>
      <c r="D19823" s="12" t="str">
        <f ca="1">IFERROR(__xludf.DUMMYFUNCTION("""COMPUTED_VALUE"""),"")</f>
        <v/>
      </c>
    </row>
    <row r="19824" spans="2:4" ht="13">
      <c r="B19824" s="12" t="str">
        <f ca="1">IFERROR(__xludf.DUMMYFUNCTION("""COMPUTED_VALUE"""),"")</f>
        <v/>
      </c>
      <c r="C19824" s="12" t="str">
        <f ca="1">IFERROR(__xludf.DUMMYFUNCTION("""COMPUTED_VALUE"""),"")</f>
        <v/>
      </c>
      <c r="D19824" s="12" t="str">
        <f ca="1">IFERROR(__xludf.DUMMYFUNCTION("""COMPUTED_VALUE"""),"")</f>
        <v/>
      </c>
    </row>
    <row r="19825" spans="2:4" ht="13">
      <c r="B19825" s="12" t="str">
        <f ca="1">IFERROR(__xludf.DUMMYFUNCTION("""COMPUTED_VALUE"""),"")</f>
        <v/>
      </c>
      <c r="C19825" s="12" t="str">
        <f ca="1">IFERROR(__xludf.DUMMYFUNCTION("""COMPUTED_VALUE"""),"")</f>
        <v/>
      </c>
      <c r="D19825" s="12" t="str">
        <f ca="1">IFERROR(__xludf.DUMMYFUNCTION("""COMPUTED_VALUE"""),"")</f>
        <v/>
      </c>
    </row>
    <row r="19826" spans="2:4" ht="13">
      <c r="B19826" s="12" t="str">
        <f ca="1">IFERROR(__xludf.DUMMYFUNCTION("""COMPUTED_VALUE"""),"")</f>
        <v/>
      </c>
      <c r="C19826" s="12" t="str">
        <f ca="1">IFERROR(__xludf.DUMMYFUNCTION("""COMPUTED_VALUE"""),"")</f>
        <v/>
      </c>
      <c r="D19826" s="12" t="str">
        <f ca="1">IFERROR(__xludf.DUMMYFUNCTION("""COMPUTED_VALUE"""),"")</f>
        <v/>
      </c>
    </row>
    <row r="19827" spans="2:4" ht="13">
      <c r="B19827" s="12" t="str">
        <f ca="1">IFERROR(__xludf.DUMMYFUNCTION("""COMPUTED_VALUE"""),"")</f>
        <v/>
      </c>
      <c r="C19827" s="12" t="str">
        <f ca="1">IFERROR(__xludf.DUMMYFUNCTION("""COMPUTED_VALUE"""),"")</f>
        <v/>
      </c>
      <c r="D19827" s="12" t="str">
        <f ca="1">IFERROR(__xludf.DUMMYFUNCTION("""COMPUTED_VALUE"""),"")</f>
        <v/>
      </c>
    </row>
    <row r="19828" spans="2:4" ht="13">
      <c r="B19828" s="12" t="str">
        <f ca="1">IFERROR(__xludf.DUMMYFUNCTION("""COMPUTED_VALUE"""),"")</f>
        <v/>
      </c>
      <c r="C19828" s="12" t="str">
        <f ca="1">IFERROR(__xludf.DUMMYFUNCTION("""COMPUTED_VALUE"""),"")</f>
        <v/>
      </c>
      <c r="D19828" s="12" t="str">
        <f ca="1">IFERROR(__xludf.DUMMYFUNCTION("""COMPUTED_VALUE"""),"")</f>
        <v/>
      </c>
    </row>
    <row r="19829" spans="2:4" ht="13">
      <c r="B19829" s="12" t="str">
        <f ca="1">IFERROR(__xludf.DUMMYFUNCTION("""COMPUTED_VALUE"""),"")</f>
        <v/>
      </c>
      <c r="C19829" s="12" t="str">
        <f ca="1">IFERROR(__xludf.DUMMYFUNCTION("""COMPUTED_VALUE"""),"")</f>
        <v/>
      </c>
      <c r="D19829" s="12" t="str">
        <f ca="1">IFERROR(__xludf.DUMMYFUNCTION("""COMPUTED_VALUE"""),"")</f>
        <v/>
      </c>
    </row>
    <row r="19830" spans="2:4" ht="13">
      <c r="B19830" s="12" t="str">
        <f ca="1">IFERROR(__xludf.DUMMYFUNCTION("""COMPUTED_VALUE"""),"")</f>
        <v/>
      </c>
      <c r="C19830" s="12" t="str">
        <f ca="1">IFERROR(__xludf.DUMMYFUNCTION("""COMPUTED_VALUE"""),"")</f>
        <v/>
      </c>
      <c r="D19830" s="12" t="str">
        <f ca="1">IFERROR(__xludf.DUMMYFUNCTION("""COMPUTED_VALUE"""),"")</f>
        <v/>
      </c>
    </row>
    <row r="19831" spans="2:4" ht="13">
      <c r="B19831" s="12" t="str">
        <f ca="1">IFERROR(__xludf.DUMMYFUNCTION("""COMPUTED_VALUE"""),"")</f>
        <v/>
      </c>
      <c r="C19831" s="12" t="str">
        <f ca="1">IFERROR(__xludf.DUMMYFUNCTION("""COMPUTED_VALUE"""),"")</f>
        <v/>
      </c>
      <c r="D19831" s="12" t="str">
        <f ca="1">IFERROR(__xludf.DUMMYFUNCTION("""COMPUTED_VALUE"""),"")</f>
        <v/>
      </c>
    </row>
    <row r="19832" spans="2:4" ht="13">
      <c r="B19832" s="12" t="str">
        <f ca="1">IFERROR(__xludf.DUMMYFUNCTION("""COMPUTED_VALUE"""),"")</f>
        <v/>
      </c>
      <c r="C19832" s="12" t="str">
        <f ca="1">IFERROR(__xludf.DUMMYFUNCTION("""COMPUTED_VALUE"""),"")</f>
        <v/>
      </c>
      <c r="D19832" s="12" t="str">
        <f ca="1">IFERROR(__xludf.DUMMYFUNCTION("""COMPUTED_VALUE"""),"")</f>
        <v/>
      </c>
    </row>
    <row r="19833" spans="2:4" ht="13">
      <c r="B19833" s="12" t="str">
        <f ca="1">IFERROR(__xludf.DUMMYFUNCTION("""COMPUTED_VALUE"""),"")</f>
        <v/>
      </c>
      <c r="C19833" s="12" t="str">
        <f ca="1">IFERROR(__xludf.DUMMYFUNCTION("""COMPUTED_VALUE"""),"")</f>
        <v/>
      </c>
      <c r="D19833" s="12" t="str">
        <f ca="1">IFERROR(__xludf.DUMMYFUNCTION("""COMPUTED_VALUE"""),"")</f>
        <v/>
      </c>
    </row>
    <row r="19834" spans="2:4" ht="13">
      <c r="B19834" s="12" t="str">
        <f ca="1">IFERROR(__xludf.DUMMYFUNCTION("""COMPUTED_VALUE"""),"")</f>
        <v/>
      </c>
      <c r="C19834" s="12" t="str">
        <f ca="1">IFERROR(__xludf.DUMMYFUNCTION("""COMPUTED_VALUE"""),"")</f>
        <v/>
      </c>
      <c r="D19834" s="12" t="str">
        <f ca="1">IFERROR(__xludf.DUMMYFUNCTION("""COMPUTED_VALUE"""),"")</f>
        <v/>
      </c>
    </row>
    <row r="19835" spans="2:4" ht="13">
      <c r="B19835" s="12" t="str">
        <f ca="1">IFERROR(__xludf.DUMMYFUNCTION("""COMPUTED_VALUE"""),"")</f>
        <v/>
      </c>
      <c r="C19835" s="12" t="str">
        <f ca="1">IFERROR(__xludf.DUMMYFUNCTION("""COMPUTED_VALUE"""),"")</f>
        <v/>
      </c>
      <c r="D19835" s="12" t="str">
        <f ca="1">IFERROR(__xludf.DUMMYFUNCTION("""COMPUTED_VALUE"""),"")</f>
        <v/>
      </c>
    </row>
    <row r="19836" spans="2:4" ht="13">
      <c r="B19836" s="12" t="str">
        <f ca="1">IFERROR(__xludf.DUMMYFUNCTION("""COMPUTED_VALUE"""),"")</f>
        <v/>
      </c>
      <c r="C19836" s="12" t="str">
        <f ca="1">IFERROR(__xludf.DUMMYFUNCTION("""COMPUTED_VALUE"""),"")</f>
        <v/>
      </c>
      <c r="D19836" s="12" t="str">
        <f ca="1">IFERROR(__xludf.DUMMYFUNCTION("""COMPUTED_VALUE"""),"")</f>
        <v/>
      </c>
    </row>
    <row r="19837" spans="2:4" ht="13">
      <c r="B19837" s="12" t="str">
        <f ca="1">IFERROR(__xludf.DUMMYFUNCTION("""COMPUTED_VALUE"""),"")</f>
        <v/>
      </c>
      <c r="C19837" s="12" t="str">
        <f ca="1">IFERROR(__xludf.DUMMYFUNCTION("""COMPUTED_VALUE"""),"")</f>
        <v/>
      </c>
      <c r="D19837" s="12" t="str">
        <f ca="1">IFERROR(__xludf.DUMMYFUNCTION("""COMPUTED_VALUE"""),"")</f>
        <v/>
      </c>
    </row>
    <row r="19838" spans="2:4" ht="13">
      <c r="B19838" s="12" t="str">
        <f ca="1">IFERROR(__xludf.DUMMYFUNCTION("""COMPUTED_VALUE"""),"")</f>
        <v/>
      </c>
      <c r="C19838" s="12" t="str">
        <f ca="1">IFERROR(__xludf.DUMMYFUNCTION("""COMPUTED_VALUE"""),"")</f>
        <v/>
      </c>
      <c r="D19838" s="12" t="str">
        <f ca="1">IFERROR(__xludf.DUMMYFUNCTION("""COMPUTED_VALUE"""),"")</f>
        <v/>
      </c>
    </row>
    <row r="19839" spans="2:4" ht="13">
      <c r="B19839" s="12" t="str">
        <f ca="1">IFERROR(__xludf.DUMMYFUNCTION("""COMPUTED_VALUE"""),"")</f>
        <v/>
      </c>
      <c r="C19839" s="12" t="str">
        <f ca="1">IFERROR(__xludf.DUMMYFUNCTION("""COMPUTED_VALUE"""),"")</f>
        <v/>
      </c>
      <c r="D19839" s="12" t="str">
        <f ca="1">IFERROR(__xludf.DUMMYFUNCTION("""COMPUTED_VALUE"""),"")</f>
        <v/>
      </c>
    </row>
    <row r="19840" spans="2:4" ht="13">
      <c r="B19840" s="12" t="str">
        <f ca="1">IFERROR(__xludf.DUMMYFUNCTION("""COMPUTED_VALUE"""),"")</f>
        <v/>
      </c>
      <c r="C19840" s="12" t="str">
        <f ca="1">IFERROR(__xludf.DUMMYFUNCTION("""COMPUTED_VALUE"""),"")</f>
        <v/>
      </c>
      <c r="D19840" s="12" t="str">
        <f ca="1">IFERROR(__xludf.DUMMYFUNCTION("""COMPUTED_VALUE"""),"")</f>
        <v/>
      </c>
    </row>
    <row r="19841" spans="2:4" ht="13">
      <c r="B19841" s="12" t="str">
        <f ca="1">IFERROR(__xludf.DUMMYFUNCTION("""COMPUTED_VALUE"""),"")</f>
        <v/>
      </c>
      <c r="C19841" s="12" t="str">
        <f ca="1">IFERROR(__xludf.DUMMYFUNCTION("""COMPUTED_VALUE"""),"")</f>
        <v/>
      </c>
      <c r="D19841" s="12" t="str">
        <f ca="1">IFERROR(__xludf.DUMMYFUNCTION("""COMPUTED_VALUE"""),"")</f>
        <v/>
      </c>
    </row>
    <row r="19842" spans="2:4" ht="13">
      <c r="B19842" s="12" t="str">
        <f ca="1">IFERROR(__xludf.DUMMYFUNCTION("""COMPUTED_VALUE"""),"")</f>
        <v/>
      </c>
      <c r="C19842" s="12" t="str">
        <f ca="1">IFERROR(__xludf.DUMMYFUNCTION("""COMPUTED_VALUE"""),"")</f>
        <v/>
      </c>
      <c r="D19842" s="12" t="str">
        <f ca="1">IFERROR(__xludf.DUMMYFUNCTION("""COMPUTED_VALUE"""),"")</f>
        <v/>
      </c>
    </row>
    <row r="19843" spans="2:4" ht="13">
      <c r="B19843" s="12" t="str">
        <f ca="1">IFERROR(__xludf.DUMMYFUNCTION("""COMPUTED_VALUE"""),"")</f>
        <v/>
      </c>
      <c r="C19843" s="12" t="str">
        <f ca="1">IFERROR(__xludf.DUMMYFUNCTION("""COMPUTED_VALUE"""),"")</f>
        <v/>
      </c>
      <c r="D19843" s="12" t="str">
        <f ca="1">IFERROR(__xludf.DUMMYFUNCTION("""COMPUTED_VALUE"""),"")</f>
        <v/>
      </c>
    </row>
    <row r="19844" spans="2:4" ht="13">
      <c r="B19844" s="12" t="str">
        <f ca="1">IFERROR(__xludf.DUMMYFUNCTION("""COMPUTED_VALUE"""),"")</f>
        <v/>
      </c>
      <c r="C19844" s="12" t="str">
        <f ca="1">IFERROR(__xludf.DUMMYFUNCTION("""COMPUTED_VALUE"""),"")</f>
        <v/>
      </c>
      <c r="D19844" s="12" t="str">
        <f ca="1">IFERROR(__xludf.DUMMYFUNCTION("""COMPUTED_VALUE"""),"")</f>
        <v/>
      </c>
    </row>
    <row r="19845" spans="2:4" ht="13">
      <c r="B19845" s="12" t="str">
        <f ca="1">IFERROR(__xludf.DUMMYFUNCTION("""COMPUTED_VALUE"""),"")</f>
        <v/>
      </c>
      <c r="C19845" s="12" t="str">
        <f ca="1">IFERROR(__xludf.DUMMYFUNCTION("""COMPUTED_VALUE"""),"")</f>
        <v/>
      </c>
      <c r="D19845" s="12" t="str">
        <f ca="1">IFERROR(__xludf.DUMMYFUNCTION("""COMPUTED_VALUE"""),"")</f>
        <v/>
      </c>
    </row>
    <row r="19846" spans="2:4" ht="13">
      <c r="B19846" s="12" t="str">
        <f ca="1">IFERROR(__xludf.DUMMYFUNCTION("""COMPUTED_VALUE"""),"")</f>
        <v/>
      </c>
      <c r="C19846" s="12" t="str">
        <f ca="1">IFERROR(__xludf.DUMMYFUNCTION("""COMPUTED_VALUE"""),"")</f>
        <v/>
      </c>
      <c r="D19846" s="12" t="str">
        <f ca="1">IFERROR(__xludf.DUMMYFUNCTION("""COMPUTED_VALUE"""),"")</f>
        <v/>
      </c>
    </row>
    <row r="19847" spans="2:4" ht="13">
      <c r="B19847" s="12" t="str">
        <f ca="1">IFERROR(__xludf.DUMMYFUNCTION("""COMPUTED_VALUE"""),"")</f>
        <v/>
      </c>
      <c r="C19847" s="12" t="str">
        <f ca="1">IFERROR(__xludf.DUMMYFUNCTION("""COMPUTED_VALUE"""),"")</f>
        <v/>
      </c>
      <c r="D19847" s="12" t="str">
        <f ca="1">IFERROR(__xludf.DUMMYFUNCTION("""COMPUTED_VALUE"""),"")</f>
        <v/>
      </c>
    </row>
    <row r="19848" spans="2:4" ht="13">
      <c r="B19848" s="12" t="str">
        <f ca="1">IFERROR(__xludf.DUMMYFUNCTION("""COMPUTED_VALUE"""),"")</f>
        <v/>
      </c>
      <c r="C19848" s="12" t="str">
        <f ca="1">IFERROR(__xludf.DUMMYFUNCTION("""COMPUTED_VALUE"""),"")</f>
        <v/>
      </c>
      <c r="D19848" s="12" t="str">
        <f ca="1">IFERROR(__xludf.DUMMYFUNCTION("""COMPUTED_VALUE"""),"")</f>
        <v/>
      </c>
    </row>
    <row r="19849" spans="2:4" ht="13">
      <c r="B19849" s="12" t="str">
        <f ca="1">IFERROR(__xludf.DUMMYFUNCTION("""COMPUTED_VALUE"""),"")</f>
        <v/>
      </c>
      <c r="C19849" s="12" t="str">
        <f ca="1">IFERROR(__xludf.DUMMYFUNCTION("""COMPUTED_VALUE"""),"")</f>
        <v/>
      </c>
      <c r="D19849" s="12" t="str">
        <f ca="1">IFERROR(__xludf.DUMMYFUNCTION("""COMPUTED_VALUE"""),"")</f>
        <v/>
      </c>
    </row>
    <row r="19850" spans="2:4" ht="13">
      <c r="B19850" s="12" t="str">
        <f ca="1">IFERROR(__xludf.DUMMYFUNCTION("""COMPUTED_VALUE"""),"")</f>
        <v/>
      </c>
      <c r="C19850" s="12" t="str">
        <f ca="1">IFERROR(__xludf.DUMMYFUNCTION("""COMPUTED_VALUE"""),"")</f>
        <v/>
      </c>
      <c r="D19850" s="12" t="str">
        <f ca="1">IFERROR(__xludf.DUMMYFUNCTION("""COMPUTED_VALUE"""),"")</f>
        <v/>
      </c>
    </row>
    <row r="19851" spans="2:4" ht="13">
      <c r="B19851" s="12" t="str">
        <f ca="1">IFERROR(__xludf.DUMMYFUNCTION("""COMPUTED_VALUE"""),"")</f>
        <v/>
      </c>
      <c r="C19851" s="12" t="str">
        <f ca="1">IFERROR(__xludf.DUMMYFUNCTION("""COMPUTED_VALUE"""),"")</f>
        <v/>
      </c>
      <c r="D19851" s="12" t="str">
        <f ca="1">IFERROR(__xludf.DUMMYFUNCTION("""COMPUTED_VALUE"""),"")</f>
        <v/>
      </c>
    </row>
    <row r="19852" spans="2:4" ht="13">
      <c r="B19852" s="12" t="str">
        <f ca="1">IFERROR(__xludf.DUMMYFUNCTION("""COMPUTED_VALUE"""),"")</f>
        <v/>
      </c>
      <c r="C19852" s="12" t="str">
        <f ca="1">IFERROR(__xludf.DUMMYFUNCTION("""COMPUTED_VALUE"""),"")</f>
        <v/>
      </c>
      <c r="D19852" s="12" t="str">
        <f ca="1">IFERROR(__xludf.DUMMYFUNCTION("""COMPUTED_VALUE"""),"")</f>
        <v/>
      </c>
    </row>
    <row r="19853" spans="2:4" ht="13">
      <c r="B19853" s="12" t="str">
        <f ca="1">IFERROR(__xludf.DUMMYFUNCTION("""COMPUTED_VALUE"""),"")</f>
        <v/>
      </c>
      <c r="C19853" s="12" t="str">
        <f ca="1">IFERROR(__xludf.DUMMYFUNCTION("""COMPUTED_VALUE"""),"")</f>
        <v/>
      </c>
      <c r="D19853" s="12" t="str">
        <f ca="1">IFERROR(__xludf.DUMMYFUNCTION("""COMPUTED_VALUE"""),"")</f>
        <v/>
      </c>
    </row>
    <row r="19854" spans="2:4" ht="13">
      <c r="B19854" s="12" t="str">
        <f ca="1">IFERROR(__xludf.DUMMYFUNCTION("""COMPUTED_VALUE"""),"")</f>
        <v/>
      </c>
      <c r="C19854" s="12" t="str">
        <f ca="1">IFERROR(__xludf.DUMMYFUNCTION("""COMPUTED_VALUE"""),"")</f>
        <v/>
      </c>
      <c r="D19854" s="12" t="str">
        <f ca="1">IFERROR(__xludf.DUMMYFUNCTION("""COMPUTED_VALUE"""),"")</f>
        <v/>
      </c>
    </row>
    <row r="19855" spans="2:4" ht="13">
      <c r="B19855" s="12" t="str">
        <f ca="1">IFERROR(__xludf.DUMMYFUNCTION("""COMPUTED_VALUE"""),"")</f>
        <v/>
      </c>
      <c r="C19855" s="12" t="str">
        <f ca="1">IFERROR(__xludf.DUMMYFUNCTION("""COMPUTED_VALUE"""),"")</f>
        <v/>
      </c>
      <c r="D19855" s="12" t="str">
        <f ca="1">IFERROR(__xludf.DUMMYFUNCTION("""COMPUTED_VALUE"""),"")</f>
        <v/>
      </c>
    </row>
    <row r="19856" spans="2:4" ht="13">
      <c r="B19856" s="12" t="str">
        <f ca="1">IFERROR(__xludf.DUMMYFUNCTION("""COMPUTED_VALUE"""),"")</f>
        <v/>
      </c>
      <c r="C19856" s="12" t="str">
        <f ca="1">IFERROR(__xludf.DUMMYFUNCTION("""COMPUTED_VALUE"""),"")</f>
        <v/>
      </c>
      <c r="D19856" s="12" t="str">
        <f ca="1">IFERROR(__xludf.DUMMYFUNCTION("""COMPUTED_VALUE"""),"")</f>
        <v/>
      </c>
    </row>
    <row r="19857" spans="2:4" ht="13">
      <c r="B19857" s="12" t="str">
        <f ca="1">IFERROR(__xludf.DUMMYFUNCTION("""COMPUTED_VALUE"""),"")</f>
        <v/>
      </c>
      <c r="C19857" s="12" t="str">
        <f ca="1">IFERROR(__xludf.DUMMYFUNCTION("""COMPUTED_VALUE"""),"")</f>
        <v/>
      </c>
      <c r="D19857" s="12" t="str">
        <f ca="1">IFERROR(__xludf.DUMMYFUNCTION("""COMPUTED_VALUE"""),"")</f>
        <v/>
      </c>
    </row>
    <row r="19858" spans="2:4" ht="13">
      <c r="B19858" s="12" t="str">
        <f ca="1">IFERROR(__xludf.DUMMYFUNCTION("""COMPUTED_VALUE"""),"")</f>
        <v/>
      </c>
      <c r="C19858" s="12" t="str">
        <f ca="1">IFERROR(__xludf.DUMMYFUNCTION("""COMPUTED_VALUE"""),"")</f>
        <v/>
      </c>
      <c r="D19858" s="12" t="str">
        <f ca="1">IFERROR(__xludf.DUMMYFUNCTION("""COMPUTED_VALUE"""),"")</f>
        <v/>
      </c>
    </row>
    <row r="19859" spans="2:4" ht="13">
      <c r="B19859" s="12" t="str">
        <f ca="1">IFERROR(__xludf.DUMMYFUNCTION("""COMPUTED_VALUE"""),"")</f>
        <v/>
      </c>
      <c r="C19859" s="12" t="str">
        <f ca="1">IFERROR(__xludf.DUMMYFUNCTION("""COMPUTED_VALUE"""),"")</f>
        <v/>
      </c>
      <c r="D19859" s="12" t="str">
        <f ca="1">IFERROR(__xludf.DUMMYFUNCTION("""COMPUTED_VALUE"""),"")</f>
        <v/>
      </c>
    </row>
    <row r="19860" spans="2:4" ht="13">
      <c r="B19860" s="12" t="str">
        <f ca="1">IFERROR(__xludf.DUMMYFUNCTION("""COMPUTED_VALUE"""),"")</f>
        <v/>
      </c>
      <c r="C19860" s="12" t="str">
        <f ca="1">IFERROR(__xludf.DUMMYFUNCTION("""COMPUTED_VALUE"""),"")</f>
        <v/>
      </c>
      <c r="D19860" s="12" t="str">
        <f ca="1">IFERROR(__xludf.DUMMYFUNCTION("""COMPUTED_VALUE"""),"")</f>
        <v/>
      </c>
    </row>
    <row r="19861" spans="2:4" ht="13">
      <c r="B19861" s="12" t="str">
        <f ca="1">IFERROR(__xludf.DUMMYFUNCTION("""COMPUTED_VALUE"""),"")</f>
        <v/>
      </c>
      <c r="C19861" s="12" t="str">
        <f ca="1">IFERROR(__xludf.DUMMYFUNCTION("""COMPUTED_VALUE"""),"")</f>
        <v/>
      </c>
      <c r="D19861" s="12" t="str">
        <f ca="1">IFERROR(__xludf.DUMMYFUNCTION("""COMPUTED_VALUE"""),"")</f>
        <v/>
      </c>
    </row>
    <row r="19862" spans="2:4" ht="13">
      <c r="B19862" s="12" t="str">
        <f ca="1">IFERROR(__xludf.DUMMYFUNCTION("""COMPUTED_VALUE"""),"")</f>
        <v/>
      </c>
      <c r="C19862" s="12" t="str">
        <f ca="1">IFERROR(__xludf.DUMMYFUNCTION("""COMPUTED_VALUE"""),"")</f>
        <v/>
      </c>
      <c r="D19862" s="12" t="str">
        <f ca="1">IFERROR(__xludf.DUMMYFUNCTION("""COMPUTED_VALUE"""),"")</f>
        <v/>
      </c>
    </row>
    <row r="19863" spans="2:4" ht="13">
      <c r="B19863" s="12" t="str">
        <f ca="1">IFERROR(__xludf.DUMMYFUNCTION("""COMPUTED_VALUE"""),"")</f>
        <v/>
      </c>
      <c r="C19863" s="12" t="str">
        <f ca="1">IFERROR(__xludf.DUMMYFUNCTION("""COMPUTED_VALUE"""),"")</f>
        <v/>
      </c>
      <c r="D19863" s="12" t="str">
        <f ca="1">IFERROR(__xludf.DUMMYFUNCTION("""COMPUTED_VALUE"""),"")</f>
        <v/>
      </c>
    </row>
    <row r="19864" spans="2:4" ht="13">
      <c r="B19864" s="12" t="str">
        <f ca="1">IFERROR(__xludf.DUMMYFUNCTION("""COMPUTED_VALUE"""),"")</f>
        <v/>
      </c>
      <c r="C19864" s="12" t="str">
        <f ca="1">IFERROR(__xludf.DUMMYFUNCTION("""COMPUTED_VALUE"""),"")</f>
        <v/>
      </c>
      <c r="D19864" s="12" t="str">
        <f ca="1">IFERROR(__xludf.DUMMYFUNCTION("""COMPUTED_VALUE"""),"")</f>
        <v/>
      </c>
    </row>
    <row r="19865" spans="2:4" ht="13">
      <c r="B19865" s="12" t="str">
        <f ca="1">IFERROR(__xludf.DUMMYFUNCTION("""COMPUTED_VALUE"""),"")</f>
        <v/>
      </c>
      <c r="C19865" s="12" t="str">
        <f ca="1">IFERROR(__xludf.DUMMYFUNCTION("""COMPUTED_VALUE"""),"")</f>
        <v/>
      </c>
      <c r="D19865" s="12" t="str">
        <f ca="1">IFERROR(__xludf.DUMMYFUNCTION("""COMPUTED_VALUE"""),"")</f>
        <v/>
      </c>
    </row>
    <row r="19866" spans="2:4" ht="13">
      <c r="B19866" s="12" t="str">
        <f ca="1">IFERROR(__xludf.DUMMYFUNCTION("""COMPUTED_VALUE"""),"")</f>
        <v/>
      </c>
      <c r="C19866" s="12" t="str">
        <f ca="1">IFERROR(__xludf.DUMMYFUNCTION("""COMPUTED_VALUE"""),"")</f>
        <v/>
      </c>
      <c r="D19866" s="12" t="str">
        <f ca="1">IFERROR(__xludf.DUMMYFUNCTION("""COMPUTED_VALUE"""),"")</f>
        <v/>
      </c>
    </row>
    <row r="19867" spans="2:4" ht="13">
      <c r="B19867" s="12" t="str">
        <f ca="1">IFERROR(__xludf.DUMMYFUNCTION("""COMPUTED_VALUE"""),"")</f>
        <v/>
      </c>
      <c r="C19867" s="12" t="str">
        <f ca="1">IFERROR(__xludf.DUMMYFUNCTION("""COMPUTED_VALUE"""),"")</f>
        <v/>
      </c>
      <c r="D19867" s="12" t="str">
        <f ca="1">IFERROR(__xludf.DUMMYFUNCTION("""COMPUTED_VALUE"""),"")</f>
        <v/>
      </c>
    </row>
    <row r="19868" spans="2:4" ht="13">
      <c r="B19868" s="12" t="str">
        <f ca="1">IFERROR(__xludf.DUMMYFUNCTION("""COMPUTED_VALUE"""),"")</f>
        <v/>
      </c>
      <c r="C19868" s="12" t="str">
        <f ca="1">IFERROR(__xludf.DUMMYFUNCTION("""COMPUTED_VALUE"""),"")</f>
        <v/>
      </c>
      <c r="D19868" s="12" t="str">
        <f ca="1">IFERROR(__xludf.DUMMYFUNCTION("""COMPUTED_VALUE"""),"")</f>
        <v/>
      </c>
    </row>
    <row r="19869" spans="2:4" ht="13">
      <c r="B19869" s="12" t="str">
        <f ca="1">IFERROR(__xludf.DUMMYFUNCTION("""COMPUTED_VALUE"""),"")</f>
        <v/>
      </c>
      <c r="C19869" s="12" t="str">
        <f ca="1">IFERROR(__xludf.DUMMYFUNCTION("""COMPUTED_VALUE"""),"")</f>
        <v/>
      </c>
      <c r="D19869" s="12" t="str">
        <f ca="1">IFERROR(__xludf.DUMMYFUNCTION("""COMPUTED_VALUE"""),"")</f>
        <v/>
      </c>
    </row>
    <row r="19870" spans="2:4" ht="13">
      <c r="B19870" s="12" t="str">
        <f ca="1">IFERROR(__xludf.DUMMYFUNCTION("""COMPUTED_VALUE"""),"")</f>
        <v/>
      </c>
      <c r="C19870" s="12" t="str">
        <f ca="1">IFERROR(__xludf.DUMMYFUNCTION("""COMPUTED_VALUE"""),"")</f>
        <v/>
      </c>
      <c r="D19870" s="12" t="str">
        <f ca="1">IFERROR(__xludf.DUMMYFUNCTION("""COMPUTED_VALUE"""),"")</f>
        <v/>
      </c>
    </row>
    <row r="19871" spans="2:4" ht="13">
      <c r="B19871" s="12" t="str">
        <f ca="1">IFERROR(__xludf.DUMMYFUNCTION("""COMPUTED_VALUE"""),"")</f>
        <v/>
      </c>
      <c r="C19871" s="12" t="str">
        <f ca="1">IFERROR(__xludf.DUMMYFUNCTION("""COMPUTED_VALUE"""),"")</f>
        <v/>
      </c>
      <c r="D19871" s="12" t="str">
        <f ca="1">IFERROR(__xludf.DUMMYFUNCTION("""COMPUTED_VALUE"""),"")</f>
        <v/>
      </c>
    </row>
    <row r="19872" spans="2:4" ht="13">
      <c r="B19872" s="12" t="str">
        <f ca="1">IFERROR(__xludf.DUMMYFUNCTION("""COMPUTED_VALUE"""),"")</f>
        <v/>
      </c>
      <c r="C19872" s="12" t="str">
        <f ca="1">IFERROR(__xludf.DUMMYFUNCTION("""COMPUTED_VALUE"""),"")</f>
        <v/>
      </c>
      <c r="D19872" s="12" t="str">
        <f ca="1">IFERROR(__xludf.DUMMYFUNCTION("""COMPUTED_VALUE"""),"")</f>
        <v/>
      </c>
    </row>
    <row r="19873" spans="2:4" ht="13">
      <c r="B19873" s="12" t="str">
        <f ca="1">IFERROR(__xludf.DUMMYFUNCTION("""COMPUTED_VALUE"""),"")</f>
        <v/>
      </c>
      <c r="C19873" s="12" t="str">
        <f ca="1">IFERROR(__xludf.DUMMYFUNCTION("""COMPUTED_VALUE"""),"")</f>
        <v/>
      </c>
      <c r="D19873" s="12" t="str">
        <f ca="1">IFERROR(__xludf.DUMMYFUNCTION("""COMPUTED_VALUE"""),"")</f>
        <v/>
      </c>
    </row>
    <row r="19874" spans="2:4" ht="13">
      <c r="B19874" s="12" t="str">
        <f ca="1">IFERROR(__xludf.DUMMYFUNCTION("""COMPUTED_VALUE"""),"")</f>
        <v/>
      </c>
      <c r="C19874" s="12" t="str">
        <f ca="1">IFERROR(__xludf.DUMMYFUNCTION("""COMPUTED_VALUE"""),"")</f>
        <v/>
      </c>
      <c r="D19874" s="12" t="str">
        <f ca="1">IFERROR(__xludf.DUMMYFUNCTION("""COMPUTED_VALUE"""),"")</f>
        <v/>
      </c>
    </row>
    <row r="19875" spans="2:4" ht="13">
      <c r="B19875" s="12" t="str">
        <f ca="1">IFERROR(__xludf.DUMMYFUNCTION("""COMPUTED_VALUE"""),"")</f>
        <v/>
      </c>
      <c r="C19875" s="12" t="str">
        <f ca="1">IFERROR(__xludf.DUMMYFUNCTION("""COMPUTED_VALUE"""),"")</f>
        <v/>
      </c>
      <c r="D19875" s="12" t="str">
        <f ca="1">IFERROR(__xludf.DUMMYFUNCTION("""COMPUTED_VALUE"""),"")</f>
        <v/>
      </c>
    </row>
    <row r="19876" spans="2:4" ht="13">
      <c r="B19876" s="12" t="str">
        <f ca="1">IFERROR(__xludf.DUMMYFUNCTION("""COMPUTED_VALUE"""),"")</f>
        <v/>
      </c>
      <c r="C19876" s="12" t="str">
        <f ca="1">IFERROR(__xludf.DUMMYFUNCTION("""COMPUTED_VALUE"""),"")</f>
        <v/>
      </c>
      <c r="D19876" s="12" t="str">
        <f ca="1">IFERROR(__xludf.DUMMYFUNCTION("""COMPUTED_VALUE"""),"")</f>
        <v/>
      </c>
    </row>
    <row r="19877" spans="2:4" ht="13">
      <c r="B19877" s="12" t="str">
        <f ca="1">IFERROR(__xludf.DUMMYFUNCTION("""COMPUTED_VALUE"""),"")</f>
        <v/>
      </c>
      <c r="C19877" s="12" t="str">
        <f ca="1">IFERROR(__xludf.DUMMYFUNCTION("""COMPUTED_VALUE"""),"")</f>
        <v/>
      </c>
      <c r="D19877" s="12" t="str">
        <f ca="1">IFERROR(__xludf.DUMMYFUNCTION("""COMPUTED_VALUE"""),"")</f>
        <v/>
      </c>
    </row>
    <row r="19878" spans="2:4" ht="13">
      <c r="B19878" s="12" t="str">
        <f ca="1">IFERROR(__xludf.DUMMYFUNCTION("""COMPUTED_VALUE"""),"")</f>
        <v/>
      </c>
      <c r="C19878" s="12" t="str">
        <f ca="1">IFERROR(__xludf.DUMMYFUNCTION("""COMPUTED_VALUE"""),"")</f>
        <v/>
      </c>
      <c r="D19878" s="12" t="str">
        <f ca="1">IFERROR(__xludf.DUMMYFUNCTION("""COMPUTED_VALUE"""),"")</f>
        <v/>
      </c>
    </row>
    <row r="19879" spans="2:4" ht="13">
      <c r="B19879" s="12" t="str">
        <f ca="1">IFERROR(__xludf.DUMMYFUNCTION("""COMPUTED_VALUE"""),"")</f>
        <v/>
      </c>
      <c r="C19879" s="12" t="str">
        <f ca="1">IFERROR(__xludf.DUMMYFUNCTION("""COMPUTED_VALUE"""),"")</f>
        <v/>
      </c>
      <c r="D19879" s="12" t="str">
        <f ca="1">IFERROR(__xludf.DUMMYFUNCTION("""COMPUTED_VALUE"""),"")</f>
        <v/>
      </c>
    </row>
    <row r="19880" spans="2:4" ht="13">
      <c r="B19880" s="12" t="str">
        <f ca="1">IFERROR(__xludf.DUMMYFUNCTION("""COMPUTED_VALUE"""),"")</f>
        <v/>
      </c>
      <c r="C19880" s="12" t="str">
        <f ca="1">IFERROR(__xludf.DUMMYFUNCTION("""COMPUTED_VALUE"""),"")</f>
        <v/>
      </c>
      <c r="D19880" s="12" t="str">
        <f ca="1">IFERROR(__xludf.DUMMYFUNCTION("""COMPUTED_VALUE"""),"")</f>
        <v/>
      </c>
    </row>
    <row r="19881" spans="2:4" ht="13">
      <c r="B19881" s="12" t="str">
        <f ca="1">IFERROR(__xludf.DUMMYFUNCTION("""COMPUTED_VALUE"""),"")</f>
        <v/>
      </c>
      <c r="C19881" s="12" t="str">
        <f ca="1">IFERROR(__xludf.DUMMYFUNCTION("""COMPUTED_VALUE"""),"")</f>
        <v/>
      </c>
      <c r="D19881" s="12" t="str">
        <f ca="1">IFERROR(__xludf.DUMMYFUNCTION("""COMPUTED_VALUE"""),"")</f>
        <v/>
      </c>
    </row>
    <row r="19882" spans="2:4" ht="13">
      <c r="B19882" s="12" t="str">
        <f ca="1">IFERROR(__xludf.DUMMYFUNCTION("""COMPUTED_VALUE"""),"")</f>
        <v/>
      </c>
      <c r="C19882" s="12" t="str">
        <f ca="1">IFERROR(__xludf.DUMMYFUNCTION("""COMPUTED_VALUE"""),"")</f>
        <v/>
      </c>
      <c r="D19882" s="12" t="str">
        <f ca="1">IFERROR(__xludf.DUMMYFUNCTION("""COMPUTED_VALUE"""),"")</f>
        <v/>
      </c>
    </row>
    <row r="19883" spans="2:4" ht="13">
      <c r="B19883" s="12" t="str">
        <f ca="1">IFERROR(__xludf.DUMMYFUNCTION("""COMPUTED_VALUE"""),"")</f>
        <v/>
      </c>
      <c r="C19883" s="12" t="str">
        <f ca="1">IFERROR(__xludf.DUMMYFUNCTION("""COMPUTED_VALUE"""),"")</f>
        <v/>
      </c>
      <c r="D19883" s="12" t="str">
        <f ca="1">IFERROR(__xludf.DUMMYFUNCTION("""COMPUTED_VALUE"""),"")</f>
        <v/>
      </c>
    </row>
    <row r="19884" spans="2:4" ht="13">
      <c r="B19884" s="12" t="str">
        <f ca="1">IFERROR(__xludf.DUMMYFUNCTION("""COMPUTED_VALUE"""),"")</f>
        <v/>
      </c>
      <c r="C19884" s="12" t="str">
        <f ca="1">IFERROR(__xludf.DUMMYFUNCTION("""COMPUTED_VALUE"""),"")</f>
        <v/>
      </c>
      <c r="D19884" s="12" t="str">
        <f ca="1">IFERROR(__xludf.DUMMYFUNCTION("""COMPUTED_VALUE"""),"")</f>
        <v/>
      </c>
    </row>
    <row r="19885" spans="2:4" ht="13">
      <c r="B19885" s="12" t="str">
        <f ca="1">IFERROR(__xludf.DUMMYFUNCTION("""COMPUTED_VALUE"""),"")</f>
        <v/>
      </c>
      <c r="C19885" s="12" t="str">
        <f ca="1">IFERROR(__xludf.DUMMYFUNCTION("""COMPUTED_VALUE"""),"")</f>
        <v/>
      </c>
      <c r="D19885" s="12" t="str">
        <f ca="1">IFERROR(__xludf.DUMMYFUNCTION("""COMPUTED_VALUE"""),"")</f>
        <v/>
      </c>
    </row>
    <row r="19886" spans="2:4" ht="13">
      <c r="B19886" s="12" t="str">
        <f ca="1">IFERROR(__xludf.DUMMYFUNCTION("""COMPUTED_VALUE"""),"")</f>
        <v/>
      </c>
      <c r="C19886" s="12" t="str">
        <f ca="1">IFERROR(__xludf.DUMMYFUNCTION("""COMPUTED_VALUE"""),"")</f>
        <v/>
      </c>
      <c r="D19886" s="12" t="str">
        <f ca="1">IFERROR(__xludf.DUMMYFUNCTION("""COMPUTED_VALUE"""),"")</f>
        <v/>
      </c>
    </row>
    <row r="19887" spans="2:4" ht="13">
      <c r="B19887" s="12" t="str">
        <f ca="1">IFERROR(__xludf.DUMMYFUNCTION("""COMPUTED_VALUE"""),"")</f>
        <v/>
      </c>
      <c r="C19887" s="12" t="str">
        <f ca="1">IFERROR(__xludf.DUMMYFUNCTION("""COMPUTED_VALUE"""),"")</f>
        <v/>
      </c>
      <c r="D19887" s="12" t="str">
        <f ca="1">IFERROR(__xludf.DUMMYFUNCTION("""COMPUTED_VALUE"""),"")</f>
        <v/>
      </c>
    </row>
    <row r="19888" spans="2:4" ht="13">
      <c r="B19888" s="12" t="str">
        <f ca="1">IFERROR(__xludf.DUMMYFUNCTION("""COMPUTED_VALUE"""),"")</f>
        <v/>
      </c>
      <c r="C19888" s="12" t="str">
        <f ca="1">IFERROR(__xludf.DUMMYFUNCTION("""COMPUTED_VALUE"""),"")</f>
        <v/>
      </c>
      <c r="D19888" s="12" t="str">
        <f ca="1">IFERROR(__xludf.DUMMYFUNCTION("""COMPUTED_VALUE"""),"")</f>
        <v/>
      </c>
    </row>
    <row r="19889" spans="2:4" ht="13">
      <c r="B19889" s="12" t="str">
        <f ca="1">IFERROR(__xludf.DUMMYFUNCTION("""COMPUTED_VALUE"""),"")</f>
        <v/>
      </c>
      <c r="C19889" s="12" t="str">
        <f ca="1">IFERROR(__xludf.DUMMYFUNCTION("""COMPUTED_VALUE"""),"")</f>
        <v/>
      </c>
      <c r="D19889" s="12" t="str">
        <f ca="1">IFERROR(__xludf.DUMMYFUNCTION("""COMPUTED_VALUE"""),"")</f>
        <v/>
      </c>
    </row>
    <row r="19890" spans="2:4" ht="13">
      <c r="B19890" s="12" t="str">
        <f ca="1">IFERROR(__xludf.DUMMYFUNCTION("""COMPUTED_VALUE"""),"")</f>
        <v/>
      </c>
      <c r="C19890" s="12" t="str">
        <f ca="1">IFERROR(__xludf.DUMMYFUNCTION("""COMPUTED_VALUE"""),"")</f>
        <v/>
      </c>
      <c r="D19890" s="12" t="str">
        <f ca="1">IFERROR(__xludf.DUMMYFUNCTION("""COMPUTED_VALUE"""),"")</f>
        <v/>
      </c>
    </row>
    <row r="19891" spans="2:4" ht="13">
      <c r="B19891" s="12" t="str">
        <f ca="1">IFERROR(__xludf.DUMMYFUNCTION("""COMPUTED_VALUE"""),"")</f>
        <v/>
      </c>
      <c r="C19891" s="12" t="str">
        <f ca="1">IFERROR(__xludf.DUMMYFUNCTION("""COMPUTED_VALUE"""),"")</f>
        <v/>
      </c>
      <c r="D19891" s="12" t="str">
        <f ca="1">IFERROR(__xludf.DUMMYFUNCTION("""COMPUTED_VALUE"""),"")</f>
        <v/>
      </c>
    </row>
    <row r="19892" spans="2:4" ht="13">
      <c r="B19892" s="12" t="str">
        <f ca="1">IFERROR(__xludf.DUMMYFUNCTION("""COMPUTED_VALUE"""),"")</f>
        <v/>
      </c>
      <c r="C19892" s="12" t="str">
        <f ca="1">IFERROR(__xludf.DUMMYFUNCTION("""COMPUTED_VALUE"""),"")</f>
        <v/>
      </c>
      <c r="D19892" s="12" t="str">
        <f ca="1">IFERROR(__xludf.DUMMYFUNCTION("""COMPUTED_VALUE"""),"")</f>
        <v/>
      </c>
    </row>
    <row r="19893" spans="2:4" ht="13">
      <c r="B19893" s="12" t="str">
        <f ca="1">IFERROR(__xludf.DUMMYFUNCTION("""COMPUTED_VALUE"""),"")</f>
        <v/>
      </c>
      <c r="C19893" s="12" t="str">
        <f ca="1">IFERROR(__xludf.DUMMYFUNCTION("""COMPUTED_VALUE"""),"")</f>
        <v/>
      </c>
      <c r="D19893" s="12" t="str">
        <f ca="1">IFERROR(__xludf.DUMMYFUNCTION("""COMPUTED_VALUE"""),"")</f>
        <v/>
      </c>
    </row>
    <row r="19894" spans="2:4" ht="13">
      <c r="B19894" s="12" t="str">
        <f ca="1">IFERROR(__xludf.DUMMYFUNCTION("""COMPUTED_VALUE"""),"")</f>
        <v/>
      </c>
      <c r="C19894" s="12" t="str">
        <f ca="1">IFERROR(__xludf.DUMMYFUNCTION("""COMPUTED_VALUE"""),"")</f>
        <v/>
      </c>
      <c r="D19894" s="12" t="str">
        <f ca="1">IFERROR(__xludf.DUMMYFUNCTION("""COMPUTED_VALUE"""),"")</f>
        <v/>
      </c>
    </row>
    <row r="19895" spans="2:4" ht="13">
      <c r="B19895" s="12" t="str">
        <f ca="1">IFERROR(__xludf.DUMMYFUNCTION("""COMPUTED_VALUE"""),"")</f>
        <v/>
      </c>
      <c r="C19895" s="12" t="str">
        <f ca="1">IFERROR(__xludf.DUMMYFUNCTION("""COMPUTED_VALUE"""),"")</f>
        <v/>
      </c>
      <c r="D19895" s="12" t="str">
        <f ca="1">IFERROR(__xludf.DUMMYFUNCTION("""COMPUTED_VALUE"""),"")</f>
        <v/>
      </c>
    </row>
    <row r="19896" spans="2:4" ht="13">
      <c r="B19896" s="12" t="str">
        <f ca="1">IFERROR(__xludf.DUMMYFUNCTION("""COMPUTED_VALUE"""),"")</f>
        <v/>
      </c>
      <c r="C19896" s="12" t="str">
        <f ca="1">IFERROR(__xludf.DUMMYFUNCTION("""COMPUTED_VALUE"""),"")</f>
        <v/>
      </c>
      <c r="D19896" s="12" t="str">
        <f ca="1">IFERROR(__xludf.DUMMYFUNCTION("""COMPUTED_VALUE"""),"")</f>
        <v/>
      </c>
    </row>
    <row r="19897" spans="2:4" ht="13">
      <c r="B19897" s="12" t="str">
        <f ca="1">IFERROR(__xludf.DUMMYFUNCTION("""COMPUTED_VALUE"""),"")</f>
        <v/>
      </c>
      <c r="C19897" s="12" t="str">
        <f ca="1">IFERROR(__xludf.DUMMYFUNCTION("""COMPUTED_VALUE"""),"")</f>
        <v/>
      </c>
      <c r="D19897" s="12" t="str">
        <f ca="1">IFERROR(__xludf.DUMMYFUNCTION("""COMPUTED_VALUE"""),"")</f>
        <v/>
      </c>
    </row>
    <row r="19898" spans="2:4" ht="13">
      <c r="B19898" s="12" t="str">
        <f ca="1">IFERROR(__xludf.DUMMYFUNCTION("""COMPUTED_VALUE"""),"")</f>
        <v/>
      </c>
      <c r="C19898" s="12" t="str">
        <f ca="1">IFERROR(__xludf.DUMMYFUNCTION("""COMPUTED_VALUE"""),"")</f>
        <v/>
      </c>
      <c r="D19898" s="12" t="str">
        <f ca="1">IFERROR(__xludf.DUMMYFUNCTION("""COMPUTED_VALUE"""),"")</f>
        <v/>
      </c>
    </row>
    <row r="19899" spans="2:4" ht="13">
      <c r="B19899" s="12" t="str">
        <f ca="1">IFERROR(__xludf.DUMMYFUNCTION("""COMPUTED_VALUE"""),"")</f>
        <v/>
      </c>
      <c r="C19899" s="12" t="str">
        <f ca="1">IFERROR(__xludf.DUMMYFUNCTION("""COMPUTED_VALUE"""),"")</f>
        <v/>
      </c>
      <c r="D19899" s="12" t="str">
        <f ca="1">IFERROR(__xludf.DUMMYFUNCTION("""COMPUTED_VALUE"""),"")</f>
        <v/>
      </c>
    </row>
    <row r="19900" spans="2:4" ht="13">
      <c r="B19900" s="12" t="str">
        <f ca="1">IFERROR(__xludf.DUMMYFUNCTION("""COMPUTED_VALUE"""),"")</f>
        <v/>
      </c>
      <c r="C19900" s="12" t="str">
        <f ca="1">IFERROR(__xludf.DUMMYFUNCTION("""COMPUTED_VALUE"""),"")</f>
        <v/>
      </c>
      <c r="D19900" s="12" t="str">
        <f ca="1">IFERROR(__xludf.DUMMYFUNCTION("""COMPUTED_VALUE"""),"")</f>
        <v/>
      </c>
    </row>
    <row r="19901" spans="2:4" ht="13">
      <c r="B19901" s="12" t="str">
        <f ca="1">IFERROR(__xludf.DUMMYFUNCTION("""COMPUTED_VALUE"""),"")</f>
        <v/>
      </c>
      <c r="C19901" s="12" t="str">
        <f ca="1">IFERROR(__xludf.DUMMYFUNCTION("""COMPUTED_VALUE"""),"")</f>
        <v/>
      </c>
      <c r="D19901" s="12" t="str">
        <f ca="1">IFERROR(__xludf.DUMMYFUNCTION("""COMPUTED_VALUE"""),"")</f>
        <v/>
      </c>
    </row>
    <row r="19902" spans="2:4" ht="13">
      <c r="B19902" s="12" t="str">
        <f ca="1">IFERROR(__xludf.DUMMYFUNCTION("""COMPUTED_VALUE"""),"")</f>
        <v/>
      </c>
      <c r="C19902" s="12" t="str">
        <f ca="1">IFERROR(__xludf.DUMMYFUNCTION("""COMPUTED_VALUE"""),"")</f>
        <v/>
      </c>
      <c r="D19902" s="12" t="str">
        <f ca="1">IFERROR(__xludf.DUMMYFUNCTION("""COMPUTED_VALUE"""),"")</f>
        <v/>
      </c>
    </row>
    <row r="19903" spans="2:4" ht="13">
      <c r="B19903" s="12" t="str">
        <f ca="1">IFERROR(__xludf.DUMMYFUNCTION("""COMPUTED_VALUE"""),"")</f>
        <v/>
      </c>
      <c r="C19903" s="12" t="str">
        <f ca="1">IFERROR(__xludf.DUMMYFUNCTION("""COMPUTED_VALUE"""),"")</f>
        <v/>
      </c>
      <c r="D19903" s="12" t="str">
        <f ca="1">IFERROR(__xludf.DUMMYFUNCTION("""COMPUTED_VALUE"""),"")</f>
        <v/>
      </c>
    </row>
    <row r="19904" spans="2:4" ht="13">
      <c r="B19904" s="12" t="str">
        <f ca="1">IFERROR(__xludf.DUMMYFUNCTION("""COMPUTED_VALUE"""),"")</f>
        <v/>
      </c>
      <c r="C19904" s="12" t="str">
        <f ca="1">IFERROR(__xludf.DUMMYFUNCTION("""COMPUTED_VALUE"""),"")</f>
        <v/>
      </c>
      <c r="D19904" s="12" t="str">
        <f ca="1">IFERROR(__xludf.DUMMYFUNCTION("""COMPUTED_VALUE"""),"")</f>
        <v/>
      </c>
    </row>
    <row r="19905" spans="2:4" ht="13">
      <c r="B19905" s="12" t="str">
        <f ca="1">IFERROR(__xludf.DUMMYFUNCTION("""COMPUTED_VALUE"""),"")</f>
        <v/>
      </c>
      <c r="C19905" s="12" t="str">
        <f ca="1">IFERROR(__xludf.DUMMYFUNCTION("""COMPUTED_VALUE"""),"")</f>
        <v/>
      </c>
      <c r="D19905" s="12" t="str">
        <f ca="1">IFERROR(__xludf.DUMMYFUNCTION("""COMPUTED_VALUE"""),"")</f>
        <v/>
      </c>
    </row>
    <row r="19906" spans="2:4" ht="13">
      <c r="B19906" s="12" t="str">
        <f ca="1">IFERROR(__xludf.DUMMYFUNCTION("""COMPUTED_VALUE"""),"")</f>
        <v/>
      </c>
      <c r="C19906" s="12" t="str">
        <f ca="1">IFERROR(__xludf.DUMMYFUNCTION("""COMPUTED_VALUE"""),"")</f>
        <v/>
      </c>
      <c r="D19906" s="12" t="str">
        <f ca="1">IFERROR(__xludf.DUMMYFUNCTION("""COMPUTED_VALUE"""),"")</f>
        <v/>
      </c>
    </row>
    <row r="19907" spans="2:4" ht="13">
      <c r="B19907" s="12" t="str">
        <f ca="1">IFERROR(__xludf.DUMMYFUNCTION("""COMPUTED_VALUE"""),"")</f>
        <v/>
      </c>
      <c r="C19907" s="12" t="str">
        <f ca="1">IFERROR(__xludf.DUMMYFUNCTION("""COMPUTED_VALUE"""),"")</f>
        <v/>
      </c>
      <c r="D19907" s="12" t="str">
        <f ca="1">IFERROR(__xludf.DUMMYFUNCTION("""COMPUTED_VALUE"""),"")</f>
        <v/>
      </c>
    </row>
    <row r="19908" spans="2:4" ht="13">
      <c r="B19908" s="12" t="str">
        <f ca="1">IFERROR(__xludf.DUMMYFUNCTION("""COMPUTED_VALUE"""),"")</f>
        <v/>
      </c>
      <c r="C19908" s="12" t="str">
        <f ca="1">IFERROR(__xludf.DUMMYFUNCTION("""COMPUTED_VALUE"""),"")</f>
        <v/>
      </c>
      <c r="D19908" s="12" t="str">
        <f ca="1">IFERROR(__xludf.DUMMYFUNCTION("""COMPUTED_VALUE"""),"")</f>
        <v/>
      </c>
    </row>
    <row r="19909" spans="2:4" ht="13">
      <c r="B19909" s="12" t="str">
        <f ca="1">IFERROR(__xludf.DUMMYFUNCTION("""COMPUTED_VALUE"""),"")</f>
        <v/>
      </c>
      <c r="C19909" s="12" t="str">
        <f ca="1">IFERROR(__xludf.DUMMYFUNCTION("""COMPUTED_VALUE"""),"")</f>
        <v/>
      </c>
      <c r="D19909" s="12" t="str">
        <f ca="1">IFERROR(__xludf.DUMMYFUNCTION("""COMPUTED_VALUE"""),"")</f>
        <v/>
      </c>
    </row>
    <row r="19910" spans="2:4" ht="13">
      <c r="B19910" s="12" t="str">
        <f ca="1">IFERROR(__xludf.DUMMYFUNCTION("""COMPUTED_VALUE"""),"")</f>
        <v/>
      </c>
      <c r="C19910" s="12" t="str">
        <f ca="1">IFERROR(__xludf.DUMMYFUNCTION("""COMPUTED_VALUE"""),"")</f>
        <v/>
      </c>
      <c r="D19910" s="12" t="str">
        <f ca="1">IFERROR(__xludf.DUMMYFUNCTION("""COMPUTED_VALUE"""),"")</f>
        <v/>
      </c>
    </row>
    <row r="19911" spans="2:4" ht="13">
      <c r="B19911" s="12" t="str">
        <f ca="1">IFERROR(__xludf.DUMMYFUNCTION("""COMPUTED_VALUE"""),"")</f>
        <v/>
      </c>
      <c r="C19911" s="12" t="str">
        <f ca="1">IFERROR(__xludf.DUMMYFUNCTION("""COMPUTED_VALUE"""),"")</f>
        <v/>
      </c>
      <c r="D19911" s="12" t="str">
        <f ca="1">IFERROR(__xludf.DUMMYFUNCTION("""COMPUTED_VALUE"""),"")</f>
        <v/>
      </c>
    </row>
    <row r="19912" spans="2:4" ht="13">
      <c r="B19912" s="12" t="str">
        <f ca="1">IFERROR(__xludf.DUMMYFUNCTION("""COMPUTED_VALUE"""),"")</f>
        <v/>
      </c>
      <c r="C19912" s="12" t="str">
        <f ca="1">IFERROR(__xludf.DUMMYFUNCTION("""COMPUTED_VALUE"""),"")</f>
        <v/>
      </c>
      <c r="D19912" s="12" t="str">
        <f ca="1">IFERROR(__xludf.DUMMYFUNCTION("""COMPUTED_VALUE"""),"")</f>
        <v/>
      </c>
    </row>
    <row r="19913" spans="2:4" ht="13">
      <c r="B19913" s="12" t="str">
        <f ca="1">IFERROR(__xludf.DUMMYFUNCTION("""COMPUTED_VALUE"""),"")</f>
        <v/>
      </c>
      <c r="C19913" s="12" t="str">
        <f ca="1">IFERROR(__xludf.DUMMYFUNCTION("""COMPUTED_VALUE"""),"")</f>
        <v/>
      </c>
      <c r="D19913" s="12" t="str">
        <f ca="1">IFERROR(__xludf.DUMMYFUNCTION("""COMPUTED_VALUE"""),"")</f>
        <v/>
      </c>
    </row>
    <row r="19914" spans="2:4" ht="13">
      <c r="B19914" s="12" t="str">
        <f ca="1">IFERROR(__xludf.DUMMYFUNCTION("""COMPUTED_VALUE"""),"")</f>
        <v/>
      </c>
      <c r="C19914" s="12" t="str">
        <f ca="1">IFERROR(__xludf.DUMMYFUNCTION("""COMPUTED_VALUE"""),"")</f>
        <v/>
      </c>
      <c r="D19914" s="12" t="str">
        <f ca="1">IFERROR(__xludf.DUMMYFUNCTION("""COMPUTED_VALUE"""),"")</f>
        <v/>
      </c>
    </row>
    <row r="19915" spans="2:4" ht="13">
      <c r="B19915" s="12" t="str">
        <f ca="1">IFERROR(__xludf.DUMMYFUNCTION("""COMPUTED_VALUE"""),"")</f>
        <v/>
      </c>
      <c r="C19915" s="12" t="str">
        <f ca="1">IFERROR(__xludf.DUMMYFUNCTION("""COMPUTED_VALUE"""),"")</f>
        <v/>
      </c>
      <c r="D19915" s="12" t="str">
        <f ca="1">IFERROR(__xludf.DUMMYFUNCTION("""COMPUTED_VALUE"""),"")</f>
        <v/>
      </c>
    </row>
    <row r="19916" spans="2:4" ht="13">
      <c r="B19916" s="12" t="str">
        <f ca="1">IFERROR(__xludf.DUMMYFUNCTION("""COMPUTED_VALUE"""),"")</f>
        <v/>
      </c>
      <c r="C19916" s="12" t="str">
        <f ca="1">IFERROR(__xludf.DUMMYFUNCTION("""COMPUTED_VALUE"""),"")</f>
        <v/>
      </c>
      <c r="D19916" s="12" t="str">
        <f ca="1">IFERROR(__xludf.DUMMYFUNCTION("""COMPUTED_VALUE"""),"")</f>
        <v/>
      </c>
    </row>
    <row r="19917" spans="2:4" ht="13">
      <c r="B19917" s="12" t="str">
        <f ca="1">IFERROR(__xludf.DUMMYFUNCTION("""COMPUTED_VALUE"""),"")</f>
        <v/>
      </c>
      <c r="C19917" s="12" t="str">
        <f ca="1">IFERROR(__xludf.DUMMYFUNCTION("""COMPUTED_VALUE"""),"")</f>
        <v/>
      </c>
      <c r="D19917" s="12" t="str">
        <f ca="1">IFERROR(__xludf.DUMMYFUNCTION("""COMPUTED_VALUE"""),"")</f>
        <v/>
      </c>
    </row>
    <row r="19918" spans="2:4" ht="13">
      <c r="B19918" s="12" t="str">
        <f ca="1">IFERROR(__xludf.DUMMYFUNCTION("""COMPUTED_VALUE"""),"")</f>
        <v/>
      </c>
      <c r="C19918" s="12" t="str">
        <f ca="1">IFERROR(__xludf.DUMMYFUNCTION("""COMPUTED_VALUE"""),"")</f>
        <v/>
      </c>
      <c r="D19918" s="12" t="str">
        <f ca="1">IFERROR(__xludf.DUMMYFUNCTION("""COMPUTED_VALUE"""),"")</f>
        <v/>
      </c>
    </row>
    <row r="19919" spans="2:4" ht="13">
      <c r="B19919" s="12" t="str">
        <f ca="1">IFERROR(__xludf.DUMMYFUNCTION("""COMPUTED_VALUE"""),"")</f>
        <v/>
      </c>
      <c r="C19919" s="12" t="str">
        <f ca="1">IFERROR(__xludf.DUMMYFUNCTION("""COMPUTED_VALUE"""),"")</f>
        <v/>
      </c>
      <c r="D19919" s="12" t="str">
        <f ca="1">IFERROR(__xludf.DUMMYFUNCTION("""COMPUTED_VALUE"""),"")</f>
        <v/>
      </c>
    </row>
    <row r="19920" spans="2:4" ht="13">
      <c r="B19920" s="12" t="str">
        <f ca="1">IFERROR(__xludf.DUMMYFUNCTION("""COMPUTED_VALUE"""),"")</f>
        <v/>
      </c>
      <c r="C19920" s="12" t="str">
        <f ca="1">IFERROR(__xludf.DUMMYFUNCTION("""COMPUTED_VALUE"""),"")</f>
        <v/>
      </c>
      <c r="D19920" s="12" t="str">
        <f ca="1">IFERROR(__xludf.DUMMYFUNCTION("""COMPUTED_VALUE"""),"")</f>
        <v/>
      </c>
    </row>
    <row r="19921" spans="2:4" ht="13">
      <c r="B19921" s="12" t="str">
        <f ca="1">IFERROR(__xludf.DUMMYFUNCTION("""COMPUTED_VALUE"""),"")</f>
        <v/>
      </c>
      <c r="C19921" s="12" t="str">
        <f ca="1">IFERROR(__xludf.DUMMYFUNCTION("""COMPUTED_VALUE"""),"")</f>
        <v/>
      </c>
      <c r="D19921" s="12" t="str">
        <f ca="1">IFERROR(__xludf.DUMMYFUNCTION("""COMPUTED_VALUE"""),"")</f>
        <v/>
      </c>
    </row>
    <row r="19922" spans="2:4" ht="13">
      <c r="B19922" s="12" t="str">
        <f ca="1">IFERROR(__xludf.DUMMYFUNCTION("""COMPUTED_VALUE"""),"")</f>
        <v/>
      </c>
      <c r="C19922" s="12" t="str">
        <f ca="1">IFERROR(__xludf.DUMMYFUNCTION("""COMPUTED_VALUE"""),"")</f>
        <v/>
      </c>
      <c r="D19922" s="12" t="str">
        <f ca="1">IFERROR(__xludf.DUMMYFUNCTION("""COMPUTED_VALUE"""),"")</f>
        <v/>
      </c>
    </row>
    <row r="19923" spans="2:4" ht="13">
      <c r="B19923" s="12" t="str">
        <f ca="1">IFERROR(__xludf.DUMMYFUNCTION("""COMPUTED_VALUE"""),"")</f>
        <v/>
      </c>
      <c r="C19923" s="12" t="str">
        <f ca="1">IFERROR(__xludf.DUMMYFUNCTION("""COMPUTED_VALUE"""),"")</f>
        <v/>
      </c>
      <c r="D19923" s="12" t="str">
        <f ca="1">IFERROR(__xludf.DUMMYFUNCTION("""COMPUTED_VALUE"""),"")</f>
        <v/>
      </c>
    </row>
    <row r="19924" spans="2:4" ht="13">
      <c r="B19924" s="12" t="str">
        <f ca="1">IFERROR(__xludf.DUMMYFUNCTION("""COMPUTED_VALUE"""),"")</f>
        <v/>
      </c>
      <c r="C19924" s="12" t="str">
        <f ca="1">IFERROR(__xludf.DUMMYFUNCTION("""COMPUTED_VALUE"""),"")</f>
        <v/>
      </c>
      <c r="D19924" s="12" t="str">
        <f ca="1">IFERROR(__xludf.DUMMYFUNCTION("""COMPUTED_VALUE"""),"")</f>
        <v/>
      </c>
    </row>
    <row r="19925" spans="2:4" ht="13">
      <c r="B19925" s="12" t="str">
        <f ca="1">IFERROR(__xludf.DUMMYFUNCTION("""COMPUTED_VALUE"""),"")</f>
        <v/>
      </c>
      <c r="C19925" s="12" t="str">
        <f ca="1">IFERROR(__xludf.DUMMYFUNCTION("""COMPUTED_VALUE"""),"")</f>
        <v/>
      </c>
      <c r="D19925" s="12" t="str">
        <f ca="1">IFERROR(__xludf.DUMMYFUNCTION("""COMPUTED_VALUE"""),"")</f>
        <v/>
      </c>
    </row>
    <row r="19926" spans="2:4" ht="13">
      <c r="B19926" s="12" t="str">
        <f ca="1">IFERROR(__xludf.DUMMYFUNCTION("""COMPUTED_VALUE"""),"")</f>
        <v/>
      </c>
      <c r="C19926" s="12" t="str">
        <f ca="1">IFERROR(__xludf.DUMMYFUNCTION("""COMPUTED_VALUE"""),"")</f>
        <v/>
      </c>
      <c r="D19926" s="12" t="str">
        <f ca="1">IFERROR(__xludf.DUMMYFUNCTION("""COMPUTED_VALUE"""),"")</f>
        <v/>
      </c>
    </row>
    <row r="19927" spans="2:4" ht="13">
      <c r="B19927" s="12" t="str">
        <f ca="1">IFERROR(__xludf.DUMMYFUNCTION("""COMPUTED_VALUE"""),"")</f>
        <v/>
      </c>
      <c r="C19927" s="12" t="str">
        <f ca="1">IFERROR(__xludf.DUMMYFUNCTION("""COMPUTED_VALUE"""),"")</f>
        <v/>
      </c>
      <c r="D19927" s="12" t="str">
        <f ca="1">IFERROR(__xludf.DUMMYFUNCTION("""COMPUTED_VALUE"""),"")</f>
        <v/>
      </c>
    </row>
    <row r="19928" spans="2:4" ht="13">
      <c r="B19928" s="12" t="str">
        <f ca="1">IFERROR(__xludf.DUMMYFUNCTION("""COMPUTED_VALUE"""),"")</f>
        <v/>
      </c>
      <c r="C19928" s="12" t="str">
        <f ca="1">IFERROR(__xludf.DUMMYFUNCTION("""COMPUTED_VALUE"""),"")</f>
        <v/>
      </c>
      <c r="D19928" s="12" t="str">
        <f ca="1">IFERROR(__xludf.DUMMYFUNCTION("""COMPUTED_VALUE"""),"")</f>
        <v/>
      </c>
    </row>
    <row r="19929" spans="2:4" ht="13">
      <c r="B19929" s="12" t="str">
        <f ca="1">IFERROR(__xludf.DUMMYFUNCTION("""COMPUTED_VALUE"""),"")</f>
        <v/>
      </c>
      <c r="C19929" s="12" t="str">
        <f ca="1">IFERROR(__xludf.DUMMYFUNCTION("""COMPUTED_VALUE"""),"")</f>
        <v/>
      </c>
      <c r="D19929" s="12" t="str">
        <f ca="1">IFERROR(__xludf.DUMMYFUNCTION("""COMPUTED_VALUE"""),"")</f>
        <v/>
      </c>
    </row>
    <row r="19930" spans="2:4" ht="13">
      <c r="B19930" s="12" t="str">
        <f ca="1">IFERROR(__xludf.DUMMYFUNCTION("""COMPUTED_VALUE"""),"")</f>
        <v/>
      </c>
      <c r="C19930" s="12" t="str">
        <f ca="1">IFERROR(__xludf.DUMMYFUNCTION("""COMPUTED_VALUE"""),"")</f>
        <v/>
      </c>
      <c r="D19930" s="12" t="str">
        <f ca="1">IFERROR(__xludf.DUMMYFUNCTION("""COMPUTED_VALUE"""),"")</f>
        <v/>
      </c>
    </row>
    <row r="19931" spans="2:4" ht="13">
      <c r="B19931" s="12" t="str">
        <f ca="1">IFERROR(__xludf.DUMMYFUNCTION("""COMPUTED_VALUE"""),"")</f>
        <v/>
      </c>
      <c r="C19931" s="12" t="str">
        <f ca="1">IFERROR(__xludf.DUMMYFUNCTION("""COMPUTED_VALUE"""),"")</f>
        <v/>
      </c>
      <c r="D19931" s="12" t="str">
        <f ca="1">IFERROR(__xludf.DUMMYFUNCTION("""COMPUTED_VALUE"""),"")</f>
        <v/>
      </c>
    </row>
    <row r="19932" spans="2:4" ht="13">
      <c r="B19932" s="12" t="str">
        <f ca="1">IFERROR(__xludf.DUMMYFUNCTION("""COMPUTED_VALUE"""),"")</f>
        <v/>
      </c>
      <c r="C19932" s="12" t="str">
        <f ca="1">IFERROR(__xludf.DUMMYFUNCTION("""COMPUTED_VALUE"""),"")</f>
        <v/>
      </c>
      <c r="D19932" s="12" t="str">
        <f ca="1">IFERROR(__xludf.DUMMYFUNCTION("""COMPUTED_VALUE"""),"")</f>
        <v/>
      </c>
    </row>
    <row r="19933" spans="2:4" ht="13">
      <c r="B19933" s="12" t="str">
        <f ca="1">IFERROR(__xludf.DUMMYFUNCTION("""COMPUTED_VALUE"""),"")</f>
        <v/>
      </c>
      <c r="C19933" s="12" t="str">
        <f ca="1">IFERROR(__xludf.DUMMYFUNCTION("""COMPUTED_VALUE"""),"")</f>
        <v/>
      </c>
      <c r="D19933" s="12" t="str">
        <f ca="1">IFERROR(__xludf.DUMMYFUNCTION("""COMPUTED_VALUE"""),"")</f>
        <v/>
      </c>
    </row>
    <row r="19934" spans="2:4" ht="13">
      <c r="B19934" s="12" t="str">
        <f ca="1">IFERROR(__xludf.DUMMYFUNCTION("""COMPUTED_VALUE"""),"")</f>
        <v/>
      </c>
      <c r="C19934" s="12" t="str">
        <f ca="1">IFERROR(__xludf.DUMMYFUNCTION("""COMPUTED_VALUE"""),"")</f>
        <v/>
      </c>
      <c r="D19934" s="12" t="str">
        <f ca="1">IFERROR(__xludf.DUMMYFUNCTION("""COMPUTED_VALUE"""),"")</f>
        <v/>
      </c>
    </row>
    <row r="19935" spans="2:4" ht="13">
      <c r="B19935" s="12" t="str">
        <f ca="1">IFERROR(__xludf.DUMMYFUNCTION("""COMPUTED_VALUE"""),"")</f>
        <v/>
      </c>
      <c r="C19935" s="12" t="str">
        <f ca="1">IFERROR(__xludf.DUMMYFUNCTION("""COMPUTED_VALUE"""),"")</f>
        <v/>
      </c>
      <c r="D19935" s="12" t="str">
        <f ca="1">IFERROR(__xludf.DUMMYFUNCTION("""COMPUTED_VALUE"""),"")</f>
        <v/>
      </c>
    </row>
    <row r="19936" spans="2:4" ht="13">
      <c r="B19936" s="12" t="str">
        <f ca="1">IFERROR(__xludf.DUMMYFUNCTION("""COMPUTED_VALUE"""),"")</f>
        <v/>
      </c>
      <c r="C19936" s="12" t="str">
        <f ca="1">IFERROR(__xludf.DUMMYFUNCTION("""COMPUTED_VALUE"""),"")</f>
        <v/>
      </c>
      <c r="D19936" s="12" t="str">
        <f ca="1">IFERROR(__xludf.DUMMYFUNCTION("""COMPUTED_VALUE"""),"")</f>
        <v/>
      </c>
    </row>
    <row r="19937" spans="2:4" ht="13">
      <c r="B19937" s="12" t="str">
        <f ca="1">IFERROR(__xludf.DUMMYFUNCTION("""COMPUTED_VALUE"""),"")</f>
        <v/>
      </c>
      <c r="C19937" s="12" t="str">
        <f ca="1">IFERROR(__xludf.DUMMYFUNCTION("""COMPUTED_VALUE"""),"")</f>
        <v/>
      </c>
      <c r="D19937" s="12" t="str">
        <f ca="1">IFERROR(__xludf.DUMMYFUNCTION("""COMPUTED_VALUE"""),"")</f>
        <v/>
      </c>
    </row>
    <row r="19938" spans="2:4" ht="13">
      <c r="B19938" s="12" t="str">
        <f ca="1">IFERROR(__xludf.DUMMYFUNCTION("""COMPUTED_VALUE"""),"")</f>
        <v/>
      </c>
      <c r="C19938" s="12" t="str">
        <f ca="1">IFERROR(__xludf.DUMMYFUNCTION("""COMPUTED_VALUE"""),"")</f>
        <v/>
      </c>
      <c r="D19938" s="12" t="str">
        <f ca="1">IFERROR(__xludf.DUMMYFUNCTION("""COMPUTED_VALUE"""),"")</f>
        <v/>
      </c>
    </row>
    <row r="19939" spans="2:4" ht="13">
      <c r="B19939" s="12" t="str">
        <f ca="1">IFERROR(__xludf.DUMMYFUNCTION("""COMPUTED_VALUE"""),"")</f>
        <v/>
      </c>
      <c r="C19939" s="12" t="str">
        <f ca="1">IFERROR(__xludf.DUMMYFUNCTION("""COMPUTED_VALUE"""),"")</f>
        <v/>
      </c>
      <c r="D19939" s="12" t="str">
        <f ca="1">IFERROR(__xludf.DUMMYFUNCTION("""COMPUTED_VALUE"""),"")</f>
        <v/>
      </c>
    </row>
    <row r="19940" spans="2:4" ht="13">
      <c r="B19940" s="12" t="str">
        <f ca="1">IFERROR(__xludf.DUMMYFUNCTION("""COMPUTED_VALUE"""),"")</f>
        <v/>
      </c>
      <c r="C19940" s="12" t="str">
        <f ca="1">IFERROR(__xludf.DUMMYFUNCTION("""COMPUTED_VALUE"""),"")</f>
        <v/>
      </c>
      <c r="D19940" s="12" t="str">
        <f ca="1">IFERROR(__xludf.DUMMYFUNCTION("""COMPUTED_VALUE"""),"")</f>
        <v/>
      </c>
    </row>
    <row r="19941" spans="2:4" ht="13">
      <c r="B19941" s="12" t="str">
        <f ca="1">IFERROR(__xludf.DUMMYFUNCTION("""COMPUTED_VALUE"""),"")</f>
        <v/>
      </c>
      <c r="C19941" s="12" t="str">
        <f ca="1">IFERROR(__xludf.DUMMYFUNCTION("""COMPUTED_VALUE"""),"")</f>
        <v/>
      </c>
      <c r="D19941" s="12" t="str">
        <f ca="1">IFERROR(__xludf.DUMMYFUNCTION("""COMPUTED_VALUE"""),"")</f>
        <v/>
      </c>
    </row>
    <row r="19942" spans="2:4" ht="13">
      <c r="B19942" s="12" t="str">
        <f ca="1">IFERROR(__xludf.DUMMYFUNCTION("""COMPUTED_VALUE"""),"")</f>
        <v/>
      </c>
      <c r="C19942" s="12" t="str">
        <f ca="1">IFERROR(__xludf.DUMMYFUNCTION("""COMPUTED_VALUE"""),"")</f>
        <v/>
      </c>
      <c r="D19942" s="12" t="str">
        <f ca="1">IFERROR(__xludf.DUMMYFUNCTION("""COMPUTED_VALUE"""),"")</f>
        <v/>
      </c>
    </row>
    <row r="19943" spans="2:4" ht="13">
      <c r="B19943" s="12" t="str">
        <f ca="1">IFERROR(__xludf.DUMMYFUNCTION("""COMPUTED_VALUE"""),"")</f>
        <v/>
      </c>
      <c r="C19943" s="12" t="str">
        <f ca="1">IFERROR(__xludf.DUMMYFUNCTION("""COMPUTED_VALUE"""),"")</f>
        <v/>
      </c>
      <c r="D19943" s="12" t="str">
        <f ca="1">IFERROR(__xludf.DUMMYFUNCTION("""COMPUTED_VALUE"""),"")</f>
        <v/>
      </c>
    </row>
    <row r="19944" spans="2:4" ht="13">
      <c r="B19944" s="12" t="str">
        <f ca="1">IFERROR(__xludf.DUMMYFUNCTION("""COMPUTED_VALUE"""),"")</f>
        <v/>
      </c>
      <c r="C19944" s="12" t="str">
        <f ca="1">IFERROR(__xludf.DUMMYFUNCTION("""COMPUTED_VALUE"""),"")</f>
        <v/>
      </c>
      <c r="D19944" s="12" t="str">
        <f ca="1">IFERROR(__xludf.DUMMYFUNCTION("""COMPUTED_VALUE"""),"")</f>
        <v/>
      </c>
    </row>
    <row r="19945" spans="2:4" ht="13">
      <c r="B19945" s="12" t="str">
        <f ca="1">IFERROR(__xludf.DUMMYFUNCTION("""COMPUTED_VALUE"""),"")</f>
        <v/>
      </c>
      <c r="C19945" s="12" t="str">
        <f ca="1">IFERROR(__xludf.DUMMYFUNCTION("""COMPUTED_VALUE"""),"")</f>
        <v/>
      </c>
      <c r="D19945" s="12" t="str">
        <f ca="1">IFERROR(__xludf.DUMMYFUNCTION("""COMPUTED_VALUE"""),"")</f>
        <v/>
      </c>
    </row>
    <row r="19946" spans="2:4" ht="13">
      <c r="B19946" s="12" t="str">
        <f ca="1">IFERROR(__xludf.DUMMYFUNCTION("""COMPUTED_VALUE"""),"")</f>
        <v/>
      </c>
      <c r="C19946" s="12" t="str">
        <f ca="1">IFERROR(__xludf.DUMMYFUNCTION("""COMPUTED_VALUE"""),"")</f>
        <v/>
      </c>
      <c r="D19946" s="12" t="str">
        <f ca="1">IFERROR(__xludf.DUMMYFUNCTION("""COMPUTED_VALUE"""),"")</f>
        <v/>
      </c>
    </row>
    <row r="19947" spans="2:4" ht="13">
      <c r="B19947" s="12" t="str">
        <f ca="1">IFERROR(__xludf.DUMMYFUNCTION("""COMPUTED_VALUE"""),"")</f>
        <v/>
      </c>
      <c r="C19947" s="12" t="str">
        <f ca="1">IFERROR(__xludf.DUMMYFUNCTION("""COMPUTED_VALUE"""),"")</f>
        <v/>
      </c>
      <c r="D19947" s="12" t="str">
        <f ca="1">IFERROR(__xludf.DUMMYFUNCTION("""COMPUTED_VALUE"""),"")</f>
        <v/>
      </c>
    </row>
    <row r="19948" spans="2:4" ht="13">
      <c r="B19948" s="12" t="str">
        <f ca="1">IFERROR(__xludf.DUMMYFUNCTION("""COMPUTED_VALUE"""),"")</f>
        <v/>
      </c>
      <c r="C19948" s="12" t="str">
        <f ca="1">IFERROR(__xludf.DUMMYFUNCTION("""COMPUTED_VALUE"""),"")</f>
        <v/>
      </c>
      <c r="D19948" s="12" t="str">
        <f ca="1">IFERROR(__xludf.DUMMYFUNCTION("""COMPUTED_VALUE"""),"")</f>
        <v/>
      </c>
    </row>
    <row r="19949" spans="2:4" ht="13">
      <c r="B19949" s="12" t="str">
        <f ca="1">IFERROR(__xludf.DUMMYFUNCTION("""COMPUTED_VALUE"""),"")</f>
        <v/>
      </c>
      <c r="C19949" s="12" t="str">
        <f ca="1">IFERROR(__xludf.DUMMYFUNCTION("""COMPUTED_VALUE"""),"")</f>
        <v/>
      </c>
      <c r="D19949" s="12" t="str">
        <f ca="1">IFERROR(__xludf.DUMMYFUNCTION("""COMPUTED_VALUE"""),"")</f>
        <v/>
      </c>
    </row>
    <row r="19950" spans="2:4" ht="13">
      <c r="B19950" s="12" t="str">
        <f ca="1">IFERROR(__xludf.DUMMYFUNCTION("""COMPUTED_VALUE"""),"")</f>
        <v/>
      </c>
      <c r="C19950" s="12" t="str">
        <f ca="1">IFERROR(__xludf.DUMMYFUNCTION("""COMPUTED_VALUE"""),"")</f>
        <v/>
      </c>
      <c r="D19950" s="12" t="str">
        <f ca="1">IFERROR(__xludf.DUMMYFUNCTION("""COMPUTED_VALUE"""),"")</f>
        <v/>
      </c>
    </row>
    <row r="19951" spans="2:4" ht="13">
      <c r="B19951" s="12" t="str">
        <f ca="1">IFERROR(__xludf.DUMMYFUNCTION("""COMPUTED_VALUE"""),"")</f>
        <v/>
      </c>
      <c r="C19951" s="12" t="str">
        <f ca="1">IFERROR(__xludf.DUMMYFUNCTION("""COMPUTED_VALUE"""),"")</f>
        <v/>
      </c>
      <c r="D19951" s="12" t="str">
        <f ca="1">IFERROR(__xludf.DUMMYFUNCTION("""COMPUTED_VALUE"""),"")</f>
        <v/>
      </c>
    </row>
    <row r="19952" spans="2:4" ht="13">
      <c r="B19952" s="12" t="str">
        <f ca="1">IFERROR(__xludf.DUMMYFUNCTION("""COMPUTED_VALUE"""),"")</f>
        <v/>
      </c>
      <c r="C19952" s="12" t="str">
        <f ca="1">IFERROR(__xludf.DUMMYFUNCTION("""COMPUTED_VALUE"""),"")</f>
        <v/>
      </c>
      <c r="D19952" s="12" t="str">
        <f ca="1">IFERROR(__xludf.DUMMYFUNCTION("""COMPUTED_VALUE"""),"")</f>
        <v/>
      </c>
    </row>
    <row r="19953" spans="2:4" ht="13">
      <c r="B19953" s="12" t="str">
        <f ca="1">IFERROR(__xludf.DUMMYFUNCTION("""COMPUTED_VALUE"""),"")</f>
        <v/>
      </c>
      <c r="C19953" s="12" t="str">
        <f ca="1">IFERROR(__xludf.DUMMYFUNCTION("""COMPUTED_VALUE"""),"")</f>
        <v/>
      </c>
      <c r="D19953" s="12" t="str">
        <f ca="1">IFERROR(__xludf.DUMMYFUNCTION("""COMPUTED_VALUE"""),"")</f>
        <v/>
      </c>
    </row>
    <row r="19954" spans="2:4" ht="13">
      <c r="B19954" s="12" t="str">
        <f ca="1">IFERROR(__xludf.DUMMYFUNCTION("""COMPUTED_VALUE"""),"")</f>
        <v/>
      </c>
      <c r="C19954" s="12" t="str">
        <f ca="1">IFERROR(__xludf.DUMMYFUNCTION("""COMPUTED_VALUE"""),"")</f>
        <v/>
      </c>
      <c r="D19954" s="12" t="str">
        <f ca="1">IFERROR(__xludf.DUMMYFUNCTION("""COMPUTED_VALUE"""),"")</f>
        <v/>
      </c>
    </row>
    <row r="19955" spans="2:4" ht="13">
      <c r="B19955" s="12" t="str">
        <f ca="1">IFERROR(__xludf.DUMMYFUNCTION("""COMPUTED_VALUE"""),"")</f>
        <v/>
      </c>
      <c r="C19955" s="12" t="str">
        <f ca="1">IFERROR(__xludf.DUMMYFUNCTION("""COMPUTED_VALUE"""),"")</f>
        <v/>
      </c>
      <c r="D19955" s="12" t="str">
        <f ca="1">IFERROR(__xludf.DUMMYFUNCTION("""COMPUTED_VALUE"""),"")</f>
        <v/>
      </c>
    </row>
    <row r="19956" spans="2:4" ht="13">
      <c r="B19956" s="12" t="str">
        <f ca="1">IFERROR(__xludf.DUMMYFUNCTION("""COMPUTED_VALUE"""),"")</f>
        <v/>
      </c>
      <c r="C19956" s="12" t="str">
        <f ca="1">IFERROR(__xludf.DUMMYFUNCTION("""COMPUTED_VALUE"""),"")</f>
        <v/>
      </c>
      <c r="D19956" s="12" t="str">
        <f ca="1">IFERROR(__xludf.DUMMYFUNCTION("""COMPUTED_VALUE"""),"")</f>
        <v/>
      </c>
    </row>
    <row r="19957" spans="2:4" ht="13">
      <c r="B19957" s="12" t="str">
        <f ca="1">IFERROR(__xludf.DUMMYFUNCTION("""COMPUTED_VALUE"""),"")</f>
        <v/>
      </c>
      <c r="C19957" s="12" t="str">
        <f ca="1">IFERROR(__xludf.DUMMYFUNCTION("""COMPUTED_VALUE"""),"")</f>
        <v/>
      </c>
      <c r="D19957" s="12" t="str">
        <f ca="1">IFERROR(__xludf.DUMMYFUNCTION("""COMPUTED_VALUE"""),"")</f>
        <v/>
      </c>
    </row>
    <row r="19958" spans="2:4" ht="13">
      <c r="B19958" s="12" t="str">
        <f ca="1">IFERROR(__xludf.DUMMYFUNCTION("""COMPUTED_VALUE"""),"")</f>
        <v/>
      </c>
      <c r="C19958" s="12" t="str">
        <f ca="1">IFERROR(__xludf.DUMMYFUNCTION("""COMPUTED_VALUE"""),"")</f>
        <v/>
      </c>
      <c r="D19958" s="12" t="str">
        <f ca="1">IFERROR(__xludf.DUMMYFUNCTION("""COMPUTED_VALUE"""),"")</f>
        <v/>
      </c>
    </row>
    <row r="19959" spans="2:4" ht="13">
      <c r="B19959" s="12" t="str">
        <f ca="1">IFERROR(__xludf.DUMMYFUNCTION("""COMPUTED_VALUE"""),"")</f>
        <v/>
      </c>
      <c r="C19959" s="12" t="str">
        <f ca="1">IFERROR(__xludf.DUMMYFUNCTION("""COMPUTED_VALUE"""),"")</f>
        <v/>
      </c>
      <c r="D19959" s="12" t="str">
        <f ca="1">IFERROR(__xludf.DUMMYFUNCTION("""COMPUTED_VALUE"""),"")</f>
        <v/>
      </c>
    </row>
    <row r="19960" spans="2:4" ht="13">
      <c r="B19960" s="12" t="str">
        <f ca="1">IFERROR(__xludf.DUMMYFUNCTION("""COMPUTED_VALUE"""),"")</f>
        <v/>
      </c>
      <c r="C19960" s="12" t="str">
        <f ca="1">IFERROR(__xludf.DUMMYFUNCTION("""COMPUTED_VALUE"""),"")</f>
        <v/>
      </c>
      <c r="D19960" s="12" t="str">
        <f ca="1">IFERROR(__xludf.DUMMYFUNCTION("""COMPUTED_VALUE"""),"")</f>
        <v/>
      </c>
    </row>
    <row r="19961" spans="2:4" ht="13">
      <c r="B19961" s="12" t="str">
        <f ca="1">IFERROR(__xludf.DUMMYFUNCTION("""COMPUTED_VALUE"""),"")</f>
        <v/>
      </c>
      <c r="C19961" s="12" t="str">
        <f ca="1">IFERROR(__xludf.DUMMYFUNCTION("""COMPUTED_VALUE"""),"")</f>
        <v/>
      </c>
      <c r="D19961" s="12" t="str">
        <f ca="1">IFERROR(__xludf.DUMMYFUNCTION("""COMPUTED_VALUE"""),"")</f>
        <v/>
      </c>
    </row>
    <row r="19962" spans="2:4" ht="13">
      <c r="B19962" s="12" t="str">
        <f ca="1">IFERROR(__xludf.DUMMYFUNCTION("""COMPUTED_VALUE"""),"")</f>
        <v/>
      </c>
      <c r="C19962" s="12" t="str">
        <f ca="1">IFERROR(__xludf.DUMMYFUNCTION("""COMPUTED_VALUE"""),"")</f>
        <v/>
      </c>
      <c r="D19962" s="12" t="str">
        <f ca="1">IFERROR(__xludf.DUMMYFUNCTION("""COMPUTED_VALUE"""),"")</f>
        <v/>
      </c>
    </row>
    <row r="19963" spans="2:4" ht="13">
      <c r="B19963" s="12" t="str">
        <f ca="1">IFERROR(__xludf.DUMMYFUNCTION("""COMPUTED_VALUE"""),"")</f>
        <v/>
      </c>
      <c r="C19963" s="12" t="str">
        <f ca="1">IFERROR(__xludf.DUMMYFUNCTION("""COMPUTED_VALUE"""),"")</f>
        <v/>
      </c>
      <c r="D19963" s="12" t="str">
        <f ca="1">IFERROR(__xludf.DUMMYFUNCTION("""COMPUTED_VALUE"""),"")</f>
        <v/>
      </c>
    </row>
    <row r="19964" spans="2:4" ht="13">
      <c r="B19964" s="12" t="str">
        <f ca="1">IFERROR(__xludf.DUMMYFUNCTION("""COMPUTED_VALUE"""),"")</f>
        <v/>
      </c>
      <c r="C19964" s="12" t="str">
        <f ca="1">IFERROR(__xludf.DUMMYFUNCTION("""COMPUTED_VALUE"""),"")</f>
        <v/>
      </c>
      <c r="D19964" s="12" t="str">
        <f ca="1">IFERROR(__xludf.DUMMYFUNCTION("""COMPUTED_VALUE"""),"")</f>
        <v/>
      </c>
    </row>
    <row r="19965" spans="2:4" ht="13">
      <c r="B19965" s="12" t="str">
        <f ca="1">IFERROR(__xludf.DUMMYFUNCTION("""COMPUTED_VALUE"""),"")</f>
        <v/>
      </c>
      <c r="C19965" s="12" t="str">
        <f ca="1">IFERROR(__xludf.DUMMYFUNCTION("""COMPUTED_VALUE"""),"")</f>
        <v/>
      </c>
      <c r="D19965" s="12" t="str">
        <f ca="1">IFERROR(__xludf.DUMMYFUNCTION("""COMPUTED_VALUE"""),"")</f>
        <v/>
      </c>
    </row>
    <row r="19966" spans="2:4" ht="13">
      <c r="B19966" s="12" t="str">
        <f ca="1">IFERROR(__xludf.DUMMYFUNCTION("""COMPUTED_VALUE"""),"")</f>
        <v/>
      </c>
      <c r="C19966" s="12" t="str">
        <f ca="1">IFERROR(__xludf.DUMMYFUNCTION("""COMPUTED_VALUE"""),"")</f>
        <v/>
      </c>
      <c r="D19966" s="12" t="str">
        <f ca="1">IFERROR(__xludf.DUMMYFUNCTION("""COMPUTED_VALUE"""),"")</f>
        <v/>
      </c>
    </row>
    <row r="19967" spans="2:4" ht="13">
      <c r="B19967" s="12" t="str">
        <f ca="1">IFERROR(__xludf.DUMMYFUNCTION("""COMPUTED_VALUE"""),"")</f>
        <v/>
      </c>
      <c r="C19967" s="12" t="str">
        <f ca="1">IFERROR(__xludf.DUMMYFUNCTION("""COMPUTED_VALUE"""),"")</f>
        <v/>
      </c>
      <c r="D19967" s="12" t="str">
        <f ca="1">IFERROR(__xludf.DUMMYFUNCTION("""COMPUTED_VALUE"""),"")</f>
        <v/>
      </c>
    </row>
    <row r="19968" spans="2:4" ht="13">
      <c r="B19968" s="12" t="str">
        <f ca="1">IFERROR(__xludf.DUMMYFUNCTION("""COMPUTED_VALUE"""),"")</f>
        <v/>
      </c>
      <c r="C19968" s="12" t="str">
        <f ca="1">IFERROR(__xludf.DUMMYFUNCTION("""COMPUTED_VALUE"""),"")</f>
        <v/>
      </c>
      <c r="D19968" s="12" t="str">
        <f ca="1">IFERROR(__xludf.DUMMYFUNCTION("""COMPUTED_VALUE"""),"")</f>
        <v/>
      </c>
    </row>
    <row r="19969" spans="2:4" ht="13">
      <c r="B19969" s="12" t="str">
        <f ca="1">IFERROR(__xludf.DUMMYFUNCTION("""COMPUTED_VALUE"""),"")</f>
        <v/>
      </c>
      <c r="C19969" s="12" t="str">
        <f ca="1">IFERROR(__xludf.DUMMYFUNCTION("""COMPUTED_VALUE"""),"")</f>
        <v/>
      </c>
      <c r="D19969" s="12" t="str">
        <f ca="1">IFERROR(__xludf.DUMMYFUNCTION("""COMPUTED_VALUE"""),"")</f>
        <v/>
      </c>
    </row>
    <row r="19970" spans="2:4" ht="13">
      <c r="B19970" s="12" t="str">
        <f ca="1">IFERROR(__xludf.DUMMYFUNCTION("""COMPUTED_VALUE"""),"")</f>
        <v/>
      </c>
      <c r="C19970" s="12" t="str">
        <f ca="1">IFERROR(__xludf.DUMMYFUNCTION("""COMPUTED_VALUE"""),"")</f>
        <v/>
      </c>
      <c r="D19970" s="12" t="str">
        <f ca="1">IFERROR(__xludf.DUMMYFUNCTION("""COMPUTED_VALUE"""),"")</f>
        <v/>
      </c>
    </row>
    <row r="19971" spans="2:4" ht="13">
      <c r="B19971" s="12" t="str">
        <f ca="1">IFERROR(__xludf.DUMMYFUNCTION("""COMPUTED_VALUE"""),"")</f>
        <v/>
      </c>
      <c r="C19971" s="12" t="str">
        <f ca="1">IFERROR(__xludf.DUMMYFUNCTION("""COMPUTED_VALUE"""),"")</f>
        <v/>
      </c>
      <c r="D19971" s="12" t="str">
        <f ca="1">IFERROR(__xludf.DUMMYFUNCTION("""COMPUTED_VALUE"""),"")</f>
        <v/>
      </c>
    </row>
    <row r="19972" spans="2:4" ht="13">
      <c r="B19972" s="12" t="str">
        <f ca="1">IFERROR(__xludf.DUMMYFUNCTION("""COMPUTED_VALUE"""),"")</f>
        <v/>
      </c>
      <c r="C19972" s="12" t="str">
        <f ca="1">IFERROR(__xludf.DUMMYFUNCTION("""COMPUTED_VALUE"""),"")</f>
        <v/>
      </c>
      <c r="D19972" s="12" t="str">
        <f ca="1">IFERROR(__xludf.DUMMYFUNCTION("""COMPUTED_VALUE"""),"")</f>
        <v/>
      </c>
    </row>
    <row r="19973" spans="2:4" ht="13">
      <c r="B19973" s="12" t="str">
        <f ca="1">IFERROR(__xludf.DUMMYFUNCTION("""COMPUTED_VALUE"""),"")</f>
        <v/>
      </c>
      <c r="C19973" s="12" t="str">
        <f ca="1">IFERROR(__xludf.DUMMYFUNCTION("""COMPUTED_VALUE"""),"")</f>
        <v/>
      </c>
      <c r="D19973" s="12" t="str">
        <f ca="1">IFERROR(__xludf.DUMMYFUNCTION("""COMPUTED_VALUE"""),"")</f>
        <v/>
      </c>
    </row>
    <row r="19974" spans="2:4" ht="13">
      <c r="B19974" s="12" t="str">
        <f ca="1">IFERROR(__xludf.DUMMYFUNCTION("""COMPUTED_VALUE"""),"")</f>
        <v/>
      </c>
      <c r="C19974" s="12" t="str">
        <f ca="1">IFERROR(__xludf.DUMMYFUNCTION("""COMPUTED_VALUE"""),"")</f>
        <v/>
      </c>
      <c r="D19974" s="12" t="str">
        <f ca="1">IFERROR(__xludf.DUMMYFUNCTION("""COMPUTED_VALUE"""),"")</f>
        <v/>
      </c>
    </row>
    <row r="19975" spans="2:4" ht="13">
      <c r="B19975" s="12" t="str">
        <f ca="1">IFERROR(__xludf.DUMMYFUNCTION("""COMPUTED_VALUE"""),"")</f>
        <v/>
      </c>
      <c r="C19975" s="12" t="str">
        <f ca="1">IFERROR(__xludf.DUMMYFUNCTION("""COMPUTED_VALUE"""),"")</f>
        <v/>
      </c>
      <c r="D19975" s="12" t="str">
        <f ca="1">IFERROR(__xludf.DUMMYFUNCTION("""COMPUTED_VALUE"""),"")</f>
        <v/>
      </c>
    </row>
    <row r="19976" spans="2:4" ht="13">
      <c r="B19976" s="12" t="str">
        <f ca="1">IFERROR(__xludf.DUMMYFUNCTION("""COMPUTED_VALUE"""),"")</f>
        <v/>
      </c>
      <c r="C19976" s="12" t="str">
        <f ca="1">IFERROR(__xludf.DUMMYFUNCTION("""COMPUTED_VALUE"""),"")</f>
        <v/>
      </c>
      <c r="D19976" s="12" t="str">
        <f ca="1">IFERROR(__xludf.DUMMYFUNCTION("""COMPUTED_VALUE"""),"")</f>
        <v/>
      </c>
    </row>
    <row r="19977" spans="2:4" ht="13">
      <c r="B19977" s="12" t="str">
        <f ca="1">IFERROR(__xludf.DUMMYFUNCTION("""COMPUTED_VALUE"""),"")</f>
        <v/>
      </c>
      <c r="C19977" s="12" t="str">
        <f ca="1">IFERROR(__xludf.DUMMYFUNCTION("""COMPUTED_VALUE"""),"")</f>
        <v/>
      </c>
      <c r="D19977" s="12" t="str">
        <f ca="1">IFERROR(__xludf.DUMMYFUNCTION("""COMPUTED_VALUE"""),"")</f>
        <v/>
      </c>
    </row>
    <row r="19978" spans="2:4" ht="13">
      <c r="B19978" s="12" t="str">
        <f ca="1">IFERROR(__xludf.DUMMYFUNCTION("""COMPUTED_VALUE"""),"")</f>
        <v/>
      </c>
      <c r="C19978" s="12" t="str">
        <f ca="1">IFERROR(__xludf.DUMMYFUNCTION("""COMPUTED_VALUE"""),"")</f>
        <v/>
      </c>
      <c r="D19978" s="12" t="str">
        <f ca="1">IFERROR(__xludf.DUMMYFUNCTION("""COMPUTED_VALUE"""),"")</f>
        <v/>
      </c>
    </row>
    <row r="19979" spans="2:4" ht="13">
      <c r="B19979" s="12" t="str">
        <f ca="1">IFERROR(__xludf.DUMMYFUNCTION("""COMPUTED_VALUE"""),"")</f>
        <v/>
      </c>
      <c r="C19979" s="12" t="str">
        <f ca="1">IFERROR(__xludf.DUMMYFUNCTION("""COMPUTED_VALUE"""),"")</f>
        <v/>
      </c>
      <c r="D19979" s="12" t="str">
        <f ca="1">IFERROR(__xludf.DUMMYFUNCTION("""COMPUTED_VALUE"""),"")</f>
        <v/>
      </c>
    </row>
    <row r="19980" spans="2:4" ht="13">
      <c r="B19980" s="12" t="str">
        <f ca="1">IFERROR(__xludf.DUMMYFUNCTION("""COMPUTED_VALUE"""),"")</f>
        <v/>
      </c>
      <c r="C19980" s="12" t="str">
        <f ca="1">IFERROR(__xludf.DUMMYFUNCTION("""COMPUTED_VALUE"""),"")</f>
        <v/>
      </c>
      <c r="D19980" s="12" t="str">
        <f ca="1">IFERROR(__xludf.DUMMYFUNCTION("""COMPUTED_VALUE"""),"")</f>
        <v/>
      </c>
    </row>
    <row r="19981" spans="2:4" ht="13">
      <c r="B19981" s="12" t="str">
        <f ca="1">IFERROR(__xludf.DUMMYFUNCTION("""COMPUTED_VALUE"""),"")</f>
        <v/>
      </c>
      <c r="C19981" s="12" t="str">
        <f ca="1">IFERROR(__xludf.DUMMYFUNCTION("""COMPUTED_VALUE"""),"")</f>
        <v/>
      </c>
      <c r="D19981" s="12" t="str">
        <f ca="1">IFERROR(__xludf.DUMMYFUNCTION("""COMPUTED_VALUE"""),"")</f>
        <v/>
      </c>
    </row>
    <row r="19982" spans="2:4" ht="13">
      <c r="B19982" s="12" t="str">
        <f ca="1">IFERROR(__xludf.DUMMYFUNCTION("""COMPUTED_VALUE"""),"")</f>
        <v/>
      </c>
      <c r="C19982" s="12" t="str">
        <f ca="1">IFERROR(__xludf.DUMMYFUNCTION("""COMPUTED_VALUE"""),"")</f>
        <v/>
      </c>
      <c r="D19982" s="12" t="str">
        <f ca="1">IFERROR(__xludf.DUMMYFUNCTION("""COMPUTED_VALUE"""),"")</f>
        <v/>
      </c>
    </row>
    <row r="19983" spans="2:4" ht="13">
      <c r="B19983" s="12" t="str">
        <f ca="1">IFERROR(__xludf.DUMMYFUNCTION("""COMPUTED_VALUE"""),"")</f>
        <v/>
      </c>
      <c r="C19983" s="12" t="str">
        <f ca="1">IFERROR(__xludf.DUMMYFUNCTION("""COMPUTED_VALUE"""),"")</f>
        <v/>
      </c>
      <c r="D19983" s="12" t="str">
        <f ca="1">IFERROR(__xludf.DUMMYFUNCTION("""COMPUTED_VALUE"""),"")</f>
        <v/>
      </c>
    </row>
    <row r="19984" spans="2:4" ht="13">
      <c r="B19984" s="12" t="str">
        <f ca="1">IFERROR(__xludf.DUMMYFUNCTION("""COMPUTED_VALUE"""),"")</f>
        <v/>
      </c>
      <c r="C19984" s="12" t="str">
        <f ca="1">IFERROR(__xludf.DUMMYFUNCTION("""COMPUTED_VALUE"""),"")</f>
        <v/>
      </c>
      <c r="D19984" s="12" t="str">
        <f ca="1">IFERROR(__xludf.DUMMYFUNCTION("""COMPUTED_VALUE"""),"")</f>
        <v/>
      </c>
    </row>
    <row r="19985" spans="2:4" ht="13">
      <c r="B19985" s="12" t="str">
        <f ca="1">IFERROR(__xludf.DUMMYFUNCTION("""COMPUTED_VALUE"""),"")</f>
        <v/>
      </c>
      <c r="C19985" s="12" t="str">
        <f ca="1">IFERROR(__xludf.DUMMYFUNCTION("""COMPUTED_VALUE"""),"")</f>
        <v/>
      </c>
      <c r="D19985" s="12" t="str">
        <f ca="1">IFERROR(__xludf.DUMMYFUNCTION("""COMPUTED_VALUE"""),"")</f>
        <v/>
      </c>
    </row>
    <row r="19986" spans="2:4" ht="13">
      <c r="B19986" s="12" t="str">
        <f ca="1">IFERROR(__xludf.DUMMYFUNCTION("""COMPUTED_VALUE"""),"")</f>
        <v/>
      </c>
      <c r="C19986" s="12" t="str">
        <f ca="1">IFERROR(__xludf.DUMMYFUNCTION("""COMPUTED_VALUE"""),"")</f>
        <v/>
      </c>
      <c r="D19986" s="12" t="str">
        <f ca="1">IFERROR(__xludf.DUMMYFUNCTION("""COMPUTED_VALUE"""),"")</f>
        <v/>
      </c>
    </row>
    <row r="19987" spans="2:4" ht="13">
      <c r="B19987" s="12" t="str">
        <f ca="1">IFERROR(__xludf.DUMMYFUNCTION("""COMPUTED_VALUE"""),"")</f>
        <v/>
      </c>
      <c r="C19987" s="12" t="str">
        <f ca="1">IFERROR(__xludf.DUMMYFUNCTION("""COMPUTED_VALUE"""),"")</f>
        <v/>
      </c>
      <c r="D19987" s="12" t="str">
        <f ca="1">IFERROR(__xludf.DUMMYFUNCTION("""COMPUTED_VALUE"""),"")</f>
        <v/>
      </c>
    </row>
    <row r="19988" spans="2:4" ht="13">
      <c r="B19988" s="12" t="str">
        <f ca="1">IFERROR(__xludf.DUMMYFUNCTION("""COMPUTED_VALUE"""),"")</f>
        <v/>
      </c>
      <c r="C19988" s="12" t="str">
        <f ca="1">IFERROR(__xludf.DUMMYFUNCTION("""COMPUTED_VALUE"""),"")</f>
        <v/>
      </c>
      <c r="D19988" s="12" t="str">
        <f ca="1">IFERROR(__xludf.DUMMYFUNCTION("""COMPUTED_VALUE"""),"")</f>
        <v/>
      </c>
    </row>
    <row r="19989" spans="2:4" ht="13">
      <c r="B19989" s="12" t="str">
        <f ca="1">IFERROR(__xludf.DUMMYFUNCTION("""COMPUTED_VALUE"""),"")</f>
        <v/>
      </c>
      <c r="C19989" s="12" t="str">
        <f ca="1">IFERROR(__xludf.DUMMYFUNCTION("""COMPUTED_VALUE"""),"")</f>
        <v/>
      </c>
      <c r="D19989" s="12" t="str">
        <f ca="1">IFERROR(__xludf.DUMMYFUNCTION("""COMPUTED_VALUE"""),"")</f>
        <v/>
      </c>
    </row>
    <row r="19990" spans="2:4" ht="13">
      <c r="B19990" s="12" t="str">
        <f ca="1">IFERROR(__xludf.DUMMYFUNCTION("""COMPUTED_VALUE"""),"")</f>
        <v/>
      </c>
      <c r="C19990" s="12" t="str">
        <f ca="1">IFERROR(__xludf.DUMMYFUNCTION("""COMPUTED_VALUE"""),"")</f>
        <v/>
      </c>
      <c r="D19990" s="12" t="str">
        <f ca="1">IFERROR(__xludf.DUMMYFUNCTION("""COMPUTED_VALUE"""),"")</f>
        <v/>
      </c>
    </row>
    <row r="19991" spans="2:4" ht="13">
      <c r="B19991" s="12" t="str">
        <f ca="1">IFERROR(__xludf.DUMMYFUNCTION("""COMPUTED_VALUE"""),"")</f>
        <v/>
      </c>
      <c r="C19991" s="12" t="str">
        <f ca="1">IFERROR(__xludf.DUMMYFUNCTION("""COMPUTED_VALUE"""),"")</f>
        <v/>
      </c>
      <c r="D19991" s="12" t="str">
        <f ca="1">IFERROR(__xludf.DUMMYFUNCTION("""COMPUTED_VALUE"""),"")</f>
        <v/>
      </c>
    </row>
    <row r="19992" spans="2:4" ht="13">
      <c r="B19992" s="12" t="str">
        <f ca="1">IFERROR(__xludf.DUMMYFUNCTION("""COMPUTED_VALUE"""),"")</f>
        <v/>
      </c>
      <c r="C19992" s="12" t="str">
        <f ca="1">IFERROR(__xludf.DUMMYFUNCTION("""COMPUTED_VALUE"""),"")</f>
        <v/>
      </c>
      <c r="D19992" s="12" t="str">
        <f ca="1">IFERROR(__xludf.DUMMYFUNCTION("""COMPUTED_VALUE"""),"")</f>
        <v/>
      </c>
    </row>
    <row r="19993" spans="2:4" ht="13">
      <c r="B19993" s="12" t="str">
        <f ca="1">IFERROR(__xludf.DUMMYFUNCTION("""COMPUTED_VALUE"""),"")</f>
        <v/>
      </c>
      <c r="C19993" s="12" t="str">
        <f ca="1">IFERROR(__xludf.DUMMYFUNCTION("""COMPUTED_VALUE"""),"")</f>
        <v/>
      </c>
      <c r="D19993" s="12" t="str">
        <f ca="1">IFERROR(__xludf.DUMMYFUNCTION("""COMPUTED_VALUE"""),"")</f>
        <v/>
      </c>
    </row>
    <row r="19994" spans="2:4" ht="13">
      <c r="B19994" s="12" t="str">
        <f ca="1">IFERROR(__xludf.DUMMYFUNCTION("""COMPUTED_VALUE"""),"")</f>
        <v/>
      </c>
      <c r="C19994" s="12" t="str">
        <f ca="1">IFERROR(__xludf.DUMMYFUNCTION("""COMPUTED_VALUE"""),"")</f>
        <v/>
      </c>
      <c r="D19994" s="12" t="str">
        <f ca="1">IFERROR(__xludf.DUMMYFUNCTION("""COMPUTED_VALUE"""),"")</f>
        <v/>
      </c>
    </row>
    <row r="19995" spans="2:4" ht="13">
      <c r="B19995" s="12" t="str">
        <f ca="1">IFERROR(__xludf.DUMMYFUNCTION("""COMPUTED_VALUE"""),"")</f>
        <v/>
      </c>
      <c r="C19995" s="12" t="str">
        <f ca="1">IFERROR(__xludf.DUMMYFUNCTION("""COMPUTED_VALUE"""),"")</f>
        <v/>
      </c>
      <c r="D19995" s="12" t="str">
        <f ca="1">IFERROR(__xludf.DUMMYFUNCTION("""COMPUTED_VALUE"""),"")</f>
        <v/>
      </c>
    </row>
    <row r="19996" spans="2:4" ht="13">
      <c r="B19996" s="12" t="str">
        <f ca="1">IFERROR(__xludf.DUMMYFUNCTION("""COMPUTED_VALUE"""),"")</f>
        <v/>
      </c>
      <c r="C19996" s="12" t="str">
        <f ca="1">IFERROR(__xludf.DUMMYFUNCTION("""COMPUTED_VALUE"""),"")</f>
        <v/>
      </c>
      <c r="D19996" s="12" t="str">
        <f ca="1">IFERROR(__xludf.DUMMYFUNCTION("""COMPUTED_VALUE"""),"")</f>
        <v/>
      </c>
    </row>
    <row r="19997" spans="2:4" ht="13">
      <c r="B19997" s="12" t="str">
        <f ca="1">IFERROR(__xludf.DUMMYFUNCTION("""COMPUTED_VALUE"""),"")</f>
        <v/>
      </c>
      <c r="C19997" s="12" t="str">
        <f ca="1">IFERROR(__xludf.DUMMYFUNCTION("""COMPUTED_VALUE"""),"")</f>
        <v/>
      </c>
      <c r="D19997" s="12" t="str">
        <f ca="1">IFERROR(__xludf.DUMMYFUNCTION("""COMPUTED_VALUE"""),"")</f>
        <v/>
      </c>
    </row>
    <row r="19998" spans="2:4" ht="13">
      <c r="B19998" s="12" t="str">
        <f ca="1">IFERROR(__xludf.DUMMYFUNCTION("""COMPUTED_VALUE"""),"")</f>
        <v/>
      </c>
      <c r="C19998" s="12" t="str">
        <f ca="1">IFERROR(__xludf.DUMMYFUNCTION("""COMPUTED_VALUE"""),"")</f>
        <v/>
      </c>
      <c r="D19998" s="12" t="str">
        <f ca="1">IFERROR(__xludf.DUMMYFUNCTION("""COMPUTED_VALUE"""),"")</f>
        <v/>
      </c>
    </row>
    <row r="19999" spans="2:4" ht="13">
      <c r="B19999" s="12" t="str">
        <f ca="1">IFERROR(__xludf.DUMMYFUNCTION("""COMPUTED_VALUE"""),"")</f>
        <v/>
      </c>
      <c r="C19999" s="12" t="str">
        <f ca="1">IFERROR(__xludf.DUMMYFUNCTION("""COMPUTED_VALUE"""),"")</f>
        <v/>
      </c>
      <c r="D19999" s="12" t="str">
        <f ca="1">IFERROR(__xludf.DUMMYFUNCTION("""COMPUTED_VALUE"""),"")</f>
        <v/>
      </c>
    </row>
    <row r="20000" spans="2:4" ht="13">
      <c r="B20000" s="12" t="str">
        <f ca="1">IFERROR(__xludf.DUMMYFUNCTION("""COMPUTED_VALUE"""),"")</f>
        <v/>
      </c>
      <c r="C20000" s="12" t="str">
        <f ca="1">IFERROR(__xludf.DUMMYFUNCTION("""COMPUTED_VALUE"""),"")</f>
        <v/>
      </c>
      <c r="D20000" s="12" t="str">
        <f ca="1">IFERROR(__xludf.DUMMYFUNCTION("""COMPUTED_VALUE"""),"")</f>
        <v/>
      </c>
    </row>
    <row r="20001" spans="2:4" ht="13">
      <c r="B20001" s="12" t="str">
        <f ca="1">IFERROR(__xludf.DUMMYFUNCTION("""COMPUTED_VALUE"""),"")</f>
        <v/>
      </c>
      <c r="C20001" s="12" t="str">
        <f ca="1">IFERROR(__xludf.DUMMYFUNCTION("""COMPUTED_VALUE"""),"")</f>
        <v/>
      </c>
      <c r="D20001" s="12" t="str">
        <f ca="1">IFERROR(__xludf.DUMMYFUNCTION("""COMPUTED_VALUE"""),"")</f>
        <v/>
      </c>
    </row>
    <row r="20002" spans="2:4" ht="13">
      <c r="B20002" s="12" t="str">
        <f ca="1">IFERROR(__xludf.DUMMYFUNCTION("""COMPUTED_VALUE"""),"")</f>
        <v/>
      </c>
      <c r="C20002" s="12" t="str">
        <f ca="1">IFERROR(__xludf.DUMMYFUNCTION("""COMPUTED_VALUE"""),"")</f>
        <v/>
      </c>
      <c r="D20002" s="12" t="str">
        <f ca="1">IFERROR(__xludf.DUMMYFUNCTION("""COMPUTED_VALUE"""),"")</f>
        <v/>
      </c>
    </row>
    <row r="20003" spans="2:4" ht="13">
      <c r="B20003" s="12" t="str">
        <f ca="1">IFERROR(__xludf.DUMMYFUNCTION("""COMPUTED_VALUE"""),"")</f>
        <v/>
      </c>
      <c r="C20003" s="12" t="str">
        <f ca="1">IFERROR(__xludf.DUMMYFUNCTION("""COMPUTED_VALUE"""),"")</f>
        <v/>
      </c>
      <c r="D20003" s="12" t="str">
        <f ca="1">IFERROR(__xludf.DUMMYFUNCTION("""COMPUTED_VALUE"""),"")</f>
        <v/>
      </c>
    </row>
    <row r="20004" spans="2:4" ht="13">
      <c r="B20004" s="12" t="str">
        <f ca="1">IFERROR(__xludf.DUMMYFUNCTION("""COMPUTED_VALUE"""),"")</f>
        <v/>
      </c>
      <c r="C20004" s="12" t="str">
        <f ca="1">IFERROR(__xludf.DUMMYFUNCTION("""COMPUTED_VALUE"""),"")</f>
        <v/>
      </c>
      <c r="D20004" s="12" t="str">
        <f ca="1">IFERROR(__xludf.DUMMYFUNCTION("""COMPUTED_VALUE"""),"")</f>
        <v/>
      </c>
    </row>
    <row r="20005" spans="2:4" ht="13">
      <c r="B20005" s="12" t="str">
        <f ca="1">IFERROR(__xludf.DUMMYFUNCTION("""COMPUTED_VALUE"""),"")</f>
        <v/>
      </c>
      <c r="C20005" s="12" t="str">
        <f ca="1">IFERROR(__xludf.DUMMYFUNCTION("""COMPUTED_VALUE"""),"")</f>
        <v/>
      </c>
      <c r="D20005" s="12" t="str">
        <f ca="1">IFERROR(__xludf.DUMMYFUNCTION("""COMPUTED_VALUE"""),"")</f>
        <v/>
      </c>
    </row>
    <row r="20006" spans="2:4" ht="13">
      <c r="B20006" s="12" t="str">
        <f ca="1">IFERROR(__xludf.DUMMYFUNCTION("""COMPUTED_VALUE"""),"")</f>
        <v/>
      </c>
      <c r="C20006" s="12" t="str">
        <f ca="1">IFERROR(__xludf.DUMMYFUNCTION("""COMPUTED_VALUE"""),"")</f>
        <v/>
      </c>
      <c r="D20006" s="12" t="str">
        <f ca="1">IFERROR(__xludf.DUMMYFUNCTION("""COMPUTED_VALUE"""),"")</f>
        <v/>
      </c>
    </row>
    <row r="20007" spans="2:4" ht="13">
      <c r="B20007" s="12" t="str">
        <f ca="1">IFERROR(__xludf.DUMMYFUNCTION("""COMPUTED_VALUE"""),"")</f>
        <v/>
      </c>
      <c r="C20007" s="12" t="str">
        <f ca="1">IFERROR(__xludf.DUMMYFUNCTION("""COMPUTED_VALUE"""),"")</f>
        <v/>
      </c>
      <c r="D20007" s="12" t="str">
        <f ca="1">IFERROR(__xludf.DUMMYFUNCTION("""COMPUTED_VALUE"""),"")</f>
        <v/>
      </c>
    </row>
    <row r="20008" spans="2:4" ht="13">
      <c r="B20008" s="12" t="str">
        <f ca="1">IFERROR(__xludf.DUMMYFUNCTION("""COMPUTED_VALUE"""),"")</f>
        <v/>
      </c>
      <c r="C20008" s="12" t="str">
        <f ca="1">IFERROR(__xludf.DUMMYFUNCTION("""COMPUTED_VALUE"""),"")</f>
        <v/>
      </c>
      <c r="D20008" s="12" t="str">
        <f ca="1">IFERROR(__xludf.DUMMYFUNCTION("""COMPUTED_VALUE"""),"")</f>
        <v/>
      </c>
    </row>
    <row r="20009" spans="2:4" ht="13">
      <c r="B20009" s="12" t="str">
        <f ca="1">IFERROR(__xludf.DUMMYFUNCTION("""COMPUTED_VALUE"""),"")</f>
        <v/>
      </c>
      <c r="C20009" s="12" t="str">
        <f ca="1">IFERROR(__xludf.DUMMYFUNCTION("""COMPUTED_VALUE"""),"")</f>
        <v/>
      </c>
      <c r="D20009" s="12" t="str">
        <f ca="1">IFERROR(__xludf.DUMMYFUNCTION("""COMPUTED_VALUE"""),"")</f>
        <v/>
      </c>
    </row>
    <row r="20010" spans="2:4" ht="13">
      <c r="B20010" s="12" t="str">
        <f ca="1">IFERROR(__xludf.DUMMYFUNCTION("""COMPUTED_VALUE"""),"")</f>
        <v/>
      </c>
      <c r="C20010" s="12" t="str">
        <f ca="1">IFERROR(__xludf.DUMMYFUNCTION("""COMPUTED_VALUE"""),"")</f>
        <v/>
      </c>
      <c r="D20010" s="12" t="str">
        <f ca="1">IFERROR(__xludf.DUMMYFUNCTION("""COMPUTED_VALUE"""),"")</f>
        <v/>
      </c>
    </row>
    <row r="20011" spans="2:4" ht="13">
      <c r="B20011" s="12" t="str">
        <f ca="1">IFERROR(__xludf.DUMMYFUNCTION("""COMPUTED_VALUE"""),"")</f>
        <v/>
      </c>
      <c r="C20011" s="12" t="str">
        <f ca="1">IFERROR(__xludf.DUMMYFUNCTION("""COMPUTED_VALUE"""),"")</f>
        <v/>
      </c>
      <c r="D20011" s="12" t="str">
        <f ca="1">IFERROR(__xludf.DUMMYFUNCTION("""COMPUTED_VALUE"""),"")</f>
        <v/>
      </c>
    </row>
    <row r="20012" spans="2:4" ht="13">
      <c r="B20012" s="12" t="str">
        <f ca="1">IFERROR(__xludf.DUMMYFUNCTION("""COMPUTED_VALUE"""),"")</f>
        <v/>
      </c>
      <c r="C20012" s="12" t="str">
        <f ca="1">IFERROR(__xludf.DUMMYFUNCTION("""COMPUTED_VALUE"""),"")</f>
        <v/>
      </c>
      <c r="D20012" s="12" t="str">
        <f ca="1">IFERROR(__xludf.DUMMYFUNCTION("""COMPUTED_VALUE"""),"")</f>
        <v/>
      </c>
    </row>
    <row r="20013" spans="2:4" ht="13">
      <c r="B20013" s="12" t="str">
        <f ca="1">IFERROR(__xludf.DUMMYFUNCTION("""COMPUTED_VALUE"""),"")</f>
        <v/>
      </c>
      <c r="C20013" s="12" t="str">
        <f ca="1">IFERROR(__xludf.DUMMYFUNCTION("""COMPUTED_VALUE"""),"")</f>
        <v/>
      </c>
      <c r="D20013" s="12" t="str">
        <f ca="1">IFERROR(__xludf.DUMMYFUNCTION("""COMPUTED_VALUE"""),"")</f>
        <v/>
      </c>
    </row>
    <row r="20014" spans="2:4" ht="13">
      <c r="B20014" s="12" t="str">
        <f ca="1">IFERROR(__xludf.DUMMYFUNCTION("""COMPUTED_VALUE"""),"")</f>
        <v/>
      </c>
      <c r="C20014" s="12" t="str">
        <f ca="1">IFERROR(__xludf.DUMMYFUNCTION("""COMPUTED_VALUE"""),"")</f>
        <v/>
      </c>
      <c r="D20014" s="12" t="str">
        <f ca="1">IFERROR(__xludf.DUMMYFUNCTION("""COMPUTED_VALUE"""),"")</f>
        <v/>
      </c>
    </row>
    <row r="20015" spans="2:4" ht="13">
      <c r="B20015" s="12" t="str">
        <f ca="1">IFERROR(__xludf.DUMMYFUNCTION("""COMPUTED_VALUE"""),"")</f>
        <v/>
      </c>
      <c r="C20015" s="12" t="str">
        <f ca="1">IFERROR(__xludf.DUMMYFUNCTION("""COMPUTED_VALUE"""),"")</f>
        <v/>
      </c>
      <c r="D20015" s="12" t="str">
        <f ca="1">IFERROR(__xludf.DUMMYFUNCTION("""COMPUTED_VALUE"""),"")</f>
        <v/>
      </c>
    </row>
    <row r="20016" spans="2:4" ht="13">
      <c r="B20016" s="12" t="str">
        <f ca="1">IFERROR(__xludf.DUMMYFUNCTION("""COMPUTED_VALUE"""),"")</f>
        <v/>
      </c>
      <c r="C20016" s="12" t="str">
        <f ca="1">IFERROR(__xludf.DUMMYFUNCTION("""COMPUTED_VALUE"""),"")</f>
        <v/>
      </c>
      <c r="D20016" s="12" t="str">
        <f ca="1">IFERROR(__xludf.DUMMYFUNCTION("""COMPUTED_VALUE"""),"")</f>
        <v/>
      </c>
    </row>
    <row r="20017" spans="2:4" ht="13">
      <c r="B20017" s="12" t="str">
        <f ca="1">IFERROR(__xludf.DUMMYFUNCTION("""COMPUTED_VALUE"""),"")</f>
        <v/>
      </c>
      <c r="C20017" s="12" t="str">
        <f ca="1">IFERROR(__xludf.DUMMYFUNCTION("""COMPUTED_VALUE"""),"")</f>
        <v/>
      </c>
      <c r="D20017" s="12" t="str">
        <f ca="1">IFERROR(__xludf.DUMMYFUNCTION("""COMPUTED_VALUE"""),"")</f>
        <v/>
      </c>
    </row>
    <row r="20018" spans="2:4" ht="13">
      <c r="B20018" s="12" t="str">
        <f ca="1">IFERROR(__xludf.DUMMYFUNCTION("""COMPUTED_VALUE"""),"")</f>
        <v/>
      </c>
      <c r="C20018" s="12" t="str">
        <f ca="1">IFERROR(__xludf.DUMMYFUNCTION("""COMPUTED_VALUE"""),"")</f>
        <v/>
      </c>
      <c r="D20018" s="12" t="str">
        <f ca="1">IFERROR(__xludf.DUMMYFUNCTION("""COMPUTED_VALUE"""),"")</f>
        <v/>
      </c>
    </row>
    <row r="20019" spans="2:4" ht="13">
      <c r="B20019" s="12" t="str">
        <f ca="1">IFERROR(__xludf.DUMMYFUNCTION("""COMPUTED_VALUE"""),"")</f>
        <v/>
      </c>
      <c r="C20019" s="12" t="str">
        <f ca="1">IFERROR(__xludf.DUMMYFUNCTION("""COMPUTED_VALUE"""),"")</f>
        <v/>
      </c>
      <c r="D20019" s="12" t="str">
        <f ca="1">IFERROR(__xludf.DUMMYFUNCTION("""COMPUTED_VALUE"""),"")</f>
        <v/>
      </c>
    </row>
    <row r="20020" spans="2:4" ht="13">
      <c r="B20020" s="12" t="str">
        <f ca="1">IFERROR(__xludf.DUMMYFUNCTION("""COMPUTED_VALUE"""),"")</f>
        <v/>
      </c>
      <c r="C20020" s="12" t="str">
        <f ca="1">IFERROR(__xludf.DUMMYFUNCTION("""COMPUTED_VALUE"""),"")</f>
        <v/>
      </c>
      <c r="D20020" s="12" t="str">
        <f ca="1">IFERROR(__xludf.DUMMYFUNCTION("""COMPUTED_VALUE"""),"")</f>
        <v/>
      </c>
    </row>
    <row r="20021" spans="2:4" ht="13">
      <c r="B20021" s="12" t="str">
        <f ca="1">IFERROR(__xludf.DUMMYFUNCTION("""COMPUTED_VALUE"""),"")</f>
        <v/>
      </c>
      <c r="C20021" s="12" t="str">
        <f ca="1">IFERROR(__xludf.DUMMYFUNCTION("""COMPUTED_VALUE"""),"")</f>
        <v/>
      </c>
      <c r="D20021" s="12" t="str">
        <f ca="1">IFERROR(__xludf.DUMMYFUNCTION("""COMPUTED_VALUE"""),"")</f>
        <v/>
      </c>
    </row>
    <row r="20022" spans="2:4" ht="13">
      <c r="B20022" s="12" t="str">
        <f ca="1">IFERROR(__xludf.DUMMYFUNCTION("""COMPUTED_VALUE"""),"")</f>
        <v/>
      </c>
      <c r="C20022" s="12" t="str">
        <f ca="1">IFERROR(__xludf.DUMMYFUNCTION("""COMPUTED_VALUE"""),"")</f>
        <v/>
      </c>
      <c r="D20022" s="12" t="str">
        <f ca="1">IFERROR(__xludf.DUMMYFUNCTION("""COMPUTED_VALUE"""),"")</f>
        <v/>
      </c>
    </row>
    <row r="20023" spans="2:4" ht="13">
      <c r="B20023" s="12" t="str">
        <f ca="1">IFERROR(__xludf.DUMMYFUNCTION("""COMPUTED_VALUE"""),"")</f>
        <v/>
      </c>
      <c r="C20023" s="12" t="str">
        <f ca="1">IFERROR(__xludf.DUMMYFUNCTION("""COMPUTED_VALUE"""),"")</f>
        <v/>
      </c>
      <c r="D20023" s="12" t="str">
        <f ca="1">IFERROR(__xludf.DUMMYFUNCTION("""COMPUTED_VALUE"""),"")</f>
        <v/>
      </c>
    </row>
    <row r="20024" spans="2:4" ht="13">
      <c r="B20024" s="12" t="str">
        <f ca="1">IFERROR(__xludf.DUMMYFUNCTION("""COMPUTED_VALUE"""),"")</f>
        <v/>
      </c>
      <c r="C20024" s="12" t="str">
        <f ca="1">IFERROR(__xludf.DUMMYFUNCTION("""COMPUTED_VALUE"""),"")</f>
        <v/>
      </c>
      <c r="D20024" s="12" t="str">
        <f ca="1">IFERROR(__xludf.DUMMYFUNCTION("""COMPUTED_VALUE"""),"")</f>
        <v/>
      </c>
    </row>
    <row r="20025" spans="2:4" ht="13">
      <c r="B20025" s="12" t="str">
        <f ca="1">IFERROR(__xludf.DUMMYFUNCTION("""COMPUTED_VALUE"""),"")</f>
        <v/>
      </c>
      <c r="C20025" s="12" t="str">
        <f ca="1">IFERROR(__xludf.DUMMYFUNCTION("""COMPUTED_VALUE"""),"")</f>
        <v/>
      </c>
      <c r="D20025" s="12" t="str">
        <f ca="1">IFERROR(__xludf.DUMMYFUNCTION("""COMPUTED_VALUE"""),"")</f>
        <v/>
      </c>
    </row>
    <row r="20026" spans="2:4" ht="13">
      <c r="B20026" s="12" t="str">
        <f ca="1">IFERROR(__xludf.DUMMYFUNCTION("""COMPUTED_VALUE"""),"")</f>
        <v/>
      </c>
      <c r="C20026" s="12" t="str">
        <f ca="1">IFERROR(__xludf.DUMMYFUNCTION("""COMPUTED_VALUE"""),"")</f>
        <v/>
      </c>
      <c r="D20026" s="12" t="str">
        <f ca="1">IFERROR(__xludf.DUMMYFUNCTION("""COMPUTED_VALUE"""),"")</f>
        <v/>
      </c>
    </row>
    <row r="20027" spans="2:4" ht="13">
      <c r="B20027" s="12" t="str">
        <f ca="1">IFERROR(__xludf.DUMMYFUNCTION("""COMPUTED_VALUE"""),"")</f>
        <v/>
      </c>
      <c r="C20027" s="12" t="str">
        <f ca="1">IFERROR(__xludf.DUMMYFUNCTION("""COMPUTED_VALUE"""),"")</f>
        <v/>
      </c>
      <c r="D20027" s="12" t="str">
        <f ca="1">IFERROR(__xludf.DUMMYFUNCTION("""COMPUTED_VALUE"""),"")</f>
        <v/>
      </c>
    </row>
    <row r="20028" spans="2:4" ht="13">
      <c r="B20028" s="12" t="str">
        <f ca="1">IFERROR(__xludf.DUMMYFUNCTION("""COMPUTED_VALUE"""),"")</f>
        <v/>
      </c>
      <c r="C20028" s="12" t="str">
        <f ca="1">IFERROR(__xludf.DUMMYFUNCTION("""COMPUTED_VALUE"""),"")</f>
        <v/>
      </c>
      <c r="D20028" s="12" t="str">
        <f ca="1">IFERROR(__xludf.DUMMYFUNCTION("""COMPUTED_VALUE"""),"")</f>
        <v/>
      </c>
    </row>
    <row r="20029" spans="2:4" ht="13">
      <c r="B20029" s="12" t="str">
        <f ca="1">IFERROR(__xludf.DUMMYFUNCTION("""COMPUTED_VALUE"""),"")</f>
        <v/>
      </c>
      <c r="C20029" s="12" t="str">
        <f ca="1">IFERROR(__xludf.DUMMYFUNCTION("""COMPUTED_VALUE"""),"")</f>
        <v/>
      </c>
      <c r="D20029" s="12" t="str">
        <f ca="1">IFERROR(__xludf.DUMMYFUNCTION("""COMPUTED_VALUE"""),"")</f>
        <v/>
      </c>
    </row>
    <row r="20030" spans="2:4" ht="13">
      <c r="B20030" s="12" t="str">
        <f ca="1">IFERROR(__xludf.DUMMYFUNCTION("""COMPUTED_VALUE"""),"")</f>
        <v/>
      </c>
      <c r="C20030" s="12" t="str">
        <f ca="1">IFERROR(__xludf.DUMMYFUNCTION("""COMPUTED_VALUE"""),"")</f>
        <v/>
      </c>
      <c r="D20030" s="12" t="str">
        <f ca="1">IFERROR(__xludf.DUMMYFUNCTION("""COMPUTED_VALUE"""),"")</f>
        <v/>
      </c>
    </row>
    <row r="20031" spans="2:4" ht="13">
      <c r="B20031" s="12" t="str">
        <f ca="1">IFERROR(__xludf.DUMMYFUNCTION("""COMPUTED_VALUE"""),"")</f>
        <v/>
      </c>
      <c r="C20031" s="12" t="str">
        <f ca="1">IFERROR(__xludf.DUMMYFUNCTION("""COMPUTED_VALUE"""),"")</f>
        <v/>
      </c>
      <c r="D20031" s="12" t="str">
        <f ca="1">IFERROR(__xludf.DUMMYFUNCTION("""COMPUTED_VALUE"""),"")</f>
        <v/>
      </c>
    </row>
    <row r="20032" spans="2:4" ht="13">
      <c r="B20032" s="12" t="str">
        <f ca="1">IFERROR(__xludf.DUMMYFUNCTION("""COMPUTED_VALUE"""),"")</f>
        <v/>
      </c>
      <c r="C20032" s="12" t="str">
        <f ca="1">IFERROR(__xludf.DUMMYFUNCTION("""COMPUTED_VALUE"""),"")</f>
        <v/>
      </c>
      <c r="D20032" s="12" t="str">
        <f ca="1">IFERROR(__xludf.DUMMYFUNCTION("""COMPUTED_VALUE"""),"")</f>
        <v/>
      </c>
    </row>
    <row r="20033" spans="2:4" ht="13">
      <c r="B20033" s="12" t="str">
        <f ca="1">IFERROR(__xludf.DUMMYFUNCTION("""COMPUTED_VALUE"""),"")</f>
        <v/>
      </c>
      <c r="C20033" s="12" t="str">
        <f ca="1">IFERROR(__xludf.DUMMYFUNCTION("""COMPUTED_VALUE"""),"")</f>
        <v/>
      </c>
      <c r="D20033" s="12" t="str">
        <f ca="1">IFERROR(__xludf.DUMMYFUNCTION("""COMPUTED_VALUE"""),"")</f>
        <v/>
      </c>
    </row>
    <row r="20034" spans="2:4" ht="13">
      <c r="B20034" s="12" t="str">
        <f ca="1">IFERROR(__xludf.DUMMYFUNCTION("""COMPUTED_VALUE"""),"")</f>
        <v/>
      </c>
      <c r="C20034" s="12" t="str">
        <f ca="1">IFERROR(__xludf.DUMMYFUNCTION("""COMPUTED_VALUE"""),"")</f>
        <v/>
      </c>
      <c r="D20034" s="12" t="str">
        <f ca="1">IFERROR(__xludf.DUMMYFUNCTION("""COMPUTED_VALUE"""),"")</f>
        <v/>
      </c>
    </row>
    <row r="20035" spans="2:4" ht="13">
      <c r="B20035" s="12" t="str">
        <f ca="1">IFERROR(__xludf.DUMMYFUNCTION("""COMPUTED_VALUE"""),"")</f>
        <v/>
      </c>
      <c r="C20035" s="12" t="str">
        <f ca="1">IFERROR(__xludf.DUMMYFUNCTION("""COMPUTED_VALUE"""),"")</f>
        <v/>
      </c>
      <c r="D20035" s="12" t="str">
        <f ca="1">IFERROR(__xludf.DUMMYFUNCTION("""COMPUTED_VALUE"""),"")</f>
        <v/>
      </c>
    </row>
    <row r="20036" spans="2:4" ht="13">
      <c r="B20036" s="12" t="str">
        <f ca="1">IFERROR(__xludf.DUMMYFUNCTION("""COMPUTED_VALUE"""),"")</f>
        <v/>
      </c>
      <c r="C20036" s="12" t="str">
        <f ca="1">IFERROR(__xludf.DUMMYFUNCTION("""COMPUTED_VALUE"""),"")</f>
        <v/>
      </c>
      <c r="D20036" s="12" t="str">
        <f ca="1">IFERROR(__xludf.DUMMYFUNCTION("""COMPUTED_VALUE"""),"")</f>
        <v/>
      </c>
    </row>
    <row r="20037" spans="2:4" ht="13">
      <c r="B20037" s="12" t="str">
        <f ca="1">IFERROR(__xludf.DUMMYFUNCTION("""COMPUTED_VALUE"""),"")</f>
        <v/>
      </c>
      <c r="C20037" s="12" t="str">
        <f ca="1">IFERROR(__xludf.DUMMYFUNCTION("""COMPUTED_VALUE"""),"")</f>
        <v/>
      </c>
      <c r="D20037" s="12" t="str">
        <f ca="1">IFERROR(__xludf.DUMMYFUNCTION("""COMPUTED_VALUE"""),"")</f>
        <v/>
      </c>
    </row>
    <row r="20038" spans="2:4" ht="13">
      <c r="B20038" s="12" t="str">
        <f ca="1">IFERROR(__xludf.DUMMYFUNCTION("""COMPUTED_VALUE"""),"")</f>
        <v/>
      </c>
      <c r="C20038" s="12" t="str">
        <f ca="1">IFERROR(__xludf.DUMMYFUNCTION("""COMPUTED_VALUE"""),"")</f>
        <v/>
      </c>
      <c r="D20038" s="12" t="str">
        <f ca="1">IFERROR(__xludf.DUMMYFUNCTION("""COMPUTED_VALUE"""),"")</f>
        <v/>
      </c>
    </row>
    <row r="20039" spans="2:4" ht="13">
      <c r="B20039" s="12" t="str">
        <f ca="1">IFERROR(__xludf.DUMMYFUNCTION("""COMPUTED_VALUE"""),"")</f>
        <v/>
      </c>
      <c r="C20039" s="12" t="str">
        <f ca="1">IFERROR(__xludf.DUMMYFUNCTION("""COMPUTED_VALUE"""),"")</f>
        <v/>
      </c>
      <c r="D20039" s="12" t="str">
        <f ca="1">IFERROR(__xludf.DUMMYFUNCTION("""COMPUTED_VALUE"""),"")</f>
        <v/>
      </c>
    </row>
    <row r="20040" spans="2:4" ht="13">
      <c r="B20040" s="12" t="str">
        <f ca="1">IFERROR(__xludf.DUMMYFUNCTION("""COMPUTED_VALUE"""),"")</f>
        <v/>
      </c>
      <c r="C20040" s="12" t="str">
        <f ca="1">IFERROR(__xludf.DUMMYFUNCTION("""COMPUTED_VALUE"""),"")</f>
        <v/>
      </c>
      <c r="D20040" s="12" t="str">
        <f ca="1">IFERROR(__xludf.DUMMYFUNCTION("""COMPUTED_VALUE"""),"")</f>
        <v/>
      </c>
    </row>
    <row r="20041" spans="2:4" ht="13">
      <c r="B20041" s="12" t="str">
        <f ca="1">IFERROR(__xludf.DUMMYFUNCTION("""COMPUTED_VALUE"""),"")</f>
        <v/>
      </c>
      <c r="C20041" s="12" t="str">
        <f ca="1">IFERROR(__xludf.DUMMYFUNCTION("""COMPUTED_VALUE"""),"")</f>
        <v/>
      </c>
      <c r="D20041" s="12" t="str">
        <f ca="1">IFERROR(__xludf.DUMMYFUNCTION("""COMPUTED_VALUE"""),"")</f>
        <v/>
      </c>
    </row>
    <row r="20042" spans="2:4" ht="13">
      <c r="B20042" s="12" t="str">
        <f ca="1">IFERROR(__xludf.DUMMYFUNCTION("""COMPUTED_VALUE"""),"")</f>
        <v/>
      </c>
      <c r="C20042" s="12" t="str">
        <f ca="1">IFERROR(__xludf.DUMMYFUNCTION("""COMPUTED_VALUE"""),"")</f>
        <v/>
      </c>
      <c r="D20042" s="12" t="str">
        <f ca="1">IFERROR(__xludf.DUMMYFUNCTION("""COMPUTED_VALUE"""),"")</f>
        <v/>
      </c>
    </row>
    <row r="20043" spans="2:4" ht="13">
      <c r="B20043" s="12" t="str">
        <f ca="1">IFERROR(__xludf.DUMMYFUNCTION("""COMPUTED_VALUE"""),"")</f>
        <v/>
      </c>
      <c r="C20043" s="12" t="str">
        <f ca="1">IFERROR(__xludf.DUMMYFUNCTION("""COMPUTED_VALUE"""),"")</f>
        <v/>
      </c>
      <c r="D20043" s="12" t="str">
        <f ca="1">IFERROR(__xludf.DUMMYFUNCTION("""COMPUTED_VALUE"""),"")</f>
        <v/>
      </c>
    </row>
    <row r="20044" spans="2:4" ht="13">
      <c r="B20044" s="12" t="str">
        <f ca="1">IFERROR(__xludf.DUMMYFUNCTION("""COMPUTED_VALUE"""),"")</f>
        <v/>
      </c>
      <c r="C20044" s="12" t="str">
        <f ca="1">IFERROR(__xludf.DUMMYFUNCTION("""COMPUTED_VALUE"""),"")</f>
        <v/>
      </c>
      <c r="D20044" s="12" t="str">
        <f ca="1">IFERROR(__xludf.DUMMYFUNCTION("""COMPUTED_VALUE"""),"")</f>
        <v/>
      </c>
    </row>
    <row r="20045" spans="2:4" ht="13">
      <c r="B20045" s="12" t="str">
        <f ca="1">IFERROR(__xludf.DUMMYFUNCTION("""COMPUTED_VALUE"""),"")</f>
        <v/>
      </c>
      <c r="C20045" s="12" t="str">
        <f ca="1">IFERROR(__xludf.DUMMYFUNCTION("""COMPUTED_VALUE"""),"")</f>
        <v/>
      </c>
      <c r="D20045" s="12" t="str">
        <f ca="1">IFERROR(__xludf.DUMMYFUNCTION("""COMPUTED_VALUE"""),"")</f>
        <v/>
      </c>
    </row>
    <row r="20046" spans="2:4" ht="13">
      <c r="B20046" s="12" t="str">
        <f ca="1">IFERROR(__xludf.DUMMYFUNCTION("""COMPUTED_VALUE"""),"")</f>
        <v/>
      </c>
      <c r="C20046" s="12" t="str">
        <f ca="1">IFERROR(__xludf.DUMMYFUNCTION("""COMPUTED_VALUE"""),"")</f>
        <v/>
      </c>
      <c r="D20046" s="12" t="str">
        <f ca="1">IFERROR(__xludf.DUMMYFUNCTION("""COMPUTED_VALUE"""),"")</f>
        <v/>
      </c>
    </row>
    <row r="20047" spans="2:4" ht="13">
      <c r="B20047" s="12" t="str">
        <f ca="1">IFERROR(__xludf.DUMMYFUNCTION("""COMPUTED_VALUE"""),"")</f>
        <v/>
      </c>
      <c r="C20047" s="12" t="str">
        <f ca="1">IFERROR(__xludf.DUMMYFUNCTION("""COMPUTED_VALUE"""),"")</f>
        <v/>
      </c>
      <c r="D20047" s="12" t="str">
        <f ca="1">IFERROR(__xludf.DUMMYFUNCTION("""COMPUTED_VALUE"""),"")</f>
        <v/>
      </c>
    </row>
    <row r="20048" spans="2:4" ht="13">
      <c r="B20048" s="12" t="str">
        <f ca="1">IFERROR(__xludf.DUMMYFUNCTION("""COMPUTED_VALUE"""),"")</f>
        <v/>
      </c>
      <c r="C20048" s="12" t="str">
        <f ca="1">IFERROR(__xludf.DUMMYFUNCTION("""COMPUTED_VALUE"""),"")</f>
        <v/>
      </c>
      <c r="D20048" s="12" t="str">
        <f ca="1">IFERROR(__xludf.DUMMYFUNCTION("""COMPUTED_VALUE"""),"")</f>
        <v/>
      </c>
    </row>
    <row r="20049" spans="2:4" ht="13">
      <c r="B20049" s="12" t="str">
        <f ca="1">IFERROR(__xludf.DUMMYFUNCTION("""COMPUTED_VALUE"""),"")</f>
        <v/>
      </c>
      <c r="C20049" s="12" t="str">
        <f ca="1">IFERROR(__xludf.DUMMYFUNCTION("""COMPUTED_VALUE"""),"")</f>
        <v/>
      </c>
      <c r="D20049" s="12" t="str">
        <f ca="1">IFERROR(__xludf.DUMMYFUNCTION("""COMPUTED_VALUE"""),"")</f>
        <v/>
      </c>
    </row>
    <row r="20050" spans="2:4" ht="13">
      <c r="B20050" s="12" t="str">
        <f ca="1">IFERROR(__xludf.DUMMYFUNCTION("""COMPUTED_VALUE"""),"")</f>
        <v/>
      </c>
      <c r="C20050" s="12" t="str">
        <f ca="1">IFERROR(__xludf.DUMMYFUNCTION("""COMPUTED_VALUE"""),"")</f>
        <v/>
      </c>
      <c r="D20050" s="12" t="str">
        <f ca="1">IFERROR(__xludf.DUMMYFUNCTION("""COMPUTED_VALUE"""),"")</f>
        <v/>
      </c>
    </row>
    <row r="20051" spans="2:4" ht="13">
      <c r="B20051" s="12" t="str">
        <f ca="1">IFERROR(__xludf.DUMMYFUNCTION("""COMPUTED_VALUE"""),"")</f>
        <v/>
      </c>
      <c r="C20051" s="12" t="str">
        <f ca="1">IFERROR(__xludf.DUMMYFUNCTION("""COMPUTED_VALUE"""),"")</f>
        <v/>
      </c>
      <c r="D20051" s="12" t="str">
        <f ca="1">IFERROR(__xludf.DUMMYFUNCTION("""COMPUTED_VALUE"""),"")</f>
        <v/>
      </c>
    </row>
    <row r="20052" spans="2:4" ht="13">
      <c r="B20052" s="12" t="str">
        <f ca="1">IFERROR(__xludf.DUMMYFUNCTION("""COMPUTED_VALUE"""),"")</f>
        <v/>
      </c>
      <c r="C20052" s="12" t="str">
        <f ca="1">IFERROR(__xludf.DUMMYFUNCTION("""COMPUTED_VALUE"""),"")</f>
        <v/>
      </c>
      <c r="D20052" s="12" t="str">
        <f ca="1">IFERROR(__xludf.DUMMYFUNCTION("""COMPUTED_VALUE"""),"")</f>
        <v/>
      </c>
    </row>
    <row r="20053" spans="2:4" ht="13">
      <c r="B20053" s="12" t="str">
        <f ca="1">IFERROR(__xludf.DUMMYFUNCTION("""COMPUTED_VALUE"""),"")</f>
        <v/>
      </c>
      <c r="C20053" s="12" t="str">
        <f ca="1">IFERROR(__xludf.DUMMYFUNCTION("""COMPUTED_VALUE"""),"")</f>
        <v/>
      </c>
      <c r="D20053" s="12" t="str">
        <f ca="1">IFERROR(__xludf.DUMMYFUNCTION("""COMPUTED_VALUE"""),"")</f>
        <v/>
      </c>
    </row>
    <row r="20054" spans="2:4" ht="13">
      <c r="B20054" s="12" t="str">
        <f ca="1">IFERROR(__xludf.DUMMYFUNCTION("""COMPUTED_VALUE"""),"")</f>
        <v/>
      </c>
      <c r="C20054" s="12" t="str">
        <f ca="1">IFERROR(__xludf.DUMMYFUNCTION("""COMPUTED_VALUE"""),"")</f>
        <v/>
      </c>
      <c r="D20054" s="12" t="str">
        <f ca="1">IFERROR(__xludf.DUMMYFUNCTION("""COMPUTED_VALUE"""),"")</f>
        <v/>
      </c>
    </row>
    <row r="20055" spans="2:4" ht="13">
      <c r="B20055" s="12" t="str">
        <f ca="1">IFERROR(__xludf.DUMMYFUNCTION("""COMPUTED_VALUE"""),"")</f>
        <v/>
      </c>
      <c r="C20055" s="12" t="str">
        <f ca="1">IFERROR(__xludf.DUMMYFUNCTION("""COMPUTED_VALUE"""),"")</f>
        <v/>
      </c>
      <c r="D20055" s="12" t="str">
        <f ca="1">IFERROR(__xludf.DUMMYFUNCTION("""COMPUTED_VALUE"""),"")</f>
        <v/>
      </c>
    </row>
    <row r="20056" spans="2:4" ht="13">
      <c r="B20056" s="12" t="str">
        <f ca="1">IFERROR(__xludf.DUMMYFUNCTION("""COMPUTED_VALUE"""),"")</f>
        <v/>
      </c>
      <c r="C20056" s="12" t="str">
        <f ca="1">IFERROR(__xludf.DUMMYFUNCTION("""COMPUTED_VALUE"""),"")</f>
        <v/>
      </c>
      <c r="D20056" s="12" t="str">
        <f ca="1">IFERROR(__xludf.DUMMYFUNCTION("""COMPUTED_VALUE"""),"")</f>
        <v/>
      </c>
    </row>
    <row r="20057" spans="2:4" ht="13">
      <c r="B20057" s="12" t="str">
        <f ca="1">IFERROR(__xludf.DUMMYFUNCTION("""COMPUTED_VALUE"""),"")</f>
        <v/>
      </c>
      <c r="C20057" s="12" t="str">
        <f ca="1">IFERROR(__xludf.DUMMYFUNCTION("""COMPUTED_VALUE"""),"")</f>
        <v/>
      </c>
      <c r="D20057" s="12" t="str">
        <f ca="1">IFERROR(__xludf.DUMMYFUNCTION("""COMPUTED_VALUE"""),"")</f>
        <v/>
      </c>
    </row>
    <row r="20058" spans="2:4" ht="13">
      <c r="B20058" s="12" t="str">
        <f ca="1">IFERROR(__xludf.DUMMYFUNCTION("""COMPUTED_VALUE"""),"")</f>
        <v/>
      </c>
      <c r="C20058" s="12" t="str">
        <f ca="1">IFERROR(__xludf.DUMMYFUNCTION("""COMPUTED_VALUE"""),"")</f>
        <v/>
      </c>
      <c r="D20058" s="12" t="str">
        <f ca="1">IFERROR(__xludf.DUMMYFUNCTION("""COMPUTED_VALUE"""),"")</f>
        <v/>
      </c>
    </row>
    <row r="20059" spans="2:4" ht="13">
      <c r="B20059" s="12" t="str">
        <f ca="1">IFERROR(__xludf.DUMMYFUNCTION("""COMPUTED_VALUE"""),"")</f>
        <v/>
      </c>
      <c r="C20059" s="12" t="str">
        <f ca="1">IFERROR(__xludf.DUMMYFUNCTION("""COMPUTED_VALUE"""),"")</f>
        <v/>
      </c>
      <c r="D20059" s="12" t="str">
        <f ca="1">IFERROR(__xludf.DUMMYFUNCTION("""COMPUTED_VALUE"""),"")</f>
        <v/>
      </c>
    </row>
    <row r="20060" spans="2:4" ht="13">
      <c r="B20060" s="12" t="str">
        <f ca="1">IFERROR(__xludf.DUMMYFUNCTION("""COMPUTED_VALUE"""),"")</f>
        <v/>
      </c>
      <c r="C20060" s="12" t="str">
        <f ca="1">IFERROR(__xludf.DUMMYFUNCTION("""COMPUTED_VALUE"""),"")</f>
        <v/>
      </c>
      <c r="D20060" s="12" t="str">
        <f ca="1">IFERROR(__xludf.DUMMYFUNCTION("""COMPUTED_VALUE"""),"")</f>
        <v/>
      </c>
    </row>
    <row r="20061" spans="2:4" ht="13">
      <c r="B20061" s="12" t="str">
        <f ca="1">IFERROR(__xludf.DUMMYFUNCTION("""COMPUTED_VALUE"""),"")</f>
        <v/>
      </c>
      <c r="C20061" s="12" t="str">
        <f ca="1">IFERROR(__xludf.DUMMYFUNCTION("""COMPUTED_VALUE"""),"")</f>
        <v/>
      </c>
      <c r="D20061" s="12" t="str">
        <f ca="1">IFERROR(__xludf.DUMMYFUNCTION("""COMPUTED_VALUE"""),"")</f>
        <v/>
      </c>
    </row>
    <row r="20062" spans="2:4" ht="13">
      <c r="B20062" s="12" t="str">
        <f ca="1">IFERROR(__xludf.DUMMYFUNCTION("""COMPUTED_VALUE"""),"")</f>
        <v/>
      </c>
      <c r="C20062" s="12" t="str">
        <f ca="1">IFERROR(__xludf.DUMMYFUNCTION("""COMPUTED_VALUE"""),"")</f>
        <v/>
      </c>
      <c r="D20062" s="12" t="str">
        <f ca="1">IFERROR(__xludf.DUMMYFUNCTION("""COMPUTED_VALUE"""),"")</f>
        <v/>
      </c>
    </row>
    <row r="20063" spans="2:4" ht="13">
      <c r="B20063" s="12" t="str">
        <f ca="1">IFERROR(__xludf.DUMMYFUNCTION("""COMPUTED_VALUE"""),"")</f>
        <v/>
      </c>
      <c r="C20063" s="12" t="str">
        <f ca="1">IFERROR(__xludf.DUMMYFUNCTION("""COMPUTED_VALUE"""),"")</f>
        <v/>
      </c>
      <c r="D20063" s="12" t="str">
        <f ca="1">IFERROR(__xludf.DUMMYFUNCTION("""COMPUTED_VALUE"""),"")</f>
        <v/>
      </c>
    </row>
    <row r="20064" spans="2:4" ht="13">
      <c r="B20064" s="12" t="str">
        <f ca="1">IFERROR(__xludf.DUMMYFUNCTION("""COMPUTED_VALUE"""),"")</f>
        <v/>
      </c>
      <c r="C20064" s="12" t="str">
        <f ca="1">IFERROR(__xludf.DUMMYFUNCTION("""COMPUTED_VALUE"""),"")</f>
        <v/>
      </c>
      <c r="D20064" s="12" t="str">
        <f ca="1">IFERROR(__xludf.DUMMYFUNCTION("""COMPUTED_VALUE"""),"")</f>
        <v/>
      </c>
    </row>
    <row r="20065" spans="2:4" ht="13">
      <c r="B20065" s="12" t="str">
        <f ca="1">IFERROR(__xludf.DUMMYFUNCTION("""COMPUTED_VALUE"""),"")</f>
        <v/>
      </c>
      <c r="C20065" s="12" t="str">
        <f ca="1">IFERROR(__xludf.DUMMYFUNCTION("""COMPUTED_VALUE"""),"")</f>
        <v/>
      </c>
      <c r="D20065" s="12" t="str">
        <f ca="1">IFERROR(__xludf.DUMMYFUNCTION("""COMPUTED_VALUE"""),"")</f>
        <v/>
      </c>
    </row>
    <row r="20066" spans="2:4" ht="13">
      <c r="B20066" s="12" t="str">
        <f ca="1">IFERROR(__xludf.DUMMYFUNCTION("""COMPUTED_VALUE"""),"")</f>
        <v/>
      </c>
      <c r="C20066" s="12" t="str">
        <f ca="1">IFERROR(__xludf.DUMMYFUNCTION("""COMPUTED_VALUE"""),"")</f>
        <v/>
      </c>
      <c r="D20066" s="12" t="str">
        <f ca="1">IFERROR(__xludf.DUMMYFUNCTION("""COMPUTED_VALUE"""),"")</f>
        <v/>
      </c>
    </row>
    <row r="20067" spans="2:4" ht="13">
      <c r="B20067" s="12" t="str">
        <f ca="1">IFERROR(__xludf.DUMMYFUNCTION("""COMPUTED_VALUE"""),"")</f>
        <v/>
      </c>
      <c r="C20067" s="12" t="str">
        <f ca="1">IFERROR(__xludf.DUMMYFUNCTION("""COMPUTED_VALUE"""),"")</f>
        <v/>
      </c>
      <c r="D20067" s="12" t="str">
        <f ca="1">IFERROR(__xludf.DUMMYFUNCTION("""COMPUTED_VALUE"""),"")</f>
        <v/>
      </c>
    </row>
    <row r="20068" spans="2:4" ht="13">
      <c r="B20068" s="12" t="str">
        <f ca="1">IFERROR(__xludf.DUMMYFUNCTION("""COMPUTED_VALUE"""),"")</f>
        <v/>
      </c>
      <c r="C20068" s="12" t="str">
        <f ca="1">IFERROR(__xludf.DUMMYFUNCTION("""COMPUTED_VALUE"""),"")</f>
        <v/>
      </c>
      <c r="D20068" s="12" t="str">
        <f ca="1">IFERROR(__xludf.DUMMYFUNCTION("""COMPUTED_VALUE"""),"")</f>
        <v/>
      </c>
    </row>
    <row r="20069" spans="2:4" ht="13">
      <c r="B20069" s="12" t="str">
        <f ca="1">IFERROR(__xludf.DUMMYFUNCTION("""COMPUTED_VALUE"""),"")</f>
        <v/>
      </c>
      <c r="C20069" s="12" t="str">
        <f ca="1">IFERROR(__xludf.DUMMYFUNCTION("""COMPUTED_VALUE"""),"")</f>
        <v/>
      </c>
      <c r="D20069" s="12" t="str">
        <f ca="1">IFERROR(__xludf.DUMMYFUNCTION("""COMPUTED_VALUE"""),"")</f>
        <v/>
      </c>
    </row>
    <row r="20070" spans="2:4" ht="13">
      <c r="B20070" s="12" t="str">
        <f ca="1">IFERROR(__xludf.DUMMYFUNCTION("""COMPUTED_VALUE"""),"")</f>
        <v/>
      </c>
      <c r="C20070" s="12" t="str">
        <f ca="1">IFERROR(__xludf.DUMMYFUNCTION("""COMPUTED_VALUE"""),"")</f>
        <v/>
      </c>
      <c r="D20070" s="12" t="str">
        <f ca="1">IFERROR(__xludf.DUMMYFUNCTION("""COMPUTED_VALUE"""),"")</f>
        <v/>
      </c>
    </row>
    <row r="20071" spans="2:4" ht="13">
      <c r="B20071" s="12" t="str">
        <f ca="1">IFERROR(__xludf.DUMMYFUNCTION("""COMPUTED_VALUE"""),"")</f>
        <v/>
      </c>
      <c r="C20071" s="12" t="str">
        <f ca="1">IFERROR(__xludf.DUMMYFUNCTION("""COMPUTED_VALUE"""),"")</f>
        <v/>
      </c>
      <c r="D20071" s="12" t="str">
        <f ca="1">IFERROR(__xludf.DUMMYFUNCTION("""COMPUTED_VALUE"""),"")</f>
        <v/>
      </c>
    </row>
    <row r="20072" spans="2:4" ht="13">
      <c r="B20072" s="12" t="str">
        <f ca="1">IFERROR(__xludf.DUMMYFUNCTION("""COMPUTED_VALUE"""),"")</f>
        <v/>
      </c>
      <c r="C20072" s="12" t="str">
        <f ca="1">IFERROR(__xludf.DUMMYFUNCTION("""COMPUTED_VALUE"""),"")</f>
        <v/>
      </c>
      <c r="D20072" s="12" t="str">
        <f ca="1">IFERROR(__xludf.DUMMYFUNCTION("""COMPUTED_VALUE"""),"")</f>
        <v/>
      </c>
    </row>
    <row r="20073" spans="2:4" ht="13">
      <c r="B20073" s="12" t="str">
        <f ca="1">IFERROR(__xludf.DUMMYFUNCTION("""COMPUTED_VALUE"""),"")</f>
        <v/>
      </c>
      <c r="C20073" s="12" t="str">
        <f ca="1">IFERROR(__xludf.DUMMYFUNCTION("""COMPUTED_VALUE"""),"")</f>
        <v/>
      </c>
      <c r="D20073" s="12" t="str">
        <f ca="1">IFERROR(__xludf.DUMMYFUNCTION("""COMPUTED_VALUE"""),"")</f>
        <v/>
      </c>
    </row>
    <row r="20074" spans="2:4" ht="13">
      <c r="B20074" s="12" t="str">
        <f ca="1">IFERROR(__xludf.DUMMYFUNCTION("""COMPUTED_VALUE"""),"")</f>
        <v/>
      </c>
      <c r="C20074" s="12" t="str">
        <f ca="1">IFERROR(__xludf.DUMMYFUNCTION("""COMPUTED_VALUE"""),"")</f>
        <v/>
      </c>
      <c r="D20074" s="12" t="str">
        <f ca="1">IFERROR(__xludf.DUMMYFUNCTION("""COMPUTED_VALUE"""),"")</f>
        <v/>
      </c>
    </row>
    <row r="20075" spans="2:4" ht="13">
      <c r="B20075" s="12" t="str">
        <f ca="1">IFERROR(__xludf.DUMMYFUNCTION("""COMPUTED_VALUE"""),"")</f>
        <v/>
      </c>
      <c r="C20075" s="12" t="str">
        <f ca="1">IFERROR(__xludf.DUMMYFUNCTION("""COMPUTED_VALUE"""),"")</f>
        <v/>
      </c>
      <c r="D20075" s="12" t="str">
        <f ca="1">IFERROR(__xludf.DUMMYFUNCTION("""COMPUTED_VALUE"""),"")</f>
        <v/>
      </c>
    </row>
    <row r="20076" spans="2:4" ht="13">
      <c r="B20076" s="12" t="str">
        <f ca="1">IFERROR(__xludf.DUMMYFUNCTION("""COMPUTED_VALUE"""),"")</f>
        <v/>
      </c>
      <c r="C20076" s="12" t="str">
        <f ca="1">IFERROR(__xludf.DUMMYFUNCTION("""COMPUTED_VALUE"""),"")</f>
        <v/>
      </c>
      <c r="D20076" s="12" t="str">
        <f ca="1">IFERROR(__xludf.DUMMYFUNCTION("""COMPUTED_VALUE"""),"")</f>
        <v/>
      </c>
    </row>
    <row r="20077" spans="2:4" ht="13">
      <c r="B20077" s="12" t="str">
        <f ca="1">IFERROR(__xludf.DUMMYFUNCTION("""COMPUTED_VALUE"""),"")</f>
        <v/>
      </c>
      <c r="C20077" s="12" t="str">
        <f ca="1">IFERROR(__xludf.DUMMYFUNCTION("""COMPUTED_VALUE"""),"")</f>
        <v/>
      </c>
      <c r="D20077" s="12" t="str">
        <f ca="1">IFERROR(__xludf.DUMMYFUNCTION("""COMPUTED_VALUE"""),"")</f>
        <v/>
      </c>
    </row>
    <row r="20078" spans="2:4" ht="13">
      <c r="B20078" s="12" t="str">
        <f ca="1">IFERROR(__xludf.DUMMYFUNCTION("""COMPUTED_VALUE"""),"")</f>
        <v/>
      </c>
      <c r="C20078" s="12" t="str">
        <f ca="1">IFERROR(__xludf.DUMMYFUNCTION("""COMPUTED_VALUE"""),"")</f>
        <v/>
      </c>
      <c r="D20078" s="12" t="str">
        <f ca="1">IFERROR(__xludf.DUMMYFUNCTION("""COMPUTED_VALUE"""),"")</f>
        <v/>
      </c>
    </row>
    <row r="20079" spans="2:4" ht="13">
      <c r="B20079" s="12" t="str">
        <f ca="1">IFERROR(__xludf.DUMMYFUNCTION("""COMPUTED_VALUE"""),"")</f>
        <v/>
      </c>
      <c r="C20079" s="12" t="str">
        <f ca="1">IFERROR(__xludf.DUMMYFUNCTION("""COMPUTED_VALUE"""),"")</f>
        <v/>
      </c>
      <c r="D20079" s="12" t="str">
        <f ca="1">IFERROR(__xludf.DUMMYFUNCTION("""COMPUTED_VALUE"""),"")</f>
        <v/>
      </c>
    </row>
    <row r="20080" spans="2:4" ht="13">
      <c r="B20080" s="12" t="str">
        <f ca="1">IFERROR(__xludf.DUMMYFUNCTION("""COMPUTED_VALUE"""),"")</f>
        <v/>
      </c>
      <c r="C20080" s="12" t="str">
        <f ca="1">IFERROR(__xludf.DUMMYFUNCTION("""COMPUTED_VALUE"""),"")</f>
        <v/>
      </c>
      <c r="D20080" s="12" t="str">
        <f ca="1">IFERROR(__xludf.DUMMYFUNCTION("""COMPUTED_VALUE"""),"")</f>
        <v/>
      </c>
    </row>
    <row r="20081" spans="2:4" ht="13">
      <c r="B20081" s="12" t="str">
        <f ca="1">IFERROR(__xludf.DUMMYFUNCTION("""COMPUTED_VALUE"""),"")</f>
        <v/>
      </c>
      <c r="C20081" s="12" t="str">
        <f ca="1">IFERROR(__xludf.DUMMYFUNCTION("""COMPUTED_VALUE"""),"")</f>
        <v/>
      </c>
      <c r="D20081" s="12" t="str">
        <f ca="1">IFERROR(__xludf.DUMMYFUNCTION("""COMPUTED_VALUE"""),"")</f>
        <v/>
      </c>
    </row>
    <row r="20082" spans="2:4" ht="13">
      <c r="B20082" s="12" t="str">
        <f ca="1">IFERROR(__xludf.DUMMYFUNCTION("""COMPUTED_VALUE"""),"")</f>
        <v/>
      </c>
      <c r="C20082" s="12" t="str">
        <f ca="1">IFERROR(__xludf.DUMMYFUNCTION("""COMPUTED_VALUE"""),"")</f>
        <v/>
      </c>
      <c r="D20082" s="12" t="str">
        <f ca="1">IFERROR(__xludf.DUMMYFUNCTION("""COMPUTED_VALUE"""),"")</f>
        <v/>
      </c>
    </row>
    <row r="20083" spans="2:4" ht="13">
      <c r="B20083" s="12" t="str">
        <f ca="1">IFERROR(__xludf.DUMMYFUNCTION("""COMPUTED_VALUE"""),"")</f>
        <v/>
      </c>
      <c r="C20083" s="12" t="str">
        <f ca="1">IFERROR(__xludf.DUMMYFUNCTION("""COMPUTED_VALUE"""),"")</f>
        <v/>
      </c>
      <c r="D20083" s="12" t="str">
        <f ca="1">IFERROR(__xludf.DUMMYFUNCTION("""COMPUTED_VALUE"""),"")</f>
        <v/>
      </c>
    </row>
    <row r="20084" spans="2:4" ht="13">
      <c r="B20084" s="12" t="str">
        <f ca="1">IFERROR(__xludf.DUMMYFUNCTION("""COMPUTED_VALUE"""),"")</f>
        <v/>
      </c>
      <c r="C20084" s="12" t="str">
        <f ca="1">IFERROR(__xludf.DUMMYFUNCTION("""COMPUTED_VALUE"""),"")</f>
        <v/>
      </c>
      <c r="D20084" s="12" t="str">
        <f ca="1">IFERROR(__xludf.DUMMYFUNCTION("""COMPUTED_VALUE"""),"")</f>
        <v/>
      </c>
    </row>
    <row r="20085" spans="2:4" ht="13">
      <c r="B20085" s="12" t="str">
        <f ca="1">IFERROR(__xludf.DUMMYFUNCTION("""COMPUTED_VALUE"""),"")</f>
        <v/>
      </c>
      <c r="C20085" s="12" t="str">
        <f ca="1">IFERROR(__xludf.DUMMYFUNCTION("""COMPUTED_VALUE"""),"")</f>
        <v/>
      </c>
      <c r="D20085" s="12" t="str">
        <f ca="1">IFERROR(__xludf.DUMMYFUNCTION("""COMPUTED_VALUE"""),"")</f>
        <v/>
      </c>
    </row>
    <row r="20086" spans="2:4" ht="13">
      <c r="B20086" s="12" t="str">
        <f ca="1">IFERROR(__xludf.DUMMYFUNCTION("""COMPUTED_VALUE"""),"")</f>
        <v/>
      </c>
      <c r="C20086" s="12" t="str">
        <f ca="1">IFERROR(__xludf.DUMMYFUNCTION("""COMPUTED_VALUE"""),"")</f>
        <v/>
      </c>
      <c r="D20086" s="12" t="str">
        <f ca="1">IFERROR(__xludf.DUMMYFUNCTION("""COMPUTED_VALUE"""),"")</f>
        <v/>
      </c>
    </row>
    <row r="20087" spans="2:4" ht="13">
      <c r="B20087" s="12" t="str">
        <f ca="1">IFERROR(__xludf.DUMMYFUNCTION("""COMPUTED_VALUE"""),"")</f>
        <v/>
      </c>
      <c r="C20087" s="12" t="str">
        <f ca="1">IFERROR(__xludf.DUMMYFUNCTION("""COMPUTED_VALUE"""),"")</f>
        <v/>
      </c>
      <c r="D20087" s="12" t="str">
        <f ca="1">IFERROR(__xludf.DUMMYFUNCTION("""COMPUTED_VALUE"""),"")</f>
        <v/>
      </c>
    </row>
    <row r="20088" spans="2:4" ht="13">
      <c r="B20088" s="12" t="str">
        <f ca="1">IFERROR(__xludf.DUMMYFUNCTION("""COMPUTED_VALUE"""),"")</f>
        <v/>
      </c>
      <c r="C20088" s="12" t="str">
        <f ca="1">IFERROR(__xludf.DUMMYFUNCTION("""COMPUTED_VALUE"""),"")</f>
        <v/>
      </c>
      <c r="D20088" s="12" t="str">
        <f ca="1">IFERROR(__xludf.DUMMYFUNCTION("""COMPUTED_VALUE"""),"")</f>
        <v/>
      </c>
    </row>
    <row r="20089" spans="2:4" ht="13">
      <c r="B20089" s="12" t="str">
        <f ca="1">IFERROR(__xludf.DUMMYFUNCTION("""COMPUTED_VALUE"""),"")</f>
        <v/>
      </c>
      <c r="C20089" s="12" t="str">
        <f ca="1">IFERROR(__xludf.DUMMYFUNCTION("""COMPUTED_VALUE"""),"")</f>
        <v/>
      </c>
      <c r="D20089" s="12" t="str">
        <f ca="1">IFERROR(__xludf.DUMMYFUNCTION("""COMPUTED_VALUE"""),"")</f>
        <v/>
      </c>
    </row>
    <row r="20090" spans="2:4" ht="13">
      <c r="B20090" s="12" t="str">
        <f ca="1">IFERROR(__xludf.DUMMYFUNCTION("""COMPUTED_VALUE"""),"")</f>
        <v/>
      </c>
      <c r="C20090" s="12" t="str">
        <f ca="1">IFERROR(__xludf.DUMMYFUNCTION("""COMPUTED_VALUE"""),"")</f>
        <v/>
      </c>
      <c r="D20090" s="12" t="str">
        <f ca="1">IFERROR(__xludf.DUMMYFUNCTION("""COMPUTED_VALUE"""),"")</f>
        <v/>
      </c>
    </row>
    <row r="20091" spans="2:4" ht="13">
      <c r="B20091" s="12" t="str">
        <f ca="1">IFERROR(__xludf.DUMMYFUNCTION("""COMPUTED_VALUE"""),"")</f>
        <v/>
      </c>
      <c r="C20091" s="12" t="str">
        <f ca="1">IFERROR(__xludf.DUMMYFUNCTION("""COMPUTED_VALUE"""),"")</f>
        <v/>
      </c>
      <c r="D20091" s="12" t="str">
        <f ca="1">IFERROR(__xludf.DUMMYFUNCTION("""COMPUTED_VALUE"""),"")</f>
        <v/>
      </c>
    </row>
    <row r="20092" spans="2:4" ht="13">
      <c r="B20092" s="12" t="str">
        <f ca="1">IFERROR(__xludf.DUMMYFUNCTION("""COMPUTED_VALUE"""),"")</f>
        <v/>
      </c>
      <c r="C20092" s="12" t="str">
        <f ca="1">IFERROR(__xludf.DUMMYFUNCTION("""COMPUTED_VALUE"""),"")</f>
        <v/>
      </c>
      <c r="D20092" s="12" t="str">
        <f ca="1">IFERROR(__xludf.DUMMYFUNCTION("""COMPUTED_VALUE"""),"")</f>
        <v/>
      </c>
    </row>
    <row r="20093" spans="2:4" ht="13">
      <c r="B20093" s="12" t="str">
        <f ca="1">IFERROR(__xludf.DUMMYFUNCTION("""COMPUTED_VALUE"""),"")</f>
        <v/>
      </c>
      <c r="C20093" s="12" t="str">
        <f ca="1">IFERROR(__xludf.DUMMYFUNCTION("""COMPUTED_VALUE"""),"")</f>
        <v/>
      </c>
      <c r="D20093" s="12" t="str">
        <f ca="1">IFERROR(__xludf.DUMMYFUNCTION("""COMPUTED_VALUE"""),"")</f>
        <v/>
      </c>
    </row>
    <row r="20094" spans="2:4" ht="13">
      <c r="B20094" s="12" t="str">
        <f ca="1">IFERROR(__xludf.DUMMYFUNCTION("""COMPUTED_VALUE"""),"")</f>
        <v/>
      </c>
      <c r="C20094" s="12" t="str">
        <f ca="1">IFERROR(__xludf.DUMMYFUNCTION("""COMPUTED_VALUE"""),"")</f>
        <v/>
      </c>
      <c r="D20094" s="12" t="str">
        <f ca="1">IFERROR(__xludf.DUMMYFUNCTION("""COMPUTED_VALUE"""),"")</f>
        <v/>
      </c>
    </row>
    <row r="20095" spans="2:4" ht="13">
      <c r="B20095" s="12" t="str">
        <f ca="1">IFERROR(__xludf.DUMMYFUNCTION("""COMPUTED_VALUE"""),"")</f>
        <v/>
      </c>
      <c r="C20095" s="12" t="str">
        <f ca="1">IFERROR(__xludf.DUMMYFUNCTION("""COMPUTED_VALUE"""),"")</f>
        <v/>
      </c>
      <c r="D20095" s="12" t="str">
        <f ca="1">IFERROR(__xludf.DUMMYFUNCTION("""COMPUTED_VALUE"""),"")</f>
        <v/>
      </c>
    </row>
    <row r="20096" spans="2:4" ht="13">
      <c r="B20096" s="12" t="str">
        <f ca="1">IFERROR(__xludf.DUMMYFUNCTION("""COMPUTED_VALUE"""),"")</f>
        <v/>
      </c>
      <c r="C20096" s="12" t="str">
        <f ca="1">IFERROR(__xludf.DUMMYFUNCTION("""COMPUTED_VALUE"""),"")</f>
        <v/>
      </c>
      <c r="D20096" s="12" t="str">
        <f ca="1">IFERROR(__xludf.DUMMYFUNCTION("""COMPUTED_VALUE"""),"")</f>
        <v/>
      </c>
    </row>
    <row r="20097" spans="2:4" ht="13">
      <c r="B20097" s="12" t="str">
        <f ca="1">IFERROR(__xludf.DUMMYFUNCTION("""COMPUTED_VALUE"""),"")</f>
        <v/>
      </c>
      <c r="C20097" s="12" t="str">
        <f ca="1">IFERROR(__xludf.DUMMYFUNCTION("""COMPUTED_VALUE"""),"")</f>
        <v/>
      </c>
      <c r="D20097" s="12" t="str">
        <f ca="1">IFERROR(__xludf.DUMMYFUNCTION("""COMPUTED_VALUE"""),"")</f>
        <v/>
      </c>
    </row>
    <row r="20098" spans="2:4" ht="13">
      <c r="B20098" s="12" t="str">
        <f ca="1">IFERROR(__xludf.DUMMYFUNCTION("""COMPUTED_VALUE"""),"")</f>
        <v/>
      </c>
      <c r="C20098" s="12" t="str">
        <f ca="1">IFERROR(__xludf.DUMMYFUNCTION("""COMPUTED_VALUE"""),"")</f>
        <v/>
      </c>
      <c r="D20098" s="12" t="str">
        <f ca="1">IFERROR(__xludf.DUMMYFUNCTION("""COMPUTED_VALUE"""),"")</f>
        <v/>
      </c>
    </row>
    <row r="20099" spans="2:4" ht="13">
      <c r="B20099" s="12" t="str">
        <f ca="1">IFERROR(__xludf.DUMMYFUNCTION("""COMPUTED_VALUE"""),"")</f>
        <v/>
      </c>
      <c r="C20099" s="12" t="str">
        <f ca="1">IFERROR(__xludf.DUMMYFUNCTION("""COMPUTED_VALUE"""),"")</f>
        <v/>
      </c>
      <c r="D20099" s="12" t="str">
        <f ca="1">IFERROR(__xludf.DUMMYFUNCTION("""COMPUTED_VALUE"""),"")</f>
        <v/>
      </c>
    </row>
    <row r="20100" spans="2:4" ht="13">
      <c r="B20100" s="12" t="str">
        <f ca="1">IFERROR(__xludf.DUMMYFUNCTION("""COMPUTED_VALUE"""),"")</f>
        <v/>
      </c>
      <c r="C20100" s="12" t="str">
        <f ca="1">IFERROR(__xludf.DUMMYFUNCTION("""COMPUTED_VALUE"""),"")</f>
        <v/>
      </c>
      <c r="D20100" s="12" t="str">
        <f ca="1">IFERROR(__xludf.DUMMYFUNCTION("""COMPUTED_VALUE"""),"")</f>
        <v/>
      </c>
    </row>
    <row r="20101" spans="2:4" ht="13">
      <c r="B20101" s="12" t="str">
        <f ca="1">IFERROR(__xludf.DUMMYFUNCTION("""COMPUTED_VALUE"""),"")</f>
        <v/>
      </c>
      <c r="C20101" s="12" t="str">
        <f ca="1">IFERROR(__xludf.DUMMYFUNCTION("""COMPUTED_VALUE"""),"")</f>
        <v/>
      </c>
      <c r="D20101" s="12" t="str">
        <f ca="1">IFERROR(__xludf.DUMMYFUNCTION("""COMPUTED_VALUE"""),"")</f>
        <v/>
      </c>
    </row>
    <row r="20102" spans="2:4" ht="13">
      <c r="B20102" s="12" t="str">
        <f ca="1">IFERROR(__xludf.DUMMYFUNCTION("""COMPUTED_VALUE"""),"")</f>
        <v/>
      </c>
      <c r="C20102" s="12" t="str">
        <f ca="1">IFERROR(__xludf.DUMMYFUNCTION("""COMPUTED_VALUE"""),"")</f>
        <v/>
      </c>
      <c r="D20102" s="12" t="str">
        <f ca="1">IFERROR(__xludf.DUMMYFUNCTION("""COMPUTED_VALUE"""),"")</f>
        <v/>
      </c>
    </row>
    <row r="20103" spans="2:4" ht="13">
      <c r="B20103" s="12" t="str">
        <f ca="1">IFERROR(__xludf.DUMMYFUNCTION("""COMPUTED_VALUE"""),"")</f>
        <v/>
      </c>
      <c r="C20103" s="12" t="str">
        <f ca="1">IFERROR(__xludf.DUMMYFUNCTION("""COMPUTED_VALUE"""),"")</f>
        <v/>
      </c>
      <c r="D20103" s="12" t="str">
        <f ca="1">IFERROR(__xludf.DUMMYFUNCTION("""COMPUTED_VALUE"""),"")</f>
        <v/>
      </c>
    </row>
    <row r="20104" spans="2:4" ht="13">
      <c r="B20104" s="12" t="str">
        <f ca="1">IFERROR(__xludf.DUMMYFUNCTION("""COMPUTED_VALUE"""),"")</f>
        <v/>
      </c>
      <c r="C20104" s="12" t="str">
        <f ca="1">IFERROR(__xludf.DUMMYFUNCTION("""COMPUTED_VALUE"""),"")</f>
        <v/>
      </c>
      <c r="D20104" s="12" t="str">
        <f ca="1">IFERROR(__xludf.DUMMYFUNCTION("""COMPUTED_VALUE"""),"")</f>
        <v/>
      </c>
    </row>
    <row r="20105" spans="2:4" ht="13">
      <c r="B20105" s="12" t="str">
        <f ca="1">IFERROR(__xludf.DUMMYFUNCTION("""COMPUTED_VALUE"""),"")</f>
        <v/>
      </c>
      <c r="C20105" s="12" t="str">
        <f ca="1">IFERROR(__xludf.DUMMYFUNCTION("""COMPUTED_VALUE"""),"")</f>
        <v/>
      </c>
      <c r="D20105" s="12" t="str">
        <f ca="1">IFERROR(__xludf.DUMMYFUNCTION("""COMPUTED_VALUE"""),"")</f>
        <v/>
      </c>
    </row>
    <row r="20106" spans="2:4" ht="13">
      <c r="B20106" s="12" t="str">
        <f ca="1">IFERROR(__xludf.DUMMYFUNCTION("""COMPUTED_VALUE"""),"")</f>
        <v/>
      </c>
      <c r="C20106" s="12" t="str">
        <f ca="1">IFERROR(__xludf.DUMMYFUNCTION("""COMPUTED_VALUE"""),"")</f>
        <v/>
      </c>
      <c r="D20106" s="12" t="str">
        <f ca="1">IFERROR(__xludf.DUMMYFUNCTION("""COMPUTED_VALUE"""),"")</f>
        <v/>
      </c>
    </row>
    <row r="20107" spans="2:4" ht="13">
      <c r="B20107" s="12" t="str">
        <f ca="1">IFERROR(__xludf.DUMMYFUNCTION("""COMPUTED_VALUE"""),"")</f>
        <v/>
      </c>
      <c r="C20107" s="12" t="str">
        <f ca="1">IFERROR(__xludf.DUMMYFUNCTION("""COMPUTED_VALUE"""),"")</f>
        <v/>
      </c>
      <c r="D20107" s="12" t="str">
        <f ca="1">IFERROR(__xludf.DUMMYFUNCTION("""COMPUTED_VALUE"""),"")</f>
        <v/>
      </c>
    </row>
    <row r="20108" spans="2:4" ht="13">
      <c r="B20108" s="12" t="str">
        <f ca="1">IFERROR(__xludf.DUMMYFUNCTION("""COMPUTED_VALUE"""),"")</f>
        <v/>
      </c>
      <c r="C20108" s="12" t="str">
        <f ca="1">IFERROR(__xludf.DUMMYFUNCTION("""COMPUTED_VALUE"""),"")</f>
        <v/>
      </c>
      <c r="D20108" s="12" t="str">
        <f ca="1">IFERROR(__xludf.DUMMYFUNCTION("""COMPUTED_VALUE"""),"")</f>
        <v/>
      </c>
    </row>
    <row r="20109" spans="2:4" ht="13">
      <c r="B20109" s="12" t="str">
        <f ca="1">IFERROR(__xludf.DUMMYFUNCTION("""COMPUTED_VALUE"""),"")</f>
        <v/>
      </c>
      <c r="C20109" s="12" t="str">
        <f ca="1">IFERROR(__xludf.DUMMYFUNCTION("""COMPUTED_VALUE"""),"")</f>
        <v/>
      </c>
      <c r="D20109" s="12" t="str">
        <f ca="1">IFERROR(__xludf.DUMMYFUNCTION("""COMPUTED_VALUE"""),"")</f>
        <v/>
      </c>
    </row>
    <row r="20110" spans="2:4" ht="13">
      <c r="B20110" s="12" t="str">
        <f ca="1">IFERROR(__xludf.DUMMYFUNCTION("""COMPUTED_VALUE"""),"")</f>
        <v/>
      </c>
      <c r="C20110" s="12" t="str">
        <f ca="1">IFERROR(__xludf.DUMMYFUNCTION("""COMPUTED_VALUE"""),"")</f>
        <v/>
      </c>
      <c r="D20110" s="12" t="str">
        <f ca="1">IFERROR(__xludf.DUMMYFUNCTION("""COMPUTED_VALUE"""),"")</f>
        <v/>
      </c>
    </row>
    <row r="20111" spans="2:4" ht="13">
      <c r="B20111" s="12" t="str">
        <f ca="1">IFERROR(__xludf.DUMMYFUNCTION("""COMPUTED_VALUE"""),"")</f>
        <v/>
      </c>
      <c r="C20111" s="12" t="str">
        <f ca="1">IFERROR(__xludf.DUMMYFUNCTION("""COMPUTED_VALUE"""),"")</f>
        <v/>
      </c>
      <c r="D20111" s="12" t="str">
        <f ca="1">IFERROR(__xludf.DUMMYFUNCTION("""COMPUTED_VALUE"""),"")</f>
        <v/>
      </c>
    </row>
    <row r="20112" spans="2:4" ht="13">
      <c r="B20112" s="12" t="str">
        <f ca="1">IFERROR(__xludf.DUMMYFUNCTION("""COMPUTED_VALUE"""),"")</f>
        <v/>
      </c>
      <c r="C20112" s="12" t="str">
        <f ca="1">IFERROR(__xludf.DUMMYFUNCTION("""COMPUTED_VALUE"""),"")</f>
        <v/>
      </c>
      <c r="D20112" s="12" t="str">
        <f ca="1">IFERROR(__xludf.DUMMYFUNCTION("""COMPUTED_VALUE"""),"")</f>
        <v/>
      </c>
    </row>
    <row r="20113" spans="2:4" ht="13">
      <c r="B20113" s="12" t="str">
        <f ca="1">IFERROR(__xludf.DUMMYFUNCTION("""COMPUTED_VALUE"""),"")</f>
        <v/>
      </c>
      <c r="C20113" s="12" t="str">
        <f ca="1">IFERROR(__xludf.DUMMYFUNCTION("""COMPUTED_VALUE"""),"")</f>
        <v/>
      </c>
      <c r="D20113" s="12" t="str">
        <f ca="1">IFERROR(__xludf.DUMMYFUNCTION("""COMPUTED_VALUE"""),"")</f>
        <v/>
      </c>
    </row>
    <row r="20114" spans="2:4" ht="13">
      <c r="B20114" s="12" t="str">
        <f ca="1">IFERROR(__xludf.DUMMYFUNCTION("""COMPUTED_VALUE"""),"")</f>
        <v/>
      </c>
      <c r="C20114" s="12" t="str">
        <f ca="1">IFERROR(__xludf.DUMMYFUNCTION("""COMPUTED_VALUE"""),"")</f>
        <v/>
      </c>
      <c r="D20114" s="12" t="str">
        <f ca="1">IFERROR(__xludf.DUMMYFUNCTION("""COMPUTED_VALUE"""),"")</f>
        <v/>
      </c>
    </row>
    <row r="20115" spans="2:4" ht="13">
      <c r="B20115" s="12" t="str">
        <f ca="1">IFERROR(__xludf.DUMMYFUNCTION("""COMPUTED_VALUE"""),"")</f>
        <v/>
      </c>
      <c r="C20115" s="12" t="str">
        <f ca="1">IFERROR(__xludf.DUMMYFUNCTION("""COMPUTED_VALUE"""),"")</f>
        <v/>
      </c>
      <c r="D20115" s="12" t="str">
        <f ca="1">IFERROR(__xludf.DUMMYFUNCTION("""COMPUTED_VALUE"""),"")</f>
        <v/>
      </c>
    </row>
    <row r="20116" spans="2:4" ht="13">
      <c r="B20116" s="12" t="str">
        <f ca="1">IFERROR(__xludf.DUMMYFUNCTION("""COMPUTED_VALUE"""),"")</f>
        <v/>
      </c>
      <c r="C20116" s="12" t="str">
        <f ca="1">IFERROR(__xludf.DUMMYFUNCTION("""COMPUTED_VALUE"""),"")</f>
        <v/>
      </c>
      <c r="D20116" s="12" t="str">
        <f ca="1">IFERROR(__xludf.DUMMYFUNCTION("""COMPUTED_VALUE"""),"")</f>
        <v/>
      </c>
    </row>
    <row r="20117" spans="2:4" ht="13">
      <c r="B20117" s="12" t="str">
        <f ca="1">IFERROR(__xludf.DUMMYFUNCTION("""COMPUTED_VALUE"""),"")</f>
        <v/>
      </c>
      <c r="C20117" s="12" t="str">
        <f ca="1">IFERROR(__xludf.DUMMYFUNCTION("""COMPUTED_VALUE"""),"")</f>
        <v/>
      </c>
      <c r="D20117" s="12" t="str">
        <f ca="1">IFERROR(__xludf.DUMMYFUNCTION("""COMPUTED_VALUE"""),"")</f>
        <v/>
      </c>
    </row>
    <row r="20118" spans="2:4" ht="13">
      <c r="B20118" s="12" t="str">
        <f ca="1">IFERROR(__xludf.DUMMYFUNCTION("""COMPUTED_VALUE"""),"")</f>
        <v/>
      </c>
      <c r="C20118" s="12" t="str">
        <f ca="1">IFERROR(__xludf.DUMMYFUNCTION("""COMPUTED_VALUE"""),"")</f>
        <v/>
      </c>
      <c r="D20118" s="12" t="str">
        <f ca="1">IFERROR(__xludf.DUMMYFUNCTION("""COMPUTED_VALUE"""),"")</f>
        <v/>
      </c>
    </row>
    <row r="20119" spans="2:4" ht="13">
      <c r="B20119" s="12" t="str">
        <f ca="1">IFERROR(__xludf.DUMMYFUNCTION("""COMPUTED_VALUE"""),"")</f>
        <v/>
      </c>
      <c r="C20119" s="12" t="str">
        <f ca="1">IFERROR(__xludf.DUMMYFUNCTION("""COMPUTED_VALUE"""),"")</f>
        <v/>
      </c>
      <c r="D20119" s="12" t="str">
        <f ca="1">IFERROR(__xludf.DUMMYFUNCTION("""COMPUTED_VALUE"""),"")</f>
        <v/>
      </c>
    </row>
    <row r="20120" spans="2:4" ht="13">
      <c r="B20120" s="12" t="str">
        <f ca="1">IFERROR(__xludf.DUMMYFUNCTION("""COMPUTED_VALUE"""),"")</f>
        <v/>
      </c>
      <c r="C20120" s="12" t="str">
        <f ca="1">IFERROR(__xludf.DUMMYFUNCTION("""COMPUTED_VALUE"""),"")</f>
        <v/>
      </c>
      <c r="D20120" s="12" t="str">
        <f ca="1">IFERROR(__xludf.DUMMYFUNCTION("""COMPUTED_VALUE"""),"")</f>
        <v/>
      </c>
    </row>
    <row r="20121" spans="2:4" ht="13">
      <c r="B20121" s="12" t="str">
        <f ca="1">IFERROR(__xludf.DUMMYFUNCTION("""COMPUTED_VALUE"""),"")</f>
        <v/>
      </c>
      <c r="C20121" s="12" t="str">
        <f ca="1">IFERROR(__xludf.DUMMYFUNCTION("""COMPUTED_VALUE"""),"")</f>
        <v/>
      </c>
      <c r="D20121" s="12" t="str">
        <f ca="1">IFERROR(__xludf.DUMMYFUNCTION("""COMPUTED_VALUE"""),"")</f>
        <v/>
      </c>
    </row>
    <row r="20122" spans="2:4" ht="13">
      <c r="B20122" s="12" t="str">
        <f ca="1">IFERROR(__xludf.DUMMYFUNCTION("""COMPUTED_VALUE"""),"")</f>
        <v/>
      </c>
      <c r="C20122" s="12" t="str">
        <f ca="1">IFERROR(__xludf.DUMMYFUNCTION("""COMPUTED_VALUE"""),"")</f>
        <v/>
      </c>
      <c r="D20122" s="12" t="str">
        <f ca="1">IFERROR(__xludf.DUMMYFUNCTION("""COMPUTED_VALUE"""),"")</f>
        <v/>
      </c>
    </row>
    <row r="20123" spans="2:4" ht="13">
      <c r="B20123" s="12" t="str">
        <f ca="1">IFERROR(__xludf.DUMMYFUNCTION("""COMPUTED_VALUE"""),"")</f>
        <v/>
      </c>
      <c r="C20123" s="12" t="str">
        <f ca="1">IFERROR(__xludf.DUMMYFUNCTION("""COMPUTED_VALUE"""),"")</f>
        <v/>
      </c>
      <c r="D20123" s="12" t="str">
        <f ca="1">IFERROR(__xludf.DUMMYFUNCTION("""COMPUTED_VALUE"""),"")</f>
        <v/>
      </c>
    </row>
    <row r="20124" spans="2:4" ht="13">
      <c r="B20124" s="12" t="str">
        <f ca="1">IFERROR(__xludf.DUMMYFUNCTION("""COMPUTED_VALUE"""),"")</f>
        <v/>
      </c>
      <c r="C20124" s="12" t="str">
        <f ca="1">IFERROR(__xludf.DUMMYFUNCTION("""COMPUTED_VALUE"""),"")</f>
        <v/>
      </c>
      <c r="D20124" s="12" t="str">
        <f ca="1">IFERROR(__xludf.DUMMYFUNCTION("""COMPUTED_VALUE"""),"")</f>
        <v/>
      </c>
    </row>
    <row r="20125" spans="2:4" ht="13">
      <c r="B20125" s="12" t="str">
        <f ca="1">IFERROR(__xludf.DUMMYFUNCTION("""COMPUTED_VALUE"""),"")</f>
        <v/>
      </c>
      <c r="C20125" s="12" t="str">
        <f ca="1">IFERROR(__xludf.DUMMYFUNCTION("""COMPUTED_VALUE"""),"")</f>
        <v/>
      </c>
      <c r="D20125" s="12" t="str">
        <f ca="1">IFERROR(__xludf.DUMMYFUNCTION("""COMPUTED_VALUE"""),"")</f>
        <v/>
      </c>
    </row>
    <row r="20126" spans="2:4" ht="13">
      <c r="B20126" s="12" t="str">
        <f ca="1">IFERROR(__xludf.DUMMYFUNCTION("""COMPUTED_VALUE"""),"")</f>
        <v/>
      </c>
      <c r="C20126" s="12" t="str">
        <f ca="1">IFERROR(__xludf.DUMMYFUNCTION("""COMPUTED_VALUE"""),"")</f>
        <v/>
      </c>
      <c r="D20126" s="12" t="str">
        <f ca="1">IFERROR(__xludf.DUMMYFUNCTION("""COMPUTED_VALUE"""),"")</f>
        <v/>
      </c>
    </row>
    <row r="20127" spans="2:4" ht="13">
      <c r="B20127" s="12" t="str">
        <f ca="1">IFERROR(__xludf.DUMMYFUNCTION("""COMPUTED_VALUE"""),"")</f>
        <v/>
      </c>
      <c r="C20127" s="12" t="str">
        <f ca="1">IFERROR(__xludf.DUMMYFUNCTION("""COMPUTED_VALUE"""),"")</f>
        <v/>
      </c>
      <c r="D20127" s="12" t="str">
        <f ca="1">IFERROR(__xludf.DUMMYFUNCTION("""COMPUTED_VALUE"""),"")</f>
        <v/>
      </c>
    </row>
    <row r="20128" spans="2:4" ht="13">
      <c r="B20128" s="12" t="str">
        <f ca="1">IFERROR(__xludf.DUMMYFUNCTION("""COMPUTED_VALUE"""),"")</f>
        <v/>
      </c>
      <c r="C20128" s="12" t="str">
        <f ca="1">IFERROR(__xludf.DUMMYFUNCTION("""COMPUTED_VALUE"""),"")</f>
        <v/>
      </c>
      <c r="D20128" s="12" t="str">
        <f ca="1">IFERROR(__xludf.DUMMYFUNCTION("""COMPUTED_VALUE"""),"")</f>
        <v/>
      </c>
    </row>
    <row r="20129" spans="2:4" ht="13">
      <c r="B20129" s="12" t="str">
        <f ca="1">IFERROR(__xludf.DUMMYFUNCTION("""COMPUTED_VALUE"""),"")</f>
        <v/>
      </c>
      <c r="C20129" s="12" t="str">
        <f ca="1">IFERROR(__xludf.DUMMYFUNCTION("""COMPUTED_VALUE"""),"")</f>
        <v/>
      </c>
      <c r="D20129" s="12" t="str">
        <f ca="1">IFERROR(__xludf.DUMMYFUNCTION("""COMPUTED_VALUE"""),"")</f>
        <v/>
      </c>
    </row>
    <row r="20130" spans="2:4" ht="13">
      <c r="B20130" s="12" t="str">
        <f ca="1">IFERROR(__xludf.DUMMYFUNCTION("""COMPUTED_VALUE"""),"")</f>
        <v/>
      </c>
      <c r="C20130" s="12" t="str">
        <f ca="1">IFERROR(__xludf.DUMMYFUNCTION("""COMPUTED_VALUE"""),"")</f>
        <v/>
      </c>
      <c r="D20130" s="12" t="str">
        <f ca="1">IFERROR(__xludf.DUMMYFUNCTION("""COMPUTED_VALUE"""),"")</f>
        <v/>
      </c>
    </row>
    <row r="20131" spans="2:4" ht="13">
      <c r="B20131" s="12" t="str">
        <f ca="1">IFERROR(__xludf.DUMMYFUNCTION("""COMPUTED_VALUE"""),"")</f>
        <v/>
      </c>
      <c r="C20131" s="12" t="str">
        <f ca="1">IFERROR(__xludf.DUMMYFUNCTION("""COMPUTED_VALUE"""),"")</f>
        <v/>
      </c>
      <c r="D20131" s="12" t="str">
        <f ca="1">IFERROR(__xludf.DUMMYFUNCTION("""COMPUTED_VALUE"""),"")</f>
        <v/>
      </c>
    </row>
    <row r="20132" spans="2:4" ht="13">
      <c r="B20132" s="12" t="str">
        <f ca="1">IFERROR(__xludf.DUMMYFUNCTION("""COMPUTED_VALUE"""),"")</f>
        <v/>
      </c>
      <c r="C20132" s="12" t="str">
        <f ca="1">IFERROR(__xludf.DUMMYFUNCTION("""COMPUTED_VALUE"""),"")</f>
        <v/>
      </c>
      <c r="D20132" s="12" t="str">
        <f ca="1">IFERROR(__xludf.DUMMYFUNCTION("""COMPUTED_VALUE"""),"")</f>
        <v/>
      </c>
    </row>
    <row r="20133" spans="2:4" ht="13">
      <c r="B20133" s="12" t="str">
        <f ca="1">IFERROR(__xludf.DUMMYFUNCTION("""COMPUTED_VALUE"""),"")</f>
        <v/>
      </c>
      <c r="C20133" s="12" t="str">
        <f ca="1">IFERROR(__xludf.DUMMYFUNCTION("""COMPUTED_VALUE"""),"")</f>
        <v/>
      </c>
      <c r="D20133" s="12" t="str">
        <f ca="1">IFERROR(__xludf.DUMMYFUNCTION("""COMPUTED_VALUE"""),"")</f>
        <v/>
      </c>
    </row>
    <row r="20134" spans="2:4" ht="13">
      <c r="B20134" s="12" t="str">
        <f ca="1">IFERROR(__xludf.DUMMYFUNCTION("""COMPUTED_VALUE"""),"")</f>
        <v/>
      </c>
      <c r="C20134" s="12" t="str">
        <f ca="1">IFERROR(__xludf.DUMMYFUNCTION("""COMPUTED_VALUE"""),"")</f>
        <v/>
      </c>
      <c r="D20134" s="12" t="str">
        <f ca="1">IFERROR(__xludf.DUMMYFUNCTION("""COMPUTED_VALUE"""),"")</f>
        <v/>
      </c>
    </row>
    <row r="20135" spans="2:4" ht="13">
      <c r="B20135" s="12" t="str">
        <f ca="1">IFERROR(__xludf.DUMMYFUNCTION("""COMPUTED_VALUE"""),"")</f>
        <v/>
      </c>
      <c r="C20135" s="12" t="str">
        <f ca="1">IFERROR(__xludf.DUMMYFUNCTION("""COMPUTED_VALUE"""),"")</f>
        <v/>
      </c>
      <c r="D20135" s="12" t="str">
        <f ca="1">IFERROR(__xludf.DUMMYFUNCTION("""COMPUTED_VALUE"""),"")</f>
        <v/>
      </c>
    </row>
    <row r="20136" spans="2:4" ht="13">
      <c r="B20136" s="12" t="str">
        <f ca="1">IFERROR(__xludf.DUMMYFUNCTION("""COMPUTED_VALUE"""),"")</f>
        <v/>
      </c>
      <c r="C20136" s="12" t="str">
        <f ca="1">IFERROR(__xludf.DUMMYFUNCTION("""COMPUTED_VALUE"""),"")</f>
        <v/>
      </c>
      <c r="D20136" s="12" t="str">
        <f ca="1">IFERROR(__xludf.DUMMYFUNCTION("""COMPUTED_VALUE"""),"")</f>
        <v/>
      </c>
    </row>
    <row r="20137" spans="2:4" ht="13">
      <c r="B20137" s="12" t="str">
        <f ca="1">IFERROR(__xludf.DUMMYFUNCTION("""COMPUTED_VALUE"""),"")</f>
        <v/>
      </c>
      <c r="C20137" s="12" t="str">
        <f ca="1">IFERROR(__xludf.DUMMYFUNCTION("""COMPUTED_VALUE"""),"")</f>
        <v/>
      </c>
      <c r="D20137" s="12" t="str">
        <f ca="1">IFERROR(__xludf.DUMMYFUNCTION("""COMPUTED_VALUE"""),"")</f>
        <v/>
      </c>
    </row>
    <row r="20138" spans="2:4" ht="13">
      <c r="B20138" s="12" t="str">
        <f ca="1">IFERROR(__xludf.DUMMYFUNCTION("""COMPUTED_VALUE"""),"")</f>
        <v/>
      </c>
      <c r="C20138" s="12" t="str">
        <f ca="1">IFERROR(__xludf.DUMMYFUNCTION("""COMPUTED_VALUE"""),"")</f>
        <v/>
      </c>
      <c r="D20138" s="12" t="str">
        <f ca="1">IFERROR(__xludf.DUMMYFUNCTION("""COMPUTED_VALUE"""),"")</f>
        <v/>
      </c>
    </row>
    <row r="20139" spans="2:4" ht="13">
      <c r="B20139" s="12" t="str">
        <f ca="1">IFERROR(__xludf.DUMMYFUNCTION("""COMPUTED_VALUE"""),"")</f>
        <v/>
      </c>
      <c r="C20139" s="12" t="str">
        <f ca="1">IFERROR(__xludf.DUMMYFUNCTION("""COMPUTED_VALUE"""),"")</f>
        <v/>
      </c>
      <c r="D20139" s="12" t="str">
        <f ca="1">IFERROR(__xludf.DUMMYFUNCTION("""COMPUTED_VALUE"""),"")</f>
        <v/>
      </c>
    </row>
    <row r="20140" spans="2:4" ht="13">
      <c r="B20140" s="12" t="str">
        <f ca="1">IFERROR(__xludf.DUMMYFUNCTION("""COMPUTED_VALUE"""),"")</f>
        <v/>
      </c>
      <c r="C20140" s="12" t="str">
        <f ca="1">IFERROR(__xludf.DUMMYFUNCTION("""COMPUTED_VALUE"""),"")</f>
        <v/>
      </c>
      <c r="D20140" s="12" t="str">
        <f ca="1">IFERROR(__xludf.DUMMYFUNCTION("""COMPUTED_VALUE"""),"")</f>
        <v/>
      </c>
    </row>
    <row r="20141" spans="2:4" ht="13">
      <c r="B20141" s="12" t="str">
        <f ca="1">IFERROR(__xludf.DUMMYFUNCTION("""COMPUTED_VALUE"""),"")</f>
        <v/>
      </c>
      <c r="C20141" s="12" t="str">
        <f ca="1">IFERROR(__xludf.DUMMYFUNCTION("""COMPUTED_VALUE"""),"")</f>
        <v/>
      </c>
      <c r="D20141" s="12" t="str">
        <f ca="1">IFERROR(__xludf.DUMMYFUNCTION("""COMPUTED_VALUE"""),"")</f>
        <v/>
      </c>
    </row>
    <row r="20142" spans="2:4" ht="13">
      <c r="B20142" s="12" t="str">
        <f ca="1">IFERROR(__xludf.DUMMYFUNCTION("""COMPUTED_VALUE"""),"")</f>
        <v/>
      </c>
      <c r="C20142" s="12" t="str">
        <f ca="1">IFERROR(__xludf.DUMMYFUNCTION("""COMPUTED_VALUE"""),"")</f>
        <v/>
      </c>
      <c r="D20142" s="12" t="str">
        <f ca="1">IFERROR(__xludf.DUMMYFUNCTION("""COMPUTED_VALUE"""),"")</f>
        <v/>
      </c>
    </row>
    <row r="20143" spans="2:4" ht="13">
      <c r="B20143" s="12" t="str">
        <f ca="1">IFERROR(__xludf.DUMMYFUNCTION("""COMPUTED_VALUE"""),"")</f>
        <v/>
      </c>
      <c r="C20143" s="12" t="str">
        <f ca="1">IFERROR(__xludf.DUMMYFUNCTION("""COMPUTED_VALUE"""),"")</f>
        <v/>
      </c>
      <c r="D20143" s="12" t="str">
        <f ca="1">IFERROR(__xludf.DUMMYFUNCTION("""COMPUTED_VALUE"""),"")</f>
        <v/>
      </c>
    </row>
    <row r="20144" spans="2:4" ht="13">
      <c r="B20144" s="12" t="str">
        <f ca="1">IFERROR(__xludf.DUMMYFUNCTION("""COMPUTED_VALUE"""),"")</f>
        <v/>
      </c>
      <c r="C20144" s="12" t="str">
        <f ca="1">IFERROR(__xludf.DUMMYFUNCTION("""COMPUTED_VALUE"""),"")</f>
        <v/>
      </c>
      <c r="D20144" s="12" t="str">
        <f ca="1">IFERROR(__xludf.DUMMYFUNCTION("""COMPUTED_VALUE"""),"")</f>
        <v/>
      </c>
    </row>
    <row r="20145" spans="2:4" ht="13">
      <c r="B20145" s="12" t="str">
        <f ca="1">IFERROR(__xludf.DUMMYFUNCTION("""COMPUTED_VALUE"""),"")</f>
        <v/>
      </c>
      <c r="C20145" s="12" t="str">
        <f ca="1">IFERROR(__xludf.DUMMYFUNCTION("""COMPUTED_VALUE"""),"")</f>
        <v/>
      </c>
      <c r="D20145" s="12" t="str">
        <f ca="1">IFERROR(__xludf.DUMMYFUNCTION("""COMPUTED_VALUE"""),"")</f>
        <v/>
      </c>
    </row>
    <row r="20146" spans="2:4" ht="13">
      <c r="B20146" s="12" t="str">
        <f ca="1">IFERROR(__xludf.DUMMYFUNCTION("""COMPUTED_VALUE"""),"")</f>
        <v/>
      </c>
      <c r="C20146" s="12" t="str">
        <f ca="1">IFERROR(__xludf.DUMMYFUNCTION("""COMPUTED_VALUE"""),"")</f>
        <v/>
      </c>
      <c r="D20146" s="12" t="str">
        <f ca="1">IFERROR(__xludf.DUMMYFUNCTION("""COMPUTED_VALUE"""),"")</f>
        <v/>
      </c>
    </row>
    <row r="20147" spans="2:4" ht="13">
      <c r="B20147" s="12" t="str">
        <f ca="1">IFERROR(__xludf.DUMMYFUNCTION("""COMPUTED_VALUE"""),"")</f>
        <v/>
      </c>
      <c r="C20147" s="12" t="str">
        <f ca="1">IFERROR(__xludf.DUMMYFUNCTION("""COMPUTED_VALUE"""),"")</f>
        <v/>
      </c>
      <c r="D20147" s="12" t="str">
        <f ca="1">IFERROR(__xludf.DUMMYFUNCTION("""COMPUTED_VALUE"""),"")</f>
        <v/>
      </c>
    </row>
    <row r="20148" spans="2:4" ht="13">
      <c r="B20148" s="12" t="str">
        <f ca="1">IFERROR(__xludf.DUMMYFUNCTION("""COMPUTED_VALUE"""),"")</f>
        <v/>
      </c>
      <c r="C20148" s="12" t="str">
        <f ca="1">IFERROR(__xludf.DUMMYFUNCTION("""COMPUTED_VALUE"""),"")</f>
        <v/>
      </c>
      <c r="D20148" s="12" t="str">
        <f ca="1">IFERROR(__xludf.DUMMYFUNCTION("""COMPUTED_VALUE"""),"")</f>
        <v/>
      </c>
    </row>
    <row r="20149" spans="2:4" ht="13">
      <c r="B20149" s="12" t="str">
        <f ca="1">IFERROR(__xludf.DUMMYFUNCTION("""COMPUTED_VALUE"""),"")</f>
        <v/>
      </c>
      <c r="C20149" s="12" t="str">
        <f ca="1">IFERROR(__xludf.DUMMYFUNCTION("""COMPUTED_VALUE"""),"")</f>
        <v/>
      </c>
      <c r="D20149" s="12" t="str">
        <f ca="1">IFERROR(__xludf.DUMMYFUNCTION("""COMPUTED_VALUE"""),"")</f>
        <v/>
      </c>
    </row>
    <row r="20150" spans="2:4" ht="13">
      <c r="B20150" s="12" t="str">
        <f ca="1">IFERROR(__xludf.DUMMYFUNCTION("""COMPUTED_VALUE"""),"")</f>
        <v/>
      </c>
      <c r="C20150" s="12" t="str">
        <f ca="1">IFERROR(__xludf.DUMMYFUNCTION("""COMPUTED_VALUE"""),"")</f>
        <v/>
      </c>
      <c r="D20150" s="12" t="str">
        <f ca="1">IFERROR(__xludf.DUMMYFUNCTION("""COMPUTED_VALUE"""),"")</f>
        <v/>
      </c>
    </row>
    <row r="20151" spans="2:4" ht="13">
      <c r="B20151" s="12" t="str">
        <f ca="1">IFERROR(__xludf.DUMMYFUNCTION("""COMPUTED_VALUE"""),"")</f>
        <v/>
      </c>
      <c r="C20151" s="12" t="str">
        <f ca="1">IFERROR(__xludf.DUMMYFUNCTION("""COMPUTED_VALUE"""),"")</f>
        <v/>
      </c>
      <c r="D20151" s="12" t="str">
        <f ca="1">IFERROR(__xludf.DUMMYFUNCTION("""COMPUTED_VALUE"""),"")</f>
        <v/>
      </c>
    </row>
    <row r="20152" spans="2:4" ht="13">
      <c r="B20152" s="12" t="str">
        <f ca="1">IFERROR(__xludf.DUMMYFUNCTION("""COMPUTED_VALUE"""),"")</f>
        <v/>
      </c>
      <c r="C20152" s="12" t="str">
        <f ca="1">IFERROR(__xludf.DUMMYFUNCTION("""COMPUTED_VALUE"""),"")</f>
        <v/>
      </c>
      <c r="D20152" s="12" t="str">
        <f ca="1">IFERROR(__xludf.DUMMYFUNCTION("""COMPUTED_VALUE"""),"")</f>
        <v/>
      </c>
    </row>
    <row r="20153" spans="2:4" ht="13">
      <c r="B20153" s="12" t="str">
        <f ca="1">IFERROR(__xludf.DUMMYFUNCTION("""COMPUTED_VALUE"""),"")</f>
        <v/>
      </c>
      <c r="C20153" s="12" t="str">
        <f ca="1">IFERROR(__xludf.DUMMYFUNCTION("""COMPUTED_VALUE"""),"")</f>
        <v/>
      </c>
      <c r="D20153" s="12" t="str">
        <f ca="1">IFERROR(__xludf.DUMMYFUNCTION("""COMPUTED_VALUE"""),"")</f>
        <v/>
      </c>
    </row>
    <row r="20154" spans="2:4" ht="13">
      <c r="B20154" s="12" t="str">
        <f ca="1">IFERROR(__xludf.DUMMYFUNCTION("""COMPUTED_VALUE"""),"")</f>
        <v/>
      </c>
      <c r="C20154" s="12" t="str">
        <f ca="1">IFERROR(__xludf.DUMMYFUNCTION("""COMPUTED_VALUE"""),"")</f>
        <v/>
      </c>
      <c r="D20154" s="12" t="str">
        <f ca="1">IFERROR(__xludf.DUMMYFUNCTION("""COMPUTED_VALUE"""),"")</f>
        <v/>
      </c>
    </row>
    <row r="20155" spans="2:4" ht="13">
      <c r="B20155" s="12" t="str">
        <f ca="1">IFERROR(__xludf.DUMMYFUNCTION("""COMPUTED_VALUE"""),"")</f>
        <v/>
      </c>
      <c r="C20155" s="12" t="str">
        <f ca="1">IFERROR(__xludf.DUMMYFUNCTION("""COMPUTED_VALUE"""),"")</f>
        <v/>
      </c>
      <c r="D20155" s="12" t="str">
        <f ca="1">IFERROR(__xludf.DUMMYFUNCTION("""COMPUTED_VALUE"""),"")</f>
        <v/>
      </c>
    </row>
    <row r="20156" spans="2:4" ht="13">
      <c r="B20156" s="12" t="str">
        <f ca="1">IFERROR(__xludf.DUMMYFUNCTION("""COMPUTED_VALUE"""),"")</f>
        <v/>
      </c>
      <c r="C20156" s="12" t="str">
        <f ca="1">IFERROR(__xludf.DUMMYFUNCTION("""COMPUTED_VALUE"""),"")</f>
        <v/>
      </c>
      <c r="D20156" s="12" t="str">
        <f ca="1">IFERROR(__xludf.DUMMYFUNCTION("""COMPUTED_VALUE"""),"")</f>
        <v/>
      </c>
    </row>
    <row r="20157" spans="2:4" ht="13">
      <c r="B20157" s="12" t="str">
        <f ca="1">IFERROR(__xludf.DUMMYFUNCTION("""COMPUTED_VALUE"""),"")</f>
        <v/>
      </c>
      <c r="C20157" s="12" t="str">
        <f ca="1">IFERROR(__xludf.DUMMYFUNCTION("""COMPUTED_VALUE"""),"")</f>
        <v/>
      </c>
      <c r="D20157" s="12" t="str">
        <f ca="1">IFERROR(__xludf.DUMMYFUNCTION("""COMPUTED_VALUE"""),"")</f>
        <v/>
      </c>
    </row>
    <row r="20158" spans="2:4" ht="13">
      <c r="B20158" s="12" t="str">
        <f ca="1">IFERROR(__xludf.DUMMYFUNCTION("""COMPUTED_VALUE"""),"")</f>
        <v/>
      </c>
      <c r="C20158" s="12" t="str">
        <f ca="1">IFERROR(__xludf.DUMMYFUNCTION("""COMPUTED_VALUE"""),"")</f>
        <v/>
      </c>
      <c r="D20158" s="12" t="str">
        <f ca="1">IFERROR(__xludf.DUMMYFUNCTION("""COMPUTED_VALUE"""),"")</f>
        <v/>
      </c>
    </row>
    <row r="20159" spans="2:4" ht="13">
      <c r="B20159" s="12" t="str">
        <f ca="1">IFERROR(__xludf.DUMMYFUNCTION("""COMPUTED_VALUE"""),"")</f>
        <v/>
      </c>
      <c r="C20159" s="12" t="str">
        <f ca="1">IFERROR(__xludf.DUMMYFUNCTION("""COMPUTED_VALUE"""),"")</f>
        <v/>
      </c>
      <c r="D20159" s="12" t="str">
        <f ca="1">IFERROR(__xludf.DUMMYFUNCTION("""COMPUTED_VALUE"""),"")</f>
        <v/>
      </c>
    </row>
    <row r="20160" spans="2:4" ht="13">
      <c r="B20160" s="12" t="str">
        <f ca="1">IFERROR(__xludf.DUMMYFUNCTION("""COMPUTED_VALUE"""),"")</f>
        <v/>
      </c>
      <c r="C20160" s="12" t="str">
        <f ca="1">IFERROR(__xludf.DUMMYFUNCTION("""COMPUTED_VALUE"""),"")</f>
        <v/>
      </c>
      <c r="D20160" s="12" t="str">
        <f ca="1">IFERROR(__xludf.DUMMYFUNCTION("""COMPUTED_VALUE"""),"")</f>
        <v/>
      </c>
    </row>
    <row r="20161" spans="2:4" ht="13">
      <c r="B20161" s="12" t="str">
        <f ca="1">IFERROR(__xludf.DUMMYFUNCTION("""COMPUTED_VALUE"""),"")</f>
        <v/>
      </c>
      <c r="C20161" s="12" t="str">
        <f ca="1">IFERROR(__xludf.DUMMYFUNCTION("""COMPUTED_VALUE"""),"")</f>
        <v/>
      </c>
      <c r="D20161" s="12" t="str">
        <f ca="1">IFERROR(__xludf.DUMMYFUNCTION("""COMPUTED_VALUE"""),"")</f>
        <v/>
      </c>
    </row>
    <row r="20162" spans="2:4" ht="13">
      <c r="B20162" s="12" t="str">
        <f ca="1">IFERROR(__xludf.DUMMYFUNCTION("""COMPUTED_VALUE"""),"")</f>
        <v/>
      </c>
      <c r="C20162" s="12" t="str">
        <f ca="1">IFERROR(__xludf.DUMMYFUNCTION("""COMPUTED_VALUE"""),"")</f>
        <v/>
      </c>
      <c r="D20162" s="12" t="str">
        <f ca="1">IFERROR(__xludf.DUMMYFUNCTION("""COMPUTED_VALUE"""),"")</f>
        <v/>
      </c>
    </row>
    <row r="20163" spans="2:4" ht="13">
      <c r="B20163" s="12" t="str">
        <f ca="1">IFERROR(__xludf.DUMMYFUNCTION("""COMPUTED_VALUE"""),"")</f>
        <v/>
      </c>
      <c r="C20163" s="12" t="str">
        <f ca="1">IFERROR(__xludf.DUMMYFUNCTION("""COMPUTED_VALUE"""),"")</f>
        <v/>
      </c>
      <c r="D20163" s="12" t="str">
        <f ca="1">IFERROR(__xludf.DUMMYFUNCTION("""COMPUTED_VALUE"""),"")</f>
        <v/>
      </c>
    </row>
    <row r="20164" spans="2:4" ht="13">
      <c r="B20164" s="12" t="str">
        <f ca="1">IFERROR(__xludf.DUMMYFUNCTION("""COMPUTED_VALUE"""),"")</f>
        <v/>
      </c>
      <c r="C20164" s="12" t="str">
        <f ca="1">IFERROR(__xludf.DUMMYFUNCTION("""COMPUTED_VALUE"""),"")</f>
        <v/>
      </c>
      <c r="D20164" s="12" t="str">
        <f ca="1">IFERROR(__xludf.DUMMYFUNCTION("""COMPUTED_VALUE"""),"")</f>
        <v/>
      </c>
    </row>
    <row r="20165" spans="2:4" ht="13">
      <c r="B20165" s="12" t="str">
        <f ca="1">IFERROR(__xludf.DUMMYFUNCTION("""COMPUTED_VALUE"""),"")</f>
        <v/>
      </c>
      <c r="C20165" s="12" t="str">
        <f ca="1">IFERROR(__xludf.DUMMYFUNCTION("""COMPUTED_VALUE"""),"")</f>
        <v/>
      </c>
      <c r="D20165" s="12" t="str">
        <f ca="1">IFERROR(__xludf.DUMMYFUNCTION("""COMPUTED_VALUE"""),"")</f>
        <v/>
      </c>
    </row>
    <row r="20166" spans="2:4" ht="13">
      <c r="B20166" s="12" t="str">
        <f ca="1">IFERROR(__xludf.DUMMYFUNCTION("""COMPUTED_VALUE"""),"")</f>
        <v/>
      </c>
      <c r="C20166" s="12" t="str">
        <f ca="1">IFERROR(__xludf.DUMMYFUNCTION("""COMPUTED_VALUE"""),"")</f>
        <v/>
      </c>
      <c r="D20166" s="12" t="str">
        <f ca="1">IFERROR(__xludf.DUMMYFUNCTION("""COMPUTED_VALUE"""),"")</f>
        <v/>
      </c>
    </row>
    <row r="20167" spans="2:4" ht="13">
      <c r="B20167" s="12" t="str">
        <f ca="1">IFERROR(__xludf.DUMMYFUNCTION("""COMPUTED_VALUE"""),"")</f>
        <v/>
      </c>
      <c r="C20167" s="12" t="str">
        <f ca="1">IFERROR(__xludf.DUMMYFUNCTION("""COMPUTED_VALUE"""),"")</f>
        <v/>
      </c>
      <c r="D20167" s="12" t="str">
        <f ca="1">IFERROR(__xludf.DUMMYFUNCTION("""COMPUTED_VALUE"""),"")</f>
        <v/>
      </c>
    </row>
    <row r="20168" spans="2:4" ht="13">
      <c r="B20168" s="12" t="str">
        <f ca="1">IFERROR(__xludf.DUMMYFUNCTION("""COMPUTED_VALUE"""),"")</f>
        <v/>
      </c>
      <c r="C20168" s="12" t="str">
        <f ca="1">IFERROR(__xludf.DUMMYFUNCTION("""COMPUTED_VALUE"""),"")</f>
        <v/>
      </c>
      <c r="D20168" s="12" t="str">
        <f ca="1">IFERROR(__xludf.DUMMYFUNCTION("""COMPUTED_VALUE"""),"")</f>
        <v/>
      </c>
    </row>
    <row r="20169" spans="2:4" ht="13">
      <c r="B20169" s="12" t="str">
        <f ca="1">IFERROR(__xludf.DUMMYFUNCTION("""COMPUTED_VALUE"""),"")</f>
        <v/>
      </c>
      <c r="C20169" s="12" t="str">
        <f ca="1">IFERROR(__xludf.DUMMYFUNCTION("""COMPUTED_VALUE"""),"")</f>
        <v/>
      </c>
      <c r="D20169" s="12" t="str">
        <f ca="1">IFERROR(__xludf.DUMMYFUNCTION("""COMPUTED_VALUE"""),"")</f>
        <v/>
      </c>
    </row>
    <row r="20170" spans="2:4" ht="13">
      <c r="B20170" s="12" t="str">
        <f ca="1">IFERROR(__xludf.DUMMYFUNCTION("""COMPUTED_VALUE"""),"")</f>
        <v/>
      </c>
      <c r="C20170" s="12" t="str">
        <f ca="1">IFERROR(__xludf.DUMMYFUNCTION("""COMPUTED_VALUE"""),"")</f>
        <v/>
      </c>
      <c r="D20170" s="12" t="str">
        <f ca="1">IFERROR(__xludf.DUMMYFUNCTION("""COMPUTED_VALUE"""),"")</f>
        <v/>
      </c>
    </row>
    <row r="20171" spans="2:4" ht="13">
      <c r="B20171" s="12" t="str">
        <f ca="1">IFERROR(__xludf.DUMMYFUNCTION("""COMPUTED_VALUE"""),"")</f>
        <v/>
      </c>
      <c r="C20171" s="12" t="str">
        <f ca="1">IFERROR(__xludf.DUMMYFUNCTION("""COMPUTED_VALUE"""),"")</f>
        <v/>
      </c>
      <c r="D20171" s="12" t="str">
        <f ca="1">IFERROR(__xludf.DUMMYFUNCTION("""COMPUTED_VALUE"""),"")</f>
        <v/>
      </c>
    </row>
    <row r="20172" spans="2:4" ht="13">
      <c r="B20172" s="12" t="str">
        <f ca="1">IFERROR(__xludf.DUMMYFUNCTION("""COMPUTED_VALUE"""),"")</f>
        <v/>
      </c>
      <c r="C20172" s="12" t="str">
        <f ca="1">IFERROR(__xludf.DUMMYFUNCTION("""COMPUTED_VALUE"""),"")</f>
        <v/>
      </c>
      <c r="D20172" s="12" t="str">
        <f ca="1">IFERROR(__xludf.DUMMYFUNCTION("""COMPUTED_VALUE"""),"")</f>
        <v/>
      </c>
    </row>
    <row r="20173" spans="2:4" ht="13">
      <c r="B20173" s="12" t="str">
        <f ca="1">IFERROR(__xludf.DUMMYFUNCTION("""COMPUTED_VALUE"""),"")</f>
        <v/>
      </c>
      <c r="C20173" s="12" t="str">
        <f ca="1">IFERROR(__xludf.DUMMYFUNCTION("""COMPUTED_VALUE"""),"")</f>
        <v/>
      </c>
      <c r="D20173" s="12" t="str">
        <f ca="1">IFERROR(__xludf.DUMMYFUNCTION("""COMPUTED_VALUE"""),"")</f>
        <v/>
      </c>
    </row>
    <row r="20174" spans="2:4" ht="13">
      <c r="B20174" s="12" t="str">
        <f ca="1">IFERROR(__xludf.DUMMYFUNCTION("""COMPUTED_VALUE"""),"")</f>
        <v/>
      </c>
      <c r="C20174" s="12" t="str">
        <f ca="1">IFERROR(__xludf.DUMMYFUNCTION("""COMPUTED_VALUE"""),"")</f>
        <v/>
      </c>
      <c r="D20174" s="12" t="str">
        <f ca="1">IFERROR(__xludf.DUMMYFUNCTION("""COMPUTED_VALUE"""),"")</f>
        <v/>
      </c>
    </row>
    <row r="20175" spans="2:4" ht="13">
      <c r="B20175" s="12" t="str">
        <f ca="1">IFERROR(__xludf.DUMMYFUNCTION("""COMPUTED_VALUE"""),"")</f>
        <v/>
      </c>
      <c r="C20175" s="12" t="str">
        <f ca="1">IFERROR(__xludf.DUMMYFUNCTION("""COMPUTED_VALUE"""),"")</f>
        <v/>
      </c>
      <c r="D20175" s="12" t="str">
        <f ca="1">IFERROR(__xludf.DUMMYFUNCTION("""COMPUTED_VALUE"""),"")</f>
        <v/>
      </c>
    </row>
    <row r="20176" spans="2:4" ht="13">
      <c r="B20176" s="12" t="str">
        <f ca="1">IFERROR(__xludf.DUMMYFUNCTION("""COMPUTED_VALUE"""),"")</f>
        <v/>
      </c>
      <c r="C20176" s="12" t="str">
        <f ca="1">IFERROR(__xludf.DUMMYFUNCTION("""COMPUTED_VALUE"""),"")</f>
        <v/>
      </c>
      <c r="D20176" s="12" t="str">
        <f ca="1">IFERROR(__xludf.DUMMYFUNCTION("""COMPUTED_VALUE"""),"")</f>
        <v/>
      </c>
    </row>
    <row r="20177" spans="2:4" ht="13">
      <c r="B20177" s="12" t="str">
        <f ca="1">IFERROR(__xludf.DUMMYFUNCTION("""COMPUTED_VALUE"""),"")</f>
        <v/>
      </c>
      <c r="C20177" s="12" t="str">
        <f ca="1">IFERROR(__xludf.DUMMYFUNCTION("""COMPUTED_VALUE"""),"")</f>
        <v/>
      </c>
      <c r="D20177" s="12" t="str">
        <f ca="1">IFERROR(__xludf.DUMMYFUNCTION("""COMPUTED_VALUE"""),"")</f>
        <v/>
      </c>
    </row>
    <row r="20178" spans="2:4" ht="13">
      <c r="B20178" s="12" t="str">
        <f ca="1">IFERROR(__xludf.DUMMYFUNCTION("""COMPUTED_VALUE"""),"")</f>
        <v/>
      </c>
      <c r="C20178" s="12" t="str">
        <f ca="1">IFERROR(__xludf.DUMMYFUNCTION("""COMPUTED_VALUE"""),"")</f>
        <v/>
      </c>
      <c r="D20178" s="12" t="str">
        <f ca="1">IFERROR(__xludf.DUMMYFUNCTION("""COMPUTED_VALUE"""),"")</f>
        <v/>
      </c>
    </row>
    <row r="20179" spans="2:4" ht="13">
      <c r="B20179" s="12" t="str">
        <f ca="1">IFERROR(__xludf.DUMMYFUNCTION("""COMPUTED_VALUE"""),"")</f>
        <v/>
      </c>
      <c r="C20179" s="12" t="str">
        <f ca="1">IFERROR(__xludf.DUMMYFUNCTION("""COMPUTED_VALUE"""),"")</f>
        <v/>
      </c>
      <c r="D20179" s="12" t="str">
        <f ca="1">IFERROR(__xludf.DUMMYFUNCTION("""COMPUTED_VALUE"""),"")</f>
        <v/>
      </c>
    </row>
    <row r="20180" spans="2:4" ht="13">
      <c r="B20180" s="12" t="str">
        <f ca="1">IFERROR(__xludf.DUMMYFUNCTION("""COMPUTED_VALUE"""),"")</f>
        <v/>
      </c>
      <c r="C20180" s="12" t="str">
        <f ca="1">IFERROR(__xludf.DUMMYFUNCTION("""COMPUTED_VALUE"""),"")</f>
        <v/>
      </c>
      <c r="D20180" s="12" t="str">
        <f ca="1">IFERROR(__xludf.DUMMYFUNCTION("""COMPUTED_VALUE"""),"")</f>
        <v/>
      </c>
    </row>
    <row r="20181" spans="2:4" ht="13">
      <c r="B20181" s="12" t="str">
        <f ca="1">IFERROR(__xludf.DUMMYFUNCTION("""COMPUTED_VALUE"""),"")</f>
        <v/>
      </c>
      <c r="C20181" s="12" t="str">
        <f ca="1">IFERROR(__xludf.DUMMYFUNCTION("""COMPUTED_VALUE"""),"")</f>
        <v/>
      </c>
      <c r="D20181" s="12" t="str">
        <f ca="1">IFERROR(__xludf.DUMMYFUNCTION("""COMPUTED_VALUE"""),"")</f>
        <v/>
      </c>
    </row>
    <row r="20182" spans="2:4" ht="13">
      <c r="B20182" s="12" t="str">
        <f ca="1">IFERROR(__xludf.DUMMYFUNCTION("""COMPUTED_VALUE"""),"")</f>
        <v/>
      </c>
      <c r="C20182" s="12" t="str">
        <f ca="1">IFERROR(__xludf.DUMMYFUNCTION("""COMPUTED_VALUE"""),"")</f>
        <v/>
      </c>
      <c r="D20182" s="12" t="str">
        <f ca="1">IFERROR(__xludf.DUMMYFUNCTION("""COMPUTED_VALUE"""),"")</f>
        <v/>
      </c>
    </row>
    <row r="20183" spans="2:4" ht="13">
      <c r="B20183" s="12" t="str">
        <f ca="1">IFERROR(__xludf.DUMMYFUNCTION("""COMPUTED_VALUE"""),"")</f>
        <v/>
      </c>
      <c r="C20183" s="12" t="str">
        <f ca="1">IFERROR(__xludf.DUMMYFUNCTION("""COMPUTED_VALUE"""),"")</f>
        <v/>
      </c>
      <c r="D20183" s="12" t="str">
        <f ca="1">IFERROR(__xludf.DUMMYFUNCTION("""COMPUTED_VALUE"""),"")</f>
        <v/>
      </c>
    </row>
    <row r="20184" spans="2:4" ht="13">
      <c r="B20184" s="12" t="str">
        <f ca="1">IFERROR(__xludf.DUMMYFUNCTION("""COMPUTED_VALUE"""),"")</f>
        <v/>
      </c>
      <c r="C20184" s="12" t="str">
        <f ca="1">IFERROR(__xludf.DUMMYFUNCTION("""COMPUTED_VALUE"""),"")</f>
        <v/>
      </c>
      <c r="D20184" s="12" t="str">
        <f ca="1">IFERROR(__xludf.DUMMYFUNCTION("""COMPUTED_VALUE"""),"")</f>
        <v/>
      </c>
    </row>
    <row r="20185" spans="2:4" ht="13">
      <c r="B20185" s="12" t="str">
        <f ca="1">IFERROR(__xludf.DUMMYFUNCTION("""COMPUTED_VALUE"""),"")</f>
        <v/>
      </c>
      <c r="C20185" s="12" t="str">
        <f ca="1">IFERROR(__xludf.DUMMYFUNCTION("""COMPUTED_VALUE"""),"")</f>
        <v/>
      </c>
      <c r="D20185" s="12" t="str">
        <f ca="1">IFERROR(__xludf.DUMMYFUNCTION("""COMPUTED_VALUE"""),"")</f>
        <v/>
      </c>
    </row>
    <row r="20186" spans="2:4" ht="13">
      <c r="B20186" s="12" t="str">
        <f ca="1">IFERROR(__xludf.DUMMYFUNCTION("""COMPUTED_VALUE"""),"")</f>
        <v/>
      </c>
      <c r="C20186" s="12" t="str">
        <f ca="1">IFERROR(__xludf.DUMMYFUNCTION("""COMPUTED_VALUE"""),"")</f>
        <v/>
      </c>
      <c r="D20186" s="12" t="str">
        <f ca="1">IFERROR(__xludf.DUMMYFUNCTION("""COMPUTED_VALUE"""),"")</f>
        <v/>
      </c>
    </row>
    <row r="20187" spans="2:4" ht="13">
      <c r="B20187" s="12" t="str">
        <f ca="1">IFERROR(__xludf.DUMMYFUNCTION("""COMPUTED_VALUE"""),"")</f>
        <v/>
      </c>
      <c r="C20187" s="12" t="str">
        <f ca="1">IFERROR(__xludf.DUMMYFUNCTION("""COMPUTED_VALUE"""),"")</f>
        <v/>
      </c>
      <c r="D20187" s="12" t="str">
        <f ca="1">IFERROR(__xludf.DUMMYFUNCTION("""COMPUTED_VALUE"""),"")</f>
        <v/>
      </c>
    </row>
    <row r="20188" spans="2:4" ht="13">
      <c r="B20188" s="12" t="str">
        <f ca="1">IFERROR(__xludf.DUMMYFUNCTION("""COMPUTED_VALUE"""),"")</f>
        <v/>
      </c>
      <c r="C20188" s="12" t="str">
        <f ca="1">IFERROR(__xludf.DUMMYFUNCTION("""COMPUTED_VALUE"""),"")</f>
        <v/>
      </c>
      <c r="D20188" s="12" t="str">
        <f ca="1">IFERROR(__xludf.DUMMYFUNCTION("""COMPUTED_VALUE"""),"")</f>
        <v/>
      </c>
    </row>
    <row r="20189" spans="2:4" ht="13">
      <c r="B20189" s="12" t="str">
        <f ca="1">IFERROR(__xludf.DUMMYFUNCTION("""COMPUTED_VALUE"""),"")</f>
        <v/>
      </c>
      <c r="C20189" s="12" t="str">
        <f ca="1">IFERROR(__xludf.DUMMYFUNCTION("""COMPUTED_VALUE"""),"")</f>
        <v/>
      </c>
      <c r="D20189" s="12" t="str">
        <f ca="1">IFERROR(__xludf.DUMMYFUNCTION("""COMPUTED_VALUE"""),"")</f>
        <v/>
      </c>
    </row>
    <row r="20190" spans="2:4" ht="13">
      <c r="B20190" s="12" t="str">
        <f ca="1">IFERROR(__xludf.DUMMYFUNCTION("""COMPUTED_VALUE"""),"")</f>
        <v/>
      </c>
      <c r="C20190" s="12" t="str">
        <f ca="1">IFERROR(__xludf.DUMMYFUNCTION("""COMPUTED_VALUE"""),"")</f>
        <v/>
      </c>
      <c r="D20190" s="12" t="str">
        <f ca="1">IFERROR(__xludf.DUMMYFUNCTION("""COMPUTED_VALUE"""),"")</f>
        <v/>
      </c>
    </row>
    <row r="20191" spans="2:4" ht="13">
      <c r="B20191" s="12" t="str">
        <f ca="1">IFERROR(__xludf.DUMMYFUNCTION("""COMPUTED_VALUE"""),"")</f>
        <v/>
      </c>
      <c r="C20191" s="12" t="str">
        <f ca="1">IFERROR(__xludf.DUMMYFUNCTION("""COMPUTED_VALUE"""),"")</f>
        <v/>
      </c>
      <c r="D20191" s="12" t="str">
        <f ca="1">IFERROR(__xludf.DUMMYFUNCTION("""COMPUTED_VALUE"""),"")</f>
        <v/>
      </c>
    </row>
    <row r="20192" spans="2:4" ht="13">
      <c r="B20192" s="12" t="str">
        <f ca="1">IFERROR(__xludf.DUMMYFUNCTION("""COMPUTED_VALUE"""),"")</f>
        <v/>
      </c>
      <c r="C20192" s="12" t="str">
        <f ca="1">IFERROR(__xludf.DUMMYFUNCTION("""COMPUTED_VALUE"""),"")</f>
        <v/>
      </c>
      <c r="D20192" s="12" t="str">
        <f ca="1">IFERROR(__xludf.DUMMYFUNCTION("""COMPUTED_VALUE"""),"")</f>
        <v/>
      </c>
    </row>
    <row r="20193" spans="2:4" ht="13">
      <c r="B20193" s="12" t="str">
        <f ca="1">IFERROR(__xludf.DUMMYFUNCTION("""COMPUTED_VALUE"""),"")</f>
        <v/>
      </c>
      <c r="C20193" s="12" t="str">
        <f ca="1">IFERROR(__xludf.DUMMYFUNCTION("""COMPUTED_VALUE"""),"")</f>
        <v/>
      </c>
      <c r="D20193" s="12" t="str">
        <f ca="1">IFERROR(__xludf.DUMMYFUNCTION("""COMPUTED_VALUE"""),"")</f>
        <v/>
      </c>
    </row>
    <row r="20194" spans="2:4" ht="13">
      <c r="B20194" s="12" t="str">
        <f ca="1">IFERROR(__xludf.DUMMYFUNCTION("""COMPUTED_VALUE"""),"")</f>
        <v/>
      </c>
      <c r="C20194" s="12" t="str">
        <f ca="1">IFERROR(__xludf.DUMMYFUNCTION("""COMPUTED_VALUE"""),"")</f>
        <v/>
      </c>
      <c r="D20194" s="12" t="str">
        <f ca="1">IFERROR(__xludf.DUMMYFUNCTION("""COMPUTED_VALUE"""),"")</f>
        <v/>
      </c>
    </row>
    <row r="20195" spans="2:4" ht="13">
      <c r="B20195" s="12" t="str">
        <f ca="1">IFERROR(__xludf.DUMMYFUNCTION("""COMPUTED_VALUE"""),"")</f>
        <v/>
      </c>
      <c r="C20195" s="12" t="str">
        <f ca="1">IFERROR(__xludf.DUMMYFUNCTION("""COMPUTED_VALUE"""),"")</f>
        <v/>
      </c>
      <c r="D20195" s="12" t="str">
        <f ca="1">IFERROR(__xludf.DUMMYFUNCTION("""COMPUTED_VALUE"""),"")</f>
        <v/>
      </c>
    </row>
    <row r="20196" spans="2:4" ht="13">
      <c r="B20196" s="12" t="str">
        <f ca="1">IFERROR(__xludf.DUMMYFUNCTION("""COMPUTED_VALUE"""),"")</f>
        <v/>
      </c>
      <c r="C20196" s="12" t="str">
        <f ca="1">IFERROR(__xludf.DUMMYFUNCTION("""COMPUTED_VALUE"""),"")</f>
        <v/>
      </c>
      <c r="D20196" s="12" t="str">
        <f ca="1">IFERROR(__xludf.DUMMYFUNCTION("""COMPUTED_VALUE"""),"")</f>
        <v/>
      </c>
    </row>
    <row r="20197" spans="2:4" ht="13">
      <c r="B20197" s="12" t="str">
        <f ca="1">IFERROR(__xludf.DUMMYFUNCTION("""COMPUTED_VALUE"""),"")</f>
        <v/>
      </c>
      <c r="C20197" s="12" t="str">
        <f ca="1">IFERROR(__xludf.DUMMYFUNCTION("""COMPUTED_VALUE"""),"")</f>
        <v/>
      </c>
      <c r="D20197" s="12" t="str">
        <f ca="1">IFERROR(__xludf.DUMMYFUNCTION("""COMPUTED_VALUE"""),"")</f>
        <v/>
      </c>
    </row>
    <row r="20198" spans="2:4" ht="13">
      <c r="B20198" s="12" t="str">
        <f ca="1">IFERROR(__xludf.DUMMYFUNCTION("""COMPUTED_VALUE"""),"")</f>
        <v/>
      </c>
      <c r="C20198" s="12" t="str">
        <f ca="1">IFERROR(__xludf.DUMMYFUNCTION("""COMPUTED_VALUE"""),"")</f>
        <v/>
      </c>
      <c r="D20198" s="12" t="str">
        <f ca="1">IFERROR(__xludf.DUMMYFUNCTION("""COMPUTED_VALUE"""),"")</f>
        <v/>
      </c>
    </row>
    <row r="20199" spans="2:4" ht="13">
      <c r="B20199" s="12" t="str">
        <f ca="1">IFERROR(__xludf.DUMMYFUNCTION("""COMPUTED_VALUE"""),"")</f>
        <v/>
      </c>
      <c r="C20199" s="12" t="str">
        <f ca="1">IFERROR(__xludf.DUMMYFUNCTION("""COMPUTED_VALUE"""),"")</f>
        <v/>
      </c>
      <c r="D20199" s="12" t="str">
        <f ca="1">IFERROR(__xludf.DUMMYFUNCTION("""COMPUTED_VALUE"""),"")</f>
        <v/>
      </c>
    </row>
    <row r="20200" spans="2:4" ht="13">
      <c r="B20200" s="12" t="str">
        <f ca="1">IFERROR(__xludf.DUMMYFUNCTION("""COMPUTED_VALUE"""),"")</f>
        <v/>
      </c>
      <c r="C20200" s="12" t="str">
        <f ca="1">IFERROR(__xludf.DUMMYFUNCTION("""COMPUTED_VALUE"""),"")</f>
        <v/>
      </c>
      <c r="D20200" s="12" t="str">
        <f ca="1">IFERROR(__xludf.DUMMYFUNCTION("""COMPUTED_VALUE"""),"")</f>
        <v/>
      </c>
    </row>
    <row r="20201" spans="2:4" ht="13">
      <c r="B20201" s="12" t="str">
        <f ca="1">IFERROR(__xludf.DUMMYFUNCTION("""COMPUTED_VALUE"""),"")</f>
        <v/>
      </c>
      <c r="C20201" s="12" t="str">
        <f ca="1">IFERROR(__xludf.DUMMYFUNCTION("""COMPUTED_VALUE"""),"")</f>
        <v/>
      </c>
      <c r="D20201" s="12" t="str">
        <f ca="1">IFERROR(__xludf.DUMMYFUNCTION("""COMPUTED_VALUE"""),"")</f>
        <v/>
      </c>
    </row>
    <row r="20202" spans="2:4" ht="13">
      <c r="B20202" s="12" t="str">
        <f ca="1">IFERROR(__xludf.DUMMYFUNCTION("""COMPUTED_VALUE"""),"")</f>
        <v/>
      </c>
      <c r="C20202" s="12" t="str">
        <f ca="1">IFERROR(__xludf.DUMMYFUNCTION("""COMPUTED_VALUE"""),"")</f>
        <v/>
      </c>
      <c r="D20202" s="12" t="str">
        <f ca="1">IFERROR(__xludf.DUMMYFUNCTION("""COMPUTED_VALUE"""),"")</f>
        <v/>
      </c>
    </row>
    <row r="20203" spans="2:4" ht="13">
      <c r="B20203" s="12" t="str">
        <f ca="1">IFERROR(__xludf.DUMMYFUNCTION("""COMPUTED_VALUE"""),"")</f>
        <v/>
      </c>
      <c r="C20203" s="12" t="str">
        <f ca="1">IFERROR(__xludf.DUMMYFUNCTION("""COMPUTED_VALUE"""),"")</f>
        <v/>
      </c>
      <c r="D20203" s="12" t="str">
        <f ca="1">IFERROR(__xludf.DUMMYFUNCTION("""COMPUTED_VALUE"""),"")</f>
        <v/>
      </c>
    </row>
    <row r="20204" spans="2:4" ht="13">
      <c r="B20204" s="12" t="str">
        <f ca="1">IFERROR(__xludf.DUMMYFUNCTION("""COMPUTED_VALUE"""),"")</f>
        <v/>
      </c>
      <c r="C20204" s="12" t="str">
        <f ca="1">IFERROR(__xludf.DUMMYFUNCTION("""COMPUTED_VALUE"""),"")</f>
        <v/>
      </c>
      <c r="D20204" s="12" t="str">
        <f ca="1">IFERROR(__xludf.DUMMYFUNCTION("""COMPUTED_VALUE"""),"")</f>
        <v/>
      </c>
    </row>
    <row r="20205" spans="2:4" ht="13">
      <c r="B20205" s="12" t="str">
        <f ca="1">IFERROR(__xludf.DUMMYFUNCTION("""COMPUTED_VALUE"""),"")</f>
        <v/>
      </c>
      <c r="C20205" s="12" t="str">
        <f ca="1">IFERROR(__xludf.DUMMYFUNCTION("""COMPUTED_VALUE"""),"")</f>
        <v/>
      </c>
      <c r="D20205" s="12" t="str">
        <f ca="1">IFERROR(__xludf.DUMMYFUNCTION("""COMPUTED_VALUE"""),"")</f>
        <v/>
      </c>
    </row>
    <row r="20206" spans="2:4" ht="13">
      <c r="B20206" s="12" t="str">
        <f ca="1">IFERROR(__xludf.DUMMYFUNCTION("""COMPUTED_VALUE"""),"")</f>
        <v/>
      </c>
      <c r="C20206" s="12" t="str">
        <f ca="1">IFERROR(__xludf.DUMMYFUNCTION("""COMPUTED_VALUE"""),"")</f>
        <v/>
      </c>
      <c r="D20206" s="12" t="str">
        <f ca="1">IFERROR(__xludf.DUMMYFUNCTION("""COMPUTED_VALUE"""),"")</f>
        <v/>
      </c>
    </row>
    <row r="20207" spans="2:4" ht="13">
      <c r="B20207" s="12" t="str">
        <f ca="1">IFERROR(__xludf.DUMMYFUNCTION("""COMPUTED_VALUE"""),"")</f>
        <v/>
      </c>
      <c r="C20207" s="12" t="str">
        <f ca="1">IFERROR(__xludf.DUMMYFUNCTION("""COMPUTED_VALUE"""),"")</f>
        <v/>
      </c>
      <c r="D20207" s="12" t="str">
        <f ca="1">IFERROR(__xludf.DUMMYFUNCTION("""COMPUTED_VALUE"""),"")</f>
        <v/>
      </c>
    </row>
    <row r="20208" spans="2:4" ht="13">
      <c r="B20208" s="12" t="str">
        <f ca="1">IFERROR(__xludf.DUMMYFUNCTION("""COMPUTED_VALUE"""),"")</f>
        <v/>
      </c>
      <c r="C20208" s="12" t="str">
        <f ca="1">IFERROR(__xludf.DUMMYFUNCTION("""COMPUTED_VALUE"""),"")</f>
        <v/>
      </c>
      <c r="D20208" s="12" t="str">
        <f ca="1">IFERROR(__xludf.DUMMYFUNCTION("""COMPUTED_VALUE"""),"")</f>
        <v/>
      </c>
    </row>
    <row r="20209" spans="2:4" ht="13">
      <c r="B20209" s="12" t="str">
        <f ca="1">IFERROR(__xludf.DUMMYFUNCTION("""COMPUTED_VALUE"""),"")</f>
        <v/>
      </c>
      <c r="C20209" s="12" t="str">
        <f ca="1">IFERROR(__xludf.DUMMYFUNCTION("""COMPUTED_VALUE"""),"")</f>
        <v/>
      </c>
      <c r="D20209" s="12" t="str">
        <f ca="1">IFERROR(__xludf.DUMMYFUNCTION("""COMPUTED_VALUE"""),"")</f>
        <v/>
      </c>
    </row>
    <row r="20210" spans="2:4" ht="13">
      <c r="B20210" s="12" t="str">
        <f ca="1">IFERROR(__xludf.DUMMYFUNCTION("""COMPUTED_VALUE"""),"")</f>
        <v/>
      </c>
      <c r="C20210" s="12" t="str">
        <f ca="1">IFERROR(__xludf.DUMMYFUNCTION("""COMPUTED_VALUE"""),"")</f>
        <v/>
      </c>
      <c r="D20210" s="12" t="str">
        <f ca="1">IFERROR(__xludf.DUMMYFUNCTION("""COMPUTED_VALUE"""),"")</f>
        <v/>
      </c>
    </row>
    <row r="20211" spans="2:4" ht="13">
      <c r="B20211" s="12" t="str">
        <f ca="1">IFERROR(__xludf.DUMMYFUNCTION("""COMPUTED_VALUE"""),"")</f>
        <v/>
      </c>
      <c r="C20211" s="12" t="str">
        <f ca="1">IFERROR(__xludf.DUMMYFUNCTION("""COMPUTED_VALUE"""),"")</f>
        <v/>
      </c>
      <c r="D20211" s="12" t="str">
        <f ca="1">IFERROR(__xludf.DUMMYFUNCTION("""COMPUTED_VALUE"""),"")</f>
        <v/>
      </c>
    </row>
    <row r="20212" spans="2:4" ht="13">
      <c r="B20212" s="12" t="str">
        <f ca="1">IFERROR(__xludf.DUMMYFUNCTION("""COMPUTED_VALUE"""),"")</f>
        <v/>
      </c>
      <c r="C20212" s="12" t="str">
        <f ca="1">IFERROR(__xludf.DUMMYFUNCTION("""COMPUTED_VALUE"""),"")</f>
        <v/>
      </c>
      <c r="D20212" s="12" t="str">
        <f ca="1">IFERROR(__xludf.DUMMYFUNCTION("""COMPUTED_VALUE"""),"")</f>
        <v/>
      </c>
    </row>
    <row r="20213" spans="2:4" ht="13">
      <c r="B20213" s="12" t="str">
        <f ca="1">IFERROR(__xludf.DUMMYFUNCTION("""COMPUTED_VALUE"""),"")</f>
        <v/>
      </c>
      <c r="C20213" s="12" t="str">
        <f ca="1">IFERROR(__xludf.DUMMYFUNCTION("""COMPUTED_VALUE"""),"")</f>
        <v/>
      </c>
      <c r="D20213" s="12" t="str">
        <f ca="1">IFERROR(__xludf.DUMMYFUNCTION("""COMPUTED_VALUE"""),"")</f>
        <v/>
      </c>
    </row>
    <row r="20214" spans="2:4" ht="13">
      <c r="B20214" s="12" t="str">
        <f ca="1">IFERROR(__xludf.DUMMYFUNCTION("""COMPUTED_VALUE"""),"")</f>
        <v/>
      </c>
      <c r="C20214" s="12" t="str">
        <f ca="1">IFERROR(__xludf.DUMMYFUNCTION("""COMPUTED_VALUE"""),"")</f>
        <v/>
      </c>
      <c r="D20214" s="12" t="str">
        <f ca="1">IFERROR(__xludf.DUMMYFUNCTION("""COMPUTED_VALUE"""),"")</f>
        <v/>
      </c>
    </row>
    <row r="20215" spans="2:4" ht="13">
      <c r="B20215" s="12" t="str">
        <f ca="1">IFERROR(__xludf.DUMMYFUNCTION("""COMPUTED_VALUE"""),"")</f>
        <v/>
      </c>
      <c r="C20215" s="12" t="str">
        <f ca="1">IFERROR(__xludf.DUMMYFUNCTION("""COMPUTED_VALUE"""),"")</f>
        <v/>
      </c>
      <c r="D20215" s="12" t="str">
        <f ca="1">IFERROR(__xludf.DUMMYFUNCTION("""COMPUTED_VALUE"""),"")</f>
        <v/>
      </c>
    </row>
    <row r="20216" spans="2:4" ht="13">
      <c r="B20216" s="12" t="str">
        <f ca="1">IFERROR(__xludf.DUMMYFUNCTION("""COMPUTED_VALUE"""),"")</f>
        <v/>
      </c>
      <c r="C20216" s="12" t="str">
        <f ca="1">IFERROR(__xludf.DUMMYFUNCTION("""COMPUTED_VALUE"""),"")</f>
        <v/>
      </c>
      <c r="D20216" s="12" t="str">
        <f ca="1">IFERROR(__xludf.DUMMYFUNCTION("""COMPUTED_VALUE"""),"")</f>
        <v/>
      </c>
    </row>
    <row r="20217" spans="2:4" ht="13">
      <c r="B20217" s="12" t="str">
        <f ca="1">IFERROR(__xludf.DUMMYFUNCTION("""COMPUTED_VALUE"""),"")</f>
        <v/>
      </c>
      <c r="C20217" s="12" t="str">
        <f ca="1">IFERROR(__xludf.DUMMYFUNCTION("""COMPUTED_VALUE"""),"")</f>
        <v/>
      </c>
      <c r="D20217" s="12" t="str">
        <f ca="1">IFERROR(__xludf.DUMMYFUNCTION("""COMPUTED_VALUE"""),"")</f>
        <v/>
      </c>
    </row>
    <row r="20218" spans="2:4" ht="13">
      <c r="B20218" s="12" t="str">
        <f ca="1">IFERROR(__xludf.DUMMYFUNCTION("""COMPUTED_VALUE"""),"")</f>
        <v/>
      </c>
      <c r="C20218" s="12" t="str">
        <f ca="1">IFERROR(__xludf.DUMMYFUNCTION("""COMPUTED_VALUE"""),"")</f>
        <v/>
      </c>
      <c r="D20218" s="12" t="str">
        <f ca="1">IFERROR(__xludf.DUMMYFUNCTION("""COMPUTED_VALUE"""),"")</f>
        <v/>
      </c>
    </row>
    <row r="20219" spans="2:4" ht="13">
      <c r="B20219" s="12" t="str">
        <f ca="1">IFERROR(__xludf.DUMMYFUNCTION("""COMPUTED_VALUE"""),"")</f>
        <v/>
      </c>
      <c r="C20219" s="12" t="str">
        <f ca="1">IFERROR(__xludf.DUMMYFUNCTION("""COMPUTED_VALUE"""),"")</f>
        <v/>
      </c>
      <c r="D20219" s="12" t="str">
        <f ca="1">IFERROR(__xludf.DUMMYFUNCTION("""COMPUTED_VALUE"""),"")</f>
        <v/>
      </c>
    </row>
    <row r="20220" spans="2:4" ht="13">
      <c r="B20220" s="12" t="str">
        <f ca="1">IFERROR(__xludf.DUMMYFUNCTION("""COMPUTED_VALUE"""),"")</f>
        <v/>
      </c>
      <c r="C20220" s="12" t="str">
        <f ca="1">IFERROR(__xludf.DUMMYFUNCTION("""COMPUTED_VALUE"""),"")</f>
        <v/>
      </c>
      <c r="D20220" s="12" t="str">
        <f ca="1">IFERROR(__xludf.DUMMYFUNCTION("""COMPUTED_VALUE"""),"")</f>
        <v/>
      </c>
    </row>
    <row r="20221" spans="2:4" ht="13">
      <c r="B20221" s="12" t="str">
        <f ca="1">IFERROR(__xludf.DUMMYFUNCTION("""COMPUTED_VALUE"""),"")</f>
        <v/>
      </c>
      <c r="C20221" s="12" t="str">
        <f ca="1">IFERROR(__xludf.DUMMYFUNCTION("""COMPUTED_VALUE"""),"")</f>
        <v/>
      </c>
      <c r="D20221" s="12" t="str">
        <f ca="1">IFERROR(__xludf.DUMMYFUNCTION("""COMPUTED_VALUE"""),"")</f>
        <v/>
      </c>
    </row>
    <row r="20222" spans="2:4" ht="13">
      <c r="B20222" s="12" t="str">
        <f ca="1">IFERROR(__xludf.DUMMYFUNCTION("""COMPUTED_VALUE"""),"")</f>
        <v/>
      </c>
      <c r="C20222" s="12" t="str">
        <f ca="1">IFERROR(__xludf.DUMMYFUNCTION("""COMPUTED_VALUE"""),"")</f>
        <v/>
      </c>
      <c r="D20222" s="12" t="str">
        <f ca="1">IFERROR(__xludf.DUMMYFUNCTION("""COMPUTED_VALUE"""),"")</f>
        <v/>
      </c>
    </row>
    <row r="20223" spans="2:4" ht="13">
      <c r="B20223" s="12" t="str">
        <f ca="1">IFERROR(__xludf.DUMMYFUNCTION("""COMPUTED_VALUE"""),"")</f>
        <v/>
      </c>
      <c r="C20223" s="12" t="str">
        <f ca="1">IFERROR(__xludf.DUMMYFUNCTION("""COMPUTED_VALUE"""),"")</f>
        <v/>
      </c>
      <c r="D20223" s="12" t="str">
        <f ca="1">IFERROR(__xludf.DUMMYFUNCTION("""COMPUTED_VALUE"""),"")</f>
        <v/>
      </c>
    </row>
    <row r="20224" spans="2:4" ht="13">
      <c r="B20224" s="12" t="str">
        <f ca="1">IFERROR(__xludf.DUMMYFUNCTION("""COMPUTED_VALUE"""),"")</f>
        <v/>
      </c>
      <c r="C20224" s="12" t="str">
        <f ca="1">IFERROR(__xludf.DUMMYFUNCTION("""COMPUTED_VALUE"""),"")</f>
        <v/>
      </c>
      <c r="D20224" s="12" t="str">
        <f ca="1">IFERROR(__xludf.DUMMYFUNCTION("""COMPUTED_VALUE"""),"")</f>
        <v/>
      </c>
    </row>
    <row r="20225" spans="2:4" ht="13">
      <c r="B20225" s="12" t="str">
        <f ca="1">IFERROR(__xludf.DUMMYFUNCTION("""COMPUTED_VALUE"""),"")</f>
        <v/>
      </c>
      <c r="C20225" s="12" t="str">
        <f ca="1">IFERROR(__xludf.DUMMYFUNCTION("""COMPUTED_VALUE"""),"")</f>
        <v/>
      </c>
      <c r="D20225" s="12" t="str">
        <f ca="1">IFERROR(__xludf.DUMMYFUNCTION("""COMPUTED_VALUE"""),"")</f>
        <v/>
      </c>
    </row>
    <row r="20226" spans="2:4" ht="13">
      <c r="B20226" s="12" t="str">
        <f ca="1">IFERROR(__xludf.DUMMYFUNCTION("""COMPUTED_VALUE"""),"")</f>
        <v/>
      </c>
      <c r="C20226" s="12" t="str">
        <f ca="1">IFERROR(__xludf.DUMMYFUNCTION("""COMPUTED_VALUE"""),"")</f>
        <v/>
      </c>
      <c r="D20226" s="12" t="str">
        <f ca="1">IFERROR(__xludf.DUMMYFUNCTION("""COMPUTED_VALUE"""),"")</f>
        <v/>
      </c>
    </row>
    <row r="20227" spans="2:4" ht="13">
      <c r="B20227" s="12" t="str">
        <f ca="1">IFERROR(__xludf.DUMMYFUNCTION("""COMPUTED_VALUE"""),"")</f>
        <v/>
      </c>
      <c r="C20227" s="12" t="str">
        <f ca="1">IFERROR(__xludf.DUMMYFUNCTION("""COMPUTED_VALUE"""),"")</f>
        <v/>
      </c>
      <c r="D20227" s="12" t="str">
        <f ca="1">IFERROR(__xludf.DUMMYFUNCTION("""COMPUTED_VALUE"""),"")</f>
        <v/>
      </c>
    </row>
    <row r="20228" spans="2:4" ht="13">
      <c r="B20228" s="12" t="str">
        <f ca="1">IFERROR(__xludf.DUMMYFUNCTION("""COMPUTED_VALUE"""),"")</f>
        <v/>
      </c>
      <c r="C20228" s="12" t="str">
        <f ca="1">IFERROR(__xludf.DUMMYFUNCTION("""COMPUTED_VALUE"""),"")</f>
        <v/>
      </c>
      <c r="D20228" s="12" t="str">
        <f ca="1">IFERROR(__xludf.DUMMYFUNCTION("""COMPUTED_VALUE"""),"")</f>
        <v/>
      </c>
    </row>
    <row r="20229" spans="2:4" ht="13">
      <c r="B20229" s="12" t="str">
        <f ca="1">IFERROR(__xludf.DUMMYFUNCTION("""COMPUTED_VALUE"""),"")</f>
        <v/>
      </c>
      <c r="C20229" s="12" t="str">
        <f ca="1">IFERROR(__xludf.DUMMYFUNCTION("""COMPUTED_VALUE"""),"")</f>
        <v/>
      </c>
      <c r="D20229" s="12" t="str">
        <f ca="1">IFERROR(__xludf.DUMMYFUNCTION("""COMPUTED_VALUE"""),"")</f>
        <v/>
      </c>
    </row>
    <row r="20230" spans="2:4" ht="13">
      <c r="B20230" s="12" t="str">
        <f ca="1">IFERROR(__xludf.DUMMYFUNCTION("""COMPUTED_VALUE"""),"")</f>
        <v/>
      </c>
      <c r="C20230" s="12" t="str">
        <f ca="1">IFERROR(__xludf.DUMMYFUNCTION("""COMPUTED_VALUE"""),"")</f>
        <v/>
      </c>
      <c r="D20230" s="12" t="str">
        <f ca="1">IFERROR(__xludf.DUMMYFUNCTION("""COMPUTED_VALUE"""),"")</f>
        <v/>
      </c>
    </row>
    <row r="20231" spans="2:4" ht="13">
      <c r="B20231" s="12" t="str">
        <f ca="1">IFERROR(__xludf.DUMMYFUNCTION("""COMPUTED_VALUE"""),"")</f>
        <v/>
      </c>
      <c r="C20231" s="12" t="str">
        <f ca="1">IFERROR(__xludf.DUMMYFUNCTION("""COMPUTED_VALUE"""),"")</f>
        <v/>
      </c>
      <c r="D20231" s="12" t="str">
        <f ca="1">IFERROR(__xludf.DUMMYFUNCTION("""COMPUTED_VALUE"""),"")</f>
        <v/>
      </c>
    </row>
    <row r="20232" spans="2:4" ht="13">
      <c r="B20232" s="12" t="str">
        <f ca="1">IFERROR(__xludf.DUMMYFUNCTION("""COMPUTED_VALUE"""),"")</f>
        <v/>
      </c>
      <c r="C20232" s="12" t="str">
        <f ca="1">IFERROR(__xludf.DUMMYFUNCTION("""COMPUTED_VALUE"""),"")</f>
        <v/>
      </c>
      <c r="D20232" s="12" t="str">
        <f ca="1">IFERROR(__xludf.DUMMYFUNCTION("""COMPUTED_VALUE"""),"")</f>
        <v/>
      </c>
    </row>
    <row r="20233" spans="2:4" ht="13">
      <c r="B20233" s="12" t="str">
        <f ca="1">IFERROR(__xludf.DUMMYFUNCTION("""COMPUTED_VALUE"""),"")</f>
        <v/>
      </c>
      <c r="C20233" s="12" t="str">
        <f ca="1">IFERROR(__xludf.DUMMYFUNCTION("""COMPUTED_VALUE"""),"")</f>
        <v/>
      </c>
      <c r="D20233" s="12" t="str">
        <f ca="1">IFERROR(__xludf.DUMMYFUNCTION("""COMPUTED_VALUE"""),"")</f>
        <v/>
      </c>
    </row>
    <row r="20234" spans="2:4" ht="13">
      <c r="B20234" s="12" t="str">
        <f ca="1">IFERROR(__xludf.DUMMYFUNCTION("""COMPUTED_VALUE"""),"")</f>
        <v/>
      </c>
      <c r="C20234" s="12" t="str">
        <f ca="1">IFERROR(__xludf.DUMMYFUNCTION("""COMPUTED_VALUE"""),"")</f>
        <v/>
      </c>
      <c r="D20234" s="12" t="str">
        <f ca="1">IFERROR(__xludf.DUMMYFUNCTION("""COMPUTED_VALUE"""),"")</f>
        <v/>
      </c>
    </row>
    <row r="20235" spans="2:4" ht="13">
      <c r="B20235" s="12" t="str">
        <f ca="1">IFERROR(__xludf.DUMMYFUNCTION("""COMPUTED_VALUE"""),"")</f>
        <v/>
      </c>
      <c r="C20235" s="12" t="str">
        <f ca="1">IFERROR(__xludf.DUMMYFUNCTION("""COMPUTED_VALUE"""),"")</f>
        <v/>
      </c>
      <c r="D20235" s="12" t="str">
        <f ca="1">IFERROR(__xludf.DUMMYFUNCTION("""COMPUTED_VALUE"""),"")</f>
        <v/>
      </c>
    </row>
    <row r="20236" spans="2:4" ht="13">
      <c r="B20236" s="12" t="str">
        <f ca="1">IFERROR(__xludf.DUMMYFUNCTION("""COMPUTED_VALUE"""),"")</f>
        <v/>
      </c>
      <c r="C20236" s="12" t="str">
        <f ca="1">IFERROR(__xludf.DUMMYFUNCTION("""COMPUTED_VALUE"""),"")</f>
        <v/>
      </c>
      <c r="D20236" s="12" t="str">
        <f ca="1">IFERROR(__xludf.DUMMYFUNCTION("""COMPUTED_VALUE"""),"")</f>
        <v/>
      </c>
    </row>
    <row r="20237" spans="2:4" ht="13">
      <c r="B20237" s="12" t="str">
        <f ca="1">IFERROR(__xludf.DUMMYFUNCTION("""COMPUTED_VALUE"""),"")</f>
        <v/>
      </c>
      <c r="C20237" s="12" t="str">
        <f ca="1">IFERROR(__xludf.DUMMYFUNCTION("""COMPUTED_VALUE"""),"")</f>
        <v/>
      </c>
      <c r="D20237" s="12" t="str">
        <f ca="1">IFERROR(__xludf.DUMMYFUNCTION("""COMPUTED_VALUE"""),"")</f>
        <v/>
      </c>
    </row>
    <row r="20238" spans="2:4" ht="13">
      <c r="B20238" s="12" t="str">
        <f ca="1">IFERROR(__xludf.DUMMYFUNCTION("""COMPUTED_VALUE"""),"")</f>
        <v/>
      </c>
      <c r="C20238" s="12" t="str">
        <f ca="1">IFERROR(__xludf.DUMMYFUNCTION("""COMPUTED_VALUE"""),"")</f>
        <v/>
      </c>
      <c r="D20238" s="12" t="str">
        <f ca="1">IFERROR(__xludf.DUMMYFUNCTION("""COMPUTED_VALUE"""),"")</f>
        <v/>
      </c>
    </row>
    <row r="20239" spans="2:4" ht="13">
      <c r="B20239" s="12" t="str">
        <f ca="1">IFERROR(__xludf.DUMMYFUNCTION("""COMPUTED_VALUE"""),"")</f>
        <v/>
      </c>
      <c r="C20239" s="12" t="str">
        <f ca="1">IFERROR(__xludf.DUMMYFUNCTION("""COMPUTED_VALUE"""),"")</f>
        <v/>
      </c>
      <c r="D20239" s="12" t="str">
        <f ca="1">IFERROR(__xludf.DUMMYFUNCTION("""COMPUTED_VALUE"""),"")</f>
        <v/>
      </c>
    </row>
    <row r="20240" spans="2:4" ht="13">
      <c r="B20240" s="12" t="str">
        <f ca="1">IFERROR(__xludf.DUMMYFUNCTION("""COMPUTED_VALUE"""),"")</f>
        <v/>
      </c>
      <c r="C20240" s="12" t="str">
        <f ca="1">IFERROR(__xludf.DUMMYFUNCTION("""COMPUTED_VALUE"""),"")</f>
        <v/>
      </c>
      <c r="D20240" s="12" t="str">
        <f ca="1">IFERROR(__xludf.DUMMYFUNCTION("""COMPUTED_VALUE"""),"")</f>
        <v/>
      </c>
    </row>
    <row r="20241" spans="2:4" ht="13">
      <c r="B20241" s="12" t="str">
        <f ca="1">IFERROR(__xludf.DUMMYFUNCTION("""COMPUTED_VALUE"""),"")</f>
        <v/>
      </c>
      <c r="C20241" s="12" t="str">
        <f ca="1">IFERROR(__xludf.DUMMYFUNCTION("""COMPUTED_VALUE"""),"")</f>
        <v/>
      </c>
      <c r="D20241" s="12" t="str">
        <f ca="1">IFERROR(__xludf.DUMMYFUNCTION("""COMPUTED_VALUE"""),"")</f>
        <v/>
      </c>
    </row>
    <row r="20242" spans="2:4" ht="13">
      <c r="B20242" s="12" t="str">
        <f ca="1">IFERROR(__xludf.DUMMYFUNCTION("""COMPUTED_VALUE"""),"")</f>
        <v/>
      </c>
      <c r="C20242" s="12" t="str">
        <f ca="1">IFERROR(__xludf.DUMMYFUNCTION("""COMPUTED_VALUE"""),"")</f>
        <v/>
      </c>
      <c r="D20242" s="12" t="str">
        <f ca="1">IFERROR(__xludf.DUMMYFUNCTION("""COMPUTED_VALUE"""),"")</f>
        <v/>
      </c>
    </row>
    <row r="20243" spans="2:4" ht="13">
      <c r="B20243" s="12" t="str">
        <f ca="1">IFERROR(__xludf.DUMMYFUNCTION("""COMPUTED_VALUE"""),"")</f>
        <v/>
      </c>
      <c r="C20243" s="12" t="str">
        <f ca="1">IFERROR(__xludf.DUMMYFUNCTION("""COMPUTED_VALUE"""),"")</f>
        <v/>
      </c>
      <c r="D20243" s="12" t="str">
        <f ca="1">IFERROR(__xludf.DUMMYFUNCTION("""COMPUTED_VALUE"""),"")</f>
        <v/>
      </c>
    </row>
    <row r="20244" spans="2:4" ht="13">
      <c r="B20244" s="12" t="str">
        <f ca="1">IFERROR(__xludf.DUMMYFUNCTION("""COMPUTED_VALUE"""),"")</f>
        <v/>
      </c>
      <c r="C20244" s="12" t="str">
        <f ca="1">IFERROR(__xludf.DUMMYFUNCTION("""COMPUTED_VALUE"""),"")</f>
        <v/>
      </c>
      <c r="D20244" s="12" t="str">
        <f ca="1">IFERROR(__xludf.DUMMYFUNCTION("""COMPUTED_VALUE"""),"")</f>
        <v/>
      </c>
    </row>
    <row r="20245" spans="2:4" ht="13">
      <c r="B20245" s="12" t="str">
        <f ca="1">IFERROR(__xludf.DUMMYFUNCTION("""COMPUTED_VALUE"""),"")</f>
        <v/>
      </c>
      <c r="C20245" s="12" t="str">
        <f ca="1">IFERROR(__xludf.DUMMYFUNCTION("""COMPUTED_VALUE"""),"")</f>
        <v/>
      </c>
      <c r="D20245" s="12" t="str">
        <f ca="1">IFERROR(__xludf.DUMMYFUNCTION("""COMPUTED_VALUE"""),"")</f>
        <v/>
      </c>
    </row>
    <row r="20246" spans="2:4" ht="13">
      <c r="B20246" s="12" t="str">
        <f ca="1">IFERROR(__xludf.DUMMYFUNCTION("""COMPUTED_VALUE"""),"")</f>
        <v/>
      </c>
      <c r="C20246" s="12" t="str">
        <f ca="1">IFERROR(__xludf.DUMMYFUNCTION("""COMPUTED_VALUE"""),"")</f>
        <v/>
      </c>
      <c r="D20246" s="12" t="str">
        <f ca="1">IFERROR(__xludf.DUMMYFUNCTION("""COMPUTED_VALUE"""),"")</f>
        <v/>
      </c>
    </row>
    <row r="20247" spans="2:4" ht="13">
      <c r="B20247" s="12" t="str">
        <f ca="1">IFERROR(__xludf.DUMMYFUNCTION("""COMPUTED_VALUE"""),"")</f>
        <v/>
      </c>
      <c r="C20247" s="12" t="str">
        <f ca="1">IFERROR(__xludf.DUMMYFUNCTION("""COMPUTED_VALUE"""),"")</f>
        <v/>
      </c>
      <c r="D20247" s="12" t="str">
        <f ca="1">IFERROR(__xludf.DUMMYFUNCTION("""COMPUTED_VALUE"""),"")</f>
        <v/>
      </c>
    </row>
    <row r="20248" spans="2:4" ht="13">
      <c r="B20248" s="12" t="str">
        <f ca="1">IFERROR(__xludf.DUMMYFUNCTION("""COMPUTED_VALUE"""),"")</f>
        <v/>
      </c>
      <c r="C20248" s="12" t="str">
        <f ca="1">IFERROR(__xludf.DUMMYFUNCTION("""COMPUTED_VALUE"""),"")</f>
        <v/>
      </c>
      <c r="D20248" s="12" t="str">
        <f ca="1">IFERROR(__xludf.DUMMYFUNCTION("""COMPUTED_VALUE"""),"")</f>
        <v/>
      </c>
    </row>
    <row r="20249" spans="2:4" ht="13">
      <c r="B20249" s="12" t="str">
        <f ca="1">IFERROR(__xludf.DUMMYFUNCTION("""COMPUTED_VALUE"""),"")</f>
        <v/>
      </c>
      <c r="C20249" s="12" t="str">
        <f ca="1">IFERROR(__xludf.DUMMYFUNCTION("""COMPUTED_VALUE"""),"")</f>
        <v/>
      </c>
      <c r="D20249" s="12" t="str">
        <f ca="1">IFERROR(__xludf.DUMMYFUNCTION("""COMPUTED_VALUE"""),"")</f>
        <v/>
      </c>
    </row>
    <row r="20250" spans="2:4" ht="13">
      <c r="B20250" s="12" t="str">
        <f ca="1">IFERROR(__xludf.DUMMYFUNCTION("""COMPUTED_VALUE"""),"")</f>
        <v/>
      </c>
      <c r="C20250" s="12" t="str">
        <f ca="1">IFERROR(__xludf.DUMMYFUNCTION("""COMPUTED_VALUE"""),"")</f>
        <v/>
      </c>
      <c r="D20250" s="12" t="str">
        <f ca="1">IFERROR(__xludf.DUMMYFUNCTION("""COMPUTED_VALUE"""),"")</f>
        <v/>
      </c>
    </row>
    <row r="20251" spans="2:4" ht="13">
      <c r="B20251" s="12" t="str">
        <f ca="1">IFERROR(__xludf.DUMMYFUNCTION("""COMPUTED_VALUE"""),"")</f>
        <v/>
      </c>
      <c r="C20251" s="12" t="str">
        <f ca="1">IFERROR(__xludf.DUMMYFUNCTION("""COMPUTED_VALUE"""),"")</f>
        <v/>
      </c>
      <c r="D20251" s="12" t="str">
        <f ca="1">IFERROR(__xludf.DUMMYFUNCTION("""COMPUTED_VALUE"""),"")</f>
        <v/>
      </c>
    </row>
    <row r="20252" spans="2:4" ht="13">
      <c r="B20252" s="12" t="str">
        <f ca="1">IFERROR(__xludf.DUMMYFUNCTION("""COMPUTED_VALUE"""),"")</f>
        <v/>
      </c>
      <c r="C20252" s="12" t="str">
        <f ca="1">IFERROR(__xludf.DUMMYFUNCTION("""COMPUTED_VALUE"""),"")</f>
        <v/>
      </c>
      <c r="D20252" s="12" t="str">
        <f ca="1">IFERROR(__xludf.DUMMYFUNCTION("""COMPUTED_VALUE"""),"")</f>
        <v/>
      </c>
    </row>
    <row r="20253" spans="2:4" ht="13">
      <c r="B20253" s="12" t="str">
        <f ca="1">IFERROR(__xludf.DUMMYFUNCTION("""COMPUTED_VALUE"""),"")</f>
        <v/>
      </c>
      <c r="C20253" s="12" t="str">
        <f ca="1">IFERROR(__xludf.DUMMYFUNCTION("""COMPUTED_VALUE"""),"")</f>
        <v/>
      </c>
      <c r="D20253" s="12" t="str">
        <f ca="1">IFERROR(__xludf.DUMMYFUNCTION("""COMPUTED_VALUE"""),"")</f>
        <v/>
      </c>
    </row>
    <row r="20254" spans="2:4" ht="13">
      <c r="B20254" s="12" t="str">
        <f ca="1">IFERROR(__xludf.DUMMYFUNCTION("""COMPUTED_VALUE"""),"")</f>
        <v/>
      </c>
      <c r="C20254" s="12" t="str">
        <f ca="1">IFERROR(__xludf.DUMMYFUNCTION("""COMPUTED_VALUE"""),"")</f>
        <v/>
      </c>
      <c r="D20254" s="12" t="str">
        <f ca="1">IFERROR(__xludf.DUMMYFUNCTION("""COMPUTED_VALUE"""),"")</f>
        <v/>
      </c>
    </row>
    <row r="20255" spans="2:4" ht="13">
      <c r="B20255" s="12" t="str">
        <f ca="1">IFERROR(__xludf.DUMMYFUNCTION("""COMPUTED_VALUE"""),"")</f>
        <v/>
      </c>
      <c r="C20255" s="12" t="str">
        <f ca="1">IFERROR(__xludf.DUMMYFUNCTION("""COMPUTED_VALUE"""),"")</f>
        <v/>
      </c>
      <c r="D20255" s="12" t="str">
        <f ca="1">IFERROR(__xludf.DUMMYFUNCTION("""COMPUTED_VALUE"""),"")</f>
        <v/>
      </c>
    </row>
    <row r="20256" spans="2:4" ht="13">
      <c r="B20256" s="12" t="str">
        <f ca="1">IFERROR(__xludf.DUMMYFUNCTION("""COMPUTED_VALUE"""),"")</f>
        <v/>
      </c>
      <c r="C20256" s="12" t="str">
        <f ca="1">IFERROR(__xludf.DUMMYFUNCTION("""COMPUTED_VALUE"""),"")</f>
        <v/>
      </c>
      <c r="D20256" s="12" t="str">
        <f ca="1">IFERROR(__xludf.DUMMYFUNCTION("""COMPUTED_VALUE"""),"")</f>
        <v/>
      </c>
    </row>
    <row r="20257" spans="2:4" ht="13">
      <c r="B20257" s="12" t="str">
        <f ca="1">IFERROR(__xludf.DUMMYFUNCTION("""COMPUTED_VALUE"""),"")</f>
        <v/>
      </c>
      <c r="C20257" s="12" t="str">
        <f ca="1">IFERROR(__xludf.DUMMYFUNCTION("""COMPUTED_VALUE"""),"")</f>
        <v/>
      </c>
      <c r="D20257" s="12" t="str">
        <f ca="1">IFERROR(__xludf.DUMMYFUNCTION("""COMPUTED_VALUE"""),"")</f>
        <v/>
      </c>
    </row>
    <row r="20258" spans="2:4" ht="13">
      <c r="B20258" s="12" t="str">
        <f ca="1">IFERROR(__xludf.DUMMYFUNCTION("""COMPUTED_VALUE"""),"")</f>
        <v/>
      </c>
      <c r="C20258" s="12" t="str">
        <f ca="1">IFERROR(__xludf.DUMMYFUNCTION("""COMPUTED_VALUE"""),"")</f>
        <v/>
      </c>
      <c r="D20258" s="12" t="str">
        <f ca="1">IFERROR(__xludf.DUMMYFUNCTION("""COMPUTED_VALUE"""),"")</f>
        <v/>
      </c>
    </row>
    <row r="20259" spans="2:4" ht="13">
      <c r="B20259" s="12" t="str">
        <f ca="1">IFERROR(__xludf.DUMMYFUNCTION("""COMPUTED_VALUE"""),"")</f>
        <v/>
      </c>
      <c r="C20259" s="12" t="str">
        <f ca="1">IFERROR(__xludf.DUMMYFUNCTION("""COMPUTED_VALUE"""),"")</f>
        <v/>
      </c>
      <c r="D20259" s="12" t="str">
        <f ca="1">IFERROR(__xludf.DUMMYFUNCTION("""COMPUTED_VALUE"""),"")</f>
        <v/>
      </c>
    </row>
    <row r="20260" spans="2:4" ht="13">
      <c r="B20260" s="12" t="str">
        <f ca="1">IFERROR(__xludf.DUMMYFUNCTION("""COMPUTED_VALUE"""),"")</f>
        <v/>
      </c>
      <c r="C20260" s="12" t="str">
        <f ca="1">IFERROR(__xludf.DUMMYFUNCTION("""COMPUTED_VALUE"""),"")</f>
        <v/>
      </c>
      <c r="D20260" s="12" t="str">
        <f ca="1">IFERROR(__xludf.DUMMYFUNCTION("""COMPUTED_VALUE"""),"")</f>
        <v/>
      </c>
    </row>
    <row r="20261" spans="2:4" ht="13">
      <c r="B20261" s="12" t="str">
        <f ca="1">IFERROR(__xludf.DUMMYFUNCTION("""COMPUTED_VALUE"""),"")</f>
        <v/>
      </c>
      <c r="C20261" s="12" t="str">
        <f ca="1">IFERROR(__xludf.DUMMYFUNCTION("""COMPUTED_VALUE"""),"")</f>
        <v/>
      </c>
      <c r="D20261" s="12" t="str">
        <f ca="1">IFERROR(__xludf.DUMMYFUNCTION("""COMPUTED_VALUE"""),"")</f>
        <v/>
      </c>
    </row>
    <row r="20262" spans="2:4" ht="13">
      <c r="B20262" s="12" t="str">
        <f ca="1">IFERROR(__xludf.DUMMYFUNCTION("""COMPUTED_VALUE"""),"")</f>
        <v/>
      </c>
      <c r="C20262" s="12" t="str">
        <f ca="1">IFERROR(__xludf.DUMMYFUNCTION("""COMPUTED_VALUE"""),"")</f>
        <v/>
      </c>
      <c r="D20262" s="12" t="str">
        <f ca="1">IFERROR(__xludf.DUMMYFUNCTION("""COMPUTED_VALUE"""),"")</f>
        <v/>
      </c>
    </row>
    <row r="20263" spans="2:4" ht="13">
      <c r="B20263" s="12" t="str">
        <f ca="1">IFERROR(__xludf.DUMMYFUNCTION("""COMPUTED_VALUE"""),"")</f>
        <v/>
      </c>
      <c r="C20263" s="12" t="str">
        <f ca="1">IFERROR(__xludf.DUMMYFUNCTION("""COMPUTED_VALUE"""),"")</f>
        <v/>
      </c>
      <c r="D20263" s="12" t="str">
        <f ca="1">IFERROR(__xludf.DUMMYFUNCTION("""COMPUTED_VALUE"""),"")</f>
        <v/>
      </c>
    </row>
    <row r="20264" spans="2:4" ht="13">
      <c r="B20264" s="12" t="str">
        <f ca="1">IFERROR(__xludf.DUMMYFUNCTION("""COMPUTED_VALUE"""),"")</f>
        <v/>
      </c>
      <c r="C20264" s="12" t="str">
        <f ca="1">IFERROR(__xludf.DUMMYFUNCTION("""COMPUTED_VALUE"""),"")</f>
        <v/>
      </c>
      <c r="D20264" s="12" t="str">
        <f ca="1">IFERROR(__xludf.DUMMYFUNCTION("""COMPUTED_VALUE"""),"")</f>
        <v/>
      </c>
    </row>
    <row r="20265" spans="2:4" ht="13">
      <c r="B20265" s="12" t="str">
        <f ca="1">IFERROR(__xludf.DUMMYFUNCTION("""COMPUTED_VALUE"""),"")</f>
        <v/>
      </c>
      <c r="C20265" s="12" t="str">
        <f ca="1">IFERROR(__xludf.DUMMYFUNCTION("""COMPUTED_VALUE"""),"")</f>
        <v/>
      </c>
      <c r="D20265" s="12" t="str">
        <f ca="1">IFERROR(__xludf.DUMMYFUNCTION("""COMPUTED_VALUE"""),"")</f>
        <v/>
      </c>
    </row>
    <row r="20266" spans="2:4" ht="13">
      <c r="B20266" s="12" t="str">
        <f ca="1">IFERROR(__xludf.DUMMYFUNCTION("""COMPUTED_VALUE"""),"")</f>
        <v/>
      </c>
      <c r="C20266" s="12" t="str">
        <f ca="1">IFERROR(__xludf.DUMMYFUNCTION("""COMPUTED_VALUE"""),"")</f>
        <v/>
      </c>
      <c r="D20266" s="12" t="str">
        <f ca="1">IFERROR(__xludf.DUMMYFUNCTION("""COMPUTED_VALUE"""),"")</f>
        <v/>
      </c>
    </row>
    <row r="20267" spans="2:4" ht="13">
      <c r="B20267" s="12" t="str">
        <f ca="1">IFERROR(__xludf.DUMMYFUNCTION("""COMPUTED_VALUE"""),"")</f>
        <v/>
      </c>
      <c r="C20267" s="12" t="str">
        <f ca="1">IFERROR(__xludf.DUMMYFUNCTION("""COMPUTED_VALUE"""),"")</f>
        <v/>
      </c>
      <c r="D20267" s="12" t="str">
        <f ca="1">IFERROR(__xludf.DUMMYFUNCTION("""COMPUTED_VALUE"""),"")</f>
        <v/>
      </c>
    </row>
    <row r="20268" spans="2:4" ht="13">
      <c r="B20268" s="12" t="str">
        <f ca="1">IFERROR(__xludf.DUMMYFUNCTION("""COMPUTED_VALUE"""),"")</f>
        <v/>
      </c>
      <c r="C20268" s="12" t="str">
        <f ca="1">IFERROR(__xludf.DUMMYFUNCTION("""COMPUTED_VALUE"""),"")</f>
        <v/>
      </c>
      <c r="D20268" s="12" t="str">
        <f ca="1">IFERROR(__xludf.DUMMYFUNCTION("""COMPUTED_VALUE"""),"")</f>
        <v/>
      </c>
    </row>
    <row r="20269" spans="2:4" ht="13">
      <c r="B20269" s="12" t="str">
        <f ca="1">IFERROR(__xludf.DUMMYFUNCTION("""COMPUTED_VALUE"""),"")</f>
        <v/>
      </c>
      <c r="C20269" s="12" t="str">
        <f ca="1">IFERROR(__xludf.DUMMYFUNCTION("""COMPUTED_VALUE"""),"")</f>
        <v/>
      </c>
      <c r="D20269" s="12" t="str">
        <f ca="1">IFERROR(__xludf.DUMMYFUNCTION("""COMPUTED_VALUE"""),"")</f>
        <v/>
      </c>
    </row>
    <row r="20270" spans="2:4" ht="13">
      <c r="B20270" s="12" t="str">
        <f ca="1">IFERROR(__xludf.DUMMYFUNCTION("""COMPUTED_VALUE"""),"")</f>
        <v/>
      </c>
      <c r="C20270" s="12" t="str">
        <f ca="1">IFERROR(__xludf.DUMMYFUNCTION("""COMPUTED_VALUE"""),"")</f>
        <v/>
      </c>
      <c r="D20270" s="12" t="str">
        <f ca="1">IFERROR(__xludf.DUMMYFUNCTION("""COMPUTED_VALUE"""),"")</f>
        <v/>
      </c>
    </row>
    <row r="20271" spans="2:4" ht="13">
      <c r="B20271" s="12" t="str">
        <f ca="1">IFERROR(__xludf.DUMMYFUNCTION("""COMPUTED_VALUE"""),"")</f>
        <v/>
      </c>
      <c r="C20271" s="12" t="str">
        <f ca="1">IFERROR(__xludf.DUMMYFUNCTION("""COMPUTED_VALUE"""),"")</f>
        <v/>
      </c>
      <c r="D20271" s="12" t="str">
        <f ca="1">IFERROR(__xludf.DUMMYFUNCTION("""COMPUTED_VALUE"""),"")</f>
        <v/>
      </c>
    </row>
    <row r="20272" spans="2:4" ht="13">
      <c r="B20272" s="12" t="str">
        <f ca="1">IFERROR(__xludf.DUMMYFUNCTION("""COMPUTED_VALUE"""),"")</f>
        <v/>
      </c>
      <c r="C20272" s="12" t="str">
        <f ca="1">IFERROR(__xludf.DUMMYFUNCTION("""COMPUTED_VALUE"""),"")</f>
        <v/>
      </c>
      <c r="D20272" s="12" t="str">
        <f ca="1">IFERROR(__xludf.DUMMYFUNCTION("""COMPUTED_VALUE"""),"")</f>
        <v/>
      </c>
    </row>
    <row r="20273" spans="2:4" ht="13">
      <c r="B20273" s="12" t="str">
        <f ca="1">IFERROR(__xludf.DUMMYFUNCTION("""COMPUTED_VALUE"""),"")</f>
        <v/>
      </c>
      <c r="C20273" s="12" t="str">
        <f ca="1">IFERROR(__xludf.DUMMYFUNCTION("""COMPUTED_VALUE"""),"")</f>
        <v/>
      </c>
      <c r="D20273" s="12" t="str">
        <f ca="1">IFERROR(__xludf.DUMMYFUNCTION("""COMPUTED_VALUE"""),"")</f>
        <v/>
      </c>
    </row>
    <row r="20274" spans="2:4" ht="13">
      <c r="B20274" s="12" t="str">
        <f ca="1">IFERROR(__xludf.DUMMYFUNCTION("""COMPUTED_VALUE"""),"")</f>
        <v/>
      </c>
      <c r="C20274" s="12" t="str">
        <f ca="1">IFERROR(__xludf.DUMMYFUNCTION("""COMPUTED_VALUE"""),"")</f>
        <v/>
      </c>
      <c r="D20274" s="12" t="str">
        <f ca="1">IFERROR(__xludf.DUMMYFUNCTION("""COMPUTED_VALUE"""),"")</f>
        <v/>
      </c>
    </row>
    <row r="20275" spans="2:4" ht="13">
      <c r="B20275" s="12" t="str">
        <f ca="1">IFERROR(__xludf.DUMMYFUNCTION("""COMPUTED_VALUE"""),"")</f>
        <v/>
      </c>
      <c r="C20275" s="12" t="str">
        <f ca="1">IFERROR(__xludf.DUMMYFUNCTION("""COMPUTED_VALUE"""),"")</f>
        <v/>
      </c>
      <c r="D20275" s="12" t="str">
        <f ca="1">IFERROR(__xludf.DUMMYFUNCTION("""COMPUTED_VALUE"""),"")</f>
        <v/>
      </c>
    </row>
    <row r="20276" spans="2:4" ht="13">
      <c r="B20276" s="12" t="str">
        <f ca="1">IFERROR(__xludf.DUMMYFUNCTION("""COMPUTED_VALUE"""),"")</f>
        <v/>
      </c>
      <c r="C20276" s="12" t="str">
        <f ca="1">IFERROR(__xludf.DUMMYFUNCTION("""COMPUTED_VALUE"""),"")</f>
        <v/>
      </c>
      <c r="D20276" s="12" t="str">
        <f ca="1">IFERROR(__xludf.DUMMYFUNCTION("""COMPUTED_VALUE"""),"")</f>
        <v/>
      </c>
    </row>
    <row r="20277" spans="2:4" ht="13">
      <c r="B20277" s="12" t="str">
        <f ca="1">IFERROR(__xludf.DUMMYFUNCTION("""COMPUTED_VALUE"""),"")</f>
        <v/>
      </c>
      <c r="C20277" s="12" t="str">
        <f ca="1">IFERROR(__xludf.DUMMYFUNCTION("""COMPUTED_VALUE"""),"")</f>
        <v/>
      </c>
      <c r="D20277" s="12" t="str">
        <f ca="1">IFERROR(__xludf.DUMMYFUNCTION("""COMPUTED_VALUE"""),"")</f>
        <v/>
      </c>
    </row>
    <row r="20278" spans="2:4" ht="13">
      <c r="B20278" s="12" t="str">
        <f ca="1">IFERROR(__xludf.DUMMYFUNCTION("""COMPUTED_VALUE"""),"")</f>
        <v/>
      </c>
      <c r="C20278" s="12" t="str">
        <f ca="1">IFERROR(__xludf.DUMMYFUNCTION("""COMPUTED_VALUE"""),"")</f>
        <v/>
      </c>
      <c r="D20278" s="12" t="str">
        <f ca="1">IFERROR(__xludf.DUMMYFUNCTION("""COMPUTED_VALUE"""),"")</f>
        <v/>
      </c>
    </row>
    <row r="20279" spans="2:4" ht="13">
      <c r="B20279" s="12" t="str">
        <f ca="1">IFERROR(__xludf.DUMMYFUNCTION("""COMPUTED_VALUE"""),"")</f>
        <v/>
      </c>
      <c r="C20279" s="12" t="str">
        <f ca="1">IFERROR(__xludf.DUMMYFUNCTION("""COMPUTED_VALUE"""),"")</f>
        <v/>
      </c>
      <c r="D20279" s="12" t="str">
        <f ca="1">IFERROR(__xludf.DUMMYFUNCTION("""COMPUTED_VALUE"""),"")</f>
        <v/>
      </c>
    </row>
    <row r="20280" spans="2:4" ht="13">
      <c r="B20280" s="12" t="str">
        <f ca="1">IFERROR(__xludf.DUMMYFUNCTION("""COMPUTED_VALUE"""),"")</f>
        <v/>
      </c>
      <c r="C20280" s="12" t="str">
        <f ca="1">IFERROR(__xludf.DUMMYFUNCTION("""COMPUTED_VALUE"""),"")</f>
        <v/>
      </c>
      <c r="D20280" s="12" t="str">
        <f ca="1">IFERROR(__xludf.DUMMYFUNCTION("""COMPUTED_VALUE"""),"")</f>
        <v/>
      </c>
    </row>
    <row r="20281" spans="2:4" ht="13">
      <c r="B20281" s="12" t="str">
        <f ca="1">IFERROR(__xludf.DUMMYFUNCTION("""COMPUTED_VALUE"""),"")</f>
        <v/>
      </c>
      <c r="C20281" s="12" t="str">
        <f ca="1">IFERROR(__xludf.DUMMYFUNCTION("""COMPUTED_VALUE"""),"")</f>
        <v/>
      </c>
      <c r="D20281" s="12" t="str">
        <f ca="1">IFERROR(__xludf.DUMMYFUNCTION("""COMPUTED_VALUE"""),"")</f>
        <v/>
      </c>
    </row>
    <row r="20282" spans="2:4" ht="13">
      <c r="B20282" s="12" t="str">
        <f ca="1">IFERROR(__xludf.DUMMYFUNCTION("""COMPUTED_VALUE"""),"")</f>
        <v/>
      </c>
      <c r="C20282" s="12" t="str">
        <f ca="1">IFERROR(__xludf.DUMMYFUNCTION("""COMPUTED_VALUE"""),"")</f>
        <v/>
      </c>
      <c r="D20282" s="12" t="str">
        <f ca="1">IFERROR(__xludf.DUMMYFUNCTION("""COMPUTED_VALUE"""),"")</f>
        <v/>
      </c>
    </row>
    <row r="20283" spans="2:4" ht="13">
      <c r="B20283" s="12" t="str">
        <f ca="1">IFERROR(__xludf.DUMMYFUNCTION("""COMPUTED_VALUE"""),"")</f>
        <v/>
      </c>
      <c r="C20283" s="12" t="str">
        <f ca="1">IFERROR(__xludf.DUMMYFUNCTION("""COMPUTED_VALUE"""),"")</f>
        <v/>
      </c>
      <c r="D20283" s="12" t="str">
        <f ca="1">IFERROR(__xludf.DUMMYFUNCTION("""COMPUTED_VALUE"""),"")</f>
        <v/>
      </c>
    </row>
    <row r="20284" spans="2:4" ht="13">
      <c r="B20284" s="12" t="str">
        <f ca="1">IFERROR(__xludf.DUMMYFUNCTION("""COMPUTED_VALUE"""),"")</f>
        <v/>
      </c>
      <c r="C20284" s="12" t="str">
        <f ca="1">IFERROR(__xludf.DUMMYFUNCTION("""COMPUTED_VALUE"""),"")</f>
        <v/>
      </c>
      <c r="D20284" s="12" t="str">
        <f ca="1">IFERROR(__xludf.DUMMYFUNCTION("""COMPUTED_VALUE"""),"")</f>
        <v/>
      </c>
    </row>
    <row r="20285" spans="2:4" ht="13">
      <c r="B20285" s="12" t="str">
        <f ca="1">IFERROR(__xludf.DUMMYFUNCTION("""COMPUTED_VALUE"""),"")</f>
        <v/>
      </c>
      <c r="C20285" s="12" t="str">
        <f ca="1">IFERROR(__xludf.DUMMYFUNCTION("""COMPUTED_VALUE"""),"")</f>
        <v/>
      </c>
      <c r="D20285" s="12" t="str">
        <f ca="1">IFERROR(__xludf.DUMMYFUNCTION("""COMPUTED_VALUE"""),"")</f>
        <v/>
      </c>
    </row>
    <row r="20286" spans="2:4" ht="13">
      <c r="B20286" s="12" t="str">
        <f ca="1">IFERROR(__xludf.DUMMYFUNCTION("""COMPUTED_VALUE"""),"")</f>
        <v/>
      </c>
      <c r="C20286" s="12" t="str">
        <f ca="1">IFERROR(__xludf.DUMMYFUNCTION("""COMPUTED_VALUE"""),"")</f>
        <v/>
      </c>
      <c r="D20286" s="12" t="str">
        <f ca="1">IFERROR(__xludf.DUMMYFUNCTION("""COMPUTED_VALUE"""),"")</f>
        <v/>
      </c>
    </row>
    <row r="20287" spans="2:4" ht="13">
      <c r="B20287" s="12" t="str">
        <f ca="1">IFERROR(__xludf.DUMMYFUNCTION("""COMPUTED_VALUE"""),"")</f>
        <v/>
      </c>
      <c r="C20287" s="12" t="str">
        <f ca="1">IFERROR(__xludf.DUMMYFUNCTION("""COMPUTED_VALUE"""),"")</f>
        <v/>
      </c>
      <c r="D20287" s="12" t="str">
        <f ca="1">IFERROR(__xludf.DUMMYFUNCTION("""COMPUTED_VALUE"""),"")</f>
        <v/>
      </c>
    </row>
    <row r="20288" spans="2:4" ht="13">
      <c r="B20288" s="12" t="str">
        <f ca="1">IFERROR(__xludf.DUMMYFUNCTION("""COMPUTED_VALUE"""),"")</f>
        <v/>
      </c>
      <c r="C20288" s="12" t="str">
        <f ca="1">IFERROR(__xludf.DUMMYFUNCTION("""COMPUTED_VALUE"""),"")</f>
        <v/>
      </c>
      <c r="D20288" s="12" t="str">
        <f ca="1">IFERROR(__xludf.DUMMYFUNCTION("""COMPUTED_VALUE"""),"")</f>
        <v/>
      </c>
    </row>
    <row r="20289" spans="2:4" ht="13">
      <c r="B20289" s="12" t="str">
        <f ca="1">IFERROR(__xludf.DUMMYFUNCTION("""COMPUTED_VALUE"""),"")</f>
        <v/>
      </c>
      <c r="C20289" s="12" t="str">
        <f ca="1">IFERROR(__xludf.DUMMYFUNCTION("""COMPUTED_VALUE"""),"")</f>
        <v/>
      </c>
      <c r="D20289" s="12" t="str">
        <f ca="1">IFERROR(__xludf.DUMMYFUNCTION("""COMPUTED_VALUE"""),"")</f>
        <v/>
      </c>
    </row>
    <row r="20290" spans="2:4" ht="13">
      <c r="B20290" s="12" t="str">
        <f ca="1">IFERROR(__xludf.DUMMYFUNCTION("""COMPUTED_VALUE"""),"")</f>
        <v/>
      </c>
      <c r="C20290" s="12" t="str">
        <f ca="1">IFERROR(__xludf.DUMMYFUNCTION("""COMPUTED_VALUE"""),"")</f>
        <v/>
      </c>
      <c r="D20290" s="12" t="str">
        <f ca="1">IFERROR(__xludf.DUMMYFUNCTION("""COMPUTED_VALUE"""),"")</f>
        <v/>
      </c>
    </row>
    <row r="20291" spans="2:4" ht="13">
      <c r="B20291" s="12" t="str">
        <f ca="1">IFERROR(__xludf.DUMMYFUNCTION("""COMPUTED_VALUE"""),"")</f>
        <v/>
      </c>
      <c r="C20291" s="12" t="str">
        <f ca="1">IFERROR(__xludf.DUMMYFUNCTION("""COMPUTED_VALUE"""),"")</f>
        <v/>
      </c>
      <c r="D20291" s="12" t="str">
        <f ca="1">IFERROR(__xludf.DUMMYFUNCTION("""COMPUTED_VALUE"""),"")</f>
        <v/>
      </c>
    </row>
    <row r="20292" spans="2:4" ht="13">
      <c r="B20292" s="12" t="str">
        <f ca="1">IFERROR(__xludf.DUMMYFUNCTION("""COMPUTED_VALUE"""),"")</f>
        <v/>
      </c>
      <c r="C20292" s="12" t="str">
        <f ca="1">IFERROR(__xludf.DUMMYFUNCTION("""COMPUTED_VALUE"""),"")</f>
        <v/>
      </c>
      <c r="D20292" s="12" t="str">
        <f ca="1">IFERROR(__xludf.DUMMYFUNCTION("""COMPUTED_VALUE"""),"")</f>
        <v/>
      </c>
    </row>
    <row r="20293" spans="2:4" ht="13">
      <c r="B20293" s="12" t="str">
        <f ca="1">IFERROR(__xludf.DUMMYFUNCTION("""COMPUTED_VALUE"""),"")</f>
        <v/>
      </c>
      <c r="C20293" s="12" t="str">
        <f ca="1">IFERROR(__xludf.DUMMYFUNCTION("""COMPUTED_VALUE"""),"")</f>
        <v/>
      </c>
      <c r="D20293" s="12" t="str">
        <f ca="1">IFERROR(__xludf.DUMMYFUNCTION("""COMPUTED_VALUE"""),"")</f>
        <v/>
      </c>
    </row>
    <row r="20294" spans="2:4" ht="13">
      <c r="B20294" s="12" t="str">
        <f ca="1">IFERROR(__xludf.DUMMYFUNCTION("""COMPUTED_VALUE"""),"")</f>
        <v/>
      </c>
      <c r="C20294" s="12" t="str">
        <f ca="1">IFERROR(__xludf.DUMMYFUNCTION("""COMPUTED_VALUE"""),"")</f>
        <v/>
      </c>
      <c r="D20294" s="12" t="str">
        <f ca="1">IFERROR(__xludf.DUMMYFUNCTION("""COMPUTED_VALUE"""),"")</f>
        <v/>
      </c>
    </row>
    <row r="20295" spans="2:4" ht="13">
      <c r="B20295" s="12" t="str">
        <f ca="1">IFERROR(__xludf.DUMMYFUNCTION("""COMPUTED_VALUE"""),"")</f>
        <v/>
      </c>
      <c r="C20295" s="12" t="str">
        <f ca="1">IFERROR(__xludf.DUMMYFUNCTION("""COMPUTED_VALUE"""),"")</f>
        <v/>
      </c>
      <c r="D20295" s="12" t="str">
        <f ca="1">IFERROR(__xludf.DUMMYFUNCTION("""COMPUTED_VALUE"""),"")</f>
        <v/>
      </c>
    </row>
    <row r="20296" spans="2:4" ht="13">
      <c r="B20296" s="12" t="str">
        <f ca="1">IFERROR(__xludf.DUMMYFUNCTION("""COMPUTED_VALUE"""),"")</f>
        <v/>
      </c>
      <c r="C20296" s="12" t="str">
        <f ca="1">IFERROR(__xludf.DUMMYFUNCTION("""COMPUTED_VALUE"""),"")</f>
        <v/>
      </c>
      <c r="D20296" s="12" t="str">
        <f ca="1">IFERROR(__xludf.DUMMYFUNCTION("""COMPUTED_VALUE"""),"")</f>
        <v/>
      </c>
    </row>
    <row r="20297" spans="2:4" ht="13">
      <c r="B20297" s="12" t="str">
        <f ca="1">IFERROR(__xludf.DUMMYFUNCTION("""COMPUTED_VALUE"""),"")</f>
        <v/>
      </c>
      <c r="C20297" s="12" t="str">
        <f ca="1">IFERROR(__xludf.DUMMYFUNCTION("""COMPUTED_VALUE"""),"")</f>
        <v/>
      </c>
      <c r="D20297" s="12" t="str">
        <f ca="1">IFERROR(__xludf.DUMMYFUNCTION("""COMPUTED_VALUE"""),"")</f>
        <v/>
      </c>
    </row>
    <row r="20298" spans="2:4" ht="13">
      <c r="B20298" s="12" t="str">
        <f ca="1">IFERROR(__xludf.DUMMYFUNCTION("""COMPUTED_VALUE"""),"")</f>
        <v/>
      </c>
      <c r="C20298" s="12" t="str">
        <f ca="1">IFERROR(__xludf.DUMMYFUNCTION("""COMPUTED_VALUE"""),"")</f>
        <v/>
      </c>
      <c r="D20298" s="12" t="str">
        <f ca="1">IFERROR(__xludf.DUMMYFUNCTION("""COMPUTED_VALUE"""),"")</f>
        <v/>
      </c>
    </row>
    <row r="20299" spans="2:4" ht="13">
      <c r="B20299" s="12" t="str">
        <f ca="1">IFERROR(__xludf.DUMMYFUNCTION("""COMPUTED_VALUE"""),"")</f>
        <v/>
      </c>
      <c r="C20299" s="12" t="str">
        <f ca="1">IFERROR(__xludf.DUMMYFUNCTION("""COMPUTED_VALUE"""),"")</f>
        <v/>
      </c>
      <c r="D20299" s="12" t="str">
        <f ca="1">IFERROR(__xludf.DUMMYFUNCTION("""COMPUTED_VALUE"""),"")</f>
        <v/>
      </c>
    </row>
    <row r="20300" spans="2:4" ht="13">
      <c r="B20300" s="12" t="str">
        <f ca="1">IFERROR(__xludf.DUMMYFUNCTION("""COMPUTED_VALUE"""),"")</f>
        <v/>
      </c>
      <c r="C20300" s="12" t="str">
        <f ca="1">IFERROR(__xludf.DUMMYFUNCTION("""COMPUTED_VALUE"""),"")</f>
        <v/>
      </c>
      <c r="D20300" s="12" t="str">
        <f ca="1">IFERROR(__xludf.DUMMYFUNCTION("""COMPUTED_VALUE"""),"")</f>
        <v/>
      </c>
    </row>
    <row r="20301" spans="2:4" ht="13">
      <c r="B20301" s="12" t="str">
        <f ca="1">IFERROR(__xludf.DUMMYFUNCTION("""COMPUTED_VALUE"""),"")</f>
        <v/>
      </c>
      <c r="C20301" s="12" t="str">
        <f ca="1">IFERROR(__xludf.DUMMYFUNCTION("""COMPUTED_VALUE"""),"")</f>
        <v/>
      </c>
      <c r="D20301" s="12" t="str">
        <f ca="1">IFERROR(__xludf.DUMMYFUNCTION("""COMPUTED_VALUE"""),"")</f>
        <v/>
      </c>
    </row>
    <row r="20302" spans="2:4" ht="13">
      <c r="B20302" s="12" t="str">
        <f ca="1">IFERROR(__xludf.DUMMYFUNCTION("""COMPUTED_VALUE"""),"")</f>
        <v/>
      </c>
      <c r="C20302" s="12" t="str">
        <f ca="1">IFERROR(__xludf.DUMMYFUNCTION("""COMPUTED_VALUE"""),"")</f>
        <v/>
      </c>
      <c r="D20302" s="12" t="str">
        <f ca="1">IFERROR(__xludf.DUMMYFUNCTION("""COMPUTED_VALUE"""),"")</f>
        <v/>
      </c>
    </row>
    <row r="20303" spans="2:4" ht="13">
      <c r="B20303" s="12" t="str">
        <f ca="1">IFERROR(__xludf.DUMMYFUNCTION("""COMPUTED_VALUE"""),"")</f>
        <v/>
      </c>
      <c r="C20303" s="12" t="str">
        <f ca="1">IFERROR(__xludf.DUMMYFUNCTION("""COMPUTED_VALUE"""),"")</f>
        <v/>
      </c>
      <c r="D20303" s="12" t="str">
        <f ca="1">IFERROR(__xludf.DUMMYFUNCTION("""COMPUTED_VALUE"""),"")</f>
        <v/>
      </c>
    </row>
    <row r="20304" spans="2:4" ht="13">
      <c r="B20304" s="12" t="str">
        <f ca="1">IFERROR(__xludf.DUMMYFUNCTION("""COMPUTED_VALUE"""),"")</f>
        <v/>
      </c>
      <c r="C20304" s="12" t="str">
        <f ca="1">IFERROR(__xludf.DUMMYFUNCTION("""COMPUTED_VALUE"""),"")</f>
        <v/>
      </c>
      <c r="D20304" s="12" t="str">
        <f ca="1">IFERROR(__xludf.DUMMYFUNCTION("""COMPUTED_VALUE"""),"")</f>
        <v/>
      </c>
    </row>
    <row r="20305" spans="2:4" ht="13">
      <c r="B20305" s="12" t="str">
        <f ca="1">IFERROR(__xludf.DUMMYFUNCTION("""COMPUTED_VALUE"""),"")</f>
        <v/>
      </c>
      <c r="C20305" s="12" t="str">
        <f ca="1">IFERROR(__xludf.DUMMYFUNCTION("""COMPUTED_VALUE"""),"")</f>
        <v/>
      </c>
      <c r="D20305" s="12" t="str">
        <f ca="1">IFERROR(__xludf.DUMMYFUNCTION("""COMPUTED_VALUE"""),"")</f>
        <v/>
      </c>
    </row>
    <row r="20306" spans="2:4" ht="13">
      <c r="B20306" s="12" t="str">
        <f ca="1">IFERROR(__xludf.DUMMYFUNCTION("""COMPUTED_VALUE"""),"")</f>
        <v/>
      </c>
      <c r="C20306" s="12" t="str">
        <f ca="1">IFERROR(__xludf.DUMMYFUNCTION("""COMPUTED_VALUE"""),"")</f>
        <v/>
      </c>
      <c r="D20306" s="12" t="str">
        <f ca="1">IFERROR(__xludf.DUMMYFUNCTION("""COMPUTED_VALUE"""),"")</f>
        <v/>
      </c>
    </row>
    <row r="20307" spans="2:4" ht="13">
      <c r="B20307" s="12" t="str">
        <f ca="1">IFERROR(__xludf.DUMMYFUNCTION("""COMPUTED_VALUE"""),"")</f>
        <v/>
      </c>
      <c r="C20307" s="12" t="str">
        <f ca="1">IFERROR(__xludf.DUMMYFUNCTION("""COMPUTED_VALUE"""),"")</f>
        <v/>
      </c>
      <c r="D20307" s="12" t="str">
        <f ca="1">IFERROR(__xludf.DUMMYFUNCTION("""COMPUTED_VALUE"""),"")</f>
        <v/>
      </c>
    </row>
    <row r="20308" spans="2:4" ht="13">
      <c r="B20308" s="12" t="str">
        <f ca="1">IFERROR(__xludf.DUMMYFUNCTION("""COMPUTED_VALUE"""),"")</f>
        <v/>
      </c>
      <c r="C20308" s="12" t="str">
        <f ca="1">IFERROR(__xludf.DUMMYFUNCTION("""COMPUTED_VALUE"""),"")</f>
        <v/>
      </c>
      <c r="D20308" s="12" t="str">
        <f ca="1">IFERROR(__xludf.DUMMYFUNCTION("""COMPUTED_VALUE"""),"")</f>
        <v/>
      </c>
    </row>
    <row r="20309" spans="2:4" ht="13">
      <c r="B20309" s="12" t="str">
        <f ca="1">IFERROR(__xludf.DUMMYFUNCTION("""COMPUTED_VALUE"""),"")</f>
        <v/>
      </c>
      <c r="C20309" s="12" t="str">
        <f ca="1">IFERROR(__xludf.DUMMYFUNCTION("""COMPUTED_VALUE"""),"")</f>
        <v/>
      </c>
      <c r="D20309" s="12" t="str">
        <f ca="1">IFERROR(__xludf.DUMMYFUNCTION("""COMPUTED_VALUE"""),"")</f>
        <v/>
      </c>
    </row>
    <row r="20310" spans="2:4" ht="13">
      <c r="B20310" s="12" t="str">
        <f ca="1">IFERROR(__xludf.DUMMYFUNCTION("""COMPUTED_VALUE"""),"")</f>
        <v/>
      </c>
      <c r="C20310" s="12" t="str">
        <f ca="1">IFERROR(__xludf.DUMMYFUNCTION("""COMPUTED_VALUE"""),"")</f>
        <v/>
      </c>
      <c r="D20310" s="12" t="str">
        <f ca="1">IFERROR(__xludf.DUMMYFUNCTION("""COMPUTED_VALUE"""),"")</f>
        <v/>
      </c>
    </row>
    <row r="20311" spans="2:4" ht="13">
      <c r="B20311" s="12" t="str">
        <f ca="1">IFERROR(__xludf.DUMMYFUNCTION("""COMPUTED_VALUE"""),"")</f>
        <v/>
      </c>
      <c r="C20311" s="12" t="str">
        <f ca="1">IFERROR(__xludf.DUMMYFUNCTION("""COMPUTED_VALUE"""),"")</f>
        <v/>
      </c>
      <c r="D20311" s="12" t="str">
        <f ca="1">IFERROR(__xludf.DUMMYFUNCTION("""COMPUTED_VALUE"""),"")</f>
        <v/>
      </c>
    </row>
    <row r="20312" spans="2:4" ht="13">
      <c r="B20312" s="12" t="str">
        <f ca="1">IFERROR(__xludf.DUMMYFUNCTION("""COMPUTED_VALUE"""),"")</f>
        <v/>
      </c>
      <c r="C20312" s="12" t="str">
        <f ca="1">IFERROR(__xludf.DUMMYFUNCTION("""COMPUTED_VALUE"""),"")</f>
        <v/>
      </c>
      <c r="D20312" s="12" t="str">
        <f ca="1">IFERROR(__xludf.DUMMYFUNCTION("""COMPUTED_VALUE"""),"")</f>
        <v/>
      </c>
    </row>
    <row r="20313" spans="2:4" ht="13">
      <c r="B20313" s="12" t="str">
        <f ca="1">IFERROR(__xludf.DUMMYFUNCTION("""COMPUTED_VALUE"""),"")</f>
        <v/>
      </c>
      <c r="C20313" s="12" t="str">
        <f ca="1">IFERROR(__xludf.DUMMYFUNCTION("""COMPUTED_VALUE"""),"")</f>
        <v/>
      </c>
      <c r="D20313" s="12" t="str">
        <f ca="1">IFERROR(__xludf.DUMMYFUNCTION("""COMPUTED_VALUE"""),"")</f>
        <v/>
      </c>
    </row>
    <row r="20314" spans="2:4" ht="13">
      <c r="B20314" s="12" t="str">
        <f ca="1">IFERROR(__xludf.DUMMYFUNCTION("""COMPUTED_VALUE"""),"")</f>
        <v/>
      </c>
      <c r="C20314" s="12" t="str">
        <f ca="1">IFERROR(__xludf.DUMMYFUNCTION("""COMPUTED_VALUE"""),"")</f>
        <v/>
      </c>
      <c r="D20314" s="12" t="str">
        <f ca="1">IFERROR(__xludf.DUMMYFUNCTION("""COMPUTED_VALUE"""),"")</f>
        <v/>
      </c>
    </row>
    <row r="20315" spans="2:4" ht="13">
      <c r="B20315" s="12" t="str">
        <f ca="1">IFERROR(__xludf.DUMMYFUNCTION("""COMPUTED_VALUE"""),"")</f>
        <v/>
      </c>
      <c r="C20315" s="12" t="str">
        <f ca="1">IFERROR(__xludf.DUMMYFUNCTION("""COMPUTED_VALUE"""),"")</f>
        <v/>
      </c>
      <c r="D20315" s="12" t="str">
        <f ca="1">IFERROR(__xludf.DUMMYFUNCTION("""COMPUTED_VALUE"""),"")</f>
        <v/>
      </c>
    </row>
    <row r="20316" spans="2:4" ht="13">
      <c r="B20316" s="12" t="str">
        <f ca="1">IFERROR(__xludf.DUMMYFUNCTION("""COMPUTED_VALUE"""),"")</f>
        <v/>
      </c>
      <c r="C20316" s="12" t="str">
        <f ca="1">IFERROR(__xludf.DUMMYFUNCTION("""COMPUTED_VALUE"""),"")</f>
        <v/>
      </c>
      <c r="D20316" s="12" t="str">
        <f ca="1">IFERROR(__xludf.DUMMYFUNCTION("""COMPUTED_VALUE"""),"")</f>
        <v/>
      </c>
    </row>
    <row r="20317" spans="2:4" ht="13">
      <c r="B20317" s="12" t="str">
        <f ca="1">IFERROR(__xludf.DUMMYFUNCTION("""COMPUTED_VALUE"""),"")</f>
        <v/>
      </c>
      <c r="C20317" s="12" t="str">
        <f ca="1">IFERROR(__xludf.DUMMYFUNCTION("""COMPUTED_VALUE"""),"")</f>
        <v/>
      </c>
      <c r="D20317" s="12" t="str">
        <f ca="1">IFERROR(__xludf.DUMMYFUNCTION("""COMPUTED_VALUE"""),"")</f>
        <v/>
      </c>
    </row>
    <row r="20318" spans="2:4" ht="13">
      <c r="B20318" s="12" t="str">
        <f ca="1">IFERROR(__xludf.DUMMYFUNCTION("""COMPUTED_VALUE"""),"")</f>
        <v/>
      </c>
      <c r="C20318" s="12" t="str">
        <f ca="1">IFERROR(__xludf.DUMMYFUNCTION("""COMPUTED_VALUE"""),"")</f>
        <v/>
      </c>
      <c r="D20318" s="12" t="str">
        <f ca="1">IFERROR(__xludf.DUMMYFUNCTION("""COMPUTED_VALUE"""),"")</f>
        <v/>
      </c>
    </row>
    <row r="20319" spans="2:4" ht="13">
      <c r="B20319" s="12" t="str">
        <f ca="1">IFERROR(__xludf.DUMMYFUNCTION("""COMPUTED_VALUE"""),"")</f>
        <v/>
      </c>
      <c r="C20319" s="12" t="str">
        <f ca="1">IFERROR(__xludf.DUMMYFUNCTION("""COMPUTED_VALUE"""),"")</f>
        <v/>
      </c>
      <c r="D20319" s="12" t="str">
        <f ca="1">IFERROR(__xludf.DUMMYFUNCTION("""COMPUTED_VALUE"""),"")</f>
        <v/>
      </c>
    </row>
    <row r="20320" spans="2:4" ht="13">
      <c r="B20320" s="12" t="str">
        <f ca="1">IFERROR(__xludf.DUMMYFUNCTION("""COMPUTED_VALUE"""),"")</f>
        <v/>
      </c>
      <c r="C20320" s="12" t="str">
        <f ca="1">IFERROR(__xludf.DUMMYFUNCTION("""COMPUTED_VALUE"""),"")</f>
        <v/>
      </c>
      <c r="D20320" s="12" t="str">
        <f ca="1">IFERROR(__xludf.DUMMYFUNCTION("""COMPUTED_VALUE"""),"")</f>
        <v/>
      </c>
    </row>
    <row r="20321" spans="2:4" ht="13">
      <c r="B20321" s="12" t="str">
        <f ca="1">IFERROR(__xludf.DUMMYFUNCTION("""COMPUTED_VALUE"""),"")</f>
        <v/>
      </c>
      <c r="C20321" s="12" t="str">
        <f ca="1">IFERROR(__xludf.DUMMYFUNCTION("""COMPUTED_VALUE"""),"")</f>
        <v/>
      </c>
      <c r="D20321" s="12" t="str">
        <f ca="1">IFERROR(__xludf.DUMMYFUNCTION("""COMPUTED_VALUE"""),"")</f>
        <v/>
      </c>
    </row>
    <row r="20322" spans="2:4" ht="13">
      <c r="B20322" s="12" t="str">
        <f ca="1">IFERROR(__xludf.DUMMYFUNCTION("""COMPUTED_VALUE"""),"")</f>
        <v/>
      </c>
      <c r="C20322" s="12" t="str">
        <f ca="1">IFERROR(__xludf.DUMMYFUNCTION("""COMPUTED_VALUE"""),"")</f>
        <v/>
      </c>
      <c r="D20322" s="12" t="str">
        <f ca="1">IFERROR(__xludf.DUMMYFUNCTION("""COMPUTED_VALUE"""),"")</f>
        <v/>
      </c>
    </row>
    <row r="20323" spans="2:4" ht="13">
      <c r="B20323" s="12" t="str">
        <f ca="1">IFERROR(__xludf.DUMMYFUNCTION("""COMPUTED_VALUE"""),"")</f>
        <v/>
      </c>
      <c r="C20323" s="12" t="str">
        <f ca="1">IFERROR(__xludf.DUMMYFUNCTION("""COMPUTED_VALUE"""),"")</f>
        <v/>
      </c>
      <c r="D20323" s="12" t="str">
        <f ca="1">IFERROR(__xludf.DUMMYFUNCTION("""COMPUTED_VALUE"""),"")</f>
        <v/>
      </c>
    </row>
    <row r="20324" spans="2:4" ht="13">
      <c r="B20324" s="12" t="str">
        <f ca="1">IFERROR(__xludf.DUMMYFUNCTION("""COMPUTED_VALUE"""),"")</f>
        <v/>
      </c>
      <c r="C20324" s="12" t="str">
        <f ca="1">IFERROR(__xludf.DUMMYFUNCTION("""COMPUTED_VALUE"""),"")</f>
        <v/>
      </c>
      <c r="D20324" s="12" t="str">
        <f ca="1">IFERROR(__xludf.DUMMYFUNCTION("""COMPUTED_VALUE"""),"")</f>
        <v/>
      </c>
    </row>
    <row r="20325" spans="2:4" ht="13">
      <c r="B20325" s="12" t="str">
        <f ca="1">IFERROR(__xludf.DUMMYFUNCTION("""COMPUTED_VALUE"""),"")</f>
        <v/>
      </c>
      <c r="C20325" s="12" t="str">
        <f ca="1">IFERROR(__xludf.DUMMYFUNCTION("""COMPUTED_VALUE"""),"")</f>
        <v/>
      </c>
      <c r="D20325" s="12" t="str">
        <f ca="1">IFERROR(__xludf.DUMMYFUNCTION("""COMPUTED_VALUE"""),"")</f>
        <v/>
      </c>
    </row>
    <row r="20326" spans="2:4" ht="13">
      <c r="B20326" s="12" t="str">
        <f ca="1">IFERROR(__xludf.DUMMYFUNCTION("""COMPUTED_VALUE"""),"")</f>
        <v/>
      </c>
      <c r="C20326" s="12" t="str">
        <f ca="1">IFERROR(__xludf.DUMMYFUNCTION("""COMPUTED_VALUE"""),"")</f>
        <v/>
      </c>
      <c r="D20326" s="12" t="str">
        <f ca="1">IFERROR(__xludf.DUMMYFUNCTION("""COMPUTED_VALUE"""),"")</f>
        <v/>
      </c>
    </row>
    <row r="20327" spans="2:4" ht="13">
      <c r="B20327" s="12" t="str">
        <f ca="1">IFERROR(__xludf.DUMMYFUNCTION("""COMPUTED_VALUE"""),"")</f>
        <v/>
      </c>
      <c r="C20327" s="12" t="str">
        <f ca="1">IFERROR(__xludf.DUMMYFUNCTION("""COMPUTED_VALUE"""),"")</f>
        <v/>
      </c>
      <c r="D20327" s="12" t="str">
        <f ca="1">IFERROR(__xludf.DUMMYFUNCTION("""COMPUTED_VALUE"""),"")</f>
        <v/>
      </c>
    </row>
    <row r="20328" spans="2:4" ht="13">
      <c r="B20328" s="12" t="str">
        <f ca="1">IFERROR(__xludf.DUMMYFUNCTION("""COMPUTED_VALUE"""),"")</f>
        <v/>
      </c>
      <c r="C20328" s="12" t="str">
        <f ca="1">IFERROR(__xludf.DUMMYFUNCTION("""COMPUTED_VALUE"""),"")</f>
        <v/>
      </c>
      <c r="D20328" s="12" t="str">
        <f ca="1">IFERROR(__xludf.DUMMYFUNCTION("""COMPUTED_VALUE"""),"")</f>
        <v/>
      </c>
    </row>
    <row r="20329" spans="2:4" ht="13">
      <c r="B20329" s="12" t="str">
        <f ca="1">IFERROR(__xludf.DUMMYFUNCTION("""COMPUTED_VALUE"""),"")</f>
        <v/>
      </c>
      <c r="C20329" s="12" t="str">
        <f ca="1">IFERROR(__xludf.DUMMYFUNCTION("""COMPUTED_VALUE"""),"")</f>
        <v/>
      </c>
      <c r="D20329" s="12" t="str">
        <f ca="1">IFERROR(__xludf.DUMMYFUNCTION("""COMPUTED_VALUE"""),"")</f>
        <v/>
      </c>
    </row>
    <row r="20330" spans="2:4" ht="13">
      <c r="B20330" s="12" t="str">
        <f ca="1">IFERROR(__xludf.DUMMYFUNCTION("""COMPUTED_VALUE"""),"")</f>
        <v/>
      </c>
      <c r="C20330" s="12" t="str">
        <f ca="1">IFERROR(__xludf.DUMMYFUNCTION("""COMPUTED_VALUE"""),"")</f>
        <v/>
      </c>
      <c r="D20330" s="12" t="str">
        <f ca="1">IFERROR(__xludf.DUMMYFUNCTION("""COMPUTED_VALUE"""),"")</f>
        <v/>
      </c>
    </row>
    <row r="20331" spans="2:4" ht="13">
      <c r="B20331" s="12" t="str">
        <f ca="1">IFERROR(__xludf.DUMMYFUNCTION("""COMPUTED_VALUE"""),"")</f>
        <v/>
      </c>
      <c r="C20331" s="12" t="str">
        <f ca="1">IFERROR(__xludf.DUMMYFUNCTION("""COMPUTED_VALUE"""),"")</f>
        <v/>
      </c>
      <c r="D20331" s="12" t="str">
        <f ca="1">IFERROR(__xludf.DUMMYFUNCTION("""COMPUTED_VALUE"""),"")</f>
        <v/>
      </c>
    </row>
    <row r="20332" spans="2:4" ht="13">
      <c r="B20332" s="12" t="str">
        <f ca="1">IFERROR(__xludf.DUMMYFUNCTION("""COMPUTED_VALUE"""),"")</f>
        <v/>
      </c>
      <c r="C20332" s="12" t="str">
        <f ca="1">IFERROR(__xludf.DUMMYFUNCTION("""COMPUTED_VALUE"""),"")</f>
        <v/>
      </c>
      <c r="D20332" s="12" t="str">
        <f ca="1">IFERROR(__xludf.DUMMYFUNCTION("""COMPUTED_VALUE"""),"")</f>
        <v/>
      </c>
    </row>
    <row r="20333" spans="2:4" ht="13">
      <c r="B20333" s="12" t="str">
        <f ca="1">IFERROR(__xludf.DUMMYFUNCTION("""COMPUTED_VALUE"""),"")</f>
        <v/>
      </c>
      <c r="C20333" s="12" t="str">
        <f ca="1">IFERROR(__xludf.DUMMYFUNCTION("""COMPUTED_VALUE"""),"")</f>
        <v/>
      </c>
      <c r="D20333" s="12" t="str">
        <f ca="1">IFERROR(__xludf.DUMMYFUNCTION("""COMPUTED_VALUE"""),"")</f>
        <v/>
      </c>
    </row>
    <row r="20334" spans="2:4" ht="13">
      <c r="B20334" s="12" t="str">
        <f ca="1">IFERROR(__xludf.DUMMYFUNCTION("""COMPUTED_VALUE"""),"")</f>
        <v/>
      </c>
      <c r="C20334" s="12" t="str">
        <f ca="1">IFERROR(__xludf.DUMMYFUNCTION("""COMPUTED_VALUE"""),"")</f>
        <v/>
      </c>
      <c r="D20334" s="12" t="str">
        <f ca="1">IFERROR(__xludf.DUMMYFUNCTION("""COMPUTED_VALUE"""),"")</f>
        <v/>
      </c>
    </row>
    <row r="20335" spans="2:4" ht="13">
      <c r="B20335" s="12" t="str">
        <f ca="1">IFERROR(__xludf.DUMMYFUNCTION("""COMPUTED_VALUE"""),"")</f>
        <v/>
      </c>
      <c r="C20335" s="12" t="str">
        <f ca="1">IFERROR(__xludf.DUMMYFUNCTION("""COMPUTED_VALUE"""),"")</f>
        <v/>
      </c>
      <c r="D20335" s="12" t="str">
        <f ca="1">IFERROR(__xludf.DUMMYFUNCTION("""COMPUTED_VALUE"""),"")</f>
        <v/>
      </c>
    </row>
    <row r="20336" spans="2:4" ht="13">
      <c r="B20336" s="12" t="str">
        <f ca="1">IFERROR(__xludf.DUMMYFUNCTION("""COMPUTED_VALUE"""),"")</f>
        <v/>
      </c>
      <c r="C20336" s="12" t="str">
        <f ca="1">IFERROR(__xludf.DUMMYFUNCTION("""COMPUTED_VALUE"""),"")</f>
        <v/>
      </c>
      <c r="D20336" s="12" t="str">
        <f ca="1">IFERROR(__xludf.DUMMYFUNCTION("""COMPUTED_VALUE"""),"")</f>
        <v/>
      </c>
    </row>
    <row r="20337" spans="2:4" ht="13">
      <c r="B20337" s="12" t="str">
        <f ca="1">IFERROR(__xludf.DUMMYFUNCTION("""COMPUTED_VALUE"""),"")</f>
        <v/>
      </c>
      <c r="C20337" s="12" t="str">
        <f ca="1">IFERROR(__xludf.DUMMYFUNCTION("""COMPUTED_VALUE"""),"")</f>
        <v/>
      </c>
      <c r="D20337" s="12" t="str">
        <f ca="1">IFERROR(__xludf.DUMMYFUNCTION("""COMPUTED_VALUE"""),"")</f>
        <v/>
      </c>
    </row>
    <row r="20338" spans="2:4" ht="13">
      <c r="B20338" s="12" t="str">
        <f ca="1">IFERROR(__xludf.DUMMYFUNCTION("""COMPUTED_VALUE"""),"")</f>
        <v/>
      </c>
      <c r="C20338" s="12" t="str">
        <f ca="1">IFERROR(__xludf.DUMMYFUNCTION("""COMPUTED_VALUE"""),"")</f>
        <v/>
      </c>
      <c r="D20338" s="12" t="str">
        <f ca="1">IFERROR(__xludf.DUMMYFUNCTION("""COMPUTED_VALUE"""),"")</f>
        <v/>
      </c>
    </row>
    <row r="20339" spans="2:4" ht="13">
      <c r="B20339" s="12" t="str">
        <f ca="1">IFERROR(__xludf.DUMMYFUNCTION("""COMPUTED_VALUE"""),"")</f>
        <v/>
      </c>
      <c r="C20339" s="12" t="str">
        <f ca="1">IFERROR(__xludf.DUMMYFUNCTION("""COMPUTED_VALUE"""),"")</f>
        <v/>
      </c>
      <c r="D20339" s="12" t="str">
        <f ca="1">IFERROR(__xludf.DUMMYFUNCTION("""COMPUTED_VALUE"""),"")</f>
        <v/>
      </c>
    </row>
    <row r="20340" spans="2:4" ht="13">
      <c r="B20340" s="12" t="str">
        <f ca="1">IFERROR(__xludf.DUMMYFUNCTION("""COMPUTED_VALUE"""),"")</f>
        <v/>
      </c>
      <c r="C20340" s="12" t="str">
        <f ca="1">IFERROR(__xludf.DUMMYFUNCTION("""COMPUTED_VALUE"""),"")</f>
        <v/>
      </c>
      <c r="D20340" s="12" t="str">
        <f ca="1">IFERROR(__xludf.DUMMYFUNCTION("""COMPUTED_VALUE"""),"")</f>
        <v/>
      </c>
    </row>
    <row r="20341" spans="2:4" ht="13">
      <c r="B20341" s="12" t="str">
        <f ca="1">IFERROR(__xludf.DUMMYFUNCTION("""COMPUTED_VALUE"""),"")</f>
        <v/>
      </c>
      <c r="C20341" s="12" t="str">
        <f ca="1">IFERROR(__xludf.DUMMYFUNCTION("""COMPUTED_VALUE"""),"")</f>
        <v/>
      </c>
      <c r="D20341" s="12" t="str">
        <f ca="1">IFERROR(__xludf.DUMMYFUNCTION("""COMPUTED_VALUE"""),"")</f>
        <v/>
      </c>
    </row>
    <row r="20342" spans="2:4" ht="13">
      <c r="B20342" s="12" t="str">
        <f ca="1">IFERROR(__xludf.DUMMYFUNCTION("""COMPUTED_VALUE"""),"")</f>
        <v/>
      </c>
      <c r="C20342" s="12" t="str">
        <f ca="1">IFERROR(__xludf.DUMMYFUNCTION("""COMPUTED_VALUE"""),"")</f>
        <v/>
      </c>
      <c r="D20342" s="12" t="str">
        <f ca="1">IFERROR(__xludf.DUMMYFUNCTION("""COMPUTED_VALUE"""),"")</f>
        <v/>
      </c>
    </row>
    <row r="20343" spans="2:4" ht="13">
      <c r="B20343" s="12" t="str">
        <f ca="1">IFERROR(__xludf.DUMMYFUNCTION("""COMPUTED_VALUE"""),"")</f>
        <v/>
      </c>
      <c r="C20343" s="12" t="str">
        <f ca="1">IFERROR(__xludf.DUMMYFUNCTION("""COMPUTED_VALUE"""),"")</f>
        <v/>
      </c>
      <c r="D20343" s="12" t="str">
        <f ca="1">IFERROR(__xludf.DUMMYFUNCTION("""COMPUTED_VALUE"""),"")</f>
        <v/>
      </c>
    </row>
    <row r="20344" spans="2:4" ht="13">
      <c r="B20344" s="12" t="str">
        <f ca="1">IFERROR(__xludf.DUMMYFUNCTION("""COMPUTED_VALUE"""),"")</f>
        <v/>
      </c>
      <c r="C20344" s="12" t="str">
        <f ca="1">IFERROR(__xludf.DUMMYFUNCTION("""COMPUTED_VALUE"""),"")</f>
        <v/>
      </c>
      <c r="D20344" s="12" t="str">
        <f ca="1">IFERROR(__xludf.DUMMYFUNCTION("""COMPUTED_VALUE"""),"")</f>
        <v/>
      </c>
    </row>
    <row r="20345" spans="2:4" ht="13">
      <c r="B20345" s="12" t="str">
        <f ca="1">IFERROR(__xludf.DUMMYFUNCTION("""COMPUTED_VALUE"""),"")</f>
        <v/>
      </c>
      <c r="C20345" s="12" t="str">
        <f ca="1">IFERROR(__xludf.DUMMYFUNCTION("""COMPUTED_VALUE"""),"")</f>
        <v/>
      </c>
      <c r="D20345" s="12" t="str">
        <f ca="1">IFERROR(__xludf.DUMMYFUNCTION("""COMPUTED_VALUE"""),"")</f>
        <v/>
      </c>
    </row>
    <row r="20346" spans="2:4" ht="13">
      <c r="B20346" s="12" t="str">
        <f ca="1">IFERROR(__xludf.DUMMYFUNCTION("""COMPUTED_VALUE"""),"")</f>
        <v/>
      </c>
      <c r="C20346" s="12" t="str">
        <f ca="1">IFERROR(__xludf.DUMMYFUNCTION("""COMPUTED_VALUE"""),"")</f>
        <v/>
      </c>
      <c r="D20346" s="12" t="str">
        <f ca="1">IFERROR(__xludf.DUMMYFUNCTION("""COMPUTED_VALUE"""),"")</f>
        <v/>
      </c>
    </row>
    <row r="20347" spans="2:4" ht="13">
      <c r="B20347" s="12" t="str">
        <f ca="1">IFERROR(__xludf.DUMMYFUNCTION("""COMPUTED_VALUE"""),"")</f>
        <v/>
      </c>
      <c r="C20347" s="12" t="str">
        <f ca="1">IFERROR(__xludf.DUMMYFUNCTION("""COMPUTED_VALUE"""),"")</f>
        <v/>
      </c>
      <c r="D20347" s="12" t="str">
        <f ca="1">IFERROR(__xludf.DUMMYFUNCTION("""COMPUTED_VALUE"""),"")</f>
        <v/>
      </c>
    </row>
    <row r="20348" spans="2:4" ht="13">
      <c r="B20348" s="12" t="str">
        <f ca="1">IFERROR(__xludf.DUMMYFUNCTION("""COMPUTED_VALUE"""),"")</f>
        <v/>
      </c>
      <c r="C20348" s="12" t="str">
        <f ca="1">IFERROR(__xludf.DUMMYFUNCTION("""COMPUTED_VALUE"""),"")</f>
        <v/>
      </c>
      <c r="D20348" s="12" t="str">
        <f ca="1">IFERROR(__xludf.DUMMYFUNCTION("""COMPUTED_VALUE"""),"")</f>
        <v/>
      </c>
    </row>
    <row r="20349" spans="2:4" ht="13">
      <c r="B20349" s="12" t="str">
        <f ca="1">IFERROR(__xludf.DUMMYFUNCTION("""COMPUTED_VALUE"""),"")</f>
        <v/>
      </c>
      <c r="C20349" s="12" t="str">
        <f ca="1">IFERROR(__xludf.DUMMYFUNCTION("""COMPUTED_VALUE"""),"")</f>
        <v/>
      </c>
      <c r="D20349" s="12" t="str">
        <f ca="1">IFERROR(__xludf.DUMMYFUNCTION("""COMPUTED_VALUE"""),"")</f>
        <v/>
      </c>
    </row>
    <row r="20350" spans="2:4" ht="13">
      <c r="B20350" s="12" t="str">
        <f ca="1">IFERROR(__xludf.DUMMYFUNCTION("""COMPUTED_VALUE"""),"")</f>
        <v/>
      </c>
      <c r="C20350" s="12" t="str">
        <f ca="1">IFERROR(__xludf.DUMMYFUNCTION("""COMPUTED_VALUE"""),"")</f>
        <v/>
      </c>
      <c r="D20350" s="12" t="str">
        <f ca="1">IFERROR(__xludf.DUMMYFUNCTION("""COMPUTED_VALUE"""),"")</f>
        <v/>
      </c>
    </row>
    <row r="20351" spans="2:4" ht="13">
      <c r="B20351" s="12" t="str">
        <f ca="1">IFERROR(__xludf.DUMMYFUNCTION("""COMPUTED_VALUE"""),"")</f>
        <v/>
      </c>
      <c r="C20351" s="12" t="str">
        <f ca="1">IFERROR(__xludf.DUMMYFUNCTION("""COMPUTED_VALUE"""),"")</f>
        <v/>
      </c>
      <c r="D20351" s="12" t="str">
        <f ca="1">IFERROR(__xludf.DUMMYFUNCTION("""COMPUTED_VALUE"""),"")</f>
        <v/>
      </c>
    </row>
    <row r="20352" spans="2:4" ht="13">
      <c r="B20352" s="12" t="str">
        <f ca="1">IFERROR(__xludf.DUMMYFUNCTION("""COMPUTED_VALUE"""),"")</f>
        <v/>
      </c>
      <c r="C20352" s="12" t="str">
        <f ca="1">IFERROR(__xludf.DUMMYFUNCTION("""COMPUTED_VALUE"""),"")</f>
        <v/>
      </c>
      <c r="D20352" s="12" t="str">
        <f ca="1">IFERROR(__xludf.DUMMYFUNCTION("""COMPUTED_VALUE"""),"")</f>
        <v/>
      </c>
    </row>
    <row r="20353" spans="2:4" ht="13">
      <c r="B20353" s="12" t="str">
        <f ca="1">IFERROR(__xludf.DUMMYFUNCTION("""COMPUTED_VALUE"""),"")</f>
        <v/>
      </c>
      <c r="C20353" s="12" t="str">
        <f ca="1">IFERROR(__xludf.DUMMYFUNCTION("""COMPUTED_VALUE"""),"")</f>
        <v/>
      </c>
      <c r="D20353" s="12" t="str">
        <f ca="1">IFERROR(__xludf.DUMMYFUNCTION("""COMPUTED_VALUE"""),"")</f>
        <v/>
      </c>
    </row>
    <row r="20354" spans="2:4" ht="13">
      <c r="B20354" s="12" t="str">
        <f ca="1">IFERROR(__xludf.DUMMYFUNCTION("""COMPUTED_VALUE"""),"")</f>
        <v/>
      </c>
      <c r="C20354" s="12" t="str">
        <f ca="1">IFERROR(__xludf.DUMMYFUNCTION("""COMPUTED_VALUE"""),"")</f>
        <v/>
      </c>
      <c r="D20354" s="12" t="str">
        <f ca="1">IFERROR(__xludf.DUMMYFUNCTION("""COMPUTED_VALUE"""),"")</f>
        <v/>
      </c>
    </row>
    <row r="20355" spans="2:4" ht="13">
      <c r="B20355" s="12" t="str">
        <f ca="1">IFERROR(__xludf.DUMMYFUNCTION("""COMPUTED_VALUE"""),"")</f>
        <v/>
      </c>
      <c r="C20355" s="12" t="str">
        <f ca="1">IFERROR(__xludf.DUMMYFUNCTION("""COMPUTED_VALUE"""),"")</f>
        <v/>
      </c>
      <c r="D20355" s="12" t="str">
        <f ca="1">IFERROR(__xludf.DUMMYFUNCTION("""COMPUTED_VALUE"""),"")</f>
        <v/>
      </c>
    </row>
    <row r="20356" spans="2:4" ht="13">
      <c r="B20356" s="12" t="str">
        <f ca="1">IFERROR(__xludf.DUMMYFUNCTION("""COMPUTED_VALUE"""),"")</f>
        <v/>
      </c>
      <c r="C20356" s="12" t="str">
        <f ca="1">IFERROR(__xludf.DUMMYFUNCTION("""COMPUTED_VALUE"""),"")</f>
        <v/>
      </c>
      <c r="D20356" s="12" t="str">
        <f ca="1">IFERROR(__xludf.DUMMYFUNCTION("""COMPUTED_VALUE"""),"")</f>
        <v/>
      </c>
    </row>
    <row r="20357" spans="2:4" ht="13">
      <c r="B20357" s="12" t="str">
        <f ca="1">IFERROR(__xludf.DUMMYFUNCTION("""COMPUTED_VALUE"""),"")</f>
        <v/>
      </c>
      <c r="C20357" s="12" t="str">
        <f ca="1">IFERROR(__xludf.DUMMYFUNCTION("""COMPUTED_VALUE"""),"")</f>
        <v/>
      </c>
      <c r="D20357" s="12" t="str">
        <f ca="1">IFERROR(__xludf.DUMMYFUNCTION("""COMPUTED_VALUE"""),"")</f>
        <v/>
      </c>
    </row>
    <row r="20358" spans="2:4" ht="13">
      <c r="B20358" s="12" t="str">
        <f ca="1">IFERROR(__xludf.DUMMYFUNCTION("""COMPUTED_VALUE"""),"")</f>
        <v/>
      </c>
      <c r="C20358" s="12" t="str">
        <f ca="1">IFERROR(__xludf.DUMMYFUNCTION("""COMPUTED_VALUE"""),"")</f>
        <v/>
      </c>
      <c r="D20358" s="12" t="str">
        <f ca="1">IFERROR(__xludf.DUMMYFUNCTION("""COMPUTED_VALUE"""),"")</f>
        <v/>
      </c>
    </row>
    <row r="20359" spans="2:4" ht="13">
      <c r="B20359" s="12" t="str">
        <f ca="1">IFERROR(__xludf.DUMMYFUNCTION("""COMPUTED_VALUE"""),"")</f>
        <v/>
      </c>
      <c r="C20359" s="12" t="str">
        <f ca="1">IFERROR(__xludf.DUMMYFUNCTION("""COMPUTED_VALUE"""),"")</f>
        <v/>
      </c>
      <c r="D20359" s="12" t="str">
        <f ca="1">IFERROR(__xludf.DUMMYFUNCTION("""COMPUTED_VALUE"""),"")</f>
        <v/>
      </c>
    </row>
    <row r="20360" spans="2:4" ht="13">
      <c r="B20360" s="12" t="str">
        <f ca="1">IFERROR(__xludf.DUMMYFUNCTION("""COMPUTED_VALUE"""),"")</f>
        <v/>
      </c>
      <c r="C20360" s="12" t="str">
        <f ca="1">IFERROR(__xludf.DUMMYFUNCTION("""COMPUTED_VALUE"""),"")</f>
        <v/>
      </c>
      <c r="D20360" s="12" t="str">
        <f ca="1">IFERROR(__xludf.DUMMYFUNCTION("""COMPUTED_VALUE"""),"")</f>
        <v/>
      </c>
    </row>
    <row r="20361" spans="2:4" ht="13">
      <c r="B20361" s="12" t="str">
        <f ca="1">IFERROR(__xludf.DUMMYFUNCTION("""COMPUTED_VALUE"""),"")</f>
        <v/>
      </c>
      <c r="C20361" s="12" t="str">
        <f ca="1">IFERROR(__xludf.DUMMYFUNCTION("""COMPUTED_VALUE"""),"")</f>
        <v/>
      </c>
      <c r="D20361" s="12" t="str">
        <f ca="1">IFERROR(__xludf.DUMMYFUNCTION("""COMPUTED_VALUE"""),"")</f>
        <v/>
      </c>
    </row>
    <row r="20362" spans="2:4" ht="13">
      <c r="B20362" s="12" t="str">
        <f ca="1">IFERROR(__xludf.DUMMYFUNCTION("""COMPUTED_VALUE"""),"")</f>
        <v/>
      </c>
      <c r="C20362" s="12" t="str">
        <f ca="1">IFERROR(__xludf.DUMMYFUNCTION("""COMPUTED_VALUE"""),"")</f>
        <v/>
      </c>
      <c r="D20362" s="12" t="str">
        <f ca="1">IFERROR(__xludf.DUMMYFUNCTION("""COMPUTED_VALUE"""),"")</f>
        <v/>
      </c>
    </row>
    <row r="20363" spans="2:4" ht="13">
      <c r="B20363" s="12" t="str">
        <f ca="1">IFERROR(__xludf.DUMMYFUNCTION("""COMPUTED_VALUE"""),"")</f>
        <v/>
      </c>
      <c r="C20363" s="12" t="str">
        <f ca="1">IFERROR(__xludf.DUMMYFUNCTION("""COMPUTED_VALUE"""),"")</f>
        <v/>
      </c>
      <c r="D20363" s="12" t="str">
        <f ca="1">IFERROR(__xludf.DUMMYFUNCTION("""COMPUTED_VALUE"""),"")</f>
        <v/>
      </c>
    </row>
    <row r="20364" spans="2:4" ht="13">
      <c r="B20364" s="12" t="str">
        <f ca="1">IFERROR(__xludf.DUMMYFUNCTION("""COMPUTED_VALUE"""),"")</f>
        <v/>
      </c>
      <c r="C20364" s="12" t="str">
        <f ca="1">IFERROR(__xludf.DUMMYFUNCTION("""COMPUTED_VALUE"""),"")</f>
        <v/>
      </c>
      <c r="D20364" s="12" t="str">
        <f ca="1">IFERROR(__xludf.DUMMYFUNCTION("""COMPUTED_VALUE"""),"")</f>
        <v/>
      </c>
    </row>
    <row r="20365" spans="2:4" ht="13">
      <c r="B20365" s="12" t="str">
        <f ca="1">IFERROR(__xludf.DUMMYFUNCTION("""COMPUTED_VALUE"""),"")</f>
        <v/>
      </c>
      <c r="C20365" s="12" t="str">
        <f ca="1">IFERROR(__xludf.DUMMYFUNCTION("""COMPUTED_VALUE"""),"")</f>
        <v/>
      </c>
      <c r="D20365" s="12" t="str">
        <f ca="1">IFERROR(__xludf.DUMMYFUNCTION("""COMPUTED_VALUE"""),"")</f>
        <v/>
      </c>
    </row>
    <row r="20366" spans="2:4" ht="13">
      <c r="B20366" s="12" t="str">
        <f ca="1">IFERROR(__xludf.DUMMYFUNCTION("""COMPUTED_VALUE"""),"")</f>
        <v/>
      </c>
      <c r="C20366" s="12" t="str">
        <f ca="1">IFERROR(__xludf.DUMMYFUNCTION("""COMPUTED_VALUE"""),"")</f>
        <v/>
      </c>
      <c r="D20366" s="12" t="str">
        <f ca="1">IFERROR(__xludf.DUMMYFUNCTION("""COMPUTED_VALUE"""),"")</f>
        <v/>
      </c>
    </row>
    <row r="20367" spans="2:4" ht="13">
      <c r="B20367" s="12" t="str">
        <f ca="1">IFERROR(__xludf.DUMMYFUNCTION("""COMPUTED_VALUE"""),"")</f>
        <v/>
      </c>
      <c r="C20367" s="12" t="str">
        <f ca="1">IFERROR(__xludf.DUMMYFUNCTION("""COMPUTED_VALUE"""),"")</f>
        <v/>
      </c>
      <c r="D20367" s="12" t="str">
        <f ca="1">IFERROR(__xludf.DUMMYFUNCTION("""COMPUTED_VALUE"""),"")</f>
        <v/>
      </c>
    </row>
    <row r="20368" spans="2:4" ht="13">
      <c r="B20368" s="12" t="str">
        <f ca="1">IFERROR(__xludf.DUMMYFUNCTION("""COMPUTED_VALUE"""),"")</f>
        <v/>
      </c>
      <c r="C20368" s="12" t="str">
        <f ca="1">IFERROR(__xludf.DUMMYFUNCTION("""COMPUTED_VALUE"""),"")</f>
        <v/>
      </c>
      <c r="D20368" s="12" t="str">
        <f ca="1">IFERROR(__xludf.DUMMYFUNCTION("""COMPUTED_VALUE"""),"")</f>
        <v/>
      </c>
    </row>
    <row r="20369" spans="2:4" ht="13">
      <c r="B20369" s="12" t="str">
        <f ca="1">IFERROR(__xludf.DUMMYFUNCTION("""COMPUTED_VALUE"""),"")</f>
        <v/>
      </c>
      <c r="C20369" s="12" t="str">
        <f ca="1">IFERROR(__xludf.DUMMYFUNCTION("""COMPUTED_VALUE"""),"")</f>
        <v/>
      </c>
      <c r="D20369" s="12" t="str">
        <f ca="1">IFERROR(__xludf.DUMMYFUNCTION("""COMPUTED_VALUE"""),"")</f>
        <v/>
      </c>
    </row>
    <row r="20370" spans="2:4" ht="13">
      <c r="B20370" s="12" t="str">
        <f ca="1">IFERROR(__xludf.DUMMYFUNCTION("""COMPUTED_VALUE"""),"")</f>
        <v/>
      </c>
      <c r="C20370" s="12" t="str">
        <f ca="1">IFERROR(__xludf.DUMMYFUNCTION("""COMPUTED_VALUE"""),"")</f>
        <v/>
      </c>
      <c r="D20370" s="12" t="str">
        <f ca="1">IFERROR(__xludf.DUMMYFUNCTION("""COMPUTED_VALUE"""),"")</f>
        <v/>
      </c>
    </row>
    <row r="20371" spans="2:4" ht="13">
      <c r="B20371" s="12" t="str">
        <f ca="1">IFERROR(__xludf.DUMMYFUNCTION("""COMPUTED_VALUE"""),"")</f>
        <v/>
      </c>
      <c r="C20371" s="12" t="str">
        <f ca="1">IFERROR(__xludf.DUMMYFUNCTION("""COMPUTED_VALUE"""),"")</f>
        <v/>
      </c>
      <c r="D20371" s="12" t="str">
        <f ca="1">IFERROR(__xludf.DUMMYFUNCTION("""COMPUTED_VALUE"""),"")</f>
        <v/>
      </c>
    </row>
    <row r="20372" spans="2:4" ht="13">
      <c r="B20372" s="12" t="str">
        <f ca="1">IFERROR(__xludf.DUMMYFUNCTION("""COMPUTED_VALUE"""),"")</f>
        <v/>
      </c>
      <c r="C20372" s="12" t="str">
        <f ca="1">IFERROR(__xludf.DUMMYFUNCTION("""COMPUTED_VALUE"""),"")</f>
        <v/>
      </c>
      <c r="D20372" s="12" t="str">
        <f ca="1">IFERROR(__xludf.DUMMYFUNCTION("""COMPUTED_VALUE"""),"")</f>
        <v/>
      </c>
    </row>
    <row r="20373" spans="2:4" ht="13">
      <c r="B20373" s="12" t="str">
        <f ca="1">IFERROR(__xludf.DUMMYFUNCTION("""COMPUTED_VALUE"""),"")</f>
        <v/>
      </c>
      <c r="C20373" s="12" t="str">
        <f ca="1">IFERROR(__xludf.DUMMYFUNCTION("""COMPUTED_VALUE"""),"")</f>
        <v/>
      </c>
      <c r="D20373" s="12" t="str">
        <f ca="1">IFERROR(__xludf.DUMMYFUNCTION("""COMPUTED_VALUE"""),"")</f>
        <v/>
      </c>
    </row>
    <row r="20374" spans="2:4" ht="13">
      <c r="B20374" s="12" t="str">
        <f ca="1">IFERROR(__xludf.DUMMYFUNCTION("""COMPUTED_VALUE"""),"")</f>
        <v/>
      </c>
      <c r="C20374" s="12" t="str">
        <f ca="1">IFERROR(__xludf.DUMMYFUNCTION("""COMPUTED_VALUE"""),"")</f>
        <v/>
      </c>
      <c r="D20374" s="12" t="str">
        <f ca="1">IFERROR(__xludf.DUMMYFUNCTION("""COMPUTED_VALUE"""),"")</f>
        <v/>
      </c>
    </row>
    <row r="20375" spans="2:4" ht="13">
      <c r="B20375" s="12" t="str">
        <f ca="1">IFERROR(__xludf.DUMMYFUNCTION("""COMPUTED_VALUE"""),"")</f>
        <v/>
      </c>
      <c r="C20375" s="12" t="str">
        <f ca="1">IFERROR(__xludf.DUMMYFUNCTION("""COMPUTED_VALUE"""),"")</f>
        <v/>
      </c>
      <c r="D20375" s="12" t="str">
        <f ca="1">IFERROR(__xludf.DUMMYFUNCTION("""COMPUTED_VALUE"""),"")</f>
        <v/>
      </c>
    </row>
    <row r="20376" spans="2:4" ht="13">
      <c r="B20376" s="12" t="str">
        <f ca="1">IFERROR(__xludf.DUMMYFUNCTION("""COMPUTED_VALUE"""),"")</f>
        <v/>
      </c>
      <c r="C20376" s="12" t="str">
        <f ca="1">IFERROR(__xludf.DUMMYFUNCTION("""COMPUTED_VALUE"""),"")</f>
        <v/>
      </c>
      <c r="D20376" s="12" t="str">
        <f ca="1">IFERROR(__xludf.DUMMYFUNCTION("""COMPUTED_VALUE"""),"")</f>
        <v/>
      </c>
    </row>
    <row r="20377" spans="2:4" ht="13">
      <c r="B20377" s="12" t="str">
        <f ca="1">IFERROR(__xludf.DUMMYFUNCTION("""COMPUTED_VALUE"""),"")</f>
        <v/>
      </c>
      <c r="C20377" s="12" t="str">
        <f ca="1">IFERROR(__xludf.DUMMYFUNCTION("""COMPUTED_VALUE"""),"")</f>
        <v/>
      </c>
      <c r="D20377" s="12" t="str">
        <f ca="1">IFERROR(__xludf.DUMMYFUNCTION("""COMPUTED_VALUE"""),"")</f>
        <v/>
      </c>
    </row>
    <row r="20378" spans="2:4" ht="13">
      <c r="B20378" s="12" t="str">
        <f ca="1">IFERROR(__xludf.DUMMYFUNCTION("""COMPUTED_VALUE"""),"")</f>
        <v/>
      </c>
      <c r="C20378" s="12" t="str">
        <f ca="1">IFERROR(__xludf.DUMMYFUNCTION("""COMPUTED_VALUE"""),"")</f>
        <v/>
      </c>
      <c r="D20378" s="12" t="str">
        <f ca="1">IFERROR(__xludf.DUMMYFUNCTION("""COMPUTED_VALUE"""),"")</f>
        <v/>
      </c>
    </row>
    <row r="20379" spans="2:4" ht="13">
      <c r="B20379" s="12" t="str">
        <f ca="1">IFERROR(__xludf.DUMMYFUNCTION("""COMPUTED_VALUE"""),"")</f>
        <v/>
      </c>
      <c r="C20379" s="12" t="str">
        <f ca="1">IFERROR(__xludf.DUMMYFUNCTION("""COMPUTED_VALUE"""),"")</f>
        <v/>
      </c>
      <c r="D20379" s="12" t="str">
        <f ca="1">IFERROR(__xludf.DUMMYFUNCTION("""COMPUTED_VALUE"""),"")</f>
        <v/>
      </c>
    </row>
    <row r="20380" spans="2:4" ht="13">
      <c r="B20380" s="12" t="str">
        <f ca="1">IFERROR(__xludf.DUMMYFUNCTION("""COMPUTED_VALUE"""),"")</f>
        <v/>
      </c>
      <c r="C20380" s="12" t="str">
        <f ca="1">IFERROR(__xludf.DUMMYFUNCTION("""COMPUTED_VALUE"""),"")</f>
        <v/>
      </c>
      <c r="D20380" s="12" t="str">
        <f ca="1">IFERROR(__xludf.DUMMYFUNCTION("""COMPUTED_VALUE"""),"")</f>
        <v/>
      </c>
    </row>
    <row r="20381" spans="2:4" ht="13">
      <c r="B20381" s="12" t="str">
        <f ca="1">IFERROR(__xludf.DUMMYFUNCTION("""COMPUTED_VALUE"""),"")</f>
        <v/>
      </c>
      <c r="C20381" s="12" t="str">
        <f ca="1">IFERROR(__xludf.DUMMYFUNCTION("""COMPUTED_VALUE"""),"")</f>
        <v/>
      </c>
      <c r="D20381" s="12" t="str">
        <f ca="1">IFERROR(__xludf.DUMMYFUNCTION("""COMPUTED_VALUE"""),"")</f>
        <v/>
      </c>
    </row>
    <row r="20382" spans="2:4" ht="13">
      <c r="B20382" s="12" t="str">
        <f ca="1">IFERROR(__xludf.DUMMYFUNCTION("""COMPUTED_VALUE"""),"")</f>
        <v/>
      </c>
      <c r="C20382" s="12" t="str">
        <f ca="1">IFERROR(__xludf.DUMMYFUNCTION("""COMPUTED_VALUE"""),"")</f>
        <v/>
      </c>
      <c r="D20382" s="12" t="str">
        <f ca="1">IFERROR(__xludf.DUMMYFUNCTION("""COMPUTED_VALUE"""),"")</f>
        <v/>
      </c>
    </row>
    <row r="20383" spans="2:4" ht="13">
      <c r="B20383" s="12" t="str">
        <f ca="1">IFERROR(__xludf.DUMMYFUNCTION("""COMPUTED_VALUE"""),"")</f>
        <v/>
      </c>
      <c r="C20383" s="12" t="str">
        <f ca="1">IFERROR(__xludf.DUMMYFUNCTION("""COMPUTED_VALUE"""),"")</f>
        <v/>
      </c>
      <c r="D20383" s="12" t="str">
        <f ca="1">IFERROR(__xludf.DUMMYFUNCTION("""COMPUTED_VALUE"""),"")</f>
        <v/>
      </c>
    </row>
    <row r="20384" spans="2:4" ht="13">
      <c r="B20384" s="12" t="str">
        <f ca="1">IFERROR(__xludf.DUMMYFUNCTION("""COMPUTED_VALUE"""),"")</f>
        <v/>
      </c>
      <c r="C20384" s="12" t="str">
        <f ca="1">IFERROR(__xludf.DUMMYFUNCTION("""COMPUTED_VALUE"""),"")</f>
        <v/>
      </c>
      <c r="D20384" s="12" t="str">
        <f ca="1">IFERROR(__xludf.DUMMYFUNCTION("""COMPUTED_VALUE"""),"")</f>
        <v/>
      </c>
    </row>
    <row r="20385" spans="2:4" ht="13">
      <c r="B20385" s="12" t="str">
        <f ca="1">IFERROR(__xludf.DUMMYFUNCTION("""COMPUTED_VALUE"""),"")</f>
        <v/>
      </c>
      <c r="C20385" s="12" t="str">
        <f ca="1">IFERROR(__xludf.DUMMYFUNCTION("""COMPUTED_VALUE"""),"")</f>
        <v/>
      </c>
      <c r="D20385" s="12" t="str">
        <f ca="1">IFERROR(__xludf.DUMMYFUNCTION("""COMPUTED_VALUE"""),"")</f>
        <v/>
      </c>
    </row>
    <row r="20386" spans="2:4" ht="13">
      <c r="B20386" s="12" t="str">
        <f ca="1">IFERROR(__xludf.DUMMYFUNCTION("""COMPUTED_VALUE"""),"")</f>
        <v/>
      </c>
      <c r="C20386" s="12" t="str">
        <f ca="1">IFERROR(__xludf.DUMMYFUNCTION("""COMPUTED_VALUE"""),"")</f>
        <v/>
      </c>
      <c r="D20386" s="12" t="str">
        <f ca="1">IFERROR(__xludf.DUMMYFUNCTION("""COMPUTED_VALUE"""),"")</f>
        <v/>
      </c>
    </row>
    <row r="20387" spans="2:4" ht="13">
      <c r="B20387" s="12" t="str">
        <f ca="1">IFERROR(__xludf.DUMMYFUNCTION("""COMPUTED_VALUE"""),"")</f>
        <v/>
      </c>
      <c r="C20387" s="12" t="str">
        <f ca="1">IFERROR(__xludf.DUMMYFUNCTION("""COMPUTED_VALUE"""),"")</f>
        <v/>
      </c>
      <c r="D20387" s="12" t="str">
        <f ca="1">IFERROR(__xludf.DUMMYFUNCTION("""COMPUTED_VALUE"""),"")</f>
        <v/>
      </c>
    </row>
    <row r="20388" spans="2:4" ht="13">
      <c r="B20388" s="12" t="str">
        <f ca="1">IFERROR(__xludf.DUMMYFUNCTION("""COMPUTED_VALUE"""),"")</f>
        <v/>
      </c>
      <c r="C20388" s="12" t="str">
        <f ca="1">IFERROR(__xludf.DUMMYFUNCTION("""COMPUTED_VALUE"""),"")</f>
        <v/>
      </c>
      <c r="D20388" s="12" t="str">
        <f ca="1">IFERROR(__xludf.DUMMYFUNCTION("""COMPUTED_VALUE"""),"")</f>
        <v/>
      </c>
    </row>
    <row r="20389" spans="2:4" ht="13">
      <c r="B20389" s="12" t="str">
        <f ca="1">IFERROR(__xludf.DUMMYFUNCTION("""COMPUTED_VALUE"""),"")</f>
        <v/>
      </c>
      <c r="C20389" s="12" t="str">
        <f ca="1">IFERROR(__xludf.DUMMYFUNCTION("""COMPUTED_VALUE"""),"")</f>
        <v/>
      </c>
      <c r="D20389" s="12" t="str">
        <f ca="1">IFERROR(__xludf.DUMMYFUNCTION("""COMPUTED_VALUE"""),"")</f>
        <v/>
      </c>
    </row>
    <row r="20390" spans="2:4" ht="13">
      <c r="B20390" s="12" t="str">
        <f ca="1">IFERROR(__xludf.DUMMYFUNCTION("""COMPUTED_VALUE"""),"")</f>
        <v/>
      </c>
      <c r="C20390" s="12" t="str">
        <f ca="1">IFERROR(__xludf.DUMMYFUNCTION("""COMPUTED_VALUE"""),"")</f>
        <v/>
      </c>
      <c r="D20390" s="12" t="str">
        <f ca="1">IFERROR(__xludf.DUMMYFUNCTION("""COMPUTED_VALUE"""),"")</f>
        <v/>
      </c>
    </row>
    <row r="20391" spans="2:4" ht="13">
      <c r="B20391" s="12" t="str">
        <f ca="1">IFERROR(__xludf.DUMMYFUNCTION("""COMPUTED_VALUE"""),"")</f>
        <v/>
      </c>
      <c r="C20391" s="12" t="str">
        <f ca="1">IFERROR(__xludf.DUMMYFUNCTION("""COMPUTED_VALUE"""),"")</f>
        <v/>
      </c>
      <c r="D20391" s="12" t="str">
        <f ca="1">IFERROR(__xludf.DUMMYFUNCTION("""COMPUTED_VALUE"""),"")</f>
        <v/>
      </c>
    </row>
    <row r="20392" spans="2:4" ht="13">
      <c r="B20392" s="12" t="str">
        <f ca="1">IFERROR(__xludf.DUMMYFUNCTION("""COMPUTED_VALUE"""),"")</f>
        <v/>
      </c>
      <c r="C20392" s="12" t="str">
        <f ca="1">IFERROR(__xludf.DUMMYFUNCTION("""COMPUTED_VALUE"""),"")</f>
        <v/>
      </c>
      <c r="D20392" s="12" t="str">
        <f ca="1">IFERROR(__xludf.DUMMYFUNCTION("""COMPUTED_VALUE"""),"")</f>
        <v/>
      </c>
    </row>
    <row r="20393" spans="2:4" ht="13">
      <c r="B20393" s="12" t="str">
        <f ca="1">IFERROR(__xludf.DUMMYFUNCTION("""COMPUTED_VALUE"""),"")</f>
        <v/>
      </c>
      <c r="C20393" s="12" t="str">
        <f ca="1">IFERROR(__xludf.DUMMYFUNCTION("""COMPUTED_VALUE"""),"")</f>
        <v/>
      </c>
      <c r="D20393" s="12" t="str">
        <f ca="1">IFERROR(__xludf.DUMMYFUNCTION("""COMPUTED_VALUE"""),"")</f>
        <v/>
      </c>
    </row>
    <row r="20394" spans="2:4" ht="13">
      <c r="B20394" s="12" t="str">
        <f ca="1">IFERROR(__xludf.DUMMYFUNCTION("""COMPUTED_VALUE"""),"")</f>
        <v/>
      </c>
      <c r="C20394" s="12" t="str">
        <f ca="1">IFERROR(__xludf.DUMMYFUNCTION("""COMPUTED_VALUE"""),"")</f>
        <v/>
      </c>
      <c r="D20394" s="12" t="str">
        <f ca="1">IFERROR(__xludf.DUMMYFUNCTION("""COMPUTED_VALUE"""),"")</f>
        <v/>
      </c>
    </row>
    <row r="20395" spans="2:4" ht="13">
      <c r="B20395" s="12" t="str">
        <f ca="1">IFERROR(__xludf.DUMMYFUNCTION("""COMPUTED_VALUE"""),"")</f>
        <v/>
      </c>
      <c r="C20395" s="12" t="str">
        <f ca="1">IFERROR(__xludf.DUMMYFUNCTION("""COMPUTED_VALUE"""),"")</f>
        <v/>
      </c>
      <c r="D20395" s="12" t="str">
        <f ca="1">IFERROR(__xludf.DUMMYFUNCTION("""COMPUTED_VALUE"""),"")</f>
        <v/>
      </c>
    </row>
    <row r="20396" spans="2:4" ht="13">
      <c r="B20396" s="12" t="str">
        <f ca="1">IFERROR(__xludf.DUMMYFUNCTION("""COMPUTED_VALUE"""),"")</f>
        <v/>
      </c>
      <c r="C20396" s="12" t="str">
        <f ca="1">IFERROR(__xludf.DUMMYFUNCTION("""COMPUTED_VALUE"""),"")</f>
        <v/>
      </c>
      <c r="D20396" s="12" t="str">
        <f ca="1">IFERROR(__xludf.DUMMYFUNCTION("""COMPUTED_VALUE"""),"")</f>
        <v/>
      </c>
    </row>
    <row r="20397" spans="2:4" ht="13">
      <c r="B20397" s="12" t="str">
        <f ca="1">IFERROR(__xludf.DUMMYFUNCTION("""COMPUTED_VALUE"""),"")</f>
        <v/>
      </c>
      <c r="C20397" s="12" t="str">
        <f ca="1">IFERROR(__xludf.DUMMYFUNCTION("""COMPUTED_VALUE"""),"")</f>
        <v/>
      </c>
      <c r="D20397" s="12" t="str">
        <f ca="1">IFERROR(__xludf.DUMMYFUNCTION("""COMPUTED_VALUE"""),"")</f>
        <v/>
      </c>
    </row>
    <row r="20398" spans="2:4" ht="13">
      <c r="B20398" s="12" t="str">
        <f ca="1">IFERROR(__xludf.DUMMYFUNCTION("""COMPUTED_VALUE"""),"")</f>
        <v/>
      </c>
      <c r="C20398" s="12" t="str">
        <f ca="1">IFERROR(__xludf.DUMMYFUNCTION("""COMPUTED_VALUE"""),"")</f>
        <v/>
      </c>
      <c r="D20398" s="12" t="str">
        <f ca="1">IFERROR(__xludf.DUMMYFUNCTION("""COMPUTED_VALUE"""),"")</f>
        <v/>
      </c>
    </row>
    <row r="20399" spans="2:4" ht="13">
      <c r="B20399" s="12" t="str">
        <f ca="1">IFERROR(__xludf.DUMMYFUNCTION("""COMPUTED_VALUE"""),"")</f>
        <v/>
      </c>
      <c r="C20399" s="12" t="str">
        <f ca="1">IFERROR(__xludf.DUMMYFUNCTION("""COMPUTED_VALUE"""),"")</f>
        <v/>
      </c>
      <c r="D20399" s="12" t="str">
        <f ca="1">IFERROR(__xludf.DUMMYFUNCTION("""COMPUTED_VALUE"""),"")</f>
        <v/>
      </c>
    </row>
    <row r="20400" spans="2:4" ht="13">
      <c r="B20400" s="12" t="str">
        <f ca="1">IFERROR(__xludf.DUMMYFUNCTION("""COMPUTED_VALUE"""),"")</f>
        <v/>
      </c>
      <c r="C20400" s="12" t="str">
        <f ca="1">IFERROR(__xludf.DUMMYFUNCTION("""COMPUTED_VALUE"""),"")</f>
        <v/>
      </c>
      <c r="D20400" s="12" t="str">
        <f ca="1">IFERROR(__xludf.DUMMYFUNCTION("""COMPUTED_VALUE"""),"")</f>
        <v/>
      </c>
    </row>
    <row r="20401" spans="2:4" ht="13">
      <c r="B20401" s="12" t="str">
        <f ca="1">IFERROR(__xludf.DUMMYFUNCTION("""COMPUTED_VALUE"""),"")</f>
        <v/>
      </c>
      <c r="C20401" s="12" t="str">
        <f ca="1">IFERROR(__xludf.DUMMYFUNCTION("""COMPUTED_VALUE"""),"")</f>
        <v/>
      </c>
      <c r="D20401" s="12" t="str">
        <f ca="1">IFERROR(__xludf.DUMMYFUNCTION("""COMPUTED_VALUE"""),"")</f>
        <v/>
      </c>
    </row>
    <row r="20402" spans="2:4" ht="13">
      <c r="B20402" s="12" t="str">
        <f ca="1">IFERROR(__xludf.DUMMYFUNCTION("""COMPUTED_VALUE"""),"")</f>
        <v/>
      </c>
      <c r="C20402" s="12" t="str">
        <f ca="1">IFERROR(__xludf.DUMMYFUNCTION("""COMPUTED_VALUE"""),"")</f>
        <v/>
      </c>
      <c r="D20402" s="12" t="str">
        <f ca="1">IFERROR(__xludf.DUMMYFUNCTION("""COMPUTED_VALUE"""),"")</f>
        <v/>
      </c>
    </row>
    <row r="20403" spans="2:4" ht="13">
      <c r="B20403" s="12" t="str">
        <f ca="1">IFERROR(__xludf.DUMMYFUNCTION("""COMPUTED_VALUE"""),"")</f>
        <v/>
      </c>
      <c r="C20403" s="12" t="str">
        <f ca="1">IFERROR(__xludf.DUMMYFUNCTION("""COMPUTED_VALUE"""),"")</f>
        <v/>
      </c>
      <c r="D20403" s="12" t="str">
        <f ca="1">IFERROR(__xludf.DUMMYFUNCTION("""COMPUTED_VALUE"""),"")</f>
        <v/>
      </c>
    </row>
    <row r="20404" spans="2:4" ht="13">
      <c r="B20404" s="12" t="str">
        <f ca="1">IFERROR(__xludf.DUMMYFUNCTION("""COMPUTED_VALUE"""),"")</f>
        <v/>
      </c>
      <c r="C20404" s="12" t="str">
        <f ca="1">IFERROR(__xludf.DUMMYFUNCTION("""COMPUTED_VALUE"""),"")</f>
        <v/>
      </c>
      <c r="D20404" s="12" t="str">
        <f ca="1">IFERROR(__xludf.DUMMYFUNCTION("""COMPUTED_VALUE"""),"")</f>
        <v/>
      </c>
    </row>
    <row r="20405" spans="2:4" ht="13">
      <c r="B20405" s="12" t="str">
        <f ca="1">IFERROR(__xludf.DUMMYFUNCTION("""COMPUTED_VALUE"""),"")</f>
        <v/>
      </c>
      <c r="C20405" s="12" t="str">
        <f ca="1">IFERROR(__xludf.DUMMYFUNCTION("""COMPUTED_VALUE"""),"")</f>
        <v/>
      </c>
      <c r="D20405" s="12" t="str">
        <f ca="1">IFERROR(__xludf.DUMMYFUNCTION("""COMPUTED_VALUE"""),"")</f>
        <v/>
      </c>
    </row>
    <row r="20406" spans="2:4" ht="13">
      <c r="B20406" s="12" t="str">
        <f ca="1">IFERROR(__xludf.DUMMYFUNCTION("""COMPUTED_VALUE"""),"")</f>
        <v/>
      </c>
      <c r="C20406" s="12" t="str">
        <f ca="1">IFERROR(__xludf.DUMMYFUNCTION("""COMPUTED_VALUE"""),"")</f>
        <v/>
      </c>
      <c r="D20406" s="12" t="str">
        <f ca="1">IFERROR(__xludf.DUMMYFUNCTION("""COMPUTED_VALUE"""),"")</f>
        <v/>
      </c>
    </row>
    <row r="20407" spans="2:4" ht="13">
      <c r="B20407" s="12" t="str">
        <f ca="1">IFERROR(__xludf.DUMMYFUNCTION("""COMPUTED_VALUE"""),"")</f>
        <v/>
      </c>
      <c r="C20407" s="12" t="str">
        <f ca="1">IFERROR(__xludf.DUMMYFUNCTION("""COMPUTED_VALUE"""),"")</f>
        <v/>
      </c>
      <c r="D20407" s="12" t="str">
        <f ca="1">IFERROR(__xludf.DUMMYFUNCTION("""COMPUTED_VALUE"""),"")</f>
        <v/>
      </c>
    </row>
    <row r="20408" spans="2:4" ht="13">
      <c r="B20408" s="12" t="str">
        <f ca="1">IFERROR(__xludf.DUMMYFUNCTION("""COMPUTED_VALUE"""),"")</f>
        <v/>
      </c>
      <c r="C20408" s="12" t="str">
        <f ca="1">IFERROR(__xludf.DUMMYFUNCTION("""COMPUTED_VALUE"""),"")</f>
        <v/>
      </c>
      <c r="D20408" s="12" t="str">
        <f ca="1">IFERROR(__xludf.DUMMYFUNCTION("""COMPUTED_VALUE"""),"")</f>
        <v/>
      </c>
    </row>
    <row r="20409" spans="2:4" ht="13">
      <c r="B20409" s="12" t="str">
        <f ca="1">IFERROR(__xludf.DUMMYFUNCTION("""COMPUTED_VALUE"""),"")</f>
        <v/>
      </c>
      <c r="C20409" s="12" t="str">
        <f ca="1">IFERROR(__xludf.DUMMYFUNCTION("""COMPUTED_VALUE"""),"")</f>
        <v/>
      </c>
      <c r="D20409" s="12" t="str">
        <f ca="1">IFERROR(__xludf.DUMMYFUNCTION("""COMPUTED_VALUE"""),"")</f>
        <v/>
      </c>
    </row>
    <row r="20410" spans="2:4" ht="13">
      <c r="B20410" s="12" t="str">
        <f ca="1">IFERROR(__xludf.DUMMYFUNCTION("""COMPUTED_VALUE"""),"")</f>
        <v/>
      </c>
      <c r="C20410" s="12" t="str">
        <f ca="1">IFERROR(__xludf.DUMMYFUNCTION("""COMPUTED_VALUE"""),"")</f>
        <v/>
      </c>
      <c r="D20410" s="12" t="str">
        <f ca="1">IFERROR(__xludf.DUMMYFUNCTION("""COMPUTED_VALUE"""),"")</f>
        <v/>
      </c>
    </row>
    <row r="20411" spans="2:4" ht="13">
      <c r="B20411" s="12" t="str">
        <f ca="1">IFERROR(__xludf.DUMMYFUNCTION("""COMPUTED_VALUE"""),"")</f>
        <v/>
      </c>
      <c r="C20411" s="12" t="str">
        <f ca="1">IFERROR(__xludf.DUMMYFUNCTION("""COMPUTED_VALUE"""),"")</f>
        <v/>
      </c>
      <c r="D20411" s="12" t="str">
        <f ca="1">IFERROR(__xludf.DUMMYFUNCTION("""COMPUTED_VALUE"""),"")</f>
        <v/>
      </c>
    </row>
    <row r="20412" spans="2:4" ht="13">
      <c r="B20412" s="12" t="str">
        <f ca="1">IFERROR(__xludf.DUMMYFUNCTION("""COMPUTED_VALUE"""),"")</f>
        <v/>
      </c>
      <c r="C20412" s="12" t="str">
        <f ca="1">IFERROR(__xludf.DUMMYFUNCTION("""COMPUTED_VALUE"""),"")</f>
        <v/>
      </c>
      <c r="D20412" s="12" t="str">
        <f ca="1">IFERROR(__xludf.DUMMYFUNCTION("""COMPUTED_VALUE"""),"")</f>
        <v/>
      </c>
    </row>
    <row r="20413" spans="2:4" ht="13">
      <c r="B20413" s="12" t="str">
        <f ca="1">IFERROR(__xludf.DUMMYFUNCTION("""COMPUTED_VALUE"""),"")</f>
        <v/>
      </c>
      <c r="C20413" s="12" t="str">
        <f ca="1">IFERROR(__xludf.DUMMYFUNCTION("""COMPUTED_VALUE"""),"")</f>
        <v/>
      </c>
      <c r="D20413" s="12" t="str">
        <f ca="1">IFERROR(__xludf.DUMMYFUNCTION("""COMPUTED_VALUE"""),"")</f>
        <v/>
      </c>
    </row>
    <row r="20414" spans="2:4" ht="13">
      <c r="B20414" s="12" t="str">
        <f ca="1">IFERROR(__xludf.DUMMYFUNCTION("""COMPUTED_VALUE"""),"")</f>
        <v/>
      </c>
      <c r="C20414" s="12" t="str">
        <f ca="1">IFERROR(__xludf.DUMMYFUNCTION("""COMPUTED_VALUE"""),"")</f>
        <v/>
      </c>
      <c r="D20414" s="12" t="str">
        <f ca="1">IFERROR(__xludf.DUMMYFUNCTION("""COMPUTED_VALUE"""),"")</f>
        <v/>
      </c>
    </row>
    <row r="20415" spans="2:4" ht="13">
      <c r="B20415" s="12" t="str">
        <f ca="1">IFERROR(__xludf.DUMMYFUNCTION("""COMPUTED_VALUE"""),"")</f>
        <v/>
      </c>
      <c r="C20415" s="12" t="str">
        <f ca="1">IFERROR(__xludf.DUMMYFUNCTION("""COMPUTED_VALUE"""),"")</f>
        <v/>
      </c>
      <c r="D20415" s="12" t="str">
        <f ca="1">IFERROR(__xludf.DUMMYFUNCTION("""COMPUTED_VALUE"""),"")</f>
        <v/>
      </c>
    </row>
    <row r="20416" spans="2:4" ht="13">
      <c r="B20416" s="12" t="str">
        <f ca="1">IFERROR(__xludf.DUMMYFUNCTION("""COMPUTED_VALUE"""),"")</f>
        <v/>
      </c>
      <c r="C20416" s="12" t="str">
        <f ca="1">IFERROR(__xludf.DUMMYFUNCTION("""COMPUTED_VALUE"""),"")</f>
        <v/>
      </c>
      <c r="D20416" s="12" t="str">
        <f ca="1">IFERROR(__xludf.DUMMYFUNCTION("""COMPUTED_VALUE"""),"")</f>
        <v/>
      </c>
    </row>
    <row r="20417" spans="2:4" ht="13">
      <c r="B20417" s="12" t="str">
        <f ca="1">IFERROR(__xludf.DUMMYFUNCTION("""COMPUTED_VALUE"""),"")</f>
        <v/>
      </c>
      <c r="C20417" s="12" t="str">
        <f ca="1">IFERROR(__xludf.DUMMYFUNCTION("""COMPUTED_VALUE"""),"")</f>
        <v/>
      </c>
      <c r="D20417" s="12" t="str">
        <f ca="1">IFERROR(__xludf.DUMMYFUNCTION("""COMPUTED_VALUE"""),"")</f>
        <v/>
      </c>
    </row>
    <row r="20418" spans="2:4" ht="13">
      <c r="B20418" s="12" t="str">
        <f ca="1">IFERROR(__xludf.DUMMYFUNCTION("""COMPUTED_VALUE"""),"")</f>
        <v/>
      </c>
      <c r="C20418" s="12" t="str">
        <f ca="1">IFERROR(__xludf.DUMMYFUNCTION("""COMPUTED_VALUE"""),"")</f>
        <v/>
      </c>
      <c r="D20418" s="12" t="str">
        <f ca="1">IFERROR(__xludf.DUMMYFUNCTION("""COMPUTED_VALUE"""),"")</f>
        <v/>
      </c>
    </row>
    <row r="20419" spans="2:4" ht="13">
      <c r="B20419" s="12" t="str">
        <f ca="1">IFERROR(__xludf.DUMMYFUNCTION("""COMPUTED_VALUE"""),"")</f>
        <v/>
      </c>
      <c r="C20419" s="12" t="str">
        <f ca="1">IFERROR(__xludf.DUMMYFUNCTION("""COMPUTED_VALUE"""),"")</f>
        <v/>
      </c>
      <c r="D20419" s="12" t="str">
        <f ca="1">IFERROR(__xludf.DUMMYFUNCTION("""COMPUTED_VALUE"""),"")</f>
        <v/>
      </c>
    </row>
    <row r="20420" spans="2:4" ht="13">
      <c r="B20420" s="12" t="str">
        <f ca="1">IFERROR(__xludf.DUMMYFUNCTION("""COMPUTED_VALUE"""),"")</f>
        <v/>
      </c>
      <c r="C20420" s="12" t="str">
        <f ca="1">IFERROR(__xludf.DUMMYFUNCTION("""COMPUTED_VALUE"""),"")</f>
        <v/>
      </c>
      <c r="D20420" s="12" t="str">
        <f ca="1">IFERROR(__xludf.DUMMYFUNCTION("""COMPUTED_VALUE"""),"")</f>
        <v/>
      </c>
    </row>
    <row r="20421" spans="2:4" ht="13">
      <c r="B20421" s="12" t="str">
        <f ca="1">IFERROR(__xludf.DUMMYFUNCTION("""COMPUTED_VALUE"""),"")</f>
        <v/>
      </c>
      <c r="C20421" s="12" t="str">
        <f ca="1">IFERROR(__xludf.DUMMYFUNCTION("""COMPUTED_VALUE"""),"")</f>
        <v/>
      </c>
      <c r="D20421" s="12" t="str">
        <f ca="1">IFERROR(__xludf.DUMMYFUNCTION("""COMPUTED_VALUE"""),"")</f>
        <v/>
      </c>
    </row>
    <row r="20422" spans="2:4" ht="13">
      <c r="B20422" s="12" t="str">
        <f ca="1">IFERROR(__xludf.DUMMYFUNCTION("""COMPUTED_VALUE"""),"")</f>
        <v/>
      </c>
      <c r="C20422" s="12" t="str">
        <f ca="1">IFERROR(__xludf.DUMMYFUNCTION("""COMPUTED_VALUE"""),"")</f>
        <v/>
      </c>
      <c r="D20422" s="12" t="str">
        <f ca="1">IFERROR(__xludf.DUMMYFUNCTION("""COMPUTED_VALUE"""),"")</f>
        <v/>
      </c>
    </row>
    <row r="20423" spans="2:4" ht="13">
      <c r="B20423" s="12" t="str">
        <f ca="1">IFERROR(__xludf.DUMMYFUNCTION("""COMPUTED_VALUE"""),"")</f>
        <v/>
      </c>
      <c r="C20423" s="12" t="str">
        <f ca="1">IFERROR(__xludf.DUMMYFUNCTION("""COMPUTED_VALUE"""),"")</f>
        <v/>
      </c>
      <c r="D20423" s="12" t="str">
        <f ca="1">IFERROR(__xludf.DUMMYFUNCTION("""COMPUTED_VALUE"""),"")</f>
        <v/>
      </c>
    </row>
    <row r="20424" spans="2:4" ht="13">
      <c r="B20424" s="12" t="str">
        <f ca="1">IFERROR(__xludf.DUMMYFUNCTION("""COMPUTED_VALUE"""),"")</f>
        <v/>
      </c>
      <c r="C20424" s="12" t="str">
        <f ca="1">IFERROR(__xludf.DUMMYFUNCTION("""COMPUTED_VALUE"""),"")</f>
        <v/>
      </c>
      <c r="D20424" s="12" t="str">
        <f ca="1">IFERROR(__xludf.DUMMYFUNCTION("""COMPUTED_VALUE"""),"")</f>
        <v/>
      </c>
    </row>
    <row r="20425" spans="2:4" ht="13">
      <c r="B20425" s="12" t="str">
        <f ca="1">IFERROR(__xludf.DUMMYFUNCTION("""COMPUTED_VALUE"""),"")</f>
        <v/>
      </c>
      <c r="C20425" s="12" t="str">
        <f ca="1">IFERROR(__xludf.DUMMYFUNCTION("""COMPUTED_VALUE"""),"")</f>
        <v/>
      </c>
      <c r="D20425" s="12" t="str">
        <f ca="1">IFERROR(__xludf.DUMMYFUNCTION("""COMPUTED_VALUE"""),"")</f>
        <v/>
      </c>
    </row>
    <row r="20426" spans="2:4" ht="13">
      <c r="B20426" s="12" t="str">
        <f ca="1">IFERROR(__xludf.DUMMYFUNCTION("""COMPUTED_VALUE"""),"")</f>
        <v/>
      </c>
      <c r="C20426" s="12" t="str">
        <f ca="1">IFERROR(__xludf.DUMMYFUNCTION("""COMPUTED_VALUE"""),"")</f>
        <v/>
      </c>
      <c r="D20426" s="12" t="str">
        <f ca="1">IFERROR(__xludf.DUMMYFUNCTION("""COMPUTED_VALUE"""),"")</f>
        <v/>
      </c>
    </row>
    <row r="20427" spans="2:4" ht="13">
      <c r="B20427" s="12" t="str">
        <f ca="1">IFERROR(__xludf.DUMMYFUNCTION("""COMPUTED_VALUE"""),"")</f>
        <v/>
      </c>
      <c r="C20427" s="12" t="str">
        <f ca="1">IFERROR(__xludf.DUMMYFUNCTION("""COMPUTED_VALUE"""),"")</f>
        <v/>
      </c>
      <c r="D20427" s="12" t="str">
        <f ca="1">IFERROR(__xludf.DUMMYFUNCTION("""COMPUTED_VALUE"""),"")</f>
        <v/>
      </c>
    </row>
    <row r="20428" spans="2:4" ht="13">
      <c r="B20428" s="12" t="str">
        <f ca="1">IFERROR(__xludf.DUMMYFUNCTION("""COMPUTED_VALUE"""),"")</f>
        <v/>
      </c>
      <c r="C20428" s="12" t="str">
        <f ca="1">IFERROR(__xludf.DUMMYFUNCTION("""COMPUTED_VALUE"""),"")</f>
        <v/>
      </c>
      <c r="D20428" s="12" t="str">
        <f ca="1">IFERROR(__xludf.DUMMYFUNCTION("""COMPUTED_VALUE"""),"")</f>
        <v/>
      </c>
    </row>
    <row r="20429" spans="2:4" ht="13">
      <c r="B20429" s="12" t="str">
        <f ca="1">IFERROR(__xludf.DUMMYFUNCTION("""COMPUTED_VALUE"""),"")</f>
        <v/>
      </c>
      <c r="C20429" s="12" t="str">
        <f ca="1">IFERROR(__xludf.DUMMYFUNCTION("""COMPUTED_VALUE"""),"")</f>
        <v/>
      </c>
      <c r="D20429" s="12" t="str">
        <f ca="1">IFERROR(__xludf.DUMMYFUNCTION("""COMPUTED_VALUE"""),"")</f>
        <v/>
      </c>
    </row>
    <row r="20430" spans="2:4" ht="13">
      <c r="B20430" s="12" t="str">
        <f ca="1">IFERROR(__xludf.DUMMYFUNCTION("""COMPUTED_VALUE"""),"")</f>
        <v/>
      </c>
      <c r="C20430" s="12" t="str">
        <f ca="1">IFERROR(__xludf.DUMMYFUNCTION("""COMPUTED_VALUE"""),"")</f>
        <v/>
      </c>
      <c r="D20430" s="12" t="str">
        <f ca="1">IFERROR(__xludf.DUMMYFUNCTION("""COMPUTED_VALUE"""),"")</f>
        <v/>
      </c>
    </row>
    <row r="20431" spans="2:4" ht="13">
      <c r="B20431" s="12" t="str">
        <f ca="1">IFERROR(__xludf.DUMMYFUNCTION("""COMPUTED_VALUE"""),"")</f>
        <v/>
      </c>
      <c r="C20431" s="12" t="str">
        <f ca="1">IFERROR(__xludf.DUMMYFUNCTION("""COMPUTED_VALUE"""),"")</f>
        <v/>
      </c>
      <c r="D20431" s="12" t="str">
        <f ca="1">IFERROR(__xludf.DUMMYFUNCTION("""COMPUTED_VALUE"""),"")</f>
        <v/>
      </c>
    </row>
    <row r="20432" spans="2:4" ht="13">
      <c r="B20432" s="12" t="str">
        <f ca="1">IFERROR(__xludf.DUMMYFUNCTION("""COMPUTED_VALUE"""),"")</f>
        <v/>
      </c>
      <c r="C20432" s="12" t="str">
        <f ca="1">IFERROR(__xludf.DUMMYFUNCTION("""COMPUTED_VALUE"""),"")</f>
        <v/>
      </c>
      <c r="D20432" s="12" t="str">
        <f ca="1">IFERROR(__xludf.DUMMYFUNCTION("""COMPUTED_VALUE"""),"")</f>
        <v/>
      </c>
    </row>
    <row r="20433" spans="2:4" ht="13">
      <c r="B20433" s="12" t="str">
        <f ca="1">IFERROR(__xludf.DUMMYFUNCTION("""COMPUTED_VALUE"""),"")</f>
        <v/>
      </c>
      <c r="C20433" s="12" t="str">
        <f ca="1">IFERROR(__xludf.DUMMYFUNCTION("""COMPUTED_VALUE"""),"")</f>
        <v/>
      </c>
      <c r="D20433" s="12" t="str">
        <f ca="1">IFERROR(__xludf.DUMMYFUNCTION("""COMPUTED_VALUE"""),"")</f>
        <v/>
      </c>
    </row>
    <row r="20434" spans="2:4" ht="13">
      <c r="B20434" s="12" t="str">
        <f ca="1">IFERROR(__xludf.DUMMYFUNCTION("""COMPUTED_VALUE"""),"")</f>
        <v/>
      </c>
      <c r="C20434" s="12" t="str">
        <f ca="1">IFERROR(__xludf.DUMMYFUNCTION("""COMPUTED_VALUE"""),"")</f>
        <v/>
      </c>
      <c r="D20434" s="12" t="str">
        <f ca="1">IFERROR(__xludf.DUMMYFUNCTION("""COMPUTED_VALUE"""),"")</f>
        <v/>
      </c>
    </row>
    <row r="20435" spans="2:4" ht="13">
      <c r="B20435" s="12" t="str">
        <f ca="1">IFERROR(__xludf.DUMMYFUNCTION("""COMPUTED_VALUE"""),"")</f>
        <v/>
      </c>
      <c r="C20435" s="12" t="str">
        <f ca="1">IFERROR(__xludf.DUMMYFUNCTION("""COMPUTED_VALUE"""),"")</f>
        <v/>
      </c>
      <c r="D20435" s="12" t="str">
        <f ca="1">IFERROR(__xludf.DUMMYFUNCTION("""COMPUTED_VALUE"""),"")</f>
        <v/>
      </c>
    </row>
    <row r="20436" spans="2:4" ht="13">
      <c r="B20436" s="12" t="str">
        <f ca="1">IFERROR(__xludf.DUMMYFUNCTION("""COMPUTED_VALUE"""),"")</f>
        <v/>
      </c>
      <c r="C20436" s="12" t="str">
        <f ca="1">IFERROR(__xludf.DUMMYFUNCTION("""COMPUTED_VALUE"""),"")</f>
        <v/>
      </c>
      <c r="D20436" s="12" t="str">
        <f ca="1">IFERROR(__xludf.DUMMYFUNCTION("""COMPUTED_VALUE"""),"")</f>
        <v/>
      </c>
    </row>
    <row r="20437" spans="2:4" ht="13">
      <c r="B20437" s="12" t="str">
        <f ca="1">IFERROR(__xludf.DUMMYFUNCTION("""COMPUTED_VALUE"""),"")</f>
        <v/>
      </c>
      <c r="C20437" s="12" t="str">
        <f ca="1">IFERROR(__xludf.DUMMYFUNCTION("""COMPUTED_VALUE"""),"")</f>
        <v/>
      </c>
      <c r="D20437" s="12" t="str">
        <f ca="1">IFERROR(__xludf.DUMMYFUNCTION("""COMPUTED_VALUE"""),"")</f>
        <v/>
      </c>
    </row>
    <row r="20438" spans="2:4" ht="13">
      <c r="B20438" s="12" t="str">
        <f ca="1">IFERROR(__xludf.DUMMYFUNCTION("""COMPUTED_VALUE"""),"")</f>
        <v/>
      </c>
      <c r="C20438" s="12" t="str">
        <f ca="1">IFERROR(__xludf.DUMMYFUNCTION("""COMPUTED_VALUE"""),"")</f>
        <v/>
      </c>
      <c r="D20438" s="12" t="str">
        <f ca="1">IFERROR(__xludf.DUMMYFUNCTION("""COMPUTED_VALUE"""),"")</f>
        <v/>
      </c>
    </row>
    <row r="20439" spans="2:4" ht="13">
      <c r="B20439" s="12" t="str">
        <f ca="1">IFERROR(__xludf.DUMMYFUNCTION("""COMPUTED_VALUE"""),"")</f>
        <v/>
      </c>
      <c r="C20439" s="12" t="str">
        <f ca="1">IFERROR(__xludf.DUMMYFUNCTION("""COMPUTED_VALUE"""),"")</f>
        <v/>
      </c>
      <c r="D20439" s="12" t="str">
        <f ca="1">IFERROR(__xludf.DUMMYFUNCTION("""COMPUTED_VALUE"""),"")</f>
        <v/>
      </c>
    </row>
    <row r="20440" spans="2:4" ht="13">
      <c r="B20440" s="12" t="str">
        <f ca="1">IFERROR(__xludf.DUMMYFUNCTION("""COMPUTED_VALUE"""),"")</f>
        <v/>
      </c>
      <c r="C20440" s="12" t="str">
        <f ca="1">IFERROR(__xludf.DUMMYFUNCTION("""COMPUTED_VALUE"""),"")</f>
        <v/>
      </c>
      <c r="D20440" s="12" t="str">
        <f ca="1">IFERROR(__xludf.DUMMYFUNCTION("""COMPUTED_VALUE"""),"")</f>
        <v/>
      </c>
    </row>
    <row r="20441" spans="2:4" ht="13">
      <c r="B20441" s="12" t="str">
        <f ca="1">IFERROR(__xludf.DUMMYFUNCTION("""COMPUTED_VALUE"""),"")</f>
        <v/>
      </c>
      <c r="C20441" s="12" t="str">
        <f ca="1">IFERROR(__xludf.DUMMYFUNCTION("""COMPUTED_VALUE"""),"")</f>
        <v/>
      </c>
      <c r="D20441" s="12" t="str">
        <f ca="1">IFERROR(__xludf.DUMMYFUNCTION("""COMPUTED_VALUE"""),"")</f>
        <v/>
      </c>
    </row>
    <row r="20442" spans="2:4" ht="13">
      <c r="B20442" s="12" t="str">
        <f ca="1">IFERROR(__xludf.DUMMYFUNCTION("""COMPUTED_VALUE"""),"")</f>
        <v/>
      </c>
      <c r="C20442" s="12" t="str">
        <f ca="1">IFERROR(__xludf.DUMMYFUNCTION("""COMPUTED_VALUE"""),"")</f>
        <v/>
      </c>
      <c r="D20442" s="12" t="str">
        <f ca="1">IFERROR(__xludf.DUMMYFUNCTION("""COMPUTED_VALUE"""),"")</f>
        <v/>
      </c>
    </row>
    <row r="20443" spans="2:4" ht="13">
      <c r="B20443" s="12" t="str">
        <f ca="1">IFERROR(__xludf.DUMMYFUNCTION("""COMPUTED_VALUE"""),"")</f>
        <v/>
      </c>
      <c r="C20443" s="12" t="str">
        <f ca="1">IFERROR(__xludf.DUMMYFUNCTION("""COMPUTED_VALUE"""),"")</f>
        <v/>
      </c>
      <c r="D20443" s="12" t="str">
        <f ca="1">IFERROR(__xludf.DUMMYFUNCTION("""COMPUTED_VALUE"""),"")</f>
        <v/>
      </c>
    </row>
    <row r="20444" spans="2:4" ht="13">
      <c r="B20444" s="12" t="str">
        <f ca="1">IFERROR(__xludf.DUMMYFUNCTION("""COMPUTED_VALUE"""),"")</f>
        <v/>
      </c>
      <c r="C20444" s="12" t="str">
        <f ca="1">IFERROR(__xludf.DUMMYFUNCTION("""COMPUTED_VALUE"""),"")</f>
        <v/>
      </c>
      <c r="D20444" s="12" t="str">
        <f ca="1">IFERROR(__xludf.DUMMYFUNCTION("""COMPUTED_VALUE"""),"")</f>
        <v/>
      </c>
    </row>
    <row r="20445" spans="2:4" ht="13">
      <c r="B20445" s="12" t="str">
        <f ca="1">IFERROR(__xludf.DUMMYFUNCTION("""COMPUTED_VALUE"""),"")</f>
        <v/>
      </c>
      <c r="C20445" s="12" t="str">
        <f ca="1">IFERROR(__xludf.DUMMYFUNCTION("""COMPUTED_VALUE"""),"")</f>
        <v/>
      </c>
      <c r="D20445" s="12" t="str">
        <f ca="1">IFERROR(__xludf.DUMMYFUNCTION("""COMPUTED_VALUE"""),"")</f>
        <v/>
      </c>
    </row>
    <row r="20446" spans="2:4" ht="13">
      <c r="B20446" s="12" t="str">
        <f ca="1">IFERROR(__xludf.DUMMYFUNCTION("""COMPUTED_VALUE"""),"")</f>
        <v/>
      </c>
      <c r="C20446" s="12" t="str">
        <f ca="1">IFERROR(__xludf.DUMMYFUNCTION("""COMPUTED_VALUE"""),"")</f>
        <v/>
      </c>
      <c r="D20446" s="12" t="str">
        <f ca="1">IFERROR(__xludf.DUMMYFUNCTION("""COMPUTED_VALUE"""),"")</f>
        <v/>
      </c>
    </row>
    <row r="20447" spans="2:4" ht="13">
      <c r="B20447" s="12" t="str">
        <f ca="1">IFERROR(__xludf.DUMMYFUNCTION("""COMPUTED_VALUE"""),"")</f>
        <v/>
      </c>
      <c r="C20447" s="12" t="str">
        <f ca="1">IFERROR(__xludf.DUMMYFUNCTION("""COMPUTED_VALUE"""),"")</f>
        <v/>
      </c>
      <c r="D20447" s="12" t="str">
        <f ca="1">IFERROR(__xludf.DUMMYFUNCTION("""COMPUTED_VALUE"""),"")</f>
        <v/>
      </c>
    </row>
    <row r="20448" spans="2:4" ht="13">
      <c r="B20448" s="12" t="str">
        <f ca="1">IFERROR(__xludf.DUMMYFUNCTION("""COMPUTED_VALUE"""),"")</f>
        <v/>
      </c>
      <c r="C20448" s="12" t="str">
        <f ca="1">IFERROR(__xludf.DUMMYFUNCTION("""COMPUTED_VALUE"""),"")</f>
        <v/>
      </c>
      <c r="D20448" s="12" t="str">
        <f ca="1">IFERROR(__xludf.DUMMYFUNCTION("""COMPUTED_VALUE"""),"")</f>
        <v/>
      </c>
    </row>
    <row r="20449" spans="2:4" ht="13">
      <c r="B20449" s="12" t="str">
        <f ca="1">IFERROR(__xludf.DUMMYFUNCTION("""COMPUTED_VALUE"""),"")</f>
        <v/>
      </c>
      <c r="C20449" s="12" t="str">
        <f ca="1">IFERROR(__xludf.DUMMYFUNCTION("""COMPUTED_VALUE"""),"")</f>
        <v/>
      </c>
      <c r="D20449" s="12" t="str">
        <f ca="1">IFERROR(__xludf.DUMMYFUNCTION("""COMPUTED_VALUE"""),"")</f>
        <v/>
      </c>
    </row>
    <row r="20450" spans="2:4" ht="13">
      <c r="B20450" s="12" t="str">
        <f ca="1">IFERROR(__xludf.DUMMYFUNCTION("""COMPUTED_VALUE"""),"")</f>
        <v/>
      </c>
      <c r="C20450" s="12" t="str">
        <f ca="1">IFERROR(__xludf.DUMMYFUNCTION("""COMPUTED_VALUE"""),"")</f>
        <v/>
      </c>
      <c r="D20450" s="12" t="str">
        <f ca="1">IFERROR(__xludf.DUMMYFUNCTION("""COMPUTED_VALUE"""),"")</f>
        <v/>
      </c>
    </row>
    <row r="20451" spans="2:4" ht="13">
      <c r="B20451" s="12" t="str">
        <f ca="1">IFERROR(__xludf.DUMMYFUNCTION("""COMPUTED_VALUE"""),"")</f>
        <v/>
      </c>
      <c r="C20451" s="12" t="str">
        <f ca="1">IFERROR(__xludf.DUMMYFUNCTION("""COMPUTED_VALUE"""),"")</f>
        <v/>
      </c>
      <c r="D20451" s="12" t="str">
        <f ca="1">IFERROR(__xludf.DUMMYFUNCTION("""COMPUTED_VALUE"""),"")</f>
        <v/>
      </c>
    </row>
    <row r="20452" spans="2:4" ht="13">
      <c r="B20452" s="12" t="str">
        <f ca="1">IFERROR(__xludf.DUMMYFUNCTION("""COMPUTED_VALUE"""),"")</f>
        <v/>
      </c>
      <c r="C20452" s="12" t="str">
        <f ca="1">IFERROR(__xludf.DUMMYFUNCTION("""COMPUTED_VALUE"""),"")</f>
        <v/>
      </c>
      <c r="D20452" s="12" t="str">
        <f ca="1">IFERROR(__xludf.DUMMYFUNCTION("""COMPUTED_VALUE"""),"")</f>
        <v/>
      </c>
    </row>
    <row r="20453" spans="2:4" ht="13">
      <c r="B20453" s="12" t="str">
        <f ca="1">IFERROR(__xludf.DUMMYFUNCTION("""COMPUTED_VALUE"""),"")</f>
        <v/>
      </c>
      <c r="C20453" s="12" t="str">
        <f ca="1">IFERROR(__xludf.DUMMYFUNCTION("""COMPUTED_VALUE"""),"")</f>
        <v/>
      </c>
      <c r="D20453" s="12" t="str">
        <f ca="1">IFERROR(__xludf.DUMMYFUNCTION("""COMPUTED_VALUE"""),"")</f>
        <v/>
      </c>
    </row>
    <row r="20454" spans="2:4" ht="13">
      <c r="B20454" s="12" t="str">
        <f ca="1">IFERROR(__xludf.DUMMYFUNCTION("""COMPUTED_VALUE"""),"")</f>
        <v/>
      </c>
      <c r="C20454" s="12" t="str">
        <f ca="1">IFERROR(__xludf.DUMMYFUNCTION("""COMPUTED_VALUE"""),"")</f>
        <v/>
      </c>
      <c r="D20454" s="12" t="str">
        <f ca="1">IFERROR(__xludf.DUMMYFUNCTION("""COMPUTED_VALUE"""),"")</f>
        <v/>
      </c>
    </row>
    <row r="20455" spans="2:4" ht="13">
      <c r="B20455" s="12" t="str">
        <f ca="1">IFERROR(__xludf.DUMMYFUNCTION("""COMPUTED_VALUE"""),"")</f>
        <v/>
      </c>
      <c r="C20455" s="12" t="str">
        <f ca="1">IFERROR(__xludf.DUMMYFUNCTION("""COMPUTED_VALUE"""),"")</f>
        <v/>
      </c>
      <c r="D20455" s="12" t="str">
        <f ca="1">IFERROR(__xludf.DUMMYFUNCTION("""COMPUTED_VALUE"""),"")</f>
        <v/>
      </c>
    </row>
    <row r="20456" spans="2:4" ht="13">
      <c r="B20456" s="12" t="str">
        <f ca="1">IFERROR(__xludf.DUMMYFUNCTION("""COMPUTED_VALUE"""),"")</f>
        <v/>
      </c>
      <c r="C20456" s="12" t="str">
        <f ca="1">IFERROR(__xludf.DUMMYFUNCTION("""COMPUTED_VALUE"""),"")</f>
        <v/>
      </c>
      <c r="D20456" s="12" t="str">
        <f ca="1">IFERROR(__xludf.DUMMYFUNCTION("""COMPUTED_VALUE"""),"")</f>
        <v/>
      </c>
    </row>
    <row r="20457" spans="2:4" ht="13">
      <c r="B20457" s="12" t="str">
        <f ca="1">IFERROR(__xludf.DUMMYFUNCTION("""COMPUTED_VALUE"""),"")</f>
        <v/>
      </c>
      <c r="C20457" s="12" t="str">
        <f ca="1">IFERROR(__xludf.DUMMYFUNCTION("""COMPUTED_VALUE"""),"")</f>
        <v/>
      </c>
      <c r="D20457" s="12" t="str">
        <f ca="1">IFERROR(__xludf.DUMMYFUNCTION("""COMPUTED_VALUE"""),"")</f>
        <v/>
      </c>
    </row>
    <row r="20458" spans="2:4" ht="13">
      <c r="B20458" s="12" t="str">
        <f ca="1">IFERROR(__xludf.DUMMYFUNCTION("""COMPUTED_VALUE"""),"")</f>
        <v/>
      </c>
      <c r="C20458" s="12" t="str">
        <f ca="1">IFERROR(__xludf.DUMMYFUNCTION("""COMPUTED_VALUE"""),"")</f>
        <v/>
      </c>
      <c r="D20458" s="12" t="str">
        <f ca="1">IFERROR(__xludf.DUMMYFUNCTION("""COMPUTED_VALUE"""),"")</f>
        <v/>
      </c>
    </row>
    <row r="20459" spans="2:4" ht="13">
      <c r="B20459" s="12" t="str">
        <f ca="1">IFERROR(__xludf.DUMMYFUNCTION("""COMPUTED_VALUE"""),"")</f>
        <v/>
      </c>
      <c r="C20459" s="12" t="str">
        <f ca="1">IFERROR(__xludf.DUMMYFUNCTION("""COMPUTED_VALUE"""),"")</f>
        <v/>
      </c>
      <c r="D20459" s="12" t="str">
        <f ca="1">IFERROR(__xludf.DUMMYFUNCTION("""COMPUTED_VALUE"""),"")</f>
        <v/>
      </c>
    </row>
    <row r="20460" spans="2:4" ht="13">
      <c r="B20460" s="12" t="str">
        <f ca="1">IFERROR(__xludf.DUMMYFUNCTION("""COMPUTED_VALUE"""),"")</f>
        <v/>
      </c>
      <c r="C20460" s="12" t="str">
        <f ca="1">IFERROR(__xludf.DUMMYFUNCTION("""COMPUTED_VALUE"""),"")</f>
        <v/>
      </c>
      <c r="D20460" s="12" t="str">
        <f ca="1">IFERROR(__xludf.DUMMYFUNCTION("""COMPUTED_VALUE"""),"")</f>
        <v/>
      </c>
    </row>
    <row r="20461" spans="2:4" ht="13">
      <c r="B20461" s="12" t="str">
        <f ca="1">IFERROR(__xludf.DUMMYFUNCTION("""COMPUTED_VALUE"""),"")</f>
        <v/>
      </c>
      <c r="C20461" s="12" t="str">
        <f ca="1">IFERROR(__xludf.DUMMYFUNCTION("""COMPUTED_VALUE"""),"")</f>
        <v/>
      </c>
      <c r="D20461" s="12" t="str">
        <f ca="1">IFERROR(__xludf.DUMMYFUNCTION("""COMPUTED_VALUE"""),"")</f>
        <v/>
      </c>
    </row>
    <row r="20462" spans="2:4" ht="13">
      <c r="B20462" s="12" t="str">
        <f ca="1">IFERROR(__xludf.DUMMYFUNCTION("""COMPUTED_VALUE"""),"")</f>
        <v/>
      </c>
      <c r="C20462" s="12" t="str">
        <f ca="1">IFERROR(__xludf.DUMMYFUNCTION("""COMPUTED_VALUE"""),"")</f>
        <v/>
      </c>
      <c r="D20462" s="12" t="str">
        <f ca="1">IFERROR(__xludf.DUMMYFUNCTION("""COMPUTED_VALUE"""),"")</f>
        <v/>
      </c>
    </row>
    <row r="20463" spans="2:4" ht="13">
      <c r="B20463" s="12" t="str">
        <f ca="1">IFERROR(__xludf.DUMMYFUNCTION("""COMPUTED_VALUE"""),"")</f>
        <v/>
      </c>
      <c r="C20463" s="12" t="str">
        <f ca="1">IFERROR(__xludf.DUMMYFUNCTION("""COMPUTED_VALUE"""),"")</f>
        <v/>
      </c>
      <c r="D20463" s="12" t="str">
        <f ca="1">IFERROR(__xludf.DUMMYFUNCTION("""COMPUTED_VALUE"""),"")</f>
        <v/>
      </c>
    </row>
    <row r="20464" spans="2:4" ht="13">
      <c r="B20464" s="12" t="str">
        <f ca="1">IFERROR(__xludf.DUMMYFUNCTION("""COMPUTED_VALUE"""),"")</f>
        <v/>
      </c>
      <c r="C20464" s="12" t="str">
        <f ca="1">IFERROR(__xludf.DUMMYFUNCTION("""COMPUTED_VALUE"""),"")</f>
        <v/>
      </c>
      <c r="D20464" s="12" t="str">
        <f ca="1">IFERROR(__xludf.DUMMYFUNCTION("""COMPUTED_VALUE"""),"")</f>
        <v/>
      </c>
    </row>
    <row r="20465" spans="2:4" ht="13">
      <c r="B20465" s="12" t="str">
        <f ca="1">IFERROR(__xludf.DUMMYFUNCTION("""COMPUTED_VALUE"""),"")</f>
        <v/>
      </c>
      <c r="C20465" s="12" t="str">
        <f ca="1">IFERROR(__xludf.DUMMYFUNCTION("""COMPUTED_VALUE"""),"")</f>
        <v/>
      </c>
      <c r="D20465" s="12" t="str">
        <f ca="1">IFERROR(__xludf.DUMMYFUNCTION("""COMPUTED_VALUE"""),"")</f>
        <v/>
      </c>
    </row>
    <row r="20466" spans="2:4" ht="13">
      <c r="B20466" s="12" t="str">
        <f ca="1">IFERROR(__xludf.DUMMYFUNCTION("""COMPUTED_VALUE"""),"")</f>
        <v/>
      </c>
      <c r="C20466" s="12" t="str">
        <f ca="1">IFERROR(__xludf.DUMMYFUNCTION("""COMPUTED_VALUE"""),"")</f>
        <v/>
      </c>
      <c r="D20466" s="12" t="str">
        <f ca="1">IFERROR(__xludf.DUMMYFUNCTION("""COMPUTED_VALUE"""),"")</f>
        <v/>
      </c>
    </row>
    <row r="20467" spans="2:4" ht="13">
      <c r="B20467" s="12" t="str">
        <f ca="1">IFERROR(__xludf.DUMMYFUNCTION("""COMPUTED_VALUE"""),"")</f>
        <v/>
      </c>
      <c r="C20467" s="12" t="str">
        <f ca="1">IFERROR(__xludf.DUMMYFUNCTION("""COMPUTED_VALUE"""),"")</f>
        <v/>
      </c>
      <c r="D20467" s="12" t="str">
        <f ca="1">IFERROR(__xludf.DUMMYFUNCTION("""COMPUTED_VALUE"""),"")</f>
        <v/>
      </c>
    </row>
    <row r="20468" spans="2:4" ht="13">
      <c r="B20468" s="12" t="str">
        <f ca="1">IFERROR(__xludf.DUMMYFUNCTION("""COMPUTED_VALUE"""),"")</f>
        <v/>
      </c>
      <c r="C20468" s="12" t="str">
        <f ca="1">IFERROR(__xludf.DUMMYFUNCTION("""COMPUTED_VALUE"""),"")</f>
        <v/>
      </c>
      <c r="D20468" s="12" t="str">
        <f ca="1">IFERROR(__xludf.DUMMYFUNCTION("""COMPUTED_VALUE"""),"")</f>
        <v/>
      </c>
    </row>
    <row r="20469" spans="2:4" ht="13">
      <c r="B20469" s="12" t="str">
        <f ca="1">IFERROR(__xludf.DUMMYFUNCTION("""COMPUTED_VALUE"""),"")</f>
        <v/>
      </c>
      <c r="C20469" s="12" t="str">
        <f ca="1">IFERROR(__xludf.DUMMYFUNCTION("""COMPUTED_VALUE"""),"")</f>
        <v/>
      </c>
      <c r="D20469" s="12" t="str">
        <f ca="1">IFERROR(__xludf.DUMMYFUNCTION("""COMPUTED_VALUE"""),"")</f>
        <v/>
      </c>
    </row>
    <row r="20470" spans="2:4" ht="13">
      <c r="B20470" s="12" t="str">
        <f ca="1">IFERROR(__xludf.DUMMYFUNCTION("""COMPUTED_VALUE"""),"")</f>
        <v/>
      </c>
      <c r="C20470" s="12" t="str">
        <f ca="1">IFERROR(__xludf.DUMMYFUNCTION("""COMPUTED_VALUE"""),"")</f>
        <v/>
      </c>
      <c r="D20470" s="12" t="str">
        <f ca="1">IFERROR(__xludf.DUMMYFUNCTION("""COMPUTED_VALUE"""),"")</f>
        <v/>
      </c>
    </row>
    <row r="20471" spans="2:4" ht="13">
      <c r="B20471" s="12" t="str">
        <f ca="1">IFERROR(__xludf.DUMMYFUNCTION("""COMPUTED_VALUE"""),"")</f>
        <v/>
      </c>
      <c r="C20471" s="12" t="str">
        <f ca="1">IFERROR(__xludf.DUMMYFUNCTION("""COMPUTED_VALUE"""),"")</f>
        <v/>
      </c>
      <c r="D20471" s="12" t="str">
        <f ca="1">IFERROR(__xludf.DUMMYFUNCTION("""COMPUTED_VALUE"""),"")</f>
        <v/>
      </c>
    </row>
    <row r="20472" spans="2:4" ht="13">
      <c r="B20472" s="12" t="str">
        <f ca="1">IFERROR(__xludf.DUMMYFUNCTION("""COMPUTED_VALUE"""),"")</f>
        <v/>
      </c>
      <c r="C20472" s="12" t="str">
        <f ca="1">IFERROR(__xludf.DUMMYFUNCTION("""COMPUTED_VALUE"""),"")</f>
        <v/>
      </c>
      <c r="D20472" s="12" t="str">
        <f ca="1">IFERROR(__xludf.DUMMYFUNCTION("""COMPUTED_VALUE"""),"")</f>
        <v/>
      </c>
    </row>
    <row r="20473" spans="2:4" ht="13">
      <c r="B20473" s="12" t="str">
        <f ca="1">IFERROR(__xludf.DUMMYFUNCTION("""COMPUTED_VALUE"""),"")</f>
        <v/>
      </c>
      <c r="C20473" s="12" t="str">
        <f ca="1">IFERROR(__xludf.DUMMYFUNCTION("""COMPUTED_VALUE"""),"")</f>
        <v/>
      </c>
      <c r="D20473" s="12" t="str">
        <f ca="1">IFERROR(__xludf.DUMMYFUNCTION("""COMPUTED_VALUE"""),"")</f>
        <v/>
      </c>
    </row>
    <row r="20474" spans="2:4" ht="13">
      <c r="B20474" s="12" t="str">
        <f ca="1">IFERROR(__xludf.DUMMYFUNCTION("""COMPUTED_VALUE"""),"")</f>
        <v/>
      </c>
      <c r="C20474" s="12" t="str">
        <f ca="1">IFERROR(__xludf.DUMMYFUNCTION("""COMPUTED_VALUE"""),"")</f>
        <v/>
      </c>
      <c r="D20474" s="12" t="str">
        <f ca="1">IFERROR(__xludf.DUMMYFUNCTION("""COMPUTED_VALUE"""),"")</f>
        <v/>
      </c>
    </row>
    <row r="20475" spans="2:4" ht="13">
      <c r="B20475" s="12" t="str">
        <f ca="1">IFERROR(__xludf.DUMMYFUNCTION("""COMPUTED_VALUE"""),"")</f>
        <v/>
      </c>
      <c r="C20475" s="12" t="str">
        <f ca="1">IFERROR(__xludf.DUMMYFUNCTION("""COMPUTED_VALUE"""),"")</f>
        <v/>
      </c>
      <c r="D20475" s="12" t="str">
        <f ca="1">IFERROR(__xludf.DUMMYFUNCTION("""COMPUTED_VALUE"""),"")</f>
        <v/>
      </c>
    </row>
    <row r="20476" spans="2:4" ht="13">
      <c r="B20476" s="12" t="str">
        <f ca="1">IFERROR(__xludf.DUMMYFUNCTION("""COMPUTED_VALUE"""),"")</f>
        <v/>
      </c>
      <c r="C20476" s="12" t="str">
        <f ca="1">IFERROR(__xludf.DUMMYFUNCTION("""COMPUTED_VALUE"""),"")</f>
        <v/>
      </c>
      <c r="D20476" s="12" t="str">
        <f ca="1">IFERROR(__xludf.DUMMYFUNCTION("""COMPUTED_VALUE"""),"")</f>
        <v/>
      </c>
    </row>
    <row r="20477" spans="2:4" ht="13">
      <c r="B20477" s="12" t="str">
        <f ca="1">IFERROR(__xludf.DUMMYFUNCTION("""COMPUTED_VALUE"""),"")</f>
        <v/>
      </c>
      <c r="C20477" s="12" t="str">
        <f ca="1">IFERROR(__xludf.DUMMYFUNCTION("""COMPUTED_VALUE"""),"")</f>
        <v/>
      </c>
      <c r="D20477" s="12" t="str">
        <f ca="1">IFERROR(__xludf.DUMMYFUNCTION("""COMPUTED_VALUE"""),"")</f>
        <v/>
      </c>
    </row>
    <row r="20478" spans="2:4" ht="13">
      <c r="B20478" s="12" t="str">
        <f ca="1">IFERROR(__xludf.DUMMYFUNCTION("""COMPUTED_VALUE"""),"")</f>
        <v/>
      </c>
      <c r="C20478" s="12" t="str">
        <f ca="1">IFERROR(__xludf.DUMMYFUNCTION("""COMPUTED_VALUE"""),"")</f>
        <v/>
      </c>
      <c r="D20478" s="12" t="str">
        <f ca="1">IFERROR(__xludf.DUMMYFUNCTION("""COMPUTED_VALUE"""),"")</f>
        <v/>
      </c>
    </row>
    <row r="20479" spans="2:4" ht="13">
      <c r="B20479" s="12" t="str">
        <f ca="1">IFERROR(__xludf.DUMMYFUNCTION("""COMPUTED_VALUE"""),"")</f>
        <v/>
      </c>
      <c r="C20479" s="12" t="str">
        <f ca="1">IFERROR(__xludf.DUMMYFUNCTION("""COMPUTED_VALUE"""),"")</f>
        <v/>
      </c>
      <c r="D20479" s="12" t="str">
        <f ca="1">IFERROR(__xludf.DUMMYFUNCTION("""COMPUTED_VALUE"""),"")</f>
        <v/>
      </c>
    </row>
    <row r="20480" spans="2:4" ht="13">
      <c r="B20480" s="12" t="str">
        <f ca="1">IFERROR(__xludf.DUMMYFUNCTION("""COMPUTED_VALUE"""),"")</f>
        <v/>
      </c>
      <c r="C20480" s="12" t="str">
        <f ca="1">IFERROR(__xludf.DUMMYFUNCTION("""COMPUTED_VALUE"""),"")</f>
        <v/>
      </c>
      <c r="D20480" s="12" t="str">
        <f ca="1">IFERROR(__xludf.DUMMYFUNCTION("""COMPUTED_VALUE"""),"")</f>
        <v/>
      </c>
    </row>
    <row r="20481" spans="2:4" ht="13">
      <c r="B20481" s="12" t="str">
        <f ca="1">IFERROR(__xludf.DUMMYFUNCTION("""COMPUTED_VALUE"""),"")</f>
        <v/>
      </c>
      <c r="C20481" s="12" t="str">
        <f ca="1">IFERROR(__xludf.DUMMYFUNCTION("""COMPUTED_VALUE"""),"")</f>
        <v/>
      </c>
      <c r="D20481" s="12" t="str">
        <f ca="1">IFERROR(__xludf.DUMMYFUNCTION("""COMPUTED_VALUE"""),"")</f>
        <v/>
      </c>
    </row>
    <row r="20482" spans="2:4" ht="13">
      <c r="B20482" s="12" t="str">
        <f ca="1">IFERROR(__xludf.DUMMYFUNCTION("""COMPUTED_VALUE"""),"")</f>
        <v/>
      </c>
      <c r="C20482" s="12" t="str">
        <f ca="1">IFERROR(__xludf.DUMMYFUNCTION("""COMPUTED_VALUE"""),"")</f>
        <v/>
      </c>
      <c r="D20482" s="12" t="str">
        <f ca="1">IFERROR(__xludf.DUMMYFUNCTION("""COMPUTED_VALUE"""),"")</f>
        <v/>
      </c>
    </row>
    <row r="20483" spans="2:4" ht="13">
      <c r="B20483" s="12" t="str">
        <f ca="1">IFERROR(__xludf.DUMMYFUNCTION("""COMPUTED_VALUE"""),"")</f>
        <v/>
      </c>
      <c r="C20483" s="12" t="str">
        <f ca="1">IFERROR(__xludf.DUMMYFUNCTION("""COMPUTED_VALUE"""),"")</f>
        <v/>
      </c>
      <c r="D20483" s="12" t="str">
        <f ca="1">IFERROR(__xludf.DUMMYFUNCTION("""COMPUTED_VALUE"""),"")</f>
        <v/>
      </c>
    </row>
    <row r="20484" spans="2:4" ht="13">
      <c r="B20484" s="12" t="str">
        <f ca="1">IFERROR(__xludf.DUMMYFUNCTION("""COMPUTED_VALUE"""),"")</f>
        <v/>
      </c>
      <c r="C20484" s="12" t="str">
        <f ca="1">IFERROR(__xludf.DUMMYFUNCTION("""COMPUTED_VALUE"""),"")</f>
        <v/>
      </c>
      <c r="D20484" s="12" t="str">
        <f ca="1">IFERROR(__xludf.DUMMYFUNCTION("""COMPUTED_VALUE"""),"")</f>
        <v/>
      </c>
    </row>
    <row r="20485" spans="2:4" ht="13">
      <c r="B20485" s="12" t="str">
        <f ca="1">IFERROR(__xludf.DUMMYFUNCTION("""COMPUTED_VALUE"""),"")</f>
        <v/>
      </c>
      <c r="C20485" s="12" t="str">
        <f ca="1">IFERROR(__xludf.DUMMYFUNCTION("""COMPUTED_VALUE"""),"")</f>
        <v/>
      </c>
      <c r="D20485" s="12" t="str">
        <f ca="1">IFERROR(__xludf.DUMMYFUNCTION("""COMPUTED_VALUE"""),"")</f>
        <v/>
      </c>
    </row>
    <row r="20486" spans="2:4" ht="13">
      <c r="B20486" s="12" t="str">
        <f ca="1">IFERROR(__xludf.DUMMYFUNCTION("""COMPUTED_VALUE"""),"")</f>
        <v/>
      </c>
      <c r="C20486" s="12" t="str">
        <f ca="1">IFERROR(__xludf.DUMMYFUNCTION("""COMPUTED_VALUE"""),"")</f>
        <v/>
      </c>
      <c r="D20486" s="12" t="str">
        <f ca="1">IFERROR(__xludf.DUMMYFUNCTION("""COMPUTED_VALUE"""),"")</f>
        <v/>
      </c>
    </row>
    <row r="20487" spans="2:4" ht="13">
      <c r="B20487" s="12" t="str">
        <f ca="1">IFERROR(__xludf.DUMMYFUNCTION("""COMPUTED_VALUE"""),"")</f>
        <v/>
      </c>
      <c r="C20487" s="12" t="str">
        <f ca="1">IFERROR(__xludf.DUMMYFUNCTION("""COMPUTED_VALUE"""),"")</f>
        <v/>
      </c>
      <c r="D20487" s="12" t="str">
        <f ca="1">IFERROR(__xludf.DUMMYFUNCTION("""COMPUTED_VALUE"""),"")</f>
        <v/>
      </c>
    </row>
    <row r="20488" spans="2:4" ht="13">
      <c r="B20488" s="12" t="str">
        <f ca="1">IFERROR(__xludf.DUMMYFUNCTION("""COMPUTED_VALUE"""),"")</f>
        <v/>
      </c>
      <c r="C20488" s="12" t="str">
        <f ca="1">IFERROR(__xludf.DUMMYFUNCTION("""COMPUTED_VALUE"""),"")</f>
        <v/>
      </c>
      <c r="D20488" s="12" t="str">
        <f ca="1">IFERROR(__xludf.DUMMYFUNCTION("""COMPUTED_VALUE"""),"")</f>
        <v/>
      </c>
    </row>
    <row r="20489" spans="2:4" ht="13">
      <c r="B20489" s="12" t="str">
        <f ca="1">IFERROR(__xludf.DUMMYFUNCTION("""COMPUTED_VALUE"""),"")</f>
        <v/>
      </c>
      <c r="C20489" s="12" t="str">
        <f ca="1">IFERROR(__xludf.DUMMYFUNCTION("""COMPUTED_VALUE"""),"")</f>
        <v/>
      </c>
      <c r="D20489" s="12" t="str">
        <f ca="1">IFERROR(__xludf.DUMMYFUNCTION("""COMPUTED_VALUE"""),"")</f>
        <v/>
      </c>
    </row>
    <row r="20490" spans="2:4" ht="13">
      <c r="B20490" s="12" t="str">
        <f ca="1">IFERROR(__xludf.DUMMYFUNCTION("""COMPUTED_VALUE"""),"")</f>
        <v/>
      </c>
      <c r="C20490" s="12" t="str">
        <f ca="1">IFERROR(__xludf.DUMMYFUNCTION("""COMPUTED_VALUE"""),"")</f>
        <v/>
      </c>
      <c r="D20490" s="12" t="str">
        <f ca="1">IFERROR(__xludf.DUMMYFUNCTION("""COMPUTED_VALUE"""),"")</f>
        <v/>
      </c>
    </row>
    <row r="20491" spans="2:4" ht="13">
      <c r="B20491" s="12" t="str">
        <f ca="1">IFERROR(__xludf.DUMMYFUNCTION("""COMPUTED_VALUE"""),"")</f>
        <v/>
      </c>
      <c r="C20491" s="12" t="str">
        <f ca="1">IFERROR(__xludf.DUMMYFUNCTION("""COMPUTED_VALUE"""),"")</f>
        <v/>
      </c>
      <c r="D20491" s="12" t="str">
        <f ca="1">IFERROR(__xludf.DUMMYFUNCTION("""COMPUTED_VALUE"""),"")</f>
        <v/>
      </c>
    </row>
    <row r="20492" spans="2:4" ht="13">
      <c r="B20492" s="12" t="str">
        <f ca="1">IFERROR(__xludf.DUMMYFUNCTION("""COMPUTED_VALUE"""),"")</f>
        <v/>
      </c>
      <c r="C20492" s="12" t="str">
        <f ca="1">IFERROR(__xludf.DUMMYFUNCTION("""COMPUTED_VALUE"""),"")</f>
        <v/>
      </c>
      <c r="D20492" s="12" t="str">
        <f ca="1">IFERROR(__xludf.DUMMYFUNCTION("""COMPUTED_VALUE"""),"")</f>
        <v/>
      </c>
    </row>
    <row r="20493" spans="2:4" ht="13">
      <c r="B20493" s="12" t="str">
        <f ca="1">IFERROR(__xludf.DUMMYFUNCTION("""COMPUTED_VALUE"""),"")</f>
        <v/>
      </c>
      <c r="C20493" s="12" t="str">
        <f ca="1">IFERROR(__xludf.DUMMYFUNCTION("""COMPUTED_VALUE"""),"")</f>
        <v/>
      </c>
      <c r="D20493" s="12" t="str">
        <f ca="1">IFERROR(__xludf.DUMMYFUNCTION("""COMPUTED_VALUE"""),"")</f>
        <v/>
      </c>
    </row>
    <row r="20494" spans="2:4" ht="13">
      <c r="B20494" s="12" t="str">
        <f ca="1">IFERROR(__xludf.DUMMYFUNCTION("""COMPUTED_VALUE"""),"")</f>
        <v/>
      </c>
      <c r="C20494" s="12" t="str">
        <f ca="1">IFERROR(__xludf.DUMMYFUNCTION("""COMPUTED_VALUE"""),"")</f>
        <v/>
      </c>
      <c r="D20494" s="12" t="str">
        <f ca="1">IFERROR(__xludf.DUMMYFUNCTION("""COMPUTED_VALUE"""),"")</f>
        <v/>
      </c>
    </row>
    <row r="20495" spans="2:4" ht="13">
      <c r="B20495" s="12" t="str">
        <f ca="1">IFERROR(__xludf.DUMMYFUNCTION("""COMPUTED_VALUE"""),"")</f>
        <v/>
      </c>
      <c r="C20495" s="12" t="str">
        <f ca="1">IFERROR(__xludf.DUMMYFUNCTION("""COMPUTED_VALUE"""),"")</f>
        <v/>
      </c>
      <c r="D20495" s="12" t="str">
        <f ca="1">IFERROR(__xludf.DUMMYFUNCTION("""COMPUTED_VALUE"""),"")</f>
        <v/>
      </c>
    </row>
    <row r="20496" spans="2:4" ht="13">
      <c r="B20496" s="12" t="str">
        <f ca="1">IFERROR(__xludf.DUMMYFUNCTION("""COMPUTED_VALUE"""),"")</f>
        <v/>
      </c>
      <c r="C20496" s="12" t="str">
        <f ca="1">IFERROR(__xludf.DUMMYFUNCTION("""COMPUTED_VALUE"""),"")</f>
        <v/>
      </c>
      <c r="D20496" s="12" t="str">
        <f ca="1">IFERROR(__xludf.DUMMYFUNCTION("""COMPUTED_VALUE"""),"")</f>
        <v/>
      </c>
    </row>
    <row r="20497" spans="2:4" ht="13">
      <c r="B20497" s="12" t="str">
        <f ca="1">IFERROR(__xludf.DUMMYFUNCTION("""COMPUTED_VALUE"""),"")</f>
        <v/>
      </c>
      <c r="C20497" s="12" t="str">
        <f ca="1">IFERROR(__xludf.DUMMYFUNCTION("""COMPUTED_VALUE"""),"")</f>
        <v/>
      </c>
      <c r="D20497" s="12" t="str">
        <f ca="1">IFERROR(__xludf.DUMMYFUNCTION("""COMPUTED_VALUE"""),"")</f>
        <v/>
      </c>
    </row>
    <row r="20498" spans="2:4" ht="13">
      <c r="B20498" s="12" t="str">
        <f ca="1">IFERROR(__xludf.DUMMYFUNCTION("""COMPUTED_VALUE"""),"")</f>
        <v/>
      </c>
      <c r="C20498" s="12" t="str">
        <f ca="1">IFERROR(__xludf.DUMMYFUNCTION("""COMPUTED_VALUE"""),"")</f>
        <v/>
      </c>
      <c r="D20498" s="12" t="str">
        <f ca="1">IFERROR(__xludf.DUMMYFUNCTION("""COMPUTED_VALUE"""),"")</f>
        <v/>
      </c>
    </row>
    <row r="20499" spans="2:4" ht="13">
      <c r="B20499" s="12" t="str">
        <f ca="1">IFERROR(__xludf.DUMMYFUNCTION("""COMPUTED_VALUE"""),"")</f>
        <v/>
      </c>
      <c r="C20499" s="12" t="str">
        <f ca="1">IFERROR(__xludf.DUMMYFUNCTION("""COMPUTED_VALUE"""),"")</f>
        <v/>
      </c>
      <c r="D20499" s="12" t="str">
        <f ca="1">IFERROR(__xludf.DUMMYFUNCTION("""COMPUTED_VALUE"""),"")</f>
        <v/>
      </c>
    </row>
    <row r="20500" spans="2:4" ht="13">
      <c r="B20500" s="12" t="str">
        <f ca="1">IFERROR(__xludf.DUMMYFUNCTION("""COMPUTED_VALUE"""),"")</f>
        <v/>
      </c>
      <c r="C20500" s="12" t="str">
        <f ca="1">IFERROR(__xludf.DUMMYFUNCTION("""COMPUTED_VALUE"""),"")</f>
        <v/>
      </c>
      <c r="D20500" s="12" t="str">
        <f ca="1">IFERROR(__xludf.DUMMYFUNCTION("""COMPUTED_VALUE"""),"")</f>
        <v/>
      </c>
    </row>
    <row r="20501" spans="2:4" ht="13">
      <c r="B20501" s="12" t="str">
        <f ca="1">IFERROR(__xludf.DUMMYFUNCTION("""COMPUTED_VALUE"""),"")</f>
        <v/>
      </c>
      <c r="C20501" s="12" t="str">
        <f ca="1">IFERROR(__xludf.DUMMYFUNCTION("""COMPUTED_VALUE"""),"")</f>
        <v/>
      </c>
      <c r="D20501" s="12" t="str">
        <f ca="1">IFERROR(__xludf.DUMMYFUNCTION("""COMPUTED_VALUE"""),"")</f>
        <v/>
      </c>
    </row>
    <row r="20502" spans="2:4" ht="13">
      <c r="B20502" s="12" t="str">
        <f ca="1">IFERROR(__xludf.DUMMYFUNCTION("""COMPUTED_VALUE"""),"")</f>
        <v/>
      </c>
      <c r="C20502" s="12" t="str">
        <f ca="1">IFERROR(__xludf.DUMMYFUNCTION("""COMPUTED_VALUE"""),"")</f>
        <v/>
      </c>
      <c r="D20502" s="12" t="str">
        <f ca="1">IFERROR(__xludf.DUMMYFUNCTION("""COMPUTED_VALUE"""),"")</f>
        <v/>
      </c>
    </row>
    <row r="20503" spans="2:4" ht="13">
      <c r="B20503" s="12" t="str">
        <f ca="1">IFERROR(__xludf.DUMMYFUNCTION("""COMPUTED_VALUE"""),"")</f>
        <v/>
      </c>
      <c r="C20503" s="12" t="str">
        <f ca="1">IFERROR(__xludf.DUMMYFUNCTION("""COMPUTED_VALUE"""),"")</f>
        <v/>
      </c>
      <c r="D20503" s="12" t="str">
        <f ca="1">IFERROR(__xludf.DUMMYFUNCTION("""COMPUTED_VALUE"""),"")</f>
        <v/>
      </c>
    </row>
    <row r="20504" spans="2:4" ht="13">
      <c r="B20504" s="12" t="str">
        <f ca="1">IFERROR(__xludf.DUMMYFUNCTION("""COMPUTED_VALUE"""),"")</f>
        <v/>
      </c>
      <c r="C20504" s="12" t="str">
        <f ca="1">IFERROR(__xludf.DUMMYFUNCTION("""COMPUTED_VALUE"""),"")</f>
        <v/>
      </c>
      <c r="D20504" s="12" t="str">
        <f ca="1">IFERROR(__xludf.DUMMYFUNCTION("""COMPUTED_VALUE"""),"")</f>
        <v/>
      </c>
    </row>
    <row r="20505" spans="2:4" ht="13">
      <c r="B20505" s="12" t="str">
        <f ca="1">IFERROR(__xludf.DUMMYFUNCTION("""COMPUTED_VALUE"""),"")</f>
        <v/>
      </c>
      <c r="C20505" s="12" t="str">
        <f ca="1">IFERROR(__xludf.DUMMYFUNCTION("""COMPUTED_VALUE"""),"")</f>
        <v/>
      </c>
      <c r="D20505" s="12" t="str">
        <f ca="1">IFERROR(__xludf.DUMMYFUNCTION("""COMPUTED_VALUE"""),"")</f>
        <v/>
      </c>
    </row>
    <row r="20506" spans="2:4" ht="13">
      <c r="B20506" s="12" t="str">
        <f ca="1">IFERROR(__xludf.DUMMYFUNCTION("""COMPUTED_VALUE"""),"")</f>
        <v/>
      </c>
      <c r="C20506" s="12" t="str">
        <f ca="1">IFERROR(__xludf.DUMMYFUNCTION("""COMPUTED_VALUE"""),"")</f>
        <v/>
      </c>
      <c r="D20506" s="12" t="str">
        <f ca="1">IFERROR(__xludf.DUMMYFUNCTION("""COMPUTED_VALUE"""),"")</f>
        <v/>
      </c>
    </row>
    <row r="20507" spans="2:4" ht="13">
      <c r="B20507" s="12" t="str">
        <f ca="1">IFERROR(__xludf.DUMMYFUNCTION("""COMPUTED_VALUE"""),"")</f>
        <v/>
      </c>
      <c r="C20507" s="12" t="str">
        <f ca="1">IFERROR(__xludf.DUMMYFUNCTION("""COMPUTED_VALUE"""),"")</f>
        <v/>
      </c>
      <c r="D20507" s="12" t="str">
        <f ca="1">IFERROR(__xludf.DUMMYFUNCTION("""COMPUTED_VALUE"""),"")</f>
        <v/>
      </c>
    </row>
    <row r="20508" spans="2:4" ht="13">
      <c r="B20508" s="12" t="str">
        <f ca="1">IFERROR(__xludf.DUMMYFUNCTION("""COMPUTED_VALUE"""),"")</f>
        <v/>
      </c>
      <c r="C20508" s="12" t="str">
        <f ca="1">IFERROR(__xludf.DUMMYFUNCTION("""COMPUTED_VALUE"""),"")</f>
        <v/>
      </c>
      <c r="D20508" s="12" t="str">
        <f ca="1">IFERROR(__xludf.DUMMYFUNCTION("""COMPUTED_VALUE"""),"")</f>
        <v/>
      </c>
    </row>
    <row r="20509" spans="2:4" ht="13">
      <c r="B20509" s="12" t="str">
        <f ca="1">IFERROR(__xludf.DUMMYFUNCTION("""COMPUTED_VALUE"""),"")</f>
        <v/>
      </c>
      <c r="C20509" s="12" t="str">
        <f ca="1">IFERROR(__xludf.DUMMYFUNCTION("""COMPUTED_VALUE"""),"")</f>
        <v/>
      </c>
      <c r="D20509" s="12" t="str">
        <f ca="1">IFERROR(__xludf.DUMMYFUNCTION("""COMPUTED_VALUE"""),"")</f>
        <v/>
      </c>
    </row>
    <row r="20510" spans="2:4" ht="13">
      <c r="B20510" s="12" t="str">
        <f ca="1">IFERROR(__xludf.DUMMYFUNCTION("""COMPUTED_VALUE"""),"")</f>
        <v/>
      </c>
      <c r="C20510" s="12" t="str">
        <f ca="1">IFERROR(__xludf.DUMMYFUNCTION("""COMPUTED_VALUE"""),"")</f>
        <v/>
      </c>
      <c r="D20510" s="12" t="str">
        <f ca="1">IFERROR(__xludf.DUMMYFUNCTION("""COMPUTED_VALUE"""),"")</f>
        <v/>
      </c>
    </row>
    <row r="20511" spans="2:4" ht="13">
      <c r="B20511" s="12" t="str">
        <f ca="1">IFERROR(__xludf.DUMMYFUNCTION("""COMPUTED_VALUE"""),"")</f>
        <v/>
      </c>
      <c r="C20511" s="12" t="str">
        <f ca="1">IFERROR(__xludf.DUMMYFUNCTION("""COMPUTED_VALUE"""),"")</f>
        <v/>
      </c>
      <c r="D20511" s="12" t="str">
        <f ca="1">IFERROR(__xludf.DUMMYFUNCTION("""COMPUTED_VALUE"""),"")</f>
        <v/>
      </c>
    </row>
    <row r="20512" spans="2:4" ht="13">
      <c r="B20512" s="12" t="str">
        <f ca="1">IFERROR(__xludf.DUMMYFUNCTION("""COMPUTED_VALUE"""),"")</f>
        <v/>
      </c>
      <c r="C20512" s="12" t="str">
        <f ca="1">IFERROR(__xludf.DUMMYFUNCTION("""COMPUTED_VALUE"""),"")</f>
        <v/>
      </c>
      <c r="D20512" s="12" t="str">
        <f ca="1">IFERROR(__xludf.DUMMYFUNCTION("""COMPUTED_VALUE"""),"")</f>
        <v/>
      </c>
    </row>
    <row r="20513" spans="2:4" ht="13">
      <c r="B20513" s="12" t="str">
        <f ca="1">IFERROR(__xludf.DUMMYFUNCTION("""COMPUTED_VALUE"""),"")</f>
        <v/>
      </c>
      <c r="C20513" s="12" t="str">
        <f ca="1">IFERROR(__xludf.DUMMYFUNCTION("""COMPUTED_VALUE"""),"")</f>
        <v/>
      </c>
      <c r="D20513" s="12" t="str">
        <f ca="1">IFERROR(__xludf.DUMMYFUNCTION("""COMPUTED_VALUE"""),"")</f>
        <v/>
      </c>
    </row>
    <row r="20514" spans="2:4" ht="13">
      <c r="B20514" s="12" t="str">
        <f ca="1">IFERROR(__xludf.DUMMYFUNCTION("""COMPUTED_VALUE"""),"")</f>
        <v/>
      </c>
      <c r="C20514" s="12" t="str">
        <f ca="1">IFERROR(__xludf.DUMMYFUNCTION("""COMPUTED_VALUE"""),"")</f>
        <v/>
      </c>
      <c r="D20514" s="12" t="str">
        <f ca="1">IFERROR(__xludf.DUMMYFUNCTION("""COMPUTED_VALUE"""),"")</f>
        <v/>
      </c>
    </row>
    <row r="20515" spans="2:4" ht="13">
      <c r="B20515" s="12" t="str">
        <f ca="1">IFERROR(__xludf.DUMMYFUNCTION("""COMPUTED_VALUE"""),"")</f>
        <v/>
      </c>
      <c r="C20515" s="12" t="str">
        <f ca="1">IFERROR(__xludf.DUMMYFUNCTION("""COMPUTED_VALUE"""),"")</f>
        <v/>
      </c>
      <c r="D20515" s="12" t="str">
        <f ca="1">IFERROR(__xludf.DUMMYFUNCTION("""COMPUTED_VALUE"""),"")</f>
        <v/>
      </c>
    </row>
    <row r="20516" spans="2:4" ht="13">
      <c r="B20516" s="12" t="str">
        <f ca="1">IFERROR(__xludf.DUMMYFUNCTION("""COMPUTED_VALUE"""),"")</f>
        <v/>
      </c>
      <c r="C20516" s="12" t="str">
        <f ca="1">IFERROR(__xludf.DUMMYFUNCTION("""COMPUTED_VALUE"""),"")</f>
        <v/>
      </c>
      <c r="D20516" s="12" t="str">
        <f ca="1">IFERROR(__xludf.DUMMYFUNCTION("""COMPUTED_VALUE"""),"")</f>
        <v/>
      </c>
    </row>
    <row r="20517" spans="2:4" ht="13">
      <c r="B20517" s="12" t="str">
        <f ca="1">IFERROR(__xludf.DUMMYFUNCTION("""COMPUTED_VALUE"""),"")</f>
        <v/>
      </c>
      <c r="C20517" s="12" t="str">
        <f ca="1">IFERROR(__xludf.DUMMYFUNCTION("""COMPUTED_VALUE"""),"")</f>
        <v/>
      </c>
      <c r="D20517" s="12" t="str">
        <f ca="1">IFERROR(__xludf.DUMMYFUNCTION("""COMPUTED_VALUE"""),"")</f>
        <v/>
      </c>
    </row>
    <row r="20518" spans="2:4" ht="13">
      <c r="B20518" s="12" t="str">
        <f ca="1">IFERROR(__xludf.DUMMYFUNCTION("""COMPUTED_VALUE"""),"")</f>
        <v/>
      </c>
      <c r="C20518" s="12" t="str">
        <f ca="1">IFERROR(__xludf.DUMMYFUNCTION("""COMPUTED_VALUE"""),"")</f>
        <v/>
      </c>
      <c r="D20518" s="12" t="str">
        <f ca="1">IFERROR(__xludf.DUMMYFUNCTION("""COMPUTED_VALUE"""),"")</f>
        <v/>
      </c>
    </row>
    <row r="20519" spans="2:4" ht="13">
      <c r="B20519" s="12" t="str">
        <f ca="1">IFERROR(__xludf.DUMMYFUNCTION("""COMPUTED_VALUE"""),"")</f>
        <v/>
      </c>
      <c r="C20519" s="12" t="str">
        <f ca="1">IFERROR(__xludf.DUMMYFUNCTION("""COMPUTED_VALUE"""),"")</f>
        <v/>
      </c>
      <c r="D20519" s="12" t="str">
        <f ca="1">IFERROR(__xludf.DUMMYFUNCTION("""COMPUTED_VALUE"""),"")</f>
        <v/>
      </c>
    </row>
    <row r="20520" spans="2:4" ht="13">
      <c r="B20520" s="12" t="str">
        <f ca="1">IFERROR(__xludf.DUMMYFUNCTION("""COMPUTED_VALUE"""),"")</f>
        <v/>
      </c>
      <c r="C20520" s="12" t="str">
        <f ca="1">IFERROR(__xludf.DUMMYFUNCTION("""COMPUTED_VALUE"""),"")</f>
        <v/>
      </c>
      <c r="D20520" s="12" t="str">
        <f ca="1">IFERROR(__xludf.DUMMYFUNCTION("""COMPUTED_VALUE"""),"")</f>
        <v/>
      </c>
    </row>
    <row r="20521" spans="2:4" ht="13">
      <c r="B20521" s="12" t="str">
        <f ca="1">IFERROR(__xludf.DUMMYFUNCTION("""COMPUTED_VALUE"""),"")</f>
        <v/>
      </c>
      <c r="C20521" s="12" t="str">
        <f ca="1">IFERROR(__xludf.DUMMYFUNCTION("""COMPUTED_VALUE"""),"")</f>
        <v/>
      </c>
      <c r="D20521" s="12" t="str">
        <f ca="1">IFERROR(__xludf.DUMMYFUNCTION("""COMPUTED_VALUE"""),"")</f>
        <v/>
      </c>
    </row>
    <row r="20522" spans="2:4" ht="13">
      <c r="B20522" s="12" t="str">
        <f ca="1">IFERROR(__xludf.DUMMYFUNCTION("""COMPUTED_VALUE"""),"")</f>
        <v/>
      </c>
      <c r="C20522" s="12" t="str">
        <f ca="1">IFERROR(__xludf.DUMMYFUNCTION("""COMPUTED_VALUE"""),"")</f>
        <v/>
      </c>
      <c r="D20522" s="12" t="str">
        <f ca="1">IFERROR(__xludf.DUMMYFUNCTION("""COMPUTED_VALUE"""),"")</f>
        <v/>
      </c>
    </row>
    <row r="20523" spans="2:4" ht="13">
      <c r="B20523" s="12" t="str">
        <f ca="1">IFERROR(__xludf.DUMMYFUNCTION("""COMPUTED_VALUE"""),"")</f>
        <v/>
      </c>
      <c r="C20523" s="12" t="str">
        <f ca="1">IFERROR(__xludf.DUMMYFUNCTION("""COMPUTED_VALUE"""),"")</f>
        <v/>
      </c>
      <c r="D20523" s="12" t="str">
        <f ca="1">IFERROR(__xludf.DUMMYFUNCTION("""COMPUTED_VALUE"""),"")</f>
        <v/>
      </c>
    </row>
    <row r="20524" spans="2:4" ht="13">
      <c r="B20524" s="12" t="str">
        <f ca="1">IFERROR(__xludf.DUMMYFUNCTION("""COMPUTED_VALUE"""),"")</f>
        <v/>
      </c>
      <c r="C20524" s="12" t="str">
        <f ca="1">IFERROR(__xludf.DUMMYFUNCTION("""COMPUTED_VALUE"""),"")</f>
        <v/>
      </c>
      <c r="D20524" s="12" t="str">
        <f ca="1">IFERROR(__xludf.DUMMYFUNCTION("""COMPUTED_VALUE"""),"")</f>
        <v/>
      </c>
    </row>
    <row r="20525" spans="2:4" ht="13">
      <c r="B20525" s="12" t="str">
        <f ca="1">IFERROR(__xludf.DUMMYFUNCTION("""COMPUTED_VALUE"""),"")</f>
        <v/>
      </c>
      <c r="C20525" s="12" t="str">
        <f ca="1">IFERROR(__xludf.DUMMYFUNCTION("""COMPUTED_VALUE"""),"")</f>
        <v/>
      </c>
      <c r="D20525" s="12" t="str">
        <f ca="1">IFERROR(__xludf.DUMMYFUNCTION("""COMPUTED_VALUE"""),"")</f>
        <v/>
      </c>
    </row>
    <row r="20526" spans="2:4" ht="13">
      <c r="B20526" s="12" t="str">
        <f ca="1">IFERROR(__xludf.DUMMYFUNCTION("""COMPUTED_VALUE"""),"")</f>
        <v/>
      </c>
      <c r="C20526" s="12" t="str">
        <f ca="1">IFERROR(__xludf.DUMMYFUNCTION("""COMPUTED_VALUE"""),"")</f>
        <v/>
      </c>
      <c r="D20526" s="12" t="str">
        <f ca="1">IFERROR(__xludf.DUMMYFUNCTION("""COMPUTED_VALUE"""),"")</f>
        <v/>
      </c>
    </row>
    <row r="20527" spans="2:4" ht="13">
      <c r="B20527" s="12" t="str">
        <f ca="1">IFERROR(__xludf.DUMMYFUNCTION("""COMPUTED_VALUE"""),"")</f>
        <v/>
      </c>
      <c r="C20527" s="12" t="str">
        <f ca="1">IFERROR(__xludf.DUMMYFUNCTION("""COMPUTED_VALUE"""),"")</f>
        <v/>
      </c>
      <c r="D20527" s="12" t="str">
        <f ca="1">IFERROR(__xludf.DUMMYFUNCTION("""COMPUTED_VALUE"""),"")</f>
        <v/>
      </c>
    </row>
    <row r="20528" spans="2:4" ht="13">
      <c r="B20528" s="12" t="str">
        <f ca="1">IFERROR(__xludf.DUMMYFUNCTION("""COMPUTED_VALUE"""),"")</f>
        <v/>
      </c>
      <c r="C20528" s="12" t="str">
        <f ca="1">IFERROR(__xludf.DUMMYFUNCTION("""COMPUTED_VALUE"""),"")</f>
        <v/>
      </c>
      <c r="D20528" s="12" t="str">
        <f ca="1">IFERROR(__xludf.DUMMYFUNCTION("""COMPUTED_VALUE"""),"")</f>
        <v/>
      </c>
    </row>
    <row r="20529" spans="2:4" ht="13">
      <c r="B20529" s="12" t="str">
        <f ca="1">IFERROR(__xludf.DUMMYFUNCTION("""COMPUTED_VALUE"""),"")</f>
        <v/>
      </c>
      <c r="C20529" s="12" t="str">
        <f ca="1">IFERROR(__xludf.DUMMYFUNCTION("""COMPUTED_VALUE"""),"")</f>
        <v/>
      </c>
      <c r="D20529" s="12" t="str">
        <f ca="1">IFERROR(__xludf.DUMMYFUNCTION("""COMPUTED_VALUE"""),"")</f>
        <v/>
      </c>
    </row>
    <row r="20530" spans="2:4" ht="13">
      <c r="B20530" s="12" t="str">
        <f ca="1">IFERROR(__xludf.DUMMYFUNCTION("""COMPUTED_VALUE"""),"")</f>
        <v/>
      </c>
      <c r="C20530" s="12" t="str">
        <f ca="1">IFERROR(__xludf.DUMMYFUNCTION("""COMPUTED_VALUE"""),"")</f>
        <v/>
      </c>
      <c r="D20530" s="12" t="str">
        <f ca="1">IFERROR(__xludf.DUMMYFUNCTION("""COMPUTED_VALUE"""),"")</f>
        <v/>
      </c>
    </row>
    <row r="20531" spans="2:4" ht="13">
      <c r="B20531" s="12" t="str">
        <f ca="1">IFERROR(__xludf.DUMMYFUNCTION("""COMPUTED_VALUE"""),"")</f>
        <v/>
      </c>
      <c r="C20531" s="12" t="str">
        <f ca="1">IFERROR(__xludf.DUMMYFUNCTION("""COMPUTED_VALUE"""),"")</f>
        <v/>
      </c>
      <c r="D20531" s="12" t="str">
        <f ca="1">IFERROR(__xludf.DUMMYFUNCTION("""COMPUTED_VALUE"""),"")</f>
        <v/>
      </c>
    </row>
    <row r="20532" spans="2:4" ht="13">
      <c r="B20532" s="12" t="str">
        <f ca="1">IFERROR(__xludf.DUMMYFUNCTION("""COMPUTED_VALUE"""),"")</f>
        <v/>
      </c>
      <c r="C20532" s="12" t="str">
        <f ca="1">IFERROR(__xludf.DUMMYFUNCTION("""COMPUTED_VALUE"""),"")</f>
        <v/>
      </c>
      <c r="D20532" s="12" t="str">
        <f ca="1">IFERROR(__xludf.DUMMYFUNCTION("""COMPUTED_VALUE"""),"")</f>
        <v/>
      </c>
    </row>
    <row r="20533" spans="2:4" ht="13">
      <c r="B20533" s="12" t="str">
        <f ca="1">IFERROR(__xludf.DUMMYFUNCTION("""COMPUTED_VALUE"""),"")</f>
        <v/>
      </c>
      <c r="C20533" s="12" t="str">
        <f ca="1">IFERROR(__xludf.DUMMYFUNCTION("""COMPUTED_VALUE"""),"")</f>
        <v/>
      </c>
      <c r="D20533" s="12" t="str">
        <f ca="1">IFERROR(__xludf.DUMMYFUNCTION("""COMPUTED_VALUE"""),"")</f>
        <v/>
      </c>
    </row>
    <row r="20534" spans="2:4" ht="13">
      <c r="B20534" s="12" t="str">
        <f ca="1">IFERROR(__xludf.DUMMYFUNCTION("""COMPUTED_VALUE"""),"")</f>
        <v/>
      </c>
      <c r="C20534" s="12" t="str">
        <f ca="1">IFERROR(__xludf.DUMMYFUNCTION("""COMPUTED_VALUE"""),"")</f>
        <v/>
      </c>
      <c r="D20534" s="12" t="str">
        <f ca="1">IFERROR(__xludf.DUMMYFUNCTION("""COMPUTED_VALUE"""),"")</f>
        <v/>
      </c>
    </row>
    <row r="20535" spans="2:4" ht="13">
      <c r="B20535" s="12" t="str">
        <f ca="1">IFERROR(__xludf.DUMMYFUNCTION("""COMPUTED_VALUE"""),"")</f>
        <v/>
      </c>
      <c r="C20535" s="12" t="str">
        <f ca="1">IFERROR(__xludf.DUMMYFUNCTION("""COMPUTED_VALUE"""),"")</f>
        <v/>
      </c>
      <c r="D20535" s="12" t="str">
        <f ca="1">IFERROR(__xludf.DUMMYFUNCTION("""COMPUTED_VALUE"""),"")</f>
        <v/>
      </c>
    </row>
    <row r="20536" spans="2:4" ht="13">
      <c r="B20536" s="12" t="str">
        <f ca="1">IFERROR(__xludf.DUMMYFUNCTION("""COMPUTED_VALUE"""),"")</f>
        <v/>
      </c>
      <c r="C20536" s="12" t="str">
        <f ca="1">IFERROR(__xludf.DUMMYFUNCTION("""COMPUTED_VALUE"""),"")</f>
        <v/>
      </c>
      <c r="D20536" s="12" t="str">
        <f ca="1">IFERROR(__xludf.DUMMYFUNCTION("""COMPUTED_VALUE"""),"")</f>
        <v/>
      </c>
    </row>
    <row r="20537" spans="2:4" ht="13">
      <c r="B20537" s="12" t="str">
        <f ca="1">IFERROR(__xludf.DUMMYFUNCTION("""COMPUTED_VALUE"""),"")</f>
        <v/>
      </c>
      <c r="C20537" s="12" t="str">
        <f ca="1">IFERROR(__xludf.DUMMYFUNCTION("""COMPUTED_VALUE"""),"")</f>
        <v/>
      </c>
      <c r="D20537" s="12" t="str">
        <f ca="1">IFERROR(__xludf.DUMMYFUNCTION("""COMPUTED_VALUE"""),"")</f>
        <v/>
      </c>
    </row>
    <row r="20538" spans="2:4" ht="13">
      <c r="B20538" s="12" t="str">
        <f ca="1">IFERROR(__xludf.DUMMYFUNCTION("""COMPUTED_VALUE"""),"")</f>
        <v/>
      </c>
      <c r="C20538" s="12" t="str">
        <f ca="1">IFERROR(__xludf.DUMMYFUNCTION("""COMPUTED_VALUE"""),"")</f>
        <v/>
      </c>
      <c r="D20538" s="12" t="str">
        <f ca="1">IFERROR(__xludf.DUMMYFUNCTION("""COMPUTED_VALUE"""),"")</f>
        <v/>
      </c>
    </row>
    <row r="20539" spans="2:4" ht="13">
      <c r="B20539" s="12" t="str">
        <f ca="1">IFERROR(__xludf.DUMMYFUNCTION("""COMPUTED_VALUE"""),"")</f>
        <v/>
      </c>
      <c r="C20539" s="12" t="str">
        <f ca="1">IFERROR(__xludf.DUMMYFUNCTION("""COMPUTED_VALUE"""),"")</f>
        <v/>
      </c>
      <c r="D20539" s="12" t="str">
        <f ca="1">IFERROR(__xludf.DUMMYFUNCTION("""COMPUTED_VALUE"""),"")</f>
        <v/>
      </c>
    </row>
    <row r="20540" spans="2:4" ht="13">
      <c r="B20540" s="12" t="str">
        <f ca="1">IFERROR(__xludf.DUMMYFUNCTION("""COMPUTED_VALUE"""),"")</f>
        <v/>
      </c>
      <c r="C20540" s="12" t="str">
        <f ca="1">IFERROR(__xludf.DUMMYFUNCTION("""COMPUTED_VALUE"""),"")</f>
        <v/>
      </c>
      <c r="D20540" s="12" t="str">
        <f ca="1">IFERROR(__xludf.DUMMYFUNCTION("""COMPUTED_VALUE"""),"")</f>
        <v/>
      </c>
    </row>
    <row r="20541" spans="2:4" ht="13">
      <c r="B20541" s="12" t="str">
        <f ca="1">IFERROR(__xludf.DUMMYFUNCTION("""COMPUTED_VALUE"""),"")</f>
        <v/>
      </c>
      <c r="C20541" s="12" t="str">
        <f ca="1">IFERROR(__xludf.DUMMYFUNCTION("""COMPUTED_VALUE"""),"")</f>
        <v/>
      </c>
      <c r="D20541" s="12" t="str">
        <f ca="1">IFERROR(__xludf.DUMMYFUNCTION("""COMPUTED_VALUE"""),"")</f>
        <v/>
      </c>
    </row>
    <row r="20542" spans="2:4" ht="13">
      <c r="B20542" s="12" t="str">
        <f ca="1">IFERROR(__xludf.DUMMYFUNCTION("""COMPUTED_VALUE"""),"")</f>
        <v/>
      </c>
      <c r="C20542" s="12" t="str">
        <f ca="1">IFERROR(__xludf.DUMMYFUNCTION("""COMPUTED_VALUE"""),"")</f>
        <v/>
      </c>
      <c r="D20542" s="12" t="str">
        <f ca="1">IFERROR(__xludf.DUMMYFUNCTION("""COMPUTED_VALUE"""),"")</f>
        <v/>
      </c>
    </row>
    <row r="20543" spans="2:4" ht="13">
      <c r="B20543" s="12" t="str">
        <f ca="1">IFERROR(__xludf.DUMMYFUNCTION("""COMPUTED_VALUE"""),"")</f>
        <v/>
      </c>
      <c r="C20543" s="12" t="str">
        <f ca="1">IFERROR(__xludf.DUMMYFUNCTION("""COMPUTED_VALUE"""),"")</f>
        <v/>
      </c>
      <c r="D20543" s="12" t="str">
        <f ca="1">IFERROR(__xludf.DUMMYFUNCTION("""COMPUTED_VALUE"""),"")</f>
        <v/>
      </c>
    </row>
    <row r="20544" spans="2:4" ht="13">
      <c r="B20544" s="12" t="str">
        <f ca="1">IFERROR(__xludf.DUMMYFUNCTION("""COMPUTED_VALUE"""),"")</f>
        <v/>
      </c>
      <c r="C20544" s="12" t="str">
        <f ca="1">IFERROR(__xludf.DUMMYFUNCTION("""COMPUTED_VALUE"""),"")</f>
        <v/>
      </c>
      <c r="D20544" s="12" t="str">
        <f ca="1">IFERROR(__xludf.DUMMYFUNCTION("""COMPUTED_VALUE"""),"")</f>
        <v/>
      </c>
    </row>
    <row r="20545" spans="2:4" ht="13">
      <c r="B20545" s="12" t="str">
        <f ca="1">IFERROR(__xludf.DUMMYFUNCTION("""COMPUTED_VALUE"""),"")</f>
        <v/>
      </c>
      <c r="C20545" s="12" t="str">
        <f ca="1">IFERROR(__xludf.DUMMYFUNCTION("""COMPUTED_VALUE"""),"")</f>
        <v/>
      </c>
      <c r="D20545" s="12" t="str">
        <f ca="1">IFERROR(__xludf.DUMMYFUNCTION("""COMPUTED_VALUE"""),"")</f>
        <v/>
      </c>
    </row>
    <row r="20546" spans="2:4" ht="13">
      <c r="B20546" s="12" t="str">
        <f ca="1">IFERROR(__xludf.DUMMYFUNCTION("""COMPUTED_VALUE"""),"")</f>
        <v/>
      </c>
      <c r="C20546" s="12" t="str">
        <f ca="1">IFERROR(__xludf.DUMMYFUNCTION("""COMPUTED_VALUE"""),"")</f>
        <v/>
      </c>
      <c r="D20546" s="12" t="str">
        <f ca="1">IFERROR(__xludf.DUMMYFUNCTION("""COMPUTED_VALUE"""),"")</f>
        <v/>
      </c>
    </row>
    <row r="20547" spans="2:4" ht="13">
      <c r="B20547" s="12" t="str">
        <f ca="1">IFERROR(__xludf.DUMMYFUNCTION("""COMPUTED_VALUE"""),"")</f>
        <v/>
      </c>
      <c r="C20547" s="12" t="str">
        <f ca="1">IFERROR(__xludf.DUMMYFUNCTION("""COMPUTED_VALUE"""),"")</f>
        <v/>
      </c>
      <c r="D20547" s="12" t="str">
        <f ca="1">IFERROR(__xludf.DUMMYFUNCTION("""COMPUTED_VALUE"""),"")</f>
        <v/>
      </c>
    </row>
    <row r="20548" spans="2:4" ht="13">
      <c r="B20548" s="12" t="str">
        <f ca="1">IFERROR(__xludf.DUMMYFUNCTION("""COMPUTED_VALUE"""),"")</f>
        <v/>
      </c>
      <c r="C20548" s="12" t="str">
        <f ca="1">IFERROR(__xludf.DUMMYFUNCTION("""COMPUTED_VALUE"""),"")</f>
        <v/>
      </c>
      <c r="D20548" s="12" t="str">
        <f ca="1">IFERROR(__xludf.DUMMYFUNCTION("""COMPUTED_VALUE"""),"")</f>
        <v/>
      </c>
    </row>
    <row r="20549" spans="2:4" ht="13">
      <c r="B20549" s="12" t="str">
        <f ca="1">IFERROR(__xludf.DUMMYFUNCTION("""COMPUTED_VALUE"""),"")</f>
        <v/>
      </c>
      <c r="C20549" s="12" t="str">
        <f ca="1">IFERROR(__xludf.DUMMYFUNCTION("""COMPUTED_VALUE"""),"")</f>
        <v/>
      </c>
      <c r="D20549" s="12" t="str">
        <f ca="1">IFERROR(__xludf.DUMMYFUNCTION("""COMPUTED_VALUE"""),"")</f>
        <v/>
      </c>
    </row>
    <row r="20550" spans="2:4" ht="13">
      <c r="B20550" s="12" t="str">
        <f ca="1">IFERROR(__xludf.DUMMYFUNCTION("""COMPUTED_VALUE"""),"")</f>
        <v/>
      </c>
      <c r="C20550" s="12" t="str">
        <f ca="1">IFERROR(__xludf.DUMMYFUNCTION("""COMPUTED_VALUE"""),"")</f>
        <v/>
      </c>
      <c r="D20550" s="12" t="str">
        <f ca="1">IFERROR(__xludf.DUMMYFUNCTION("""COMPUTED_VALUE"""),"")</f>
        <v/>
      </c>
    </row>
    <row r="20551" spans="2:4" ht="13">
      <c r="B20551" s="12" t="str">
        <f ca="1">IFERROR(__xludf.DUMMYFUNCTION("""COMPUTED_VALUE"""),"")</f>
        <v/>
      </c>
      <c r="C20551" s="12" t="str">
        <f ca="1">IFERROR(__xludf.DUMMYFUNCTION("""COMPUTED_VALUE"""),"")</f>
        <v/>
      </c>
      <c r="D20551" s="12" t="str">
        <f ca="1">IFERROR(__xludf.DUMMYFUNCTION("""COMPUTED_VALUE"""),"")</f>
        <v/>
      </c>
    </row>
    <row r="20552" spans="2:4" ht="13">
      <c r="B20552" s="12" t="str">
        <f ca="1">IFERROR(__xludf.DUMMYFUNCTION("""COMPUTED_VALUE"""),"")</f>
        <v/>
      </c>
      <c r="C20552" s="12" t="str">
        <f ca="1">IFERROR(__xludf.DUMMYFUNCTION("""COMPUTED_VALUE"""),"")</f>
        <v/>
      </c>
      <c r="D20552" s="12" t="str">
        <f ca="1">IFERROR(__xludf.DUMMYFUNCTION("""COMPUTED_VALUE"""),"")</f>
        <v/>
      </c>
    </row>
    <row r="20553" spans="2:4" ht="13">
      <c r="B20553" s="12" t="str">
        <f ca="1">IFERROR(__xludf.DUMMYFUNCTION("""COMPUTED_VALUE"""),"")</f>
        <v/>
      </c>
      <c r="C20553" s="12" t="str">
        <f ca="1">IFERROR(__xludf.DUMMYFUNCTION("""COMPUTED_VALUE"""),"")</f>
        <v/>
      </c>
      <c r="D20553" s="12" t="str">
        <f ca="1">IFERROR(__xludf.DUMMYFUNCTION("""COMPUTED_VALUE"""),"")</f>
        <v/>
      </c>
    </row>
    <row r="20554" spans="2:4" ht="13">
      <c r="B20554" s="12" t="str">
        <f ca="1">IFERROR(__xludf.DUMMYFUNCTION("""COMPUTED_VALUE"""),"")</f>
        <v/>
      </c>
      <c r="C20554" s="12" t="str">
        <f ca="1">IFERROR(__xludf.DUMMYFUNCTION("""COMPUTED_VALUE"""),"")</f>
        <v/>
      </c>
      <c r="D20554" s="12" t="str">
        <f ca="1">IFERROR(__xludf.DUMMYFUNCTION("""COMPUTED_VALUE"""),"")</f>
        <v/>
      </c>
    </row>
    <row r="20555" spans="2:4" ht="13">
      <c r="B20555" s="12" t="str">
        <f ca="1">IFERROR(__xludf.DUMMYFUNCTION("""COMPUTED_VALUE"""),"")</f>
        <v/>
      </c>
      <c r="C20555" s="12" t="str">
        <f ca="1">IFERROR(__xludf.DUMMYFUNCTION("""COMPUTED_VALUE"""),"")</f>
        <v/>
      </c>
      <c r="D20555" s="12" t="str">
        <f ca="1">IFERROR(__xludf.DUMMYFUNCTION("""COMPUTED_VALUE"""),"")</f>
        <v/>
      </c>
    </row>
    <row r="20556" spans="2:4" ht="13">
      <c r="B20556" s="12" t="str">
        <f ca="1">IFERROR(__xludf.DUMMYFUNCTION("""COMPUTED_VALUE"""),"")</f>
        <v/>
      </c>
      <c r="C20556" s="12" t="str">
        <f ca="1">IFERROR(__xludf.DUMMYFUNCTION("""COMPUTED_VALUE"""),"")</f>
        <v/>
      </c>
      <c r="D20556" s="12" t="str">
        <f ca="1">IFERROR(__xludf.DUMMYFUNCTION("""COMPUTED_VALUE"""),"")</f>
        <v/>
      </c>
    </row>
    <row r="20557" spans="2:4" ht="13">
      <c r="B20557" s="12" t="str">
        <f ca="1">IFERROR(__xludf.DUMMYFUNCTION("""COMPUTED_VALUE"""),"")</f>
        <v/>
      </c>
      <c r="C20557" s="12" t="str">
        <f ca="1">IFERROR(__xludf.DUMMYFUNCTION("""COMPUTED_VALUE"""),"")</f>
        <v/>
      </c>
      <c r="D20557" s="12" t="str">
        <f ca="1">IFERROR(__xludf.DUMMYFUNCTION("""COMPUTED_VALUE"""),"")</f>
        <v/>
      </c>
    </row>
    <row r="20558" spans="2:4" ht="13">
      <c r="B20558" s="12" t="str">
        <f ca="1">IFERROR(__xludf.DUMMYFUNCTION("""COMPUTED_VALUE"""),"")</f>
        <v/>
      </c>
      <c r="C20558" s="12" t="str">
        <f ca="1">IFERROR(__xludf.DUMMYFUNCTION("""COMPUTED_VALUE"""),"")</f>
        <v/>
      </c>
      <c r="D20558" s="12" t="str">
        <f ca="1">IFERROR(__xludf.DUMMYFUNCTION("""COMPUTED_VALUE"""),"")</f>
        <v/>
      </c>
    </row>
    <row r="20559" spans="2:4" ht="13">
      <c r="B20559" s="12" t="str">
        <f ca="1">IFERROR(__xludf.DUMMYFUNCTION("""COMPUTED_VALUE"""),"")</f>
        <v/>
      </c>
      <c r="C20559" s="12" t="str">
        <f ca="1">IFERROR(__xludf.DUMMYFUNCTION("""COMPUTED_VALUE"""),"")</f>
        <v/>
      </c>
      <c r="D20559" s="12" t="str">
        <f ca="1">IFERROR(__xludf.DUMMYFUNCTION("""COMPUTED_VALUE"""),"")</f>
        <v/>
      </c>
    </row>
    <row r="20560" spans="2:4" ht="13">
      <c r="B20560" s="12" t="str">
        <f ca="1">IFERROR(__xludf.DUMMYFUNCTION("""COMPUTED_VALUE"""),"")</f>
        <v/>
      </c>
      <c r="C20560" s="12" t="str">
        <f ca="1">IFERROR(__xludf.DUMMYFUNCTION("""COMPUTED_VALUE"""),"")</f>
        <v/>
      </c>
      <c r="D20560" s="12" t="str">
        <f ca="1">IFERROR(__xludf.DUMMYFUNCTION("""COMPUTED_VALUE"""),"")</f>
        <v/>
      </c>
    </row>
    <row r="20561" spans="2:4" ht="13">
      <c r="B20561" s="12" t="str">
        <f ca="1">IFERROR(__xludf.DUMMYFUNCTION("""COMPUTED_VALUE"""),"")</f>
        <v/>
      </c>
      <c r="C20561" s="12" t="str">
        <f ca="1">IFERROR(__xludf.DUMMYFUNCTION("""COMPUTED_VALUE"""),"")</f>
        <v/>
      </c>
      <c r="D20561" s="12" t="str">
        <f ca="1">IFERROR(__xludf.DUMMYFUNCTION("""COMPUTED_VALUE"""),"")</f>
        <v/>
      </c>
    </row>
    <row r="20562" spans="2:4" ht="13">
      <c r="B20562" s="12" t="str">
        <f ca="1">IFERROR(__xludf.DUMMYFUNCTION("""COMPUTED_VALUE"""),"")</f>
        <v/>
      </c>
      <c r="C20562" s="12" t="str">
        <f ca="1">IFERROR(__xludf.DUMMYFUNCTION("""COMPUTED_VALUE"""),"")</f>
        <v/>
      </c>
      <c r="D20562" s="12" t="str">
        <f ca="1">IFERROR(__xludf.DUMMYFUNCTION("""COMPUTED_VALUE"""),"")</f>
        <v/>
      </c>
    </row>
    <row r="20563" spans="2:4" ht="13">
      <c r="B20563" s="12" t="str">
        <f ca="1">IFERROR(__xludf.DUMMYFUNCTION("""COMPUTED_VALUE"""),"")</f>
        <v/>
      </c>
      <c r="C20563" s="12" t="str">
        <f ca="1">IFERROR(__xludf.DUMMYFUNCTION("""COMPUTED_VALUE"""),"")</f>
        <v/>
      </c>
      <c r="D20563" s="12" t="str">
        <f ca="1">IFERROR(__xludf.DUMMYFUNCTION("""COMPUTED_VALUE"""),"")</f>
        <v/>
      </c>
    </row>
    <row r="20564" spans="2:4" ht="13">
      <c r="B20564" s="12" t="str">
        <f ca="1">IFERROR(__xludf.DUMMYFUNCTION("""COMPUTED_VALUE"""),"")</f>
        <v/>
      </c>
      <c r="C20564" s="12" t="str">
        <f ca="1">IFERROR(__xludf.DUMMYFUNCTION("""COMPUTED_VALUE"""),"")</f>
        <v/>
      </c>
      <c r="D20564" s="12" t="str">
        <f ca="1">IFERROR(__xludf.DUMMYFUNCTION("""COMPUTED_VALUE"""),"")</f>
        <v/>
      </c>
    </row>
    <row r="20565" spans="2:4" ht="13">
      <c r="B20565" s="12" t="str">
        <f ca="1">IFERROR(__xludf.DUMMYFUNCTION("""COMPUTED_VALUE"""),"")</f>
        <v/>
      </c>
      <c r="C20565" s="12" t="str">
        <f ca="1">IFERROR(__xludf.DUMMYFUNCTION("""COMPUTED_VALUE"""),"")</f>
        <v/>
      </c>
      <c r="D20565" s="12" t="str">
        <f ca="1">IFERROR(__xludf.DUMMYFUNCTION("""COMPUTED_VALUE"""),"")</f>
        <v/>
      </c>
    </row>
    <row r="20566" spans="2:4" ht="13">
      <c r="B20566" s="12" t="str">
        <f ca="1">IFERROR(__xludf.DUMMYFUNCTION("""COMPUTED_VALUE"""),"")</f>
        <v/>
      </c>
      <c r="C20566" s="12" t="str">
        <f ca="1">IFERROR(__xludf.DUMMYFUNCTION("""COMPUTED_VALUE"""),"")</f>
        <v/>
      </c>
      <c r="D20566" s="12" t="str">
        <f ca="1">IFERROR(__xludf.DUMMYFUNCTION("""COMPUTED_VALUE"""),"")</f>
        <v/>
      </c>
    </row>
    <row r="20567" spans="2:4" ht="13">
      <c r="B20567" s="12" t="str">
        <f ca="1">IFERROR(__xludf.DUMMYFUNCTION("""COMPUTED_VALUE"""),"")</f>
        <v/>
      </c>
      <c r="C20567" s="12" t="str">
        <f ca="1">IFERROR(__xludf.DUMMYFUNCTION("""COMPUTED_VALUE"""),"")</f>
        <v/>
      </c>
      <c r="D20567" s="12" t="str">
        <f ca="1">IFERROR(__xludf.DUMMYFUNCTION("""COMPUTED_VALUE"""),"")</f>
        <v/>
      </c>
    </row>
    <row r="20568" spans="2:4" ht="13">
      <c r="B20568" s="12" t="str">
        <f ca="1">IFERROR(__xludf.DUMMYFUNCTION("""COMPUTED_VALUE"""),"")</f>
        <v/>
      </c>
      <c r="C20568" s="12" t="str">
        <f ca="1">IFERROR(__xludf.DUMMYFUNCTION("""COMPUTED_VALUE"""),"")</f>
        <v/>
      </c>
      <c r="D20568" s="12" t="str">
        <f ca="1">IFERROR(__xludf.DUMMYFUNCTION("""COMPUTED_VALUE"""),"")</f>
        <v/>
      </c>
    </row>
    <row r="20569" spans="2:4" ht="13">
      <c r="B20569" s="12" t="str">
        <f ca="1">IFERROR(__xludf.DUMMYFUNCTION("""COMPUTED_VALUE"""),"")</f>
        <v/>
      </c>
      <c r="C20569" s="12" t="str">
        <f ca="1">IFERROR(__xludf.DUMMYFUNCTION("""COMPUTED_VALUE"""),"")</f>
        <v/>
      </c>
      <c r="D20569" s="12" t="str">
        <f ca="1">IFERROR(__xludf.DUMMYFUNCTION("""COMPUTED_VALUE"""),"")</f>
        <v/>
      </c>
    </row>
    <row r="20570" spans="2:4" ht="13">
      <c r="B20570" s="12" t="str">
        <f ca="1">IFERROR(__xludf.DUMMYFUNCTION("""COMPUTED_VALUE"""),"")</f>
        <v/>
      </c>
      <c r="C20570" s="12" t="str">
        <f ca="1">IFERROR(__xludf.DUMMYFUNCTION("""COMPUTED_VALUE"""),"")</f>
        <v/>
      </c>
      <c r="D20570" s="12" t="str">
        <f ca="1">IFERROR(__xludf.DUMMYFUNCTION("""COMPUTED_VALUE"""),"")</f>
        <v/>
      </c>
    </row>
    <row r="20571" spans="2:4" ht="13">
      <c r="B20571" s="12" t="str">
        <f ca="1">IFERROR(__xludf.DUMMYFUNCTION("""COMPUTED_VALUE"""),"")</f>
        <v/>
      </c>
      <c r="C20571" s="12" t="str">
        <f ca="1">IFERROR(__xludf.DUMMYFUNCTION("""COMPUTED_VALUE"""),"")</f>
        <v/>
      </c>
      <c r="D20571" s="12" t="str">
        <f ca="1">IFERROR(__xludf.DUMMYFUNCTION("""COMPUTED_VALUE"""),"")</f>
        <v/>
      </c>
    </row>
    <row r="20572" spans="2:4" ht="13">
      <c r="B20572" s="12" t="str">
        <f ca="1">IFERROR(__xludf.DUMMYFUNCTION("""COMPUTED_VALUE"""),"")</f>
        <v/>
      </c>
      <c r="C20572" s="12" t="str">
        <f ca="1">IFERROR(__xludf.DUMMYFUNCTION("""COMPUTED_VALUE"""),"")</f>
        <v/>
      </c>
      <c r="D20572" s="12" t="str">
        <f ca="1">IFERROR(__xludf.DUMMYFUNCTION("""COMPUTED_VALUE"""),"")</f>
        <v/>
      </c>
    </row>
    <row r="20573" spans="2:4" ht="13">
      <c r="B20573" s="12" t="str">
        <f ca="1">IFERROR(__xludf.DUMMYFUNCTION("""COMPUTED_VALUE"""),"")</f>
        <v/>
      </c>
      <c r="C20573" s="12" t="str">
        <f ca="1">IFERROR(__xludf.DUMMYFUNCTION("""COMPUTED_VALUE"""),"")</f>
        <v/>
      </c>
      <c r="D20573" s="12" t="str">
        <f ca="1">IFERROR(__xludf.DUMMYFUNCTION("""COMPUTED_VALUE"""),"")</f>
        <v/>
      </c>
    </row>
    <row r="20574" spans="2:4" ht="13">
      <c r="B20574" s="12" t="str">
        <f ca="1">IFERROR(__xludf.DUMMYFUNCTION("""COMPUTED_VALUE"""),"")</f>
        <v/>
      </c>
      <c r="C20574" s="12" t="str">
        <f ca="1">IFERROR(__xludf.DUMMYFUNCTION("""COMPUTED_VALUE"""),"")</f>
        <v/>
      </c>
      <c r="D20574" s="12" t="str">
        <f ca="1">IFERROR(__xludf.DUMMYFUNCTION("""COMPUTED_VALUE"""),"")</f>
        <v/>
      </c>
    </row>
    <row r="20575" spans="2:4" ht="13">
      <c r="B20575" s="12" t="str">
        <f ca="1">IFERROR(__xludf.DUMMYFUNCTION("""COMPUTED_VALUE"""),"")</f>
        <v/>
      </c>
      <c r="C20575" s="12" t="str">
        <f ca="1">IFERROR(__xludf.DUMMYFUNCTION("""COMPUTED_VALUE"""),"")</f>
        <v/>
      </c>
      <c r="D20575" s="12" t="str">
        <f ca="1">IFERROR(__xludf.DUMMYFUNCTION("""COMPUTED_VALUE"""),"")</f>
        <v/>
      </c>
    </row>
    <row r="20576" spans="2:4" ht="13">
      <c r="B20576" s="12" t="str">
        <f ca="1">IFERROR(__xludf.DUMMYFUNCTION("""COMPUTED_VALUE"""),"")</f>
        <v/>
      </c>
      <c r="C20576" s="12" t="str">
        <f ca="1">IFERROR(__xludf.DUMMYFUNCTION("""COMPUTED_VALUE"""),"")</f>
        <v/>
      </c>
      <c r="D20576" s="12" t="str">
        <f ca="1">IFERROR(__xludf.DUMMYFUNCTION("""COMPUTED_VALUE"""),"")</f>
        <v/>
      </c>
    </row>
    <row r="20577" spans="2:4" ht="13">
      <c r="B20577" s="12" t="str">
        <f ca="1">IFERROR(__xludf.DUMMYFUNCTION("""COMPUTED_VALUE"""),"")</f>
        <v/>
      </c>
      <c r="C20577" s="12" t="str">
        <f ca="1">IFERROR(__xludf.DUMMYFUNCTION("""COMPUTED_VALUE"""),"")</f>
        <v/>
      </c>
      <c r="D20577" s="12" t="str">
        <f ca="1">IFERROR(__xludf.DUMMYFUNCTION("""COMPUTED_VALUE"""),"")</f>
        <v/>
      </c>
    </row>
    <row r="20578" spans="2:4" ht="13">
      <c r="B20578" s="12" t="str">
        <f ca="1">IFERROR(__xludf.DUMMYFUNCTION("""COMPUTED_VALUE"""),"")</f>
        <v/>
      </c>
      <c r="C20578" s="12" t="str">
        <f ca="1">IFERROR(__xludf.DUMMYFUNCTION("""COMPUTED_VALUE"""),"")</f>
        <v/>
      </c>
      <c r="D20578" s="12" t="str">
        <f ca="1">IFERROR(__xludf.DUMMYFUNCTION("""COMPUTED_VALUE"""),"")</f>
        <v/>
      </c>
    </row>
    <row r="20579" spans="2:4" ht="13">
      <c r="B20579" s="12" t="str">
        <f ca="1">IFERROR(__xludf.DUMMYFUNCTION("""COMPUTED_VALUE"""),"")</f>
        <v/>
      </c>
      <c r="C20579" s="12" t="str">
        <f ca="1">IFERROR(__xludf.DUMMYFUNCTION("""COMPUTED_VALUE"""),"")</f>
        <v/>
      </c>
      <c r="D20579" s="12" t="str">
        <f ca="1">IFERROR(__xludf.DUMMYFUNCTION("""COMPUTED_VALUE"""),"")</f>
        <v/>
      </c>
    </row>
    <row r="20580" spans="2:4" ht="13">
      <c r="B20580" s="12" t="str">
        <f ca="1">IFERROR(__xludf.DUMMYFUNCTION("""COMPUTED_VALUE"""),"")</f>
        <v/>
      </c>
      <c r="C20580" s="12" t="str">
        <f ca="1">IFERROR(__xludf.DUMMYFUNCTION("""COMPUTED_VALUE"""),"")</f>
        <v/>
      </c>
      <c r="D20580" s="12" t="str">
        <f ca="1">IFERROR(__xludf.DUMMYFUNCTION("""COMPUTED_VALUE"""),"")</f>
        <v/>
      </c>
    </row>
    <row r="20581" spans="2:4" ht="13">
      <c r="B20581" s="12" t="str">
        <f ca="1">IFERROR(__xludf.DUMMYFUNCTION("""COMPUTED_VALUE"""),"")</f>
        <v/>
      </c>
      <c r="C20581" s="12" t="str">
        <f ca="1">IFERROR(__xludf.DUMMYFUNCTION("""COMPUTED_VALUE"""),"")</f>
        <v/>
      </c>
      <c r="D20581" s="12" t="str">
        <f ca="1">IFERROR(__xludf.DUMMYFUNCTION("""COMPUTED_VALUE"""),"")</f>
        <v/>
      </c>
    </row>
    <row r="20582" spans="2:4" ht="13">
      <c r="B20582" s="12" t="str">
        <f ca="1">IFERROR(__xludf.DUMMYFUNCTION("""COMPUTED_VALUE"""),"")</f>
        <v/>
      </c>
      <c r="C20582" s="12" t="str">
        <f ca="1">IFERROR(__xludf.DUMMYFUNCTION("""COMPUTED_VALUE"""),"")</f>
        <v/>
      </c>
      <c r="D20582" s="12" t="str">
        <f ca="1">IFERROR(__xludf.DUMMYFUNCTION("""COMPUTED_VALUE"""),"")</f>
        <v/>
      </c>
    </row>
    <row r="20583" spans="2:4" ht="13">
      <c r="B20583" s="12" t="str">
        <f ca="1">IFERROR(__xludf.DUMMYFUNCTION("""COMPUTED_VALUE"""),"")</f>
        <v/>
      </c>
      <c r="C20583" s="12" t="str">
        <f ca="1">IFERROR(__xludf.DUMMYFUNCTION("""COMPUTED_VALUE"""),"")</f>
        <v/>
      </c>
      <c r="D20583" s="12" t="str">
        <f ca="1">IFERROR(__xludf.DUMMYFUNCTION("""COMPUTED_VALUE"""),"")</f>
        <v/>
      </c>
    </row>
    <row r="20584" spans="2:4" ht="13">
      <c r="B20584" s="12" t="str">
        <f ca="1">IFERROR(__xludf.DUMMYFUNCTION("""COMPUTED_VALUE"""),"")</f>
        <v/>
      </c>
      <c r="C20584" s="12" t="str">
        <f ca="1">IFERROR(__xludf.DUMMYFUNCTION("""COMPUTED_VALUE"""),"")</f>
        <v/>
      </c>
      <c r="D20584" s="12" t="str">
        <f ca="1">IFERROR(__xludf.DUMMYFUNCTION("""COMPUTED_VALUE"""),"")</f>
        <v/>
      </c>
    </row>
    <row r="20585" spans="2:4" ht="13">
      <c r="B20585" s="12" t="str">
        <f ca="1">IFERROR(__xludf.DUMMYFUNCTION("""COMPUTED_VALUE"""),"")</f>
        <v/>
      </c>
      <c r="C20585" s="12" t="str">
        <f ca="1">IFERROR(__xludf.DUMMYFUNCTION("""COMPUTED_VALUE"""),"")</f>
        <v/>
      </c>
      <c r="D20585" s="12" t="str">
        <f ca="1">IFERROR(__xludf.DUMMYFUNCTION("""COMPUTED_VALUE"""),"")</f>
        <v/>
      </c>
    </row>
    <row r="20586" spans="2:4" ht="13">
      <c r="B20586" s="12" t="str">
        <f ca="1">IFERROR(__xludf.DUMMYFUNCTION("""COMPUTED_VALUE"""),"")</f>
        <v/>
      </c>
      <c r="C20586" s="12" t="str">
        <f ca="1">IFERROR(__xludf.DUMMYFUNCTION("""COMPUTED_VALUE"""),"")</f>
        <v/>
      </c>
      <c r="D20586" s="12" t="str">
        <f ca="1">IFERROR(__xludf.DUMMYFUNCTION("""COMPUTED_VALUE"""),"")</f>
        <v/>
      </c>
    </row>
    <row r="20587" spans="2:4" ht="13">
      <c r="B20587" s="12" t="str">
        <f ca="1">IFERROR(__xludf.DUMMYFUNCTION("""COMPUTED_VALUE"""),"")</f>
        <v/>
      </c>
      <c r="C20587" s="12" t="str">
        <f ca="1">IFERROR(__xludf.DUMMYFUNCTION("""COMPUTED_VALUE"""),"")</f>
        <v/>
      </c>
      <c r="D20587" s="12" t="str">
        <f ca="1">IFERROR(__xludf.DUMMYFUNCTION("""COMPUTED_VALUE"""),"")</f>
        <v/>
      </c>
    </row>
    <row r="20588" spans="2:4" ht="13">
      <c r="B20588" s="12" t="str">
        <f ca="1">IFERROR(__xludf.DUMMYFUNCTION("""COMPUTED_VALUE"""),"")</f>
        <v/>
      </c>
      <c r="C20588" s="12" t="str">
        <f ca="1">IFERROR(__xludf.DUMMYFUNCTION("""COMPUTED_VALUE"""),"")</f>
        <v/>
      </c>
      <c r="D20588" s="12" t="str">
        <f ca="1">IFERROR(__xludf.DUMMYFUNCTION("""COMPUTED_VALUE"""),"")</f>
        <v/>
      </c>
    </row>
    <row r="20589" spans="2:4" ht="13">
      <c r="B20589" s="12" t="str">
        <f ca="1">IFERROR(__xludf.DUMMYFUNCTION("""COMPUTED_VALUE"""),"")</f>
        <v/>
      </c>
      <c r="C20589" s="12" t="str">
        <f ca="1">IFERROR(__xludf.DUMMYFUNCTION("""COMPUTED_VALUE"""),"")</f>
        <v/>
      </c>
      <c r="D20589" s="12" t="str">
        <f ca="1">IFERROR(__xludf.DUMMYFUNCTION("""COMPUTED_VALUE"""),"")</f>
        <v/>
      </c>
    </row>
    <row r="20590" spans="2:4" ht="13">
      <c r="B20590" s="12" t="str">
        <f ca="1">IFERROR(__xludf.DUMMYFUNCTION("""COMPUTED_VALUE"""),"")</f>
        <v/>
      </c>
      <c r="C20590" s="12" t="str">
        <f ca="1">IFERROR(__xludf.DUMMYFUNCTION("""COMPUTED_VALUE"""),"")</f>
        <v/>
      </c>
      <c r="D20590" s="12" t="str">
        <f ca="1">IFERROR(__xludf.DUMMYFUNCTION("""COMPUTED_VALUE"""),"")</f>
        <v/>
      </c>
    </row>
    <row r="20591" spans="2:4" ht="13">
      <c r="B20591" s="12" t="str">
        <f ca="1">IFERROR(__xludf.DUMMYFUNCTION("""COMPUTED_VALUE"""),"")</f>
        <v/>
      </c>
      <c r="C20591" s="12" t="str">
        <f ca="1">IFERROR(__xludf.DUMMYFUNCTION("""COMPUTED_VALUE"""),"")</f>
        <v/>
      </c>
      <c r="D20591" s="12" t="str">
        <f ca="1">IFERROR(__xludf.DUMMYFUNCTION("""COMPUTED_VALUE"""),"")</f>
        <v/>
      </c>
    </row>
    <row r="20592" spans="2:4" ht="13">
      <c r="B20592" s="12" t="str">
        <f ca="1">IFERROR(__xludf.DUMMYFUNCTION("""COMPUTED_VALUE"""),"")</f>
        <v/>
      </c>
      <c r="C20592" s="12" t="str">
        <f ca="1">IFERROR(__xludf.DUMMYFUNCTION("""COMPUTED_VALUE"""),"")</f>
        <v/>
      </c>
      <c r="D20592" s="12" t="str">
        <f ca="1">IFERROR(__xludf.DUMMYFUNCTION("""COMPUTED_VALUE"""),"")</f>
        <v/>
      </c>
    </row>
    <row r="20593" spans="2:4" ht="13">
      <c r="B20593" s="12" t="str">
        <f ca="1">IFERROR(__xludf.DUMMYFUNCTION("""COMPUTED_VALUE"""),"")</f>
        <v/>
      </c>
      <c r="C20593" s="12" t="str">
        <f ca="1">IFERROR(__xludf.DUMMYFUNCTION("""COMPUTED_VALUE"""),"")</f>
        <v/>
      </c>
      <c r="D20593" s="12" t="str">
        <f ca="1">IFERROR(__xludf.DUMMYFUNCTION("""COMPUTED_VALUE"""),"")</f>
        <v/>
      </c>
    </row>
    <row r="20594" spans="2:4" ht="13">
      <c r="B20594" s="12" t="str">
        <f ca="1">IFERROR(__xludf.DUMMYFUNCTION("""COMPUTED_VALUE"""),"")</f>
        <v/>
      </c>
      <c r="C20594" s="12" t="str">
        <f ca="1">IFERROR(__xludf.DUMMYFUNCTION("""COMPUTED_VALUE"""),"")</f>
        <v/>
      </c>
      <c r="D20594" s="12" t="str">
        <f ca="1">IFERROR(__xludf.DUMMYFUNCTION("""COMPUTED_VALUE"""),"")</f>
        <v/>
      </c>
    </row>
    <row r="20595" spans="2:4" ht="13">
      <c r="B20595" s="12" t="str">
        <f ca="1">IFERROR(__xludf.DUMMYFUNCTION("""COMPUTED_VALUE"""),"")</f>
        <v/>
      </c>
      <c r="C20595" s="12" t="str">
        <f ca="1">IFERROR(__xludf.DUMMYFUNCTION("""COMPUTED_VALUE"""),"")</f>
        <v/>
      </c>
      <c r="D20595" s="12" t="str">
        <f ca="1">IFERROR(__xludf.DUMMYFUNCTION("""COMPUTED_VALUE"""),"")</f>
        <v/>
      </c>
    </row>
    <row r="20596" spans="2:4" ht="13">
      <c r="B20596" s="12" t="str">
        <f ca="1">IFERROR(__xludf.DUMMYFUNCTION("""COMPUTED_VALUE"""),"")</f>
        <v/>
      </c>
      <c r="C20596" s="12" t="str">
        <f ca="1">IFERROR(__xludf.DUMMYFUNCTION("""COMPUTED_VALUE"""),"")</f>
        <v/>
      </c>
      <c r="D20596" s="12" t="str">
        <f ca="1">IFERROR(__xludf.DUMMYFUNCTION("""COMPUTED_VALUE"""),"")</f>
        <v/>
      </c>
    </row>
    <row r="20597" spans="2:4" ht="13">
      <c r="B20597" s="12" t="str">
        <f ca="1">IFERROR(__xludf.DUMMYFUNCTION("""COMPUTED_VALUE"""),"")</f>
        <v/>
      </c>
      <c r="C20597" s="12" t="str">
        <f ca="1">IFERROR(__xludf.DUMMYFUNCTION("""COMPUTED_VALUE"""),"")</f>
        <v/>
      </c>
      <c r="D20597" s="12" t="str">
        <f ca="1">IFERROR(__xludf.DUMMYFUNCTION("""COMPUTED_VALUE"""),"")</f>
        <v/>
      </c>
    </row>
    <row r="20598" spans="2:4" ht="13">
      <c r="B20598" s="12" t="str">
        <f ca="1">IFERROR(__xludf.DUMMYFUNCTION("""COMPUTED_VALUE"""),"")</f>
        <v/>
      </c>
      <c r="C20598" s="12" t="str">
        <f ca="1">IFERROR(__xludf.DUMMYFUNCTION("""COMPUTED_VALUE"""),"")</f>
        <v/>
      </c>
      <c r="D20598" s="12" t="str">
        <f ca="1">IFERROR(__xludf.DUMMYFUNCTION("""COMPUTED_VALUE"""),"")</f>
        <v/>
      </c>
    </row>
    <row r="20599" spans="2:4" ht="13">
      <c r="B20599" s="12" t="str">
        <f ca="1">IFERROR(__xludf.DUMMYFUNCTION("""COMPUTED_VALUE"""),"")</f>
        <v/>
      </c>
      <c r="C20599" s="12" t="str">
        <f ca="1">IFERROR(__xludf.DUMMYFUNCTION("""COMPUTED_VALUE"""),"")</f>
        <v/>
      </c>
      <c r="D20599" s="12" t="str">
        <f ca="1">IFERROR(__xludf.DUMMYFUNCTION("""COMPUTED_VALUE"""),"")</f>
        <v/>
      </c>
    </row>
    <row r="20600" spans="2:4" ht="13">
      <c r="B20600" s="12" t="str">
        <f ca="1">IFERROR(__xludf.DUMMYFUNCTION("""COMPUTED_VALUE"""),"")</f>
        <v/>
      </c>
      <c r="C20600" s="12" t="str">
        <f ca="1">IFERROR(__xludf.DUMMYFUNCTION("""COMPUTED_VALUE"""),"")</f>
        <v/>
      </c>
      <c r="D20600" s="12" t="str">
        <f ca="1">IFERROR(__xludf.DUMMYFUNCTION("""COMPUTED_VALUE"""),"")</f>
        <v/>
      </c>
    </row>
    <row r="20601" spans="2:4" ht="13">
      <c r="B20601" s="12" t="str">
        <f ca="1">IFERROR(__xludf.DUMMYFUNCTION("""COMPUTED_VALUE"""),"")</f>
        <v/>
      </c>
      <c r="C20601" s="12" t="str">
        <f ca="1">IFERROR(__xludf.DUMMYFUNCTION("""COMPUTED_VALUE"""),"")</f>
        <v/>
      </c>
      <c r="D20601" s="12" t="str">
        <f ca="1">IFERROR(__xludf.DUMMYFUNCTION("""COMPUTED_VALUE"""),"")</f>
        <v/>
      </c>
    </row>
    <row r="20602" spans="2:4" ht="13">
      <c r="B20602" s="12" t="str">
        <f ca="1">IFERROR(__xludf.DUMMYFUNCTION("""COMPUTED_VALUE"""),"")</f>
        <v/>
      </c>
      <c r="C20602" s="12" t="str">
        <f ca="1">IFERROR(__xludf.DUMMYFUNCTION("""COMPUTED_VALUE"""),"")</f>
        <v/>
      </c>
      <c r="D20602" s="12" t="str">
        <f ca="1">IFERROR(__xludf.DUMMYFUNCTION("""COMPUTED_VALUE"""),"")</f>
        <v/>
      </c>
    </row>
    <row r="20603" spans="2:4" ht="13">
      <c r="B20603" s="12" t="str">
        <f ca="1">IFERROR(__xludf.DUMMYFUNCTION("""COMPUTED_VALUE"""),"")</f>
        <v/>
      </c>
      <c r="C20603" s="12" t="str">
        <f ca="1">IFERROR(__xludf.DUMMYFUNCTION("""COMPUTED_VALUE"""),"")</f>
        <v/>
      </c>
      <c r="D20603" s="12" t="str">
        <f ca="1">IFERROR(__xludf.DUMMYFUNCTION("""COMPUTED_VALUE"""),"")</f>
        <v/>
      </c>
    </row>
    <row r="20604" spans="2:4" ht="13">
      <c r="B20604" s="12" t="str">
        <f ca="1">IFERROR(__xludf.DUMMYFUNCTION("""COMPUTED_VALUE"""),"")</f>
        <v/>
      </c>
      <c r="C20604" s="12" t="str">
        <f ca="1">IFERROR(__xludf.DUMMYFUNCTION("""COMPUTED_VALUE"""),"")</f>
        <v/>
      </c>
      <c r="D20604" s="12" t="str">
        <f ca="1">IFERROR(__xludf.DUMMYFUNCTION("""COMPUTED_VALUE"""),"")</f>
        <v/>
      </c>
    </row>
    <row r="20605" spans="2:4" ht="13">
      <c r="B20605" s="12" t="str">
        <f ca="1">IFERROR(__xludf.DUMMYFUNCTION("""COMPUTED_VALUE"""),"")</f>
        <v/>
      </c>
      <c r="C20605" s="12" t="str">
        <f ca="1">IFERROR(__xludf.DUMMYFUNCTION("""COMPUTED_VALUE"""),"")</f>
        <v/>
      </c>
      <c r="D20605" s="12" t="str">
        <f ca="1">IFERROR(__xludf.DUMMYFUNCTION("""COMPUTED_VALUE"""),"")</f>
        <v/>
      </c>
    </row>
    <row r="20606" spans="2:4" ht="13">
      <c r="B20606" s="12" t="str">
        <f ca="1">IFERROR(__xludf.DUMMYFUNCTION("""COMPUTED_VALUE"""),"")</f>
        <v/>
      </c>
      <c r="C20606" s="12" t="str">
        <f ca="1">IFERROR(__xludf.DUMMYFUNCTION("""COMPUTED_VALUE"""),"")</f>
        <v/>
      </c>
      <c r="D20606" s="12" t="str">
        <f ca="1">IFERROR(__xludf.DUMMYFUNCTION("""COMPUTED_VALUE"""),"")</f>
        <v/>
      </c>
    </row>
    <row r="20607" spans="2:4" ht="13">
      <c r="B20607" s="12" t="str">
        <f ca="1">IFERROR(__xludf.DUMMYFUNCTION("""COMPUTED_VALUE"""),"")</f>
        <v/>
      </c>
      <c r="C20607" s="12" t="str">
        <f ca="1">IFERROR(__xludf.DUMMYFUNCTION("""COMPUTED_VALUE"""),"")</f>
        <v/>
      </c>
      <c r="D20607" s="12" t="str">
        <f ca="1">IFERROR(__xludf.DUMMYFUNCTION("""COMPUTED_VALUE"""),"")</f>
        <v/>
      </c>
    </row>
    <row r="20608" spans="2:4" ht="13">
      <c r="B20608" s="12" t="str">
        <f ca="1">IFERROR(__xludf.DUMMYFUNCTION("""COMPUTED_VALUE"""),"")</f>
        <v/>
      </c>
      <c r="C20608" s="12" t="str">
        <f ca="1">IFERROR(__xludf.DUMMYFUNCTION("""COMPUTED_VALUE"""),"")</f>
        <v/>
      </c>
      <c r="D20608" s="12" t="str">
        <f ca="1">IFERROR(__xludf.DUMMYFUNCTION("""COMPUTED_VALUE"""),"")</f>
        <v/>
      </c>
    </row>
    <row r="20609" spans="2:4" ht="13">
      <c r="B20609" s="12" t="str">
        <f ca="1">IFERROR(__xludf.DUMMYFUNCTION("""COMPUTED_VALUE"""),"")</f>
        <v/>
      </c>
      <c r="C20609" s="12" t="str">
        <f ca="1">IFERROR(__xludf.DUMMYFUNCTION("""COMPUTED_VALUE"""),"")</f>
        <v/>
      </c>
      <c r="D20609" s="12" t="str">
        <f ca="1">IFERROR(__xludf.DUMMYFUNCTION("""COMPUTED_VALUE"""),"")</f>
        <v/>
      </c>
    </row>
    <row r="20610" spans="2:4" ht="13">
      <c r="B20610" s="12" t="str">
        <f ca="1">IFERROR(__xludf.DUMMYFUNCTION("""COMPUTED_VALUE"""),"")</f>
        <v/>
      </c>
      <c r="C20610" s="12" t="str">
        <f ca="1">IFERROR(__xludf.DUMMYFUNCTION("""COMPUTED_VALUE"""),"")</f>
        <v/>
      </c>
      <c r="D20610" s="12" t="str">
        <f ca="1">IFERROR(__xludf.DUMMYFUNCTION("""COMPUTED_VALUE"""),"")</f>
        <v/>
      </c>
    </row>
    <row r="20611" spans="2:4" ht="13">
      <c r="B20611" s="12" t="str">
        <f ca="1">IFERROR(__xludf.DUMMYFUNCTION("""COMPUTED_VALUE"""),"")</f>
        <v/>
      </c>
      <c r="C20611" s="12" t="str">
        <f ca="1">IFERROR(__xludf.DUMMYFUNCTION("""COMPUTED_VALUE"""),"")</f>
        <v/>
      </c>
      <c r="D20611" s="12" t="str">
        <f ca="1">IFERROR(__xludf.DUMMYFUNCTION("""COMPUTED_VALUE"""),"")</f>
        <v/>
      </c>
    </row>
    <row r="20612" spans="2:4" ht="13">
      <c r="B20612" s="12" t="str">
        <f ca="1">IFERROR(__xludf.DUMMYFUNCTION("""COMPUTED_VALUE"""),"")</f>
        <v/>
      </c>
      <c r="C20612" s="12" t="str">
        <f ca="1">IFERROR(__xludf.DUMMYFUNCTION("""COMPUTED_VALUE"""),"")</f>
        <v/>
      </c>
      <c r="D20612" s="12" t="str">
        <f ca="1">IFERROR(__xludf.DUMMYFUNCTION("""COMPUTED_VALUE"""),"")</f>
        <v/>
      </c>
    </row>
    <row r="20613" spans="2:4" ht="13">
      <c r="B20613" s="12" t="str">
        <f ca="1">IFERROR(__xludf.DUMMYFUNCTION("""COMPUTED_VALUE"""),"")</f>
        <v/>
      </c>
      <c r="C20613" s="12" t="str">
        <f ca="1">IFERROR(__xludf.DUMMYFUNCTION("""COMPUTED_VALUE"""),"")</f>
        <v/>
      </c>
      <c r="D20613" s="12" t="str">
        <f ca="1">IFERROR(__xludf.DUMMYFUNCTION("""COMPUTED_VALUE"""),"")</f>
        <v/>
      </c>
    </row>
    <row r="20614" spans="2:4" ht="13">
      <c r="B20614" s="12" t="str">
        <f ca="1">IFERROR(__xludf.DUMMYFUNCTION("""COMPUTED_VALUE"""),"")</f>
        <v/>
      </c>
      <c r="C20614" s="12" t="str">
        <f ca="1">IFERROR(__xludf.DUMMYFUNCTION("""COMPUTED_VALUE"""),"")</f>
        <v/>
      </c>
      <c r="D20614" s="12" t="str">
        <f ca="1">IFERROR(__xludf.DUMMYFUNCTION("""COMPUTED_VALUE"""),"")</f>
        <v/>
      </c>
    </row>
    <row r="20615" spans="2:4" ht="13">
      <c r="B20615" s="12" t="str">
        <f ca="1">IFERROR(__xludf.DUMMYFUNCTION("""COMPUTED_VALUE"""),"")</f>
        <v/>
      </c>
      <c r="C20615" s="12" t="str">
        <f ca="1">IFERROR(__xludf.DUMMYFUNCTION("""COMPUTED_VALUE"""),"")</f>
        <v/>
      </c>
      <c r="D20615" s="12" t="str">
        <f ca="1">IFERROR(__xludf.DUMMYFUNCTION("""COMPUTED_VALUE"""),"")</f>
        <v/>
      </c>
    </row>
    <row r="20616" spans="2:4" ht="13">
      <c r="B20616" s="12" t="str">
        <f ca="1">IFERROR(__xludf.DUMMYFUNCTION("""COMPUTED_VALUE"""),"")</f>
        <v/>
      </c>
      <c r="C20616" s="12" t="str">
        <f ca="1">IFERROR(__xludf.DUMMYFUNCTION("""COMPUTED_VALUE"""),"")</f>
        <v/>
      </c>
      <c r="D20616" s="12" t="str">
        <f ca="1">IFERROR(__xludf.DUMMYFUNCTION("""COMPUTED_VALUE"""),"")</f>
        <v/>
      </c>
    </row>
    <row r="20617" spans="2:4" ht="13">
      <c r="B20617" s="12" t="str">
        <f ca="1">IFERROR(__xludf.DUMMYFUNCTION("""COMPUTED_VALUE"""),"")</f>
        <v/>
      </c>
      <c r="C20617" s="12" t="str">
        <f ca="1">IFERROR(__xludf.DUMMYFUNCTION("""COMPUTED_VALUE"""),"")</f>
        <v/>
      </c>
      <c r="D20617" s="12" t="str">
        <f ca="1">IFERROR(__xludf.DUMMYFUNCTION("""COMPUTED_VALUE"""),"")</f>
        <v/>
      </c>
    </row>
    <row r="20618" spans="2:4" ht="13">
      <c r="B20618" s="12" t="str">
        <f ca="1">IFERROR(__xludf.DUMMYFUNCTION("""COMPUTED_VALUE"""),"")</f>
        <v/>
      </c>
      <c r="C20618" s="12" t="str">
        <f ca="1">IFERROR(__xludf.DUMMYFUNCTION("""COMPUTED_VALUE"""),"")</f>
        <v/>
      </c>
      <c r="D20618" s="12" t="str">
        <f ca="1">IFERROR(__xludf.DUMMYFUNCTION("""COMPUTED_VALUE"""),"")</f>
        <v/>
      </c>
    </row>
    <row r="20619" spans="2:4" ht="13">
      <c r="B20619" s="12" t="str">
        <f ca="1">IFERROR(__xludf.DUMMYFUNCTION("""COMPUTED_VALUE"""),"")</f>
        <v/>
      </c>
      <c r="C20619" s="12" t="str">
        <f ca="1">IFERROR(__xludf.DUMMYFUNCTION("""COMPUTED_VALUE"""),"")</f>
        <v/>
      </c>
      <c r="D20619" s="12" t="str">
        <f ca="1">IFERROR(__xludf.DUMMYFUNCTION("""COMPUTED_VALUE"""),"")</f>
        <v/>
      </c>
    </row>
    <row r="20620" spans="2:4" ht="13">
      <c r="B20620" s="12" t="str">
        <f ca="1">IFERROR(__xludf.DUMMYFUNCTION("""COMPUTED_VALUE"""),"")</f>
        <v/>
      </c>
      <c r="C20620" s="12" t="str">
        <f ca="1">IFERROR(__xludf.DUMMYFUNCTION("""COMPUTED_VALUE"""),"")</f>
        <v/>
      </c>
      <c r="D20620" s="12" t="str">
        <f ca="1">IFERROR(__xludf.DUMMYFUNCTION("""COMPUTED_VALUE"""),"")</f>
        <v/>
      </c>
    </row>
    <row r="20621" spans="2:4" ht="13">
      <c r="B20621" s="12" t="str">
        <f ca="1">IFERROR(__xludf.DUMMYFUNCTION("""COMPUTED_VALUE"""),"")</f>
        <v/>
      </c>
      <c r="C20621" s="12" t="str">
        <f ca="1">IFERROR(__xludf.DUMMYFUNCTION("""COMPUTED_VALUE"""),"")</f>
        <v/>
      </c>
      <c r="D20621" s="12" t="str">
        <f ca="1">IFERROR(__xludf.DUMMYFUNCTION("""COMPUTED_VALUE"""),"")</f>
        <v/>
      </c>
    </row>
    <row r="20622" spans="2:4" ht="13">
      <c r="B20622" s="12" t="str">
        <f ca="1">IFERROR(__xludf.DUMMYFUNCTION("""COMPUTED_VALUE"""),"")</f>
        <v/>
      </c>
      <c r="C20622" s="12" t="str">
        <f ca="1">IFERROR(__xludf.DUMMYFUNCTION("""COMPUTED_VALUE"""),"")</f>
        <v/>
      </c>
      <c r="D20622" s="12" t="str">
        <f ca="1">IFERROR(__xludf.DUMMYFUNCTION("""COMPUTED_VALUE"""),"")</f>
        <v/>
      </c>
    </row>
    <row r="20623" spans="2:4" ht="13">
      <c r="B20623" s="12" t="str">
        <f ca="1">IFERROR(__xludf.DUMMYFUNCTION("""COMPUTED_VALUE"""),"")</f>
        <v/>
      </c>
      <c r="C20623" s="12" t="str">
        <f ca="1">IFERROR(__xludf.DUMMYFUNCTION("""COMPUTED_VALUE"""),"")</f>
        <v/>
      </c>
      <c r="D20623" s="12" t="str">
        <f ca="1">IFERROR(__xludf.DUMMYFUNCTION("""COMPUTED_VALUE"""),"")</f>
        <v/>
      </c>
    </row>
    <row r="20624" spans="2:4" ht="13">
      <c r="B20624" s="12" t="str">
        <f ca="1">IFERROR(__xludf.DUMMYFUNCTION("""COMPUTED_VALUE"""),"")</f>
        <v/>
      </c>
      <c r="C20624" s="12" t="str">
        <f ca="1">IFERROR(__xludf.DUMMYFUNCTION("""COMPUTED_VALUE"""),"")</f>
        <v/>
      </c>
      <c r="D20624" s="12" t="str">
        <f ca="1">IFERROR(__xludf.DUMMYFUNCTION("""COMPUTED_VALUE"""),"")</f>
        <v/>
      </c>
    </row>
    <row r="20625" spans="2:4" ht="13">
      <c r="B20625" s="12" t="str">
        <f ca="1">IFERROR(__xludf.DUMMYFUNCTION("""COMPUTED_VALUE"""),"")</f>
        <v/>
      </c>
      <c r="C20625" s="12" t="str">
        <f ca="1">IFERROR(__xludf.DUMMYFUNCTION("""COMPUTED_VALUE"""),"")</f>
        <v/>
      </c>
      <c r="D20625" s="12" t="str">
        <f ca="1">IFERROR(__xludf.DUMMYFUNCTION("""COMPUTED_VALUE"""),"")</f>
        <v/>
      </c>
    </row>
    <row r="20626" spans="2:4" ht="13">
      <c r="B20626" s="12" t="str">
        <f ca="1">IFERROR(__xludf.DUMMYFUNCTION("""COMPUTED_VALUE"""),"")</f>
        <v/>
      </c>
      <c r="C20626" s="12" t="str">
        <f ca="1">IFERROR(__xludf.DUMMYFUNCTION("""COMPUTED_VALUE"""),"")</f>
        <v/>
      </c>
      <c r="D20626" s="12" t="str">
        <f ca="1">IFERROR(__xludf.DUMMYFUNCTION("""COMPUTED_VALUE"""),"")</f>
        <v/>
      </c>
    </row>
    <row r="20627" spans="2:4" ht="13">
      <c r="B20627" s="12" t="str">
        <f ca="1">IFERROR(__xludf.DUMMYFUNCTION("""COMPUTED_VALUE"""),"")</f>
        <v/>
      </c>
      <c r="C20627" s="12" t="str">
        <f ca="1">IFERROR(__xludf.DUMMYFUNCTION("""COMPUTED_VALUE"""),"")</f>
        <v/>
      </c>
      <c r="D20627" s="12" t="str">
        <f ca="1">IFERROR(__xludf.DUMMYFUNCTION("""COMPUTED_VALUE"""),"")</f>
        <v/>
      </c>
    </row>
    <row r="20628" spans="2:4" ht="13">
      <c r="B20628" s="12" t="str">
        <f ca="1">IFERROR(__xludf.DUMMYFUNCTION("""COMPUTED_VALUE"""),"")</f>
        <v/>
      </c>
      <c r="C20628" s="12" t="str">
        <f ca="1">IFERROR(__xludf.DUMMYFUNCTION("""COMPUTED_VALUE"""),"")</f>
        <v/>
      </c>
      <c r="D20628" s="12" t="str">
        <f ca="1">IFERROR(__xludf.DUMMYFUNCTION("""COMPUTED_VALUE"""),"")</f>
        <v/>
      </c>
    </row>
    <row r="20629" spans="2:4" ht="13">
      <c r="B20629" s="12" t="str">
        <f ca="1">IFERROR(__xludf.DUMMYFUNCTION("""COMPUTED_VALUE"""),"")</f>
        <v/>
      </c>
      <c r="C20629" s="12" t="str">
        <f ca="1">IFERROR(__xludf.DUMMYFUNCTION("""COMPUTED_VALUE"""),"")</f>
        <v/>
      </c>
      <c r="D20629" s="12" t="str">
        <f ca="1">IFERROR(__xludf.DUMMYFUNCTION("""COMPUTED_VALUE"""),"")</f>
        <v/>
      </c>
    </row>
    <row r="20630" spans="2:4" ht="13">
      <c r="B20630" s="12" t="str">
        <f ca="1">IFERROR(__xludf.DUMMYFUNCTION("""COMPUTED_VALUE"""),"")</f>
        <v/>
      </c>
      <c r="C20630" s="12" t="str">
        <f ca="1">IFERROR(__xludf.DUMMYFUNCTION("""COMPUTED_VALUE"""),"")</f>
        <v/>
      </c>
      <c r="D20630" s="12" t="str">
        <f ca="1">IFERROR(__xludf.DUMMYFUNCTION("""COMPUTED_VALUE"""),"")</f>
        <v/>
      </c>
    </row>
    <row r="20631" spans="2:4" ht="13">
      <c r="B20631" s="12" t="str">
        <f ca="1">IFERROR(__xludf.DUMMYFUNCTION("""COMPUTED_VALUE"""),"")</f>
        <v/>
      </c>
      <c r="C20631" s="12" t="str">
        <f ca="1">IFERROR(__xludf.DUMMYFUNCTION("""COMPUTED_VALUE"""),"")</f>
        <v/>
      </c>
      <c r="D20631" s="12" t="str">
        <f ca="1">IFERROR(__xludf.DUMMYFUNCTION("""COMPUTED_VALUE"""),"")</f>
        <v/>
      </c>
    </row>
    <row r="20632" spans="2:4" ht="13">
      <c r="B20632" s="12" t="str">
        <f ca="1">IFERROR(__xludf.DUMMYFUNCTION("""COMPUTED_VALUE"""),"")</f>
        <v/>
      </c>
      <c r="C20632" s="12" t="str">
        <f ca="1">IFERROR(__xludf.DUMMYFUNCTION("""COMPUTED_VALUE"""),"")</f>
        <v/>
      </c>
      <c r="D20632" s="12" t="str">
        <f ca="1">IFERROR(__xludf.DUMMYFUNCTION("""COMPUTED_VALUE"""),"")</f>
        <v/>
      </c>
    </row>
    <row r="20633" spans="2:4" ht="13">
      <c r="B20633" s="12" t="str">
        <f ca="1">IFERROR(__xludf.DUMMYFUNCTION("""COMPUTED_VALUE"""),"")</f>
        <v/>
      </c>
      <c r="C20633" s="12" t="str">
        <f ca="1">IFERROR(__xludf.DUMMYFUNCTION("""COMPUTED_VALUE"""),"")</f>
        <v/>
      </c>
      <c r="D20633" s="12" t="str">
        <f ca="1">IFERROR(__xludf.DUMMYFUNCTION("""COMPUTED_VALUE"""),"")</f>
        <v/>
      </c>
    </row>
    <row r="20634" spans="2:4" ht="13">
      <c r="B20634" s="12" t="str">
        <f ca="1">IFERROR(__xludf.DUMMYFUNCTION("""COMPUTED_VALUE"""),"")</f>
        <v/>
      </c>
      <c r="C20634" s="12" t="str">
        <f ca="1">IFERROR(__xludf.DUMMYFUNCTION("""COMPUTED_VALUE"""),"")</f>
        <v/>
      </c>
      <c r="D20634" s="12" t="str">
        <f ca="1">IFERROR(__xludf.DUMMYFUNCTION("""COMPUTED_VALUE"""),"")</f>
        <v/>
      </c>
    </row>
    <row r="20635" spans="2:4" ht="13">
      <c r="B20635" s="12" t="str">
        <f ca="1">IFERROR(__xludf.DUMMYFUNCTION("""COMPUTED_VALUE"""),"")</f>
        <v/>
      </c>
      <c r="C20635" s="12" t="str">
        <f ca="1">IFERROR(__xludf.DUMMYFUNCTION("""COMPUTED_VALUE"""),"")</f>
        <v/>
      </c>
      <c r="D20635" s="12" t="str">
        <f ca="1">IFERROR(__xludf.DUMMYFUNCTION("""COMPUTED_VALUE"""),"")</f>
        <v/>
      </c>
    </row>
    <row r="20636" spans="2:4" ht="13">
      <c r="B20636" s="12" t="str">
        <f ca="1">IFERROR(__xludf.DUMMYFUNCTION("""COMPUTED_VALUE"""),"")</f>
        <v/>
      </c>
      <c r="C20636" s="12" t="str">
        <f ca="1">IFERROR(__xludf.DUMMYFUNCTION("""COMPUTED_VALUE"""),"")</f>
        <v/>
      </c>
      <c r="D20636" s="12" t="str">
        <f ca="1">IFERROR(__xludf.DUMMYFUNCTION("""COMPUTED_VALUE"""),"")</f>
        <v/>
      </c>
    </row>
    <row r="20637" spans="2:4" ht="13">
      <c r="B20637" s="12" t="str">
        <f ca="1">IFERROR(__xludf.DUMMYFUNCTION("""COMPUTED_VALUE"""),"")</f>
        <v/>
      </c>
      <c r="C20637" s="12" t="str">
        <f ca="1">IFERROR(__xludf.DUMMYFUNCTION("""COMPUTED_VALUE"""),"")</f>
        <v/>
      </c>
      <c r="D20637" s="12" t="str">
        <f ca="1">IFERROR(__xludf.DUMMYFUNCTION("""COMPUTED_VALUE"""),"")</f>
        <v/>
      </c>
    </row>
    <row r="20638" spans="2:4" ht="13">
      <c r="B20638" s="12" t="str">
        <f ca="1">IFERROR(__xludf.DUMMYFUNCTION("""COMPUTED_VALUE"""),"")</f>
        <v/>
      </c>
      <c r="C20638" s="12" t="str">
        <f ca="1">IFERROR(__xludf.DUMMYFUNCTION("""COMPUTED_VALUE"""),"")</f>
        <v/>
      </c>
      <c r="D20638" s="12" t="str">
        <f ca="1">IFERROR(__xludf.DUMMYFUNCTION("""COMPUTED_VALUE"""),"")</f>
        <v/>
      </c>
    </row>
    <row r="20639" spans="2:4" ht="13">
      <c r="B20639" s="12" t="str">
        <f ca="1">IFERROR(__xludf.DUMMYFUNCTION("""COMPUTED_VALUE"""),"")</f>
        <v/>
      </c>
      <c r="C20639" s="12" t="str">
        <f ca="1">IFERROR(__xludf.DUMMYFUNCTION("""COMPUTED_VALUE"""),"")</f>
        <v/>
      </c>
      <c r="D20639" s="12" t="str">
        <f ca="1">IFERROR(__xludf.DUMMYFUNCTION("""COMPUTED_VALUE"""),"")</f>
        <v/>
      </c>
    </row>
    <row r="20640" spans="2:4" ht="13">
      <c r="B20640" s="12" t="str">
        <f ca="1">IFERROR(__xludf.DUMMYFUNCTION("""COMPUTED_VALUE"""),"")</f>
        <v/>
      </c>
      <c r="C20640" s="12" t="str">
        <f ca="1">IFERROR(__xludf.DUMMYFUNCTION("""COMPUTED_VALUE"""),"")</f>
        <v/>
      </c>
      <c r="D20640" s="12" t="str">
        <f ca="1">IFERROR(__xludf.DUMMYFUNCTION("""COMPUTED_VALUE"""),"")</f>
        <v/>
      </c>
    </row>
    <row r="20641" spans="2:4" ht="13">
      <c r="B20641" s="12" t="str">
        <f ca="1">IFERROR(__xludf.DUMMYFUNCTION("""COMPUTED_VALUE"""),"")</f>
        <v/>
      </c>
      <c r="C20641" s="12" t="str">
        <f ca="1">IFERROR(__xludf.DUMMYFUNCTION("""COMPUTED_VALUE"""),"")</f>
        <v/>
      </c>
      <c r="D20641" s="12" t="str">
        <f ca="1">IFERROR(__xludf.DUMMYFUNCTION("""COMPUTED_VALUE"""),"")</f>
        <v/>
      </c>
    </row>
    <row r="20642" spans="2:4" ht="13">
      <c r="B20642" s="12" t="str">
        <f ca="1">IFERROR(__xludf.DUMMYFUNCTION("""COMPUTED_VALUE"""),"")</f>
        <v/>
      </c>
      <c r="C20642" s="12" t="str">
        <f ca="1">IFERROR(__xludf.DUMMYFUNCTION("""COMPUTED_VALUE"""),"")</f>
        <v/>
      </c>
      <c r="D20642" s="12" t="str">
        <f ca="1">IFERROR(__xludf.DUMMYFUNCTION("""COMPUTED_VALUE"""),"")</f>
        <v/>
      </c>
    </row>
    <row r="20643" spans="2:4" ht="13">
      <c r="B20643" s="12" t="str">
        <f ca="1">IFERROR(__xludf.DUMMYFUNCTION("""COMPUTED_VALUE"""),"")</f>
        <v/>
      </c>
      <c r="C20643" s="12" t="str">
        <f ca="1">IFERROR(__xludf.DUMMYFUNCTION("""COMPUTED_VALUE"""),"")</f>
        <v/>
      </c>
      <c r="D20643" s="12" t="str">
        <f ca="1">IFERROR(__xludf.DUMMYFUNCTION("""COMPUTED_VALUE"""),"")</f>
        <v/>
      </c>
    </row>
    <row r="20644" spans="2:4" ht="13">
      <c r="B20644" s="12" t="str">
        <f ca="1">IFERROR(__xludf.DUMMYFUNCTION("""COMPUTED_VALUE"""),"")</f>
        <v/>
      </c>
      <c r="C20644" s="12" t="str">
        <f ca="1">IFERROR(__xludf.DUMMYFUNCTION("""COMPUTED_VALUE"""),"")</f>
        <v/>
      </c>
      <c r="D20644" s="12" t="str">
        <f ca="1">IFERROR(__xludf.DUMMYFUNCTION("""COMPUTED_VALUE"""),"")</f>
        <v/>
      </c>
    </row>
    <row r="20645" spans="2:4" ht="13">
      <c r="B20645" s="12" t="str">
        <f ca="1">IFERROR(__xludf.DUMMYFUNCTION("""COMPUTED_VALUE"""),"")</f>
        <v/>
      </c>
      <c r="C20645" s="12" t="str">
        <f ca="1">IFERROR(__xludf.DUMMYFUNCTION("""COMPUTED_VALUE"""),"")</f>
        <v/>
      </c>
      <c r="D20645" s="12" t="str">
        <f ca="1">IFERROR(__xludf.DUMMYFUNCTION("""COMPUTED_VALUE"""),"")</f>
        <v/>
      </c>
    </row>
    <row r="20646" spans="2:4" ht="13">
      <c r="B20646" s="12" t="str">
        <f ca="1">IFERROR(__xludf.DUMMYFUNCTION("""COMPUTED_VALUE"""),"")</f>
        <v/>
      </c>
      <c r="C20646" s="12" t="str">
        <f ca="1">IFERROR(__xludf.DUMMYFUNCTION("""COMPUTED_VALUE"""),"")</f>
        <v/>
      </c>
      <c r="D20646" s="12" t="str">
        <f ca="1">IFERROR(__xludf.DUMMYFUNCTION("""COMPUTED_VALUE"""),"")</f>
        <v/>
      </c>
    </row>
    <row r="20647" spans="2:4" ht="13">
      <c r="B20647" s="12" t="str">
        <f ca="1">IFERROR(__xludf.DUMMYFUNCTION("""COMPUTED_VALUE"""),"")</f>
        <v/>
      </c>
      <c r="C20647" s="12" t="str">
        <f ca="1">IFERROR(__xludf.DUMMYFUNCTION("""COMPUTED_VALUE"""),"")</f>
        <v/>
      </c>
      <c r="D20647" s="12" t="str">
        <f ca="1">IFERROR(__xludf.DUMMYFUNCTION("""COMPUTED_VALUE"""),"")</f>
        <v/>
      </c>
    </row>
    <row r="20648" spans="2:4" ht="13">
      <c r="B20648" s="12" t="str">
        <f ca="1">IFERROR(__xludf.DUMMYFUNCTION("""COMPUTED_VALUE"""),"")</f>
        <v/>
      </c>
      <c r="C20648" s="12" t="str">
        <f ca="1">IFERROR(__xludf.DUMMYFUNCTION("""COMPUTED_VALUE"""),"")</f>
        <v/>
      </c>
      <c r="D20648" s="12" t="str">
        <f ca="1">IFERROR(__xludf.DUMMYFUNCTION("""COMPUTED_VALUE"""),"")</f>
        <v/>
      </c>
    </row>
    <row r="20649" spans="2:4" ht="13">
      <c r="B20649" s="12" t="str">
        <f ca="1">IFERROR(__xludf.DUMMYFUNCTION("""COMPUTED_VALUE"""),"")</f>
        <v/>
      </c>
      <c r="C20649" s="12" t="str">
        <f ca="1">IFERROR(__xludf.DUMMYFUNCTION("""COMPUTED_VALUE"""),"")</f>
        <v/>
      </c>
      <c r="D20649" s="12" t="str">
        <f ca="1">IFERROR(__xludf.DUMMYFUNCTION("""COMPUTED_VALUE"""),"")</f>
        <v/>
      </c>
    </row>
    <row r="20650" spans="2:4" ht="13">
      <c r="B20650" s="12" t="str">
        <f ca="1">IFERROR(__xludf.DUMMYFUNCTION("""COMPUTED_VALUE"""),"")</f>
        <v/>
      </c>
      <c r="C20650" s="12" t="str">
        <f ca="1">IFERROR(__xludf.DUMMYFUNCTION("""COMPUTED_VALUE"""),"")</f>
        <v/>
      </c>
      <c r="D20650" s="12" t="str">
        <f ca="1">IFERROR(__xludf.DUMMYFUNCTION("""COMPUTED_VALUE"""),"")</f>
        <v/>
      </c>
    </row>
    <row r="20651" spans="2:4" ht="13">
      <c r="B20651" s="12" t="str">
        <f ca="1">IFERROR(__xludf.DUMMYFUNCTION("""COMPUTED_VALUE"""),"")</f>
        <v/>
      </c>
      <c r="C20651" s="12" t="str">
        <f ca="1">IFERROR(__xludf.DUMMYFUNCTION("""COMPUTED_VALUE"""),"")</f>
        <v/>
      </c>
      <c r="D20651" s="12" t="str">
        <f ca="1">IFERROR(__xludf.DUMMYFUNCTION("""COMPUTED_VALUE"""),"")</f>
        <v/>
      </c>
    </row>
    <row r="20652" spans="2:4" ht="13">
      <c r="B20652" s="12" t="str">
        <f ca="1">IFERROR(__xludf.DUMMYFUNCTION("""COMPUTED_VALUE"""),"")</f>
        <v/>
      </c>
      <c r="C20652" s="12" t="str">
        <f ca="1">IFERROR(__xludf.DUMMYFUNCTION("""COMPUTED_VALUE"""),"")</f>
        <v/>
      </c>
      <c r="D20652" s="12" t="str">
        <f ca="1">IFERROR(__xludf.DUMMYFUNCTION("""COMPUTED_VALUE"""),"")</f>
        <v/>
      </c>
    </row>
    <row r="20653" spans="2:4" ht="13">
      <c r="B20653" s="12" t="str">
        <f ca="1">IFERROR(__xludf.DUMMYFUNCTION("""COMPUTED_VALUE"""),"")</f>
        <v/>
      </c>
      <c r="C20653" s="12" t="str">
        <f ca="1">IFERROR(__xludf.DUMMYFUNCTION("""COMPUTED_VALUE"""),"")</f>
        <v/>
      </c>
      <c r="D20653" s="12" t="str">
        <f ca="1">IFERROR(__xludf.DUMMYFUNCTION("""COMPUTED_VALUE"""),"")</f>
        <v/>
      </c>
    </row>
    <row r="20654" spans="2:4" ht="13">
      <c r="B20654" s="12" t="str">
        <f ca="1">IFERROR(__xludf.DUMMYFUNCTION("""COMPUTED_VALUE"""),"")</f>
        <v/>
      </c>
      <c r="C20654" s="12" t="str">
        <f ca="1">IFERROR(__xludf.DUMMYFUNCTION("""COMPUTED_VALUE"""),"")</f>
        <v/>
      </c>
      <c r="D20654" s="12" t="str">
        <f ca="1">IFERROR(__xludf.DUMMYFUNCTION("""COMPUTED_VALUE"""),"")</f>
        <v/>
      </c>
    </row>
    <row r="20655" spans="2:4" ht="13">
      <c r="B20655" s="12" t="str">
        <f ca="1">IFERROR(__xludf.DUMMYFUNCTION("""COMPUTED_VALUE"""),"")</f>
        <v/>
      </c>
      <c r="C20655" s="12" t="str">
        <f ca="1">IFERROR(__xludf.DUMMYFUNCTION("""COMPUTED_VALUE"""),"")</f>
        <v/>
      </c>
      <c r="D20655" s="12" t="str">
        <f ca="1">IFERROR(__xludf.DUMMYFUNCTION("""COMPUTED_VALUE"""),"")</f>
        <v/>
      </c>
    </row>
    <row r="20656" spans="2:4" ht="13">
      <c r="B20656" s="12" t="str">
        <f ca="1">IFERROR(__xludf.DUMMYFUNCTION("""COMPUTED_VALUE"""),"")</f>
        <v/>
      </c>
      <c r="C20656" s="12" t="str">
        <f ca="1">IFERROR(__xludf.DUMMYFUNCTION("""COMPUTED_VALUE"""),"")</f>
        <v/>
      </c>
      <c r="D20656" s="12" t="str">
        <f ca="1">IFERROR(__xludf.DUMMYFUNCTION("""COMPUTED_VALUE"""),"")</f>
        <v/>
      </c>
    </row>
    <row r="20657" spans="2:4" ht="13">
      <c r="B20657" s="12" t="str">
        <f ca="1">IFERROR(__xludf.DUMMYFUNCTION("""COMPUTED_VALUE"""),"")</f>
        <v/>
      </c>
      <c r="C20657" s="12" t="str">
        <f ca="1">IFERROR(__xludf.DUMMYFUNCTION("""COMPUTED_VALUE"""),"")</f>
        <v/>
      </c>
      <c r="D20657" s="12" t="str">
        <f ca="1">IFERROR(__xludf.DUMMYFUNCTION("""COMPUTED_VALUE"""),"")</f>
        <v/>
      </c>
    </row>
    <row r="20658" spans="2:4" ht="13">
      <c r="B20658" s="12" t="str">
        <f ca="1">IFERROR(__xludf.DUMMYFUNCTION("""COMPUTED_VALUE"""),"")</f>
        <v/>
      </c>
      <c r="C20658" s="12" t="str">
        <f ca="1">IFERROR(__xludf.DUMMYFUNCTION("""COMPUTED_VALUE"""),"")</f>
        <v/>
      </c>
      <c r="D20658" s="12" t="str">
        <f ca="1">IFERROR(__xludf.DUMMYFUNCTION("""COMPUTED_VALUE"""),"")</f>
        <v/>
      </c>
    </row>
    <row r="20659" spans="2:4" ht="13">
      <c r="B20659" s="12" t="str">
        <f ca="1">IFERROR(__xludf.DUMMYFUNCTION("""COMPUTED_VALUE"""),"")</f>
        <v/>
      </c>
      <c r="C20659" s="12" t="str">
        <f ca="1">IFERROR(__xludf.DUMMYFUNCTION("""COMPUTED_VALUE"""),"")</f>
        <v/>
      </c>
      <c r="D20659" s="12" t="str">
        <f ca="1">IFERROR(__xludf.DUMMYFUNCTION("""COMPUTED_VALUE"""),"")</f>
        <v/>
      </c>
    </row>
    <row r="20660" spans="2:4" ht="13">
      <c r="B20660" s="12" t="str">
        <f ca="1">IFERROR(__xludf.DUMMYFUNCTION("""COMPUTED_VALUE"""),"")</f>
        <v/>
      </c>
      <c r="C20660" s="12" t="str">
        <f ca="1">IFERROR(__xludf.DUMMYFUNCTION("""COMPUTED_VALUE"""),"")</f>
        <v/>
      </c>
      <c r="D20660" s="12" t="str">
        <f ca="1">IFERROR(__xludf.DUMMYFUNCTION("""COMPUTED_VALUE"""),"")</f>
        <v/>
      </c>
    </row>
    <row r="20661" spans="2:4" ht="13">
      <c r="B20661" s="12" t="str">
        <f ca="1">IFERROR(__xludf.DUMMYFUNCTION("""COMPUTED_VALUE"""),"")</f>
        <v/>
      </c>
      <c r="C20661" s="12" t="str">
        <f ca="1">IFERROR(__xludf.DUMMYFUNCTION("""COMPUTED_VALUE"""),"")</f>
        <v/>
      </c>
      <c r="D20661" s="12" t="str">
        <f ca="1">IFERROR(__xludf.DUMMYFUNCTION("""COMPUTED_VALUE"""),"")</f>
        <v/>
      </c>
    </row>
    <row r="20662" spans="2:4" ht="13">
      <c r="B20662" s="12" t="str">
        <f ca="1">IFERROR(__xludf.DUMMYFUNCTION("""COMPUTED_VALUE"""),"")</f>
        <v/>
      </c>
      <c r="C20662" s="12" t="str">
        <f ca="1">IFERROR(__xludf.DUMMYFUNCTION("""COMPUTED_VALUE"""),"")</f>
        <v/>
      </c>
      <c r="D20662" s="12" t="str">
        <f ca="1">IFERROR(__xludf.DUMMYFUNCTION("""COMPUTED_VALUE"""),"")</f>
        <v/>
      </c>
    </row>
    <row r="20663" spans="2:4" ht="13">
      <c r="B20663" s="12" t="str">
        <f ca="1">IFERROR(__xludf.DUMMYFUNCTION("""COMPUTED_VALUE"""),"")</f>
        <v/>
      </c>
      <c r="C20663" s="12" t="str">
        <f ca="1">IFERROR(__xludf.DUMMYFUNCTION("""COMPUTED_VALUE"""),"")</f>
        <v/>
      </c>
      <c r="D20663" s="12" t="str">
        <f ca="1">IFERROR(__xludf.DUMMYFUNCTION("""COMPUTED_VALUE"""),"")</f>
        <v/>
      </c>
    </row>
    <row r="20664" spans="2:4" ht="13">
      <c r="B20664" s="12" t="str">
        <f ca="1">IFERROR(__xludf.DUMMYFUNCTION("""COMPUTED_VALUE"""),"")</f>
        <v/>
      </c>
      <c r="C20664" s="12" t="str">
        <f ca="1">IFERROR(__xludf.DUMMYFUNCTION("""COMPUTED_VALUE"""),"")</f>
        <v/>
      </c>
      <c r="D20664" s="12" t="str">
        <f ca="1">IFERROR(__xludf.DUMMYFUNCTION("""COMPUTED_VALUE"""),"")</f>
        <v/>
      </c>
    </row>
    <row r="20665" spans="2:4" ht="13">
      <c r="B20665" s="12" t="str">
        <f ca="1">IFERROR(__xludf.DUMMYFUNCTION("""COMPUTED_VALUE"""),"")</f>
        <v/>
      </c>
      <c r="C20665" s="12" t="str">
        <f ca="1">IFERROR(__xludf.DUMMYFUNCTION("""COMPUTED_VALUE"""),"")</f>
        <v/>
      </c>
      <c r="D20665" s="12" t="str">
        <f ca="1">IFERROR(__xludf.DUMMYFUNCTION("""COMPUTED_VALUE"""),"")</f>
        <v/>
      </c>
    </row>
    <row r="20666" spans="2:4" ht="13">
      <c r="B20666" s="12" t="str">
        <f ca="1">IFERROR(__xludf.DUMMYFUNCTION("""COMPUTED_VALUE"""),"")</f>
        <v/>
      </c>
      <c r="C20666" s="12" t="str">
        <f ca="1">IFERROR(__xludf.DUMMYFUNCTION("""COMPUTED_VALUE"""),"")</f>
        <v/>
      </c>
      <c r="D20666" s="12" t="str">
        <f ca="1">IFERROR(__xludf.DUMMYFUNCTION("""COMPUTED_VALUE"""),"")</f>
        <v/>
      </c>
    </row>
    <row r="20667" spans="2:4" ht="13">
      <c r="B20667" s="12" t="str">
        <f ca="1">IFERROR(__xludf.DUMMYFUNCTION("""COMPUTED_VALUE"""),"")</f>
        <v/>
      </c>
      <c r="C20667" s="12" t="str">
        <f ca="1">IFERROR(__xludf.DUMMYFUNCTION("""COMPUTED_VALUE"""),"")</f>
        <v/>
      </c>
      <c r="D20667" s="12" t="str">
        <f ca="1">IFERROR(__xludf.DUMMYFUNCTION("""COMPUTED_VALUE"""),"")</f>
        <v/>
      </c>
    </row>
    <row r="20668" spans="2:4" ht="13">
      <c r="B20668" s="12" t="str">
        <f ca="1">IFERROR(__xludf.DUMMYFUNCTION("""COMPUTED_VALUE"""),"")</f>
        <v/>
      </c>
      <c r="C20668" s="12" t="str">
        <f ca="1">IFERROR(__xludf.DUMMYFUNCTION("""COMPUTED_VALUE"""),"")</f>
        <v/>
      </c>
      <c r="D20668" s="12" t="str">
        <f ca="1">IFERROR(__xludf.DUMMYFUNCTION("""COMPUTED_VALUE"""),"")</f>
        <v/>
      </c>
    </row>
    <row r="20669" spans="2:4" ht="13">
      <c r="B20669" s="12" t="str">
        <f ca="1">IFERROR(__xludf.DUMMYFUNCTION("""COMPUTED_VALUE"""),"")</f>
        <v/>
      </c>
      <c r="C20669" s="12" t="str">
        <f ca="1">IFERROR(__xludf.DUMMYFUNCTION("""COMPUTED_VALUE"""),"")</f>
        <v/>
      </c>
      <c r="D20669" s="12" t="str">
        <f ca="1">IFERROR(__xludf.DUMMYFUNCTION("""COMPUTED_VALUE"""),"")</f>
        <v/>
      </c>
    </row>
    <row r="20670" spans="2:4" ht="13">
      <c r="B20670" s="12" t="str">
        <f ca="1">IFERROR(__xludf.DUMMYFUNCTION("""COMPUTED_VALUE"""),"")</f>
        <v/>
      </c>
      <c r="C20670" s="12" t="str">
        <f ca="1">IFERROR(__xludf.DUMMYFUNCTION("""COMPUTED_VALUE"""),"")</f>
        <v/>
      </c>
      <c r="D20670" s="12" t="str">
        <f ca="1">IFERROR(__xludf.DUMMYFUNCTION("""COMPUTED_VALUE"""),"")</f>
        <v/>
      </c>
    </row>
    <row r="20671" spans="2:4" ht="13">
      <c r="B20671" s="12" t="str">
        <f ca="1">IFERROR(__xludf.DUMMYFUNCTION("""COMPUTED_VALUE"""),"")</f>
        <v/>
      </c>
      <c r="C20671" s="12" t="str">
        <f ca="1">IFERROR(__xludf.DUMMYFUNCTION("""COMPUTED_VALUE"""),"")</f>
        <v/>
      </c>
      <c r="D20671" s="12" t="str">
        <f ca="1">IFERROR(__xludf.DUMMYFUNCTION("""COMPUTED_VALUE"""),"")</f>
        <v/>
      </c>
    </row>
    <row r="20672" spans="2:4" ht="13">
      <c r="B20672" s="12" t="str">
        <f ca="1">IFERROR(__xludf.DUMMYFUNCTION("""COMPUTED_VALUE"""),"")</f>
        <v/>
      </c>
      <c r="C20672" s="12" t="str">
        <f ca="1">IFERROR(__xludf.DUMMYFUNCTION("""COMPUTED_VALUE"""),"")</f>
        <v/>
      </c>
      <c r="D20672" s="12" t="str">
        <f ca="1">IFERROR(__xludf.DUMMYFUNCTION("""COMPUTED_VALUE"""),"")</f>
        <v/>
      </c>
    </row>
    <row r="20673" spans="2:4" ht="13">
      <c r="B20673" s="12" t="str">
        <f ca="1">IFERROR(__xludf.DUMMYFUNCTION("""COMPUTED_VALUE"""),"")</f>
        <v/>
      </c>
      <c r="C20673" s="12" t="str">
        <f ca="1">IFERROR(__xludf.DUMMYFUNCTION("""COMPUTED_VALUE"""),"")</f>
        <v/>
      </c>
      <c r="D20673" s="12" t="str">
        <f ca="1">IFERROR(__xludf.DUMMYFUNCTION("""COMPUTED_VALUE"""),"")</f>
        <v/>
      </c>
    </row>
    <row r="20674" spans="2:4" ht="13">
      <c r="B20674" s="12" t="str">
        <f ca="1">IFERROR(__xludf.DUMMYFUNCTION("""COMPUTED_VALUE"""),"")</f>
        <v/>
      </c>
      <c r="C20674" s="12" t="str">
        <f ca="1">IFERROR(__xludf.DUMMYFUNCTION("""COMPUTED_VALUE"""),"")</f>
        <v/>
      </c>
      <c r="D20674" s="12" t="str">
        <f ca="1">IFERROR(__xludf.DUMMYFUNCTION("""COMPUTED_VALUE"""),"")</f>
        <v/>
      </c>
    </row>
    <row r="20675" spans="2:4" ht="13">
      <c r="B20675" s="12" t="str">
        <f ca="1">IFERROR(__xludf.DUMMYFUNCTION("""COMPUTED_VALUE"""),"")</f>
        <v/>
      </c>
      <c r="C20675" s="12" t="str">
        <f ca="1">IFERROR(__xludf.DUMMYFUNCTION("""COMPUTED_VALUE"""),"")</f>
        <v/>
      </c>
      <c r="D20675" s="12" t="str">
        <f ca="1">IFERROR(__xludf.DUMMYFUNCTION("""COMPUTED_VALUE"""),"")</f>
        <v/>
      </c>
    </row>
    <row r="20676" spans="2:4" ht="13">
      <c r="B20676" s="12" t="str">
        <f ca="1">IFERROR(__xludf.DUMMYFUNCTION("""COMPUTED_VALUE"""),"")</f>
        <v/>
      </c>
      <c r="C20676" s="12" t="str">
        <f ca="1">IFERROR(__xludf.DUMMYFUNCTION("""COMPUTED_VALUE"""),"")</f>
        <v/>
      </c>
      <c r="D20676" s="12" t="str">
        <f ca="1">IFERROR(__xludf.DUMMYFUNCTION("""COMPUTED_VALUE"""),"")</f>
        <v/>
      </c>
    </row>
    <row r="20677" spans="2:4" ht="13">
      <c r="B20677" s="12" t="str">
        <f ca="1">IFERROR(__xludf.DUMMYFUNCTION("""COMPUTED_VALUE"""),"")</f>
        <v/>
      </c>
      <c r="C20677" s="12" t="str">
        <f ca="1">IFERROR(__xludf.DUMMYFUNCTION("""COMPUTED_VALUE"""),"")</f>
        <v/>
      </c>
      <c r="D20677" s="12" t="str">
        <f ca="1">IFERROR(__xludf.DUMMYFUNCTION("""COMPUTED_VALUE"""),"")</f>
        <v/>
      </c>
    </row>
    <row r="20678" spans="2:4" ht="13">
      <c r="B20678" s="12" t="str">
        <f ca="1">IFERROR(__xludf.DUMMYFUNCTION("""COMPUTED_VALUE"""),"")</f>
        <v/>
      </c>
      <c r="C20678" s="12" t="str">
        <f ca="1">IFERROR(__xludf.DUMMYFUNCTION("""COMPUTED_VALUE"""),"")</f>
        <v/>
      </c>
      <c r="D20678" s="12" t="str">
        <f ca="1">IFERROR(__xludf.DUMMYFUNCTION("""COMPUTED_VALUE"""),"")</f>
        <v/>
      </c>
    </row>
    <row r="20679" spans="2:4" ht="13">
      <c r="B20679" s="12" t="str">
        <f ca="1">IFERROR(__xludf.DUMMYFUNCTION("""COMPUTED_VALUE"""),"")</f>
        <v/>
      </c>
      <c r="C20679" s="12" t="str">
        <f ca="1">IFERROR(__xludf.DUMMYFUNCTION("""COMPUTED_VALUE"""),"")</f>
        <v/>
      </c>
      <c r="D20679" s="12" t="str">
        <f ca="1">IFERROR(__xludf.DUMMYFUNCTION("""COMPUTED_VALUE"""),"")</f>
        <v/>
      </c>
    </row>
    <row r="20680" spans="2:4" ht="13">
      <c r="B20680" s="12" t="str">
        <f ca="1">IFERROR(__xludf.DUMMYFUNCTION("""COMPUTED_VALUE"""),"")</f>
        <v/>
      </c>
      <c r="C20680" s="12" t="str">
        <f ca="1">IFERROR(__xludf.DUMMYFUNCTION("""COMPUTED_VALUE"""),"")</f>
        <v/>
      </c>
      <c r="D20680" s="12" t="str">
        <f ca="1">IFERROR(__xludf.DUMMYFUNCTION("""COMPUTED_VALUE"""),"")</f>
        <v/>
      </c>
    </row>
    <row r="20681" spans="2:4" ht="13">
      <c r="B20681" s="12" t="str">
        <f ca="1">IFERROR(__xludf.DUMMYFUNCTION("""COMPUTED_VALUE"""),"")</f>
        <v/>
      </c>
      <c r="C20681" s="12" t="str">
        <f ca="1">IFERROR(__xludf.DUMMYFUNCTION("""COMPUTED_VALUE"""),"")</f>
        <v/>
      </c>
      <c r="D20681" s="12" t="str">
        <f ca="1">IFERROR(__xludf.DUMMYFUNCTION("""COMPUTED_VALUE"""),"")</f>
        <v/>
      </c>
    </row>
    <row r="20682" spans="2:4" ht="13">
      <c r="B20682" s="12" t="str">
        <f ca="1">IFERROR(__xludf.DUMMYFUNCTION("""COMPUTED_VALUE"""),"")</f>
        <v/>
      </c>
      <c r="C20682" s="12" t="str">
        <f ca="1">IFERROR(__xludf.DUMMYFUNCTION("""COMPUTED_VALUE"""),"")</f>
        <v/>
      </c>
      <c r="D20682" s="12" t="str">
        <f ca="1">IFERROR(__xludf.DUMMYFUNCTION("""COMPUTED_VALUE"""),"")</f>
        <v/>
      </c>
    </row>
    <row r="20683" spans="2:4" ht="13">
      <c r="B20683" s="12" t="str">
        <f ca="1">IFERROR(__xludf.DUMMYFUNCTION("""COMPUTED_VALUE"""),"")</f>
        <v/>
      </c>
      <c r="C20683" s="12" t="str">
        <f ca="1">IFERROR(__xludf.DUMMYFUNCTION("""COMPUTED_VALUE"""),"")</f>
        <v/>
      </c>
      <c r="D20683" s="12" t="str">
        <f ca="1">IFERROR(__xludf.DUMMYFUNCTION("""COMPUTED_VALUE"""),"")</f>
        <v/>
      </c>
    </row>
    <row r="20684" spans="2:4" ht="13">
      <c r="B20684" s="12" t="str">
        <f ca="1">IFERROR(__xludf.DUMMYFUNCTION("""COMPUTED_VALUE"""),"")</f>
        <v/>
      </c>
      <c r="C20684" s="12" t="str">
        <f ca="1">IFERROR(__xludf.DUMMYFUNCTION("""COMPUTED_VALUE"""),"")</f>
        <v/>
      </c>
      <c r="D20684" s="12" t="str">
        <f ca="1">IFERROR(__xludf.DUMMYFUNCTION("""COMPUTED_VALUE"""),"")</f>
        <v/>
      </c>
    </row>
    <row r="20685" spans="2:4" ht="13">
      <c r="B20685" s="12" t="str">
        <f ca="1">IFERROR(__xludf.DUMMYFUNCTION("""COMPUTED_VALUE"""),"")</f>
        <v/>
      </c>
      <c r="C20685" s="12" t="str">
        <f ca="1">IFERROR(__xludf.DUMMYFUNCTION("""COMPUTED_VALUE"""),"")</f>
        <v/>
      </c>
      <c r="D20685" s="12" t="str">
        <f ca="1">IFERROR(__xludf.DUMMYFUNCTION("""COMPUTED_VALUE"""),"")</f>
        <v/>
      </c>
    </row>
    <row r="20686" spans="2:4" ht="13">
      <c r="B20686" s="12" t="str">
        <f ca="1">IFERROR(__xludf.DUMMYFUNCTION("""COMPUTED_VALUE"""),"")</f>
        <v/>
      </c>
      <c r="C20686" s="12" t="str">
        <f ca="1">IFERROR(__xludf.DUMMYFUNCTION("""COMPUTED_VALUE"""),"")</f>
        <v/>
      </c>
      <c r="D20686" s="12" t="str">
        <f ca="1">IFERROR(__xludf.DUMMYFUNCTION("""COMPUTED_VALUE"""),"")</f>
        <v/>
      </c>
    </row>
    <row r="20687" spans="2:4" ht="13">
      <c r="B20687" s="12" t="str">
        <f ca="1">IFERROR(__xludf.DUMMYFUNCTION("""COMPUTED_VALUE"""),"")</f>
        <v/>
      </c>
      <c r="C20687" s="12" t="str">
        <f ca="1">IFERROR(__xludf.DUMMYFUNCTION("""COMPUTED_VALUE"""),"")</f>
        <v/>
      </c>
      <c r="D20687" s="12" t="str">
        <f ca="1">IFERROR(__xludf.DUMMYFUNCTION("""COMPUTED_VALUE"""),"")</f>
        <v/>
      </c>
    </row>
    <row r="20688" spans="2:4" ht="13">
      <c r="B20688" s="12" t="str">
        <f ca="1">IFERROR(__xludf.DUMMYFUNCTION("""COMPUTED_VALUE"""),"")</f>
        <v/>
      </c>
      <c r="C20688" s="12" t="str">
        <f ca="1">IFERROR(__xludf.DUMMYFUNCTION("""COMPUTED_VALUE"""),"")</f>
        <v/>
      </c>
      <c r="D20688" s="12" t="str">
        <f ca="1">IFERROR(__xludf.DUMMYFUNCTION("""COMPUTED_VALUE"""),"")</f>
        <v/>
      </c>
    </row>
    <row r="20689" spans="2:4" ht="13">
      <c r="B20689" s="12" t="str">
        <f ca="1">IFERROR(__xludf.DUMMYFUNCTION("""COMPUTED_VALUE"""),"")</f>
        <v/>
      </c>
      <c r="C20689" s="12" t="str">
        <f ca="1">IFERROR(__xludf.DUMMYFUNCTION("""COMPUTED_VALUE"""),"")</f>
        <v/>
      </c>
      <c r="D20689" s="12" t="str">
        <f ca="1">IFERROR(__xludf.DUMMYFUNCTION("""COMPUTED_VALUE"""),"")</f>
        <v/>
      </c>
    </row>
    <row r="20690" spans="2:4" ht="13">
      <c r="B20690" s="12" t="str">
        <f ca="1">IFERROR(__xludf.DUMMYFUNCTION("""COMPUTED_VALUE"""),"")</f>
        <v/>
      </c>
      <c r="C20690" s="12" t="str">
        <f ca="1">IFERROR(__xludf.DUMMYFUNCTION("""COMPUTED_VALUE"""),"")</f>
        <v/>
      </c>
      <c r="D20690" s="12" t="str">
        <f ca="1">IFERROR(__xludf.DUMMYFUNCTION("""COMPUTED_VALUE"""),"")</f>
        <v/>
      </c>
    </row>
    <row r="20691" spans="2:4" ht="13">
      <c r="B20691" s="12" t="str">
        <f ca="1">IFERROR(__xludf.DUMMYFUNCTION("""COMPUTED_VALUE"""),"")</f>
        <v/>
      </c>
      <c r="C20691" s="12" t="str">
        <f ca="1">IFERROR(__xludf.DUMMYFUNCTION("""COMPUTED_VALUE"""),"")</f>
        <v/>
      </c>
      <c r="D20691" s="12" t="str">
        <f ca="1">IFERROR(__xludf.DUMMYFUNCTION("""COMPUTED_VALUE"""),"")</f>
        <v/>
      </c>
    </row>
    <row r="20692" spans="2:4" ht="13">
      <c r="B20692" s="12" t="str">
        <f ca="1">IFERROR(__xludf.DUMMYFUNCTION("""COMPUTED_VALUE"""),"")</f>
        <v/>
      </c>
      <c r="C20692" s="12" t="str">
        <f ca="1">IFERROR(__xludf.DUMMYFUNCTION("""COMPUTED_VALUE"""),"")</f>
        <v/>
      </c>
      <c r="D20692" s="12" t="str">
        <f ca="1">IFERROR(__xludf.DUMMYFUNCTION("""COMPUTED_VALUE"""),"")</f>
        <v/>
      </c>
    </row>
    <row r="20693" spans="2:4" ht="13">
      <c r="B20693" s="12" t="str">
        <f ca="1">IFERROR(__xludf.DUMMYFUNCTION("""COMPUTED_VALUE"""),"")</f>
        <v/>
      </c>
      <c r="C20693" s="12" t="str">
        <f ca="1">IFERROR(__xludf.DUMMYFUNCTION("""COMPUTED_VALUE"""),"")</f>
        <v/>
      </c>
      <c r="D20693" s="12" t="str">
        <f ca="1">IFERROR(__xludf.DUMMYFUNCTION("""COMPUTED_VALUE"""),"")</f>
        <v/>
      </c>
    </row>
    <row r="20694" spans="2:4" ht="13">
      <c r="B20694" s="12" t="str">
        <f ca="1">IFERROR(__xludf.DUMMYFUNCTION("""COMPUTED_VALUE"""),"")</f>
        <v/>
      </c>
      <c r="C20694" s="12" t="str">
        <f ca="1">IFERROR(__xludf.DUMMYFUNCTION("""COMPUTED_VALUE"""),"")</f>
        <v/>
      </c>
      <c r="D20694" s="12" t="str">
        <f ca="1">IFERROR(__xludf.DUMMYFUNCTION("""COMPUTED_VALUE"""),"")</f>
        <v/>
      </c>
    </row>
    <row r="20695" spans="2:4" ht="13">
      <c r="B20695" s="12" t="str">
        <f ca="1">IFERROR(__xludf.DUMMYFUNCTION("""COMPUTED_VALUE"""),"")</f>
        <v/>
      </c>
      <c r="C20695" s="12" t="str">
        <f ca="1">IFERROR(__xludf.DUMMYFUNCTION("""COMPUTED_VALUE"""),"")</f>
        <v/>
      </c>
      <c r="D20695" s="12" t="str">
        <f ca="1">IFERROR(__xludf.DUMMYFUNCTION("""COMPUTED_VALUE"""),"")</f>
        <v/>
      </c>
    </row>
    <row r="20696" spans="2:4" ht="13">
      <c r="B20696" s="12" t="str">
        <f ca="1">IFERROR(__xludf.DUMMYFUNCTION("""COMPUTED_VALUE"""),"")</f>
        <v/>
      </c>
      <c r="C20696" s="12" t="str">
        <f ca="1">IFERROR(__xludf.DUMMYFUNCTION("""COMPUTED_VALUE"""),"")</f>
        <v/>
      </c>
      <c r="D20696" s="12" t="str">
        <f ca="1">IFERROR(__xludf.DUMMYFUNCTION("""COMPUTED_VALUE"""),"")</f>
        <v/>
      </c>
    </row>
    <row r="20697" spans="2:4" ht="13">
      <c r="B20697" s="12" t="str">
        <f ca="1">IFERROR(__xludf.DUMMYFUNCTION("""COMPUTED_VALUE"""),"")</f>
        <v/>
      </c>
      <c r="C20697" s="12" t="str">
        <f ca="1">IFERROR(__xludf.DUMMYFUNCTION("""COMPUTED_VALUE"""),"")</f>
        <v/>
      </c>
      <c r="D20697" s="12" t="str">
        <f ca="1">IFERROR(__xludf.DUMMYFUNCTION("""COMPUTED_VALUE"""),"")</f>
        <v/>
      </c>
    </row>
    <row r="20698" spans="2:4" ht="13">
      <c r="B20698" s="12" t="str">
        <f ca="1">IFERROR(__xludf.DUMMYFUNCTION("""COMPUTED_VALUE"""),"")</f>
        <v/>
      </c>
      <c r="C20698" s="12" t="str">
        <f ca="1">IFERROR(__xludf.DUMMYFUNCTION("""COMPUTED_VALUE"""),"")</f>
        <v/>
      </c>
      <c r="D20698" s="12" t="str">
        <f ca="1">IFERROR(__xludf.DUMMYFUNCTION("""COMPUTED_VALUE"""),"")</f>
        <v/>
      </c>
    </row>
    <row r="20699" spans="2:4" ht="13">
      <c r="B20699" s="12" t="str">
        <f ca="1">IFERROR(__xludf.DUMMYFUNCTION("""COMPUTED_VALUE"""),"")</f>
        <v/>
      </c>
      <c r="C20699" s="12" t="str">
        <f ca="1">IFERROR(__xludf.DUMMYFUNCTION("""COMPUTED_VALUE"""),"")</f>
        <v/>
      </c>
      <c r="D20699" s="12" t="str">
        <f ca="1">IFERROR(__xludf.DUMMYFUNCTION("""COMPUTED_VALUE"""),"")</f>
        <v/>
      </c>
    </row>
    <row r="20700" spans="2:4" ht="13">
      <c r="B20700" s="12" t="str">
        <f ca="1">IFERROR(__xludf.DUMMYFUNCTION("""COMPUTED_VALUE"""),"")</f>
        <v/>
      </c>
      <c r="C20700" s="12" t="str">
        <f ca="1">IFERROR(__xludf.DUMMYFUNCTION("""COMPUTED_VALUE"""),"")</f>
        <v/>
      </c>
      <c r="D20700" s="12" t="str">
        <f ca="1">IFERROR(__xludf.DUMMYFUNCTION("""COMPUTED_VALUE"""),"")</f>
        <v/>
      </c>
    </row>
    <row r="20701" spans="2:4" ht="13">
      <c r="B20701" s="12" t="str">
        <f ca="1">IFERROR(__xludf.DUMMYFUNCTION("""COMPUTED_VALUE"""),"")</f>
        <v/>
      </c>
      <c r="C20701" s="12" t="str">
        <f ca="1">IFERROR(__xludf.DUMMYFUNCTION("""COMPUTED_VALUE"""),"")</f>
        <v/>
      </c>
      <c r="D20701" s="12" t="str">
        <f ca="1">IFERROR(__xludf.DUMMYFUNCTION("""COMPUTED_VALUE"""),"")</f>
        <v/>
      </c>
    </row>
    <row r="20702" spans="2:4" ht="13">
      <c r="B20702" s="12" t="str">
        <f ca="1">IFERROR(__xludf.DUMMYFUNCTION("""COMPUTED_VALUE"""),"")</f>
        <v/>
      </c>
      <c r="C20702" s="12" t="str">
        <f ca="1">IFERROR(__xludf.DUMMYFUNCTION("""COMPUTED_VALUE"""),"")</f>
        <v/>
      </c>
      <c r="D20702" s="12" t="str">
        <f ca="1">IFERROR(__xludf.DUMMYFUNCTION("""COMPUTED_VALUE"""),"")</f>
        <v/>
      </c>
    </row>
    <row r="20703" spans="2:4" ht="13">
      <c r="B20703" s="12" t="str">
        <f ca="1">IFERROR(__xludf.DUMMYFUNCTION("""COMPUTED_VALUE"""),"")</f>
        <v/>
      </c>
      <c r="C20703" s="12" t="str">
        <f ca="1">IFERROR(__xludf.DUMMYFUNCTION("""COMPUTED_VALUE"""),"")</f>
        <v/>
      </c>
      <c r="D20703" s="12" t="str">
        <f ca="1">IFERROR(__xludf.DUMMYFUNCTION("""COMPUTED_VALUE"""),"")</f>
        <v/>
      </c>
    </row>
    <row r="20704" spans="2:4" ht="13">
      <c r="B20704" s="12" t="str">
        <f ca="1">IFERROR(__xludf.DUMMYFUNCTION("""COMPUTED_VALUE"""),"")</f>
        <v/>
      </c>
      <c r="C20704" s="12" t="str">
        <f ca="1">IFERROR(__xludf.DUMMYFUNCTION("""COMPUTED_VALUE"""),"")</f>
        <v/>
      </c>
      <c r="D20704" s="12" t="str">
        <f ca="1">IFERROR(__xludf.DUMMYFUNCTION("""COMPUTED_VALUE"""),"")</f>
        <v/>
      </c>
    </row>
    <row r="20705" spans="2:4" ht="13">
      <c r="B20705" s="12" t="str">
        <f ca="1">IFERROR(__xludf.DUMMYFUNCTION("""COMPUTED_VALUE"""),"")</f>
        <v/>
      </c>
      <c r="C20705" s="12" t="str">
        <f ca="1">IFERROR(__xludf.DUMMYFUNCTION("""COMPUTED_VALUE"""),"")</f>
        <v/>
      </c>
      <c r="D20705" s="12" t="str">
        <f ca="1">IFERROR(__xludf.DUMMYFUNCTION("""COMPUTED_VALUE"""),"")</f>
        <v/>
      </c>
    </row>
    <row r="20706" spans="2:4" ht="13">
      <c r="B20706" s="12" t="str">
        <f ca="1">IFERROR(__xludf.DUMMYFUNCTION("""COMPUTED_VALUE"""),"")</f>
        <v/>
      </c>
      <c r="C20706" s="12" t="str">
        <f ca="1">IFERROR(__xludf.DUMMYFUNCTION("""COMPUTED_VALUE"""),"")</f>
        <v/>
      </c>
      <c r="D20706" s="12" t="str">
        <f ca="1">IFERROR(__xludf.DUMMYFUNCTION("""COMPUTED_VALUE"""),"")</f>
        <v/>
      </c>
    </row>
    <row r="20707" spans="2:4" ht="13">
      <c r="B20707" s="12" t="str">
        <f ca="1">IFERROR(__xludf.DUMMYFUNCTION("""COMPUTED_VALUE"""),"")</f>
        <v/>
      </c>
      <c r="C20707" s="12" t="str">
        <f ca="1">IFERROR(__xludf.DUMMYFUNCTION("""COMPUTED_VALUE"""),"")</f>
        <v/>
      </c>
      <c r="D20707" s="12" t="str">
        <f ca="1">IFERROR(__xludf.DUMMYFUNCTION("""COMPUTED_VALUE"""),"")</f>
        <v/>
      </c>
    </row>
    <row r="20708" spans="2:4" ht="13">
      <c r="B20708" s="12" t="str">
        <f ca="1">IFERROR(__xludf.DUMMYFUNCTION("""COMPUTED_VALUE"""),"")</f>
        <v/>
      </c>
      <c r="C20708" s="12" t="str">
        <f ca="1">IFERROR(__xludf.DUMMYFUNCTION("""COMPUTED_VALUE"""),"")</f>
        <v/>
      </c>
      <c r="D20708" s="12" t="str">
        <f ca="1">IFERROR(__xludf.DUMMYFUNCTION("""COMPUTED_VALUE"""),"")</f>
        <v/>
      </c>
    </row>
    <row r="20709" spans="2:4" ht="13">
      <c r="B20709" s="12" t="str">
        <f ca="1">IFERROR(__xludf.DUMMYFUNCTION("""COMPUTED_VALUE"""),"")</f>
        <v/>
      </c>
      <c r="C20709" s="12" t="str">
        <f ca="1">IFERROR(__xludf.DUMMYFUNCTION("""COMPUTED_VALUE"""),"")</f>
        <v/>
      </c>
      <c r="D20709" s="12" t="str">
        <f ca="1">IFERROR(__xludf.DUMMYFUNCTION("""COMPUTED_VALUE"""),"")</f>
        <v/>
      </c>
    </row>
    <row r="20710" spans="2:4" ht="13">
      <c r="B20710" s="12" t="str">
        <f ca="1">IFERROR(__xludf.DUMMYFUNCTION("""COMPUTED_VALUE"""),"")</f>
        <v/>
      </c>
      <c r="C20710" s="12" t="str">
        <f ca="1">IFERROR(__xludf.DUMMYFUNCTION("""COMPUTED_VALUE"""),"")</f>
        <v/>
      </c>
      <c r="D20710" s="12" t="str">
        <f ca="1">IFERROR(__xludf.DUMMYFUNCTION("""COMPUTED_VALUE"""),"")</f>
        <v/>
      </c>
    </row>
    <row r="20711" spans="2:4" ht="13">
      <c r="B20711" s="12" t="str">
        <f ca="1">IFERROR(__xludf.DUMMYFUNCTION("""COMPUTED_VALUE"""),"")</f>
        <v/>
      </c>
      <c r="C20711" s="12" t="str">
        <f ca="1">IFERROR(__xludf.DUMMYFUNCTION("""COMPUTED_VALUE"""),"")</f>
        <v/>
      </c>
      <c r="D20711" s="12" t="str">
        <f ca="1">IFERROR(__xludf.DUMMYFUNCTION("""COMPUTED_VALUE"""),"")</f>
        <v/>
      </c>
    </row>
    <row r="20712" spans="2:4" ht="13">
      <c r="B20712" s="12" t="str">
        <f ca="1">IFERROR(__xludf.DUMMYFUNCTION("""COMPUTED_VALUE"""),"")</f>
        <v/>
      </c>
      <c r="C20712" s="12" t="str">
        <f ca="1">IFERROR(__xludf.DUMMYFUNCTION("""COMPUTED_VALUE"""),"")</f>
        <v/>
      </c>
      <c r="D20712" s="12" t="str">
        <f ca="1">IFERROR(__xludf.DUMMYFUNCTION("""COMPUTED_VALUE"""),"")</f>
        <v/>
      </c>
    </row>
    <row r="20713" spans="2:4" ht="13">
      <c r="B20713" s="12" t="str">
        <f ca="1">IFERROR(__xludf.DUMMYFUNCTION("""COMPUTED_VALUE"""),"")</f>
        <v/>
      </c>
      <c r="C20713" s="12" t="str">
        <f ca="1">IFERROR(__xludf.DUMMYFUNCTION("""COMPUTED_VALUE"""),"")</f>
        <v/>
      </c>
      <c r="D20713" s="12" t="str">
        <f ca="1">IFERROR(__xludf.DUMMYFUNCTION("""COMPUTED_VALUE"""),"")</f>
        <v/>
      </c>
    </row>
    <row r="20714" spans="2:4" ht="13">
      <c r="B20714" s="12" t="str">
        <f ca="1">IFERROR(__xludf.DUMMYFUNCTION("""COMPUTED_VALUE"""),"")</f>
        <v/>
      </c>
      <c r="C20714" s="12" t="str">
        <f ca="1">IFERROR(__xludf.DUMMYFUNCTION("""COMPUTED_VALUE"""),"")</f>
        <v/>
      </c>
      <c r="D20714" s="12" t="str">
        <f ca="1">IFERROR(__xludf.DUMMYFUNCTION("""COMPUTED_VALUE"""),"")</f>
        <v/>
      </c>
    </row>
    <row r="20715" spans="2:4" ht="13">
      <c r="B20715" s="12" t="str">
        <f ca="1">IFERROR(__xludf.DUMMYFUNCTION("""COMPUTED_VALUE"""),"")</f>
        <v/>
      </c>
      <c r="C20715" s="12" t="str">
        <f ca="1">IFERROR(__xludf.DUMMYFUNCTION("""COMPUTED_VALUE"""),"")</f>
        <v/>
      </c>
      <c r="D20715" s="12" t="str">
        <f ca="1">IFERROR(__xludf.DUMMYFUNCTION("""COMPUTED_VALUE"""),"")</f>
        <v/>
      </c>
    </row>
    <row r="20716" spans="2:4" ht="13">
      <c r="B20716" s="12" t="str">
        <f ca="1">IFERROR(__xludf.DUMMYFUNCTION("""COMPUTED_VALUE"""),"")</f>
        <v/>
      </c>
      <c r="C20716" s="12" t="str">
        <f ca="1">IFERROR(__xludf.DUMMYFUNCTION("""COMPUTED_VALUE"""),"")</f>
        <v/>
      </c>
      <c r="D20716" s="12" t="str">
        <f ca="1">IFERROR(__xludf.DUMMYFUNCTION("""COMPUTED_VALUE"""),"")</f>
        <v/>
      </c>
    </row>
    <row r="20717" spans="2:4" ht="13">
      <c r="B20717" s="12" t="str">
        <f ca="1">IFERROR(__xludf.DUMMYFUNCTION("""COMPUTED_VALUE"""),"")</f>
        <v/>
      </c>
      <c r="C20717" s="12" t="str">
        <f ca="1">IFERROR(__xludf.DUMMYFUNCTION("""COMPUTED_VALUE"""),"")</f>
        <v/>
      </c>
      <c r="D20717" s="12" t="str">
        <f ca="1">IFERROR(__xludf.DUMMYFUNCTION("""COMPUTED_VALUE"""),"")</f>
        <v/>
      </c>
    </row>
    <row r="20718" spans="2:4" ht="13">
      <c r="B20718" s="12" t="str">
        <f ca="1">IFERROR(__xludf.DUMMYFUNCTION("""COMPUTED_VALUE"""),"")</f>
        <v/>
      </c>
      <c r="C20718" s="12" t="str">
        <f ca="1">IFERROR(__xludf.DUMMYFUNCTION("""COMPUTED_VALUE"""),"")</f>
        <v/>
      </c>
      <c r="D20718" s="12" t="str">
        <f ca="1">IFERROR(__xludf.DUMMYFUNCTION("""COMPUTED_VALUE"""),"")</f>
        <v/>
      </c>
    </row>
    <row r="20719" spans="2:4" ht="13">
      <c r="B20719" s="12" t="str">
        <f ca="1">IFERROR(__xludf.DUMMYFUNCTION("""COMPUTED_VALUE"""),"")</f>
        <v/>
      </c>
      <c r="C20719" s="12" t="str">
        <f ca="1">IFERROR(__xludf.DUMMYFUNCTION("""COMPUTED_VALUE"""),"")</f>
        <v/>
      </c>
      <c r="D20719" s="12" t="str">
        <f ca="1">IFERROR(__xludf.DUMMYFUNCTION("""COMPUTED_VALUE"""),"")</f>
        <v/>
      </c>
    </row>
    <row r="20720" spans="2:4" ht="13">
      <c r="B20720" s="12" t="str">
        <f ca="1">IFERROR(__xludf.DUMMYFUNCTION("""COMPUTED_VALUE"""),"")</f>
        <v/>
      </c>
      <c r="C20720" s="12" t="str">
        <f ca="1">IFERROR(__xludf.DUMMYFUNCTION("""COMPUTED_VALUE"""),"")</f>
        <v/>
      </c>
      <c r="D20720" s="12" t="str">
        <f ca="1">IFERROR(__xludf.DUMMYFUNCTION("""COMPUTED_VALUE"""),"")</f>
        <v/>
      </c>
    </row>
    <row r="20721" spans="2:4" ht="13">
      <c r="B20721" s="12" t="str">
        <f ca="1">IFERROR(__xludf.DUMMYFUNCTION("""COMPUTED_VALUE"""),"")</f>
        <v/>
      </c>
      <c r="C20721" s="12" t="str">
        <f ca="1">IFERROR(__xludf.DUMMYFUNCTION("""COMPUTED_VALUE"""),"")</f>
        <v/>
      </c>
      <c r="D20721" s="12" t="str">
        <f ca="1">IFERROR(__xludf.DUMMYFUNCTION("""COMPUTED_VALUE"""),"")</f>
        <v/>
      </c>
    </row>
    <row r="20722" spans="2:4" ht="13">
      <c r="B20722" s="12" t="str">
        <f ca="1">IFERROR(__xludf.DUMMYFUNCTION("""COMPUTED_VALUE"""),"")</f>
        <v/>
      </c>
      <c r="C20722" s="12" t="str">
        <f ca="1">IFERROR(__xludf.DUMMYFUNCTION("""COMPUTED_VALUE"""),"")</f>
        <v/>
      </c>
      <c r="D20722" s="12" t="str">
        <f ca="1">IFERROR(__xludf.DUMMYFUNCTION("""COMPUTED_VALUE"""),"")</f>
        <v/>
      </c>
    </row>
    <row r="20723" spans="2:4" ht="13">
      <c r="B20723" s="12" t="str">
        <f ca="1">IFERROR(__xludf.DUMMYFUNCTION("""COMPUTED_VALUE"""),"")</f>
        <v/>
      </c>
      <c r="C20723" s="12" t="str">
        <f ca="1">IFERROR(__xludf.DUMMYFUNCTION("""COMPUTED_VALUE"""),"")</f>
        <v/>
      </c>
      <c r="D20723" s="12" t="str">
        <f ca="1">IFERROR(__xludf.DUMMYFUNCTION("""COMPUTED_VALUE"""),"")</f>
        <v/>
      </c>
    </row>
    <row r="20724" spans="2:4" ht="13">
      <c r="B20724" s="12" t="str">
        <f ca="1">IFERROR(__xludf.DUMMYFUNCTION("""COMPUTED_VALUE"""),"")</f>
        <v/>
      </c>
      <c r="C20724" s="12" t="str">
        <f ca="1">IFERROR(__xludf.DUMMYFUNCTION("""COMPUTED_VALUE"""),"")</f>
        <v/>
      </c>
      <c r="D20724" s="12" t="str">
        <f ca="1">IFERROR(__xludf.DUMMYFUNCTION("""COMPUTED_VALUE"""),"")</f>
        <v/>
      </c>
    </row>
    <row r="20725" spans="2:4" ht="13">
      <c r="B20725" s="12" t="str">
        <f ca="1">IFERROR(__xludf.DUMMYFUNCTION("""COMPUTED_VALUE"""),"")</f>
        <v/>
      </c>
      <c r="C20725" s="12" t="str">
        <f ca="1">IFERROR(__xludf.DUMMYFUNCTION("""COMPUTED_VALUE"""),"")</f>
        <v/>
      </c>
      <c r="D20725" s="12" t="str">
        <f ca="1">IFERROR(__xludf.DUMMYFUNCTION("""COMPUTED_VALUE"""),"")</f>
        <v/>
      </c>
    </row>
    <row r="20726" spans="2:4" ht="13">
      <c r="B20726" s="12" t="str">
        <f ca="1">IFERROR(__xludf.DUMMYFUNCTION("""COMPUTED_VALUE"""),"")</f>
        <v/>
      </c>
      <c r="C20726" s="12" t="str">
        <f ca="1">IFERROR(__xludf.DUMMYFUNCTION("""COMPUTED_VALUE"""),"")</f>
        <v/>
      </c>
      <c r="D20726" s="12" t="str">
        <f ca="1">IFERROR(__xludf.DUMMYFUNCTION("""COMPUTED_VALUE"""),"")</f>
        <v/>
      </c>
    </row>
    <row r="20727" spans="2:4" ht="13">
      <c r="B20727" s="12" t="str">
        <f ca="1">IFERROR(__xludf.DUMMYFUNCTION("""COMPUTED_VALUE"""),"")</f>
        <v/>
      </c>
      <c r="C20727" s="12" t="str">
        <f ca="1">IFERROR(__xludf.DUMMYFUNCTION("""COMPUTED_VALUE"""),"")</f>
        <v/>
      </c>
      <c r="D20727" s="12" t="str">
        <f ca="1">IFERROR(__xludf.DUMMYFUNCTION("""COMPUTED_VALUE"""),"")</f>
        <v/>
      </c>
    </row>
    <row r="20728" spans="2:4" ht="13">
      <c r="B20728" s="12" t="str">
        <f ca="1">IFERROR(__xludf.DUMMYFUNCTION("""COMPUTED_VALUE"""),"")</f>
        <v/>
      </c>
      <c r="C20728" s="12" t="str">
        <f ca="1">IFERROR(__xludf.DUMMYFUNCTION("""COMPUTED_VALUE"""),"")</f>
        <v/>
      </c>
      <c r="D20728" s="12" t="str">
        <f ca="1">IFERROR(__xludf.DUMMYFUNCTION("""COMPUTED_VALUE"""),"")</f>
        <v/>
      </c>
    </row>
    <row r="20729" spans="2:4" ht="13">
      <c r="B20729" s="12" t="str">
        <f ca="1">IFERROR(__xludf.DUMMYFUNCTION("""COMPUTED_VALUE"""),"")</f>
        <v/>
      </c>
      <c r="C20729" s="12" t="str">
        <f ca="1">IFERROR(__xludf.DUMMYFUNCTION("""COMPUTED_VALUE"""),"")</f>
        <v/>
      </c>
      <c r="D20729" s="12" t="str">
        <f ca="1">IFERROR(__xludf.DUMMYFUNCTION("""COMPUTED_VALUE"""),"")</f>
        <v/>
      </c>
    </row>
    <row r="20730" spans="2:4" ht="13">
      <c r="B20730" s="12" t="str">
        <f ca="1">IFERROR(__xludf.DUMMYFUNCTION("""COMPUTED_VALUE"""),"")</f>
        <v/>
      </c>
      <c r="C20730" s="12" t="str">
        <f ca="1">IFERROR(__xludf.DUMMYFUNCTION("""COMPUTED_VALUE"""),"")</f>
        <v/>
      </c>
      <c r="D20730" s="12" t="str">
        <f ca="1">IFERROR(__xludf.DUMMYFUNCTION("""COMPUTED_VALUE"""),"")</f>
        <v/>
      </c>
    </row>
    <row r="20731" spans="2:4" ht="13">
      <c r="B20731" s="12" t="str">
        <f ca="1">IFERROR(__xludf.DUMMYFUNCTION("""COMPUTED_VALUE"""),"")</f>
        <v/>
      </c>
      <c r="C20731" s="12" t="str">
        <f ca="1">IFERROR(__xludf.DUMMYFUNCTION("""COMPUTED_VALUE"""),"")</f>
        <v/>
      </c>
      <c r="D20731" s="12" t="str">
        <f ca="1">IFERROR(__xludf.DUMMYFUNCTION("""COMPUTED_VALUE"""),"")</f>
        <v/>
      </c>
    </row>
    <row r="20732" spans="2:4" ht="13">
      <c r="B20732" s="12" t="str">
        <f ca="1">IFERROR(__xludf.DUMMYFUNCTION("""COMPUTED_VALUE"""),"")</f>
        <v/>
      </c>
      <c r="C20732" s="12" t="str">
        <f ca="1">IFERROR(__xludf.DUMMYFUNCTION("""COMPUTED_VALUE"""),"")</f>
        <v/>
      </c>
      <c r="D20732" s="12" t="str">
        <f ca="1">IFERROR(__xludf.DUMMYFUNCTION("""COMPUTED_VALUE"""),"")</f>
        <v/>
      </c>
    </row>
    <row r="20733" spans="2:4" ht="13">
      <c r="B20733" s="12" t="str">
        <f ca="1">IFERROR(__xludf.DUMMYFUNCTION("""COMPUTED_VALUE"""),"")</f>
        <v/>
      </c>
      <c r="C20733" s="12" t="str">
        <f ca="1">IFERROR(__xludf.DUMMYFUNCTION("""COMPUTED_VALUE"""),"")</f>
        <v/>
      </c>
      <c r="D20733" s="12" t="str">
        <f ca="1">IFERROR(__xludf.DUMMYFUNCTION("""COMPUTED_VALUE"""),"")</f>
        <v/>
      </c>
    </row>
    <row r="20734" spans="2:4" ht="13">
      <c r="B20734" s="12" t="str">
        <f ca="1">IFERROR(__xludf.DUMMYFUNCTION("""COMPUTED_VALUE"""),"")</f>
        <v/>
      </c>
      <c r="C20734" s="12" t="str">
        <f ca="1">IFERROR(__xludf.DUMMYFUNCTION("""COMPUTED_VALUE"""),"")</f>
        <v/>
      </c>
      <c r="D20734" s="12" t="str">
        <f ca="1">IFERROR(__xludf.DUMMYFUNCTION("""COMPUTED_VALUE"""),"")</f>
        <v/>
      </c>
    </row>
    <row r="20735" spans="2:4" ht="13">
      <c r="B20735" s="12" t="str">
        <f ca="1">IFERROR(__xludf.DUMMYFUNCTION("""COMPUTED_VALUE"""),"")</f>
        <v/>
      </c>
      <c r="C20735" s="12" t="str">
        <f ca="1">IFERROR(__xludf.DUMMYFUNCTION("""COMPUTED_VALUE"""),"")</f>
        <v/>
      </c>
      <c r="D20735" s="12" t="str">
        <f ca="1">IFERROR(__xludf.DUMMYFUNCTION("""COMPUTED_VALUE"""),"")</f>
        <v/>
      </c>
    </row>
    <row r="20736" spans="2:4" ht="13">
      <c r="B20736" s="12" t="str">
        <f ca="1">IFERROR(__xludf.DUMMYFUNCTION("""COMPUTED_VALUE"""),"")</f>
        <v/>
      </c>
      <c r="C20736" s="12" t="str">
        <f ca="1">IFERROR(__xludf.DUMMYFUNCTION("""COMPUTED_VALUE"""),"")</f>
        <v/>
      </c>
      <c r="D20736" s="12" t="str">
        <f ca="1">IFERROR(__xludf.DUMMYFUNCTION("""COMPUTED_VALUE"""),"")</f>
        <v/>
      </c>
    </row>
    <row r="20737" spans="2:4" ht="13">
      <c r="B20737" s="12" t="str">
        <f ca="1">IFERROR(__xludf.DUMMYFUNCTION("""COMPUTED_VALUE"""),"")</f>
        <v/>
      </c>
      <c r="C20737" s="12" t="str">
        <f ca="1">IFERROR(__xludf.DUMMYFUNCTION("""COMPUTED_VALUE"""),"")</f>
        <v/>
      </c>
      <c r="D20737" s="12" t="str">
        <f ca="1">IFERROR(__xludf.DUMMYFUNCTION("""COMPUTED_VALUE"""),"")</f>
        <v/>
      </c>
    </row>
    <row r="20738" spans="2:4" ht="13">
      <c r="B20738" s="12" t="str">
        <f ca="1">IFERROR(__xludf.DUMMYFUNCTION("""COMPUTED_VALUE"""),"")</f>
        <v/>
      </c>
      <c r="C20738" s="12" t="str">
        <f ca="1">IFERROR(__xludf.DUMMYFUNCTION("""COMPUTED_VALUE"""),"")</f>
        <v/>
      </c>
      <c r="D20738" s="12" t="str">
        <f ca="1">IFERROR(__xludf.DUMMYFUNCTION("""COMPUTED_VALUE"""),"")</f>
        <v/>
      </c>
    </row>
    <row r="20739" spans="2:4" ht="13">
      <c r="B20739" s="12" t="str">
        <f ca="1">IFERROR(__xludf.DUMMYFUNCTION("""COMPUTED_VALUE"""),"")</f>
        <v/>
      </c>
      <c r="C20739" s="12" t="str">
        <f ca="1">IFERROR(__xludf.DUMMYFUNCTION("""COMPUTED_VALUE"""),"")</f>
        <v/>
      </c>
      <c r="D20739" s="12" t="str">
        <f ca="1">IFERROR(__xludf.DUMMYFUNCTION("""COMPUTED_VALUE"""),"")</f>
        <v/>
      </c>
    </row>
    <row r="20740" spans="2:4" ht="13">
      <c r="B20740" s="12" t="str">
        <f ca="1">IFERROR(__xludf.DUMMYFUNCTION("""COMPUTED_VALUE"""),"")</f>
        <v/>
      </c>
      <c r="C20740" s="12" t="str">
        <f ca="1">IFERROR(__xludf.DUMMYFUNCTION("""COMPUTED_VALUE"""),"")</f>
        <v/>
      </c>
      <c r="D20740" s="12" t="str">
        <f ca="1">IFERROR(__xludf.DUMMYFUNCTION("""COMPUTED_VALUE"""),"")</f>
        <v/>
      </c>
    </row>
    <row r="20741" spans="2:4" ht="13">
      <c r="B20741" s="12" t="str">
        <f ca="1">IFERROR(__xludf.DUMMYFUNCTION("""COMPUTED_VALUE"""),"")</f>
        <v/>
      </c>
      <c r="C20741" s="12" t="str">
        <f ca="1">IFERROR(__xludf.DUMMYFUNCTION("""COMPUTED_VALUE"""),"")</f>
        <v/>
      </c>
      <c r="D20741" s="12" t="str">
        <f ca="1">IFERROR(__xludf.DUMMYFUNCTION("""COMPUTED_VALUE"""),"")</f>
        <v/>
      </c>
    </row>
    <row r="20742" spans="2:4" ht="13">
      <c r="B20742" s="12" t="str">
        <f ca="1">IFERROR(__xludf.DUMMYFUNCTION("""COMPUTED_VALUE"""),"")</f>
        <v/>
      </c>
      <c r="C20742" s="12" t="str">
        <f ca="1">IFERROR(__xludf.DUMMYFUNCTION("""COMPUTED_VALUE"""),"")</f>
        <v/>
      </c>
      <c r="D20742" s="12" t="str">
        <f ca="1">IFERROR(__xludf.DUMMYFUNCTION("""COMPUTED_VALUE"""),"")</f>
        <v/>
      </c>
    </row>
    <row r="20743" spans="2:4" ht="13">
      <c r="B20743" s="12" t="str">
        <f ca="1">IFERROR(__xludf.DUMMYFUNCTION("""COMPUTED_VALUE"""),"")</f>
        <v/>
      </c>
      <c r="C20743" s="12" t="str">
        <f ca="1">IFERROR(__xludf.DUMMYFUNCTION("""COMPUTED_VALUE"""),"")</f>
        <v/>
      </c>
      <c r="D20743" s="12" t="str">
        <f ca="1">IFERROR(__xludf.DUMMYFUNCTION("""COMPUTED_VALUE"""),"")</f>
        <v/>
      </c>
    </row>
    <row r="20744" spans="2:4" ht="13">
      <c r="B20744" s="12" t="str">
        <f ca="1">IFERROR(__xludf.DUMMYFUNCTION("""COMPUTED_VALUE"""),"")</f>
        <v/>
      </c>
      <c r="C20744" s="12" t="str">
        <f ca="1">IFERROR(__xludf.DUMMYFUNCTION("""COMPUTED_VALUE"""),"")</f>
        <v/>
      </c>
      <c r="D20744" s="12" t="str">
        <f ca="1">IFERROR(__xludf.DUMMYFUNCTION("""COMPUTED_VALUE"""),"")</f>
        <v/>
      </c>
    </row>
    <row r="20745" spans="2:4" ht="13">
      <c r="B20745" s="12" t="str">
        <f ca="1">IFERROR(__xludf.DUMMYFUNCTION("""COMPUTED_VALUE"""),"")</f>
        <v/>
      </c>
      <c r="C20745" s="12" t="str">
        <f ca="1">IFERROR(__xludf.DUMMYFUNCTION("""COMPUTED_VALUE"""),"")</f>
        <v/>
      </c>
      <c r="D20745" s="12" t="str">
        <f ca="1">IFERROR(__xludf.DUMMYFUNCTION("""COMPUTED_VALUE"""),"")</f>
        <v/>
      </c>
    </row>
    <row r="20746" spans="2:4" ht="13">
      <c r="B20746" s="12" t="str">
        <f ca="1">IFERROR(__xludf.DUMMYFUNCTION("""COMPUTED_VALUE"""),"")</f>
        <v/>
      </c>
      <c r="C20746" s="12" t="str">
        <f ca="1">IFERROR(__xludf.DUMMYFUNCTION("""COMPUTED_VALUE"""),"")</f>
        <v/>
      </c>
      <c r="D20746" s="12" t="str">
        <f ca="1">IFERROR(__xludf.DUMMYFUNCTION("""COMPUTED_VALUE"""),"")</f>
        <v/>
      </c>
    </row>
    <row r="20747" spans="2:4" ht="13">
      <c r="B20747" s="12" t="str">
        <f ca="1">IFERROR(__xludf.DUMMYFUNCTION("""COMPUTED_VALUE"""),"")</f>
        <v/>
      </c>
      <c r="C20747" s="12" t="str">
        <f ca="1">IFERROR(__xludf.DUMMYFUNCTION("""COMPUTED_VALUE"""),"")</f>
        <v/>
      </c>
      <c r="D20747" s="12" t="str">
        <f ca="1">IFERROR(__xludf.DUMMYFUNCTION("""COMPUTED_VALUE"""),"")</f>
        <v/>
      </c>
    </row>
    <row r="20748" spans="2:4" ht="13">
      <c r="B20748" s="12" t="str">
        <f ca="1">IFERROR(__xludf.DUMMYFUNCTION("""COMPUTED_VALUE"""),"")</f>
        <v/>
      </c>
      <c r="C20748" s="12" t="str">
        <f ca="1">IFERROR(__xludf.DUMMYFUNCTION("""COMPUTED_VALUE"""),"")</f>
        <v/>
      </c>
      <c r="D20748" s="12" t="str">
        <f ca="1">IFERROR(__xludf.DUMMYFUNCTION("""COMPUTED_VALUE"""),"")</f>
        <v/>
      </c>
    </row>
    <row r="20749" spans="2:4" ht="13">
      <c r="B20749" s="12" t="str">
        <f ca="1">IFERROR(__xludf.DUMMYFUNCTION("""COMPUTED_VALUE"""),"")</f>
        <v/>
      </c>
      <c r="C20749" s="12" t="str">
        <f ca="1">IFERROR(__xludf.DUMMYFUNCTION("""COMPUTED_VALUE"""),"")</f>
        <v/>
      </c>
      <c r="D20749" s="12" t="str">
        <f ca="1">IFERROR(__xludf.DUMMYFUNCTION("""COMPUTED_VALUE"""),"")</f>
        <v/>
      </c>
    </row>
    <row r="20750" spans="2:4" ht="13">
      <c r="B20750" s="12" t="str">
        <f ca="1">IFERROR(__xludf.DUMMYFUNCTION("""COMPUTED_VALUE"""),"")</f>
        <v/>
      </c>
      <c r="C20750" s="12" t="str">
        <f ca="1">IFERROR(__xludf.DUMMYFUNCTION("""COMPUTED_VALUE"""),"")</f>
        <v/>
      </c>
      <c r="D20750" s="12" t="str">
        <f ca="1">IFERROR(__xludf.DUMMYFUNCTION("""COMPUTED_VALUE"""),"")</f>
        <v/>
      </c>
    </row>
    <row r="20751" spans="2:4" ht="13">
      <c r="B20751" s="12" t="str">
        <f ca="1">IFERROR(__xludf.DUMMYFUNCTION("""COMPUTED_VALUE"""),"")</f>
        <v/>
      </c>
      <c r="C20751" s="12" t="str">
        <f ca="1">IFERROR(__xludf.DUMMYFUNCTION("""COMPUTED_VALUE"""),"")</f>
        <v/>
      </c>
      <c r="D20751" s="12" t="str">
        <f ca="1">IFERROR(__xludf.DUMMYFUNCTION("""COMPUTED_VALUE"""),"")</f>
        <v/>
      </c>
    </row>
    <row r="20752" spans="2:4" ht="13">
      <c r="B20752" s="12" t="str">
        <f ca="1">IFERROR(__xludf.DUMMYFUNCTION("""COMPUTED_VALUE"""),"")</f>
        <v/>
      </c>
      <c r="C20752" s="12" t="str">
        <f ca="1">IFERROR(__xludf.DUMMYFUNCTION("""COMPUTED_VALUE"""),"")</f>
        <v/>
      </c>
      <c r="D20752" s="12" t="str">
        <f ca="1">IFERROR(__xludf.DUMMYFUNCTION("""COMPUTED_VALUE"""),"")</f>
        <v/>
      </c>
    </row>
    <row r="20753" spans="2:4" ht="13">
      <c r="B20753" s="12" t="str">
        <f ca="1">IFERROR(__xludf.DUMMYFUNCTION("""COMPUTED_VALUE"""),"")</f>
        <v/>
      </c>
      <c r="C20753" s="12" t="str">
        <f ca="1">IFERROR(__xludf.DUMMYFUNCTION("""COMPUTED_VALUE"""),"")</f>
        <v/>
      </c>
      <c r="D20753" s="12" t="str">
        <f ca="1">IFERROR(__xludf.DUMMYFUNCTION("""COMPUTED_VALUE"""),"")</f>
        <v/>
      </c>
    </row>
    <row r="20754" spans="2:4" ht="13">
      <c r="B20754" s="12" t="str">
        <f ca="1">IFERROR(__xludf.DUMMYFUNCTION("""COMPUTED_VALUE"""),"")</f>
        <v/>
      </c>
      <c r="C20754" s="12" t="str">
        <f ca="1">IFERROR(__xludf.DUMMYFUNCTION("""COMPUTED_VALUE"""),"")</f>
        <v/>
      </c>
      <c r="D20754" s="12" t="str">
        <f ca="1">IFERROR(__xludf.DUMMYFUNCTION("""COMPUTED_VALUE"""),"")</f>
        <v/>
      </c>
    </row>
    <row r="20755" spans="2:4" ht="13">
      <c r="B20755" s="12" t="str">
        <f ca="1">IFERROR(__xludf.DUMMYFUNCTION("""COMPUTED_VALUE"""),"")</f>
        <v/>
      </c>
      <c r="C20755" s="12" t="str">
        <f ca="1">IFERROR(__xludf.DUMMYFUNCTION("""COMPUTED_VALUE"""),"")</f>
        <v/>
      </c>
      <c r="D20755" s="12" t="str">
        <f ca="1">IFERROR(__xludf.DUMMYFUNCTION("""COMPUTED_VALUE"""),"")</f>
        <v/>
      </c>
    </row>
    <row r="20756" spans="2:4" ht="13">
      <c r="B20756" s="12" t="str">
        <f ca="1">IFERROR(__xludf.DUMMYFUNCTION("""COMPUTED_VALUE"""),"")</f>
        <v/>
      </c>
      <c r="C20756" s="12" t="str">
        <f ca="1">IFERROR(__xludf.DUMMYFUNCTION("""COMPUTED_VALUE"""),"")</f>
        <v/>
      </c>
      <c r="D20756" s="12" t="str">
        <f ca="1">IFERROR(__xludf.DUMMYFUNCTION("""COMPUTED_VALUE"""),"")</f>
        <v/>
      </c>
    </row>
    <row r="20757" spans="2:4" ht="13">
      <c r="B20757" s="12" t="str">
        <f ca="1">IFERROR(__xludf.DUMMYFUNCTION("""COMPUTED_VALUE"""),"")</f>
        <v/>
      </c>
      <c r="C20757" s="12" t="str">
        <f ca="1">IFERROR(__xludf.DUMMYFUNCTION("""COMPUTED_VALUE"""),"")</f>
        <v/>
      </c>
      <c r="D20757" s="12" t="str">
        <f ca="1">IFERROR(__xludf.DUMMYFUNCTION("""COMPUTED_VALUE"""),"")</f>
        <v/>
      </c>
    </row>
    <row r="20758" spans="2:4" ht="13">
      <c r="B20758" s="12" t="str">
        <f ca="1">IFERROR(__xludf.DUMMYFUNCTION("""COMPUTED_VALUE"""),"")</f>
        <v/>
      </c>
      <c r="C20758" s="12" t="str">
        <f ca="1">IFERROR(__xludf.DUMMYFUNCTION("""COMPUTED_VALUE"""),"")</f>
        <v/>
      </c>
      <c r="D20758" s="12" t="str">
        <f ca="1">IFERROR(__xludf.DUMMYFUNCTION("""COMPUTED_VALUE"""),"")</f>
        <v/>
      </c>
    </row>
    <row r="20759" spans="2:4" ht="13">
      <c r="B20759" s="12" t="str">
        <f ca="1">IFERROR(__xludf.DUMMYFUNCTION("""COMPUTED_VALUE"""),"")</f>
        <v/>
      </c>
      <c r="C20759" s="12" t="str">
        <f ca="1">IFERROR(__xludf.DUMMYFUNCTION("""COMPUTED_VALUE"""),"")</f>
        <v/>
      </c>
      <c r="D20759" s="12" t="str">
        <f ca="1">IFERROR(__xludf.DUMMYFUNCTION("""COMPUTED_VALUE"""),"")</f>
        <v/>
      </c>
    </row>
    <row r="20760" spans="2:4" ht="13">
      <c r="B20760" s="12" t="str">
        <f ca="1">IFERROR(__xludf.DUMMYFUNCTION("""COMPUTED_VALUE"""),"")</f>
        <v/>
      </c>
      <c r="C20760" s="12" t="str">
        <f ca="1">IFERROR(__xludf.DUMMYFUNCTION("""COMPUTED_VALUE"""),"")</f>
        <v/>
      </c>
      <c r="D20760" s="12" t="str">
        <f ca="1">IFERROR(__xludf.DUMMYFUNCTION("""COMPUTED_VALUE"""),"")</f>
        <v/>
      </c>
    </row>
    <row r="20761" spans="2:4" ht="13">
      <c r="B20761" s="12" t="str">
        <f ca="1">IFERROR(__xludf.DUMMYFUNCTION("""COMPUTED_VALUE"""),"")</f>
        <v/>
      </c>
      <c r="C20761" s="12" t="str">
        <f ca="1">IFERROR(__xludf.DUMMYFUNCTION("""COMPUTED_VALUE"""),"")</f>
        <v/>
      </c>
      <c r="D20761" s="12" t="str">
        <f ca="1">IFERROR(__xludf.DUMMYFUNCTION("""COMPUTED_VALUE"""),"")</f>
        <v/>
      </c>
    </row>
    <row r="20762" spans="2:4" ht="13">
      <c r="B20762" s="12" t="str">
        <f ca="1">IFERROR(__xludf.DUMMYFUNCTION("""COMPUTED_VALUE"""),"")</f>
        <v/>
      </c>
      <c r="C20762" s="12" t="str">
        <f ca="1">IFERROR(__xludf.DUMMYFUNCTION("""COMPUTED_VALUE"""),"")</f>
        <v/>
      </c>
      <c r="D20762" s="12" t="str">
        <f ca="1">IFERROR(__xludf.DUMMYFUNCTION("""COMPUTED_VALUE"""),"")</f>
        <v/>
      </c>
    </row>
    <row r="20763" spans="2:4" ht="13">
      <c r="B20763" s="12" t="str">
        <f ca="1">IFERROR(__xludf.DUMMYFUNCTION("""COMPUTED_VALUE"""),"")</f>
        <v/>
      </c>
      <c r="C20763" s="12" t="str">
        <f ca="1">IFERROR(__xludf.DUMMYFUNCTION("""COMPUTED_VALUE"""),"")</f>
        <v/>
      </c>
      <c r="D20763" s="12" t="str">
        <f ca="1">IFERROR(__xludf.DUMMYFUNCTION("""COMPUTED_VALUE"""),"")</f>
        <v/>
      </c>
    </row>
    <row r="20764" spans="2:4" ht="13">
      <c r="B20764" s="12" t="str">
        <f ca="1">IFERROR(__xludf.DUMMYFUNCTION("""COMPUTED_VALUE"""),"")</f>
        <v/>
      </c>
      <c r="C20764" s="12" t="str">
        <f ca="1">IFERROR(__xludf.DUMMYFUNCTION("""COMPUTED_VALUE"""),"")</f>
        <v/>
      </c>
      <c r="D20764" s="12" t="str">
        <f ca="1">IFERROR(__xludf.DUMMYFUNCTION("""COMPUTED_VALUE"""),"")</f>
        <v/>
      </c>
    </row>
    <row r="20765" spans="2:4" ht="13">
      <c r="B20765" s="12" t="str">
        <f ca="1">IFERROR(__xludf.DUMMYFUNCTION("""COMPUTED_VALUE"""),"")</f>
        <v/>
      </c>
      <c r="C20765" s="12" t="str">
        <f ca="1">IFERROR(__xludf.DUMMYFUNCTION("""COMPUTED_VALUE"""),"")</f>
        <v/>
      </c>
      <c r="D20765" s="12" t="str">
        <f ca="1">IFERROR(__xludf.DUMMYFUNCTION("""COMPUTED_VALUE"""),"")</f>
        <v/>
      </c>
    </row>
    <row r="20766" spans="2:4" ht="13">
      <c r="B20766" s="12" t="str">
        <f ca="1">IFERROR(__xludf.DUMMYFUNCTION("""COMPUTED_VALUE"""),"")</f>
        <v/>
      </c>
      <c r="C20766" s="12" t="str">
        <f ca="1">IFERROR(__xludf.DUMMYFUNCTION("""COMPUTED_VALUE"""),"")</f>
        <v/>
      </c>
      <c r="D20766" s="12" t="str">
        <f ca="1">IFERROR(__xludf.DUMMYFUNCTION("""COMPUTED_VALUE"""),"")</f>
        <v/>
      </c>
    </row>
    <row r="20767" spans="2:4" ht="13">
      <c r="B20767" s="12" t="str">
        <f ca="1">IFERROR(__xludf.DUMMYFUNCTION("""COMPUTED_VALUE"""),"")</f>
        <v/>
      </c>
      <c r="C20767" s="12" t="str">
        <f ca="1">IFERROR(__xludf.DUMMYFUNCTION("""COMPUTED_VALUE"""),"")</f>
        <v/>
      </c>
      <c r="D20767" s="12" t="str">
        <f ca="1">IFERROR(__xludf.DUMMYFUNCTION("""COMPUTED_VALUE"""),"")</f>
        <v/>
      </c>
    </row>
    <row r="20768" spans="2:4" ht="13">
      <c r="B20768" s="12" t="str">
        <f ca="1">IFERROR(__xludf.DUMMYFUNCTION("""COMPUTED_VALUE"""),"")</f>
        <v/>
      </c>
      <c r="C20768" s="12" t="str">
        <f ca="1">IFERROR(__xludf.DUMMYFUNCTION("""COMPUTED_VALUE"""),"")</f>
        <v/>
      </c>
      <c r="D20768" s="12" t="str">
        <f ca="1">IFERROR(__xludf.DUMMYFUNCTION("""COMPUTED_VALUE"""),"")</f>
        <v/>
      </c>
    </row>
    <row r="20769" spans="2:4" ht="13">
      <c r="B20769" s="12" t="str">
        <f ca="1">IFERROR(__xludf.DUMMYFUNCTION("""COMPUTED_VALUE"""),"")</f>
        <v/>
      </c>
      <c r="C20769" s="12" t="str">
        <f ca="1">IFERROR(__xludf.DUMMYFUNCTION("""COMPUTED_VALUE"""),"")</f>
        <v/>
      </c>
      <c r="D20769" s="12" t="str">
        <f ca="1">IFERROR(__xludf.DUMMYFUNCTION("""COMPUTED_VALUE"""),"")</f>
        <v/>
      </c>
    </row>
    <row r="20770" spans="2:4" ht="13">
      <c r="B20770" s="12" t="str">
        <f ca="1">IFERROR(__xludf.DUMMYFUNCTION("""COMPUTED_VALUE"""),"")</f>
        <v/>
      </c>
      <c r="C20770" s="12" t="str">
        <f ca="1">IFERROR(__xludf.DUMMYFUNCTION("""COMPUTED_VALUE"""),"")</f>
        <v/>
      </c>
      <c r="D20770" s="12" t="str">
        <f ca="1">IFERROR(__xludf.DUMMYFUNCTION("""COMPUTED_VALUE"""),"")</f>
        <v/>
      </c>
    </row>
    <row r="20771" spans="2:4" ht="13">
      <c r="B20771" s="12" t="str">
        <f ca="1">IFERROR(__xludf.DUMMYFUNCTION("""COMPUTED_VALUE"""),"")</f>
        <v/>
      </c>
      <c r="C20771" s="12" t="str">
        <f ca="1">IFERROR(__xludf.DUMMYFUNCTION("""COMPUTED_VALUE"""),"")</f>
        <v/>
      </c>
      <c r="D20771" s="12" t="str">
        <f ca="1">IFERROR(__xludf.DUMMYFUNCTION("""COMPUTED_VALUE"""),"")</f>
        <v/>
      </c>
    </row>
    <row r="20772" spans="2:4" ht="13">
      <c r="B20772" s="12" t="str">
        <f ca="1">IFERROR(__xludf.DUMMYFUNCTION("""COMPUTED_VALUE"""),"")</f>
        <v/>
      </c>
      <c r="C20772" s="12" t="str">
        <f ca="1">IFERROR(__xludf.DUMMYFUNCTION("""COMPUTED_VALUE"""),"")</f>
        <v/>
      </c>
      <c r="D20772" s="12" t="str">
        <f ca="1">IFERROR(__xludf.DUMMYFUNCTION("""COMPUTED_VALUE"""),"")</f>
        <v/>
      </c>
    </row>
    <row r="20773" spans="2:4" ht="13">
      <c r="B20773" s="12" t="str">
        <f ca="1">IFERROR(__xludf.DUMMYFUNCTION("""COMPUTED_VALUE"""),"")</f>
        <v/>
      </c>
      <c r="C20773" s="12" t="str">
        <f ca="1">IFERROR(__xludf.DUMMYFUNCTION("""COMPUTED_VALUE"""),"")</f>
        <v/>
      </c>
      <c r="D20773" s="12" t="str">
        <f ca="1">IFERROR(__xludf.DUMMYFUNCTION("""COMPUTED_VALUE"""),"")</f>
        <v/>
      </c>
    </row>
    <row r="20774" spans="2:4" ht="13">
      <c r="B20774" s="12" t="str">
        <f ca="1">IFERROR(__xludf.DUMMYFUNCTION("""COMPUTED_VALUE"""),"")</f>
        <v/>
      </c>
      <c r="C20774" s="12" t="str">
        <f ca="1">IFERROR(__xludf.DUMMYFUNCTION("""COMPUTED_VALUE"""),"")</f>
        <v/>
      </c>
      <c r="D20774" s="12" t="str">
        <f ca="1">IFERROR(__xludf.DUMMYFUNCTION("""COMPUTED_VALUE"""),"")</f>
        <v/>
      </c>
    </row>
    <row r="20775" spans="2:4" ht="13">
      <c r="B20775" s="12" t="str">
        <f ca="1">IFERROR(__xludf.DUMMYFUNCTION("""COMPUTED_VALUE"""),"")</f>
        <v/>
      </c>
      <c r="C20775" s="12" t="str">
        <f ca="1">IFERROR(__xludf.DUMMYFUNCTION("""COMPUTED_VALUE"""),"")</f>
        <v/>
      </c>
      <c r="D20775" s="12" t="str">
        <f ca="1">IFERROR(__xludf.DUMMYFUNCTION("""COMPUTED_VALUE"""),"")</f>
        <v/>
      </c>
    </row>
    <row r="20776" spans="2:4" ht="13">
      <c r="B20776" s="12" t="str">
        <f ca="1">IFERROR(__xludf.DUMMYFUNCTION("""COMPUTED_VALUE"""),"")</f>
        <v/>
      </c>
      <c r="C20776" s="12" t="str">
        <f ca="1">IFERROR(__xludf.DUMMYFUNCTION("""COMPUTED_VALUE"""),"")</f>
        <v/>
      </c>
      <c r="D20776" s="12" t="str">
        <f ca="1">IFERROR(__xludf.DUMMYFUNCTION("""COMPUTED_VALUE"""),"")</f>
        <v/>
      </c>
    </row>
    <row r="20777" spans="2:4" ht="13">
      <c r="B20777" s="12" t="str">
        <f ca="1">IFERROR(__xludf.DUMMYFUNCTION("""COMPUTED_VALUE"""),"")</f>
        <v/>
      </c>
      <c r="C20777" s="12" t="str">
        <f ca="1">IFERROR(__xludf.DUMMYFUNCTION("""COMPUTED_VALUE"""),"")</f>
        <v/>
      </c>
      <c r="D20777" s="12" t="str">
        <f ca="1">IFERROR(__xludf.DUMMYFUNCTION("""COMPUTED_VALUE"""),"")</f>
        <v/>
      </c>
    </row>
    <row r="20778" spans="2:4" ht="13">
      <c r="B20778" s="12" t="str">
        <f ca="1">IFERROR(__xludf.DUMMYFUNCTION("""COMPUTED_VALUE"""),"")</f>
        <v/>
      </c>
      <c r="C20778" s="12" t="str">
        <f ca="1">IFERROR(__xludf.DUMMYFUNCTION("""COMPUTED_VALUE"""),"")</f>
        <v/>
      </c>
      <c r="D20778" s="12" t="str">
        <f ca="1">IFERROR(__xludf.DUMMYFUNCTION("""COMPUTED_VALUE"""),"")</f>
        <v/>
      </c>
    </row>
    <row r="20779" spans="2:4" ht="13">
      <c r="B20779" s="12" t="str">
        <f ca="1">IFERROR(__xludf.DUMMYFUNCTION("""COMPUTED_VALUE"""),"")</f>
        <v/>
      </c>
      <c r="C20779" s="12" t="str">
        <f ca="1">IFERROR(__xludf.DUMMYFUNCTION("""COMPUTED_VALUE"""),"")</f>
        <v/>
      </c>
      <c r="D20779" s="12" t="str">
        <f ca="1">IFERROR(__xludf.DUMMYFUNCTION("""COMPUTED_VALUE"""),"")</f>
        <v/>
      </c>
    </row>
    <row r="20780" spans="2:4" ht="13">
      <c r="B20780" s="12" t="str">
        <f ca="1">IFERROR(__xludf.DUMMYFUNCTION("""COMPUTED_VALUE"""),"")</f>
        <v/>
      </c>
      <c r="C20780" s="12" t="str">
        <f ca="1">IFERROR(__xludf.DUMMYFUNCTION("""COMPUTED_VALUE"""),"")</f>
        <v/>
      </c>
      <c r="D20780" s="12" t="str">
        <f ca="1">IFERROR(__xludf.DUMMYFUNCTION("""COMPUTED_VALUE"""),"")</f>
        <v/>
      </c>
    </row>
    <row r="20781" spans="2:4" ht="13">
      <c r="B20781" s="12" t="str">
        <f ca="1">IFERROR(__xludf.DUMMYFUNCTION("""COMPUTED_VALUE"""),"")</f>
        <v/>
      </c>
      <c r="C20781" s="12" t="str">
        <f ca="1">IFERROR(__xludf.DUMMYFUNCTION("""COMPUTED_VALUE"""),"")</f>
        <v/>
      </c>
      <c r="D20781" s="12" t="str">
        <f ca="1">IFERROR(__xludf.DUMMYFUNCTION("""COMPUTED_VALUE"""),"")</f>
        <v/>
      </c>
    </row>
    <row r="20782" spans="2:4" ht="13">
      <c r="B20782" s="12" t="str">
        <f ca="1">IFERROR(__xludf.DUMMYFUNCTION("""COMPUTED_VALUE"""),"")</f>
        <v/>
      </c>
      <c r="C20782" s="12" t="str">
        <f ca="1">IFERROR(__xludf.DUMMYFUNCTION("""COMPUTED_VALUE"""),"")</f>
        <v/>
      </c>
      <c r="D20782" s="12" t="str">
        <f ca="1">IFERROR(__xludf.DUMMYFUNCTION("""COMPUTED_VALUE"""),"")</f>
        <v/>
      </c>
    </row>
    <row r="20783" spans="2:4" ht="13">
      <c r="B20783" s="12" t="str">
        <f ca="1">IFERROR(__xludf.DUMMYFUNCTION("""COMPUTED_VALUE"""),"")</f>
        <v/>
      </c>
      <c r="C20783" s="12" t="str">
        <f ca="1">IFERROR(__xludf.DUMMYFUNCTION("""COMPUTED_VALUE"""),"")</f>
        <v/>
      </c>
      <c r="D20783" s="12" t="str">
        <f ca="1">IFERROR(__xludf.DUMMYFUNCTION("""COMPUTED_VALUE"""),"")</f>
        <v/>
      </c>
    </row>
    <row r="20784" spans="2:4" ht="13">
      <c r="B20784" s="12" t="str">
        <f ca="1">IFERROR(__xludf.DUMMYFUNCTION("""COMPUTED_VALUE"""),"")</f>
        <v/>
      </c>
      <c r="C20784" s="12" t="str">
        <f ca="1">IFERROR(__xludf.DUMMYFUNCTION("""COMPUTED_VALUE"""),"")</f>
        <v/>
      </c>
      <c r="D20784" s="12" t="str">
        <f ca="1">IFERROR(__xludf.DUMMYFUNCTION("""COMPUTED_VALUE"""),"")</f>
        <v/>
      </c>
    </row>
    <row r="20785" spans="2:4" ht="13">
      <c r="B20785" s="12" t="str">
        <f ca="1">IFERROR(__xludf.DUMMYFUNCTION("""COMPUTED_VALUE"""),"")</f>
        <v/>
      </c>
      <c r="C20785" s="12" t="str">
        <f ca="1">IFERROR(__xludf.DUMMYFUNCTION("""COMPUTED_VALUE"""),"")</f>
        <v/>
      </c>
      <c r="D20785" s="12" t="str">
        <f ca="1">IFERROR(__xludf.DUMMYFUNCTION("""COMPUTED_VALUE"""),"")</f>
        <v/>
      </c>
    </row>
    <row r="20786" spans="2:4" ht="13">
      <c r="B20786" s="12" t="str">
        <f ca="1">IFERROR(__xludf.DUMMYFUNCTION("""COMPUTED_VALUE"""),"")</f>
        <v/>
      </c>
      <c r="C20786" s="12" t="str">
        <f ca="1">IFERROR(__xludf.DUMMYFUNCTION("""COMPUTED_VALUE"""),"")</f>
        <v/>
      </c>
      <c r="D20786" s="12" t="str">
        <f ca="1">IFERROR(__xludf.DUMMYFUNCTION("""COMPUTED_VALUE"""),"")</f>
        <v/>
      </c>
    </row>
    <row r="20787" spans="2:4" ht="13">
      <c r="B20787" s="12" t="str">
        <f ca="1">IFERROR(__xludf.DUMMYFUNCTION("""COMPUTED_VALUE"""),"")</f>
        <v/>
      </c>
      <c r="C20787" s="12" t="str">
        <f ca="1">IFERROR(__xludf.DUMMYFUNCTION("""COMPUTED_VALUE"""),"")</f>
        <v/>
      </c>
      <c r="D20787" s="12" t="str">
        <f ca="1">IFERROR(__xludf.DUMMYFUNCTION("""COMPUTED_VALUE"""),"")</f>
        <v/>
      </c>
    </row>
    <row r="20788" spans="2:4" ht="13">
      <c r="B20788" s="12" t="str">
        <f ca="1">IFERROR(__xludf.DUMMYFUNCTION("""COMPUTED_VALUE"""),"")</f>
        <v/>
      </c>
      <c r="C20788" s="12" t="str">
        <f ca="1">IFERROR(__xludf.DUMMYFUNCTION("""COMPUTED_VALUE"""),"")</f>
        <v/>
      </c>
      <c r="D20788" s="12" t="str">
        <f ca="1">IFERROR(__xludf.DUMMYFUNCTION("""COMPUTED_VALUE"""),"")</f>
        <v/>
      </c>
    </row>
    <row r="20789" spans="2:4" ht="13">
      <c r="B20789" s="12" t="str">
        <f ca="1">IFERROR(__xludf.DUMMYFUNCTION("""COMPUTED_VALUE"""),"")</f>
        <v/>
      </c>
      <c r="C20789" s="12" t="str">
        <f ca="1">IFERROR(__xludf.DUMMYFUNCTION("""COMPUTED_VALUE"""),"")</f>
        <v/>
      </c>
      <c r="D20789" s="12" t="str">
        <f ca="1">IFERROR(__xludf.DUMMYFUNCTION("""COMPUTED_VALUE"""),"")</f>
        <v/>
      </c>
    </row>
    <row r="20790" spans="2:4" ht="13">
      <c r="B20790" s="12" t="str">
        <f ca="1">IFERROR(__xludf.DUMMYFUNCTION("""COMPUTED_VALUE"""),"")</f>
        <v/>
      </c>
      <c r="C20790" s="12" t="str">
        <f ca="1">IFERROR(__xludf.DUMMYFUNCTION("""COMPUTED_VALUE"""),"")</f>
        <v/>
      </c>
      <c r="D20790" s="12" t="str">
        <f ca="1">IFERROR(__xludf.DUMMYFUNCTION("""COMPUTED_VALUE"""),"")</f>
        <v/>
      </c>
    </row>
    <row r="20791" spans="2:4" ht="13">
      <c r="B20791" s="12" t="str">
        <f ca="1">IFERROR(__xludf.DUMMYFUNCTION("""COMPUTED_VALUE"""),"")</f>
        <v/>
      </c>
      <c r="C20791" s="12" t="str">
        <f ca="1">IFERROR(__xludf.DUMMYFUNCTION("""COMPUTED_VALUE"""),"")</f>
        <v/>
      </c>
      <c r="D20791" s="12" t="str">
        <f ca="1">IFERROR(__xludf.DUMMYFUNCTION("""COMPUTED_VALUE"""),"")</f>
        <v/>
      </c>
    </row>
    <row r="20792" spans="2:4" ht="13">
      <c r="B20792" s="12" t="str">
        <f ca="1">IFERROR(__xludf.DUMMYFUNCTION("""COMPUTED_VALUE"""),"")</f>
        <v/>
      </c>
      <c r="C20792" s="12" t="str">
        <f ca="1">IFERROR(__xludf.DUMMYFUNCTION("""COMPUTED_VALUE"""),"")</f>
        <v/>
      </c>
      <c r="D20792" s="12" t="str">
        <f ca="1">IFERROR(__xludf.DUMMYFUNCTION("""COMPUTED_VALUE"""),"")</f>
        <v/>
      </c>
    </row>
    <row r="20793" spans="2:4" ht="13">
      <c r="B20793" s="12" t="str">
        <f ca="1">IFERROR(__xludf.DUMMYFUNCTION("""COMPUTED_VALUE"""),"")</f>
        <v/>
      </c>
      <c r="C20793" s="12" t="str">
        <f ca="1">IFERROR(__xludf.DUMMYFUNCTION("""COMPUTED_VALUE"""),"")</f>
        <v/>
      </c>
      <c r="D20793" s="12" t="str">
        <f ca="1">IFERROR(__xludf.DUMMYFUNCTION("""COMPUTED_VALUE"""),"")</f>
        <v/>
      </c>
    </row>
    <row r="20794" spans="2:4" ht="13">
      <c r="B20794" s="12" t="str">
        <f ca="1">IFERROR(__xludf.DUMMYFUNCTION("""COMPUTED_VALUE"""),"")</f>
        <v/>
      </c>
      <c r="C20794" s="12" t="str">
        <f ca="1">IFERROR(__xludf.DUMMYFUNCTION("""COMPUTED_VALUE"""),"")</f>
        <v/>
      </c>
      <c r="D20794" s="12" t="str">
        <f ca="1">IFERROR(__xludf.DUMMYFUNCTION("""COMPUTED_VALUE"""),"")</f>
        <v/>
      </c>
    </row>
    <row r="20795" spans="2:4" ht="13">
      <c r="B20795" s="12" t="str">
        <f ca="1">IFERROR(__xludf.DUMMYFUNCTION("""COMPUTED_VALUE"""),"")</f>
        <v/>
      </c>
      <c r="C20795" s="12" t="str">
        <f ca="1">IFERROR(__xludf.DUMMYFUNCTION("""COMPUTED_VALUE"""),"")</f>
        <v/>
      </c>
      <c r="D20795" s="12" t="str">
        <f ca="1">IFERROR(__xludf.DUMMYFUNCTION("""COMPUTED_VALUE"""),"")</f>
        <v/>
      </c>
    </row>
    <row r="20796" spans="2:4" ht="13">
      <c r="B20796" s="12" t="str">
        <f ca="1">IFERROR(__xludf.DUMMYFUNCTION("""COMPUTED_VALUE"""),"")</f>
        <v/>
      </c>
      <c r="C20796" s="12" t="str">
        <f ca="1">IFERROR(__xludf.DUMMYFUNCTION("""COMPUTED_VALUE"""),"")</f>
        <v/>
      </c>
      <c r="D20796" s="12" t="str">
        <f ca="1">IFERROR(__xludf.DUMMYFUNCTION("""COMPUTED_VALUE"""),"")</f>
        <v/>
      </c>
    </row>
    <row r="20797" spans="2:4" ht="13">
      <c r="B20797" s="12" t="str">
        <f ca="1">IFERROR(__xludf.DUMMYFUNCTION("""COMPUTED_VALUE"""),"")</f>
        <v/>
      </c>
      <c r="C20797" s="12" t="str">
        <f ca="1">IFERROR(__xludf.DUMMYFUNCTION("""COMPUTED_VALUE"""),"")</f>
        <v/>
      </c>
      <c r="D20797" s="12" t="str">
        <f ca="1">IFERROR(__xludf.DUMMYFUNCTION("""COMPUTED_VALUE"""),"")</f>
        <v/>
      </c>
    </row>
    <row r="20798" spans="2:4" ht="13">
      <c r="B20798" s="12" t="str">
        <f ca="1">IFERROR(__xludf.DUMMYFUNCTION("""COMPUTED_VALUE"""),"")</f>
        <v/>
      </c>
      <c r="C20798" s="12" t="str">
        <f ca="1">IFERROR(__xludf.DUMMYFUNCTION("""COMPUTED_VALUE"""),"")</f>
        <v/>
      </c>
      <c r="D20798" s="12" t="str">
        <f ca="1">IFERROR(__xludf.DUMMYFUNCTION("""COMPUTED_VALUE"""),"")</f>
        <v/>
      </c>
    </row>
    <row r="20799" spans="2:4" ht="13">
      <c r="B20799" s="12" t="str">
        <f ca="1">IFERROR(__xludf.DUMMYFUNCTION("""COMPUTED_VALUE"""),"")</f>
        <v/>
      </c>
      <c r="C20799" s="12" t="str">
        <f ca="1">IFERROR(__xludf.DUMMYFUNCTION("""COMPUTED_VALUE"""),"")</f>
        <v/>
      </c>
      <c r="D20799" s="12" t="str">
        <f ca="1">IFERROR(__xludf.DUMMYFUNCTION("""COMPUTED_VALUE"""),"")</f>
        <v/>
      </c>
    </row>
    <row r="20800" spans="2:4" ht="13">
      <c r="B20800" s="12" t="str">
        <f ca="1">IFERROR(__xludf.DUMMYFUNCTION("""COMPUTED_VALUE"""),"")</f>
        <v/>
      </c>
      <c r="C20800" s="12" t="str">
        <f ca="1">IFERROR(__xludf.DUMMYFUNCTION("""COMPUTED_VALUE"""),"")</f>
        <v/>
      </c>
      <c r="D20800" s="12" t="str">
        <f ca="1">IFERROR(__xludf.DUMMYFUNCTION("""COMPUTED_VALUE"""),"")</f>
        <v/>
      </c>
    </row>
    <row r="20801" spans="2:4" ht="13">
      <c r="B20801" s="12" t="str">
        <f ca="1">IFERROR(__xludf.DUMMYFUNCTION("""COMPUTED_VALUE"""),"")</f>
        <v/>
      </c>
      <c r="C20801" s="12" t="str">
        <f ca="1">IFERROR(__xludf.DUMMYFUNCTION("""COMPUTED_VALUE"""),"")</f>
        <v/>
      </c>
      <c r="D20801" s="12" t="str">
        <f ca="1">IFERROR(__xludf.DUMMYFUNCTION("""COMPUTED_VALUE"""),"")</f>
        <v/>
      </c>
    </row>
    <row r="20802" spans="2:4" ht="13">
      <c r="B20802" s="12" t="str">
        <f ca="1">IFERROR(__xludf.DUMMYFUNCTION("""COMPUTED_VALUE"""),"")</f>
        <v/>
      </c>
      <c r="C20802" s="12" t="str">
        <f ca="1">IFERROR(__xludf.DUMMYFUNCTION("""COMPUTED_VALUE"""),"")</f>
        <v/>
      </c>
      <c r="D20802" s="12" t="str">
        <f ca="1">IFERROR(__xludf.DUMMYFUNCTION("""COMPUTED_VALUE"""),"")</f>
        <v/>
      </c>
    </row>
    <row r="20803" spans="2:4" ht="13">
      <c r="B20803" s="12" t="str">
        <f ca="1">IFERROR(__xludf.DUMMYFUNCTION("""COMPUTED_VALUE"""),"")</f>
        <v/>
      </c>
      <c r="C20803" s="12" t="str">
        <f ca="1">IFERROR(__xludf.DUMMYFUNCTION("""COMPUTED_VALUE"""),"")</f>
        <v/>
      </c>
      <c r="D20803" s="12" t="str">
        <f ca="1">IFERROR(__xludf.DUMMYFUNCTION("""COMPUTED_VALUE"""),"")</f>
        <v/>
      </c>
    </row>
    <row r="20804" spans="2:4" ht="13">
      <c r="B20804" s="12" t="str">
        <f ca="1">IFERROR(__xludf.DUMMYFUNCTION("""COMPUTED_VALUE"""),"")</f>
        <v/>
      </c>
      <c r="C20804" s="12" t="str">
        <f ca="1">IFERROR(__xludf.DUMMYFUNCTION("""COMPUTED_VALUE"""),"")</f>
        <v/>
      </c>
      <c r="D20804" s="12" t="str">
        <f ca="1">IFERROR(__xludf.DUMMYFUNCTION("""COMPUTED_VALUE"""),"")</f>
        <v/>
      </c>
    </row>
    <row r="20805" spans="2:4" ht="13">
      <c r="B20805" s="12" t="str">
        <f ca="1">IFERROR(__xludf.DUMMYFUNCTION("""COMPUTED_VALUE"""),"")</f>
        <v/>
      </c>
      <c r="C20805" s="12" t="str">
        <f ca="1">IFERROR(__xludf.DUMMYFUNCTION("""COMPUTED_VALUE"""),"")</f>
        <v/>
      </c>
      <c r="D20805" s="12" t="str">
        <f ca="1">IFERROR(__xludf.DUMMYFUNCTION("""COMPUTED_VALUE"""),"")</f>
        <v/>
      </c>
    </row>
    <row r="20806" spans="2:4" ht="13">
      <c r="B20806" s="12" t="str">
        <f ca="1">IFERROR(__xludf.DUMMYFUNCTION("""COMPUTED_VALUE"""),"")</f>
        <v/>
      </c>
      <c r="C20806" s="12" t="str">
        <f ca="1">IFERROR(__xludf.DUMMYFUNCTION("""COMPUTED_VALUE"""),"")</f>
        <v/>
      </c>
      <c r="D20806" s="12" t="str">
        <f ca="1">IFERROR(__xludf.DUMMYFUNCTION("""COMPUTED_VALUE"""),"")</f>
        <v/>
      </c>
    </row>
    <row r="20807" spans="2:4" ht="13">
      <c r="B20807" s="12" t="str">
        <f ca="1">IFERROR(__xludf.DUMMYFUNCTION("""COMPUTED_VALUE"""),"")</f>
        <v/>
      </c>
      <c r="C20807" s="12" t="str">
        <f ca="1">IFERROR(__xludf.DUMMYFUNCTION("""COMPUTED_VALUE"""),"")</f>
        <v/>
      </c>
      <c r="D20807" s="12" t="str">
        <f ca="1">IFERROR(__xludf.DUMMYFUNCTION("""COMPUTED_VALUE"""),"")</f>
        <v/>
      </c>
    </row>
    <row r="20808" spans="2:4" ht="13">
      <c r="B20808" s="12" t="str">
        <f ca="1">IFERROR(__xludf.DUMMYFUNCTION("""COMPUTED_VALUE"""),"")</f>
        <v/>
      </c>
      <c r="C20808" s="12" t="str">
        <f ca="1">IFERROR(__xludf.DUMMYFUNCTION("""COMPUTED_VALUE"""),"")</f>
        <v/>
      </c>
      <c r="D20808" s="12" t="str">
        <f ca="1">IFERROR(__xludf.DUMMYFUNCTION("""COMPUTED_VALUE"""),"")</f>
        <v/>
      </c>
    </row>
    <row r="20809" spans="2:4" ht="13">
      <c r="B20809" s="12" t="str">
        <f ca="1">IFERROR(__xludf.DUMMYFUNCTION("""COMPUTED_VALUE"""),"")</f>
        <v/>
      </c>
      <c r="C20809" s="12" t="str">
        <f ca="1">IFERROR(__xludf.DUMMYFUNCTION("""COMPUTED_VALUE"""),"")</f>
        <v/>
      </c>
      <c r="D20809" s="12" t="str">
        <f ca="1">IFERROR(__xludf.DUMMYFUNCTION("""COMPUTED_VALUE"""),"")</f>
        <v/>
      </c>
    </row>
    <row r="20810" spans="2:4" ht="13">
      <c r="B20810" s="12" t="str">
        <f ca="1">IFERROR(__xludf.DUMMYFUNCTION("""COMPUTED_VALUE"""),"")</f>
        <v/>
      </c>
      <c r="C20810" s="12" t="str">
        <f ca="1">IFERROR(__xludf.DUMMYFUNCTION("""COMPUTED_VALUE"""),"")</f>
        <v/>
      </c>
      <c r="D20810" s="12" t="str">
        <f ca="1">IFERROR(__xludf.DUMMYFUNCTION("""COMPUTED_VALUE"""),"")</f>
        <v/>
      </c>
    </row>
    <row r="20811" spans="2:4" ht="13">
      <c r="B20811" s="12" t="str">
        <f ca="1">IFERROR(__xludf.DUMMYFUNCTION("""COMPUTED_VALUE"""),"")</f>
        <v/>
      </c>
      <c r="C20811" s="12" t="str">
        <f ca="1">IFERROR(__xludf.DUMMYFUNCTION("""COMPUTED_VALUE"""),"")</f>
        <v/>
      </c>
      <c r="D20811" s="12" t="str">
        <f ca="1">IFERROR(__xludf.DUMMYFUNCTION("""COMPUTED_VALUE"""),"")</f>
        <v/>
      </c>
    </row>
    <row r="20812" spans="2:4" ht="13">
      <c r="B20812" s="12" t="str">
        <f ca="1">IFERROR(__xludf.DUMMYFUNCTION("""COMPUTED_VALUE"""),"")</f>
        <v/>
      </c>
      <c r="C20812" s="12" t="str">
        <f ca="1">IFERROR(__xludf.DUMMYFUNCTION("""COMPUTED_VALUE"""),"")</f>
        <v/>
      </c>
      <c r="D20812" s="12" t="str">
        <f ca="1">IFERROR(__xludf.DUMMYFUNCTION("""COMPUTED_VALUE"""),"")</f>
        <v/>
      </c>
    </row>
    <row r="20813" spans="2:4" ht="13">
      <c r="B20813" s="12" t="str">
        <f ca="1">IFERROR(__xludf.DUMMYFUNCTION("""COMPUTED_VALUE"""),"")</f>
        <v/>
      </c>
      <c r="C20813" s="12" t="str">
        <f ca="1">IFERROR(__xludf.DUMMYFUNCTION("""COMPUTED_VALUE"""),"")</f>
        <v/>
      </c>
      <c r="D20813" s="12" t="str">
        <f ca="1">IFERROR(__xludf.DUMMYFUNCTION("""COMPUTED_VALUE"""),"")</f>
        <v/>
      </c>
    </row>
    <row r="20814" spans="2:4" ht="13">
      <c r="B20814" s="12" t="str">
        <f ca="1">IFERROR(__xludf.DUMMYFUNCTION("""COMPUTED_VALUE"""),"")</f>
        <v/>
      </c>
      <c r="C20814" s="12" t="str">
        <f ca="1">IFERROR(__xludf.DUMMYFUNCTION("""COMPUTED_VALUE"""),"")</f>
        <v/>
      </c>
      <c r="D20814" s="12" t="str">
        <f ca="1">IFERROR(__xludf.DUMMYFUNCTION("""COMPUTED_VALUE"""),"")</f>
        <v/>
      </c>
    </row>
    <row r="20815" spans="2:4" ht="13">
      <c r="B20815" s="12" t="str">
        <f ca="1">IFERROR(__xludf.DUMMYFUNCTION("""COMPUTED_VALUE"""),"")</f>
        <v/>
      </c>
      <c r="C20815" s="12" t="str">
        <f ca="1">IFERROR(__xludf.DUMMYFUNCTION("""COMPUTED_VALUE"""),"")</f>
        <v/>
      </c>
      <c r="D20815" s="12" t="str">
        <f ca="1">IFERROR(__xludf.DUMMYFUNCTION("""COMPUTED_VALUE"""),"")</f>
        <v/>
      </c>
    </row>
    <row r="20816" spans="2:4" ht="13">
      <c r="B20816" s="12" t="str">
        <f ca="1">IFERROR(__xludf.DUMMYFUNCTION("""COMPUTED_VALUE"""),"")</f>
        <v/>
      </c>
      <c r="C20816" s="12" t="str">
        <f ca="1">IFERROR(__xludf.DUMMYFUNCTION("""COMPUTED_VALUE"""),"")</f>
        <v/>
      </c>
      <c r="D20816" s="12" t="str">
        <f ca="1">IFERROR(__xludf.DUMMYFUNCTION("""COMPUTED_VALUE"""),"")</f>
        <v/>
      </c>
    </row>
    <row r="20817" spans="2:4" ht="13">
      <c r="B20817" s="12" t="str">
        <f ca="1">IFERROR(__xludf.DUMMYFUNCTION("""COMPUTED_VALUE"""),"")</f>
        <v/>
      </c>
      <c r="C20817" s="12" t="str">
        <f ca="1">IFERROR(__xludf.DUMMYFUNCTION("""COMPUTED_VALUE"""),"")</f>
        <v/>
      </c>
      <c r="D20817" s="12" t="str">
        <f ca="1">IFERROR(__xludf.DUMMYFUNCTION("""COMPUTED_VALUE"""),"")</f>
        <v/>
      </c>
    </row>
    <row r="20818" spans="2:4" ht="13">
      <c r="B20818" s="12" t="str">
        <f ca="1">IFERROR(__xludf.DUMMYFUNCTION("""COMPUTED_VALUE"""),"")</f>
        <v/>
      </c>
      <c r="C20818" s="12" t="str">
        <f ca="1">IFERROR(__xludf.DUMMYFUNCTION("""COMPUTED_VALUE"""),"")</f>
        <v/>
      </c>
      <c r="D20818" s="12" t="str">
        <f ca="1">IFERROR(__xludf.DUMMYFUNCTION("""COMPUTED_VALUE"""),"")</f>
        <v/>
      </c>
    </row>
    <row r="20819" spans="2:4" ht="13">
      <c r="B20819" s="12" t="str">
        <f ca="1">IFERROR(__xludf.DUMMYFUNCTION("""COMPUTED_VALUE"""),"")</f>
        <v/>
      </c>
      <c r="C20819" s="12" t="str">
        <f ca="1">IFERROR(__xludf.DUMMYFUNCTION("""COMPUTED_VALUE"""),"")</f>
        <v/>
      </c>
      <c r="D20819" s="12" t="str">
        <f ca="1">IFERROR(__xludf.DUMMYFUNCTION("""COMPUTED_VALUE"""),"")</f>
        <v/>
      </c>
    </row>
    <row r="20820" spans="2:4" ht="13">
      <c r="B20820" s="12" t="str">
        <f ca="1">IFERROR(__xludf.DUMMYFUNCTION("""COMPUTED_VALUE"""),"")</f>
        <v/>
      </c>
      <c r="C20820" s="12" t="str">
        <f ca="1">IFERROR(__xludf.DUMMYFUNCTION("""COMPUTED_VALUE"""),"")</f>
        <v/>
      </c>
      <c r="D20820" s="12" t="str">
        <f ca="1">IFERROR(__xludf.DUMMYFUNCTION("""COMPUTED_VALUE"""),"")</f>
        <v/>
      </c>
    </row>
    <row r="20821" spans="2:4" ht="13">
      <c r="B20821" s="12" t="str">
        <f ca="1">IFERROR(__xludf.DUMMYFUNCTION("""COMPUTED_VALUE"""),"")</f>
        <v/>
      </c>
      <c r="C20821" s="12" t="str">
        <f ca="1">IFERROR(__xludf.DUMMYFUNCTION("""COMPUTED_VALUE"""),"")</f>
        <v/>
      </c>
      <c r="D20821" s="12" t="str">
        <f ca="1">IFERROR(__xludf.DUMMYFUNCTION("""COMPUTED_VALUE"""),"")</f>
        <v/>
      </c>
    </row>
    <row r="20822" spans="2:4" ht="13">
      <c r="B20822" s="12" t="str">
        <f ca="1">IFERROR(__xludf.DUMMYFUNCTION("""COMPUTED_VALUE"""),"")</f>
        <v/>
      </c>
      <c r="C20822" s="12" t="str">
        <f ca="1">IFERROR(__xludf.DUMMYFUNCTION("""COMPUTED_VALUE"""),"")</f>
        <v/>
      </c>
      <c r="D20822" s="12" t="str">
        <f ca="1">IFERROR(__xludf.DUMMYFUNCTION("""COMPUTED_VALUE"""),"")</f>
        <v/>
      </c>
    </row>
    <row r="20823" spans="2:4" ht="13">
      <c r="B20823" s="12" t="str">
        <f ca="1">IFERROR(__xludf.DUMMYFUNCTION("""COMPUTED_VALUE"""),"")</f>
        <v/>
      </c>
      <c r="C20823" s="12" t="str">
        <f ca="1">IFERROR(__xludf.DUMMYFUNCTION("""COMPUTED_VALUE"""),"")</f>
        <v/>
      </c>
      <c r="D20823" s="12" t="str">
        <f ca="1">IFERROR(__xludf.DUMMYFUNCTION("""COMPUTED_VALUE"""),"")</f>
        <v/>
      </c>
    </row>
    <row r="20824" spans="2:4" ht="13">
      <c r="B20824" s="12" t="str">
        <f ca="1">IFERROR(__xludf.DUMMYFUNCTION("""COMPUTED_VALUE"""),"")</f>
        <v/>
      </c>
      <c r="C20824" s="12" t="str">
        <f ca="1">IFERROR(__xludf.DUMMYFUNCTION("""COMPUTED_VALUE"""),"")</f>
        <v/>
      </c>
      <c r="D20824" s="12" t="str">
        <f ca="1">IFERROR(__xludf.DUMMYFUNCTION("""COMPUTED_VALUE"""),"")</f>
        <v/>
      </c>
    </row>
    <row r="20825" spans="2:4" ht="13">
      <c r="B20825" s="12" t="str">
        <f ca="1">IFERROR(__xludf.DUMMYFUNCTION("""COMPUTED_VALUE"""),"")</f>
        <v/>
      </c>
      <c r="C20825" s="12" t="str">
        <f ca="1">IFERROR(__xludf.DUMMYFUNCTION("""COMPUTED_VALUE"""),"")</f>
        <v/>
      </c>
      <c r="D20825" s="12" t="str">
        <f ca="1">IFERROR(__xludf.DUMMYFUNCTION("""COMPUTED_VALUE"""),"")</f>
        <v/>
      </c>
    </row>
    <row r="20826" spans="2:4" ht="13">
      <c r="B20826" s="12" t="str">
        <f ca="1">IFERROR(__xludf.DUMMYFUNCTION("""COMPUTED_VALUE"""),"")</f>
        <v/>
      </c>
      <c r="C20826" s="12" t="str">
        <f ca="1">IFERROR(__xludf.DUMMYFUNCTION("""COMPUTED_VALUE"""),"")</f>
        <v/>
      </c>
      <c r="D20826" s="12" t="str">
        <f ca="1">IFERROR(__xludf.DUMMYFUNCTION("""COMPUTED_VALUE"""),"")</f>
        <v/>
      </c>
    </row>
    <row r="20827" spans="2:4" ht="13">
      <c r="B20827" s="12" t="str">
        <f ca="1">IFERROR(__xludf.DUMMYFUNCTION("""COMPUTED_VALUE"""),"")</f>
        <v/>
      </c>
      <c r="C20827" s="12" t="str">
        <f ca="1">IFERROR(__xludf.DUMMYFUNCTION("""COMPUTED_VALUE"""),"")</f>
        <v/>
      </c>
      <c r="D20827" s="12" t="str">
        <f ca="1">IFERROR(__xludf.DUMMYFUNCTION("""COMPUTED_VALUE"""),"")</f>
        <v/>
      </c>
    </row>
    <row r="20828" spans="2:4" ht="13">
      <c r="B20828" s="12" t="str">
        <f ca="1">IFERROR(__xludf.DUMMYFUNCTION("""COMPUTED_VALUE"""),"")</f>
        <v/>
      </c>
      <c r="C20828" s="12" t="str">
        <f ca="1">IFERROR(__xludf.DUMMYFUNCTION("""COMPUTED_VALUE"""),"")</f>
        <v/>
      </c>
      <c r="D20828" s="12" t="str">
        <f ca="1">IFERROR(__xludf.DUMMYFUNCTION("""COMPUTED_VALUE"""),"")</f>
        <v/>
      </c>
    </row>
    <row r="20829" spans="2:4" ht="13">
      <c r="B20829" s="12" t="str">
        <f ca="1">IFERROR(__xludf.DUMMYFUNCTION("""COMPUTED_VALUE"""),"")</f>
        <v/>
      </c>
      <c r="C20829" s="12" t="str">
        <f ca="1">IFERROR(__xludf.DUMMYFUNCTION("""COMPUTED_VALUE"""),"")</f>
        <v/>
      </c>
      <c r="D20829" s="12" t="str">
        <f ca="1">IFERROR(__xludf.DUMMYFUNCTION("""COMPUTED_VALUE"""),"")</f>
        <v/>
      </c>
    </row>
    <row r="20830" spans="2:4" ht="13">
      <c r="B20830" s="12" t="str">
        <f ca="1">IFERROR(__xludf.DUMMYFUNCTION("""COMPUTED_VALUE"""),"")</f>
        <v/>
      </c>
      <c r="C20830" s="12" t="str">
        <f ca="1">IFERROR(__xludf.DUMMYFUNCTION("""COMPUTED_VALUE"""),"")</f>
        <v/>
      </c>
      <c r="D20830" s="12" t="str">
        <f ca="1">IFERROR(__xludf.DUMMYFUNCTION("""COMPUTED_VALUE"""),"")</f>
        <v/>
      </c>
    </row>
    <row r="20831" spans="2:4" ht="13">
      <c r="B20831" s="12" t="str">
        <f ca="1">IFERROR(__xludf.DUMMYFUNCTION("""COMPUTED_VALUE"""),"")</f>
        <v/>
      </c>
      <c r="C20831" s="12" t="str">
        <f ca="1">IFERROR(__xludf.DUMMYFUNCTION("""COMPUTED_VALUE"""),"")</f>
        <v/>
      </c>
      <c r="D20831" s="12" t="str">
        <f ca="1">IFERROR(__xludf.DUMMYFUNCTION("""COMPUTED_VALUE"""),"")</f>
        <v/>
      </c>
    </row>
    <row r="20832" spans="2:4" ht="13">
      <c r="B20832" s="12" t="str">
        <f ca="1">IFERROR(__xludf.DUMMYFUNCTION("""COMPUTED_VALUE"""),"")</f>
        <v/>
      </c>
      <c r="C20832" s="12" t="str">
        <f ca="1">IFERROR(__xludf.DUMMYFUNCTION("""COMPUTED_VALUE"""),"")</f>
        <v/>
      </c>
      <c r="D20832" s="12" t="str">
        <f ca="1">IFERROR(__xludf.DUMMYFUNCTION("""COMPUTED_VALUE"""),"")</f>
        <v/>
      </c>
    </row>
    <row r="20833" spans="2:4" ht="13">
      <c r="B20833" s="12" t="str">
        <f ca="1">IFERROR(__xludf.DUMMYFUNCTION("""COMPUTED_VALUE"""),"")</f>
        <v/>
      </c>
      <c r="C20833" s="12" t="str">
        <f ca="1">IFERROR(__xludf.DUMMYFUNCTION("""COMPUTED_VALUE"""),"")</f>
        <v/>
      </c>
      <c r="D20833" s="12" t="str">
        <f ca="1">IFERROR(__xludf.DUMMYFUNCTION("""COMPUTED_VALUE"""),"")</f>
        <v/>
      </c>
    </row>
    <row r="20834" spans="2:4" ht="13">
      <c r="B20834" s="12" t="str">
        <f ca="1">IFERROR(__xludf.DUMMYFUNCTION("""COMPUTED_VALUE"""),"")</f>
        <v/>
      </c>
      <c r="C20834" s="12" t="str">
        <f ca="1">IFERROR(__xludf.DUMMYFUNCTION("""COMPUTED_VALUE"""),"")</f>
        <v/>
      </c>
      <c r="D20834" s="12" t="str">
        <f ca="1">IFERROR(__xludf.DUMMYFUNCTION("""COMPUTED_VALUE"""),"")</f>
        <v/>
      </c>
    </row>
    <row r="20835" spans="2:4" ht="13">
      <c r="B20835" s="12" t="str">
        <f ca="1">IFERROR(__xludf.DUMMYFUNCTION("""COMPUTED_VALUE"""),"")</f>
        <v/>
      </c>
      <c r="C20835" s="12" t="str">
        <f ca="1">IFERROR(__xludf.DUMMYFUNCTION("""COMPUTED_VALUE"""),"")</f>
        <v/>
      </c>
      <c r="D20835" s="12" t="str">
        <f ca="1">IFERROR(__xludf.DUMMYFUNCTION("""COMPUTED_VALUE"""),"")</f>
        <v/>
      </c>
    </row>
    <row r="20836" spans="2:4" ht="13">
      <c r="B20836" s="12" t="str">
        <f ca="1">IFERROR(__xludf.DUMMYFUNCTION("""COMPUTED_VALUE"""),"")</f>
        <v/>
      </c>
      <c r="C20836" s="12" t="str">
        <f ca="1">IFERROR(__xludf.DUMMYFUNCTION("""COMPUTED_VALUE"""),"")</f>
        <v/>
      </c>
      <c r="D20836" s="12" t="str">
        <f ca="1">IFERROR(__xludf.DUMMYFUNCTION("""COMPUTED_VALUE"""),"")</f>
        <v/>
      </c>
    </row>
    <row r="20837" spans="2:4" ht="13">
      <c r="B20837" s="12" t="str">
        <f ca="1">IFERROR(__xludf.DUMMYFUNCTION("""COMPUTED_VALUE"""),"")</f>
        <v/>
      </c>
      <c r="C20837" s="12" t="str">
        <f ca="1">IFERROR(__xludf.DUMMYFUNCTION("""COMPUTED_VALUE"""),"")</f>
        <v/>
      </c>
      <c r="D20837" s="12" t="str">
        <f ca="1">IFERROR(__xludf.DUMMYFUNCTION("""COMPUTED_VALUE"""),"")</f>
        <v/>
      </c>
    </row>
    <row r="20838" spans="2:4" ht="13">
      <c r="B20838" s="12" t="str">
        <f ca="1">IFERROR(__xludf.DUMMYFUNCTION("""COMPUTED_VALUE"""),"")</f>
        <v/>
      </c>
      <c r="C20838" s="12" t="str">
        <f ca="1">IFERROR(__xludf.DUMMYFUNCTION("""COMPUTED_VALUE"""),"")</f>
        <v/>
      </c>
      <c r="D20838" s="12" t="str">
        <f ca="1">IFERROR(__xludf.DUMMYFUNCTION("""COMPUTED_VALUE"""),"")</f>
        <v/>
      </c>
    </row>
    <row r="20839" spans="2:4" ht="13">
      <c r="B20839" s="12" t="str">
        <f ca="1">IFERROR(__xludf.DUMMYFUNCTION("""COMPUTED_VALUE"""),"")</f>
        <v/>
      </c>
      <c r="C20839" s="12" t="str">
        <f ca="1">IFERROR(__xludf.DUMMYFUNCTION("""COMPUTED_VALUE"""),"")</f>
        <v/>
      </c>
      <c r="D20839" s="12" t="str">
        <f ca="1">IFERROR(__xludf.DUMMYFUNCTION("""COMPUTED_VALUE"""),"")</f>
        <v/>
      </c>
    </row>
    <row r="20840" spans="2:4" ht="13">
      <c r="B20840" s="12" t="str">
        <f ca="1">IFERROR(__xludf.DUMMYFUNCTION("""COMPUTED_VALUE"""),"")</f>
        <v/>
      </c>
      <c r="C20840" s="12" t="str">
        <f ca="1">IFERROR(__xludf.DUMMYFUNCTION("""COMPUTED_VALUE"""),"")</f>
        <v/>
      </c>
      <c r="D20840" s="12" t="str">
        <f ca="1">IFERROR(__xludf.DUMMYFUNCTION("""COMPUTED_VALUE"""),"")</f>
        <v/>
      </c>
    </row>
    <row r="20841" spans="2:4" ht="13">
      <c r="B20841" s="12" t="str">
        <f ca="1">IFERROR(__xludf.DUMMYFUNCTION("""COMPUTED_VALUE"""),"")</f>
        <v/>
      </c>
      <c r="C20841" s="12" t="str">
        <f ca="1">IFERROR(__xludf.DUMMYFUNCTION("""COMPUTED_VALUE"""),"")</f>
        <v/>
      </c>
      <c r="D20841" s="12" t="str">
        <f ca="1">IFERROR(__xludf.DUMMYFUNCTION("""COMPUTED_VALUE"""),"")</f>
        <v/>
      </c>
    </row>
    <row r="20842" spans="2:4" ht="13">
      <c r="B20842" s="12" t="str">
        <f ca="1">IFERROR(__xludf.DUMMYFUNCTION("""COMPUTED_VALUE"""),"")</f>
        <v/>
      </c>
      <c r="C20842" s="12" t="str">
        <f ca="1">IFERROR(__xludf.DUMMYFUNCTION("""COMPUTED_VALUE"""),"")</f>
        <v/>
      </c>
      <c r="D20842" s="12" t="str">
        <f ca="1">IFERROR(__xludf.DUMMYFUNCTION("""COMPUTED_VALUE"""),"")</f>
        <v/>
      </c>
    </row>
    <row r="20843" spans="2:4" ht="13">
      <c r="B20843" s="12" t="str">
        <f ca="1">IFERROR(__xludf.DUMMYFUNCTION("""COMPUTED_VALUE"""),"")</f>
        <v/>
      </c>
      <c r="C20843" s="12" t="str">
        <f ca="1">IFERROR(__xludf.DUMMYFUNCTION("""COMPUTED_VALUE"""),"")</f>
        <v/>
      </c>
      <c r="D20843" s="12" t="str">
        <f ca="1">IFERROR(__xludf.DUMMYFUNCTION("""COMPUTED_VALUE"""),"")</f>
        <v/>
      </c>
    </row>
    <row r="20844" spans="2:4" ht="13">
      <c r="B20844" s="12" t="str">
        <f ca="1">IFERROR(__xludf.DUMMYFUNCTION("""COMPUTED_VALUE"""),"")</f>
        <v/>
      </c>
      <c r="C20844" s="12" t="str">
        <f ca="1">IFERROR(__xludf.DUMMYFUNCTION("""COMPUTED_VALUE"""),"")</f>
        <v/>
      </c>
      <c r="D20844" s="12" t="str">
        <f ca="1">IFERROR(__xludf.DUMMYFUNCTION("""COMPUTED_VALUE"""),"")</f>
        <v/>
      </c>
    </row>
    <row r="20845" spans="2:4" ht="13">
      <c r="B20845" s="12" t="str">
        <f ca="1">IFERROR(__xludf.DUMMYFUNCTION("""COMPUTED_VALUE"""),"")</f>
        <v/>
      </c>
      <c r="C20845" s="12" t="str">
        <f ca="1">IFERROR(__xludf.DUMMYFUNCTION("""COMPUTED_VALUE"""),"")</f>
        <v/>
      </c>
      <c r="D20845" s="12" t="str">
        <f ca="1">IFERROR(__xludf.DUMMYFUNCTION("""COMPUTED_VALUE"""),"")</f>
        <v/>
      </c>
    </row>
    <row r="20846" spans="2:4" ht="13">
      <c r="B20846" s="12" t="str">
        <f ca="1">IFERROR(__xludf.DUMMYFUNCTION("""COMPUTED_VALUE"""),"")</f>
        <v/>
      </c>
      <c r="C20846" s="12" t="str">
        <f ca="1">IFERROR(__xludf.DUMMYFUNCTION("""COMPUTED_VALUE"""),"")</f>
        <v/>
      </c>
      <c r="D20846" s="12" t="str">
        <f ca="1">IFERROR(__xludf.DUMMYFUNCTION("""COMPUTED_VALUE"""),"")</f>
        <v/>
      </c>
    </row>
    <row r="20847" spans="2:4" ht="13">
      <c r="B20847" s="12" t="str">
        <f ca="1">IFERROR(__xludf.DUMMYFUNCTION("""COMPUTED_VALUE"""),"")</f>
        <v/>
      </c>
      <c r="C20847" s="12" t="str">
        <f ca="1">IFERROR(__xludf.DUMMYFUNCTION("""COMPUTED_VALUE"""),"")</f>
        <v/>
      </c>
      <c r="D20847" s="12" t="str">
        <f ca="1">IFERROR(__xludf.DUMMYFUNCTION("""COMPUTED_VALUE"""),"")</f>
        <v/>
      </c>
    </row>
    <row r="20848" spans="2:4" ht="13">
      <c r="B20848" s="12" t="str">
        <f ca="1">IFERROR(__xludf.DUMMYFUNCTION("""COMPUTED_VALUE"""),"")</f>
        <v/>
      </c>
      <c r="C20848" s="12" t="str">
        <f ca="1">IFERROR(__xludf.DUMMYFUNCTION("""COMPUTED_VALUE"""),"")</f>
        <v/>
      </c>
      <c r="D20848" s="12" t="str">
        <f ca="1">IFERROR(__xludf.DUMMYFUNCTION("""COMPUTED_VALUE"""),"")</f>
        <v/>
      </c>
    </row>
    <row r="20849" spans="2:4" ht="13">
      <c r="B20849" s="12" t="str">
        <f ca="1">IFERROR(__xludf.DUMMYFUNCTION("""COMPUTED_VALUE"""),"")</f>
        <v/>
      </c>
      <c r="C20849" s="12" t="str">
        <f ca="1">IFERROR(__xludf.DUMMYFUNCTION("""COMPUTED_VALUE"""),"")</f>
        <v/>
      </c>
      <c r="D20849" s="12" t="str">
        <f ca="1">IFERROR(__xludf.DUMMYFUNCTION("""COMPUTED_VALUE"""),"")</f>
        <v/>
      </c>
    </row>
    <row r="20850" spans="2:4" ht="13">
      <c r="B20850" s="12" t="str">
        <f ca="1">IFERROR(__xludf.DUMMYFUNCTION("""COMPUTED_VALUE"""),"")</f>
        <v/>
      </c>
      <c r="C20850" s="12" t="str">
        <f ca="1">IFERROR(__xludf.DUMMYFUNCTION("""COMPUTED_VALUE"""),"")</f>
        <v/>
      </c>
      <c r="D20850" s="12" t="str">
        <f ca="1">IFERROR(__xludf.DUMMYFUNCTION("""COMPUTED_VALUE"""),"")</f>
        <v/>
      </c>
    </row>
    <row r="20851" spans="2:4" ht="13">
      <c r="B20851" s="12" t="str">
        <f ca="1">IFERROR(__xludf.DUMMYFUNCTION("""COMPUTED_VALUE"""),"")</f>
        <v/>
      </c>
      <c r="C20851" s="12" t="str">
        <f ca="1">IFERROR(__xludf.DUMMYFUNCTION("""COMPUTED_VALUE"""),"")</f>
        <v/>
      </c>
      <c r="D20851" s="12" t="str">
        <f ca="1">IFERROR(__xludf.DUMMYFUNCTION("""COMPUTED_VALUE"""),"")</f>
        <v/>
      </c>
    </row>
    <row r="20852" spans="2:4" ht="13">
      <c r="B20852" s="12" t="str">
        <f ca="1">IFERROR(__xludf.DUMMYFUNCTION("""COMPUTED_VALUE"""),"")</f>
        <v/>
      </c>
      <c r="C20852" s="12" t="str">
        <f ca="1">IFERROR(__xludf.DUMMYFUNCTION("""COMPUTED_VALUE"""),"")</f>
        <v/>
      </c>
      <c r="D20852" s="12" t="str">
        <f ca="1">IFERROR(__xludf.DUMMYFUNCTION("""COMPUTED_VALUE"""),"")</f>
        <v/>
      </c>
    </row>
    <row r="20853" spans="2:4" ht="13">
      <c r="B20853" s="12" t="str">
        <f ca="1">IFERROR(__xludf.DUMMYFUNCTION("""COMPUTED_VALUE"""),"")</f>
        <v/>
      </c>
      <c r="C20853" s="12" t="str">
        <f ca="1">IFERROR(__xludf.DUMMYFUNCTION("""COMPUTED_VALUE"""),"")</f>
        <v/>
      </c>
      <c r="D20853" s="12" t="str">
        <f ca="1">IFERROR(__xludf.DUMMYFUNCTION("""COMPUTED_VALUE"""),"")</f>
        <v/>
      </c>
    </row>
    <row r="20854" spans="2:4" ht="13">
      <c r="B20854" s="12" t="str">
        <f ca="1">IFERROR(__xludf.DUMMYFUNCTION("""COMPUTED_VALUE"""),"")</f>
        <v/>
      </c>
      <c r="C20854" s="12" t="str">
        <f ca="1">IFERROR(__xludf.DUMMYFUNCTION("""COMPUTED_VALUE"""),"")</f>
        <v/>
      </c>
      <c r="D20854" s="12" t="str">
        <f ca="1">IFERROR(__xludf.DUMMYFUNCTION("""COMPUTED_VALUE"""),"")</f>
        <v/>
      </c>
    </row>
    <row r="20855" spans="2:4" ht="13">
      <c r="B20855" s="12" t="str">
        <f ca="1">IFERROR(__xludf.DUMMYFUNCTION("""COMPUTED_VALUE"""),"")</f>
        <v/>
      </c>
      <c r="C20855" s="12" t="str">
        <f ca="1">IFERROR(__xludf.DUMMYFUNCTION("""COMPUTED_VALUE"""),"")</f>
        <v/>
      </c>
      <c r="D20855" s="12" t="str">
        <f ca="1">IFERROR(__xludf.DUMMYFUNCTION("""COMPUTED_VALUE"""),"")</f>
        <v/>
      </c>
    </row>
    <row r="20856" spans="2:4" ht="13">
      <c r="B20856" s="12" t="str">
        <f ca="1">IFERROR(__xludf.DUMMYFUNCTION("""COMPUTED_VALUE"""),"")</f>
        <v/>
      </c>
      <c r="C20856" s="12" t="str">
        <f ca="1">IFERROR(__xludf.DUMMYFUNCTION("""COMPUTED_VALUE"""),"")</f>
        <v/>
      </c>
      <c r="D20856" s="12" t="str">
        <f ca="1">IFERROR(__xludf.DUMMYFUNCTION("""COMPUTED_VALUE"""),"")</f>
        <v/>
      </c>
    </row>
    <row r="20857" spans="2:4" ht="13">
      <c r="B20857" s="12" t="str">
        <f ca="1">IFERROR(__xludf.DUMMYFUNCTION("""COMPUTED_VALUE"""),"")</f>
        <v/>
      </c>
      <c r="C20857" s="12" t="str">
        <f ca="1">IFERROR(__xludf.DUMMYFUNCTION("""COMPUTED_VALUE"""),"")</f>
        <v/>
      </c>
      <c r="D20857" s="12" t="str">
        <f ca="1">IFERROR(__xludf.DUMMYFUNCTION("""COMPUTED_VALUE"""),"")</f>
        <v/>
      </c>
    </row>
    <row r="20858" spans="2:4" ht="13">
      <c r="B20858" s="12" t="str">
        <f ca="1">IFERROR(__xludf.DUMMYFUNCTION("""COMPUTED_VALUE"""),"")</f>
        <v/>
      </c>
      <c r="C20858" s="12" t="str">
        <f ca="1">IFERROR(__xludf.DUMMYFUNCTION("""COMPUTED_VALUE"""),"")</f>
        <v/>
      </c>
      <c r="D20858" s="12" t="str">
        <f ca="1">IFERROR(__xludf.DUMMYFUNCTION("""COMPUTED_VALUE"""),"")</f>
        <v/>
      </c>
    </row>
    <row r="20859" spans="2:4" ht="13">
      <c r="B20859" s="12" t="str">
        <f ca="1">IFERROR(__xludf.DUMMYFUNCTION("""COMPUTED_VALUE"""),"")</f>
        <v/>
      </c>
      <c r="C20859" s="12" t="str">
        <f ca="1">IFERROR(__xludf.DUMMYFUNCTION("""COMPUTED_VALUE"""),"")</f>
        <v/>
      </c>
      <c r="D20859" s="12" t="str">
        <f ca="1">IFERROR(__xludf.DUMMYFUNCTION("""COMPUTED_VALUE"""),"")</f>
        <v/>
      </c>
    </row>
    <row r="20860" spans="2:4" ht="13">
      <c r="B20860" s="12" t="str">
        <f ca="1">IFERROR(__xludf.DUMMYFUNCTION("""COMPUTED_VALUE"""),"")</f>
        <v/>
      </c>
      <c r="C20860" s="12" t="str">
        <f ca="1">IFERROR(__xludf.DUMMYFUNCTION("""COMPUTED_VALUE"""),"")</f>
        <v/>
      </c>
      <c r="D20860" s="12" t="str">
        <f ca="1">IFERROR(__xludf.DUMMYFUNCTION("""COMPUTED_VALUE"""),"")</f>
        <v/>
      </c>
    </row>
    <row r="20861" spans="2:4" ht="13">
      <c r="B20861" s="12" t="str">
        <f ca="1">IFERROR(__xludf.DUMMYFUNCTION("""COMPUTED_VALUE"""),"")</f>
        <v/>
      </c>
      <c r="C20861" s="12" t="str">
        <f ca="1">IFERROR(__xludf.DUMMYFUNCTION("""COMPUTED_VALUE"""),"")</f>
        <v/>
      </c>
      <c r="D20861" s="12" t="str">
        <f ca="1">IFERROR(__xludf.DUMMYFUNCTION("""COMPUTED_VALUE"""),"")</f>
        <v/>
      </c>
    </row>
    <row r="20862" spans="2:4" ht="13">
      <c r="B20862" s="12" t="str">
        <f ca="1">IFERROR(__xludf.DUMMYFUNCTION("""COMPUTED_VALUE"""),"")</f>
        <v/>
      </c>
      <c r="C20862" s="12" t="str">
        <f ca="1">IFERROR(__xludf.DUMMYFUNCTION("""COMPUTED_VALUE"""),"")</f>
        <v/>
      </c>
      <c r="D20862" s="12" t="str">
        <f ca="1">IFERROR(__xludf.DUMMYFUNCTION("""COMPUTED_VALUE"""),"")</f>
        <v/>
      </c>
    </row>
    <row r="20863" spans="2:4" ht="13">
      <c r="B20863" s="12" t="str">
        <f ca="1">IFERROR(__xludf.DUMMYFUNCTION("""COMPUTED_VALUE"""),"")</f>
        <v/>
      </c>
      <c r="C20863" s="12" t="str">
        <f ca="1">IFERROR(__xludf.DUMMYFUNCTION("""COMPUTED_VALUE"""),"")</f>
        <v/>
      </c>
      <c r="D20863" s="12" t="str">
        <f ca="1">IFERROR(__xludf.DUMMYFUNCTION("""COMPUTED_VALUE"""),"")</f>
        <v/>
      </c>
    </row>
    <row r="20864" spans="2:4" ht="13">
      <c r="B20864" s="12" t="str">
        <f ca="1">IFERROR(__xludf.DUMMYFUNCTION("""COMPUTED_VALUE"""),"")</f>
        <v/>
      </c>
      <c r="C20864" s="12" t="str">
        <f ca="1">IFERROR(__xludf.DUMMYFUNCTION("""COMPUTED_VALUE"""),"")</f>
        <v/>
      </c>
      <c r="D20864" s="12" t="str">
        <f ca="1">IFERROR(__xludf.DUMMYFUNCTION("""COMPUTED_VALUE"""),"")</f>
        <v/>
      </c>
    </row>
    <row r="20865" spans="2:4" ht="13">
      <c r="B20865" s="12" t="str">
        <f ca="1">IFERROR(__xludf.DUMMYFUNCTION("""COMPUTED_VALUE"""),"")</f>
        <v/>
      </c>
      <c r="C20865" s="12" t="str">
        <f ca="1">IFERROR(__xludf.DUMMYFUNCTION("""COMPUTED_VALUE"""),"")</f>
        <v/>
      </c>
      <c r="D20865" s="12" t="str">
        <f ca="1">IFERROR(__xludf.DUMMYFUNCTION("""COMPUTED_VALUE"""),"")</f>
        <v/>
      </c>
    </row>
    <row r="20866" spans="2:4" ht="13">
      <c r="B20866" s="12" t="str">
        <f ca="1">IFERROR(__xludf.DUMMYFUNCTION("""COMPUTED_VALUE"""),"")</f>
        <v/>
      </c>
      <c r="C20866" s="12" t="str">
        <f ca="1">IFERROR(__xludf.DUMMYFUNCTION("""COMPUTED_VALUE"""),"")</f>
        <v/>
      </c>
      <c r="D20866" s="12" t="str">
        <f ca="1">IFERROR(__xludf.DUMMYFUNCTION("""COMPUTED_VALUE"""),"")</f>
        <v/>
      </c>
    </row>
    <row r="20867" spans="2:4" ht="13">
      <c r="B20867" s="12" t="str">
        <f ca="1">IFERROR(__xludf.DUMMYFUNCTION("""COMPUTED_VALUE"""),"")</f>
        <v/>
      </c>
      <c r="C20867" s="12" t="str">
        <f ca="1">IFERROR(__xludf.DUMMYFUNCTION("""COMPUTED_VALUE"""),"")</f>
        <v/>
      </c>
      <c r="D20867" s="12" t="str">
        <f ca="1">IFERROR(__xludf.DUMMYFUNCTION("""COMPUTED_VALUE"""),"")</f>
        <v/>
      </c>
    </row>
    <row r="20868" spans="2:4" ht="13">
      <c r="B20868" s="12" t="str">
        <f ca="1">IFERROR(__xludf.DUMMYFUNCTION("""COMPUTED_VALUE"""),"")</f>
        <v/>
      </c>
      <c r="C20868" s="12" t="str">
        <f ca="1">IFERROR(__xludf.DUMMYFUNCTION("""COMPUTED_VALUE"""),"")</f>
        <v/>
      </c>
      <c r="D20868" s="12" t="str">
        <f ca="1">IFERROR(__xludf.DUMMYFUNCTION("""COMPUTED_VALUE"""),"")</f>
        <v/>
      </c>
    </row>
    <row r="20869" spans="2:4" ht="13">
      <c r="B20869" s="12" t="str">
        <f ca="1">IFERROR(__xludf.DUMMYFUNCTION("""COMPUTED_VALUE"""),"")</f>
        <v/>
      </c>
      <c r="C20869" s="12" t="str">
        <f ca="1">IFERROR(__xludf.DUMMYFUNCTION("""COMPUTED_VALUE"""),"")</f>
        <v/>
      </c>
      <c r="D20869" s="12" t="str">
        <f ca="1">IFERROR(__xludf.DUMMYFUNCTION("""COMPUTED_VALUE"""),"")</f>
        <v/>
      </c>
    </row>
    <row r="20870" spans="2:4" ht="13">
      <c r="B20870" s="12" t="str">
        <f ca="1">IFERROR(__xludf.DUMMYFUNCTION("""COMPUTED_VALUE"""),"")</f>
        <v/>
      </c>
      <c r="C20870" s="12" t="str">
        <f ca="1">IFERROR(__xludf.DUMMYFUNCTION("""COMPUTED_VALUE"""),"")</f>
        <v/>
      </c>
      <c r="D20870" s="12" t="str">
        <f ca="1">IFERROR(__xludf.DUMMYFUNCTION("""COMPUTED_VALUE"""),"")</f>
        <v/>
      </c>
    </row>
    <row r="20871" spans="2:4" ht="13">
      <c r="B20871" s="12" t="str">
        <f ca="1">IFERROR(__xludf.DUMMYFUNCTION("""COMPUTED_VALUE"""),"")</f>
        <v/>
      </c>
      <c r="C20871" s="12" t="str">
        <f ca="1">IFERROR(__xludf.DUMMYFUNCTION("""COMPUTED_VALUE"""),"")</f>
        <v/>
      </c>
      <c r="D20871" s="12" t="str">
        <f ca="1">IFERROR(__xludf.DUMMYFUNCTION("""COMPUTED_VALUE"""),"")</f>
        <v/>
      </c>
    </row>
    <row r="20872" spans="2:4" ht="13">
      <c r="B20872" s="12" t="str">
        <f ca="1">IFERROR(__xludf.DUMMYFUNCTION("""COMPUTED_VALUE"""),"")</f>
        <v/>
      </c>
      <c r="C20872" s="12" t="str">
        <f ca="1">IFERROR(__xludf.DUMMYFUNCTION("""COMPUTED_VALUE"""),"")</f>
        <v/>
      </c>
      <c r="D20872" s="12" t="str">
        <f ca="1">IFERROR(__xludf.DUMMYFUNCTION("""COMPUTED_VALUE"""),"")</f>
        <v/>
      </c>
    </row>
    <row r="20873" spans="2:4" ht="13">
      <c r="B20873" s="12" t="str">
        <f ca="1">IFERROR(__xludf.DUMMYFUNCTION("""COMPUTED_VALUE"""),"")</f>
        <v/>
      </c>
      <c r="C20873" s="12" t="str">
        <f ca="1">IFERROR(__xludf.DUMMYFUNCTION("""COMPUTED_VALUE"""),"")</f>
        <v/>
      </c>
      <c r="D20873" s="12" t="str">
        <f ca="1">IFERROR(__xludf.DUMMYFUNCTION("""COMPUTED_VALUE"""),"")</f>
        <v/>
      </c>
    </row>
    <row r="20874" spans="2:4" ht="13">
      <c r="B20874" s="12" t="str">
        <f ca="1">IFERROR(__xludf.DUMMYFUNCTION("""COMPUTED_VALUE"""),"")</f>
        <v/>
      </c>
      <c r="C20874" s="12" t="str">
        <f ca="1">IFERROR(__xludf.DUMMYFUNCTION("""COMPUTED_VALUE"""),"")</f>
        <v/>
      </c>
      <c r="D20874" s="12" t="str">
        <f ca="1">IFERROR(__xludf.DUMMYFUNCTION("""COMPUTED_VALUE"""),"")</f>
        <v/>
      </c>
    </row>
    <row r="20875" spans="2:4" ht="13">
      <c r="B20875" s="12" t="str">
        <f ca="1">IFERROR(__xludf.DUMMYFUNCTION("""COMPUTED_VALUE"""),"")</f>
        <v/>
      </c>
      <c r="C20875" s="12" t="str">
        <f ca="1">IFERROR(__xludf.DUMMYFUNCTION("""COMPUTED_VALUE"""),"")</f>
        <v/>
      </c>
      <c r="D20875" s="12" t="str">
        <f ca="1">IFERROR(__xludf.DUMMYFUNCTION("""COMPUTED_VALUE"""),"")</f>
        <v/>
      </c>
    </row>
    <row r="20876" spans="2:4" ht="13">
      <c r="B20876" s="12" t="str">
        <f ca="1">IFERROR(__xludf.DUMMYFUNCTION("""COMPUTED_VALUE"""),"")</f>
        <v/>
      </c>
      <c r="C20876" s="12" t="str">
        <f ca="1">IFERROR(__xludf.DUMMYFUNCTION("""COMPUTED_VALUE"""),"")</f>
        <v/>
      </c>
      <c r="D20876" s="12" t="str">
        <f ca="1">IFERROR(__xludf.DUMMYFUNCTION("""COMPUTED_VALUE"""),"")</f>
        <v/>
      </c>
    </row>
    <row r="20877" spans="2:4" ht="13">
      <c r="B20877" s="12" t="str">
        <f ca="1">IFERROR(__xludf.DUMMYFUNCTION("""COMPUTED_VALUE"""),"")</f>
        <v/>
      </c>
      <c r="C20877" s="12" t="str">
        <f ca="1">IFERROR(__xludf.DUMMYFUNCTION("""COMPUTED_VALUE"""),"")</f>
        <v/>
      </c>
      <c r="D20877" s="12" t="str">
        <f ca="1">IFERROR(__xludf.DUMMYFUNCTION("""COMPUTED_VALUE"""),"")</f>
        <v/>
      </c>
    </row>
    <row r="20878" spans="2:4" ht="13">
      <c r="B20878" s="12" t="str">
        <f ca="1">IFERROR(__xludf.DUMMYFUNCTION("""COMPUTED_VALUE"""),"")</f>
        <v/>
      </c>
      <c r="C20878" s="12" t="str">
        <f ca="1">IFERROR(__xludf.DUMMYFUNCTION("""COMPUTED_VALUE"""),"")</f>
        <v/>
      </c>
      <c r="D20878" s="12" t="str">
        <f ca="1">IFERROR(__xludf.DUMMYFUNCTION("""COMPUTED_VALUE"""),"")</f>
        <v/>
      </c>
    </row>
    <row r="20879" spans="2:4" ht="13">
      <c r="B20879" s="12" t="str">
        <f ca="1">IFERROR(__xludf.DUMMYFUNCTION("""COMPUTED_VALUE"""),"")</f>
        <v/>
      </c>
      <c r="C20879" s="12" t="str">
        <f ca="1">IFERROR(__xludf.DUMMYFUNCTION("""COMPUTED_VALUE"""),"")</f>
        <v/>
      </c>
      <c r="D20879" s="12" t="str">
        <f ca="1">IFERROR(__xludf.DUMMYFUNCTION("""COMPUTED_VALUE"""),"")</f>
        <v/>
      </c>
    </row>
    <row r="20880" spans="2:4" ht="13">
      <c r="B20880" s="12" t="str">
        <f ca="1">IFERROR(__xludf.DUMMYFUNCTION("""COMPUTED_VALUE"""),"")</f>
        <v/>
      </c>
      <c r="C20880" s="12" t="str">
        <f ca="1">IFERROR(__xludf.DUMMYFUNCTION("""COMPUTED_VALUE"""),"")</f>
        <v/>
      </c>
      <c r="D20880" s="12" t="str">
        <f ca="1">IFERROR(__xludf.DUMMYFUNCTION("""COMPUTED_VALUE"""),"")</f>
        <v/>
      </c>
    </row>
    <row r="20881" spans="2:4" ht="13">
      <c r="B20881" s="12" t="str">
        <f ca="1">IFERROR(__xludf.DUMMYFUNCTION("""COMPUTED_VALUE"""),"")</f>
        <v/>
      </c>
      <c r="C20881" s="12" t="str">
        <f ca="1">IFERROR(__xludf.DUMMYFUNCTION("""COMPUTED_VALUE"""),"")</f>
        <v/>
      </c>
      <c r="D20881" s="12" t="str">
        <f ca="1">IFERROR(__xludf.DUMMYFUNCTION("""COMPUTED_VALUE"""),"")</f>
        <v/>
      </c>
    </row>
    <row r="20882" spans="2:4" ht="13">
      <c r="B20882" s="12" t="str">
        <f ca="1">IFERROR(__xludf.DUMMYFUNCTION("""COMPUTED_VALUE"""),"")</f>
        <v/>
      </c>
      <c r="C20882" s="12" t="str">
        <f ca="1">IFERROR(__xludf.DUMMYFUNCTION("""COMPUTED_VALUE"""),"")</f>
        <v/>
      </c>
      <c r="D20882" s="12" t="str">
        <f ca="1">IFERROR(__xludf.DUMMYFUNCTION("""COMPUTED_VALUE"""),"")</f>
        <v/>
      </c>
    </row>
    <row r="20883" spans="2:4" ht="13">
      <c r="B20883" s="12" t="str">
        <f ca="1">IFERROR(__xludf.DUMMYFUNCTION("""COMPUTED_VALUE"""),"")</f>
        <v/>
      </c>
      <c r="C20883" s="12" t="str">
        <f ca="1">IFERROR(__xludf.DUMMYFUNCTION("""COMPUTED_VALUE"""),"")</f>
        <v/>
      </c>
      <c r="D20883" s="12" t="str">
        <f ca="1">IFERROR(__xludf.DUMMYFUNCTION("""COMPUTED_VALUE"""),"")</f>
        <v/>
      </c>
    </row>
    <row r="20884" spans="2:4" ht="13">
      <c r="B20884" s="12" t="str">
        <f ca="1">IFERROR(__xludf.DUMMYFUNCTION("""COMPUTED_VALUE"""),"")</f>
        <v/>
      </c>
      <c r="C20884" s="12" t="str">
        <f ca="1">IFERROR(__xludf.DUMMYFUNCTION("""COMPUTED_VALUE"""),"")</f>
        <v/>
      </c>
      <c r="D20884" s="12" t="str">
        <f ca="1">IFERROR(__xludf.DUMMYFUNCTION("""COMPUTED_VALUE"""),"")</f>
        <v/>
      </c>
    </row>
    <row r="20885" spans="2:4" ht="13">
      <c r="B20885" s="12" t="str">
        <f ca="1">IFERROR(__xludf.DUMMYFUNCTION("""COMPUTED_VALUE"""),"")</f>
        <v/>
      </c>
      <c r="C20885" s="12" t="str">
        <f ca="1">IFERROR(__xludf.DUMMYFUNCTION("""COMPUTED_VALUE"""),"")</f>
        <v/>
      </c>
      <c r="D20885" s="12" t="str">
        <f ca="1">IFERROR(__xludf.DUMMYFUNCTION("""COMPUTED_VALUE"""),"")</f>
        <v/>
      </c>
    </row>
    <row r="20886" spans="2:4" ht="13">
      <c r="B20886" s="12" t="str">
        <f ca="1">IFERROR(__xludf.DUMMYFUNCTION("""COMPUTED_VALUE"""),"")</f>
        <v/>
      </c>
      <c r="C20886" s="12" t="str">
        <f ca="1">IFERROR(__xludf.DUMMYFUNCTION("""COMPUTED_VALUE"""),"")</f>
        <v/>
      </c>
      <c r="D20886" s="12" t="str">
        <f ca="1">IFERROR(__xludf.DUMMYFUNCTION("""COMPUTED_VALUE"""),"")</f>
        <v/>
      </c>
    </row>
    <row r="20887" spans="2:4" ht="13">
      <c r="B20887" s="12" t="str">
        <f ca="1">IFERROR(__xludf.DUMMYFUNCTION("""COMPUTED_VALUE"""),"")</f>
        <v/>
      </c>
      <c r="C20887" s="12" t="str">
        <f ca="1">IFERROR(__xludf.DUMMYFUNCTION("""COMPUTED_VALUE"""),"")</f>
        <v/>
      </c>
      <c r="D20887" s="12" t="str">
        <f ca="1">IFERROR(__xludf.DUMMYFUNCTION("""COMPUTED_VALUE"""),"")</f>
        <v/>
      </c>
    </row>
    <row r="20888" spans="2:4" ht="13">
      <c r="B20888" s="12" t="str">
        <f ca="1">IFERROR(__xludf.DUMMYFUNCTION("""COMPUTED_VALUE"""),"")</f>
        <v/>
      </c>
      <c r="C20888" s="12" t="str">
        <f ca="1">IFERROR(__xludf.DUMMYFUNCTION("""COMPUTED_VALUE"""),"")</f>
        <v/>
      </c>
      <c r="D20888" s="12" t="str">
        <f ca="1">IFERROR(__xludf.DUMMYFUNCTION("""COMPUTED_VALUE"""),"")</f>
        <v/>
      </c>
    </row>
    <row r="20889" spans="2:4" ht="13">
      <c r="B20889" s="12" t="str">
        <f ca="1">IFERROR(__xludf.DUMMYFUNCTION("""COMPUTED_VALUE"""),"")</f>
        <v/>
      </c>
      <c r="C20889" s="12" t="str">
        <f ca="1">IFERROR(__xludf.DUMMYFUNCTION("""COMPUTED_VALUE"""),"")</f>
        <v/>
      </c>
      <c r="D20889" s="12" t="str">
        <f ca="1">IFERROR(__xludf.DUMMYFUNCTION("""COMPUTED_VALUE"""),"")</f>
        <v/>
      </c>
    </row>
    <row r="20890" spans="2:4" ht="13">
      <c r="B20890" s="12" t="str">
        <f ca="1">IFERROR(__xludf.DUMMYFUNCTION("""COMPUTED_VALUE"""),"")</f>
        <v/>
      </c>
      <c r="C20890" s="12" t="str">
        <f ca="1">IFERROR(__xludf.DUMMYFUNCTION("""COMPUTED_VALUE"""),"")</f>
        <v/>
      </c>
      <c r="D20890" s="12" t="str">
        <f ca="1">IFERROR(__xludf.DUMMYFUNCTION("""COMPUTED_VALUE"""),"")</f>
        <v/>
      </c>
    </row>
    <row r="20891" spans="2:4" ht="13">
      <c r="B20891" s="12" t="str">
        <f ca="1">IFERROR(__xludf.DUMMYFUNCTION("""COMPUTED_VALUE"""),"")</f>
        <v/>
      </c>
      <c r="C20891" s="12" t="str">
        <f ca="1">IFERROR(__xludf.DUMMYFUNCTION("""COMPUTED_VALUE"""),"")</f>
        <v/>
      </c>
      <c r="D20891" s="12" t="str">
        <f ca="1">IFERROR(__xludf.DUMMYFUNCTION("""COMPUTED_VALUE"""),"")</f>
        <v/>
      </c>
    </row>
    <row r="20892" spans="2:4" ht="13">
      <c r="B20892" s="12" t="str">
        <f ca="1">IFERROR(__xludf.DUMMYFUNCTION("""COMPUTED_VALUE"""),"")</f>
        <v/>
      </c>
      <c r="C20892" s="12" t="str">
        <f ca="1">IFERROR(__xludf.DUMMYFUNCTION("""COMPUTED_VALUE"""),"")</f>
        <v/>
      </c>
      <c r="D20892" s="12" t="str">
        <f ca="1">IFERROR(__xludf.DUMMYFUNCTION("""COMPUTED_VALUE"""),"")</f>
        <v/>
      </c>
    </row>
    <row r="20893" spans="2:4" ht="13">
      <c r="B20893" s="12" t="str">
        <f ca="1">IFERROR(__xludf.DUMMYFUNCTION("""COMPUTED_VALUE"""),"")</f>
        <v/>
      </c>
      <c r="C20893" s="12" t="str">
        <f ca="1">IFERROR(__xludf.DUMMYFUNCTION("""COMPUTED_VALUE"""),"")</f>
        <v/>
      </c>
      <c r="D20893" s="12" t="str">
        <f ca="1">IFERROR(__xludf.DUMMYFUNCTION("""COMPUTED_VALUE"""),"")</f>
        <v/>
      </c>
    </row>
    <row r="20894" spans="2:4" ht="13">
      <c r="B20894" s="12" t="str">
        <f ca="1">IFERROR(__xludf.DUMMYFUNCTION("""COMPUTED_VALUE"""),"")</f>
        <v/>
      </c>
      <c r="C20894" s="12" t="str">
        <f ca="1">IFERROR(__xludf.DUMMYFUNCTION("""COMPUTED_VALUE"""),"")</f>
        <v/>
      </c>
      <c r="D20894" s="12" t="str">
        <f ca="1">IFERROR(__xludf.DUMMYFUNCTION("""COMPUTED_VALUE"""),"")</f>
        <v/>
      </c>
    </row>
    <row r="20895" spans="2:4" ht="13">
      <c r="B20895" s="12" t="str">
        <f ca="1">IFERROR(__xludf.DUMMYFUNCTION("""COMPUTED_VALUE"""),"")</f>
        <v/>
      </c>
      <c r="C20895" s="12" t="str">
        <f ca="1">IFERROR(__xludf.DUMMYFUNCTION("""COMPUTED_VALUE"""),"")</f>
        <v/>
      </c>
      <c r="D20895" s="12" t="str">
        <f ca="1">IFERROR(__xludf.DUMMYFUNCTION("""COMPUTED_VALUE"""),"")</f>
        <v/>
      </c>
    </row>
    <row r="20896" spans="2:4" ht="13">
      <c r="B20896" s="12" t="str">
        <f ca="1">IFERROR(__xludf.DUMMYFUNCTION("""COMPUTED_VALUE"""),"")</f>
        <v/>
      </c>
      <c r="C20896" s="12" t="str">
        <f ca="1">IFERROR(__xludf.DUMMYFUNCTION("""COMPUTED_VALUE"""),"")</f>
        <v/>
      </c>
      <c r="D20896" s="12" t="str">
        <f ca="1">IFERROR(__xludf.DUMMYFUNCTION("""COMPUTED_VALUE"""),"")</f>
        <v/>
      </c>
    </row>
    <row r="20897" spans="2:4" ht="13">
      <c r="B20897" s="12" t="str">
        <f ca="1">IFERROR(__xludf.DUMMYFUNCTION("""COMPUTED_VALUE"""),"")</f>
        <v/>
      </c>
      <c r="C20897" s="12" t="str">
        <f ca="1">IFERROR(__xludf.DUMMYFUNCTION("""COMPUTED_VALUE"""),"")</f>
        <v/>
      </c>
      <c r="D20897" s="12" t="str">
        <f ca="1">IFERROR(__xludf.DUMMYFUNCTION("""COMPUTED_VALUE"""),"")</f>
        <v/>
      </c>
    </row>
    <row r="20898" spans="2:4" ht="13">
      <c r="B20898" s="12" t="str">
        <f ca="1">IFERROR(__xludf.DUMMYFUNCTION("""COMPUTED_VALUE"""),"")</f>
        <v/>
      </c>
      <c r="C20898" s="12" t="str">
        <f ca="1">IFERROR(__xludf.DUMMYFUNCTION("""COMPUTED_VALUE"""),"")</f>
        <v/>
      </c>
      <c r="D20898" s="12" t="str">
        <f ca="1">IFERROR(__xludf.DUMMYFUNCTION("""COMPUTED_VALUE"""),"")</f>
        <v/>
      </c>
    </row>
    <row r="20899" spans="2:4" ht="13">
      <c r="B20899" s="12" t="str">
        <f ca="1">IFERROR(__xludf.DUMMYFUNCTION("""COMPUTED_VALUE"""),"")</f>
        <v/>
      </c>
      <c r="C20899" s="12" t="str">
        <f ca="1">IFERROR(__xludf.DUMMYFUNCTION("""COMPUTED_VALUE"""),"")</f>
        <v/>
      </c>
      <c r="D20899" s="12" t="str">
        <f ca="1">IFERROR(__xludf.DUMMYFUNCTION("""COMPUTED_VALUE"""),"")</f>
        <v/>
      </c>
    </row>
    <row r="20900" spans="2:4" ht="13">
      <c r="B20900" s="12" t="str">
        <f ca="1">IFERROR(__xludf.DUMMYFUNCTION("""COMPUTED_VALUE"""),"")</f>
        <v/>
      </c>
      <c r="C20900" s="12" t="str">
        <f ca="1">IFERROR(__xludf.DUMMYFUNCTION("""COMPUTED_VALUE"""),"")</f>
        <v/>
      </c>
      <c r="D20900" s="12" t="str">
        <f ca="1">IFERROR(__xludf.DUMMYFUNCTION("""COMPUTED_VALUE"""),"")</f>
        <v/>
      </c>
    </row>
    <row r="20901" spans="2:4" ht="13">
      <c r="B20901" s="12" t="str">
        <f ca="1">IFERROR(__xludf.DUMMYFUNCTION("""COMPUTED_VALUE"""),"")</f>
        <v/>
      </c>
      <c r="C20901" s="12" t="str">
        <f ca="1">IFERROR(__xludf.DUMMYFUNCTION("""COMPUTED_VALUE"""),"")</f>
        <v/>
      </c>
      <c r="D20901" s="12" t="str">
        <f ca="1">IFERROR(__xludf.DUMMYFUNCTION("""COMPUTED_VALUE"""),"")</f>
        <v/>
      </c>
    </row>
    <row r="20902" spans="2:4" ht="13">
      <c r="B20902" s="12" t="str">
        <f ca="1">IFERROR(__xludf.DUMMYFUNCTION("""COMPUTED_VALUE"""),"")</f>
        <v/>
      </c>
      <c r="C20902" s="12" t="str">
        <f ca="1">IFERROR(__xludf.DUMMYFUNCTION("""COMPUTED_VALUE"""),"")</f>
        <v/>
      </c>
      <c r="D20902" s="12" t="str">
        <f ca="1">IFERROR(__xludf.DUMMYFUNCTION("""COMPUTED_VALUE"""),"")</f>
        <v/>
      </c>
    </row>
    <row r="20903" spans="2:4" ht="13">
      <c r="B20903" s="12" t="str">
        <f ca="1">IFERROR(__xludf.DUMMYFUNCTION("""COMPUTED_VALUE"""),"")</f>
        <v/>
      </c>
      <c r="C20903" s="12" t="str">
        <f ca="1">IFERROR(__xludf.DUMMYFUNCTION("""COMPUTED_VALUE"""),"")</f>
        <v/>
      </c>
      <c r="D20903" s="12" t="str">
        <f ca="1">IFERROR(__xludf.DUMMYFUNCTION("""COMPUTED_VALUE"""),"")</f>
        <v/>
      </c>
    </row>
    <row r="20904" spans="2:4" ht="13">
      <c r="B20904" s="12" t="str">
        <f ca="1">IFERROR(__xludf.DUMMYFUNCTION("""COMPUTED_VALUE"""),"")</f>
        <v/>
      </c>
      <c r="C20904" s="12" t="str">
        <f ca="1">IFERROR(__xludf.DUMMYFUNCTION("""COMPUTED_VALUE"""),"")</f>
        <v/>
      </c>
      <c r="D20904" s="12" t="str">
        <f ca="1">IFERROR(__xludf.DUMMYFUNCTION("""COMPUTED_VALUE"""),"")</f>
        <v/>
      </c>
    </row>
    <row r="20905" spans="2:4" ht="13">
      <c r="B20905" s="12" t="str">
        <f ca="1">IFERROR(__xludf.DUMMYFUNCTION("""COMPUTED_VALUE"""),"")</f>
        <v/>
      </c>
      <c r="C20905" s="12" t="str">
        <f ca="1">IFERROR(__xludf.DUMMYFUNCTION("""COMPUTED_VALUE"""),"")</f>
        <v/>
      </c>
      <c r="D20905" s="12" t="str">
        <f ca="1">IFERROR(__xludf.DUMMYFUNCTION("""COMPUTED_VALUE"""),"")</f>
        <v/>
      </c>
    </row>
    <row r="20906" spans="2:4" ht="13">
      <c r="B20906" s="12" t="str">
        <f ca="1">IFERROR(__xludf.DUMMYFUNCTION("""COMPUTED_VALUE"""),"")</f>
        <v/>
      </c>
      <c r="C20906" s="12" t="str">
        <f ca="1">IFERROR(__xludf.DUMMYFUNCTION("""COMPUTED_VALUE"""),"")</f>
        <v/>
      </c>
      <c r="D20906" s="12" t="str">
        <f ca="1">IFERROR(__xludf.DUMMYFUNCTION("""COMPUTED_VALUE"""),"")</f>
        <v/>
      </c>
    </row>
    <row r="20907" spans="2:4" ht="13">
      <c r="B20907" s="12" t="str">
        <f ca="1">IFERROR(__xludf.DUMMYFUNCTION("""COMPUTED_VALUE"""),"")</f>
        <v/>
      </c>
      <c r="C20907" s="12" t="str">
        <f ca="1">IFERROR(__xludf.DUMMYFUNCTION("""COMPUTED_VALUE"""),"")</f>
        <v/>
      </c>
      <c r="D20907" s="12" t="str">
        <f ca="1">IFERROR(__xludf.DUMMYFUNCTION("""COMPUTED_VALUE"""),"")</f>
        <v/>
      </c>
    </row>
    <row r="20908" spans="2:4" ht="13">
      <c r="B20908" s="12" t="str">
        <f ca="1">IFERROR(__xludf.DUMMYFUNCTION("""COMPUTED_VALUE"""),"")</f>
        <v/>
      </c>
      <c r="C20908" s="12" t="str">
        <f ca="1">IFERROR(__xludf.DUMMYFUNCTION("""COMPUTED_VALUE"""),"")</f>
        <v/>
      </c>
      <c r="D20908" s="12" t="str">
        <f ca="1">IFERROR(__xludf.DUMMYFUNCTION("""COMPUTED_VALUE"""),"")</f>
        <v/>
      </c>
    </row>
    <row r="20909" spans="2:4" ht="13">
      <c r="B20909" s="12" t="str">
        <f ca="1">IFERROR(__xludf.DUMMYFUNCTION("""COMPUTED_VALUE"""),"")</f>
        <v/>
      </c>
      <c r="C20909" s="12" t="str">
        <f ca="1">IFERROR(__xludf.DUMMYFUNCTION("""COMPUTED_VALUE"""),"")</f>
        <v/>
      </c>
      <c r="D20909" s="12" t="str">
        <f ca="1">IFERROR(__xludf.DUMMYFUNCTION("""COMPUTED_VALUE"""),"")</f>
        <v/>
      </c>
    </row>
    <row r="20910" spans="2:4" ht="13">
      <c r="B20910" s="12" t="str">
        <f ca="1">IFERROR(__xludf.DUMMYFUNCTION("""COMPUTED_VALUE"""),"")</f>
        <v/>
      </c>
      <c r="C20910" s="12" t="str">
        <f ca="1">IFERROR(__xludf.DUMMYFUNCTION("""COMPUTED_VALUE"""),"")</f>
        <v/>
      </c>
      <c r="D20910" s="12" t="str">
        <f ca="1">IFERROR(__xludf.DUMMYFUNCTION("""COMPUTED_VALUE"""),"")</f>
        <v/>
      </c>
    </row>
    <row r="20911" spans="2:4" ht="13">
      <c r="B20911" s="12" t="str">
        <f ca="1">IFERROR(__xludf.DUMMYFUNCTION("""COMPUTED_VALUE"""),"")</f>
        <v/>
      </c>
      <c r="C20911" s="12" t="str">
        <f ca="1">IFERROR(__xludf.DUMMYFUNCTION("""COMPUTED_VALUE"""),"")</f>
        <v/>
      </c>
      <c r="D20911" s="12" t="str">
        <f ca="1">IFERROR(__xludf.DUMMYFUNCTION("""COMPUTED_VALUE"""),"")</f>
        <v/>
      </c>
    </row>
    <row r="20912" spans="2:4" ht="13">
      <c r="B20912" s="12" t="str">
        <f ca="1">IFERROR(__xludf.DUMMYFUNCTION("""COMPUTED_VALUE"""),"")</f>
        <v/>
      </c>
      <c r="C20912" s="12" t="str">
        <f ca="1">IFERROR(__xludf.DUMMYFUNCTION("""COMPUTED_VALUE"""),"")</f>
        <v/>
      </c>
      <c r="D20912" s="12" t="str">
        <f ca="1">IFERROR(__xludf.DUMMYFUNCTION("""COMPUTED_VALUE"""),"")</f>
        <v/>
      </c>
    </row>
    <row r="20913" spans="2:4" ht="13">
      <c r="B20913" s="12" t="str">
        <f ca="1">IFERROR(__xludf.DUMMYFUNCTION("""COMPUTED_VALUE"""),"")</f>
        <v/>
      </c>
      <c r="C20913" s="12" t="str">
        <f ca="1">IFERROR(__xludf.DUMMYFUNCTION("""COMPUTED_VALUE"""),"")</f>
        <v/>
      </c>
      <c r="D20913" s="12" t="str">
        <f ca="1">IFERROR(__xludf.DUMMYFUNCTION("""COMPUTED_VALUE"""),"")</f>
        <v/>
      </c>
    </row>
    <row r="20914" spans="2:4" ht="13">
      <c r="B20914" s="12" t="str">
        <f ca="1">IFERROR(__xludf.DUMMYFUNCTION("""COMPUTED_VALUE"""),"")</f>
        <v/>
      </c>
      <c r="C20914" s="12" t="str">
        <f ca="1">IFERROR(__xludf.DUMMYFUNCTION("""COMPUTED_VALUE"""),"")</f>
        <v/>
      </c>
      <c r="D20914" s="12" t="str">
        <f ca="1">IFERROR(__xludf.DUMMYFUNCTION("""COMPUTED_VALUE"""),"")</f>
        <v/>
      </c>
    </row>
    <row r="20915" spans="2:4" ht="13">
      <c r="B20915" s="12" t="str">
        <f ca="1">IFERROR(__xludf.DUMMYFUNCTION("""COMPUTED_VALUE"""),"")</f>
        <v/>
      </c>
      <c r="C20915" s="12" t="str">
        <f ca="1">IFERROR(__xludf.DUMMYFUNCTION("""COMPUTED_VALUE"""),"")</f>
        <v/>
      </c>
      <c r="D20915" s="12" t="str">
        <f ca="1">IFERROR(__xludf.DUMMYFUNCTION("""COMPUTED_VALUE"""),"")</f>
        <v/>
      </c>
    </row>
    <row r="20916" spans="2:4" ht="13">
      <c r="B20916" s="12" t="str">
        <f ca="1">IFERROR(__xludf.DUMMYFUNCTION("""COMPUTED_VALUE"""),"")</f>
        <v/>
      </c>
      <c r="C20916" s="12" t="str">
        <f ca="1">IFERROR(__xludf.DUMMYFUNCTION("""COMPUTED_VALUE"""),"")</f>
        <v/>
      </c>
      <c r="D20916" s="12" t="str">
        <f ca="1">IFERROR(__xludf.DUMMYFUNCTION("""COMPUTED_VALUE"""),"")</f>
        <v/>
      </c>
    </row>
    <row r="20917" spans="2:4" ht="13">
      <c r="B20917" s="12" t="str">
        <f ca="1">IFERROR(__xludf.DUMMYFUNCTION("""COMPUTED_VALUE"""),"")</f>
        <v/>
      </c>
      <c r="C20917" s="12" t="str">
        <f ca="1">IFERROR(__xludf.DUMMYFUNCTION("""COMPUTED_VALUE"""),"")</f>
        <v/>
      </c>
      <c r="D20917" s="12" t="str">
        <f ca="1">IFERROR(__xludf.DUMMYFUNCTION("""COMPUTED_VALUE"""),"")</f>
        <v/>
      </c>
    </row>
    <row r="20918" spans="2:4" ht="13">
      <c r="B20918" s="12" t="str">
        <f ca="1">IFERROR(__xludf.DUMMYFUNCTION("""COMPUTED_VALUE"""),"")</f>
        <v/>
      </c>
      <c r="C20918" s="12" t="str">
        <f ca="1">IFERROR(__xludf.DUMMYFUNCTION("""COMPUTED_VALUE"""),"")</f>
        <v/>
      </c>
      <c r="D20918" s="12" t="str">
        <f ca="1">IFERROR(__xludf.DUMMYFUNCTION("""COMPUTED_VALUE"""),"")</f>
        <v/>
      </c>
    </row>
    <row r="20919" spans="2:4" ht="13">
      <c r="B20919" s="12" t="str">
        <f ca="1">IFERROR(__xludf.DUMMYFUNCTION("""COMPUTED_VALUE"""),"")</f>
        <v/>
      </c>
      <c r="C20919" s="12" t="str">
        <f ca="1">IFERROR(__xludf.DUMMYFUNCTION("""COMPUTED_VALUE"""),"")</f>
        <v/>
      </c>
      <c r="D20919" s="12" t="str">
        <f ca="1">IFERROR(__xludf.DUMMYFUNCTION("""COMPUTED_VALUE"""),"")</f>
        <v/>
      </c>
    </row>
    <row r="20920" spans="2:4" ht="13">
      <c r="B20920" s="12" t="str">
        <f ca="1">IFERROR(__xludf.DUMMYFUNCTION("""COMPUTED_VALUE"""),"")</f>
        <v/>
      </c>
      <c r="C20920" s="12" t="str">
        <f ca="1">IFERROR(__xludf.DUMMYFUNCTION("""COMPUTED_VALUE"""),"")</f>
        <v/>
      </c>
      <c r="D20920" s="12" t="str">
        <f ca="1">IFERROR(__xludf.DUMMYFUNCTION("""COMPUTED_VALUE"""),"")</f>
        <v/>
      </c>
    </row>
    <row r="20921" spans="2:4" ht="13">
      <c r="B20921" s="12" t="str">
        <f ca="1">IFERROR(__xludf.DUMMYFUNCTION("""COMPUTED_VALUE"""),"")</f>
        <v/>
      </c>
      <c r="C20921" s="12" t="str">
        <f ca="1">IFERROR(__xludf.DUMMYFUNCTION("""COMPUTED_VALUE"""),"")</f>
        <v/>
      </c>
      <c r="D20921" s="12" t="str">
        <f ca="1">IFERROR(__xludf.DUMMYFUNCTION("""COMPUTED_VALUE"""),"")</f>
        <v/>
      </c>
    </row>
    <row r="20922" spans="2:4" ht="13">
      <c r="B20922" s="12" t="str">
        <f ca="1">IFERROR(__xludf.DUMMYFUNCTION("""COMPUTED_VALUE"""),"")</f>
        <v/>
      </c>
      <c r="C20922" s="12" t="str">
        <f ca="1">IFERROR(__xludf.DUMMYFUNCTION("""COMPUTED_VALUE"""),"")</f>
        <v/>
      </c>
      <c r="D20922" s="12" t="str">
        <f ca="1">IFERROR(__xludf.DUMMYFUNCTION("""COMPUTED_VALUE"""),"")</f>
        <v/>
      </c>
    </row>
    <row r="20923" spans="2:4" ht="13">
      <c r="B20923" s="12" t="str">
        <f ca="1">IFERROR(__xludf.DUMMYFUNCTION("""COMPUTED_VALUE"""),"")</f>
        <v/>
      </c>
      <c r="C20923" s="12" t="str">
        <f ca="1">IFERROR(__xludf.DUMMYFUNCTION("""COMPUTED_VALUE"""),"")</f>
        <v/>
      </c>
      <c r="D20923" s="12" t="str">
        <f ca="1">IFERROR(__xludf.DUMMYFUNCTION("""COMPUTED_VALUE"""),"")</f>
        <v/>
      </c>
    </row>
    <row r="20924" spans="2:4" ht="13">
      <c r="B20924" s="12" t="str">
        <f ca="1">IFERROR(__xludf.DUMMYFUNCTION("""COMPUTED_VALUE"""),"")</f>
        <v/>
      </c>
      <c r="C20924" s="12" t="str">
        <f ca="1">IFERROR(__xludf.DUMMYFUNCTION("""COMPUTED_VALUE"""),"")</f>
        <v/>
      </c>
      <c r="D20924" s="12" t="str">
        <f ca="1">IFERROR(__xludf.DUMMYFUNCTION("""COMPUTED_VALUE"""),"")</f>
        <v/>
      </c>
    </row>
    <row r="20925" spans="2:4" ht="13">
      <c r="B20925" s="12" t="str">
        <f ca="1">IFERROR(__xludf.DUMMYFUNCTION("""COMPUTED_VALUE"""),"")</f>
        <v/>
      </c>
      <c r="C20925" s="12" t="str">
        <f ca="1">IFERROR(__xludf.DUMMYFUNCTION("""COMPUTED_VALUE"""),"")</f>
        <v/>
      </c>
      <c r="D20925" s="12" t="str">
        <f ca="1">IFERROR(__xludf.DUMMYFUNCTION("""COMPUTED_VALUE"""),"")</f>
        <v/>
      </c>
    </row>
    <row r="20926" spans="2:4" ht="13">
      <c r="B20926" s="12" t="str">
        <f ca="1">IFERROR(__xludf.DUMMYFUNCTION("""COMPUTED_VALUE"""),"")</f>
        <v/>
      </c>
      <c r="C20926" s="12" t="str">
        <f ca="1">IFERROR(__xludf.DUMMYFUNCTION("""COMPUTED_VALUE"""),"")</f>
        <v/>
      </c>
      <c r="D20926" s="12" t="str">
        <f ca="1">IFERROR(__xludf.DUMMYFUNCTION("""COMPUTED_VALUE"""),"")</f>
        <v/>
      </c>
    </row>
    <row r="20927" spans="2:4" ht="13">
      <c r="B20927" s="12" t="str">
        <f ca="1">IFERROR(__xludf.DUMMYFUNCTION("""COMPUTED_VALUE"""),"")</f>
        <v/>
      </c>
      <c r="C20927" s="12" t="str">
        <f ca="1">IFERROR(__xludf.DUMMYFUNCTION("""COMPUTED_VALUE"""),"")</f>
        <v/>
      </c>
      <c r="D20927" s="12" t="str">
        <f ca="1">IFERROR(__xludf.DUMMYFUNCTION("""COMPUTED_VALUE"""),"")</f>
        <v/>
      </c>
    </row>
    <row r="20928" spans="2:4" ht="13">
      <c r="B20928" s="12" t="str">
        <f ca="1">IFERROR(__xludf.DUMMYFUNCTION("""COMPUTED_VALUE"""),"")</f>
        <v/>
      </c>
      <c r="C20928" s="12" t="str">
        <f ca="1">IFERROR(__xludf.DUMMYFUNCTION("""COMPUTED_VALUE"""),"")</f>
        <v/>
      </c>
      <c r="D20928" s="12" t="str">
        <f ca="1">IFERROR(__xludf.DUMMYFUNCTION("""COMPUTED_VALUE"""),"")</f>
        <v/>
      </c>
    </row>
    <row r="20929" spans="2:4" ht="13">
      <c r="B20929" s="12" t="str">
        <f ca="1">IFERROR(__xludf.DUMMYFUNCTION("""COMPUTED_VALUE"""),"")</f>
        <v/>
      </c>
      <c r="C20929" s="12" t="str">
        <f ca="1">IFERROR(__xludf.DUMMYFUNCTION("""COMPUTED_VALUE"""),"")</f>
        <v/>
      </c>
      <c r="D20929" s="12" t="str">
        <f ca="1">IFERROR(__xludf.DUMMYFUNCTION("""COMPUTED_VALUE"""),"")</f>
        <v/>
      </c>
    </row>
    <row r="20930" spans="2:4" ht="13">
      <c r="B20930" s="12" t="str">
        <f ca="1">IFERROR(__xludf.DUMMYFUNCTION("""COMPUTED_VALUE"""),"")</f>
        <v/>
      </c>
      <c r="C20930" s="12" t="str">
        <f ca="1">IFERROR(__xludf.DUMMYFUNCTION("""COMPUTED_VALUE"""),"")</f>
        <v/>
      </c>
      <c r="D20930" s="12" t="str">
        <f ca="1">IFERROR(__xludf.DUMMYFUNCTION("""COMPUTED_VALUE"""),"")</f>
        <v/>
      </c>
    </row>
    <row r="20931" spans="2:4" ht="13">
      <c r="B20931" s="12" t="str">
        <f ca="1">IFERROR(__xludf.DUMMYFUNCTION("""COMPUTED_VALUE"""),"")</f>
        <v/>
      </c>
      <c r="C20931" s="12" t="str">
        <f ca="1">IFERROR(__xludf.DUMMYFUNCTION("""COMPUTED_VALUE"""),"")</f>
        <v/>
      </c>
      <c r="D20931" s="12" t="str">
        <f ca="1">IFERROR(__xludf.DUMMYFUNCTION("""COMPUTED_VALUE"""),"")</f>
        <v/>
      </c>
    </row>
    <row r="20932" spans="2:4" ht="13">
      <c r="B20932" s="12" t="str">
        <f ca="1">IFERROR(__xludf.DUMMYFUNCTION("""COMPUTED_VALUE"""),"")</f>
        <v/>
      </c>
      <c r="C20932" s="12" t="str">
        <f ca="1">IFERROR(__xludf.DUMMYFUNCTION("""COMPUTED_VALUE"""),"")</f>
        <v/>
      </c>
      <c r="D20932" s="12" t="str">
        <f ca="1">IFERROR(__xludf.DUMMYFUNCTION("""COMPUTED_VALUE"""),"")</f>
        <v/>
      </c>
    </row>
    <row r="20933" spans="2:4" ht="13">
      <c r="B20933" s="12" t="str">
        <f ca="1">IFERROR(__xludf.DUMMYFUNCTION("""COMPUTED_VALUE"""),"")</f>
        <v/>
      </c>
      <c r="C20933" s="12" t="str">
        <f ca="1">IFERROR(__xludf.DUMMYFUNCTION("""COMPUTED_VALUE"""),"")</f>
        <v/>
      </c>
      <c r="D20933" s="12" t="str">
        <f ca="1">IFERROR(__xludf.DUMMYFUNCTION("""COMPUTED_VALUE"""),"")</f>
        <v/>
      </c>
    </row>
    <row r="20934" spans="2:4" ht="13">
      <c r="B20934" s="12" t="str">
        <f ca="1">IFERROR(__xludf.DUMMYFUNCTION("""COMPUTED_VALUE"""),"")</f>
        <v/>
      </c>
      <c r="C20934" s="12" t="str">
        <f ca="1">IFERROR(__xludf.DUMMYFUNCTION("""COMPUTED_VALUE"""),"")</f>
        <v/>
      </c>
      <c r="D20934" s="12" t="str">
        <f ca="1">IFERROR(__xludf.DUMMYFUNCTION("""COMPUTED_VALUE"""),"")</f>
        <v/>
      </c>
    </row>
    <row r="20935" spans="2:4" ht="13">
      <c r="B20935" s="12" t="str">
        <f ca="1">IFERROR(__xludf.DUMMYFUNCTION("""COMPUTED_VALUE"""),"")</f>
        <v/>
      </c>
      <c r="C20935" s="12" t="str">
        <f ca="1">IFERROR(__xludf.DUMMYFUNCTION("""COMPUTED_VALUE"""),"")</f>
        <v/>
      </c>
      <c r="D20935" s="12" t="str">
        <f ca="1">IFERROR(__xludf.DUMMYFUNCTION("""COMPUTED_VALUE"""),"")</f>
        <v/>
      </c>
    </row>
    <row r="20936" spans="2:4" ht="13">
      <c r="B20936" s="12" t="str">
        <f ca="1">IFERROR(__xludf.DUMMYFUNCTION("""COMPUTED_VALUE"""),"")</f>
        <v/>
      </c>
      <c r="C20936" s="12" t="str">
        <f ca="1">IFERROR(__xludf.DUMMYFUNCTION("""COMPUTED_VALUE"""),"")</f>
        <v/>
      </c>
      <c r="D20936" s="12" t="str">
        <f ca="1">IFERROR(__xludf.DUMMYFUNCTION("""COMPUTED_VALUE"""),"")</f>
        <v/>
      </c>
    </row>
    <row r="20937" spans="2:4" ht="13">
      <c r="B20937" s="12" t="str">
        <f ca="1">IFERROR(__xludf.DUMMYFUNCTION("""COMPUTED_VALUE"""),"")</f>
        <v/>
      </c>
      <c r="C20937" s="12" t="str">
        <f ca="1">IFERROR(__xludf.DUMMYFUNCTION("""COMPUTED_VALUE"""),"")</f>
        <v/>
      </c>
      <c r="D20937" s="12" t="str">
        <f ca="1">IFERROR(__xludf.DUMMYFUNCTION("""COMPUTED_VALUE"""),"")</f>
        <v/>
      </c>
    </row>
    <row r="20938" spans="2:4" ht="13">
      <c r="B20938" s="12" t="str">
        <f ca="1">IFERROR(__xludf.DUMMYFUNCTION("""COMPUTED_VALUE"""),"")</f>
        <v/>
      </c>
      <c r="C20938" s="12" t="str">
        <f ca="1">IFERROR(__xludf.DUMMYFUNCTION("""COMPUTED_VALUE"""),"")</f>
        <v/>
      </c>
      <c r="D20938" s="12" t="str">
        <f ca="1">IFERROR(__xludf.DUMMYFUNCTION("""COMPUTED_VALUE"""),"")</f>
        <v/>
      </c>
    </row>
    <row r="20939" spans="2:4" ht="13">
      <c r="B20939" s="12" t="str">
        <f ca="1">IFERROR(__xludf.DUMMYFUNCTION("""COMPUTED_VALUE"""),"")</f>
        <v/>
      </c>
      <c r="C20939" s="12" t="str">
        <f ca="1">IFERROR(__xludf.DUMMYFUNCTION("""COMPUTED_VALUE"""),"")</f>
        <v/>
      </c>
      <c r="D20939" s="12" t="str">
        <f ca="1">IFERROR(__xludf.DUMMYFUNCTION("""COMPUTED_VALUE"""),"")</f>
        <v/>
      </c>
    </row>
    <row r="20940" spans="2:4" ht="13">
      <c r="B20940" s="12" t="str">
        <f ca="1">IFERROR(__xludf.DUMMYFUNCTION("""COMPUTED_VALUE"""),"")</f>
        <v/>
      </c>
      <c r="C20940" s="12" t="str">
        <f ca="1">IFERROR(__xludf.DUMMYFUNCTION("""COMPUTED_VALUE"""),"")</f>
        <v/>
      </c>
      <c r="D20940" s="12" t="str">
        <f ca="1">IFERROR(__xludf.DUMMYFUNCTION("""COMPUTED_VALUE"""),"")</f>
        <v/>
      </c>
    </row>
    <row r="20941" spans="2:4" ht="13">
      <c r="B20941" s="12" t="str">
        <f ca="1">IFERROR(__xludf.DUMMYFUNCTION("""COMPUTED_VALUE"""),"")</f>
        <v/>
      </c>
      <c r="C20941" s="12" t="str">
        <f ca="1">IFERROR(__xludf.DUMMYFUNCTION("""COMPUTED_VALUE"""),"")</f>
        <v/>
      </c>
      <c r="D20941" s="12" t="str">
        <f ca="1">IFERROR(__xludf.DUMMYFUNCTION("""COMPUTED_VALUE"""),"")</f>
        <v/>
      </c>
    </row>
    <row r="20942" spans="2:4" ht="13">
      <c r="B20942" s="12" t="str">
        <f ca="1">IFERROR(__xludf.DUMMYFUNCTION("""COMPUTED_VALUE"""),"")</f>
        <v/>
      </c>
      <c r="C20942" s="12" t="str">
        <f ca="1">IFERROR(__xludf.DUMMYFUNCTION("""COMPUTED_VALUE"""),"")</f>
        <v/>
      </c>
      <c r="D20942" s="12" t="str">
        <f ca="1">IFERROR(__xludf.DUMMYFUNCTION("""COMPUTED_VALUE"""),"")</f>
        <v/>
      </c>
    </row>
    <row r="20943" spans="2:4" ht="13">
      <c r="B20943" s="12" t="str">
        <f ca="1">IFERROR(__xludf.DUMMYFUNCTION("""COMPUTED_VALUE"""),"")</f>
        <v/>
      </c>
      <c r="C20943" s="12" t="str">
        <f ca="1">IFERROR(__xludf.DUMMYFUNCTION("""COMPUTED_VALUE"""),"")</f>
        <v/>
      </c>
      <c r="D20943" s="12" t="str">
        <f ca="1">IFERROR(__xludf.DUMMYFUNCTION("""COMPUTED_VALUE"""),"")</f>
        <v/>
      </c>
    </row>
    <row r="20944" spans="2:4" ht="13">
      <c r="B20944" s="12" t="str">
        <f ca="1">IFERROR(__xludf.DUMMYFUNCTION("""COMPUTED_VALUE"""),"")</f>
        <v/>
      </c>
      <c r="C20944" s="12" t="str">
        <f ca="1">IFERROR(__xludf.DUMMYFUNCTION("""COMPUTED_VALUE"""),"")</f>
        <v/>
      </c>
      <c r="D20944" s="12" t="str">
        <f ca="1">IFERROR(__xludf.DUMMYFUNCTION("""COMPUTED_VALUE"""),"")</f>
        <v/>
      </c>
    </row>
    <row r="20945" spans="2:4" ht="13">
      <c r="B20945" s="12" t="str">
        <f ca="1">IFERROR(__xludf.DUMMYFUNCTION("""COMPUTED_VALUE"""),"")</f>
        <v/>
      </c>
      <c r="C20945" s="12" t="str">
        <f ca="1">IFERROR(__xludf.DUMMYFUNCTION("""COMPUTED_VALUE"""),"")</f>
        <v/>
      </c>
      <c r="D20945" s="12" t="str">
        <f ca="1">IFERROR(__xludf.DUMMYFUNCTION("""COMPUTED_VALUE"""),"")</f>
        <v/>
      </c>
    </row>
    <row r="20946" spans="2:4" ht="13">
      <c r="B20946" s="12" t="str">
        <f ca="1">IFERROR(__xludf.DUMMYFUNCTION("""COMPUTED_VALUE"""),"")</f>
        <v/>
      </c>
      <c r="C20946" s="12" t="str">
        <f ca="1">IFERROR(__xludf.DUMMYFUNCTION("""COMPUTED_VALUE"""),"")</f>
        <v/>
      </c>
      <c r="D20946" s="12" t="str">
        <f ca="1">IFERROR(__xludf.DUMMYFUNCTION("""COMPUTED_VALUE"""),"")</f>
        <v/>
      </c>
    </row>
    <row r="20947" spans="2:4" ht="13">
      <c r="B20947" s="12" t="str">
        <f ca="1">IFERROR(__xludf.DUMMYFUNCTION("""COMPUTED_VALUE"""),"")</f>
        <v/>
      </c>
      <c r="C20947" s="12" t="str">
        <f ca="1">IFERROR(__xludf.DUMMYFUNCTION("""COMPUTED_VALUE"""),"")</f>
        <v/>
      </c>
      <c r="D20947" s="12" t="str">
        <f ca="1">IFERROR(__xludf.DUMMYFUNCTION("""COMPUTED_VALUE"""),"")</f>
        <v/>
      </c>
    </row>
    <row r="20948" spans="2:4" ht="13">
      <c r="B20948" s="12" t="str">
        <f ca="1">IFERROR(__xludf.DUMMYFUNCTION("""COMPUTED_VALUE"""),"")</f>
        <v/>
      </c>
      <c r="C20948" s="12" t="str">
        <f ca="1">IFERROR(__xludf.DUMMYFUNCTION("""COMPUTED_VALUE"""),"")</f>
        <v/>
      </c>
      <c r="D20948" s="12" t="str">
        <f ca="1">IFERROR(__xludf.DUMMYFUNCTION("""COMPUTED_VALUE"""),"")</f>
        <v/>
      </c>
    </row>
    <row r="20949" spans="2:4" ht="13">
      <c r="B20949" s="12" t="str">
        <f ca="1">IFERROR(__xludf.DUMMYFUNCTION("""COMPUTED_VALUE"""),"")</f>
        <v/>
      </c>
      <c r="C20949" s="12" t="str">
        <f ca="1">IFERROR(__xludf.DUMMYFUNCTION("""COMPUTED_VALUE"""),"")</f>
        <v/>
      </c>
      <c r="D20949" s="12" t="str">
        <f ca="1">IFERROR(__xludf.DUMMYFUNCTION("""COMPUTED_VALUE"""),"")</f>
        <v/>
      </c>
    </row>
    <row r="20950" spans="2:4" ht="13">
      <c r="B20950" s="12" t="str">
        <f ca="1">IFERROR(__xludf.DUMMYFUNCTION("""COMPUTED_VALUE"""),"")</f>
        <v/>
      </c>
      <c r="C20950" s="12" t="str">
        <f ca="1">IFERROR(__xludf.DUMMYFUNCTION("""COMPUTED_VALUE"""),"")</f>
        <v/>
      </c>
      <c r="D20950" s="12" t="str">
        <f ca="1">IFERROR(__xludf.DUMMYFUNCTION("""COMPUTED_VALUE"""),"")</f>
        <v/>
      </c>
    </row>
    <row r="20951" spans="2:4" ht="13">
      <c r="B20951" s="12" t="str">
        <f ca="1">IFERROR(__xludf.DUMMYFUNCTION("""COMPUTED_VALUE"""),"")</f>
        <v/>
      </c>
      <c r="C20951" s="12" t="str">
        <f ca="1">IFERROR(__xludf.DUMMYFUNCTION("""COMPUTED_VALUE"""),"")</f>
        <v/>
      </c>
      <c r="D20951" s="12" t="str">
        <f ca="1">IFERROR(__xludf.DUMMYFUNCTION("""COMPUTED_VALUE"""),"")</f>
        <v/>
      </c>
    </row>
    <row r="20952" spans="2:4" ht="13">
      <c r="B20952" s="12" t="str">
        <f ca="1">IFERROR(__xludf.DUMMYFUNCTION("""COMPUTED_VALUE"""),"")</f>
        <v/>
      </c>
      <c r="C20952" s="12" t="str">
        <f ca="1">IFERROR(__xludf.DUMMYFUNCTION("""COMPUTED_VALUE"""),"")</f>
        <v/>
      </c>
      <c r="D20952" s="12" t="str">
        <f ca="1">IFERROR(__xludf.DUMMYFUNCTION("""COMPUTED_VALUE"""),"")</f>
        <v/>
      </c>
    </row>
    <row r="20953" spans="2:4" ht="13">
      <c r="B20953" s="12" t="str">
        <f ca="1">IFERROR(__xludf.DUMMYFUNCTION("""COMPUTED_VALUE"""),"")</f>
        <v/>
      </c>
      <c r="C20953" s="12" t="str">
        <f ca="1">IFERROR(__xludf.DUMMYFUNCTION("""COMPUTED_VALUE"""),"")</f>
        <v/>
      </c>
      <c r="D20953" s="12" t="str">
        <f ca="1">IFERROR(__xludf.DUMMYFUNCTION("""COMPUTED_VALUE"""),"")</f>
        <v/>
      </c>
    </row>
    <row r="20954" spans="2:4" ht="13">
      <c r="B20954" s="12" t="str">
        <f ca="1">IFERROR(__xludf.DUMMYFUNCTION("""COMPUTED_VALUE"""),"")</f>
        <v/>
      </c>
      <c r="C20954" s="12" t="str">
        <f ca="1">IFERROR(__xludf.DUMMYFUNCTION("""COMPUTED_VALUE"""),"")</f>
        <v/>
      </c>
      <c r="D20954" s="12" t="str">
        <f ca="1">IFERROR(__xludf.DUMMYFUNCTION("""COMPUTED_VALUE"""),"")</f>
        <v/>
      </c>
    </row>
    <row r="20955" spans="2:4" ht="13">
      <c r="B20955" s="12" t="str">
        <f ca="1">IFERROR(__xludf.DUMMYFUNCTION("""COMPUTED_VALUE"""),"")</f>
        <v/>
      </c>
      <c r="C20955" s="12" t="str">
        <f ca="1">IFERROR(__xludf.DUMMYFUNCTION("""COMPUTED_VALUE"""),"")</f>
        <v/>
      </c>
      <c r="D20955" s="12" t="str">
        <f ca="1">IFERROR(__xludf.DUMMYFUNCTION("""COMPUTED_VALUE"""),"")</f>
        <v/>
      </c>
    </row>
    <row r="20956" spans="2:4" ht="13">
      <c r="B20956" s="12" t="str">
        <f ca="1">IFERROR(__xludf.DUMMYFUNCTION("""COMPUTED_VALUE"""),"")</f>
        <v/>
      </c>
      <c r="C20956" s="12" t="str">
        <f ca="1">IFERROR(__xludf.DUMMYFUNCTION("""COMPUTED_VALUE"""),"")</f>
        <v/>
      </c>
      <c r="D20956" s="12" t="str">
        <f ca="1">IFERROR(__xludf.DUMMYFUNCTION("""COMPUTED_VALUE"""),"")</f>
        <v/>
      </c>
    </row>
    <row r="20957" spans="2:4" ht="13">
      <c r="B20957" s="12" t="str">
        <f ca="1">IFERROR(__xludf.DUMMYFUNCTION("""COMPUTED_VALUE"""),"")</f>
        <v/>
      </c>
      <c r="C20957" s="12" t="str">
        <f ca="1">IFERROR(__xludf.DUMMYFUNCTION("""COMPUTED_VALUE"""),"")</f>
        <v/>
      </c>
      <c r="D20957" s="12" t="str">
        <f ca="1">IFERROR(__xludf.DUMMYFUNCTION("""COMPUTED_VALUE"""),"")</f>
        <v/>
      </c>
    </row>
    <row r="20958" spans="2:4" ht="13">
      <c r="B20958" s="12" t="str">
        <f ca="1">IFERROR(__xludf.DUMMYFUNCTION("""COMPUTED_VALUE"""),"")</f>
        <v/>
      </c>
      <c r="C20958" s="12" t="str">
        <f ca="1">IFERROR(__xludf.DUMMYFUNCTION("""COMPUTED_VALUE"""),"")</f>
        <v/>
      </c>
      <c r="D20958" s="12" t="str">
        <f ca="1">IFERROR(__xludf.DUMMYFUNCTION("""COMPUTED_VALUE"""),"")</f>
        <v/>
      </c>
    </row>
    <row r="20959" spans="2:4" ht="13">
      <c r="B20959" s="12" t="str">
        <f ca="1">IFERROR(__xludf.DUMMYFUNCTION("""COMPUTED_VALUE"""),"")</f>
        <v/>
      </c>
      <c r="C20959" s="12" t="str">
        <f ca="1">IFERROR(__xludf.DUMMYFUNCTION("""COMPUTED_VALUE"""),"")</f>
        <v/>
      </c>
      <c r="D20959" s="12" t="str">
        <f ca="1">IFERROR(__xludf.DUMMYFUNCTION("""COMPUTED_VALUE"""),"")</f>
        <v/>
      </c>
    </row>
    <row r="20960" spans="2:4" ht="13">
      <c r="B20960" s="12" t="str">
        <f ca="1">IFERROR(__xludf.DUMMYFUNCTION("""COMPUTED_VALUE"""),"")</f>
        <v/>
      </c>
      <c r="C20960" s="12" t="str">
        <f ca="1">IFERROR(__xludf.DUMMYFUNCTION("""COMPUTED_VALUE"""),"")</f>
        <v/>
      </c>
      <c r="D20960" s="12" t="str">
        <f ca="1">IFERROR(__xludf.DUMMYFUNCTION("""COMPUTED_VALUE"""),"")</f>
        <v/>
      </c>
    </row>
    <row r="20961" spans="2:4" ht="13">
      <c r="B20961" s="12" t="str">
        <f ca="1">IFERROR(__xludf.DUMMYFUNCTION("""COMPUTED_VALUE"""),"")</f>
        <v/>
      </c>
      <c r="C20961" s="12" t="str">
        <f ca="1">IFERROR(__xludf.DUMMYFUNCTION("""COMPUTED_VALUE"""),"")</f>
        <v/>
      </c>
      <c r="D20961" s="12" t="str">
        <f ca="1">IFERROR(__xludf.DUMMYFUNCTION("""COMPUTED_VALUE"""),"")</f>
        <v/>
      </c>
    </row>
    <row r="20962" spans="2:4" ht="13">
      <c r="B20962" s="12" t="str">
        <f ca="1">IFERROR(__xludf.DUMMYFUNCTION("""COMPUTED_VALUE"""),"")</f>
        <v/>
      </c>
      <c r="C20962" s="12" t="str">
        <f ca="1">IFERROR(__xludf.DUMMYFUNCTION("""COMPUTED_VALUE"""),"")</f>
        <v/>
      </c>
      <c r="D20962" s="12" t="str">
        <f ca="1">IFERROR(__xludf.DUMMYFUNCTION("""COMPUTED_VALUE"""),"")</f>
        <v/>
      </c>
    </row>
    <row r="20963" spans="2:4" ht="13">
      <c r="B20963" s="12" t="str">
        <f ca="1">IFERROR(__xludf.DUMMYFUNCTION("""COMPUTED_VALUE"""),"")</f>
        <v/>
      </c>
      <c r="C20963" s="12" t="str">
        <f ca="1">IFERROR(__xludf.DUMMYFUNCTION("""COMPUTED_VALUE"""),"")</f>
        <v/>
      </c>
      <c r="D20963" s="12" t="str">
        <f ca="1">IFERROR(__xludf.DUMMYFUNCTION("""COMPUTED_VALUE"""),"")</f>
        <v/>
      </c>
    </row>
    <row r="20964" spans="2:4" ht="13">
      <c r="B20964" s="12" t="str">
        <f ca="1">IFERROR(__xludf.DUMMYFUNCTION("""COMPUTED_VALUE"""),"")</f>
        <v/>
      </c>
      <c r="C20964" s="12" t="str">
        <f ca="1">IFERROR(__xludf.DUMMYFUNCTION("""COMPUTED_VALUE"""),"")</f>
        <v/>
      </c>
      <c r="D20964" s="12" t="str">
        <f ca="1">IFERROR(__xludf.DUMMYFUNCTION("""COMPUTED_VALUE"""),"")</f>
        <v/>
      </c>
    </row>
    <row r="20965" spans="2:4" ht="13">
      <c r="B20965" s="12" t="str">
        <f ca="1">IFERROR(__xludf.DUMMYFUNCTION("""COMPUTED_VALUE"""),"")</f>
        <v/>
      </c>
      <c r="C20965" s="12" t="str">
        <f ca="1">IFERROR(__xludf.DUMMYFUNCTION("""COMPUTED_VALUE"""),"")</f>
        <v/>
      </c>
      <c r="D20965" s="12" t="str">
        <f ca="1">IFERROR(__xludf.DUMMYFUNCTION("""COMPUTED_VALUE"""),"")</f>
        <v/>
      </c>
    </row>
    <row r="20966" spans="2:4" ht="13">
      <c r="B20966" s="12" t="str">
        <f ca="1">IFERROR(__xludf.DUMMYFUNCTION("""COMPUTED_VALUE"""),"")</f>
        <v/>
      </c>
      <c r="C20966" s="12" t="str">
        <f ca="1">IFERROR(__xludf.DUMMYFUNCTION("""COMPUTED_VALUE"""),"")</f>
        <v/>
      </c>
      <c r="D20966" s="12" t="str">
        <f ca="1">IFERROR(__xludf.DUMMYFUNCTION("""COMPUTED_VALUE"""),"")</f>
        <v/>
      </c>
    </row>
    <row r="20967" spans="2:4" ht="13">
      <c r="B20967" s="12" t="str">
        <f ca="1">IFERROR(__xludf.DUMMYFUNCTION("""COMPUTED_VALUE"""),"")</f>
        <v/>
      </c>
      <c r="C20967" s="12" t="str">
        <f ca="1">IFERROR(__xludf.DUMMYFUNCTION("""COMPUTED_VALUE"""),"")</f>
        <v/>
      </c>
      <c r="D20967" s="12" t="str">
        <f ca="1">IFERROR(__xludf.DUMMYFUNCTION("""COMPUTED_VALUE"""),"")</f>
        <v/>
      </c>
    </row>
    <row r="20968" spans="2:4" ht="13">
      <c r="B20968" s="12" t="str">
        <f ca="1">IFERROR(__xludf.DUMMYFUNCTION("""COMPUTED_VALUE"""),"")</f>
        <v/>
      </c>
      <c r="C20968" s="12" t="str">
        <f ca="1">IFERROR(__xludf.DUMMYFUNCTION("""COMPUTED_VALUE"""),"")</f>
        <v/>
      </c>
      <c r="D20968" s="12" t="str">
        <f ca="1">IFERROR(__xludf.DUMMYFUNCTION("""COMPUTED_VALUE"""),"")</f>
        <v/>
      </c>
    </row>
    <row r="20969" spans="2:4" ht="13">
      <c r="B20969" s="12" t="str">
        <f ca="1">IFERROR(__xludf.DUMMYFUNCTION("""COMPUTED_VALUE"""),"")</f>
        <v/>
      </c>
      <c r="C20969" s="12" t="str">
        <f ca="1">IFERROR(__xludf.DUMMYFUNCTION("""COMPUTED_VALUE"""),"")</f>
        <v/>
      </c>
      <c r="D20969" s="12" t="str">
        <f ca="1">IFERROR(__xludf.DUMMYFUNCTION("""COMPUTED_VALUE"""),"")</f>
        <v/>
      </c>
    </row>
    <row r="20970" spans="2:4" ht="13">
      <c r="B20970" s="12" t="str">
        <f ca="1">IFERROR(__xludf.DUMMYFUNCTION("""COMPUTED_VALUE"""),"")</f>
        <v/>
      </c>
      <c r="C20970" s="12" t="str">
        <f ca="1">IFERROR(__xludf.DUMMYFUNCTION("""COMPUTED_VALUE"""),"")</f>
        <v/>
      </c>
      <c r="D20970" s="12" t="str">
        <f ca="1">IFERROR(__xludf.DUMMYFUNCTION("""COMPUTED_VALUE"""),"")</f>
        <v/>
      </c>
    </row>
    <row r="20971" spans="2:4" ht="13">
      <c r="B20971" s="12" t="str">
        <f ca="1">IFERROR(__xludf.DUMMYFUNCTION("""COMPUTED_VALUE"""),"")</f>
        <v/>
      </c>
      <c r="C20971" s="12" t="str">
        <f ca="1">IFERROR(__xludf.DUMMYFUNCTION("""COMPUTED_VALUE"""),"")</f>
        <v/>
      </c>
      <c r="D20971" s="12" t="str">
        <f ca="1">IFERROR(__xludf.DUMMYFUNCTION("""COMPUTED_VALUE"""),"")</f>
        <v/>
      </c>
    </row>
    <row r="20972" spans="2:4" ht="13">
      <c r="B20972" s="12" t="str">
        <f ca="1">IFERROR(__xludf.DUMMYFUNCTION("""COMPUTED_VALUE"""),"")</f>
        <v/>
      </c>
      <c r="C20972" s="12" t="str">
        <f ca="1">IFERROR(__xludf.DUMMYFUNCTION("""COMPUTED_VALUE"""),"")</f>
        <v/>
      </c>
      <c r="D20972" s="12" t="str">
        <f ca="1">IFERROR(__xludf.DUMMYFUNCTION("""COMPUTED_VALUE"""),"")</f>
        <v/>
      </c>
    </row>
    <row r="20973" spans="2:4" ht="13">
      <c r="B20973" s="12" t="str">
        <f ca="1">IFERROR(__xludf.DUMMYFUNCTION("""COMPUTED_VALUE"""),"")</f>
        <v/>
      </c>
      <c r="C20973" s="12" t="str">
        <f ca="1">IFERROR(__xludf.DUMMYFUNCTION("""COMPUTED_VALUE"""),"")</f>
        <v/>
      </c>
      <c r="D20973" s="12" t="str">
        <f ca="1">IFERROR(__xludf.DUMMYFUNCTION("""COMPUTED_VALUE"""),"")</f>
        <v/>
      </c>
    </row>
    <row r="20974" spans="2:4" ht="13">
      <c r="B20974" s="12" t="str">
        <f ca="1">IFERROR(__xludf.DUMMYFUNCTION("""COMPUTED_VALUE"""),"")</f>
        <v/>
      </c>
      <c r="C20974" s="12" t="str">
        <f ca="1">IFERROR(__xludf.DUMMYFUNCTION("""COMPUTED_VALUE"""),"")</f>
        <v/>
      </c>
      <c r="D20974" s="12" t="str">
        <f ca="1">IFERROR(__xludf.DUMMYFUNCTION("""COMPUTED_VALUE"""),"")</f>
        <v/>
      </c>
    </row>
    <row r="20975" spans="2:4" ht="13">
      <c r="B20975" s="12" t="str">
        <f ca="1">IFERROR(__xludf.DUMMYFUNCTION("""COMPUTED_VALUE"""),"")</f>
        <v/>
      </c>
      <c r="C20975" s="12" t="str">
        <f ca="1">IFERROR(__xludf.DUMMYFUNCTION("""COMPUTED_VALUE"""),"")</f>
        <v/>
      </c>
      <c r="D20975" s="12" t="str">
        <f ca="1">IFERROR(__xludf.DUMMYFUNCTION("""COMPUTED_VALUE"""),"")</f>
        <v/>
      </c>
    </row>
    <row r="20976" spans="2:4" ht="13">
      <c r="B20976" s="12" t="str">
        <f ca="1">IFERROR(__xludf.DUMMYFUNCTION("""COMPUTED_VALUE"""),"")</f>
        <v/>
      </c>
      <c r="C20976" s="12" t="str">
        <f ca="1">IFERROR(__xludf.DUMMYFUNCTION("""COMPUTED_VALUE"""),"")</f>
        <v/>
      </c>
      <c r="D20976" s="12" t="str">
        <f ca="1">IFERROR(__xludf.DUMMYFUNCTION("""COMPUTED_VALUE"""),"")</f>
        <v/>
      </c>
    </row>
    <row r="20977" spans="2:4" ht="13">
      <c r="B20977" s="12" t="str">
        <f ca="1">IFERROR(__xludf.DUMMYFUNCTION("""COMPUTED_VALUE"""),"")</f>
        <v/>
      </c>
      <c r="C20977" s="12" t="str">
        <f ca="1">IFERROR(__xludf.DUMMYFUNCTION("""COMPUTED_VALUE"""),"")</f>
        <v/>
      </c>
      <c r="D20977" s="12" t="str">
        <f ca="1">IFERROR(__xludf.DUMMYFUNCTION("""COMPUTED_VALUE"""),"")</f>
        <v/>
      </c>
    </row>
    <row r="20978" spans="2:4" ht="13">
      <c r="B20978" s="12" t="str">
        <f ca="1">IFERROR(__xludf.DUMMYFUNCTION("""COMPUTED_VALUE"""),"")</f>
        <v/>
      </c>
      <c r="C20978" s="12" t="str">
        <f ca="1">IFERROR(__xludf.DUMMYFUNCTION("""COMPUTED_VALUE"""),"")</f>
        <v/>
      </c>
      <c r="D20978" s="12" t="str">
        <f ca="1">IFERROR(__xludf.DUMMYFUNCTION("""COMPUTED_VALUE"""),"")</f>
        <v/>
      </c>
    </row>
    <row r="20979" spans="2:4" ht="13">
      <c r="B20979" s="12" t="str">
        <f ca="1">IFERROR(__xludf.DUMMYFUNCTION("""COMPUTED_VALUE"""),"")</f>
        <v/>
      </c>
      <c r="C20979" s="12" t="str">
        <f ca="1">IFERROR(__xludf.DUMMYFUNCTION("""COMPUTED_VALUE"""),"")</f>
        <v/>
      </c>
      <c r="D20979" s="12" t="str">
        <f ca="1">IFERROR(__xludf.DUMMYFUNCTION("""COMPUTED_VALUE"""),"")</f>
        <v/>
      </c>
    </row>
    <row r="20980" spans="2:4" ht="13">
      <c r="B20980" s="12" t="str">
        <f ca="1">IFERROR(__xludf.DUMMYFUNCTION("""COMPUTED_VALUE"""),"")</f>
        <v/>
      </c>
      <c r="C20980" s="12" t="str">
        <f ca="1">IFERROR(__xludf.DUMMYFUNCTION("""COMPUTED_VALUE"""),"")</f>
        <v/>
      </c>
      <c r="D20980" s="12" t="str">
        <f ca="1">IFERROR(__xludf.DUMMYFUNCTION("""COMPUTED_VALUE"""),"")</f>
        <v/>
      </c>
    </row>
    <row r="20981" spans="2:4" ht="13">
      <c r="B20981" s="12" t="str">
        <f ca="1">IFERROR(__xludf.DUMMYFUNCTION("""COMPUTED_VALUE"""),"")</f>
        <v/>
      </c>
      <c r="C20981" s="12" t="str">
        <f ca="1">IFERROR(__xludf.DUMMYFUNCTION("""COMPUTED_VALUE"""),"")</f>
        <v/>
      </c>
      <c r="D20981" s="12" t="str">
        <f ca="1">IFERROR(__xludf.DUMMYFUNCTION("""COMPUTED_VALUE"""),"")</f>
        <v/>
      </c>
    </row>
    <row r="20982" spans="2:4" ht="13">
      <c r="B20982" s="12" t="str">
        <f ca="1">IFERROR(__xludf.DUMMYFUNCTION("""COMPUTED_VALUE"""),"")</f>
        <v/>
      </c>
      <c r="C20982" s="12" t="str">
        <f ca="1">IFERROR(__xludf.DUMMYFUNCTION("""COMPUTED_VALUE"""),"")</f>
        <v/>
      </c>
      <c r="D20982" s="12" t="str">
        <f ca="1">IFERROR(__xludf.DUMMYFUNCTION("""COMPUTED_VALUE"""),"")</f>
        <v/>
      </c>
    </row>
    <row r="20983" spans="2:4" ht="13">
      <c r="B20983" s="12" t="str">
        <f ca="1">IFERROR(__xludf.DUMMYFUNCTION("""COMPUTED_VALUE"""),"")</f>
        <v/>
      </c>
      <c r="C20983" s="12" t="str">
        <f ca="1">IFERROR(__xludf.DUMMYFUNCTION("""COMPUTED_VALUE"""),"")</f>
        <v/>
      </c>
      <c r="D20983" s="12" t="str">
        <f ca="1">IFERROR(__xludf.DUMMYFUNCTION("""COMPUTED_VALUE"""),"")</f>
        <v/>
      </c>
    </row>
    <row r="20984" spans="2:4" ht="13">
      <c r="B20984" s="12" t="str">
        <f ca="1">IFERROR(__xludf.DUMMYFUNCTION("""COMPUTED_VALUE"""),"")</f>
        <v/>
      </c>
      <c r="C20984" s="12" t="str">
        <f ca="1">IFERROR(__xludf.DUMMYFUNCTION("""COMPUTED_VALUE"""),"")</f>
        <v/>
      </c>
      <c r="D20984" s="12" t="str">
        <f ca="1">IFERROR(__xludf.DUMMYFUNCTION("""COMPUTED_VALUE"""),"")</f>
        <v/>
      </c>
    </row>
    <row r="20985" spans="2:4" ht="13">
      <c r="B20985" s="12" t="str">
        <f ca="1">IFERROR(__xludf.DUMMYFUNCTION("""COMPUTED_VALUE"""),"")</f>
        <v/>
      </c>
      <c r="C20985" s="12" t="str">
        <f ca="1">IFERROR(__xludf.DUMMYFUNCTION("""COMPUTED_VALUE"""),"")</f>
        <v/>
      </c>
      <c r="D20985" s="12" t="str">
        <f ca="1">IFERROR(__xludf.DUMMYFUNCTION("""COMPUTED_VALUE"""),"")</f>
        <v/>
      </c>
    </row>
    <row r="20986" spans="2:4" ht="13">
      <c r="B20986" s="12" t="str">
        <f ca="1">IFERROR(__xludf.DUMMYFUNCTION("""COMPUTED_VALUE"""),"")</f>
        <v/>
      </c>
      <c r="C20986" s="12" t="str">
        <f ca="1">IFERROR(__xludf.DUMMYFUNCTION("""COMPUTED_VALUE"""),"")</f>
        <v/>
      </c>
      <c r="D20986" s="12" t="str">
        <f ca="1">IFERROR(__xludf.DUMMYFUNCTION("""COMPUTED_VALUE"""),"")</f>
        <v/>
      </c>
    </row>
    <row r="20987" spans="2:4" ht="13">
      <c r="B20987" s="12" t="str">
        <f ca="1">IFERROR(__xludf.DUMMYFUNCTION("""COMPUTED_VALUE"""),"")</f>
        <v/>
      </c>
      <c r="C20987" s="12" t="str">
        <f ca="1">IFERROR(__xludf.DUMMYFUNCTION("""COMPUTED_VALUE"""),"")</f>
        <v/>
      </c>
      <c r="D20987" s="12" t="str">
        <f ca="1">IFERROR(__xludf.DUMMYFUNCTION("""COMPUTED_VALUE"""),"")</f>
        <v/>
      </c>
    </row>
    <row r="20988" spans="2:4" ht="13">
      <c r="B20988" s="12" t="str">
        <f ca="1">IFERROR(__xludf.DUMMYFUNCTION("""COMPUTED_VALUE"""),"")</f>
        <v/>
      </c>
      <c r="C20988" s="12" t="str">
        <f ca="1">IFERROR(__xludf.DUMMYFUNCTION("""COMPUTED_VALUE"""),"")</f>
        <v/>
      </c>
      <c r="D20988" s="12" t="str">
        <f ca="1">IFERROR(__xludf.DUMMYFUNCTION("""COMPUTED_VALUE"""),"")</f>
        <v/>
      </c>
    </row>
    <row r="20989" spans="2:4" ht="13">
      <c r="B20989" s="12" t="str">
        <f ca="1">IFERROR(__xludf.DUMMYFUNCTION("""COMPUTED_VALUE"""),"")</f>
        <v/>
      </c>
      <c r="C20989" s="12" t="str">
        <f ca="1">IFERROR(__xludf.DUMMYFUNCTION("""COMPUTED_VALUE"""),"")</f>
        <v/>
      </c>
      <c r="D20989" s="12" t="str">
        <f ca="1">IFERROR(__xludf.DUMMYFUNCTION("""COMPUTED_VALUE"""),"")</f>
        <v/>
      </c>
    </row>
    <row r="20990" spans="2:4" ht="13">
      <c r="B20990" s="12" t="str">
        <f ca="1">IFERROR(__xludf.DUMMYFUNCTION("""COMPUTED_VALUE"""),"")</f>
        <v/>
      </c>
      <c r="C20990" s="12" t="str">
        <f ca="1">IFERROR(__xludf.DUMMYFUNCTION("""COMPUTED_VALUE"""),"")</f>
        <v/>
      </c>
      <c r="D20990" s="12" t="str">
        <f ca="1">IFERROR(__xludf.DUMMYFUNCTION("""COMPUTED_VALUE"""),"")</f>
        <v/>
      </c>
    </row>
    <row r="20991" spans="2:4" ht="13">
      <c r="B20991" s="12" t="str">
        <f ca="1">IFERROR(__xludf.DUMMYFUNCTION("""COMPUTED_VALUE"""),"")</f>
        <v/>
      </c>
      <c r="C20991" s="12" t="str">
        <f ca="1">IFERROR(__xludf.DUMMYFUNCTION("""COMPUTED_VALUE"""),"")</f>
        <v/>
      </c>
      <c r="D20991" s="12" t="str">
        <f ca="1">IFERROR(__xludf.DUMMYFUNCTION("""COMPUTED_VALUE"""),"")</f>
        <v/>
      </c>
    </row>
    <row r="20992" spans="2:4" ht="13">
      <c r="B20992" s="12" t="str">
        <f ca="1">IFERROR(__xludf.DUMMYFUNCTION("""COMPUTED_VALUE"""),"")</f>
        <v/>
      </c>
      <c r="C20992" s="12" t="str">
        <f ca="1">IFERROR(__xludf.DUMMYFUNCTION("""COMPUTED_VALUE"""),"")</f>
        <v/>
      </c>
      <c r="D20992" s="12" t="str">
        <f ca="1">IFERROR(__xludf.DUMMYFUNCTION("""COMPUTED_VALUE"""),"")</f>
        <v/>
      </c>
    </row>
    <row r="20993" spans="2:4" ht="13">
      <c r="B20993" s="12" t="str">
        <f ca="1">IFERROR(__xludf.DUMMYFUNCTION("""COMPUTED_VALUE"""),"")</f>
        <v/>
      </c>
      <c r="C20993" s="12" t="str">
        <f ca="1">IFERROR(__xludf.DUMMYFUNCTION("""COMPUTED_VALUE"""),"")</f>
        <v/>
      </c>
      <c r="D20993" s="12" t="str">
        <f ca="1">IFERROR(__xludf.DUMMYFUNCTION("""COMPUTED_VALUE"""),"")</f>
        <v/>
      </c>
    </row>
    <row r="20994" spans="2:4" ht="13">
      <c r="B20994" s="12" t="str">
        <f ca="1">IFERROR(__xludf.DUMMYFUNCTION("""COMPUTED_VALUE"""),"")</f>
        <v/>
      </c>
      <c r="C20994" s="12" t="str">
        <f ca="1">IFERROR(__xludf.DUMMYFUNCTION("""COMPUTED_VALUE"""),"")</f>
        <v/>
      </c>
      <c r="D20994" s="12" t="str">
        <f ca="1">IFERROR(__xludf.DUMMYFUNCTION("""COMPUTED_VALUE"""),"")</f>
        <v/>
      </c>
    </row>
    <row r="20995" spans="2:4" ht="13">
      <c r="B20995" s="12" t="str">
        <f ca="1">IFERROR(__xludf.DUMMYFUNCTION("""COMPUTED_VALUE"""),"")</f>
        <v/>
      </c>
      <c r="C20995" s="12" t="str">
        <f ca="1">IFERROR(__xludf.DUMMYFUNCTION("""COMPUTED_VALUE"""),"")</f>
        <v/>
      </c>
      <c r="D20995" s="12" t="str">
        <f ca="1">IFERROR(__xludf.DUMMYFUNCTION("""COMPUTED_VALUE"""),"")</f>
        <v/>
      </c>
    </row>
    <row r="20996" spans="2:4" ht="13">
      <c r="B20996" s="12" t="str">
        <f ca="1">IFERROR(__xludf.DUMMYFUNCTION("""COMPUTED_VALUE"""),"")</f>
        <v/>
      </c>
      <c r="C20996" s="12" t="str">
        <f ca="1">IFERROR(__xludf.DUMMYFUNCTION("""COMPUTED_VALUE"""),"")</f>
        <v/>
      </c>
      <c r="D20996" s="12" t="str">
        <f ca="1">IFERROR(__xludf.DUMMYFUNCTION("""COMPUTED_VALUE"""),"")</f>
        <v/>
      </c>
    </row>
    <row r="20997" spans="2:4" ht="13">
      <c r="B20997" s="12" t="str">
        <f ca="1">IFERROR(__xludf.DUMMYFUNCTION("""COMPUTED_VALUE"""),"")</f>
        <v/>
      </c>
      <c r="C20997" s="12" t="str">
        <f ca="1">IFERROR(__xludf.DUMMYFUNCTION("""COMPUTED_VALUE"""),"")</f>
        <v/>
      </c>
      <c r="D20997" s="12" t="str">
        <f ca="1">IFERROR(__xludf.DUMMYFUNCTION("""COMPUTED_VALUE"""),"")</f>
        <v/>
      </c>
    </row>
    <row r="20998" spans="2:4" ht="13">
      <c r="B20998" s="12" t="str">
        <f ca="1">IFERROR(__xludf.DUMMYFUNCTION("""COMPUTED_VALUE"""),"")</f>
        <v/>
      </c>
      <c r="C20998" s="12" t="str">
        <f ca="1">IFERROR(__xludf.DUMMYFUNCTION("""COMPUTED_VALUE"""),"")</f>
        <v/>
      </c>
      <c r="D20998" s="12" t="str">
        <f ca="1">IFERROR(__xludf.DUMMYFUNCTION("""COMPUTED_VALUE"""),"")</f>
        <v/>
      </c>
    </row>
    <row r="20999" spans="2:4" ht="13">
      <c r="B20999" s="12" t="str">
        <f ca="1">IFERROR(__xludf.DUMMYFUNCTION("""COMPUTED_VALUE"""),"")</f>
        <v/>
      </c>
      <c r="C20999" s="12" t="str">
        <f ca="1">IFERROR(__xludf.DUMMYFUNCTION("""COMPUTED_VALUE"""),"")</f>
        <v/>
      </c>
      <c r="D20999" s="12" t="str">
        <f ca="1">IFERROR(__xludf.DUMMYFUNCTION("""COMPUTED_VALUE"""),"")</f>
        <v/>
      </c>
    </row>
    <row r="21000" spans="2:4" ht="13">
      <c r="B21000" s="12" t="str">
        <f ca="1">IFERROR(__xludf.DUMMYFUNCTION("""COMPUTED_VALUE"""),"")</f>
        <v/>
      </c>
      <c r="C21000" s="12" t="str">
        <f ca="1">IFERROR(__xludf.DUMMYFUNCTION("""COMPUTED_VALUE"""),"")</f>
        <v/>
      </c>
      <c r="D21000" s="12" t="str">
        <f ca="1">IFERROR(__xludf.DUMMYFUNCTION("""COMPUTED_VALUE"""),"")</f>
        <v/>
      </c>
    </row>
    <row r="21001" spans="2:4" ht="13">
      <c r="B21001" s="12" t="str">
        <f ca="1">IFERROR(__xludf.DUMMYFUNCTION("""COMPUTED_VALUE"""),"")</f>
        <v/>
      </c>
      <c r="C21001" s="12" t="str">
        <f ca="1">IFERROR(__xludf.DUMMYFUNCTION("""COMPUTED_VALUE"""),"")</f>
        <v/>
      </c>
      <c r="D21001" s="12" t="str">
        <f ca="1">IFERROR(__xludf.DUMMYFUNCTION("""COMPUTED_VALUE"""),"")</f>
        <v/>
      </c>
    </row>
    <row r="21002" spans="2:4" ht="13">
      <c r="B21002" s="12" t="str">
        <f ca="1">IFERROR(__xludf.DUMMYFUNCTION("""COMPUTED_VALUE"""),"")</f>
        <v/>
      </c>
      <c r="C21002" s="12" t="str">
        <f ca="1">IFERROR(__xludf.DUMMYFUNCTION("""COMPUTED_VALUE"""),"")</f>
        <v/>
      </c>
      <c r="D21002" s="12" t="str">
        <f ca="1">IFERROR(__xludf.DUMMYFUNCTION("""COMPUTED_VALUE"""),"")</f>
        <v/>
      </c>
    </row>
    <row r="21003" spans="2:4" ht="13">
      <c r="B21003" s="12" t="str">
        <f ca="1">IFERROR(__xludf.DUMMYFUNCTION("""COMPUTED_VALUE"""),"")</f>
        <v/>
      </c>
      <c r="C21003" s="12" t="str">
        <f ca="1">IFERROR(__xludf.DUMMYFUNCTION("""COMPUTED_VALUE"""),"")</f>
        <v/>
      </c>
      <c r="D21003" s="12" t="str">
        <f ca="1">IFERROR(__xludf.DUMMYFUNCTION("""COMPUTED_VALUE"""),"")</f>
        <v/>
      </c>
    </row>
    <row r="21004" spans="2:4" ht="13">
      <c r="B21004" s="12" t="str">
        <f ca="1">IFERROR(__xludf.DUMMYFUNCTION("""COMPUTED_VALUE"""),"")</f>
        <v/>
      </c>
      <c r="C21004" s="12" t="str">
        <f ca="1">IFERROR(__xludf.DUMMYFUNCTION("""COMPUTED_VALUE"""),"")</f>
        <v/>
      </c>
      <c r="D21004" s="12" t="str">
        <f ca="1">IFERROR(__xludf.DUMMYFUNCTION("""COMPUTED_VALUE"""),"")</f>
        <v/>
      </c>
    </row>
    <row r="21005" spans="2:4" ht="13">
      <c r="B21005" s="12" t="str">
        <f ca="1">IFERROR(__xludf.DUMMYFUNCTION("""COMPUTED_VALUE"""),"")</f>
        <v/>
      </c>
      <c r="C21005" s="12" t="str">
        <f ca="1">IFERROR(__xludf.DUMMYFUNCTION("""COMPUTED_VALUE"""),"")</f>
        <v/>
      </c>
      <c r="D21005" s="12" t="str">
        <f ca="1">IFERROR(__xludf.DUMMYFUNCTION("""COMPUTED_VALUE"""),"")</f>
        <v/>
      </c>
    </row>
    <row r="21006" spans="2:4" ht="13">
      <c r="B21006" s="12" t="str">
        <f ca="1">IFERROR(__xludf.DUMMYFUNCTION("""COMPUTED_VALUE"""),"")</f>
        <v/>
      </c>
      <c r="C21006" s="12" t="str">
        <f ca="1">IFERROR(__xludf.DUMMYFUNCTION("""COMPUTED_VALUE"""),"")</f>
        <v/>
      </c>
      <c r="D21006" s="12" t="str">
        <f ca="1">IFERROR(__xludf.DUMMYFUNCTION("""COMPUTED_VALUE"""),"")</f>
        <v/>
      </c>
    </row>
    <row r="21007" spans="2:4" ht="13">
      <c r="B21007" s="12" t="str">
        <f ca="1">IFERROR(__xludf.DUMMYFUNCTION("""COMPUTED_VALUE"""),"")</f>
        <v/>
      </c>
      <c r="C21007" s="12" t="str">
        <f ca="1">IFERROR(__xludf.DUMMYFUNCTION("""COMPUTED_VALUE"""),"")</f>
        <v/>
      </c>
      <c r="D21007" s="12" t="str">
        <f ca="1">IFERROR(__xludf.DUMMYFUNCTION("""COMPUTED_VALUE"""),"")</f>
        <v/>
      </c>
    </row>
    <row r="21008" spans="2:4" ht="13">
      <c r="B21008" s="12" t="str">
        <f ca="1">IFERROR(__xludf.DUMMYFUNCTION("""COMPUTED_VALUE"""),"")</f>
        <v/>
      </c>
      <c r="C21008" s="12" t="str">
        <f ca="1">IFERROR(__xludf.DUMMYFUNCTION("""COMPUTED_VALUE"""),"")</f>
        <v/>
      </c>
      <c r="D21008" s="12" t="str">
        <f ca="1">IFERROR(__xludf.DUMMYFUNCTION("""COMPUTED_VALUE"""),"")</f>
        <v/>
      </c>
    </row>
    <row r="21009" spans="2:4" ht="13">
      <c r="B21009" s="12" t="str">
        <f ca="1">IFERROR(__xludf.DUMMYFUNCTION("""COMPUTED_VALUE"""),"")</f>
        <v/>
      </c>
      <c r="C21009" s="12" t="str">
        <f ca="1">IFERROR(__xludf.DUMMYFUNCTION("""COMPUTED_VALUE"""),"")</f>
        <v/>
      </c>
      <c r="D21009" s="12" t="str">
        <f ca="1">IFERROR(__xludf.DUMMYFUNCTION("""COMPUTED_VALUE"""),"")</f>
        <v/>
      </c>
    </row>
    <row r="21010" spans="2:4" ht="13">
      <c r="B21010" s="12" t="str">
        <f ca="1">IFERROR(__xludf.DUMMYFUNCTION("""COMPUTED_VALUE"""),"")</f>
        <v/>
      </c>
      <c r="C21010" s="12" t="str">
        <f ca="1">IFERROR(__xludf.DUMMYFUNCTION("""COMPUTED_VALUE"""),"")</f>
        <v/>
      </c>
      <c r="D21010" s="12" t="str">
        <f ca="1">IFERROR(__xludf.DUMMYFUNCTION("""COMPUTED_VALUE"""),"")</f>
        <v/>
      </c>
    </row>
    <row r="21011" spans="2:4" ht="13">
      <c r="B21011" s="12" t="str">
        <f ca="1">IFERROR(__xludf.DUMMYFUNCTION("""COMPUTED_VALUE"""),"")</f>
        <v/>
      </c>
      <c r="C21011" s="12" t="str">
        <f ca="1">IFERROR(__xludf.DUMMYFUNCTION("""COMPUTED_VALUE"""),"")</f>
        <v/>
      </c>
      <c r="D21011" s="12" t="str">
        <f ca="1">IFERROR(__xludf.DUMMYFUNCTION("""COMPUTED_VALUE"""),"")</f>
        <v/>
      </c>
    </row>
    <row r="21012" spans="2:4" ht="13">
      <c r="B21012" s="12" t="str">
        <f ca="1">IFERROR(__xludf.DUMMYFUNCTION("""COMPUTED_VALUE"""),"")</f>
        <v/>
      </c>
      <c r="C21012" s="12" t="str">
        <f ca="1">IFERROR(__xludf.DUMMYFUNCTION("""COMPUTED_VALUE"""),"")</f>
        <v/>
      </c>
      <c r="D21012" s="12" t="str">
        <f ca="1">IFERROR(__xludf.DUMMYFUNCTION("""COMPUTED_VALUE"""),"")</f>
        <v/>
      </c>
    </row>
    <row r="21013" spans="2:4" ht="13">
      <c r="B21013" s="12" t="str">
        <f ca="1">IFERROR(__xludf.DUMMYFUNCTION("""COMPUTED_VALUE"""),"")</f>
        <v/>
      </c>
      <c r="C21013" s="12" t="str">
        <f ca="1">IFERROR(__xludf.DUMMYFUNCTION("""COMPUTED_VALUE"""),"")</f>
        <v/>
      </c>
      <c r="D21013" s="12" t="str">
        <f ca="1">IFERROR(__xludf.DUMMYFUNCTION("""COMPUTED_VALUE"""),"")</f>
        <v/>
      </c>
    </row>
    <row r="21014" spans="2:4" ht="13">
      <c r="B21014" s="12" t="str">
        <f ca="1">IFERROR(__xludf.DUMMYFUNCTION("""COMPUTED_VALUE"""),"")</f>
        <v/>
      </c>
      <c r="C21014" s="12" t="str">
        <f ca="1">IFERROR(__xludf.DUMMYFUNCTION("""COMPUTED_VALUE"""),"")</f>
        <v/>
      </c>
      <c r="D21014" s="12" t="str">
        <f ca="1">IFERROR(__xludf.DUMMYFUNCTION("""COMPUTED_VALUE"""),"")</f>
        <v/>
      </c>
    </row>
    <row r="21015" spans="2:4" ht="13">
      <c r="B21015" s="12" t="str">
        <f ca="1">IFERROR(__xludf.DUMMYFUNCTION("""COMPUTED_VALUE"""),"")</f>
        <v/>
      </c>
      <c r="C21015" s="12" t="str">
        <f ca="1">IFERROR(__xludf.DUMMYFUNCTION("""COMPUTED_VALUE"""),"")</f>
        <v/>
      </c>
      <c r="D21015" s="12" t="str">
        <f ca="1">IFERROR(__xludf.DUMMYFUNCTION("""COMPUTED_VALUE"""),"")</f>
        <v/>
      </c>
    </row>
    <row r="21016" spans="2:4" ht="13">
      <c r="B21016" s="12" t="str">
        <f ca="1">IFERROR(__xludf.DUMMYFUNCTION("""COMPUTED_VALUE"""),"")</f>
        <v/>
      </c>
      <c r="C21016" s="12" t="str">
        <f ca="1">IFERROR(__xludf.DUMMYFUNCTION("""COMPUTED_VALUE"""),"")</f>
        <v/>
      </c>
      <c r="D21016" s="12" t="str">
        <f ca="1">IFERROR(__xludf.DUMMYFUNCTION("""COMPUTED_VALUE"""),"")</f>
        <v/>
      </c>
    </row>
    <row r="21017" spans="2:4" ht="13">
      <c r="B21017" s="12" t="str">
        <f ca="1">IFERROR(__xludf.DUMMYFUNCTION("""COMPUTED_VALUE"""),"")</f>
        <v/>
      </c>
      <c r="C21017" s="12" t="str">
        <f ca="1">IFERROR(__xludf.DUMMYFUNCTION("""COMPUTED_VALUE"""),"")</f>
        <v/>
      </c>
      <c r="D21017" s="12" t="str">
        <f ca="1">IFERROR(__xludf.DUMMYFUNCTION("""COMPUTED_VALUE"""),"")</f>
        <v/>
      </c>
    </row>
    <row r="21018" spans="2:4" ht="13">
      <c r="B21018" s="12" t="str">
        <f ca="1">IFERROR(__xludf.DUMMYFUNCTION("""COMPUTED_VALUE"""),"")</f>
        <v/>
      </c>
      <c r="C21018" s="12" t="str">
        <f ca="1">IFERROR(__xludf.DUMMYFUNCTION("""COMPUTED_VALUE"""),"")</f>
        <v/>
      </c>
      <c r="D21018" s="12" t="str">
        <f ca="1">IFERROR(__xludf.DUMMYFUNCTION("""COMPUTED_VALUE"""),"")</f>
        <v/>
      </c>
    </row>
    <row r="21019" spans="2:4" ht="13">
      <c r="B21019" s="12" t="str">
        <f ca="1">IFERROR(__xludf.DUMMYFUNCTION("""COMPUTED_VALUE"""),"")</f>
        <v/>
      </c>
      <c r="C21019" s="12" t="str">
        <f ca="1">IFERROR(__xludf.DUMMYFUNCTION("""COMPUTED_VALUE"""),"")</f>
        <v/>
      </c>
      <c r="D21019" s="12" t="str">
        <f ca="1">IFERROR(__xludf.DUMMYFUNCTION("""COMPUTED_VALUE"""),"")</f>
        <v/>
      </c>
    </row>
    <row r="21020" spans="2:4" ht="13">
      <c r="B21020" s="12" t="str">
        <f ca="1">IFERROR(__xludf.DUMMYFUNCTION("""COMPUTED_VALUE"""),"")</f>
        <v/>
      </c>
      <c r="C21020" s="12" t="str">
        <f ca="1">IFERROR(__xludf.DUMMYFUNCTION("""COMPUTED_VALUE"""),"")</f>
        <v/>
      </c>
      <c r="D21020" s="12" t="str">
        <f ca="1">IFERROR(__xludf.DUMMYFUNCTION("""COMPUTED_VALUE"""),"")</f>
        <v/>
      </c>
    </row>
    <row r="21021" spans="2:4" ht="13">
      <c r="B21021" s="12" t="str">
        <f ca="1">IFERROR(__xludf.DUMMYFUNCTION("""COMPUTED_VALUE"""),"")</f>
        <v/>
      </c>
      <c r="C21021" s="12" t="str">
        <f ca="1">IFERROR(__xludf.DUMMYFUNCTION("""COMPUTED_VALUE"""),"")</f>
        <v/>
      </c>
      <c r="D21021" s="12" t="str">
        <f ca="1">IFERROR(__xludf.DUMMYFUNCTION("""COMPUTED_VALUE"""),"")</f>
        <v/>
      </c>
    </row>
    <row r="21022" spans="2:4" ht="13">
      <c r="B21022" s="12" t="str">
        <f ca="1">IFERROR(__xludf.DUMMYFUNCTION("""COMPUTED_VALUE"""),"")</f>
        <v/>
      </c>
      <c r="C21022" s="12" t="str">
        <f ca="1">IFERROR(__xludf.DUMMYFUNCTION("""COMPUTED_VALUE"""),"")</f>
        <v/>
      </c>
      <c r="D21022" s="12" t="str">
        <f ca="1">IFERROR(__xludf.DUMMYFUNCTION("""COMPUTED_VALUE"""),"")</f>
        <v/>
      </c>
    </row>
    <row r="21023" spans="2:4" ht="13">
      <c r="B21023" s="12" t="str">
        <f ca="1">IFERROR(__xludf.DUMMYFUNCTION("""COMPUTED_VALUE"""),"")</f>
        <v/>
      </c>
      <c r="C21023" s="12" t="str">
        <f ca="1">IFERROR(__xludf.DUMMYFUNCTION("""COMPUTED_VALUE"""),"")</f>
        <v/>
      </c>
      <c r="D21023" s="12" t="str">
        <f ca="1">IFERROR(__xludf.DUMMYFUNCTION("""COMPUTED_VALUE"""),"")</f>
        <v/>
      </c>
    </row>
    <row r="21024" spans="2:4" ht="13">
      <c r="B21024" s="12" t="str">
        <f ca="1">IFERROR(__xludf.DUMMYFUNCTION("""COMPUTED_VALUE"""),"")</f>
        <v/>
      </c>
      <c r="C21024" s="12" t="str">
        <f ca="1">IFERROR(__xludf.DUMMYFUNCTION("""COMPUTED_VALUE"""),"")</f>
        <v/>
      </c>
      <c r="D21024" s="12" t="str">
        <f ca="1">IFERROR(__xludf.DUMMYFUNCTION("""COMPUTED_VALUE"""),"")</f>
        <v/>
      </c>
    </row>
    <row r="21025" spans="2:4" ht="13">
      <c r="B21025" s="12" t="str">
        <f ca="1">IFERROR(__xludf.DUMMYFUNCTION("""COMPUTED_VALUE"""),"")</f>
        <v/>
      </c>
      <c r="C21025" s="12" t="str">
        <f ca="1">IFERROR(__xludf.DUMMYFUNCTION("""COMPUTED_VALUE"""),"")</f>
        <v/>
      </c>
      <c r="D21025" s="12" t="str">
        <f ca="1">IFERROR(__xludf.DUMMYFUNCTION("""COMPUTED_VALUE"""),"")</f>
        <v/>
      </c>
    </row>
    <row r="21026" spans="2:4" ht="13">
      <c r="B21026" s="12" t="str">
        <f ca="1">IFERROR(__xludf.DUMMYFUNCTION("""COMPUTED_VALUE"""),"")</f>
        <v/>
      </c>
      <c r="C21026" s="12" t="str">
        <f ca="1">IFERROR(__xludf.DUMMYFUNCTION("""COMPUTED_VALUE"""),"")</f>
        <v/>
      </c>
      <c r="D21026" s="12" t="str">
        <f ca="1">IFERROR(__xludf.DUMMYFUNCTION("""COMPUTED_VALUE"""),"")</f>
        <v/>
      </c>
    </row>
    <row r="21027" spans="2:4" ht="13">
      <c r="B21027" s="12" t="str">
        <f ca="1">IFERROR(__xludf.DUMMYFUNCTION("""COMPUTED_VALUE"""),"")</f>
        <v/>
      </c>
      <c r="C21027" s="12" t="str">
        <f ca="1">IFERROR(__xludf.DUMMYFUNCTION("""COMPUTED_VALUE"""),"")</f>
        <v/>
      </c>
      <c r="D21027" s="12" t="str">
        <f ca="1">IFERROR(__xludf.DUMMYFUNCTION("""COMPUTED_VALUE"""),"")</f>
        <v/>
      </c>
    </row>
    <row r="21028" spans="2:4" ht="13">
      <c r="B21028" s="12" t="str">
        <f ca="1">IFERROR(__xludf.DUMMYFUNCTION("""COMPUTED_VALUE"""),"")</f>
        <v/>
      </c>
      <c r="C21028" s="12" t="str">
        <f ca="1">IFERROR(__xludf.DUMMYFUNCTION("""COMPUTED_VALUE"""),"")</f>
        <v/>
      </c>
      <c r="D21028" s="12" t="str">
        <f ca="1">IFERROR(__xludf.DUMMYFUNCTION("""COMPUTED_VALUE"""),"")</f>
        <v/>
      </c>
    </row>
    <row r="21029" spans="2:4" ht="13">
      <c r="B21029" s="12" t="str">
        <f ca="1">IFERROR(__xludf.DUMMYFUNCTION("""COMPUTED_VALUE"""),"")</f>
        <v/>
      </c>
      <c r="C21029" s="12" t="str">
        <f ca="1">IFERROR(__xludf.DUMMYFUNCTION("""COMPUTED_VALUE"""),"")</f>
        <v/>
      </c>
      <c r="D21029" s="12" t="str">
        <f ca="1">IFERROR(__xludf.DUMMYFUNCTION("""COMPUTED_VALUE"""),"")</f>
        <v/>
      </c>
    </row>
    <row r="21030" spans="2:4" ht="13">
      <c r="B21030" s="12" t="str">
        <f ca="1">IFERROR(__xludf.DUMMYFUNCTION("""COMPUTED_VALUE"""),"")</f>
        <v/>
      </c>
      <c r="C21030" s="12" t="str">
        <f ca="1">IFERROR(__xludf.DUMMYFUNCTION("""COMPUTED_VALUE"""),"")</f>
        <v/>
      </c>
      <c r="D21030" s="12" t="str">
        <f ca="1">IFERROR(__xludf.DUMMYFUNCTION("""COMPUTED_VALUE"""),"")</f>
        <v/>
      </c>
    </row>
    <row r="21031" spans="2:4" ht="13">
      <c r="B21031" s="12" t="str">
        <f ca="1">IFERROR(__xludf.DUMMYFUNCTION("""COMPUTED_VALUE"""),"")</f>
        <v/>
      </c>
      <c r="C21031" s="12" t="str">
        <f ca="1">IFERROR(__xludf.DUMMYFUNCTION("""COMPUTED_VALUE"""),"")</f>
        <v/>
      </c>
      <c r="D21031" s="12" t="str">
        <f ca="1">IFERROR(__xludf.DUMMYFUNCTION("""COMPUTED_VALUE"""),"")</f>
        <v/>
      </c>
    </row>
    <row r="21032" spans="2:4" ht="13">
      <c r="B21032" s="12" t="str">
        <f ca="1">IFERROR(__xludf.DUMMYFUNCTION("""COMPUTED_VALUE"""),"")</f>
        <v/>
      </c>
      <c r="C21032" s="12" t="str">
        <f ca="1">IFERROR(__xludf.DUMMYFUNCTION("""COMPUTED_VALUE"""),"")</f>
        <v/>
      </c>
      <c r="D21032" s="12" t="str">
        <f ca="1">IFERROR(__xludf.DUMMYFUNCTION("""COMPUTED_VALUE"""),"")</f>
        <v/>
      </c>
    </row>
    <row r="21033" spans="2:4" ht="13">
      <c r="B21033" s="12" t="str">
        <f ca="1">IFERROR(__xludf.DUMMYFUNCTION("""COMPUTED_VALUE"""),"")</f>
        <v/>
      </c>
      <c r="C21033" s="12" t="str">
        <f ca="1">IFERROR(__xludf.DUMMYFUNCTION("""COMPUTED_VALUE"""),"")</f>
        <v/>
      </c>
      <c r="D21033" s="12" t="str">
        <f ca="1">IFERROR(__xludf.DUMMYFUNCTION("""COMPUTED_VALUE"""),"")</f>
        <v/>
      </c>
    </row>
    <row r="21034" spans="2:4" ht="13">
      <c r="B21034" s="12" t="str">
        <f ca="1">IFERROR(__xludf.DUMMYFUNCTION("""COMPUTED_VALUE"""),"")</f>
        <v/>
      </c>
      <c r="C21034" s="12" t="str">
        <f ca="1">IFERROR(__xludf.DUMMYFUNCTION("""COMPUTED_VALUE"""),"")</f>
        <v/>
      </c>
      <c r="D21034" s="12" t="str">
        <f ca="1">IFERROR(__xludf.DUMMYFUNCTION("""COMPUTED_VALUE"""),"")</f>
        <v/>
      </c>
    </row>
    <row r="21035" spans="2:4" ht="13">
      <c r="B21035" s="12" t="str">
        <f ca="1">IFERROR(__xludf.DUMMYFUNCTION("""COMPUTED_VALUE"""),"")</f>
        <v/>
      </c>
      <c r="C21035" s="12" t="str">
        <f ca="1">IFERROR(__xludf.DUMMYFUNCTION("""COMPUTED_VALUE"""),"")</f>
        <v/>
      </c>
      <c r="D21035" s="12" t="str">
        <f ca="1">IFERROR(__xludf.DUMMYFUNCTION("""COMPUTED_VALUE"""),"")</f>
        <v/>
      </c>
    </row>
    <row r="21036" spans="2:4" ht="13">
      <c r="B21036" s="12" t="str">
        <f ca="1">IFERROR(__xludf.DUMMYFUNCTION("""COMPUTED_VALUE"""),"")</f>
        <v/>
      </c>
      <c r="C21036" s="12" t="str">
        <f ca="1">IFERROR(__xludf.DUMMYFUNCTION("""COMPUTED_VALUE"""),"")</f>
        <v/>
      </c>
      <c r="D21036" s="12" t="str">
        <f ca="1">IFERROR(__xludf.DUMMYFUNCTION("""COMPUTED_VALUE"""),"")</f>
        <v/>
      </c>
    </row>
    <row r="21037" spans="2:4" ht="13">
      <c r="B21037" s="12" t="str">
        <f ca="1">IFERROR(__xludf.DUMMYFUNCTION("""COMPUTED_VALUE"""),"")</f>
        <v/>
      </c>
      <c r="C21037" s="12" t="str">
        <f ca="1">IFERROR(__xludf.DUMMYFUNCTION("""COMPUTED_VALUE"""),"")</f>
        <v/>
      </c>
      <c r="D21037" s="12" t="str">
        <f ca="1">IFERROR(__xludf.DUMMYFUNCTION("""COMPUTED_VALUE"""),"")</f>
        <v/>
      </c>
    </row>
    <row r="21038" spans="2:4" ht="13">
      <c r="B21038" s="12" t="str">
        <f ca="1">IFERROR(__xludf.DUMMYFUNCTION("""COMPUTED_VALUE"""),"")</f>
        <v/>
      </c>
      <c r="C21038" s="12" t="str">
        <f ca="1">IFERROR(__xludf.DUMMYFUNCTION("""COMPUTED_VALUE"""),"")</f>
        <v/>
      </c>
      <c r="D21038" s="12" t="str">
        <f ca="1">IFERROR(__xludf.DUMMYFUNCTION("""COMPUTED_VALUE"""),"")</f>
        <v/>
      </c>
    </row>
    <row r="21039" spans="2:4" ht="13">
      <c r="B21039" s="12" t="str">
        <f ca="1">IFERROR(__xludf.DUMMYFUNCTION("""COMPUTED_VALUE"""),"")</f>
        <v/>
      </c>
      <c r="C21039" s="12" t="str">
        <f ca="1">IFERROR(__xludf.DUMMYFUNCTION("""COMPUTED_VALUE"""),"")</f>
        <v/>
      </c>
      <c r="D21039" s="12" t="str">
        <f ca="1">IFERROR(__xludf.DUMMYFUNCTION("""COMPUTED_VALUE"""),"")</f>
        <v/>
      </c>
    </row>
    <row r="21040" spans="2:4" ht="13">
      <c r="B21040" s="12" t="str">
        <f ca="1">IFERROR(__xludf.DUMMYFUNCTION("""COMPUTED_VALUE"""),"")</f>
        <v/>
      </c>
      <c r="C21040" s="12" t="str">
        <f ca="1">IFERROR(__xludf.DUMMYFUNCTION("""COMPUTED_VALUE"""),"")</f>
        <v/>
      </c>
      <c r="D21040" s="12" t="str">
        <f ca="1">IFERROR(__xludf.DUMMYFUNCTION("""COMPUTED_VALUE"""),"")</f>
        <v/>
      </c>
    </row>
    <row r="21041" spans="2:4" ht="13">
      <c r="B21041" s="12" t="str">
        <f ca="1">IFERROR(__xludf.DUMMYFUNCTION("""COMPUTED_VALUE"""),"")</f>
        <v/>
      </c>
      <c r="C21041" s="12" t="str">
        <f ca="1">IFERROR(__xludf.DUMMYFUNCTION("""COMPUTED_VALUE"""),"")</f>
        <v/>
      </c>
      <c r="D21041" s="12" t="str">
        <f ca="1">IFERROR(__xludf.DUMMYFUNCTION("""COMPUTED_VALUE"""),"")</f>
        <v/>
      </c>
    </row>
    <row r="21042" spans="2:4" ht="13">
      <c r="B21042" s="12" t="str">
        <f ca="1">IFERROR(__xludf.DUMMYFUNCTION("""COMPUTED_VALUE"""),"")</f>
        <v/>
      </c>
      <c r="C21042" s="12" t="str">
        <f ca="1">IFERROR(__xludf.DUMMYFUNCTION("""COMPUTED_VALUE"""),"")</f>
        <v/>
      </c>
      <c r="D21042" s="12" t="str">
        <f ca="1">IFERROR(__xludf.DUMMYFUNCTION("""COMPUTED_VALUE"""),"")</f>
        <v/>
      </c>
    </row>
    <row r="21043" spans="2:4" ht="13">
      <c r="B21043" s="12" t="str">
        <f ca="1">IFERROR(__xludf.DUMMYFUNCTION("""COMPUTED_VALUE"""),"")</f>
        <v/>
      </c>
      <c r="C21043" s="12" t="str">
        <f ca="1">IFERROR(__xludf.DUMMYFUNCTION("""COMPUTED_VALUE"""),"")</f>
        <v/>
      </c>
      <c r="D21043" s="12" t="str">
        <f ca="1">IFERROR(__xludf.DUMMYFUNCTION("""COMPUTED_VALUE"""),"")</f>
        <v/>
      </c>
    </row>
    <row r="21044" spans="2:4" ht="13">
      <c r="B21044" s="12" t="str">
        <f ca="1">IFERROR(__xludf.DUMMYFUNCTION("""COMPUTED_VALUE"""),"")</f>
        <v/>
      </c>
      <c r="C21044" s="12" t="str">
        <f ca="1">IFERROR(__xludf.DUMMYFUNCTION("""COMPUTED_VALUE"""),"")</f>
        <v/>
      </c>
      <c r="D21044" s="12" t="str">
        <f ca="1">IFERROR(__xludf.DUMMYFUNCTION("""COMPUTED_VALUE"""),"")</f>
        <v/>
      </c>
    </row>
    <row r="21045" spans="2:4" ht="13">
      <c r="B21045" s="12" t="str">
        <f ca="1">IFERROR(__xludf.DUMMYFUNCTION("""COMPUTED_VALUE"""),"")</f>
        <v/>
      </c>
      <c r="C21045" s="12" t="str">
        <f ca="1">IFERROR(__xludf.DUMMYFUNCTION("""COMPUTED_VALUE"""),"")</f>
        <v/>
      </c>
      <c r="D21045" s="12" t="str">
        <f ca="1">IFERROR(__xludf.DUMMYFUNCTION("""COMPUTED_VALUE"""),"")</f>
        <v/>
      </c>
    </row>
    <row r="21046" spans="2:4" ht="13">
      <c r="B21046" s="12" t="str">
        <f ca="1">IFERROR(__xludf.DUMMYFUNCTION("""COMPUTED_VALUE"""),"")</f>
        <v/>
      </c>
      <c r="C21046" s="12" t="str">
        <f ca="1">IFERROR(__xludf.DUMMYFUNCTION("""COMPUTED_VALUE"""),"")</f>
        <v/>
      </c>
      <c r="D21046" s="12" t="str">
        <f ca="1">IFERROR(__xludf.DUMMYFUNCTION("""COMPUTED_VALUE"""),"")</f>
        <v/>
      </c>
    </row>
    <row r="21047" spans="2:4" ht="13">
      <c r="B21047" s="12" t="str">
        <f ca="1">IFERROR(__xludf.DUMMYFUNCTION("""COMPUTED_VALUE"""),"")</f>
        <v/>
      </c>
      <c r="C21047" s="12" t="str">
        <f ca="1">IFERROR(__xludf.DUMMYFUNCTION("""COMPUTED_VALUE"""),"")</f>
        <v/>
      </c>
      <c r="D21047" s="12" t="str">
        <f ca="1">IFERROR(__xludf.DUMMYFUNCTION("""COMPUTED_VALUE"""),"")</f>
        <v/>
      </c>
    </row>
    <row r="21048" spans="2:4" ht="13">
      <c r="B21048" s="12" t="str">
        <f ca="1">IFERROR(__xludf.DUMMYFUNCTION("""COMPUTED_VALUE"""),"")</f>
        <v/>
      </c>
      <c r="C21048" s="12" t="str">
        <f ca="1">IFERROR(__xludf.DUMMYFUNCTION("""COMPUTED_VALUE"""),"")</f>
        <v/>
      </c>
      <c r="D21048" s="12" t="str">
        <f ca="1">IFERROR(__xludf.DUMMYFUNCTION("""COMPUTED_VALUE"""),"")</f>
        <v/>
      </c>
    </row>
    <row r="21049" spans="2:4" ht="13">
      <c r="B21049" s="12" t="str">
        <f ca="1">IFERROR(__xludf.DUMMYFUNCTION("""COMPUTED_VALUE"""),"")</f>
        <v/>
      </c>
      <c r="C21049" s="12" t="str">
        <f ca="1">IFERROR(__xludf.DUMMYFUNCTION("""COMPUTED_VALUE"""),"")</f>
        <v/>
      </c>
      <c r="D21049" s="12" t="str">
        <f ca="1">IFERROR(__xludf.DUMMYFUNCTION("""COMPUTED_VALUE"""),"")</f>
        <v/>
      </c>
    </row>
    <row r="21050" spans="2:4" ht="13">
      <c r="B21050" s="12" t="str">
        <f ca="1">IFERROR(__xludf.DUMMYFUNCTION("""COMPUTED_VALUE"""),"")</f>
        <v/>
      </c>
      <c r="C21050" s="12" t="str">
        <f ca="1">IFERROR(__xludf.DUMMYFUNCTION("""COMPUTED_VALUE"""),"")</f>
        <v/>
      </c>
      <c r="D21050" s="12" t="str">
        <f ca="1">IFERROR(__xludf.DUMMYFUNCTION("""COMPUTED_VALUE"""),"")</f>
        <v/>
      </c>
    </row>
    <row r="21051" spans="2:4" ht="13">
      <c r="B21051" s="12" t="str">
        <f ca="1">IFERROR(__xludf.DUMMYFUNCTION("""COMPUTED_VALUE"""),"")</f>
        <v/>
      </c>
      <c r="C21051" s="12" t="str">
        <f ca="1">IFERROR(__xludf.DUMMYFUNCTION("""COMPUTED_VALUE"""),"")</f>
        <v/>
      </c>
      <c r="D21051" s="12" t="str">
        <f ca="1">IFERROR(__xludf.DUMMYFUNCTION("""COMPUTED_VALUE"""),"")</f>
        <v/>
      </c>
    </row>
    <row r="21052" spans="2:4" ht="13">
      <c r="B21052" s="12" t="str">
        <f ca="1">IFERROR(__xludf.DUMMYFUNCTION("""COMPUTED_VALUE"""),"")</f>
        <v/>
      </c>
      <c r="C21052" s="12" t="str">
        <f ca="1">IFERROR(__xludf.DUMMYFUNCTION("""COMPUTED_VALUE"""),"")</f>
        <v/>
      </c>
      <c r="D21052" s="12" t="str">
        <f ca="1">IFERROR(__xludf.DUMMYFUNCTION("""COMPUTED_VALUE"""),"")</f>
        <v/>
      </c>
    </row>
    <row r="21053" spans="2:4" ht="13">
      <c r="B21053" s="12" t="str">
        <f ca="1">IFERROR(__xludf.DUMMYFUNCTION("""COMPUTED_VALUE"""),"")</f>
        <v/>
      </c>
      <c r="C21053" s="12" t="str">
        <f ca="1">IFERROR(__xludf.DUMMYFUNCTION("""COMPUTED_VALUE"""),"")</f>
        <v/>
      </c>
      <c r="D21053" s="12" t="str">
        <f ca="1">IFERROR(__xludf.DUMMYFUNCTION("""COMPUTED_VALUE"""),"")</f>
        <v/>
      </c>
    </row>
    <row r="21054" spans="2:4" ht="13">
      <c r="B21054" s="12" t="str">
        <f ca="1">IFERROR(__xludf.DUMMYFUNCTION("""COMPUTED_VALUE"""),"")</f>
        <v/>
      </c>
      <c r="C21054" s="12" t="str">
        <f ca="1">IFERROR(__xludf.DUMMYFUNCTION("""COMPUTED_VALUE"""),"")</f>
        <v/>
      </c>
      <c r="D21054" s="12" t="str">
        <f ca="1">IFERROR(__xludf.DUMMYFUNCTION("""COMPUTED_VALUE"""),"")</f>
        <v/>
      </c>
    </row>
    <row r="21055" spans="2:4" ht="13">
      <c r="B21055" s="12" t="str">
        <f ca="1">IFERROR(__xludf.DUMMYFUNCTION("""COMPUTED_VALUE"""),"")</f>
        <v/>
      </c>
      <c r="C21055" s="12" t="str">
        <f ca="1">IFERROR(__xludf.DUMMYFUNCTION("""COMPUTED_VALUE"""),"")</f>
        <v/>
      </c>
      <c r="D21055" s="12" t="str">
        <f ca="1">IFERROR(__xludf.DUMMYFUNCTION("""COMPUTED_VALUE"""),"")</f>
        <v/>
      </c>
    </row>
    <row r="21056" spans="2:4" ht="13">
      <c r="B21056" s="12" t="str">
        <f ca="1">IFERROR(__xludf.DUMMYFUNCTION("""COMPUTED_VALUE"""),"")</f>
        <v/>
      </c>
      <c r="C21056" s="12" t="str">
        <f ca="1">IFERROR(__xludf.DUMMYFUNCTION("""COMPUTED_VALUE"""),"")</f>
        <v/>
      </c>
      <c r="D21056" s="12" t="str">
        <f ca="1">IFERROR(__xludf.DUMMYFUNCTION("""COMPUTED_VALUE"""),"")</f>
        <v/>
      </c>
    </row>
    <row r="21057" spans="2:4" ht="13">
      <c r="B21057" s="12" t="str">
        <f ca="1">IFERROR(__xludf.DUMMYFUNCTION("""COMPUTED_VALUE"""),"")</f>
        <v/>
      </c>
      <c r="C21057" s="12" t="str">
        <f ca="1">IFERROR(__xludf.DUMMYFUNCTION("""COMPUTED_VALUE"""),"")</f>
        <v/>
      </c>
      <c r="D21057" s="12" t="str">
        <f ca="1">IFERROR(__xludf.DUMMYFUNCTION("""COMPUTED_VALUE"""),"")</f>
        <v/>
      </c>
    </row>
    <row r="21058" spans="2:4" ht="13">
      <c r="B21058" s="12" t="str">
        <f ca="1">IFERROR(__xludf.DUMMYFUNCTION("""COMPUTED_VALUE"""),"")</f>
        <v/>
      </c>
      <c r="C21058" s="12" t="str">
        <f ca="1">IFERROR(__xludf.DUMMYFUNCTION("""COMPUTED_VALUE"""),"")</f>
        <v/>
      </c>
      <c r="D21058" s="12" t="str">
        <f ca="1">IFERROR(__xludf.DUMMYFUNCTION("""COMPUTED_VALUE"""),"")</f>
        <v/>
      </c>
    </row>
    <row r="21059" spans="2:4" ht="13">
      <c r="B21059" s="12" t="str">
        <f ca="1">IFERROR(__xludf.DUMMYFUNCTION("""COMPUTED_VALUE"""),"")</f>
        <v/>
      </c>
      <c r="C21059" s="12" t="str">
        <f ca="1">IFERROR(__xludf.DUMMYFUNCTION("""COMPUTED_VALUE"""),"")</f>
        <v/>
      </c>
      <c r="D21059" s="12" t="str">
        <f ca="1">IFERROR(__xludf.DUMMYFUNCTION("""COMPUTED_VALUE"""),"")</f>
        <v/>
      </c>
    </row>
    <row r="21060" spans="2:4" ht="13">
      <c r="B21060" s="12" t="str">
        <f ca="1">IFERROR(__xludf.DUMMYFUNCTION("""COMPUTED_VALUE"""),"")</f>
        <v/>
      </c>
      <c r="C21060" s="12" t="str">
        <f ca="1">IFERROR(__xludf.DUMMYFUNCTION("""COMPUTED_VALUE"""),"")</f>
        <v/>
      </c>
      <c r="D21060" s="12" t="str">
        <f ca="1">IFERROR(__xludf.DUMMYFUNCTION("""COMPUTED_VALUE"""),"")</f>
        <v/>
      </c>
    </row>
    <row r="21061" spans="2:4" ht="13">
      <c r="B21061" s="12" t="str">
        <f ca="1">IFERROR(__xludf.DUMMYFUNCTION("""COMPUTED_VALUE"""),"")</f>
        <v/>
      </c>
      <c r="C21061" s="12" t="str">
        <f ca="1">IFERROR(__xludf.DUMMYFUNCTION("""COMPUTED_VALUE"""),"")</f>
        <v/>
      </c>
      <c r="D21061" s="12" t="str">
        <f ca="1">IFERROR(__xludf.DUMMYFUNCTION("""COMPUTED_VALUE"""),"")</f>
        <v/>
      </c>
    </row>
    <row r="21062" spans="2:4" ht="13">
      <c r="B21062" s="12" t="str">
        <f ca="1">IFERROR(__xludf.DUMMYFUNCTION("""COMPUTED_VALUE"""),"")</f>
        <v/>
      </c>
      <c r="C21062" s="12" t="str">
        <f ca="1">IFERROR(__xludf.DUMMYFUNCTION("""COMPUTED_VALUE"""),"")</f>
        <v/>
      </c>
      <c r="D21062" s="12" t="str">
        <f ca="1">IFERROR(__xludf.DUMMYFUNCTION("""COMPUTED_VALUE"""),"")</f>
        <v/>
      </c>
    </row>
    <row r="21063" spans="2:4" ht="13">
      <c r="B21063" s="12" t="str">
        <f ca="1">IFERROR(__xludf.DUMMYFUNCTION("""COMPUTED_VALUE"""),"")</f>
        <v/>
      </c>
      <c r="C21063" s="12" t="str">
        <f ca="1">IFERROR(__xludf.DUMMYFUNCTION("""COMPUTED_VALUE"""),"")</f>
        <v/>
      </c>
      <c r="D21063" s="12" t="str">
        <f ca="1">IFERROR(__xludf.DUMMYFUNCTION("""COMPUTED_VALUE"""),"")</f>
        <v/>
      </c>
    </row>
    <row r="21064" spans="2:4" ht="13">
      <c r="B21064" s="12" t="str">
        <f ca="1">IFERROR(__xludf.DUMMYFUNCTION("""COMPUTED_VALUE"""),"")</f>
        <v/>
      </c>
      <c r="C21064" s="12" t="str">
        <f ca="1">IFERROR(__xludf.DUMMYFUNCTION("""COMPUTED_VALUE"""),"")</f>
        <v/>
      </c>
      <c r="D21064" s="12" t="str">
        <f ca="1">IFERROR(__xludf.DUMMYFUNCTION("""COMPUTED_VALUE"""),"")</f>
        <v/>
      </c>
    </row>
    <row r="21065" spans="2:4" ht="13">
      <c r="B21065" s="12" t="str">
        <f ca="1">IFERROR(__xludf.DUMMYFUNCTION("""COMPUTED_VALUE"""),"")</f>
        <v/>
      </c>
      <c r="C21065" s="12" t="str">
        <f ca="1">IFERROR(__xludf.DUMMYFUNCTION("""COMPUTED_VALUE"""),"")</f>
        <v/>
      </c>
      <c r="D21065" s="12" t="str">
        <f ca="1">IFERROR(__xludf.DUMMYFUNCTION("""COMPUTED_VALUE"""),"")</f>
        <v/>
      </c>
    </row>
    <row r="21066" spans="2:4" ht="13">
      <c r="B21066" s="12" t="str">
        <f ca="1">IFERROR(__xludf.DUMMYFUNCTION("""COMPUTED_VALUE"""),"")</f>
        <v/>
      </c>
      <c r="C21066" s="12" t="str">
        <f ca="1">IFERROR(__xludf.DUMMYFUNCTION("""COMPUTED_VALUE"""),"")</f>
        <v/>
      </c>
      <c r="D21066" s="12" t="str">
        <f ca="1">IFERROR(__xludf.DUMMYFUNCTION("""COMPUTED_VALUE"""),"")</f>
        <v/>
      </c>
    </row>
    <row r="21067" spans="2:4" ht="13">
      <c r="B21067" s="12" t="str">
        <f ca="1">IFERROR(__xludf.DUMMYFUNCTION("""COMPUTED_VALUE"""),"")</f>
        <v/>
      </c>
      <c r="C21067" s="12" t="str">
        <f ca="1">IFERROR(__xludf.DUMMYFUNCTION("""COMPUTED_VALUE"""),"")</f>
        <v/>
      </c>
      <c r="D21067" s="12" t="str">
        <f ca="1">IFERROR(__xludf.DUMMYFUNCTION("""COMPUTED_VALUE"""),"")</f>
        <v/>
      </c>
    </row>
    <row r="21068" spans="2:4" ht="13">
      <c r="B21068" s="12" t="str">
        <f ca="1">IFERROR(__xludf.DUMMYFUNCTION("""COMPUTED_VALUE"""),"")</f>
        <v/>
      </c>
      <c r="C21068" s="12" t="str">
        <f ca="1">IFERROR(__xludf.DUMMYFUNCTION("""COMPUTED_VALUE"""),"")</f>
        <v/>
      </c>
      <c r="D21068" s="12" t="str">
        <f ca="1">IFERROR(__xludf.DUMMYFUNCTION("""COMPUTED_VALUE"""),"")</f>
        <v/>
      </c>
    </row>
    <row r="21069" spans="2:4" ht="13">
      <c r="B21069" s="12" t="str">
        <f ca="1">IFERROR(__xludf.DUMMYFUNCTION("""COMPUTED_VALUE"""),"")</f>
        <v/>
      </c>
      <c r="C21069" s="12" t="str">
        <f ca="1">IFERROR(__xludf.DUMMYFUNCTION("""COMPUTED_VALUE"""),"")</f>
        <v/>
      </c>
      <c r="D21069" s="12" t="str">
        <f ca="1">IFERROR(__xludf.DUMMYFUNCTION("""COMPUTED_VALUE"""),"")</f>
        <v/>
      </c>
    </row>
    <row r="21070" spans="2:4" ht="13">
      <c r="B21070" s="12" t="str">
        <f ca="1">IFERROR(__xludf.DUMMYFUNCTION("""COMPUTED_VALUE"""),"")</f>
        <v/>
      </c>
      <c r="C21070" s="12" t="str">
        <f ca="1">IFERROR(__xludf.DUMMYFUNCTION("""COMPUTED_VALUE"""),"")</f>
        <v/>
      </c>
      <c r="D21070" s="12" t="str">
        <f ca="1">IFERROR(__xludf.DUMMYFUNCTION("""COMPUTED_VALUE"""),"")</f>
        <v/>
      </c>
    </row>
    <row r="21071" spans="2:4" ht="13">
      <c r="B21071" s="12" t="str">
        <f ca="1">IFERROR(__xludf.DUMMYFUNCTION("""COMPUTED_VALUE"""),"")</f>
        <v/>
      </c>
      <c r="C21071" s="12" t="str">
        <f ca="1">IFERROR(__xludf.DUMMYFUNCTION("""COMPUTED_VALUE"""),"")</f>
        <v/>
      </c>
      <c r="D21071" s="12" t="str">
        <f ca="1">IFERROR(__xludf.DUMMYFUNCTION("""COMPUTED_VALUE"""),"")</f>
        <v/>
      </c>
    </row>
    <row r="21072" spans="2:4" ht="13">
      <c r="B21072" s="12" t="str">
        <f ca="1">IFERROR(__xludf.DUMMYFUNCTION("""COMPUTED_VALUE"""),"")</f>
        <v/>
      </c>
      <c r="C21072" s="12" t="str">
        <f ca="1">IFERROR(__xludf.DUMMYFUNCTION("""COMPUTED_VALUE"""),"")</f>
        <v/>
      </c>
      <c r="D21072" s="12" t="str">
        <f ca="1">IFERROR(__xludf.DUMMYFUNCTION("""COMPUTED_VALUE"""),"")</f>
        <v/>
      </c>
    </row>
    <row r="21073" spans="2:4" ht="13">
      <c r="B21073" s="12" t="str">
        <f ca="1">IFERROR(__xludf.DUMMYFUNCTION("""COMPUTED_VALUE"""),"")</f>
        <v/>
      </c>
      <c r="C21073" s="12" t="str">
        <f ca="1">IFERROR(__xludf.DUMMYFUNCTION("""COMPUTED_VALUE"""),"")</f>
        <v/>
      </c>
      <c r="D21073" s="12" t="str">
        <f ca="1">IFERROR(__xludf.DUMMYFUNCTION("""COMPUTED_VALUE"""),"")</f>
        <v/>
      </c>
    </row>
    <row r="21074" spans="2:4" ht="13">
      <c r="B21074" s="12" t="str">
        <f ca="1">IFERROR(__xludf.DUMMYFUNCTION("""COMPUTED_VALUE"""),"")</f>
        <v/>
      </c>
      <c r="C21074" s="12" t="str">
        <f ca="1">IFERROR(__xludf.DUMMYFUNCTION("""COMPUTED_VALUE"""),"")</f>
        <v/>
      </c>
      <c r="D21074" s="12" t="str">
        <f ca="1">IFERROR(__xludf.DUMMYFUNCTION("""COMPUTED_VALUE"""),"")</f>
        <v/>
      </c>
    </row>
    <row r="21075" spans="2:4" ht="13">
      <c r="B21075" s="12" t="str">
        <f ca="1">IFERROR(__xludf.DUMMYFUNCTION("""COMPUTED_VALUE"""),"")</f>
        <v/>
      </c>
      <c r="C21075" s="12" t="str">
        <f ca="1">IFERROR(__xludf.DUMMYFUNCTION("""COMPUTED_VALUE"""),"")</f>
        <v/>
      </c>
      <c r="D21075" s="12" t="str">
        <f ca="1">IFERROR(__xludf.DUMMYFUNCTION("""COMPUTED_VALUE"""),"")</f>
        <v/>
      </c>
    </row>
    <row r="21076" spans="2:4" ht="13">
      <c r="B21076" s="12" t="str">
        <f ca="1">IFERROR(__xludf.DUMMYFUNCTION("""COMPUTED_VALUE"""),"")</f>
        <v/>
      </c>
      <c r="C21076" s="12" t="str">
        <f ca="1">IFERROR(__xludf.DUMMYFUNCTION("""COMPUTED_VALUE"""),"")</f>
        <v/>
      </c>
      <c r="D21076" s="12" t="str">
        <f ca="1">IFERROR(__xludf.DUMMYFUNCTION("""COMPUTED_VALUE"""),"")</f>
        <v/>
      </c>
    </row>
    <row r="21077" spans="2:4" ht="13">
      <c r="B21077" s="12" t="str">
        <f ca="1">IFERROR(__xludf.DUMMYFUNCTION("""COMPUTED_VALUE"""),"")</f>
        <v/>
      </c>
      <c r="C21077" s="12" t="str">
        <f ca="1">IFERROR(__xludf.DUMMYFUNCTION("""COMPUTED_VALUE"""),"")</f>
        <v/>
      </c>
      <c r="D21077" s="12" t="str">
        <f ca="1">IFERROR(__xludf.DUMMYFUNCTION("""COMPUTED_VALUE"""),"")</f>
        <v/>
      </c>
    </row>
    <row r="21078" spans="2:4" ht="13">
      <c r="B21078" s="12" t="str">
        <f ca="1">IFERROR(__xludf.DUMMYFUNCTION("""COMPUTED_VALUE"""),"")</f>
        <v/>
      </c>
      <c r="C21078" s="12" t="str">
        <f ca="1">IFERROR(__xludf.DUMMYFUNCTION("""COMPUTED_VALUE"""),"")</f>
        <v/>
      </c>
      <c r="D21078" s="12" t="str">
        <f ca="1">IFERROR(__xludf.DUMMYFUNCTION("""COMPUTED_VALUE"""),"")</f>
        <v/>
      </c>
    </row>
    <row r="21079" spans="2:4" ht="13">
      <c r="B21079" s="12" t="str">
        <f ca="1">IFERROR(__xludf.DUMMYFUNCTION("""COMPUTED_VALUE"""),"")</f>
        <v/>
      </c>
      <c r="C21079" s="12" t="str">
        <f ca="1">IFERROR(__xludf.DUMMYFUNCTION("""COMPUTED_VALUE"""),"")</f>
        <v/>
      </c>
      <c r="D21079" s="12" t="str">
        <f ca="1">IFERROR(__xludf.DUMMYFUNCTION("""COMPUTED_VALUE"""),"")</f>
        <v/>
      </c>
    </row>
    <row r="21080" spans="2:4" ht="13">
      <c r="B21080" s="12" t="str">
        <f ca="1">IFERROR(__xludf.DUMMYFUNCTION("""COMPUTED_VALUE"""),"")</f>
        <v/>
      </c>
      <c r="C21080" s="12" t="str">
        <f ca="1">IFERROR(__xludf.DUMMYFUNCTION("""COMPUTED_VALUE"""),"")</f>
        <v/>
      </c>
      <c r="D21080" s="12" t="str">
        <f ca="1">IFERROR(__xludf.DUMMYFUNCTION("""COMPUTED_VALUE"""),"")</f>
        <v/>
      </c>
    </row>
    <row r="21081" spans="2:4" ht="13">
      <c r="B21081" s="12" t="str">
        <f ca="1">IFERROR(__xludf.DUMMYFUNCTION("""COMPUTED_VALUE"""),"")</f>
        <v/>
      </c>
      <c r="C21081" s="12" t="str">
        <f ca="1">IFERROR(__xludf.DUMMYFUNCTION("""COMPUTED_VALUE"""),"")</f>
        <v/>
      </c>
      <c r="D21081" s="12" t="str">
        <f ca="1">IFERROR(__xludf.DUMMYFUNCTION("""COMPUTED_VALUE"""),"")</f>
        <v/>
      </c>
    </row>
    <row r="21082" spans="2:4" ht="13">
      <c r="B21082" s="12" t="str">
        <f ca="1">IFERROR(__xludf.DUMMYFUNCTION("""COMPUTED_VALUE"""),"")</f>
        <v/>
      </c>
      <c r="C21082" s="12" t="str">
        <f ca="1">IFERROR(__xludf.DUMMYFUNCTION("""COMPUTED_VALUE"""),"")</f>
        <v/>
      </c>
      <c r="D21082" s="12" t="str">
        <f ca="1">IFERROR(__xludf.DUMMYFUNCTION("""COMPUTED_VALUE"""),"")</f>
        <v/>
      </c>
    </row>
    <row r="21083" spans="2:4" ht="13">
      <c r="B21083" s="12" t="str">
        <f ca="1">IFERROR(__xludf.DUMMYFUNCTION("""COMPUTED_VALUE"""),"")</f>
        <v/>
      </c>
      <c r="C21083" s="12" t="str">
        <f ca="1">IFERROR(__xludf.DUMMYFUNCTION("""COMPUTED_VALUE"""),"")</f>
        <v/>
      </c>
      <c r="D21083" s="12" t="str">
        <f ca="1">IFERROR(__xludf.DUMMYFUNCTION("""COMPUTED_VALUE"""),"")</f>
        <v/>
      </c>
    </row>
    <row r="21084" spans="2:4" ht="13">
      <c r="B21084" s="12" t="str">
        <f ca="1">IFERROR(__xludf.DUMMYFUNCTION("""COMPUTED_VALUE"""),"")</f>
        <v/>
      </c>
      <c r="C21084" s="12" t="str">
        <f ca="1">IFERROR(__xludf.DUMMYFUNCTION("""COMPUTED_VALUE"""),"")</f>
        <v/>
      </c>
      <c r="D21084" s="12" t="str">
        <f ca="1">IFERROR(__xludf.DUMMYFUNCTION("""COMPUTED_VALUE"""),"")</f>
        <v/>
      </c>
    </row>
    <row r="21085" spans="2:4" ht="13">
      <c r="B21085" s="12" t="str">
        <f ca="1">IFERROR(__xludf.DUMMYFUNCTION("""COMPUTED_VALUE"""),"")</f>
        <v/>
      </c>
      <c r="C21085" s="12" t="str">
        <f ca="1">IFERROR(__xludf.DUMMYFUNCTION("""COMPUTED_VALUE"""),"")</f>
        <v/>
      </c>
      <c r="D21085" s="12" t="str">
        <f ca="1">IFERROR(__xludf.DUMMYFUNCTION("""COMPUTED_VALUE"""),"")</f>
        <v/>
      </c>
    </row>
    <row r="21086" spans="2:4" ht="13">
      <c r="B21086" s="12" t="str">
        <f ca="1">IFERROR(__xludf.DUMMYFUNCTION("""COMPUTED_VALUE"""),"")</f>
        <v/>
      </c>
      <c r="C21086" s="12" t="str">
        <f ca="1">IFERROR(__xludf.DUMMYFUNCTION("""COMPUTED_VALUE"""),"")</f>
        <v/>
      </c>
      <c r="D21086" s="12" t="str">
        <f ca="1">IFERROR(__xludf.DUMMYFUNCTION("""COMPUTED_VALUE"""),"")</f>
        <v/>
      </c>
    </row>
    <row r="21087" spans="2:4" ht="13">
      <c r="B21087" s="12" t="str">
        <f ca="1">IFERROR(__xludf.DUMMYFUNCTION("""COMPUTED_VALUE"""),"")</f>
        <v/>
      </c>
      <c r="C21087" s="12" t="str">
        <f ca="1">IFERROR(__xludf.DUMMYFUNCTION("""COMPUTED_VALUE"""),"")</f>
        <v/>
      </c>
      <c r="D21087" s="12" t="str">
        <f ca="1">IFERROR(__xludf.DUMMYFUNCTION("""COMPUTED_VALUE"""),"")</f>
        <v/>
      </c>
    </row>
    <row r="21088" spans="2:4" ht="13">
      <c r="B21088" s="12" t="str">
        <f ca="1">IFERROR(__xludf.DUMMYFUNCTION("""COMPUTED_VALUE"""),"")</f>
        <v/>
      </c>
      <c r="C21088" s="12" t="str">
        <f ca="1">IFERROR(__xludf.DUMMYFUNCTION("""COMPUTED_VALUE"""),"")</f>
        <v/>
      </c>
      <c r="D21088" s="12" t="str">
        <f ca="1">IFERROR(__xludf.DUMMYFUNCTION("""COMPUTED_VALUE"""),"")</f>
        <v/>
      </c>
    </row>
    <row r="21089" spans="2:4" ht="13">
      <c r="B21089" s="12" t="str">
        <f ca="1">IFERROR(__xludf.DUMMYFUNCTION("""COMPUTED_VALUE"""),"")</f>
        <v/>
      </c>
      <c r="C21089" s="12" t="str">
        <f ca="1">IFERROR(__xludf.DUMMYFUNCTION("""COMPUTED_VALUE"""),"")</f>
        <v/>
      </c>
      <c r="D21089" s="12" t="str">
        <f ca="1">IFERROR(__xludf.DUMMYFUNCTION("""COMPUTED_VALUE"""),"")</f>
        <v/>
      </c>
    </row>
    <row r="21090" spans="2:4" ht="13">
      <c r="B21090" s="12" t="str">
        <f ca="1">IFERROR(__xludf.DUMMYFUNCTION("""COMPUTED_VALUE"""),"")</f>
        <v/>
      </c>
      <c r="C21090" s="12" t="str">
        <f ca="1">IFERROR(__xludf.DUMMYFUNCTION("""COMPUTED_VALUE"""),"")</f>
        <v/>
      </c>
      <c r="D21090" s="12" t="str">
        <f ca="1">IFERROR(__xludf.DUMMYFUNCTION("""COMPUTED_VALUE"""),"")</f>
        <v/>
      </c>
    </row>
    <row r="21091" spans="2:4" ht="13">
      <c r="B21091" s="12" t="str">
        <f ca="1">IFERROR(__xludf.DUMMYFUNCTION("""COMPUTED_VALUE"""),"")</f>
        <v/>
      </c>
      <c r="C21091" s="12" t="str">
        <f ca="1">IFERROR(__xludf.DUMMYFUNCTION("""COMPUTED_VALUE"""),"")</f>
        <v/>
      </c>
      <c r="D21091" s="12" t="str">
        <f ca="1">IFERROR(__xludf.DUMMYFUNCTION("""COMPUTED_VALUE"""),"")</f>
        <v/>
      </c>
    </row>
    <row r="21092" spans="2:4" ht="13">
      <c r="B21092" s="12" t="str">
        <f ca="1">IFERROR(__xludf.DUMMYFUNCTION("""COMPUTED_VALUE"""),"")</f>
        <v/>
      </c>
      <c r="C21092" s="12" t="str">
        <f ca="1">IFERROR(__xludf.DUMMYFUNCTION("""COMPUTED_VALUE"""),"")</f>
        <v/>
      </c>
      <c r="D21092" s="12" t="str">
        <f ca="1">IFERROR(__xludf.DUMMYFUNCTION("""COMPUTED_VALUE"""),"")</f>
        <v/>
      </c>
    </row>
    <row r="21093" spans="2:4" ht="13">
      <c r="B21093" s="12" t="str">
        <f ca="1">IFERROR(__xludf.DUMMYFUNCTION("""COMPUTED_VALUE"""),"")</f>
        <v/>
      </c>
      <c r="C21093" s="12" t="str">
        <f ca="1">IFERROR(__xludf.DUMMYFUNCTION("""COMPUTED_VALUE"""),"")</f>
        <v/>
      </c>
      <c r="D21093" s="12" t="str">
        <f ca="1">IFERROR(__xludf.DUMMYFUNCTION("""COMPUTED_VALUE"""),"")</f>
        <v/>
      </c>
    </row>
    <row r="21094" spans="2:4" ht="13">
      <c r="B21094" s="12" t="str">
        <f ca="1">IFERROR(__xludf.DUMMYFUNCTION("""COMPUTED_VALUE"""),"")</f>
        <v/>
      </c>
      <c r="C21094" s="12" t="str">
        <f ca="1">IFERROR(__xludf.DUMMYFUNCTION("""COMPUTED_VALUE"""),"")</f>
        <v/>
      </c>
      <c r="D21094" s="12" t="str">
        <f ca="1">IFERROR(__xludf.DUMMYFUNCTION("""COMPUTED_VALUE"""),"")</f>
        <v/>
      </c>
    </row>
    <row r="21095" spans="2:4" ht="13">
      <c r="B21095" s="12" t="str">
        <f ca="1">IFERROR(__xludf.DUMMYFUNCTION("""COMPUTED_VALUE"""),"")</f>
        <v/>
      </c>
      <c r="C21095" s="12" t="str">
        <f ca="1">IFERROR(__xludf.DUMMYFUNCTION("""COMPUTED_VALUE"""),"")</f>
        <v/>
      </c>
      <c r="D21095" s="12" t="str">
        <f ca="1">IFERROR(__xludf.DUMMYFUNCTION("""COMPUTED_VALUE"""),"")</f>
        <v/>
      </c>
    </row>
    <row r="21096" spans="2:4" ht="13">
      <c r="B21096" s="12" t="str">
        <f ca="1">IFERROR(__xludf.DUMMYFUNCTION("""COMPUTED_VALUE"""),"")</f>
        <v/>
      </c>
      <c r="C21096" s="12" t="str">
        <f ca="1">IFERROR(__xludf.DUMMYFUNCTION("""COMPUTED_VALUE"""),"")</f>
        <v/>
      </c>
      <c r="D21096" s="12" t="str">
        <f ca="1">IFERROR(__xludf.DUMMYFUNCTION("""COMPUTED_VALUE"""),"")</f>
        <v/>
      </c>
    </row>
    <row r="21097" spans="2:4" ht="13">
      <c r="B21097" s="12" t="str">
        <f ca="1">IFERROR(__xludf.DUMMYFUNCTION("""COMPUTED_VALUE"""),"")</f>
        <v/>
      </c>
      <c r="C21097" s="12" t="str">
        <f ca="1">IFERROR(__xludf.DUMMYFUNCTION("""COMPUTED_VALUE"""),"")</f>
        <v/>
      </c>
      <c r="D21097" s="12" t="str">
        <f ca="1">IFERROR(__xludf.DUMMYFUNCTION("""COMPUTED_VALUE"""),"")</f>
        <v/>
      </c>
    </row>
    <row r="21098" spans="2:4" ht="13">
      <c r="B21098" s="12" t="str">
        <f ca="1">IFERROR(__xludf.DUMMYFUNCTION("""COMPUTED_VALUE"""),"")</f>
        <v/>
      </c>
      <c r="C21098" s="12" t="str">
        <f ca="1">IFERROR(__xludf.DUMMYFUNCTION("""COMPUTED_VALUE"""),"")</f>
        <v/>
      </c>
      <c r="D21098" s="12" t="str">
        <f ca="1">IFERROR(__xludf.DUMMYFUNCTION("""COMPUTED_VALUE"""),"")</f>
        <v/>
      </c>
    </row>
    <row r="21099" spans="2:4" ht="13">
      <c r="B21099" s="12" t="str">
        <f ca="1">IFERROR(__xludf.DUMMYFUNCTION("""COMPUTED_VALUE"""),"")</f>
        <v/>
      </c>
      <c r="C21099" s="12" t="str">
        <f ca="1">IFERROR(__xludf.DUMMYFUNCTION("""COMPUTED_VALUE"""),"")</f>
        <v/>
      </c>
      <c r="D21099" s="12" t="str">
        <f ca="1">IFERROR(__xludf.DUMMYFUNCTION("""COMPUTED_VALUE"""),"")</f>
        <v/>
      </c>
    </row>
    <row r="21100" spans="2:4" ht="13">
      <c r="B21100" s="12" t="str">
        <f ca="1">IFERROR(__xludf.DUMMYFUNCTION("""COMPUTED_VALUE"""),"")</f>
        <v/>
      </c>
      <c r="C21100" s="12" t="str">
        <f ca="1">IFERROR(__xludf.DUMMYFUNCTION("""COMPUTED_VALUE"""),"")</f>
        <v/>
      </c>
      <c r="D21100" s="12" t="str">
        <f ca="1">IFERROR(__xludf.DUMMYFUNCTION("""COMPUTED_VALUE"""),"")</f>
        <v/>
      </c>
    </row>
    <row r="21101" spans="2:4" ht="13">
      <c r="B21101" s="12" t="str">
        <f ca="1">IFERROR(__xludf.DUMMYFUNCTION("""COMPUTED_VALUE"""),"")</f>
        <v/>
      </c>
      <c r="C21101" s="12" t="str">
        <f ca="1">IFERROR(__xludf.DUMMYFUNCTION("""COMPUTED_VALUE"""),"")</f>
        <v/>
      </c>
      <c r="D21101" s="12" t="str">
        <f ca="1">IFERROR(__xludf.DUMMYFUNCTION("""COMPUTED_VALUE"""),"")</f>
        <v/>
      </c>
    </row>
    <row r="21102" spans="2:4" ht="13">
      <c r="B21102" s="12" t="str">
        <f ca="1">IFERROR(__xludf.DUMMYFUNCTION("""COMPUTED_VALUE"""),"")</f>
        <v/>
      </c>
      <c r="C21102" s="12" t="str">
        <f ca="1">IFERROR(__xludf.DUMMYFUNCTION("""COMPUTED_VALUE"""),"")</f>
        <v/>
      </c>
      <c r="D21102" s="12" t="str">
        <f ca="1">IFERROR(__xludf.DUMMYFUNCTION("""COMPUTED_VALUE"""),"")</f>
        <v/>
      </c>
    </row>
    <row r="21103" spans="2:4" ht="13">
      <c r="B21103" s="12" t="str">
        <f ca="1">IFERROR(__xludf.DUMMYFUNCTION("""COMPUTED_VALUE"""),"")</f>
        <v/>
      </c>
      <c r="C21103" s="12" t="str">
        <f ca="1">IFERROR(__xludf.DUMMYFUNCTION("""COMPUTED_VALUE"""),"")</f>
        <v/>
      </c>
      <c r="D21103" s="12" t="str">
        <f ca="1">IFERROR(__xludf.DUMMYFUNCTION("""COMPUTED_VALUE"""),"")</f>
        <v/>
      </c>
    </row>
    <row r="21104" spans="2:4" ht="13">
      <c r="B21104" s="12" t="str">
        <f ca="1">IFERROR(__xludf.DUMMYFUNCTION("""COMPUTED_VALUE"""),"")</f>
        <v/>
      </c>
      <c r="C21104" s="12" t="str">
        <f ca="1">IFERROR(__xludf.DUMMYFUNCTION("""COMPUTED_VALUE"""),"")</f>
        <v/>
      </c>
      <c r="D21104" s="12" t="str">
        <f ca="1">IFERROR(__xludf.DUMMYFUNCTION("""COMPUTED_VALUE"""),"")</f>
        <v/>
      </c>
    </row>
    <row r="21105" spans="2:4" ht="13">
      <c r="B21105" s="12" t="str">
        <f ca="1">IFERROR(__xludf.DUMMYFUNCTION("""COMPUTED_VALUE"""),"")</f>
        <v/>
      </c>
      <c r="C21105" s="12" t="str">
        <f ca="1">IFERROR(__xludf.DUMMYFUNCTION("""COMPUTED_VALUE"""),"")</f>
        <v/>
      </c>
      <c r="D21105" s="12" t="str">
        <f ca="1">IFERROR(__xludf.DUMMYFUNCTION("""COMPUTED_VALUE"""),"")</f>
        <v/>
      </c>
    </row>
    <row r="21106" spans="2:4" ht="13">
      <c r="B21106" s="12" t="str">
        <f ca="1">IFERROR(__xludf.DUMMYFUNCTION("""COMPUTED_VALUE"""),"")</f>
        <v/>
      </c>
      <c r="C21106" s="12" t="str">
        <f ca="1">IFERROR(__xludf.DUMMYFUNCTION("""COMPUTED_VALUE"""),"")</f>
        <v/>
      </c>
      <c r="D21106" s="12" t="str">
        <f ca="1">IFERROR(__xludf.DUMMYFUNCTION("""COMPUTED_VALUE"""),"")</f>
        <v/>
      </c>
    </row>
    <row r="21107" spans="2:4" ht="13">
      <c r="B21107" s="12" t="str">
        <f ca="1">IFERROR(__xludf.DUMMYFUNCTION("""COMPUTED_VALUE"""),"")</f>
        <v/>
      </c>
      <c r="C21107" s="12" t="str">
        <f ca="1">IFERROR(__xludf.DUMMYFUNCTION("""COMPUTED_VALUE"""),"")</f>
        <v/>
      </c>
      <c r="D21107" s="12" t="str">
        <f ca="1">IFERROR(__xludf.DUMMYFUNCTION("""COMPUTED_VALUE"""),"")</f>
        <v/>
      </c>
    </row>
    <row r="21108" spans="2:4" ht="13">
      <c r="B21108" s="12" t="str">
        <f ca="1">IFERROR(__xludf.DUMMYFUNCTION("""COMPUTED_VALUE"""),"")</f>
        <v/>
      </c>
      <c r="C21108" s="12" t="str">
        <f ca="1">IFERROR(__xludf.DUMMYFUNCTION("""COMPUTED_VALUE"""),"")</f>
        <v/>
      </c>
      <c r="D21108" s="12" t="str">
        <f ca="1">IFERROR(__xludf.DUMMYFUNCTION("""COMPUTED_VALUE"""),"")</f>
        <v/>
      </c>
    </row>
    <row r="21109" spans="2:4" ht="13">
      <c r="B21109" s="12" t="str">
        <f ca="1">IFERROR(__xludf.DUMMYFUNCTION("""COMPUTED_VALUE"""),"")</f>
        <v/>
      </c>
      <c r="C21109" s="12" t="str">
        <f ca="1">IFERROR(__xludf.DUMMYFUNCTION("""COMPUTED_VALUE"""),"")</f>
        <v/>
      </c>
      <c r="D21109" s="12" t="str">
        <f ca="1">IFERROR(__xludf.DUMMYFUNCTION("""COMPUTED_VALUE"""),"")</f>
        <v/>
      </c>
    </row>
    <row r="21110" spans="2:4" ht="13">
      <c r="B21110" s="12" t="str">
        <f ca="1">IFERROR(__xludf.DUMMYFUNCTION("""COMPUTED_VALUE"""),"")</f>
        <v/>
      </c>
      <c r="C21110" s="12" t="str">
        <f ca="1">IFERROR(__xludf.DUMMYFUNCTION("""COMPUTED_VALUE"""),"")</f>
        <v/>
      </c>
      <c r="D21110" s="12" t="str">
        <f ca="1">IFERROR(__xludf.DUMMYFUNCTION("""COMPUTED_VALUE"""),"")</f>
        <v/>
      </c>
    </row>
    <row r="21111" spans="2:4" ht="13">
      <c r="B21111" s="12" t="str">
        <f ca="1">IFERROR(__xludf.DUMMYFUNCTION("""COMPUTED_VALUE"""),"")</f>
        <v/>
      </c>
      <c r="C21111" s="12" t="str">
        <f ca="1">IFERROR(__xludf.DUMMYFUNCTION("""COMPUTED_VALUE"""),"")</f>
        <v/>
      </c>
      <c r="D21111" s="12" t="str">
        <f ca="1">IFERROR(__xludf.DUMMYFUNCTION("""COMPUTED_VALUE"""),"")</f>
        <v/>
      </c>
    </row>
    <row r="21112" spans="2:4" ht="13">
      <c r="B21112" s="12" t="str">
        <f ca="1">IFERROR(__xludf.DUMMYFUNCTION("""COMPUTED_VALUE"""),"")</f>
        <v/>
      </c>
      <c r="C21112" s="12" t="str">
        <f ca="1">IFERROR(__xludf.DUMMYFUNCTION("""COMPUTED_VALUE"""),"")</f>
        <v/>
      </c>
      <c r="D21112" s="12" t="str">
        <f ca="1">IFERROR(__xludf.DUMMYFUNCTION("""COMPUTED_VALUE"""),"")</f>
        <v/>
      </c>
    </row>
    <row r="21113" spans="2:4" ht="13">
      <c r="B21113" s="12" t="str">
        <f ca="1">IFERROR(__xludf.DUMMYFUNCTION("""COMPUTED_VALUE"""),"")</f>
        <v/>
      </c>
      <c r="C21113" s="12" t="str">
        <f ca="1">IFERROR(__xludf.DUMMYFUNCTION("""COMPUTED_VALUE"""),"")</f>
        <v/>
      </c>
      <c r="D21113" s="12" t="str">
        <f ca="1">IFERROR(__xludf.DUMMYFUNCTION("""COMPUTED_VALUE"""),"")</f>
        <v/>
      </c>
    </row>
    <row r="21114" spans="2:4" ht="13">
      <c r="B21114" s="12" t="str">
        <f ca="1">IFERROR(__xludf.DUMMYFUNCTION("""COMPUTED_VALUE"""),"")</f>
        <v/>
      </c>
      <c r="C21114" s="12" t="str">
        <f ca="1">IFERROR(__xludf.DUMMYFUNCTION("""COMPUTED_VALUE"""),"")</f>
        <v/>
      </c>
      <c r="D21114" s="12" t="str">
        <f ca="1">IFERROR(__xludf.DUMMYFUNCTION("""COMPUTED_VALUE"""),"")</f>
        <v/>
      </c>
    </row>
    <row r="21115" spans="2:4" ht="13">
      <c r="B21115" s="12" t="str">
        <f ca="1">IFERROR(__xludf.DUMMYFUNCTION("""COMPUTED_VALUE"""),"")</f>
        <v/>
      </c>
      <c r="C21115" s="12" t="str">
        <f ca="1">IFERROR(__xludf.DUMMYFUNCTION("""COMPUTED_VALUE"""),"")</f>
        <v/>
      </c>
      <c r="D21115" s="12" t="str">
        <f ca="1">IFERROR(__xludf.DUMMYFUNCTION("""COMPUTED_VALUE"""),"")</f>
        <v/>
      </c>
    </row>
    <row r="21116" spans="2:4" ht="13">
      <c r="B21116" s="12" t="str">
        <f ca="1">IFERROR(__xludf.DUMMYFUNCTION("""COMPUTED_VALUE"""),"")</f>
        <v/>
      </c>
      <c r="C21116" s="12" t="str">
        <f ca="1">IFERROR(__xludf.DUMMYFUNCTION("""COMPUTED_VALUE"""),"")</f>
        <v/>
      </c>
      <c r="D21116" s="12" t="str">
        <f ca="1">IFERROR(__xludf.DUMMYFUNCTION("""COMPUTED_VALUE"""),"")</f>
        <v/>
      </c>
    </row>
    <row r="21117" spans="2:4" ht="13">
      <c r="B21117" s="12" t="str">
        <f ca="1">IFERROR(__xludf.DUMMYFUNCTION("""COMPUTED_VALUE"""),"")</f>
        <v/>
      </c>
      <c r="C21117" s="12" t="str">
        <f ca="1">IFERROR(__xludf.DUMMYFUNCTION("""COMPUTED_VALUE"""),"")</f>
        <v/>
      </c>
      <c r="D21117" s="12" t="str">
        <f ca="1">IFERROR(__xludf.DUMMYFUNCTION("""COMPUTED_VALUE"""),"")</f>
        <v/>
      </c>
    </row>
    <row r="21118" spans="2:4" ht="13">
      <c r="B21118" s="12" t="str">
        <f ca="1">IFERROR(__xludf.DUMMYFUNCTION("""COMPUTED_VALUE"""),"")</f>
        <v/>
      </c>
      <c r="C21118" s="12" t="str">
        <f ca="1">IFERROR(__xludf.DUMMYFUNCTION("""COMPUTED_VALUE"""),"")</f>
        <v/>
      </c>
      <c r="D21118" s="12" t="str">
        <f ca="1">IFERROR(__xludf.DUMMYFUNCTION("""COMPUTED_VALUE"""),"")</f>
        <v/>
      </c>
    </row>
    <row r="21119" spans="2:4" ht="13">
      <c r="B21119" s="12" t="str">
        <f ca="1">IFERROR(__xludf.DUMMYFUNCTION("""COMPUTED_VALUE"""),"")</f>
        <v/>
      </c>
      <c r="C21119" s="12" t="str">
        <f ca="1">IFERROR(__xludf.DUMMYFUNCTION("""COMPUTED_VALUE"""),"")</f>
        <v/>
      </c>
      <c r="D21119" s="12" t="str">
        <f ca="1">IFERROR(__xludf.DUMMYFUNCTION("""COMPUTED_VALUE"""),"")</f>
        <v/>
      </c>
    </row>
    <row r="21120" spans="2:4" ht="13">
      <c r="B21120" s="12" t="str">
        <f ca="1">IFERROR(__xludf.DUMMYFUNCTION("""COMPUTED_VALUE"""),"")</f>
        <v/>
      </c>
      <c r="C21120" s="12" t="str">
        <f ca="1">IFERROR(__xludf.DUMMYFUNCTION("""COMPUTED_VALUE"""),"")</f>
        <v/>
      </c>
      <c r="D21120" s="12" t="str">
        <f ca="1">IFERROR(__xludf.DUMMYFUNCTION("""COMPUTED_VALUE"""),"")</f>
        <v/>
      </c>
    </row>
    <row r="21121" spans="2:4" ht="13">
      <c r="B21121" s="12" t="str">
        <f ca="1">IFERROR(__xludf.DUMMYFUNCTION("""COMPUTED_VALUE"""),"")</f>
        <v/>
      </c>
      <c r="C21121" s="12" t="str">
        <f ca="1">IFERROR(__xludf.DUMMYFUNCTION("""COMPUTED_VALUE"""),"")</f>
        <v/>
      </c>
      <c r="D21121" s="12" t="str">
        <f ca="1">IFERROR(__xludf.DUMMYFUNCTION("""COMPUTED_VALUE"""),"")</f>
        <v/>
      </c>
    </row>
    <row r="21122" spans="2:4" ht="13">
      <c r="B21122" s="12" t="str">
        <f ca="1">IFERROR(__xludf.DUMMYFUNCTION("""COMPUTED_VALUE"""),"")</f>
        <v/>
      </c>
      <c r="C21122" s="12" t="str">
        <f ca="1">IFERROR(__xludf.DUMMYFUNCTION("""COMPUTED_VALUE"""),"")</f>
        <v/>
      </c>
      <c r="D21122" s="12" t="str">
        <f ca="1">IFERROR(__xludf.DUMMYFUNCTION("""COMPUTED_VALUE"""),"")</f>
        <v/>
      </c>
    </row>
    <row r="21123" spans="2:4" ht="13">
      <c r="B21123" s="12" t="str">
        <f ca="1">IFERROR(__xludf.DUMMYFUNCTION("""COMPUTED_VALUE"""),"")</f>
        <v/>
      </c>
      <c r="C21123" s="12" t="str">
        <f ca="1">IFERROR(__xludf.DUMMYFUNCTION("""COMPUTED_VALUE"""),"")</f>
        <v/>
      </c>
      <c r="D21123" s="12" t="str">
        <f ca="1">IFERROR(__xludf.DUMMYFUNCTION("""COMPUTED_VALUE"""),"")</f>
        <v/>
      </c>
    </row>
    <row r="21124" spans="2:4" ht="13">
      <c r="B21124" s="12" t="str">
        <f ca="1">IFERROR(__xludf.DUMMYFUNCTION("""COMPUTED_VALUE"""),"")</f>
        <v/>
      </c>
      <c r="C21124" s="12" t="str">
        <f ca="1">IFERROR(__xludf.DUMMYFUNCTION("""COMPUTED_VALUE"""),"")</f>
        <v/>
      </c>
      <c r="D21124" s="12" t="str">
        <f ca="1">IFERROR(__xludf.DUMMYFUNCTION("""COMPUTED_VALUE"""),"")</f>
        <v/>
      </c>
    </row>
    <row r="21125" spans="2:4" ht="13">
      <c r="B21125" s="12" t="str">
        <f ca="1">IFERROR(__xludf.DUMMYFUNCTION("""COMPUTED_VALUE"""),"")</f>
        <v/>
      </c>
      <c r="C21125" s="12" t="str">
        <f ca="1">IFERROR(__xludf.DUMMYFUNCTION("""COMPUTED_VALUE"""),"")</f>
        <v/>
      </c>
      <c r="D21125" s="12" t="str">
        <f ca="1">IFERROR(__xludf.DUMMYFUNCTION("""COMPUTED_VALUE"""),"")</f>
        <v/>
      </c>
    </row>
    <row r="21126" spans="2:4" ht="13">
      <c r="B21126" s="12" t="str">
        <f ca="1">IFERROR(__xludf.DUMMYFUNCTION("""COMPUTED_VALUE"""),"")</f>
        <v/>
      </c>
      <c r="C21126" s="12" t="str">
        <f ca="1">IFERROR(__xludf.DUMMYFUNCTION("""COMPUTED_VALUE"""),"")</f>
        <v/>
      </c>
      <c r="D21126" s="12" t="str">
        <f ca="1">IFERROR(__xludf.DUMMYFUNCTION("""COMPUTED_VALUE"""),"")</f>
        <v/>
      </c>
    </row>
    <row r="21127" spans="2:4" ht="13">
      <c r="B21127" s="12" t="str">
        <f ca="1">IFERROR(__xludf.DUMMYFUNCTION("""COMPUTED_VALUE"""),"")</f>
        <v/>
      </c>
      <c r="C21127" s="12" t="str">
        <f ca="1">IFERROR(__xludf.DUMMYFUNCTION("""COMPUTED_VALUE"""),"")</f>
        <v/>
      </c>
      <c r="D21127" s="12" t="str">
        <f ca="1">IFERROR(__xludf.DUMMYFUNCTION("""COMPUTED_VALUE"""),"")</f>
        <v/>
      </c>
    </row>
    <row r="21128" spans="2:4" ht="13">
      <c r="B21128" s="12" t="str">
        <f ca="1">IFERROR(__xludf.DUMMYFUNCTION("""COMPUTED_VALUE"""),"")</f>
        <v/>
      </c>
      <c r="C21128" s="12" t="str">
        <f ca="1">IFERROR(__xludf.DUMMYFUNCTION("""COMPUTED_VALUE"""),"")</f>
        <v/>
      </c>
      <c r="D21128" s="12" t="str">
        <f ca="1">IFERROR(__xludf.DUMMYFUNCTION("""COMPUTED_VALUE"""),"")</f>
        <v/>
      </c>
    </row>
    <row r="21129" spans="2:4" ht="13">
      <c r="B21129" s="12" t="str">
        <f ca="1">IFERROR(__xludf.DUMMYFUNCTION("""COMPUTED_VALUE"""),"")</f>
        <v/>
      </c>
      <c r="C21129" s="12" t="str">
        <f ca="1">IFERROR(__xludf.DUMMYFUNCTION("""COMPUTED_VALUE"""),"")</f>
        <v/>
      </c>
      <c r="D21129" s="12" t="str">
        <f ca="1">IFERROR(__xludf.DUMMYFUNCTION("""COMPUTED_VALUE"""),"")</f>
        <v/>
      </c>
    </row>
    <row r="21130" spans="2:4" ht="13">
      <c r="B21130" s="12" t="str">
        <f ca="1">IFERROR(__xludf.DUMMYFUNCTION("""COMPUTED_VALUE"""),"")</f>
        <v/>
      </c>
      <c r="C21130" s="12" t="str">
        <f ca="1">IFERROR(__xludf.DUMMYFUNCTION("""COMPUTED_VALUE"""),"")</f>
        <v/>
      </c>
      <c r="D21130" s="12" t="str">
        <f ca="1">IFERROR(__xludf.DUMMYFUNCTION("""COMPUTED_VALUE"""),"")</f>
        <v/>
      </c>
    </row>
    <row r="21131" spans="2:4" ht="13">
      <c r="B21131" s="12" t="str">
        <f ca="1">IFERROR(__xludf.DUMMYFUNCTION("""COMPUTED_VALUE"""),"")</f>
        <v/>
      </c>
      <c r="C21131" s="12" t="str">
        <f ca="1">IFERROR(__xludf.DUMMYFUNCTION("""COMPUTED_VALUE"""),"")</f>
        <v/>
      </c>
      <c r="D21131" s="12" t="str">
        <f ca="1">IFERROR(__xludf.DUMMYFUNCTION("""COMPUTED_VALUE"""),"")</f>
        <v/>
      </c>
    </row>
    <row r="21132" spans="2:4" ht="13">
      <c r="B21132" s="12" t="str">
        <f ca="1">IFERROR(__xludf.DUMMYFUNCTION("""COMPUTED_VALUE"""),"")</f>
        <v/>
      </c>
      <c r="C21132" s="12" t="str">
        <f ca="1">IFERROR(__xludf.DUMMYFUNCTION("""COMPUTED_VALUE"""),"")</f>
        <v/>
      </c>
      <c r="D21132" s="12" t="str">
        <f ca="1">IFERROR(__xludf.DUMMYFUNCTION("""COMPUTED_VALUE"""),"")</f>
        <v/>
      </c>
    </row>
    <row r="21133" spans="2:4" ht="13">
      <c r="B21133" s="12" t="str">
        <f ca="1">IFERROR(__xludf.DUMMYFUNCTION("""COMPUTED_VALUE"""),"")</f>
        <v/>
      </c>
      <c r="C21133" s="12" t="str">
        <f ca="1">IFERROR(__xludf.DUMMYFUNCTION("""COMPUTED_VALUE"""),"")</f>
        <v/>
      </c>
      <c r="D21133" s="12" t="str">
        <f ca="1">IFERROR(__xludf.DUMMYFUNCTION("""COMPUTED_VALUE"""),"")</f>
        <v/>
      </c>
    </row>
    <row r="21134" spans="2:4" ht="13">
      <c r="B21134" s="12" t="str">
        <f ca="1">IFERROR(__xludf.DUMMYFUNCTION("""COMPUTED_VALUE"""),"")</f>
        <v/>
      </c>
      <c r="C21134" s="12" t="str">
        <f ca="1">IFERROR(__xludf.DUMMYFUNCTION("""COMPUTED_VALUE"""),"")</f>
        <v/>
      </c>
      <c r="D21134" s="12" t="str">
        <f ca="1">IFERROR(__xludf.DUMMYFUNCTION("""COMPUTED_VALUE"""),"")</f>
        <v/>
      </c>
    </row>
    <row r="21135" spans="2:4" ht="13">
      <c r="B21135" s="12" t="str">
        <f ca="1">IFERROR(__xludf.DUMMYFUNCTION("""COMPUTED_VALUE"""),"")</f>
        <v/>
      </c>
      <c r="C21135" s="12" t="str">
        <f ca="1">IFERROR(__xludf.DUMMYFUNCTION("""COMPUTED_VALUE"""),"")</f>
        <v/>
      </c>
      <c r="D21135" s="12" t="str">
        <f ca="1">IFERROR(__xludf.DUMMYFUNCTION("""COMPUTED_VALUE"""),"")</f>
        <v/>
      </c>
    </row>
    <row r="21136" spans="2:4" ht="13">
      <c r="B21136" s="12" t="str">
        <f ca="1">IFERROR(__xludf.DUMMYFUNCTION("""COMPUTED_VALUE"""),"")</f>
        <v/>
      </c>
      <c r="C21136" s="12" t="str">
        <f ca="1">IFERROR(__xludf.DUMMYFUNCTION("""COMPUTED_VALUE"""),"")</f>
        <v/>
      </c>
      <c r="D21136" s="12" t="str">
        <f ca="1">IFERROR(__xludf.DUMMYFUNCTION("""COMPUTED_VALUE"""),"")</f>
        <v/>
      </c>
    </row>
    <row r="21137" spans="2:4" ht="13">
      <c r="B21137" s="12" t="str">
        <f ca="1">IFERROR(__xludf.DUMMYFUNCTION("""COMPUTED_VALUE"""),"")</f>
        <v/>
      </c>
      <c r="C21137" s="12" t="str">
        <f ca="1">IFERROR(__xludf.DUMMYFUNCTION("""COMPUTED_VALUE"""),"")</f>
        <v/>
      </c>
      <c r="D21137" s="12" t="str">
        <f ca="1">IFERROR(__xludf.DUMMYFUNCTION("""COMPUTED_VALUE"""),"")</f>
        <v/>
      </c>
    </row>
    <row r="21138" spans="2:4" ht="13">
      <c r="B21138" s="12" t="str">
        <f ca="1">IFERROR(__xludf.DUMMYFUNCTION("""COMPUTED_VALUE"""),"")</f>
        <v/>
      </c>
      <c r="C21138" s="12" t="str">
        <f ca="1">IFERROR(__xludf.DUMMYFUNCTION("""COMPUTED_VALUE"""),"")</f>
        <v/>
      </c>
      <c r="D21138" s="12" t="str">
        <f ca="1">IFERROR(__xludf.DUMMYFUNCTION("""COMPUTED_VALUE"""),"")</f>
        <v/>
      </c>
    </row>
    <row r="21139" spans="2:4" ht="13">
      <c r="B21139" s="12" t="str">
        <f ca="1">IFERROR(__xludf.DUMMYFUNCTION("""COMPUTED_VALUE"""),"")</f>
        <v/>
      </c>
      <c r="C21139" s="12" t="str">
        <f ca="1">IFERROR(__xludf.DUMMYFUNCTION("""COMPUTED_VALUE"""),"")</f>
        <v/>
      </c>
      <c r="D21139" s="12" t="str">
        <f ca="1">IFERROR(__xludf.DUMMYFUNCTION("""COMPUTED_VALUE"""),"")</f>
        <v/>
      </c>
    </row>
    <row r="21140" spans="2:4" ht="13">
      <c r="B21140" s="12" t="str">
        <f ca="1">IFERROR(__xludf.DUMMYFUNCTION("""COMPUTED_VALUE"""),"")</f>
        <v/>
      </c>
      <c r="C21140" s="12" t="str">
        <f ca="1">IFERROR(__xludf.DUMMYFUNCTION("""COMPUTED_VALUE"""),"")</f>
        <v/>
      </c>
      <c r="D21140" s="12" t="str">
        <f ca="1">IFERROR(__xludf.DUMMYFUNCTION("""COMPUTED_VALUE"""),"")</f>
        <v/>
      </c>
    </row>
    <row r="21141" spans="2:4" ht="13">
      <c r="B21141" s="12" t="str">
        <f ca="1">IFERROR(__xludf.DUMMYFUNCTION("""COMPUTED_VALUE"""),"")</f>
        <v/>
      </c>
      <c r="C21141" s="12" t="str">
        <f ca="1">IFERROR(__xludf.DUMMYFUNCTION("""COMPUTED_VALUE"""),"")</f>
        <v/>
      </c>
      <c r="D21141" s="12" t="str">
        <f ca="1">IFERROR(__xludf.DUMMYFUNCTION("""COMPUTED_VALUE"""),"")</f>
        <v/>
      </c>
    </row>
    <row r="21142" spans="2:4" ht="13">
      <c r="B21142" s="12" t="str">
        <f ca="1">IFERROR(__xludf.DUMMYFUNCTION("""COMPUTED_VALUE"""),"")</f>
        <v/>
      </c>
      <c r="C21142" s="12" t="str">
        <f ca="1">IFERROR(__xludf.DUMMYFUNCTION("""COMPUTED_VALUE"""),"")</f>
        <v/>
      </c>
      <c r="D21142" s="12" t="str">
        <f ca="1">IFERROR(__xludf.DUMMYFUNCTION("""COMPUTED_VALUE"""),"")</f>
        <v/>
      </c>
    </row>
    <row r="21143" spans="2:4" ht="13">
      <c r="B21143" s="12" t="str">
        <f ca="1">IFERROR(__xludf.DUMMYFUNCTION("""COMPUTED_VALUE"""),"")</f>
        <v/>
      </c>
      <c r="C21143" s="12" t="str">
        <f ca="1">IFERROR(__xludf.DUMMYFUNCTION("""COMPUTED_VALUE"""),"")</f>
        <v/>
      </c>
      <c r="D21143" s="12" t="str">
        <f ca="1">IFERROR(__xludf.DUMMYFUNCTION("""COMPUTED_VALUE"""),"")</f>
        <v/>
      </c>
    </row>
    <row r="21144" spans="2:4" ht="13">
      <c r="B21144" s="12" t="str">
        <f ca="1">IFERROR(__xludf.DUMMYFUNCTION("""COMPUTED_VALUE"""),"")</f>
        <v/>
      </c>
      <c r="C21144" s="12" t="str">
        <f ca="1">IFERROR(__xludf.DUMMYFUNCTION("""COMPUTED_VALUE"""),"")</f>
        <v/>
      </c>
      <c r="D21144" s="12" t="str">
        <f ca="1">IFERROR(__xludf.DUMMYFUNCTION("""COMPUTED_VALUE"""),"")</f>
        <v/>
      </c>
    </row>
    <row r="21145" spans="2:4" ht="13">
      <c r="B21145" s="12" t="str">
        <f ca="1">IFERROR(__xludf.DUMMYFUNCTION("""COMPUTED_VALUE"""),"")</f>
        <v/>
      </c>
      <c r="C21145" s="12" t="str">
        <f ca="1">IFERROR(__xludf.DUMMYFUNCTION("""COMPUTED_VALUE"""),"")</f>
        <v/>
      </c>
      <c r="D21145" s="12" t="str">
        <f ca="1">IFERROR(__xludf.DUMMYFUNCTION("""COMPUTED_VALUE"""),"")</f>
        <v/>
      </c>
    </row>
    <row r="21146" spans="2:4" ht="13">
      <c r="B21146" s="12" t="str">
        <f ca="1">IFERROR(__xludf.DUMMYFUNCTION("""COMPUTED_VALUE"""),"")</f>
        <v/>
      </c>
      <c r="C21146" s="12" t="str">
        <f ca="1">IFERROR(__xludf.DUMMYFUNCTION("""COMPUTED_VALUE"""),"")</f>
        <v/>
      </c>
      <c r="D21146" s="12" t="str">
        <f ca="1">IFERROR(__xludf.DUMMYFUNCTION("""COMPUTED_VALUE"""),"")</f>
        <v/>
      </c>
    </row>
    <row r="21147" spans="2:4" ht="13">
      <c r="B21147" s="12" t="str">
        <f ca="1">IFERROR(__xludf.DUMMYFUNCTION("""COMPUTED_VALUE"""),"")</f>
        <v/>
      </c>
      <c r="C21147" s="12" t="str">
        <f ca="1">IFERROR(__xludf.DUMMYFUNCTION("""COMPUTED_VALUE"""),"")</f>
        <v/>
      </c>
      <c r="D21147" s="12" t="str">
        <f ca="1">IFERROR(__xludf.DUMMYFUNCTION("""COMPUTED_VALUE"""),"")</f>
        <v/>
      </c>
    </row>
    <row r="21148" spans="2:4" ht="13">
      <c r="B21148" s="12" t="str">
        <f ca="1">IFERROR(__xludf.DUMMYFUNCTION("""COMPUTED_VALUE"""),"")</f>
        <v/>
      </c>
      <c r="C21148" s="12" t="str">
        <f ca="1">IFERROR(__xludf.DUMMYFUNCTION("""COMPUTED_VALUE"""),"")</f>
        <v/>
      </c>
      <c r="D21148" s="12" t="str">
        <f ca="1">IFERROR(__xludf.DUMMYFUNCTION("""COMPUTED_VALUE"""),"")</f>
        <v/>
      </c>
    </row>
    <row r="21149" spans="2:4" ht="13">
      <c r="B21149" s="12" t="str">
        <f ca="1">IFERROR(__xludf.DUMMYFUNCTION("""COMPUTED_VALUE"""),"")</f>
        <v/>
      </c>
      <c r="C21149" s="12" t="str">
        <f ca="1">IFERROR(__xludf.DUMMYFUNCTION("""COMPUTED_VALUE"""),"")</f>
        <v/>
      </c>
      <c r="D21149" s="12" t="str">
        <f ca="1">IFERROR(__xludf.DUMMYFUNCTION("""COMPUTED_VALUE"""),"")</f>
        <v/>
      </c>
    </row>
    <row r="21150" spans="2:4" ht="13">
      <c r="B21150" s="12" t="str">
        <f ca="1">IFERROR(__xludf.DUMMYFUNCTION("""COMPUTED_VALUE"""),"")</f>
        <v/>
      </c>
      <c r="C21150" s="12" t="str">
        <f ca="1">IFERROR(__xludf.DUMMYFUNCTION("""COMPUTED_VALUE"""),"")</f>
        <v/>
      </c>
      <c r="D21150" s="12" t="str">
        <f ca="1">IFERROR(__xludf.DUMMYFUNCTION("""COMPUTED_VALUE"""),"")</f>
        <v/>
      </c>
    </row>
    <row r="21151" spans="2:4" ht="13">
      <c r="B21151" s="12" t="str">
        <f ca="1">IFERROR(__xludf.DUMMYFUNCTION("""COMPUTED_VALUE"""),"")</f>
        <v/>
      </c>
      <c r="C21151" s="12" t="str">
        <f ca="1">IFERROR(__xludf.DUMMYFUNCTION("""COMPUTED_VALUE"""),"")</f>
        <v/>
      </c>
      <c r="D21151" s="12" t="str">
        <f ca="1">IFERROR(__xludf.DUMMYFUNCTION("""COMPUTED_VALUE"""),"")</f>
        <v/>
      </c>
    </row>
    <row r="21152" spans="2:4" ht="13">
      <c r="B21152" s="12" t="str">
        <f ca="1">IFERROR(__xludf.DUMMYFUNCTION("""COMPUTED_VALUE"""),"")</f>
        <v/>
      </c>
      <c r="C21152" s="12" t="str">
        <f ca="1">IFERROR(__xludf.DUMMYFUNCTION("""COMPUTED_VALUE"""),"")</f>
        <v/>
      </c>
      <c r="D21152" s="12" t="str">
        <f ca="1">IFERROR(__xludf.DUMMYFUNCTION("""COMPUTED_VALUE"""),"")</f>
        <v/>
      </c>
    </row>
    <row r="21153" spans="2:4" ht="13">
      <c r="B21153" s="12" t="str">
        <f ca="1">IFERROR(__xludf.DUMMYFUNCTION("""COMPUTED_VALUE"""),"")</f>
        <v/>
      </c>
      <c r="C21153" s="12" t="str">
        <f ca="1">IFERROR(__xludf.DUMMYFUNCTION("""COMPUTED_VALUE"""),"")</f>
        <v/>
      </c>
      <c r="D21153" s="12" t="str">
        <f ca="1">IFERROR(__xludf.DUMMYFUNCTION("""COMPUTED_VALUE"""),"")</f>
        <v/>
      </c>
    </row>
    <row r="21154" spans="2:4" ht="13">
      <c r="B21154" s="12" t="str">
        <f ca="1">IFERROR(__xludf.DUMMYFUNCTION("""COMPUTED_VALUE"""),"")</f>
        <v/>
      </c>
      <c r="C21154" s="12" t="str">
        <f ca="1">IFERROR(__xludf.DUMMYFUNCTION("""COMPUTED_VALUE"""),"")</f>
        <v/>
      </c>
      <c r="D21154" s="12" t="str">
        <f ca="1">IFERROR(__xludf.DUMMYFUNCTION("""COMPUTED_VALUE"""),"")</f>
        <v/>
      </c>
    </row>
    <row r="21155" spans="2:4" ht="13">
      <c r="B21155" s="12" t="str">
        <f ca="1">IFERROR(__xludf.DUMMYFUNCTION("""COMPUTED_VALUE"""),"")</f>
        <v/>
      </c>
      <c r="C21155" s="12" t="str">
        <f ca="1">IFERROR(__xludf.DUMMYFUNCTION("""COMPUTED_VALUE"""),"")</f>
        <v/>
      </c>
      <c r="D21155" s="12" t="str">
        <f ca="1">IFERROR(__xludf.DUMMYFUNCTION("""COMPUTED_VALUE"""),"")</f>
        <v/>
      </c>
    </row>
    <row r="21156" spans="2:4" ht="13">
      <c r="B21156" s="12" t="str">
        <f ca="1">IFERROR(__xludf.DUMMYFUNCTION("""COMPUTED_VALUE"""),"")</f>
        <v/>
      </c>
      <c r="C21156" s="12" t="str">
        <f ca="1">IFERROR(__xludf.DUMMYFUNCTION("""COMPUTED_VALUE"""),"")</f>
        <v/>
      </c>
      <c r="D21156" s="12" t="str">
        <f ca="1">IFERROR(__xludf.DUMMYFUNCTION("""COMPUTED_VALUE"""),"")</f>
        <v/>
      </c>
    </row>
    <row r="21157" spans="2:4" ht="13">
      <c r="B21157" s="12" t="str">
        <f ca="1">IFERROR(__xludf.DUMMYFUNCTION("""COMPUTED_VALUE"""),"")</f>
        <v/>
      </c>
      <c r="C21157" s="12" t="str">
        <f ca="1">IFERROR(__xludf.DUMMYFUNCTION("""COMPUTED_VALUE"""),"")</f>
        <v/>
      </c>
      <c r="D21157" s="12" t="str">
        <f ca="1">IFERROR(__xludf.DUMMYFUNCTION("""COMPUTED_VALUE"""),"")</f>
        <v/>
      </c>
    </row>
    <row r="21158" spans="2:4" ht="13">
      <c r="B21158" s="12" t="str">
        <f ca="1">IFERROR(__xludf.DUMMYFUNCTION("""COMPUTED_VALUE"""),"")</f>
        <v/>
      </c>
      <c r="C21158" s="12" t="str">
        <f ca="1">IFERROR(__xludf.DUMMYFUNCTION("""COMPUTED_VALUE"""),"")</f>
        <v/>
      </c>
      <c r="D21158" s="12" t="str">
        <f ca="1">IFERROR(__xludf.DUMMYFUNCTION("""COMPUTED_VALUE"""),"")</f>
        <v/>
      </c>
    </row>
    <row r="21159" spans="2:4" ht="13">
      <c r="B21159" s="12" t="str">
        <f ca="1">IFERROR(__xludf.DUMMYFUNCTION("""COMPUTED_VALUE"""),"")</f>
        <v/>
      </c>
      <c r="C21159" s="12" t="str">
        <f ca="1">IFERROR(__xludf.DUMMYFUNCTION("""COMPUTED_VALUE"""),"")</f>
        <v/>
      </c>
      <c r="D21159" s="12" t="str">
        <f ca="1">IFERROR(__xludf.DUMMYFUNCTION("""COMPUTED_VALUE"""),"")</f>
        <v/>
      </c>
    </row>
    <row r="21160" spans="2:4" ht="13">
      <c r="B21160" s="12" t="str">
        <f ca="1">IFERROR(__xludf.DUMMYFUNCTION("""COMPUTED_VALUE"""),"")</f>
        <v/>
      </c>
      <c r="C21160" s="12" t="str">
        <f ca="1">IFERROR(__xludf.DUMMYFUNCTION("""COMPUTED_VALUE"""),"")</f>
        <v/>
      </c>
      <c r="D21160" s="12" t="str">
        <f ca="1">IFERROR(__xludf.DUMMYFUNCTION("""COMPUTED_VALUE"""),"")</f>
        <v/>
      </c>
    </row>
    <row r="21161" spans="2:4" ht="13">
      <c r="B21161" s="12" t="str">
        <f ca="1">IFERROR(__xludf.DUMMYFUNCTION("""COMPUTED_VALUE"""),"")</f>
        <v/>
      </c>
      <c r="C21161" s="12" t="str">
        <f ca="1">IFERROR(__xludf.DUMMYFUNCTION("""COMPUTED_VALUE"""),"")</f>
        <v/>
      </c>
      <c r="D21161" s="12" t="str">
        <f ca="1">IFERROR(__xludf.DUMMYFUNCTION("""COMPUTED_VALUE"""),"")</f>
        <v/>
      </c>
    </row>
    <row r="21162" spans="2:4" ht="13">
      <c r="B21162" s="12" t="str">
        <f ca="1">IFERROR(__xludf.DUMMYFUNCTION("""COMPUTED_VALUE"""),"")</f>
        <v/>
      </c>
      <c r="C21162" s="12" t="str">
        <f ca="1">IFERROR(__xludf.DUMMYFUNCTION("""COMPUTED_VALUE"""),"")</f>
        <v/>
      </c>
      <c r="D21162" s="12" t="str">
        <f ca="1">IFERROR(__xludf.DUMMYFUNCTION("""COMPUTED_VALUE"""),"")</f>
        <v/>
      </c>
    </row>
    <row r="21163" spans="2:4" ht="13">
      <c r="B21163" s="12" t="str">
        <f ca="1">IFERROR(__xludf.DUMMYFUNCTION("""COMPUTED_VALUE"""),"")</f>
        <v/>
      </c>
      <c r="C21163" s="12" t="str">
        <f ca="1">IFERROR(__xludf.DUMMYFUNCTION("""COMPUTED_VALUE"""),"")</f>
        <v/>
      </c>
      <c r="D21163" s="12" t="str">
        <f ca="1">IFERROR(__xludf.DUMMYFUNCTION("""COMPUTED_VALUE"""),"")</f>
        <v/>
      </c>
    </row>
    <row r="21164" spans="2:4" ht="13">
      <c r="B21164" s="12" t="str">
        <f ca="1">IFERROR(__xludf.DUMMYFUNCTION("""COMPUTED_VALUE"""),"")</f>
        <v/>
      </c>
      <c r="C21164" s="12" t="str">
        <f ca="1">IFERROR(__xludf.DUMMYFUNCTION("""COMPUTED_VALUE"""),"")</f>
        <v/>
      </c>
      <c r="D21164" s="12" t="str">
        <f ca="1">IFERROR(__xludf.DUMMYFUNCTION("""COMPUTED_VALUE"""),"")</f>
        <v/>
      </c>
    </row>
    <row r="21165" spans="2:4" ht="13">
      <c r="B21165" s="12" t="str">
        <f ca="1">IFERROR(__xludf.DUMMYFUNCTION("""COMPUTED_VALUE"""),"")</f>
        <v/>
      </c>
      <c r="C21165" s="12" t="str">
        <f ca="1">IFERROR(__xludf.DUMMYFUNCTION("""COMPUTED_VALUE"""),"")</f>
        <v/>
      </c>
      <c r="D21165" s="12" t="str">
        <f ca="1">IFERROR(__xludf.DUMMYFUNCTION("""COMPUTED_VALUE"""),"")</f>
        <v/>
      </c>
    </row>
    <row r="21166" spans="2:4" ht="13">
      <c r="B21166" s="12" t="str">
        <f ca="1">IFERROR(__xludf.DUMMYFUNCTION("""COMPUTED_VALUE"""),"")</f>
        <v/>
      </c>
      <c r="C21166" s="12" t="str">
        <f ca="1">IFERROR(__xludf.DUMMYFUNCTION("""COMPUTED_VALUE"""),"")</f>
        <v/>
      </c>
      <c r="D21166" s="12" t="str">
        <f ca="1">IFERROR(__xludf.DUMMYFUNCTION("""COMPUTED_VALUE"""),"")</f>
        <v/>
      </c>
    </row>
    <row r="21167" spans="2:4" ht="13">
      <c r="B21167" s="12" t="str">
        <f ca="1">IFERROR(__xludf.DUMMYFUNCTION("""COMPUTED_VALUE"""),"")</f>
        <v/>
      </c>
      <c r="C21167" s="12" t="str">
        <f ca="1">IFERROR(__xludf.DUMMYFUNCTION("""COMPUTED_VALUE"""),"")</f>
        <v/>
      </c>
      <c r="D21167" s="12" t="str">
        <f ca="1">IFERROR(__xludf.DUMMYFUNCTION("""COMPUTED_VALUE"""),"")</f>
        <v/>
      </c>
    </row>
    <row r="21168" spans="2:4" ht="13">
      <c r="B21168" s="12" t="str">
        <f ca="1">IFERROR(__xludf.DUMMYFUNCTION("""COMPUTED_VALUE"""),"")</f>
        <v/>
      </c>
      <c r="C21168" s="12" t="str">
        <f ca="1">IFERROR(__xludf.DUMMYFUNCTION("""COMPUTED_VALUE"""),"")</f>
        <v/>
      </c>
      <c r="D21168" s="12" t="str">
        <f ca="1">IFERROR(__xludf.DUMMYFUNCTION("""COMPUTED_VALUE"""),"")</f>
        <v/>
      </c>
    </row>
    <row r="21169" spans="2:4" ht="13">
      <c r="B21169" s="12" t="str">
        <f ca="1">IFERROR(__xludf.DUMMYFUNCTION("""COMPUTED_VALUE"""),"")</f>
        <v/>
      </c>
      <c r="C21169" s="12" t="str">
        <f ca="1">IFERROR(__xludf.DUMMYFUNCTION("""COMPUTED_VALUE"""),"")</f>
        <v/>
      </c>
      <c r="D21169" s="12" t="str">
        <f ca="1">IFERROR(__xludf.DUMMYFUNCTION("""COMPUTED_VALUE"""),"")</f>
        <v/>
      </c>
    </row>
    <row r="21170" spans="2:4" ht="13">
      <c r="B21170" s="12" t="str">
        <f ca="1">IFERROR(__xludf.DUMMYFUNCTION("""COMPUTED_VALUE"""),"")</f>
        <v/>
      </c>
      <c r="C21170" s="12" t="str">
        <f ca="1">IFERROR(__xludf.DUMMYFUNCTION("""COMPUTED_VALUE"""),"")</f>
        <v/>
      </c>
      <c r="D21170" s="12" t="str">
        <f ca="1">IFERROR(__xludf.DUMMYFUNCTION("""COMPUTED_VALUE"""),"")</f>
        <v/>
      </c>
    </row>
    <row r="21171" spans="2:4" ht="13">
      <c r="B21171" s="12" t="str">
        <f ca="1">IFERROR(__xludf.DUMMYFUNCTION("""COMPUTED_VALUE"""),"")</f>
        <v/>
      </c>
      <c r="C21171" s="12" t="str">
        <f ca="1">IFERROR(__xludf.DUMMYFUNCTION("""COMPUTED_VALUE"""),"")</f>
        <v/>
      </c>
      <c r="D21171" s="12" t="str">
        <f ca="1">IFERROR(__xludf.DUMMYFUNCTION("""COMPUTED_VALUE"""),"")</f>
        <v/>
      </c>
    </row>
    <row r="21172" spans="2:4" ht="13">
      <c r="B21172" s="12" t="str">
        <f ca="1">IFERROR(__xludf.DUMMYFUNCTION("""COMPUTED_VALUE"""),"")</f>
        <v/>
      </c>
      <c r="C21172" s="12" t="str">
        <f ca="1">IFERROR(__xludf.DUMMYFUNCTION("""COMPUTED_VALUE"""),"")</f>
        <v/>
      </c>
      <c r="D21172" s="12" t="str">
        <f ca="1">IFERROR(__xludf.DUMMYFUNCTION("""COMPUTED_VALUE"""),"")</f>
        <v/>
      </c>
    </row>
    <row r="21173" spans="2:4" ht="13">
      <c r="B21173" s="12" t="str">
        <f ca="1">IFERROR(__xludf.DUMMYFUNCTION("""COMPUTED_VALUE"""),"")</f>
        <v/>
      </c>
      <c r="C21173" s="12" t="str">
        <f ca="1">IFERROR(__xludf.DUMMYFUNCTION("""COMPUTED_VALUE"""),"")</f>
        <v/>
      </c>
      <c r="D21173" s="12" t="str">
        <f ca="1">IFERROR(__xludf.DUMMYFUNCTION("""COMPUTED_VALUE"""),"")</f>
        <v/>
      </c>
    </row>
    <row r="21174" spans="2:4" ht="13">
      <c r="B21174" s="12" t="str">
        <f ca="1">IFERROR(__xludf.DUMMYFUNCTION("""COMPUTED_VALUE"""),"")</f>
        <v/>
      </c>
      <c r="C21174" s="12" t="str">
        <f ca="1">IFERROR(__xludf.DUMMYFUNCTION("""COMPUTED_VALUE"""),"")</f>
        <v/>
      </c>
      <c r="D21174" s="12" t="str">
        <f ca="1">IFERROR(__xludf.DUMMYFUNCTION("""COMPUTED_VALUE"""),"")</f>
        <v/>
      </c>
    </row>
    <row r="21175" spans="2:4" ht="13">
      <c r="B21175" s="12" t="str">
        <f ca="1">IFERROR(__xludf.DUMMYFUNCTION("""COMPUTED_VALUE"""),"")</f>
        <v/>
      </c>
      <c r="C21175" s="12" t="str">
        <f ca="1">IFERROR(__xludf.DUMMYFUNCTION("""COMPUTED_VALUE"""),"")</f>
        <v/>
      </c>
      <c r="D21175" s="12" t="str">
        <f ca="1">IFERROR(__xludf.DUMMYFUNCTION("""COMPUTED_VALUE"""),"")</f>
        <v/>
      </c>
    </row>
    <row r="21176" spans="2:4" ht="13">
      <c r="B21176" s="12" t="str">
        <f ca="1">IFERROR(__xludf.DUMMYFUNCTION("""COMPUTED_VALUE"""),"")</f>
        <v/>
      </c>
      <c r="C21176" s="12" t="str">
        <f ca="1">IFERROR(__xludf.DUMMYFUNCTION("""COMPUTED_VALUE"""),"")</f>
        <v/>
      </c>
      <c r="D21176" s="12" t="str">
        <f ca="1">IFERROR(__xludf.DUMMYFUNCTION("""COMPUTED_VALUE"""),"")</f>
        <v/>
      </c>
    </row>
    <row r="21177" spans="2:4" ht="13">
      <c r="B21177" s="12" t="str">
        <f ca="1">IFERROR(__xludf.DUMMYFUNCTION("""COMPUTED_VALUE"""),"")</f>
        <v/>
      </c>
      <c r="C21177" s="12" t="str">
        <f ca="1">IFERROR(__xludf.DUMMYFUNCTION("""COMPUTED_VALUE"""),"")</f>
        <v/>
      </c>
      <c r="D21177" s="12" t="str">
        <f ca="1">IFERROR(__xludf.DUMMYFUNCTION("""COMPUTED_VALUE"""),"")</f>
        <v/>
      </c>
    </row>
    <row r="21178" spans="2:4" ht="13">
      <c r="B21178" s="12" t="str">
        <f ca="1">IFERROR(__xludf.DUMMYFUNCTION("""COMPUTED_VALUE"""),"")</f>
        <v/>
      </c>
      <c r="C21178" s="12" t="str">
        <f ca="1">IFERROR(__xludf.DUMMYFUNCTION("""COMPUTED_VALUE"""),"")</f>
        <v/>
      </c>
      <c r="D21178" s="12" t="str">
        <f ca="1">IFERROR(__xludf.DUMMYFUNCTION("""COMPUTED_VALUE"""),"")</f>
        <v/>
      </c>
    </row>
    <row r="21179" spans="2:4" ht="13">
      <c r="B21179" s="12" t="str">
        <f ca="1">IFERROR(__xludf.DUMMYFUNCTION("""COMPUTED_VALUE"""),"")</f>
        <v/>
      </c>
      <c r="C21179" s="12" t="str">
        <f ca="1">IFERROR(__xludf.DUMMYFUNCTION("""COMPUTED_VALUE"""),"")</f>
        <v/>
      </c>
      <c r="D21179" s="12" t="str">
        <f ca="1">IFERROR(__xludf.DUMMYFUNCTION("""COMPUTED_VALUE"""),"")</f>
        <v/>
      </c>
    </row>
    <row r="21180" spans="2:4" ht="13">
      <c r="B21180" s="12" t="str">
        <f ca="1">IFERROR(__xludf.DUMMYFUNCTION("""COMPUTED_VALUE"""),"")</f>
        <v/>
      </c>
      <c r="C21180" s="12" t="str">
        <f ca="1">IFERROR(__xludf.DUMMYFUNCTION("""COMPUTED_VALUE"""),"")</f>
        <v/>
      </c>
      <c r="D21180" s="12" t="str">
        <f ca="1">IFERROR(__xludf.DUMMYFUNCTION("""COMPUTED_VALUE"""),"")</f>
        <v/>
      </c>
    </row>
    <row r="21181" spans="2:4" ht="13">
      <c r="B21181" s="12" t="str">
        <f ca="1">IFERROR(__xludf.DUMMYFUNCTION("""COMPUTED_VALUE"""),"")</f>
        <v/>
      </c>
      <c r="C21181" s="12" t="str">
        <f ca="1">IFERROR(__xludf.DUMMYFUNCTION("""COMPUTED_VALUE"""),"")</f>
        <v/>
      </c>
      <c r="D21181" s="12" t="str">
        <f ca="1">IFERROR(__xludf.DUMMYFUNCTION("""COMPUTED_VALUE"""),"")</f>
        <v/>
      </c>
    </row>
    <row r="21182" spans="2:4" ht="13">
      <c r="B21182" s="12" t="str">
        <f ca="1">IFERROR(__xludf.DUMMYFUNCTION("""COMPUTED_VALUE"""),"")</f>
        <v/>
      </c>
      <c r="C21182" s="12" t="str">
        <f ca="1">IFERROR(__xludf.DUMMYFUNCTION("""COMPUTED_VALUE"""),"")</f>
        <v/>
      </c>
      <c r="D21182" s="12" t="str">
        <f ca="1">IFERROR(__xludf.DUMMYFUNCTION("""COMPUTED_VALUE"""),"")</f>
        <v/>
      </c>
    </row>
    <row r="21183" spans="2:4" ht="13">
      <c r="B21183" s="12" t="str">
        <f ca="1">IFERROR(__xludf.DUMMYFUNCTION("""COMPUTED_VALUE"""),"")</f>
        <v/>
      </c>
      <c r="C21183" s="12" t="str">
        <f ca="1">IFERROR(__xludf.DUMMYFUNCTION("""COMPUTED_VALUE"""),"")</f>
        <v/>
      </c>
      <c r="D21183" s="12" t="str">
        <f ca="1">IFERROR(__xludf.DUMMYFUNCTION("""COMPUTED_VALUE"""),"")</f>
        <v/>
      </c>
    </row>
    <row r="21184" spans="2:4" ht="13">
      <c r="B21184" s="12" t="str">
        <f ca="1">IFERROR(__xludf.DUMMYFUNCTION("""COMPUTED_VALUE"""),"")</f>
        <v/>
      </c>
      <c r="C21184" s="12" t="str">
        <f ca="1">IFERROR(__xludf.DUMMYFUNCTION("""COMPUTED_VALUE"""),"")</f>
        <v/>
      </c>
      <c r="D21184" s="12" t="str">
        <f ca="1">IFERROR(__xludf.DUMMYFUNCTION("""COMPUTED_VALUE"""),"")</f>
        <v/>
      </c>
    </row>
    <row r="21185" spans="2:4" ht="13">
      <c r="B21185" s="12" t="str">
        <f ca="1">IFERROR(__xludf.DUMMYFUNCTION("""COMPUTED_VALUE"""),"")</f>
        <v/>
      </c>
      <c r="C21185" s="12" t="str">
        <f ca="1">IFERROR(__xludf.DUMMYFUNCTION("""COMPUTED_VALUE"""),"")</f>
        <v/>
      </c>
      <c r="D21185" s="12" t="str">
        <f ca="1">IFERROR(__xludf.DUMMYFUNCTION("""COMPUTED_VALUE"""),"")</f>
        <v/>
      </c>
    </row>
    <row r="21186" spans="2:4" ht="13">
      <c r="B21186" s="12" t="str">
        <f ca="1">IFERROR(__xludf.DUMMYFUNCTION("""COMPUTED_VALUE"""),"")</f>
        <v/>
      </c>
      <c r="C21186" s="12" t="str">
        <f ca="1">IFERROR(__xludf.DUMMYFUNCTION("""COMPUTED_VALUE"""),"")</f>
        <v/>
      </c>
      <c r="D21186" s="12" t="str">
        <f ca="1">IFERROR(__xludf.DUMMYFUNCTION("""COMPUTED_VALUE"""),"")</f>
        <v/>
      </c>
    </row>
    <row r="21187" spans="2:4" ht="13">
      <c r="B21187" s="12" t="str">
        <f ca="1">IFERROR(__xludf.DUMMYFUNCTION("""COMPUTED_VALUE"""),"")</f>
        <v/>
      </c>
      <c r="C21187" s="12" t="str">
        <f ca="1">IFERROR(__xludf.DUMMYFUNCTION("""COMPUTED_VALUE"""),"")</f>
        <v/>
      </c>
      <c r="D21187" s="12" t="str">
        <f ca="1">IFERROR(__xludf.DUMMYFUNCTION("""COMPUTED_VALUE"""),"")</f>
        <v/>
      </c>
    </row>
    <row r="21188" spans="2:4" ht="13">
      <c r="B21188" s="12" t="str">
        <f ca="1">IFERROR(__xludf.DUMMYFUNCTION("""COMPUTED_VALUE"""),"")</f>
        <v/>
      </c>
      <c r="C21188" s="12" t="str">
        <f ca="1">IFERROR(__xludf.DUMMYFUNCTION("""COMPUTED_VALUE"""),"")</f>
        <v/>
      </c>
      <c r="D21188" s="12" t="str">
        <f ca="1">IFERROR(__xludf.DUMMYFUNCTION("""COMPUTED_VALUE"""),"")</f>
        <v/>
      </c>
    </row>
    <row r="21189" spans="2:4" ht="13">
      <c r="B21189" s="12" t="str">
        <f ca="1">IFERROR(__xludf.DUMMYFUNCTION("""COMPUTED_VALUE"""),"")</f>
        <v/>
      </c>
      <c r="C21189" s="12" t="str">
        <f ca="1">IFERROR(__xludf.DUMMYFUNCTION("""COMPUTED_VALUE"""),"")</f>
        <v/>
      </c>
      <c r="D21189" s="12" t="str">
        <f ca="1">IFERROR(__xludf.DUMMYFUNCTION("""COMPUTED_VALUE"""),"")</f>
        <v/>
      </c>
    </row>
    <row r="21190" spans="2:4" ht="13">
      <c r="B21190" s="12" t="str">
        <f ca="1">IFERROR(__xludf.DUMMYFUNCTION("""COMPUTED_VALUE"""),"")</f>
        <v/>
      </c>
      <c r="C21190" s="12" t="str">
        <f ca="1">IFERROR(__xludf.DUMMYFUNCTION("""COMPUTED_VALUE"""),"")</f>
        <v/>
      </c>
      <c r="D21190" s="12" t="str">
        <f ca="1">IFERROR(__xludf.DUMMYFUNCTION("""COMPUTED_VALUE"""),"")</f>
        <v/>
      </c>
    </row>
    <row r="21191" spans="2:4" ht="13">
      <c r="B21191" s="12" t="str">
        <f ca="1">IFERROR(__xludf.DUMMYFUNCTION("""COMPUTED_VALUE"""),"")</f>
        <v/>
      </c>
      <c r="C21191" s="12" t="str">
        <f ca="1">IFERROR(__xludf.DUMMYFUNCTION("""COMPUTED_VALUE"""),"")</f>
        <v/>
      </c>
      <c r="D21191" s="12" t="str">
        <f ca="1">IFERROR(__xludf.DUMMYFUNCTION("""COMPUTED_VALUE"""),"")</f>
        <v/>
      </c>
    </row>
    <row r="21192" spans="2:4" ht="13">
      <c r="B21192" s="12" t="str">
        <f ca="1">IFERROR(__xludf.DUMMYFUNCTION("""COMPUTED_VALUE"""),"")</f>
        <v/>
      </c>
      <c r="C21192" s="12" t="str">
        <f ca="1">IFERROR(__xludf.DUMMYFUNCTION("""COMPUTED_VALUE"""),"")</f>
        <v/>
      </c>
      <c r="D21192" s="12" t="str">
        <f ca="1">IFERROR(__xludf.DUMMYFUNCTION("""COMPUTED_VALUE"""),"")</f>
        <v/>
      </c>
    </row>
    <row r="21193" spans="2:4" ht="13">
      <c r="B21193" s="12" t="str">
        <f ca="1">IFERROR(__xludf.DUMMYFUNCTION("""COMPUTED_VALUE"""),"")</f>
        <v/>
      </c>
      <c r="C21193" s="12" t="str">
        <f ca="1">IFERROR(__xludf.DUMMYFUNCTION("""COMPUTED_VALUE"""),"")</f>
        <v/>
      </c>
      <c r="D21193" s="12" t="str">
        <f ca="1">IFERROR(__xludf.DUMMYFUNCTION("""COMPUTED_VALUE"""),"")</f>
        <v/>
      </c>
    </row>
    <row r="21194" spans="2:4" ht="13">
      <c r="B21194" s="12" t="str">
        <f ca="1">IFERROR(__xludf.DUMMYFUNCTION("""COMPUTED_VALUE"""),"")</f>
        <v/>
      </c>
      <c r="C21194" s="12" t="str">
        <f ca="1">IFERROR(__xludf.DUMMYFUNCTION("""COMPUTED_VALUE"""),"")</f>
        <v/>
      </c>
      <c r="D21194" s="12" t="str">
        <f ca="1">IFERROR(__xludf.DUMMYFUNCTION("""COMPUTED_VALUE"""),"")</f>
        <v/>
      </c>
    </row>
    <row r="21195" spans="2:4" ht="13">
      <c r="B21195" s="12" t="str">
        <f ca="1">IFERROR(__xludf.DUMMYFUNCTION("""COMPUTED_VALUE"""),"")</f>
        <v/>
      </c>
      <c r="C21195" s="12" t="str">
        <f ca="1">IFERROR(__xludf.DUMMYFUNCTION("""COMPUTED_VALUE"""),"")</f>
        <v/>
      </c>
      <c r="D21195" s="12" t="str">
        <f ca="1">IFERROR(__xludf.DUMMYFUNCTION("""COMPUTED_VALUE"""),"")</f>
        <v/>
      </c>
    </row>
    <row r="21196" spans="2:4" ht="13">
      <c r="B21196" s="12" t="str">
        <f ca="1">IFERROR(__xludf.DUMMYFUNCTION("""COMPUTED_VALUE"""),"")</f>
        <v/>
      </c>
      <c r="C21196" s="12" t="str">
        <f ca="1">IFERROR(__xludf.DUMMYFUNCTION("""COMPUTED_VALUE"""),"")</f>
        <v/>
      </c>
      <c r="D21196" s="12" t="str">
        <f ca="1">IFERROR(__xludf.DUMMYFUNCTION("""COMPUTED_VALUE"""),"")</f>
        <v/>
      </c>
    </row>
    <row r="21197" spans="2:4" ht="13">
      <c r="B21197" s="12" t="str">
        <f ca="1">IFERROR(__xludf.DUMMYFUNCTION("""COMPUTED_VALUE"""),"")</f>
        <v/>
      </c>
      <c r="C21197" s="12" t="str">
        <f ca="1">IFERROR(__xludf.DUMMYFUNCTION("""COMPUTED_VALUE"""),"")</f>
        <v/>
      </c>
      <c r="D21197" s="12" t="str">
        <f ca="1">IFERROR(__xludf.DUMMYFUNCTION("""COMPUTED_VALUE"""),"")</f>
        <v/>
      </c>
    </row>
    <row r="21198" spans="2:4" ht="13">
      <c r="B21198" s="12" t="str">
        <f ca="1">IFERROR(__xludf.DUMMYFUNCTION("""COMPUTED_VALUE"""),"")</f>
        <v/>
      </c>
      <c r="C21198" s="12" t="str">
        <f ca="1">IFERROR(__xludf.DUMMYFUNCTION("""COMPUTED_VALUE"""),"")</f>
        <v/>
      </c>
      <c r="D21198" s="12" t="str">
        <f ca="1">IFERROR(__xludf.DUMMYFUNCTION("""COMPUTED_VALUE"""),"")</f>
        <v/>
      </c>
    </row>
    <row r="21199" spans="2:4" ht="13">
      <c r="B21199" s="12" t="str">
        <f ca="1">IFERROR(__xludf.DUMMYFUNCTION("""COMPUTED_VALUE"""),"")</f>
        <v/>
      </c>
      <c r="C21199" s="12" t="str">
        <f ca="1">IFERROR(__xludf.DUMMYFUNCTION("""COMPUTED_VALUE"""),"")</f>
        <v/>
      </c>
      <c r="D21199" s="12" t="str">
        <f ca="1">IFERROR(__xludf.DUMMYFUNCTION("""COMPUTED_VALUE"""),"")</f>
        <v/>
      </c>
    </row>
    <row r="21200" spans="2:4" ht="13">
      <c r="B21200" s="12" t="str">
        <f ca="1">IFERROR(__xludf.DUMMYFUNCTION("""COMPUTED_VALUE"""),"")</f>
        <v/>
      </c>
      <c r="C21200" s="12" t="str">
        <f ca="1">IFERROR(__xludf.DUMMYFUNCTION("""COMPUTED_VALUE"""),"")</f>
        <v/>
      </c>
      <c r="D21200" s="12" t="str">
        <f ca="1">IFERROR(__xludf.DUMMYFUNCTION("""COMPUTED_VALUE"""),"")</f>
        <v/>
      </c>
    </row>
    <row r="21201" spans="2:4" ht="13">
      <c r="B21201" s="12" t="str">
        <f ca="1">IFERROR(__xludf.DUMMYFUNCTION("""COMPUTED_VALUE"""),"")</f>
        <v/>
      </c>
      <c r="C21201" s="12" t="str">
        <f ca="1">IFERROR(__xludf.DUMMYFUNCTION("""COMPUTED_VALUE"""),"")</f>
        <v/>
      </c>
      <c r="D21201" s="12" t="str">
        <f ca="1">IFERROR(__xludf.DUMMYFUNCTION("""COMPUTED_VALUE"""),"")</f>
        <v/>
      </c>
    </row>
    <row r="21202" spans="2:4" ht="13">
      <c r="B21202" s="12" t="str">
        <f ca="1">IFERROR(__xludf.DUMMYFUNCTION("""COMPUTED_VALUE"""),"")</f>
        <v/>
      </c>
      <c r="C21202" s="12" t="str">
        <f ca="1">IFERROR(__xludf.DUMMYFUNCTION("""COMPUTED_VALUE"""),"")</f>
        <v/>
      </c>
      <c r="D21202" s="12" t="str">
        <f ca="1">IFERROR(__xludf.DUMMYFUNCTION("""COMPUTED_VALUE"""),"")</f>
        <v/>
      </c>
    </row>
    <row r="21203" spans="2:4" ht="13">
      <c r="B21203" s="12" t="str">
        <f ca="1">IFERROR(__xludf.DUMMYFUNCTION("""COMPUTED_VALUE"""),"")</f>
        <v/>
      </c>
      <c r="C21203" s="12" t="str">
        <f ca="1">IFERROR(__xludf.DUMMYFUNCTION("""COMPUTED_VALUE"""),"")</f>
        <v/>
      </c>
      <c r="D21203" s="12" t="str">
        <f ca="1">IFERROR(__xludf.DUMMYFUNCTION("""COMPUTED_VALUE"""),"")</f>
        <v/>
      </c>
    </row>
    <row r="21204" spans="2:4" ht="13">
      <c r="B21204" s="12" t="str">
        <f ca="1">IFERROR(__xludf.DUMMYFUNCTION("""COMPUTED_VALUE"""),"")</f>
        <v/>
      </c>
      <c r="C21204" s="12" t="str">
        <f ca="1">IFERROR(__xludf.DUMMYFUNCTION("""COMPUTED_VALUE"""),"")</f>
        <v/>
      </c>
      <c r="D21204" s="12" t="str">
        <f ca="1">IFERROR(__xludf.DUMMYFUNCTION("""COMPUTED_VALUE"""),"")</f>
        <v/>
      </c>
    </row>
    <row r="21205" spans="2:4" ht="13">
      <c r="B21205" s="12" t="str">
        <f ca="1">IFERROR(__xludf.DUMMYFUNCTION("""COMPUTED_VALUE"""),"")</f>
        <v/>
      </c>
      <c r="C21205" s="12" t="str">
        <f ca="1">IFERROR(__xludf.DUMMYFUNCTION("""COMPUTED_VALUE"""),"")</f>
        <v/>
      </c>
      <c r="D21205" s="12" t="str">
        <f ca="1">IFERROR(__xludf.DUMMYFUNCTION("""COMPUTED_VALUE"""),"")</f>
        <v/>
      </c>
    </row>
    <row r="21206" spans="2:4" ht="13">
      <c r="B21206" s="12" t="str">
        <f ca="1">IFERROR(__xludf.DUMMYFUNCTION("""COMPUTED_VALUE"""),"")</f>
        <v/>
      </c>
      <c r="C21206" s="12" t="str">
        <f ca="1">IFERROR(__xludf.DUMMYFUNCTION("""COMPUTED_VALUE"""),"")</f>
        <v/>
      </c>
      <c r="D21206" s="12" t="str">
        <f ca="1">IFERROR(__xludf.DUMMYFUNCTION("""COMPUTED_VALUE"""),"")</f>
        <v/>
      </c>
    </row>
    <row r="21207" spans="2:4" ht="13">
      <c r="B21207" s="12" t="str">
        <f ca="1">IFERROR(__xludf.DUMMYFUNCTION("""COMPUTED_VALUE"""),"")</f>
        <v/>
      </c>
      <c r="C21207" s="12" t="str">
        <f ca="1">IFERROR(__xludf.DUMMYFUNCTION("""COMPUTED_VALUE"""),"")</f>
        <v/>
      </c>
      <c r="D21207" s="12" t="str">
        <f ca="1">IFERROR(__xludf.DUMMYFUNCTION("""COMPUTED_VALUE"""),"")</f>
        <v/>
      </c>
    </row>
    <row r="21208" spans="2:4" ht="13">
      <c r="B21208" s="12" t="str">
        <f ca="1">IFERROR(__xludf.DUMMYFUNCTION("""COMPUTED_VALUE"""),"")</f>
        <v/>
      </c>
      <c r="C21208" s="12" t="str">
        <f ca="1">IFERROR(__xludf.DUMMYFUNCTION("""COMPUTED_VALUE"""),"")</f>
        <v/>
      </c>
      <c r="D21208" s="12" t="str">
        <f ca="1">IFERROR(__xludf.DUMMYFUNCTION("""COMPUTED_VALUE"""),"")</f>
        <v/>
      </c>
    </row>
    <row r="21209" spans="2:4" ht="13">
      <c r="B21209" s="12" t="str">
        <f ca="1">IFERROR(__xludf.DUMMYFUNCTION("""COMPUTED_VALUE"""),"")</f>
        <v/>
      </c>
      <c r="C21209" s="12" t="str">
        <f ca="1">IFERROR(__xludf.DUMMYFUNCTION("""COMPUTED_VALUE"""),"")</f>
        <v/>
      </c>
      <c r="D21209" s="12" t="str">
        <f ca="1">IFERROR(__xludf.DUMMYFUNCTION("""COMPUTED_VALUE"""),"")</f>
        <v/>
      </c>
    </row>
    <row r="21210" spans="2:4" ht="13">
      <c r="B21210" s="12" t="str">
        <f ca="1">IFERROR(__xludf.DUMMYFUNCTION("""COMPUTED_VALUE"""),"")</f>
        <v/>
      </c>
      <c r="C21210" s="12" t="str">
        <f ca="1">IFERROR(__xludf.DUMMYFUNCTION("""COMPUTED_VALUE"""),"")</f>
        <v/>
      </c>
      <c r="D21210" s="12" t="str">
        <f ca="1">IFERROR(__xludf.DUMMYFUNCTION("""COMPUTED_VALUE"""),"")</f>
        <v/>
      </c>
    </row>
    <row r="21211" spans="2:4" ht="13">
      <c r="B21211" s="12" t="str">
        <f ca="1">IFERROR(__xludf.DUMMYFUNCTION("""COMPUTED_VALUE"""),"")</f>
        <v/>
      </c>
      <c r="C21211" s="12" t="str">
        <f ca="1">IFERROR(__xludf.DUMMYFUNCTION("""COMPUTED_VALUE"""),"")</f>
        <v/>
      </c>
      <c r="D21211" s="12" t="str">
        <f ca="1">IFERROR(__xludf.DUMMYFUNCTION("""COMPUTED_VALUE"""),"")</f>
        <v/>
      </c>
    </row>
    <row r="21212" spans="2:4" ht="13">
      <c r="B21212" s="12" t="str">
        <f ca="1">IFERROR(__xludf.DUMMYFUNCTION("""COMPUTED_VALUE"""),"")</f>
        <v/>
      </c>
      <c r="C21212" s="12" t="str">
        <f ca="1">IFERROR(__xludf.DUMMYFUNCTION("""COMPUTED_VALUE"""),"")</f>
        <v/>
      </c>
      <c r="D21212" s="12" t="str">
        <f ca="1">IFERROR(__xludf.DUMMYFUNCTION("""COMPUTED_VALUE"""),"")</f>
        <v/>
      </c>
    </row>
    <row r="21213" spans="2:4" ht="13">
      <c r="B21213" s="12" t="str">
        <f ca="1">IFERROR(__xludf.DUMMYFUNCTION("""COMPUTED_VALUE"""),"")</f>
        <v/>
      </c>
      <c r="C21213" s="12" t="str">
        <f ca="1">IFERROR(__xludf.DUMMYFUNCTION("""COMPUTED_VALUE"""),"")</f>
        <v/>
      </c>
      <c r="D21213" s="12" t="str">
        <f ca="1">IFERROR(__xludf.DUMMYFUNCTION("""COMPUTED_VALUE"""),"")</f>
        <v/>
      </c>
    </row>
    <row r="21214" spans="2:4" ht="13">
      <c r="B21214" s="12" t="str">
        <f ca="1">IFERROR(__xludf.DUMMYFUNCTION("""COMPUTED_VALUE"""),"")</f>
        <v/>
      </c>
      <c r="C21214" s="12" t="str">
        <f ca="1">IFERROR(__xludf.DUMMYFUNCTION("""COMPUTED_VALUE"""),"")</f>
        <v/>
      </c>
      <c r="D21214" s="12" t="str">
        <f ca="1">IFERROR(__xludf.DUMMYFUNCTION("""COMPUTED_VALUE"""),"")</f>
        <v/>
      </c>
    </row>
    <row r="21215" spans="2:4" ht="13">
      <c r="B21215" s="12" t="str">
        <f ca="1">IFERROR(__xludf.DUMMYFUNCTION("""COMPUTED_VALUE"""),"")</f>
        <v/>
      </c>
      <c r="C21215" s="12" t="str">
        <f ca="1">IFERROR(__xludf.DUMMYFUNCTION("""COMPUTED_VALUE"""),"")</f>
        <v/>
      </c>
      <c r="D21215" s="12" t="str">
        <f ca="1">IFERROR(__xludf.DUMMYFUNCTION("""COMPUTED_VALUE"""),"")</f>
        <v/>
      </c>
    </row>
    <row r="21216" spans="2:4" ht="13">
      <c r="B21216" s="12" t="str">
        <f ca="1">IFERROR(__xludf.DUMMYFUNCTION("""COMPUTED_VALUE"""),"")</f>
        <v/>
      </c>
      <c r="C21216" s="12" t="str">
        <f ca="1">IFERROR(__xludf.DUMMYFUNCTION("""COMPUTED_VALUE"""),"")</f>
        <v/>
      </c>
      <c r="D21216" s="12" t="str">
        <f ca="1">IFERROR(__xludf.DUMMYFUNCTION("""COMPUTED_VALUE"""),"")</f>
        <v/>
      </c>
    </row>
    <row r="21217" spans="2:4" ht="13">
      <c r="B21217" s="12" t="str">
        <f ca="1">IFERROR(__xludf.DUMMYFUNCTION("""COMPUTED_VALUE"""),"")</f>
        <v/>
      </c>
      <c r="C21217" s="12" t="str">
        <f ca="1">IFERROR(__xludf.DUMMYFUNCTION("""COMPUTED_VALUE"""),"")</f>
        <v/>
      </c>
      <c r="D21217" s="12" t="str">
        <f ca="1">IFERROR(__xludf.DUMMYFUNCTION("""COMPUTED_VALUE"""),"")</f>
        <v/>
      </c>
    </row>
    <row r="21218" spans="2:4" ht="13">
      <c r="B21218" s="12" t="str">
        <f ca="1">IFERROR(__xludf.DUMMYFUNCTION("""COMPUTED_VALUE"""),"")</f>
        <v/>
      </c>
      <c r="C21218" s="12" t="str">
        <f ca="1">IFERROR(__xludf.DUMMYFUNCTION("""COMPUTED_VALUE"""),"")</f>
        <v/>
      </c>
      <c r="D21218" s="12" t="str">
        <f ca="1">IFERROR(__xludf.DUMMYFUNCTION("""COMPUTED_VALUE"""),"")</f>
        <v/>
      </c>
    </row>
    <row r="21219" spans="2:4" ht="13">
      <c r="B21219" s="12" t="str">
        <f ca="1">IFERROR(__xludf.DUMMYFUNCTION("""COMPUTED_VALUE"""),"")</f>
        <v/>
      </c>
      <c r="C21219" s="12" t="str">
        <f ca="1">IFERROR(__xludf.DUMMYFUNCTION("""COMPUTED_VALUE"""),"")</f>
        <v/>
      </c>
      <c r="D21219" s="12" t="str">
        <f ca="1">IFERROR(__xludf.DUMMYFUNCTION("""COMPUTED_VALUE"""),"")</f>
        <v/>
      </c>
    </row>
    <row r="21220" spans="2:4" ht="13">
      <c r="B21220" s="12" t="str">
        <f ca="1">IFERROR(__xludf.DUMMYFUNCTION("""COMPUTED_VALUE"""),"")</f>
        <v/>
      </c>
      <c r="C21220" s="12" t="str">
        <f ca="1">IFERROR(__xludf.DUMMYFUNCTION("""COMPUTED_VALUE"""),"")</f>
        <v/>
      </c>
      <c r="D21220" s="12" t="str">
        <f ca="1">IFERROR(__xludf.DUMMYFUNCTION("""COMPUTED_VALUE"""),"")</f>
        <v/>
      </c>
    </row>
    <row r="21221" spans="2:4" ht="13">
      <c r="B21221" s="12" t="str">
        <f ca="1">IFERROR(__xludf.DUMMYFUNCTION("""COMPUTED_VALUE"""),"")</f>
        <v/>
      </c>
      <c r="C21221" s="12" t="str">
        <f ca="1">IFERROR(__xludf.DUMMYFUNCTION("""COMPUTED_VALUE"""),"")</f>
        <v/>
      </c>
      <c r="D21221" s="12" t="str">
        <f ca="1">IFERROR(__xludf.DUMMYFUNCTION("""COMPUTED_VALUE"""),"")</f>
        <v/>
      </c>
    </row>
    <row r="21222" spans="2:4" ht="13">
      <c r="B21222" s="12" t="str">
        <f ca="1">IFERROR(__xludf.DUMMYFUNCTION("""COMPUTED_VALUE"""),"")</f>
        <v/>
      </c>
      <c r="C21222" s="12" t="str">
        <f ca="1">IFERROR(__xludf.DUMMYFUNCTION("""COMPUTED_VALUE"""),"")</f>
        <v/>
      </c>
      <c r="D21222" s="12" t="str">
        <f ca="1">IFERROR(__xludf.DUMMYFUNCTION("""COMPUTED_VALUE"""),"")</f>
        <v/>
      </c>
    </row>
    <row r="21223" spans="2:4" ht="13">
      <c r="B21223" s="12" t="str">
        <f ca="1">IFERROR(__xludf.DUMMYFUNCTION("""COMPUTED_VALUE"""),"")</f>
        <v/>
      </c>
      <c r="C21223" s="12" t="str">
        <f ca="1">IFERROR(__xludf.DUMMYFUNCTION("""COMPUTED_VALUE"""),"")</f>
        <v/>
      </c>
      <c r="D21223" s="12" t="str">
        <f ca="1">IFERROR(__xludf.DUMMYFUNCTION("""COMPUTED_VALUE"""),"")</f>
        <v/>
      </c>
    </row>
    <row r="21224" spans="2:4" ht="13">
      <c r="B21224" s="12" t="str">
        <f ca="1">IFERROR(__xludf.DUMMYFUNCTION("""COMPUTED_VALUE"""),"")</f>
        <v/>
      </c>
      <c r="C21224" s="12" t="str">
        <f ca="1">IFERROR(__xludf.DUMMYFUNCTION("""COMPUTED_VALUE"""),"")</f>
        <v/>
      </c>
      <c r="D21224" s="12" t="str">
        <f ca="1">IFERROR(__xludf.DUMMYFUNCTION("""COMPUTED_VALUE"""),"")</f>
        <v/>
      </c>
    </row>
    <row r="21225" spans="2:4" ht="13">
      <c r="B21225" s="12" t="str">
        <f ca="1">IFERROR(__xludf.DUMMYFUNCTION("""COMPUTED_VALUE"""),"")</f>
        <v/>
      </c>
      <c r="C21225" s="12" t="str">
        <f ca="1">IFERROR(__xludf.DUMMYFUNCTION("""COMPUTED_VALUE"""),"")</f>
        <v/>
      </c>
      <c r="D21225" s="12" t="str">
        <f ca="1">IFERROR(__xludf.DUMMYFUNCTION("""COMPUTED_VALUE"""),"")</f>
        <v/>
      </c>
    </row>
    <row r="21226" spans="2:4" ht="13">
      <c r="B21226" s="12" t="str">
        <f ca="1">IFERROR(__xludf.DUMMYFUNCTION("""COMPUTED_VALUE"""),"")</f>
        <v/>
      </c>
      <c r="C21226" s="12" t="str">
        <f ca="1">IFERROR(__xludf.DUMMYFUNCTION("""COMPUTED_VALUE"""),"")</f>
        <v/>
      </c>
      <c r="D21226" s="12" t="str">
        <f ca="1">IFERROR(__xludf.DUMMYFUNCTION("""COMPUTED_VALUE"""),"")</f>
        <v/>
      </c>
    </row>
    <row r="21227" spans="2:4" ht="13">
      <c r="B21227" s="12" t="str">
        <f ca="1">IFERROR(__xludf.DUMMYFUNCTION("""COMPUTED_VALUE"""),"")</f>
        <v/>
      </c>
      <c r="C21227" s="12" t="str">
        <f ca="1">IFERROR(__xludf.DUMMYFUNCTION("""COMPUTED_VALUE"""),"")</f>
        <v/>
      </c>
      <c r="D21227" s="12" t="str">
        <f ca="1">IFERROR(__xludf.DUMMYFUNCTION("""COMPUTED_VALUE"""),"")</f>
        <v/>
      </c>
    </row>
    <row r="21228" spans="2:4" ht="13">
      <c r="B21228" s="12" t="str">
        <f ca="1">IFERROR(__xludf.DUMMYFUNCTION("""COMPUTED_VALUE"""),"")</f>
        <v/>
      </c>
      <c r="C21228" s="12" t="str">
        <f ca="1">IFERROR(__xludf.DUMMYFUNCTION("""COMPUTED_VALUE"""),"")</f>
        <v/>
      </c>
      <c r="D21228" s="12" t="str">
        <f ca="1">IFERROR(__xludf.DUMMYFUNCTION("""COMPUTED_VALUE"""),"")</f>
        <v/>
      </c>
    </row>
    <row r="21229" spans="2:4" ht="13">
      <c r="B21229" s="12" t="str">
        <f ca="1">IFERROR(__xludf.DUMMYFUNCTION("""COMPUTED_VALUE"""),"")</f>
        <v/>
      </c>
      <c r="C21229" s="12" t="str">
        <f ca="1">IFERROR(__xludf.DUMMYFUNCTION("""COMPUTED_VALUE"""),"")</f>
        <v/>
      </c>
      <c r="D21229" s="12" t="str">
        <f ca="1">IFERROR(__xludf.DUMMYFUNCTION("""COMPUTED_VALUE"""),"")</f>
        <v/>
      </c>
    </row>
    <row r="21230" spans="2:4" ht="13">
      <c r="B21230" s="12" t="str">
        <f ca="1">IFERROR(__xludf.DUMMYFUNCTION("""COMPUTED_VALUE"""),"")</f>
        <v/>
      </c>
      <c r="C21230" s="12" t="str">
        <f ca="1">IFERROR(__xludf.DUMMYFUNCTION("""COMPUTED_VALUE"""),"")</f>
        <v/>
      </c>
      <c r="D21230" s="12" t="str">
        <f ca="1">IFERROR(__xludf.DUMMYFUNCTION("""COMPUTED_VALUE"""),"")</f>
        <v/>
      </c>
    </row>
    <row r="21231" spans="2:4" ht="13">
      <c r="B21231" s="12" t="str">
        <f ca="1">IFERROR(__xludf.DUMMYFUNCTION("""COMPUTED_VALUE"""),"")</f>
        <v/>
      </c>
      <c r="C21231" s="12" t="str">
        <f ca="1">IFERROR(__xludf.DUMMYFUNCTION("""COMPUTED_VALUE"""),"")</f>
        <v/>
      </c>
      <c r="D21231" s="12" t="str">
        <f ca="1">IFERROR(__xludf.DUMMYFUNCTION("""COMPUTED_VALUE"""),"")</f>
        <v/>
      </c>
    </row>
    <row r="21232" spans="2:4" ht="13">
      <c r="B21232" s="12" t="str">
        <f ca="1">IFERROR(__xludf.DUMMYFUNCTION("""COMPUTED_VALUE"""),"")</f>
        <v/>
      </c>
      <c r="C21232" s="12" t="str">
        <f ca="1">IFERROR(__xludf.DUMMYFUNCTION("""COMPUTED_VALUE"""),"")</f>
        <v/>
      </c>
      <c r="D21232" s="12" t="str">
        <f ca="1">IFERROR(__xludf.DUMMYFUNCTION("""COMPUTED_VALUE"""),"")</f>
        <v/>
      </c>
    </row>
    <row r="21233" spans="2:4" ht="13">
      <c r="B21233" s="12" t="str">
        <f ca="1">IFERROR(__xludf.DUMMYFUNCTION("""COMPUTED_VALUE"""),"")</f>
        <v/>
      </c>
      <c r="C21233" s="12" t="str">
        <f ca="1">IFERROR(__xludf.DUMMYFUNCTION("""COMPUTED_VALUE"""),"")</f>
        <v/>
      </c>
      <c r="D21233" s="12" t="str">
        <f ca="1">IFERROR(__xludf.DUMMYFUNCTION("""COMPUTED_VALUE"""),"")</f>
        <v/>
      </c>
    </row>
    <row r="21234" spans="2:4" ht="13">
      <c r="B21234" s="12" t="str">
        <f ca="1">IFERROR(__xludf.DUMMYFUNCTION("""COMPUTED_VALUE"""),"")</f>
        <v/>
      </c>
      <c r="C21234" s="12" t="str">
        <f ca="1">IFERROR(__xludf.DUMMYFUNCTION("""COMPUTED_VALUE"""),"")</f>
        <v/>
      </c>
      <c r="D21234" s="12" t="str">
        <f ca="1">IFERROR(__xludf.DUMMYFUNCTION("""COMPUTED_VALUE"""),"")</f>
        <v/>
      </c>
    </row>
    <row r="21235" spans="2:4" ht="13">
      <c r="B21235" s="12" t="str">
        <f ca="1">IFERROR(__xludf.DUMMYFUNCTION("""COMPUTED_VALUE"""),"")</f>
        <v/>
      </c>
      <c r="C21235" s="12" t="str">
        <f ca="1">IFERROR(__xludf.DUMMYFUNCTION("""COMPUTED_VALUE"""),"")</f>
        <v/>
      </c>
      <c r="D21235" s="12" t="str">
        <f ca="1">IFERROR(__xludf.DUMMYFUNCTION("""COMPUTED_VALUE"""),"")</f>
        <v/>
      </c>
    </row>
    <row r="21236" spans="2:4" ht="13">
      <c r="B21236" s="12" t="str">
        <f ca="1">IFERROR(__xludf.DUMMYFUNCTION("""COMPUTED_VALUE"""),"")</f>
        <v/>
      </c>
      <c r="C21236" s="12" t="str">
        <f ca="1">IFERROR(__xludf.DUMMYFUNCTION("""COMPUTED_VALUE"""),"")</f>
        <v/>
      </c>
      <c r="D21236" s="12" t="str">
        <f ca="1">IFERROR(__xludf.DUMMYFUNCTION("""COMPUTED_VALUE"""),"")</f>
        <v/>
      </c>
    </row>
    <row r="21237" spans="2:4" ht="13">
      <c r="B21237" s="12" t="str">
        <f ca="1">IFERROR(__xludf.DUMMYFUNCTION("""COMPUTED_VALUE"""),"")</f>
        <v/>
      </c>
      <c r="C21237" s="12" t="str">
        <f ca="1">IFERROR(__xludf.DUMMYFUNCTION("""COMPUTED_VALUE"""),"")</f>
        <v/>
      </c>
      <c r="D21237" s="12" t="str">
        <f ca="1">IFERROR(__xludf.DUMMYFUNCTION("""COMPUTED_VALUE"""),"")</f>
        <v/>
      </c>
    </row>
    <row r="21238" spans="2:4" ht="13">
      <c r="B21238" s="12" t="str">
        <f ca="1">IFERROR(__xludf.DUMMYFUNCTION("""COMPUTED_VALUE"""),"")</f>
        <v/>
      </c>
      <c r="C21238" s="12" t="str">
        <f ca="1">IFERROR(__xludf.DUMMYFUNCTION("""COMPUTED_VALUE"""),"")</f>
        <v/>
      </c>
      <c r="D21238" s="12" t="str">
        <f ca="1">IFERROR(__xludf.DUMMYFUNCTION("""COMPUTED_VALUE"""),"")</f>
        <v/>
      </c>
    </row>
    <row r="21239" spans="2:4" ht="13">
      <c r="B21239" s="12" t="str">
        <f ca="1">IFERROR(__xludf.DUMMYFUNCTION("""COMPUTED_VALUE"""),"")</f>
        <v/>
      </c>
      <c r="C21239" s="12" t="str">
        <f ca="1">IFERROR(__xludf.DUMMYFUNCTION("""COMPUTED_VALUE"""),"")</f>
        <v/>
      </c>
      <c r="D21239" s="12" t="str">
        <f ca="1">IFERROR(__xludf.DUMMYFUNCTION("""COMPUTED_VALUE"""),"")</f>
        <v/>
      </c>
    </row>
    <row r="21240" spans="2:4" ht="13">
      <c r="B21240" s="12" t="str">
        <f ca="1">IFERROR(__xludf.DUMMYFUNCTION("""COMPUTED_VALUE"""),"")</f>
        <v/>
      </c>
      <c r="C21240" s="12" t="str">
        <f ca="1">IFERROR(__xludf.DUMMYFUNCTION("""COMPUTED_VALUE"""),"")</f>
        <v/>
      </c>
      <c r="D21240" s="12" t="str">
        <f ca="1">IFERROR(__xludf.DUMMYFUNCTION("""COMPUTED_VALUE"""),"")</f>
        <v/>
      </c>
    </row>
    <row r="21241" spans="2:4" ht="13">
      <c r="B21241" s="12" t="str">
        <f ca="1">IFERROR(__xludf.DUMMYFUNCTION("""COMPUTED_VALUE"""),"")</f>
        <v/>
      </c>
      <c r="C21241" s="12" t="str">
        <f ca="1">IFERROR(__xludf.DUMMYFUNCTION("""COMPUTED_VALUE"""),"")</f>
        <v/>
      </c>
      <c r="D21241" s="12" t="str">
        <f ca="1">IFERROR(__xludf.DUMMYFUNCTION("""COMPUTED_VALUE"""),"")</f>
        <v/>
      </c>
    </row>
    <row r="21242" spans="2:4" ht="13">
      <c r="B21242" s="12" t="str">
        <f ca="1">IFERROR(__xludf.DUMMYFUNCTION("""COMPUTED_VALUE"""),"")</f>
        <v/>
      </c>
      <c r="C21242" s="12" t="str">
        <f ca="1">IFERROR(__xludf.DUMMYFUNCTION("""COMPUTED_VALUE"""),"")</f>
        <v/>
      </c>
      <c r="D21242" s="12" t="str">
        <f ca="1">IFERROR(__xludf.DUMMYFUNCTION("""COMPUTED_VALUE"""),"")</f>
        <v/>
      </c>
    </row>
    <row r="21243" spans="2:4" ht="13">
      <c r="B21243" s="12" t="str">
        <f ca="1">IFERROR(__xludf.DUMMYFUNCTION("""COMPUTED_VALUE"""),"")</f>
        <v/>
      </c>
      <c r="C21243" s="12" t="str">
        <f ca="1">IFERROR(__xludf.DUMMYFUNCTION("""COMPUTED_VALUE"""),"")</f>
        <v/>
      </c>
      <c r="D21243" s="12" t="str">
        <f ca="1">IFERROR(__xludf.DUMMYFUNCTION("""COMPUTED_VALUE"""),"")</f>
        <v/>
      </c>
    </row>
    <row r="21244" spans="2:4" ht="13">
      <c r="B21244" s="12" t="str">
        <f ca="1">IFERROR(__xludf.DUMMYFUNCTION("""COMPUTED_VALUE"""),"")</f>
        <v/>
      </c>
      <c r="C21244" s="12" t="str">
        <f ca="1">IFERROR(__xludf.DUMMYFUNCTION("""COMPUTED_VALUE"""),"")</f>
        <v/>
      </c>
      <c r="D21244" s="12" t="str">
        <f ca="1">IFERROR(__xludf.DUMMYFUNCTION("""COMPUTED_VALUE"""),"")</f>
        <v/>
      </c>
    </row>
    <row r="21245" spans="2:4" ht="13">
      <c r="B21245" s="12" t="str">
        <f ca="1">IFERROR(__xludf.DUMMYFUNCTION("""COMPUTED_VALUE"""),"")</f>
        <v/>
      </c>
      <c r="C21245" s="12" t="str">
        <f ca="1">IFERROR(__xludf.DUMMYFUNCTION("""COMPUTED_VALUE"""),"")</f>
        <v/>
      </c>
      <c r="D21245" s="12" t="str">
        <f ca="1">IFERROR(__xludf.DUMMYFUNCTION("""COMPUTED_VALUE"""),"")</f>
        <v/>
      </c>
    </row>
    <row r="21246" spans="2:4" ht="13">
      <c r="B21246" s="12" t="str">
        <f ca="1">IFERROR(__xludf.DUMMYFUNCTION("""COMPUTED_VALUE"""),"")</f>
        <v/>
      </c>
      <c r="C21246" s="12" t="str">
        <f ca="1">IFERROR(__xludf.DUMMYFUNCTION("""COMPUTED_VALUE"""),"")</f>
        <v/>
      </c>
      <c r="D21246" s="12" t="str">
        <f ca="1">IFERROR(__xludf.DUMMYFUNCTION("""COMPUTED_VALUE"""),"")</f>
        <v/>
      </c>
    </row>
    <row r="21247" spans="2:4" ht="13">
      <c r="B21247" s="12" t="str">
        <f ca="1">IFERROR(__xludf.DUMMYFUNCTION("""COMPUTED_VALUE"""),"")</f>
        <v/>
      </c>
      <c r="C21247" s="12" t="str">
        <f ca="1">IFERROR(__xludf.DUMMYFUNCTION("""COMPUTED_VALUE"""),"")</f>
        <v/>
      </c>
      <c r="D21247" s="12" t="str">
        <f ca="1">IFERROR(__xludf.DUMMYFUNCTION("""COMPUTED_VALUE"""),"")</f>
        <v/>
      </c>
    </row>
    <row r="21248" spans="2:4" ht="13">
      <c r="B21248" s="12" t="str">
        <f ca="1">IFERROR(__xludf.DUMMYFUNCTION("""COMPUTED_VALUE"""),"")</f>
        <v/>
      </c>
      <c r="C21248" s="12" t="str">
        <f ca="1">IFERROR(__xludf.DUMMYFUNCTION("""COMPUTED_VALUE"""),"")</f>
        <v/>
      </c>
      <c r="D21248" s="12" t="str">
        <f ca="1">IFERROR(__xludf.DUMMYFUNCTION("""COMPUTED_VALUE"""),"")</f>
        <v/>
      </c>
    </row>
    <row r="21249" spans="2:4" ht="13">
      <c r="B21249" s="12" t="str">
        <f ca="1">IFERROR(__xludf.DUMMYFUNCTION("""COMPUTED_VALUE"""),"")</f>
        <v/>
      </c>
      <c r="C21249" s="12" t="str">
        <f ca="1">IFERROR(__xludf.DUMMYFUNCTION("""COMPUTED_VALUE"""),"")</f>
        <v/>
      </c>
      <c r="D21249" s="12" t="str">
        <f ca="1">IFERROR(__xludf.DUMMYFUNCTION("""COMPUTED_VALUE"""),"")</f>
        <v/>
      </c>
    </row>
    <row r="21250" spans="2:4" ht="13">
      <c r="B21250" s="12" t="str">
        <f ca="1">IFERROR(__xludf.DUMMYFUNCTION("""COMPUTED_VALUE"""),"")</f>
        <v/>
      </c>
      <c r="C21250" s="12" t="str">
        <f ca="1">IFERROR(__xludf.DUMMYFUNCTION("""COMPUTED_VALUE"""),"")</f>
        <v/>
      </c>
      <c r="D21250" s="12" t="str">
        <f ca="1">IFERROR(__xludf.DUMMYFUNCTION("""COMPUTED_VALUE"""),"")</f>
        <v/>
      </c>
    </row>
    <row r="21251" spans="2:4" ht="13">
      <c r="B21251" s="12" t="str">
        <f ca="1">IFERROR(__xludf.DUMMYFUNCTION("""COMPUTED_VALUE"""),"")</f>
        <v/>
      </c>
      <c r="C21251" s="12" t="str">
        <f ca="1">IFERROR(__xludf.DUMMYFUNCTION("""COMPUTED_VALUE"""),"")</f>
        <v/>
      </c>
      <c r="D21251" s="12" t="str">
        <f ca="1">IFERROR(__xludf.DUMMYFUNCTION("""COMPUTED_VALUE"""),"")</f>
        <v/>
      </c>
    </row>
    <row r="21252" spans="2:4" ht="13">
      <c r="B21252" s="12" t="str">
        <f ca="1">IFERROR(__xludf.DUMMYFUNCTION("""COMPUTED_VALUE"""),"")</f>
        <v/>
      </c>
      <c r="C21252" s="12" t="str">
        <f ca="1">IFERROR(__xludf.DUMMYFUNCTION("""COMPUTED_VALUE"""),"")</f>
        <v/>
      </c>
      <c r="D21252" s="12" t="str">
        <f ca="1">IFERROR(__xludf.DUMMYFUNCTION("""COMPUTED_VALUE"""),"")</f>
        <v/>
      </c>
    </row>
    <row r="21253" spans="2:4" ht="13">
      <c r="B21253" s="12" t="str">
        <f ca="1">IFERROR(__xludf.DUMMYFUNCTION("""COMPUTED_VALUE"""),"")</f>
        <v/>
      </c>
      <c r="C21253" s="12" t="str">
        <f ca="1">IFERROR(__xludf.DUMMYFUNCTION("""COMPUTED_VALUE"""),"")</f>
        <v/>
      </c>
      <c r="D21253" s="12" t="str">
        <f ca="1">IFERROR(__xludf.DUMMYFUNCTION("""COMPUTED_VALUE"""),"")</f>
        <v/>
      </c>
    </row>
    <row r="21254" spans="2:4" ht="13">
      <c r="B21254" s="12" t="str">
        <f ca="1">IFERROR(__xludf.DUMMYFUNCTION("""COMPUTED_VALUE"""),"")</f>
        <v/>
      </c>
      <c r="C21254" s="12" t="str">
        <f ca="1">IFERROR(__xludf.DUMMYFUNCTION("""COMPUTED_VALUE"""),"")</f>
        <v/>
      </c>
      <c r="D21254" s="12" t="str">
        <f ca="1">IFERROR(__xludf.DUMMYFUNCTION("""COMPUTED_VALUE"""),"")</f>
        <v/>
      </c>
    </row>
    <row r="21255" spans="2:4" ht="13">
      <c r="B21255" s="12" t="str">
        <f ca="1">IFERROR(__xludf.DUMMYFUNCTION("""COMPUTED_VALUE"""),"")</f>
        <v/>
      </c>
      <c r="C21255" s="12" t="str">
        <f ca="1">IFERROR(__xludf.DUMMYFUNCTION("""COMPUTED_VALUE"""),"")</f>
        <v/>
      </c>
      <c r="D21255" s="12" t="str">
        <f ca="1">IFERROR(__xludf.DUMMYFUNCTION("""COMPUTED_VALUE"""),"")</f>
        <v/>
      </c>
    </row>
    <row r="21256" spans="2:4" ht="13">
      <c r="B21256" s="12" t="str">
        <f ca="1">IFERROR(__xludf.DUMMYFUNCTION("""COMPUTED_VALUE"""),"")</f>
        <v/>
      </c>
      <c r="C21256" s="12" t="str">
        <f ca="1">IFERROR(__xludf.DUMMYFUNCTION("""COMPUTED_VALUE"""),"")</f>
        <v/>
      </c>
      <c r="D21256" s="12" t="str">
        <f ca="1">IFERROR(__xludf.DUMMYFUNCTION("""COMPUTED_VALUE"""),"")</f>
        <v/>
      </c>
    </row>
    <row r="21257" spans="2:4" ht="13">
      <c r="B21257" s="12" t="str">
        <f ca="1">IFERROR(__xludf.DUMMYFUNCTION("""COMPUTED_VALUE"""),"")</f>
        <v/>
      </c>
      <c r="C21257" s="12" t="str">
        <f ca="1">IFERROR(__xludf.DUMMYFUNCTION("""COMPUTED_VALUE"""),"")</f>
        <v/>
      </c>
      <c r="D21257" s="12" t="str">
        <f ca="1">IFERROR(__xludf.DUMMYFUNCTION("""COMPUTED_VALUE"""),"")</f>
        <v/>
      </c>
    </row>
    <row r="21258" spans="2:4" ht="13">
      <c r="B21258" s="12" t="str">
        <f ca="1">IFERROR(__xludf.DUMMYFUNCTION("""COMPUTED_VALUE"""),"")</f>
        <v/>
      </c>
      <c r="C21258" s="12" t="str">
        <f ca="1">IFERROR(__xludf.DUMMYFUNCTION("""COMPUTED_VALUE"""),"")</f>
        <v/>
      </c>
      <c r="D21258" s="12" t="str">
        <f ca="1">IFERROR(__xludf.DUMMYFUNCTION("""COMPUTED_VALUE"""),"")</f>
        <v/>
      </c>
    </row>
    <row r="21259" spans="2:4" ht="13">
      <c r="B21259" s="12" t="str">
        <f ca="1">IFERROR(__xludf.DUMMYFUNCTION("""COMPUTED_VALUE"""),"")</f>
        <v/>
      </c>
      <c r="C21259" s="12" t="str">
        <f ca="1">IFERROR(__xludf.DUMMYFUNCTION("""COMPUTED_VALUE"""),"")</f>
        <v/>
      </c>
      <c r="D21259" s="12" t="str">
        <f ca="1">IFERROR(__xludf.DUMMYFUNCTION("""COMPUTED_VALUE"""),"")</f>
        <v/>
      </c>
    </row>
    <row r="21260" spans="2:4" ht="13">
      <c r="B21260" s="12" t="str">
        <f ca="1">IFERROR(__xludf.DUMMYFUNCTION("""COMPUTED_VALUE"""),"")</f>
        <v/>
      </c>
      <c r="C21260" s="12" t="str">
        <f ca="1">IFERROR(__xludf.DUMMYFUNCTION("""COMPUTED_VALUE"""),"")</f>
        <v/>
      </c>
      <c r="D21260" s="12" t="str">
        <f ca="1">IFERROR(__xludf.DUMMYFUNCTION("""COMPUTED_VALUE"""),"")</f>
        <v/>
      </c>
    </row>
    <row r="21261" spans="2:4" ht="13">
      <c r="B21261" s="12" t="str">
        <f ca="1">IFERROR(__xludf.DUMMYFUNCTION("""COMPUTED_VALUE"""),"")</f>
        <v/>
      </c>
      <c r="C21261" s="12" t="str">
        <f ca="1">IFERROR(__xludf.DUMMYFUNCTION("""COMPUTED_VALUE"""),"")</f>
        <v/>
      </c>
      <c r="D21261" s="12" t="str">
        <f ca="1">IFERROR(__xludf.DUMMYFUNCTION("""COMPUTED_VALUE"""),"")</f>
        <v/>
      </c>
    </row>
    <row r="21262" spans="2:4" ht="13">
      <c r="B21262" s="12" t="str">
        <f ca="1">IFERROR(__xludf.DUMMYFUNCTION("""COMPUTED_VALUE"""),"")</f>
        <v/>
      </c>
      <c r="C21262" s="12" t="str">
        <f ca="1">IFERROR(__xludf.DUMMYFUNCTION("""COMPUTED_VALUE"""),"")</f>
        <v/>
      </c>
      <c r="D21262" s="12" t="str">
        <f ca="1">IFERROR(__xludf.DUMMYFUNCTION("""COMPUTED_VALUE"""),"")</f>
        <v/>
      </c>
    </row>
    <row r="21263" spans="2:4" ht="13">
      <c r="B21263" s="12" t="str">
        <f ca="1">IFERROR(__xludf.DUMMYFUNCTION("""COMPUTED_VALUE"""),"")</f>
        <v/>
      </c>
      <c r="C21263" s="12" t="str">
        <f ca="1">IFERROR(__xludf.DUMMYFUNCTION("""COMPUTED_VALUE"""),"")</f>
        <v/>
      </c>
      <c r="D21263" s="12" t="str">
        <f ca="1">IFERROR(__xludf.DUMMYFUNCTION("""COMPUTED_VALUE"""),"")</f>
        <v/>
      </c>
    </row>
    <row r="21264" spans="2:4" ht="13">
      <c r="B21264" s="12" t="str">
        <f ca="1">IFERROR(__xludf.DUMMYFUNCTION("""COMPUTED_VALUE"""),"")</f>
        <v/>
      </c>
      <c r="C21264" s="12" t="str">
        <f ca="1">IFERROR(__xludf.DUMMYFUNCTION("""COMPUTED_VALUE"""),"")</f>
        <v/>
      </c>
      <c r="D21264" s="12" t="str">
        <f ca="1">IFERROR(__xludf.DUMMYFUNCTION("""COMPUTED_VALUE"""),"")</f>
        <v/>
      </c>
    </row>
    <row r="21265" spans="2:4" ht="13">
      <c r="B21265" s="12" t="str">
        <f ca="1">IFERROR(__xludf.DUMMYFUNCTION("""COMPUTED_VALUE"""),"")</f>
        <v/>
      </c>
      <c r="C21265" s="12" t="str">
        <f ca="1">IFERROR(__xludf.DUMMYFUNCTION("""COMPUTED_VALUE"""),"")</f>
        <v/>
      </c>
      <c r="D21265" s="12" t="str">
        <f ca="1">IFERROR(__xludf.DUMMYFUNCTION("""COMPUTED_VALUE"""),"")</f>
        <v/>
      </c>
    </row>
    <row r="21266" spans="2:4" ht="13">
      <c r="B21266" s="12" t="str">
        <f ca="1">IFERROR(__xludf.DUMMYFUNCTION("""COMPUTED_VALUE"""),"")</f>
        <v/>
      </c>
      <c r="C21266" s="12" t="str">
        <f ca="1">IFERROR(__xludf.DUMMYFUNCTION("""COMPUTED_VALUE"""),"")</f>
        <v/>
      </c>
      <c r="D21266" s="12" t="str">
        <f ca="1">IFERROR(__xludf.DUMMYFUNCTION("""COMPUTED_VALUE"""),"")</f>
        <v/>
      </c>
    </row>
    <row r="21267" spans="2:4" ht="13">
      <c r="B21267" s="12" t="str">
        <f ca="1">IFERROR(__xludf.DUMMYFUNCTION("""COMPUTED_VALUE"""),"")</f>
        <v/>
      </c>
      <c r="C21267" s="12" t="str">
        <f ca="1">IFERROR(__xludf.DUMMYFUNCTION("""COMPUTED_VALUE"""),"")</f>
        <v/>
      </c>
      <c r="D21267" s="12" t="str">
        <f ca="1">IFERROR(__xludf.DUMMYFUNCTION("""COMPUTED_VALUE"""),"")</f>
        <v/>
      </c>
    </row>
    <row r="21268" spans="2:4" ht="13">
      <c r="B21268" s="12" t="str">
        <f ca="1">IFERROR(__xludf.DUMMYFUNCTION("""COMPUTED_VALUE"""),"")</f>
        <v/>
      </c>
      <c r="C21268" s="12" t="str">
        <f ca="1">IFERROR(__xludf.DUMMYFUNCTION("""COMPUTED_VALUE"""),"")</f>
        <v/>
      </c>
      <c r="D21268" s="12" t="str">
        <f ca="1">IFERROR(__xludf.DUMMYFUNCTION("""COMPUTED_VALUE"""),"")</f>
        <v/>
      </c>
    </row>
    <row r="21269" spans="2:4" ht="13">
      <c r="B21269" s="12" t="str">
        <f ca="1">IFERROR(__xludf.DUMMYFUNCTION("""COMPUTED_VALUE"""),"")</f>
        <v/>
      </c>
      <c r="C21269" s="12" t="str">
        <f ca="1">IFERROR(__xludf.DUMMYFUNCTION("""COMPUTED_VALUE"""),"")</f>
        <v/>
      </c>
      <c r="D21269" s="12" t="str">
        <f ca="1">IFERROR(__xludf.DUMMYFUNCTION("""COMPUTED_VALUE"""),"")</f>
        <v/>
      </c>
    </row>
    <row r="21270" spans="2:4" ht="13">
      <c r="B21270" s="12" t="str">
        <f ca="1">IFERROR(__xludf.DUMMYFUNCTION("""COMPUTED_VALUE"""),"")</f>
        <v/>
      </c>
      <c r="C21270" s="12" t="str">
        <f ca="1">IFERROR(__xludf.DUMMYFUNCTION("""COMPUTED_VALUE"""),"")</f>
        <v/>
      </c>
      <c r="D21270" s="12" t="str">
        <f ca="1">IFERROR(__xludf.DUMMYFUNCTION("""COMPUTED_VALUE"""),"")</f>
        <v/>
      </c>
    </row>
    <row r="21271" spans="2:4" ht="13">
      <c r="B21271" s="12" t="str">
        <f ca="1">IFERROR(__xludf.DUMMYFUNCTION("""COMPUTED_VALUE"""),"")</f>
        <v/>
      </c>
      <c r="C21271" s="12" t="str">
        <f ca="1">IFERROR(__xludf.DUMMYFUNCTION("""COMPUTED_VALUE"""),"")</f>
        <v/>
      </c>
      <c r="D21271" s="12" t="str">
        <f ca="1">IFERROR(__xludf.DUMMYFUNCTION("""COMPUTED_VALUE"""),"")</f>
        <v/>
      </c>
    </row>
    <row r="21272" spans="2:4" ht="13">
      <c r="B21272" s="12" t="str">
        <f ca="1">IFERROR(__xludf.DUMMYFUNCTION("""COMPUTED_VALUE"""),"")</f>
        <v/>
      </c>
      <c r="C21272" s="12" t="str">
        <f ca="1">IFERROR(__xludf.DUMMYFUNCTION("""COMPUTED_VALUE"""),"")</f>
        <v/>
      </c>
      <c r="D21272" s="12" t="str">
        <f ca="1">IFERROR(__xludf.DUMMYFUNCTION("""COMPUTED_VALUE"""),"")</f>
        <v/>
      </c>
    </row>
    <row r="21273" spans="2:4" ht="13">
      <c r="B21273" s="12" t="str">
        <f ca="1">IFERROR(__xludf.DUMMYFUNCTION("""COMPUTED_VALUE"""),"")</f>
        <v/>
      </c>
      <c r="C21273" s="12" t="str">
        <f ca="1">IFERROR(__xludf.DUMMYFUNCTION("""COMPUTED_VALUE"""),"")</f>
        <v/>
      </c>
      <c r="D21273" s="12" t="str">
        <f ca="1">IFERROR(__xludf.DUMMYFUNCTION("""COMPUTED_VALUE"""),"")</f>
        <v/>
      </c>
    </row>
    <row r="21274" spans="2:4" ht="13">
      <c r="B21274" s="12" t="str">
        <f ca="1">IFERROR(__xludf.DUMMYFUNCTION("""COMPUTED_VALUE"""),"")</f>
        <v/>
      </c>
      <c r="C21274" s="12" t="str">
        <f ca="1">IFERROR(__xludf.DUMMYFUNCTION("""COMPUTED_VALUE"""),"")</f>
        <v/>
      </c>
      <c r="D21274" s="12" t="str">
        <f ca="1">IFERROR(__xludf.DUMMYFUNCTION("""COMPUTED_VALUE"""),"")</f>
        <v/>
      </c>
    </row>
    <row r="21275" spans="2:4" ht="13">
      <c r="B21275" s="12" t="str">
        <f ca="1">IFERROR(__xludf.DUMMYFUNCTION("""COMPUTED_VALUE"""),"")</f>
        <v/>
      </c>
      <c r="C21275" s="12" t="str">
        <f ca="1">IFERROR(__xludf.DUMMYFUNCTION("""COMPUTED_VALUE"""),"")</f>
        <v/>
      </c>
      <c r="D21275" s="12" t="str">
        <f ca="1">IFERROR(__xludf.DUMMYFUNCTION("""COMPUTED_VALUE"""),"")</f>
        <v/>
      </c>
    </row>
    <row r="21276" spans="2:4" ht="13">
      <c r="B21276" s="12" t="str">
        <f ca="1">IFERROR(__xludf.DUMMYFUNCTION("""COMPUTED_VALUE"""),"")</f>
        <v/>
      </c>
      <c r="C21276" s="12" t="str">
        <f ca="1">IFERROR(__xludf.DUMMYFUNCTION("""COMPUTED_VALUE"""),"")</f>
        <v/>
      </c>
      <c r="D21276" s="12" t="str">
        <f ca="1">IFERROR(__xludf.DUMMYFUNCTION("""COMPUTED_VALUE"""),"")</f>
        <v/>
      </c>
    </row>
    <row r="21277" spans="2:4" ht="13">
      <c r="B21277" s="12" t="str">
        <f ca="1">IFERROR(__xludf.DUMMYFUNCTION("""COMPUTED_VALUE"""),"")</f>
        <v/>
      </c>
      <c r="C21277" s="12" t="str">
        <f ca="1">IFERROR(__xludf.DUMMYFUNCTION("""COMPUTED_VALUE"""),"")</f>
        <v/>
      </c>
      <c r="D21277" s="12" t="str">
        <f ca="1">IFERROR(__xludf.DUMMYFUNCTION("""COMPUTED_VALUE"""),"")</f>
        <v/>
      </c>
    </row>
    <row r="21278" spans="2:4" ht="13">
      <c r="B21278" s="12" t="str">
        <f ca="1">IFERROR(__xludf.DUMMYFUNCTION("""COMPUTED_VALUE"""),"")</f>
        <v/>
      </c>
      <c r="C21278" s="12" t="str">
        <f ca="1">IFERROR(__xludf.DUMMYFUNCTION("""COMPUTED_VALUE"""),"")</f>
        <v/>
      </c>
      <c r="D21278" s="12" t="str">
        <f ca="1">IFERROR(__xludf.DUMMYFUNCTION("""COMPUTED_VALUE"""),"")</f>
        <v/>
      </c>
    </row>
    <row r="21279" spans="2:4" ht="13">
      <c r="B21279" s="12" t="str">
        <f ca="1">IFERROR(__xludf.DUMMYFUNCTION("""COMPUTED_VALUE"""),"")</f>
        <v/>
      </c>
      <c r="C21279" s="12" t="str">
        <f ca="1">IFERROR(__xludf.DUMMYFUNCTION("""COMPUTED_VALUE"""),"")</f>
        <v/>
      </c>
      <c r="D21279" s="12" t="str">
        <f ca="1">IFERROR(__xludf.DUMMYFUNCTION("""COMPUTED_VALUE"""),"")</f>
        <v/>
      </c>
    </row>
    <row r="21280" spans="2:4" ht="13">
      <c r="B21280" s="12" t="str">
        <f ca="1">IFERROR(__xludf.DUMMYFUNCTION("""COMPUTED_VALUE"""),"")</f>
        <v/>
      </c>
      <c r="C21280" s="12" t="str">
        <f ca="1">IFERROR(__xludf.DUMMYFUNCTION("""COMPUTED_VALUE"""),"")</f>
        <v/>
      </c>
      <c r="D21280" s="12" t="str">
        <f ca="1">IFERROR(__xludf.DUMMYFUNCTION("""COMPUTED_VALUE"""),"")</f>
        <v/>
      </c>
    </row>
    <row r="21281" spans="2:4" ht="13">
      <c r="B21281" s="12" t="str">
        <f ca="1">IFERROR(__xludf.DUMMYFUNCTION("""COMPUTED_VALUE"""),"")</f>
        <v/>
      </c>
      <c r="C21281" s="12" t="str">
        <f ca="1">IFERROR(__xludf.DUMMYFUNCTION("""COMPUTED_VALUE"""),"")</f>
        <v/>
      </c>
      <c r="D21281" s="12" t="str">
        <f ca="1">IFERROR(__xludf.DUMMYFUNCTION("""COMPUTED_VALUE"""),"")</f>
        <v/>
      </c>
    </row>
    <row r="21282" spans="2:4" ht="13">
      <c r="B21282" s="12" t="str">
        <f ca="1">IFERROR(__xludf.DUMMYFUNCTION("""COMPUTED_VALUE"""),"")</f>
        <v/>
      </c>
      <c r="C21282" s="12" t="str">
        <f ca="1">IFERROR(__xludf.DUMMYFUNCTION("""COMPUTED_VALUE"""),"")</f>
        <v/>
      </c>
      <c r="D21282" s="12" t="str">
        <f ca="1">IFERROR(__xludf.DUMMYFUNCTION("""COMPUTED_VALUE"""),"")</f>
        <v/>
      </c>
    </row>
    <row r="21283" spans="2:4" ht="13">
      <c r="B21283" s="12" t="str">
        <f ca="1">IFERROR(__xludf.DUMMYFUNCTION("""COMPUTED_VALUE"""),"")</f>
        <v/>
      </c>
      <c r="C21283" s="12" t="str">
        <f ca="1">IFERROR(__xludf.DUMMYFUNCTION("""COMPUTED_VALUE"""),"")</f>
        <v/>
      </c>
      <c r="D21283" s="12" t="str">
        <f ca="1">IFERROR(__xludf.DUMMYFUNCTION("""COMPUTED_VALUE"""),"")</f>
        <v/>
      </c>
    </row>
    <row r="21284" spans="2:4" ht="13">
      <c r="B21284" s="12" t="str">
        <f ca="1">IFERROR(__xludf.DUMMYFUNCTION("""COMPUTED_VALUE"""),"")</f>
        <v/>
      </c>
      <c r="C21284" s="12" t="str">
        <f ca="1">IFERROR(__xludf.DUMMYFUNCTION("""COMPUTED_VALUE"""),"")</f>
        <v/>
      </c>
      <c r="D21284" s="12" t="str">
        <f ca="1">IFERROR(__xludf.DUMMYFUNCTION("""COMPUTED_VALUE"""),"")</f>
        <v/>
      </c>
    </row>
    <row r="21285" spans="2:4" ht="13">
      <c r="B21285" s="12" t="str">
        <f ca="1">IFERROR(__xludf.DUMMYFUNCTION("""COMPUTED_VALUE"""),"")</f>
        <v/>
      </c>
      <c r="C21285" s="12" t="str">
        <f ca="1">IFERROR(__xludf.DUMMYFUNCTION("""COMPUTED_VALUE"""),"")</f>
        <v/>
      </c>
      <c r="D21285" s="12" t="str">
        <f ca="1">IFERROR(__xludf.DUMMYFUNCTION("""COMPUTED_VALUE"""),"")</f>
        <v/>
      </c>
    </row>
    <row r="21286" spans="2:4" ht="13">
      <c r="B21286" s="12" t="str">
        <f ca="1">IFERROR(__xludf.DUMMYFUNCTION("""COMPUTED_VALUE"""),"")</f>
        <v/>
      </c>
      <c r="C21286" s="12" t="str">
        <f ca="1">IFERROR(__xludf.DUMMYFUNCTION("""COMPUTED_VALUE"""),"")</f>
        <v/>
      </c>
      <c r="D21286" s="12" t="str">
        <f ca="1">IFERROR(__xludf.DUMMYFUNCTION("""COMPUTED_VALUE"""),"")</f>
        <v/>
      </c>
    </row>
    <row r="21287" spans="2:4" ht="13">
      <c r="B21287" s="12" t="str">
        <f ca="1">IFERROR(__xludf.DUMMYFUNCTION("""COMPUTED_VALUE"""),"")</f>
        <v/>
      </c>
      <c r="C21287" s="12" t="str">
        <f ca="1">IFERROR(__xludf.DUMMYFUNCTION("""COMPUTED_VALUE"""),"")</f>
        <v/>
      </c>
      <c r="D21287" s="12" t="str">
        <f ca="1">IFERROR(__xludf.DUMMYFUNCTION("""COMPUTED_VALUE"""),"")</f>
        <v/>
      </c>
    </row>
    <row r="21288" spans="2:4" ht="13">
      <c r="B21288" s="12" t="str">
        <f ca="1">IFERROR(__xludf.DUMMYFUNCTION("""COMPUTED_VALUE"""),"")</f>
        <v/>
      </c>
      <c r="C21288" s="12" t="str">
        <f ca="1">IFERROR(__xludf.DUMMYFUNCTION("""COMPUTED_VALUE"""),"")</f>
        <v/>
      </c>
      <c r="D21288" s="12" t="str">
        <f ca="1">IFERROR(__xludf.DUMMYFUNCTION("""COMPUTED_VALUE"""),"")</f>
        <v/>
      </c>
    </row>
    <row r="21289" spans="2:4" ht="13">
      <c r="B21289" s="12" t="str">
        <f ca="1">IFERROR(__xludf.DUMMYFUNCTION("""COMPUTED_VALUE"""),"")</f>
        <v/>
      </c>
      <c r="C21289" s="12" t="str">
        <f ca="1">IFERROR(__xludf.DUMMYFUNCTION("""COMPUTED_VALUE"""),"")</f>
        <v/>
      </c>
      <c r="D21289" s="12" t="str">
        <f ca="1">IFERROR(__xludf.DUMMYFUNCTION("""COMPUTED_VALUE"""),"")</f>
        <v/>
      </c>
    </row>
    <row r="21290" spans="2:4" ht="13">
      <c r="B21290" s="12" t="str">
        <f ca="1">IFERROR(__xludf.DUMMYFUNCTION("""COMPUTED_VALUE"""),"")</f>
        <v/>
      </c>
      <c r="C21290" s="12" t="str">
        <f ca="1">IFERROR(__xludf.DUMMYFUNCTION("""COMPUTED_VALUE"""),"")</f>
        <v/>
      </c>
      <c r="D21290" s="12" t="str">
        <f ca="1">IFERROR(__xludf.DUMMYFUNCTION("""COMPUTED_VALUE"""),"")</f>
        <v/>
      </c>
    </row>
    <row r="21291" spans="2:4" ht="13">
      <c r="B21291" s="12" t="str">
        <f ca="1">IFERROR(__xludf.DUMMYFUNCTION("""COMPUTED_VALUE"""),"")</f>
        <v/>
      </c>
      <c r="C21291" s="12" t="str">
        <f ca="1">IFERROR(__xludf.DUMMYFUNCTION("""COMPUTED_VALUE"""),"")</f>
        <v/>
      </c>
      <c r="D21291" s="12" t="str">
        <f ca="1">IFERROR(__xludf.DUMMYFUNCTION("""COMPUTED_VALUE"""),"")</f>
        <v/>
      </c>
    </row>
    <row r="21292" spans="2:4" ht="13">
      <c r="B21292" s="12" t="str">
        <f ca="1">IFERROR(__xludf.DUMMYFUNCTION("""COMPUTED_VALUE"""),"")</f>
        <v/>
      </c>
      <c r="C21292" s="12" t="str">
        <f ca="1">IFERROR(__xludf.DUMMYFUNCTION("""COMPUTED_VALUE"""),"")</f>
        <v/>
      </c>
      <c r="D21292" s="12" t="str">
        <f ca="1">IFERROR(__xludf.DUMMYFUNCTION("""COMPUTED_VALUE"""),"")</f>
        <v/>
      </c>
    </row>
    <row r="21293" spans="2:4" ht="13">
      <c r="B21293" s="12" t="str">
        <f ca="1">IFERROR(__xludf.DUMMYFUNCTION("""COMPUTED_VALUE"""),"")</f>
        <v/>
      </c>
      <c r="C21293" s="12" t="str">
        <f ca="1">IFERROR(__xludf.DUMMYFUNCTION("""COMPUTED_VALUE"""),"")</f>
        <v/>
      </c>
      <c r="D21293" s="12" t="str">
        <f ca="1">IFERROR(__xludf.DUMMYFUNCTION("""COMPUTED_VALUE"""),"")</f>
        <v/>
      </c>
    </row>
    <row r="21294" spans="2:4" ht="13">
      <c r="B21294" s="12" t="str">
        <f ca="1">IFERROR(__xludf.DUMMYFUNCTION("""COMPUTED_VALUE"""),"")</f>
        <v/>
      </c>
      <c r="C21294" s="12" t="str">
        <f ca="1">IFERROR(__xludf.DUMMYFUNCTION("""COMPUTED_VALUE"""),"")</f>
        <v/>
      </c>
      <c r="D21294" s="12" t="str">
        <f ca="1">IFERROR(__xludf.DUMMYFUNCTION("""COMPUTED_VALUE"""),"")</f>
        <v/>
      </c>
    </row>
    <row r="21295" spans="2:4" ht="13">
      <c r="B21295" s="12" t="str">
        <f ca="1">IFERROR(__xludf.DUMMYFUNCTION("""COMPUTED_VALUE"""),"")</f>
        <v/>
      </c>
      <c r="C21295" s="12" t="str">
        <f ca="1">IFERROR(__xludf.DUMMYFUNCTION("""COMPUTED_VALUE"""),"")</f>
        <v/>
      </c>
      <c r="D21295" s="12" t="str">
        <f ca="1">IFERROR(__xludf.DUMMYFUNCTION("""COMPUTED_VALUE"""),"")</f>
        <v/>
      </c>
    </row>
    <row r="21296" spans="2:4" ht="13">
      <c r="B21296" s="12" t="str">
        <f ca="1">IFERROR(__xludf.DUMMYFUNCTION("""COMPUTED_VALUE"""),"")</f>
        <v/>
      </c>
      <c r="C21296" s="12" t="str">
        <f ca="1">IFERROR(__xludf.DUMMYFUNCTION("""COMPUTED_VALUE"""),"")</f>
        <v/>
      </c>
      <c r="D21296" s="12" t="str">
        <f ca="1">IFERROR(__xludf.DUMMYFUNCTION("""COMPUTED_VALUE"""),"")</f>
        <v/>
      </c>
    </row>
    <row r="21297" spans="2:4" ht="13">
      <c r="B21297" s="12" t="str">
        <f ca="1">IFERROR(__xludf.DUMMYFUNCTION("""COMPUTED_VALUE"""),"")</f>
        <v/>
      </c>
      <c r="C21297" s="12" t="str">
        <f ca="1">IFERROR(__xludf.DUMMYFUNCTION("""COMPUTED_VALUE"""),"")</f>
        <v/>
      </c>
      <c r="D21297" s="12" t="str">
        <f ca="1">IFERROR(__xludf.DUMMYFUNCTION("""COMPUTED_VALUE"""),"")</f>
        <v/>
      </c>
    </row>
    <row r="21298" spans="2:4" ht="13">
      <c r="B21298" s="12" t="str">
        <f ca="1">IFERROR(__xludf.DUMMYFUNCTION("""COMPUTED_VALUE"""),"")</f>
        <v/>
      </c>
      <c r="C21298" s="12" t="str">
        <f ca="1">IFERROR(__xludf.DUMMYFUNCTION("""COMPUTED_VALUE"""),"")</f>
        <v/>
      </c>
      <c r="D21298" s="12" t="str">
        <f ca="1">IFERROR(__xludf.DUMMYFUNCTION("""COMPUTED_VALUE"""),"")</f>
        <v/>
      </c>
    </row>
    <row r="21299" spans="2:4" ht="13">
      <c r="B21299" s="12" t="str">
        <f ca="1">IFERROR(__xludf.DUMMYFUNCTION("""COMPUTED_VALUE"""),"")</f>
        <v/>
      </c>
      <c r="C21299" s="12" t="str">
        <f ca="1">IFERROR(__xludf.DUMMYFUNCTION("""COMPUTED_VALUE"""),"")</f>
        <v/>
      </c>
      <c r="D21299" s="12" t="str">
        <f ca="1">IFERROR(__xludf.DUMMYFUNCTION("""COMPUTED_VALUE"""),"")</f>
        <v/>
      </c>
    </row>
    <row r="21300" spans="2:4" ht="13">
      <c r="B21300" s="12" t="str">
        <f ca="1">IFERROR(__xludf.DUMMYFUNCTION("""COMPUTED_VALUE"""),"")</f>
        <v/>
      </c>
      <c r="C21300" s="12" t="str">
        <f ca="1">IFERROR(__xludf.DUMMYFUNCTION("""COMPUTED_VALUE"""),"")</f>
        <v/>
      </c>
      <c r="D21300" s="12" t="str">
        <f ca="1">IFERROR(__xludf.DUMMYFUNCTION("""COMPUTED_VALUE"""),"")</f>
        <v/>
      </c>
    </row>
    <row r="21301" spans="2:4" ht="13">
      <c r="B21301" s="12" t="str">
        <f ca="1">IFERROR(__xludf.DUMMYFUNCTION("""COMPUTED_VALUE"""),"")</f>
        <v/>
      </c>
      <c r="C21301" s="12" t="str">
        <f ca="1">IFERROR(__xludf.DUMMYFUNCTION("""COMPUTED_VALUE"""),"")</f>
        <v/>
      </c>
      <c r="D21301" s="12" t="str">
        <f ca="1">IFERROR(__xludf.DUMMYFUNCTION("""COMPUTED_VALUE"""),"")</f>
        <v/>
      </c>
    </row>
    <row r="21302" spans="2:4" ht="13">
      <c r="B21302" s="12" t="str">
        <f ca="1">IFERROR(__xludf.DUMMYFUNCTION("""COMPUTED_VALUE"""),"")</f>
        <v/>
      </c>
      <c r="C21302" s="12" t="str">
        <f ca="1">IFERROR(__xludf.DUMMYFUNCTION("""COMPUTED_VALUE"""),"")</f>
        <v/>
      </c>
      <c r="D21302" s="12" t="str">
        <f ca="1">IFERROR(__xludf.DUMMYFUNCTION("""COMPUTED_VALUE"""),"")</f>
        <v/>
      </c>
    </row>
    <row r="21303" spans="2:4" ht="13">
      <c r="B21303" s="12" t="str">
        <f ca="1">IFERROR(__xludf.DUMMYFUNCTION("""COMPUTED_VALUE"""),"")</f>
        <v/>
      </c>
      <c r="C21303" s="12" t="str">
        <f ca="1">IFERROR(__xludf.DUMMYFUNCTION("""COMPUTED_VALUE"""),"")</f>
        <v/>
      </c>
      <c r="D21303" s="12" t="str">
        <f ca="1">IFERROR(__xludf.DUMMYFUNCTION("""COMPUTED_VALUE"""),"")</f>
        <v/>
      </c>
    </row>
    <row r="21304" spans="2:4" ht="13">
      <c r="B21304" s="12" t="str">
        <f ca="1">IFERROR(__xludf.DUMMYFUNCTION("""COMPUTED_VALUE"""),"")</f>
        <v/>
      </c>
      <c r="C21304" s="12" t="str">
        <f ca="1">IFERROR(__xludf.DUMMYFUNCTION("""COMPUTED_VALUE"""),"")</f>
        <v/>
      </c>
      <c r="D21304" s="12" t="str">
        <f ca="1">IFERROR(__xludf.DUMMYFUNCTION("""COMPUTED_VALUE"""),"")</f>
        <v/>
      </c>
    </row>
    <row r="21305" spans="2:4" ht="13">
      <c r="B21305" s="12" t="str">
        <f ca="1">IFERROR(__xludf.DUMMYFUNCTION("""COMPUTED_VALUE"""),"")</f>
        <v/>
      </c>
      <c r="C21305" s="12" t="str">
        <f ca="1">IFERROR(__xludf.DUMMYFUNCTION("""COMPUTED_VALUE"""),"")</f>
        <v/>
      </c>
      <c r="D21305" s="12" t="str">
        <f ca="1">IFERROR(__xludf.DUMMYFUNCTION("""COMPUTED_VALUE"""),"")</f>
        <v/>
      </c>
    </row>
    <row r="21306" spans="2:4" ht="13">
      <c r="B21306" s="12" t="str">
        <f ca="1">IFERROR(__xludf.DUMMYFUNCTION("""COMPUTED_VALUE"""),"")</f>
        <v/>
      </c>
      <c r="C21306" s="12" t="str">
        <f ca="1">IFERROR(__xludf.DUMMYFUNCTION("""COMPUTED_VALUE"""),"")</f>
        <v/>
      </c>
      <c r="D21306" s="12" t="str">
        <f ca="1">IFERROR(__xludf.DUMMYFUNCTION("""COMPUTED_VALUE"""),"")</f>
        <v/>
      </c>
    </row>
    <row r="21307" spans="2:4" ht="13">
      <c r="B21307" s="12" t="str">
        <f ca="1">IFERROR(__xludf.DUMMYFUNCTION("""COMPUTED_VALUE"""),"")</f>
        <v/>
      </c>
      <c r="C21307" s="12" t="str">
        <f ca="1">IFERROR(__xludf.DUMMYFUNCTION("""COMPUTED_VALUE"""),"")</f>
        <v/>
      </c>
      <c r="D21307" s="12" t="str">
        <f ca="1">IFERROR(__xludf.DUMMYFUNCTION("""COMPUTED_VALUE"""),"")</f>
        <v/>
      </c>
    </row>
    <row r="21308" spans="2:4" ht="13">
      <c r="B21308" s="12" t="str">
        <f ca="1">IFERROR(__xludf.DUMMYFUNCTION("""COMPUTED_VALUE"""),"")</f>
        <v/>
      </c>
      <c r="C21308" s="12" t="str">
        <f ca="1">IFERROR(__xludf.DUMMYFUNCTION("""COMPUTED_VALUE"""),"")</f>
        <v/>
      </c>
      <c r="D21308" s="12" t="str">
        <f ca="1">IFERROR(__xludf.DUMMYFUNCTION("""COMPUTED_VALUE"""),"")</f>
        <v/>
      </c>
    </row>
    <row r="21309" spans="2:4" ht="13">
      <c r="B21309" s="12" t="str">
        <f ca="1">IFERROR(__xludf.DUMMYFUNCTION("""COMPUTED_VALUE"""),"")</f>
        <v/>
      </c>
      <c r="C21309" s="12" t="str">
        <f ca="1">IFERROR(__xludf.DUMMYFUNCTION("""COMPUTED_VALUE"""),"")</f>
        <v/>
      </c>
      <c r="D21309" s="12" t="str">
        <f ca="1">IFERROR(__xludf.DUMMYFUNCTION("""COMPUTED_VALUE"""),"")</f>
        <v/>
      </c>
    </row>
    <row r="21310" spans="2:4" ht="13">
      <c r="B21310" s="12" t="str">
        <f ca="1">IFERROR(__xludf.DUMMYFUNCTION("""COMPUTED_VALUE"""),"")</f>
        <v/>
      </c>
      <c r="C21310" s="12" t="str">
        <f ca="1">IFERROR(__xludf.DUMMYFUNCTION("""COMPUTED_VALUE"""),"")</f>
        <v/>
      </c>
      <c r="D21310" s="12" t="str">
        <f ca="1">IFERROR(__xludf.DUMMYFUNCTION("""COMPUTED_VALUE"""),"")</f>
        <v/>
      </c>
    </row>
    <row r="21311" spans="2:4" ht="13">
      <c r="B21311" s="12" t="str">
        <f ca="1">IFERROR(__xludf.DUMMYFUNCTION("""COMPUTED_VALUE"""),"")</f>
        <v/>
      </c>
      <c r="C21311" s="12" t="str">
        <f ca="1">IFERROR(__xludf.DUMMYFUNCTION("""COMPUTED_VALUE"""),"")</f>
        <v/>
      </c>
      <c r="D21311" s="12" t="str">
        <f ca="1">IFERROR(__xludf.DUMMYFUNCTION("""COMPUTED_VALUE"""),"")</f>
        <v/>
      </c>
    </row>
    <row r="21312" spans="2:4" ht="13">
      <c r="B21312" s="12" t="str">
        <f ca="1">IFERROR(__xludf.DUMMYFUNCTION("""COMPUTED_VALUE"""),"")</f>
        <v/>
      </c>
      <c r="C21312" s="12" t="str">
        <f ca="1">IFERROR(__xludf.DUMMYFUNCTION("""COMPUTED_VALUE"""),"")</f>
        <v/>
      </c>
      <c r="D21312" s="12" t="str">
        <f ca="1">IFERROR(__xludf.DUMMYFUNCTION("""COMPUTED_VALUE"""),"")</f>
        <v/>
      </c>
    </row>
    <row r="21313" spans="2:4" ht="13">
      <c r="B21313" s="12" t="str">
        <f ca="1">IFERROR(__xludf.DUMMYFUNCTION("""COMPUTED_VALUE"""),"")</f>
        <v/>
      </c>
      <c r="C21313" s="12" t="str">
        <f ca="1">IFERROR(__xludf.DUMMYFUNCTION("""COMPUTED_VALUE"""),"")</f>
        <v/>
      </c>
      <c r="D21313" s="12" t="str">
        <f ca="1">IFERROR(__xludf.DUMMYFUNCTION("""COMPUTED_VALUE"""),"")</f>
        <v/>
      </c>
    </row>
    <row r="21314" spans="2:4" ht="13">
      <c r="B21314" s="12" t="str">
        <f ca="1">IFERROR(__xludf.DUMMYFUNCTION("""COMPUTED_VALUE"""),"")</f>
        <v/>
      </c>
      <c r="C21314" s="12" t="str">
        <f ca="1">IFERROR(__xludf.DUMMYFUNCTION("""COMPUTED_VALUE"""),"")</f>
        <v/>
      </c>
      <c r="D21314" s="12" t="str">
        <f ca="1">IFERROR(__xludf.DUMMYFUNCTION("""COMPUTED_VALUE"""),"")</f>
        <v/>
      </c>
    </row>
    <row r="21315" spans="2:4" ht="13">
      <c r="B21315" s="12" t="str">
        <f ca="1">IFERROR(__xludf.DUMMYFUNCTION("""COMPUTED_VALUE"""),"")</f>
        <v/>
      </c>
      <c r="C21315" s="12" t="str">
        <f ca="1">IFERROR(__xludf.DUMMYFUNCTION("""COMPUTED_VALUE"""),"")</f>
        <v/>
      </c>
      <c r="D21315" s="12" t="str">
        <f ca="1">IFERROR(__xludf.DUMMYFUNCTION("""COMPUTED_VALUE"""),"")</f>
        <v/>
      </c>
    </row>
    <row r="21316" spans="2:4" ht="13">
      <c r="B21316" s="12" t="str">
        <f ca="1">IFERROR(__xludf.DUMMYFUNCTION("""COMPUTED_VALUE"""),"")</f>
        <v/>
      </c>
      <c r="C21316" s="12" t="str">
        <f ca="1">IFERROR(__xludf.DUMMYFUNCTION("""COMPUTED_VALUE"""),"")</f>
        <v/>
      </c>
      <c r="D21316" s="12" t="str">
        <f ca="1">IFERROR(__xludf.DUMMYFUNCTION("""COMPUTED_VALUE"""),"")</f>
        <v/>
      </c>
    </row>
    <row r="21317" spans="2:4" ht="13">
      <c r="B21317" s="12" t="str">
        <f ca="1">IFERROR(__xludf.DUMMYFUNCTION("""COMPUTED_VALUE"""),"")</f>
        <v/>
      </c>
      <c r="C21317" s="12" t="str">
        <f ca="1">IFERROR(__xludf.DUMMYFUNCTION("""COMPUTED_VALUE"""),"")</f>
        <v/>
      </c>
      <c r="D21317" s="12" t="str">
        <f ca="1">IFERROR(__xludf.DUMMYFUNCTION("""COMPUTED_VALUE"""),"")</f>
        <v/>
      </c>
    </row>
    <row r="21318" spans="2:4" ht="13">
      <c r="B21318" s="12" t="str">
        <f ca="1">IFERROR(__xludf.DUMMYFUNCTION("""COMPUTED_VALUE"""),"")</f>
        <v/>
      </c>
      <c r="C21318" s="12" t="str">
        <f ca="1">IFERROR(__xludf.DUMMYFUNCTION("""COMPUTED_VALUE"""),"")</f>
        <v/>
      </c>
      <c r="D21318" s="12" t="str">
        <f ca="1">IFERROR(__xludf.DUMMYFUNCTION("""COMPUTED_VALUE"""),"")</f>
        <v/>
      </c>
    </row>
    <row r="21319" spans="2:4" ht="13">
      <c r="B21319" s="12" t="str">
        <f ca="1">IFERROR(__xludf.DUMMYFUNCTION("""COMPUTED_VALUE"""),"")</f>
        <v/>
      </c>
      <c r="C21319" s="12" t="str">
        <f ca="1">IFERROR(__xludf.DUMMYFUNCTION("""COMPUTED_VALUE"""),"")</f>
        <v/>
      </c>
      <c r="D21319" s="12" t="str">
        <f ca="1">IFERROR(__xludf.DUMMYFUNCTION("""COMPUTED_VALUE"""),"")</f>
        <v/>
      </c>
    </row>
    <row r="21320" spans="2:4" ht="13">
      <c r="B21320" s="12" t="str">
        <f ca="1">IFERROR(__xludf.DUMMYFUNCTION("""COMPUTED_VALUE"""),"")</f>
        <v/>
      </c>
      <c r="C21320" s="12" t="str">
        <f ca="1">IFERROR(__xludf.DUMMYFUNCTION("""COMPUTED_VALUE"""),"")</f>
        <v/>
      </c>
      <c r="D21320" s="12" t="str">
        <f ca="1">IFERROR(__xludf.DUMMYFUNCTION("""COMPUTED_VALUE"""),"")</f>
        <v/>
      </c>
    </row>
    <row r="21321" spans="2:4" ht="13">
      <c r="B21321" s="12" t="str">
        <f ca="1">IFERROR(__xludf.DUMMYFUNCTION("""COMPUTED_VALUE"""),"")</f>
        <v/>
      </c>
      <c r="C21321" s="12" t="str">
        <f ca="1">IFERROR(__xludf.DUMMYFUNCTION("""COMPUTED_VALUE"""),"")</f>
        <v/>
      </c>
      <c r="D21321" s="12" t="str">
        <f ca="1">IFERROR(__xludf.DUMMYFUNCTION("""COMPUTED_VALUE"""),"")</f>
        <v/>
      </c>
    </row>
    <row r="21322" spans="2:4" ht="13">
      <c r="B21322" s="12" t="str">
        <f ca="1">IFERROR(__xludf.DUMMYFUNCTION("""COMPUTED_VALUE"""),"")</f>
        <v/>
      </c>
      <c r="C21322" s="12" t="str">
        <f ca="1">IFERROR(__xludf.DUMMYFUNCTION("""COMPUTED_VALUE"""),"")</f>
        <v/>
      </c>
      <c r="D21322" s="12" t="str">
        <f ca="1">IFERROR(__xludf.DUMMYFUNCTION("""COMPUTED_VALUE"""),"")</f>
        <v/>
      </c>
    </row>
    <row r="21323" spans="2:4" ht="13">
      <c r="B21323" s="12" t="str">
        <f ca="1">IFERROR(__xludf.DUMMYFUNCTION("""COMPUTED_VALUE"""),"")</f>
        <v/>
      </c>
      <c r="C21323" s="12" t="str">
        <f ca="1">IFERROR(__xludf.DUMMYFUNCTION("""COMPUTED_VALUE"""),"")</f>
        <v/>
      </c>
      <c r="D21323" s="12" t="str">
        <f ca="1">IFERROR(__xludf.DUMMYFUNCTION("""COMPUTED_VALUE"""),"")</f>
        <v/>
      </c>
    </row>
    <row r="21324" spans="2:4" ht="13">
      <c r="B21324" s="12" t="str">
        <f ca="1">IFERROR(__xludf.DUMMYFUNCTION("""COMPUTED_VALUE"""),"")</f>
        <v/>
      </c>
      <c r="C21324" s="12" t="str">
        <f ca="1">IFERROR(__xludf.DUMMYFUNCTION("""COMPUTED_VALUE"""),"")</f>
        <v/>
      </c>
      <c r="D21324" s="12" t="str">
        <f ca="1">IFERROR(__xludf.DUMMYFUNCTION("""COMPUTED_VALUE"""),"")</f>
        <v/>
      </c>
    </row>
    <row r="21325" spans="2:4" ht="13">
      <c r="B21325" s="12" t="str">
        <f ca="1">IFERROR(__xludf.DUMMYFUNCTION("""COMPUTED_VALUE"""),"")</f>
        <v/>
      </c>
      <c r="C21325" s="12" t="str">
        <f ca="1">IFERROR(__xludf.DUMMYFUNCTION("""COMPUTED_VALUE"""),"")</f>
        <v/>
      </c>
      <c r="D21325" s="12" t="str">
        <f ca="1">IFERROR(__xludf.DUMMYFUNCTION("""COMPUTED_VALUE"""),"")</f>
        <v/>
      </c>
    </row>
    <row r="21326" spans="2:4" ht="13">
      <c r="B21326" s="12" t="str">
        <f ca="1">IFERROR(__xludf.DUMMYFUNCTION("""COMPUTED_VALUE"""),"")</f>
        <v/>
      </c>
      <c r="C21326" s="12" t="str">
        <f ca="1">IFERROR(__xludf.DUMMYFUNCTION("""COMPUTED_VALUE"""),"")</f>
        <v/>
      </c>
      <c r="D21326" s="12" t="str">
        <f ca="1">IFERROR(__xludf.DUMMYFUNCTION("""COMPUTED_VALUE"""),"")</f>
        <v/>
      </c>
    </row>
    <row r="21327" spans="2:4" ht="13">
      <c r="B21327" s="12" t="str">
        <f ca="1">IFERROR(__xludf.DUMMYFUNCTION("""COMPUTED_VALUE"""),"")</f>
        <v/>
      </c>
      <c r="C21327" s="12" t="str">
        <f ca="1">IFERROR(__xludf.DUMMYFUNCTION("""COMPUTED_VALUE"""),"")</f>
        <v/>
      </c>
      <c r="D21327" s="12" t="str">
        <f ca="1">IFERROR(__xludf.DUMMYFUNCTION("""COMPUTED_VALUE"""),"")</f>
        <v/>
      </c>
    </row>
    <row r="21328" spans="2:4" ht="13">
      <c r="B21328" s="12" t="str">
        <f ca="1">IFERROR(__xludf.DUMMYFUNCTION("""COMPUTED_VALUE"""),"")</f>
        <v/>
      </c>
      <c r="C21328" s="12" t="str">
        <f ca="1">IFERROR(__xludf.DUMMYFUNCTION("""COMPUTED_VALUE"""),"")</f>
        <v/>
      </c>
      <c r="D21328" s="12" t="str">
        <f ca="1">IFERROR(__xludf.DUMMYFUNCTION("""COMPUTED_VALUE"""),"")</f>
        <v/>
      </c>
    </row>
    <row r="21329" spans="2:4" ht="13">
      <c r="B21329" s="12" t="str">
        <f ca="1">IFERROR(__xludf.DUMMYFUNCTION("""COMPUTED_VALUE"""),"")</f>
        <v/>
      </c>
      <c r="C21329" s="12" t="str">
        <f ca="1">IFERROR(__xludf.DUMMYFUNCTION("""COMPUTED_VALUE"""),"")</f>
        <v/>
      </c>
      <c r="D21329" s="12" t="str">
        <f ca="1">IFERROR(__xludf.DUMMYFUNCTION("""COMPUTED_VALUE"""),"")</f>
        <v/>
      </c>
    </row>
    <row r="21330" spans="2:4" ht="13">
      <c r="B21330" s="12" t="str">
        <f ca="1">IFERROR(__xludf.DUMMYFUNCTION("""COMPUTED_VALUE"""),"")</f>
        <v/>
      </c>
      <c r="C21330" s="12" t="str">
        <f ca="1">IFERROR(__xludf.DUMMYFUNCTION("""COMPUTED_VALUE"""),"")</f>
        <v/>
      </c>
      <c r="D21330" s="12" t="str">
        <f ca="1">IFERROR(__xludf.DUMMYFUNCTION("""COMPUTED_VALUE"""),"")</f>
        <v/>
      </c>
    </row>
    <row r="21331" spans="2:4" ht="13">
      <c r="B21331" s="12" t="str">
        <f ca="1">IFERROR(__xludf.DUMMYFUNCTION("""COMPUTED_VALUE"""),"")</f>
        <v/>
      </c>
      <c r="C21331" s="12" t="str">
        <f ca="1">IFERROR(__xludf.DUMMYFUNCTION("""COMPUTED_VALUE"""),"")</f>
        <v/>
      </c>
      <c r="D21331" s="12" t="str">
        <f ca="1">IFERROR(__xludf.DUMMYFUNCTION("""COMPUTED_VALUE"""),"")</f>
        <v/>
      </c>
    </row>
    <row r="21332" spans="2:4" ht="13">
      <c r="B21332" s="12" t="str">
        <f ca="1">IFERROR(__xludf.DUMMYFUNCTION("""COMPUTED_VALUE"""),"")</f>
        <v/>
      </c>
      <c r="C21332" s="12" t="str">
        <f ca="1">IFERROR(__xludf.DUMMYFUNCTION("""COMPUTED_VALUE"""),"")</f>
        <v/>
      </c>
      <c r="D21332" s="12" t="str">
        <f ca="1">IFERROR(__xludf.DUMMYFUNCTION("""COMPUTED_VALUE"""),"")</f>
        <v/>
      </c>
    </row>
    <row r="21333" spans="2:4" ht="13">
      <c r="B21333" s="12" t="str">
        <f ca="1">IFERROR(__xludf.DUMMYFUNCTION("""COMPUTED_VALUE"""),"")</f>
        <v/>
      </c>
      <c r="C21333" s="12" t="str">
        <f ca="1">IFERROR(__xludf.DUMMYFUNCTION("""COMPUTED_VALUE"""),"")</f>
        <v/>
      </c>
      <c r="D21333" s="12" t="str">
        <f ca="1">IFERROR(__xludf.DUMMYFUNCTION("""COMPUTED_VALUE"""),"")</f>
        <v/>
      </c>
    </row>
    <row r="21334" spans="2:4" ht="13">
      <c r="B21334" s="12" t="str">
        <f ca="1">IFERROR(__xludf.DUMMYFUNCTION("""COMPUTED_VALUE"""),"")</f>
        <v/>
      </c>
      <c r="C21334" s="12" t="str">
        <f ca="1">IFERROR(__xludf.DUMMYFUNCTION("""COMPUTED_VALUE"""),"")</f>
        <v/>
      </c>
      <c r="D21334" s="12" t="str">
        <f ca="1">IFERROR(__xludf.DUMMYFUNCTION("""COMPUTED_VALUE"""),"")</f>
        <v/>
      </c>
    </row>
    <row r="21335" spans="2:4" ht="13">
      <c r="B21335" s="12" t="str">
        <f ca="1">IFERROR(__xludf.DUMMYFUNCTION("""COMPUTED_VALUE"""),"")</f>
        <v/>
      </c>
      <c r="C21335" s="12" t="str">
        <f ca="1">IFERROR(__xludf.DUMMYFUNCTION("""COMPUTED_VALUE"""),"")</f>
        <v/>
      </c>
      <c r="D21335" s="12" t="str">
        <f ca="1">IFERROR(__xludf.DUMMYFUNCTION("""COMPUTED_VALUE"""),"")</f>
        <v/>
      </c>
    </row>
    <row r="21336" spans="2:4" ht="13">
      <c r="B21336" s="12" t="str">
        <f ca="1">IFERROR(__xludf.DUMMYFUNCTION("""COMPUTED_VALUE"""),"")</f>
        <v/>
      </c>
      <c r="C21336" s="12" t="str">
        <f ca="1">IFERROR(__xludf.DUMMYFUNCTION("""COMPUTED_VALUE"""),"")</f>
        <v/>
      </c>
      <c r="D21336" s="12" t="str">
        <f ca="1">IFERROR(__xludf.DUMMYFUNCTION("""COMPUTED_VALUE"""),"")</f>
        <v/>
      </c>
    </row>
    <row r="21337" spans="2:4" ht="13">
      <c r="B21337" s="12" t="str">
        <f ca="1">IFERROR(__xludf.DUMMYFUNCTION("""COMPUTED_VALUE"""),"")</f>
        <v/>
      </c>
      <c r="C21337" s="12" t="str">
        <f ca="1">IFERROR(__xludf.DUMMYFUNCTION("""COMPUTED_VALUE"""),"")</f>
        <v/>
      </c>
      <c r="D21337" s="12" t="str">
        <f ca="1">IFERROR(__xludf.DUMMYFUNCTION("""COMPUTED_VALUE"""),"")</f>
        <v/>
      </c>
    </row>
    <row r="21338" spans="2:4" ht="13">
      <c r="B21338" s="12" t="str">
        <f ca="1">IFERROR(__xludf.DUMMYFUNCTION("""COMPUTED_VALUE"""),"")</f>
        <v/>
      </c>
      <c r="C21338" s="12" t="str">
        <f ca="1">IFERROR(__xludf.DUMMYFUNCTION("""COMPUTED_VALUE"""),"")</f>
        <v/>
      </c>
      <c r="D21338" s="12" t="str">
        <f ca="1">IFERROR(__xludf.DUMMYFUNCTION("""COMPUTED_VALUE"""),"")</f>
        <v/>
      </c>
    </row>
    <row r="21339" spans="2:4" ht="13">
      <c r="B21339" s="12" t="str">
        <f ca="1">IFERROR(__xludf.DUMMYFUNCTION("""COMPUTED_VALUE"""),"")</f>
        <v/>
      </c>
      <c r="C21339" s="12" t="str">
        <f ca="1">IFERROR(__xludf.DUMMYFUNCTION("""COMPUTED_VALUE"""),"")</f>
        <v/>
      </c>
      <c r="D21339" s="12" t="str">
        <f ca="1">IFERROR(__xludf.DUMMYFUNCTION("""COMPUTED_VALUE"""),"")</f>
        <v/>
      </c>
    </row>
    <row r="21340" spans="2:4" ht="13">
      <c r="B21340" s="12" t="str">
        <f ca="1">IFERROR(__xludf.DUMMYFUNCTION("""COMPUTED_VALUE"""),"")</f>
        <v/>
      </c>
      <c r="C21340" s="12" t="str">
        <f ca="1">IFERROR(__xludf.DUMMYFUNCTION("""COMPUTED_VALUE"""),"")</f>
        <v/>
      </c>
      <c r="D21340" s="12" t="str">
        <f ca="1">IFERROR(__xludf.DUMMYFUNCTION("""COMPUTED_VALUE"""),"")</f>
        <v/>
      </c>
    </row>
    <row r="21341" spans="2:4" ht="13">
      <c r="B21341" s="12" t="str">
        <f ca="1">IFERROR(__xludf.DUMMYFUNCTION("""COMPUTED_VALUE"""),"")</f>
        <v/>
      </c>
      <c r="C21341" s="12" t="str">
        <f ca="1">IFERROR(__xludf.DUMMYFUNCTION("""COMPUTED_VALUE"""),"")</f>
        <v/>
      </c>
      <c r="D21341" s="12" t="str">
        <f ca="1">IFERROR(__xludf.DUMMYFUNCTION("""COMPUTED_VALUE"""),"")</f>
        <v/>
      </c>
    </row>
    <row r="21342" spans="2:4" ht="13">
      <c r="B21342" s="12" t="str">
        <f ca="1">IFERROR(__xludf.DUMMYFUNCTION("""COMPUTED_VALUE"""),"")</f>
        <v/>
      </c>
      <c r="C21342" s="12" t="str">
        <f ca="1">IFERROR(__xludf.DUMMYFUNCTION("""COMPUTED_VALUE"""),"")</f>
        <v/>
      </c>
      <c r="D21342" s="12" t="str">
        <f ca="1">IFERROR(__xludf.DUMMYFUNCTION("""COMPUTED_VALUE"""),"")</f>
        <v/>
      </c>
    </row>
    <row r="21343" spans="2:4" ht="13">
      <c r="B21343" s="12" t="str">
        <f ca="1">IFERROR(__xludf.DUMMYFUNCTION("""COMPUTED_VALUE"""),"")</f>
        <v/>
      </c>
      <c r="C21343" s="12" t="str">
        <f ca="1">IFERROR(__xludf.DUMMYFUNCTION("""COMPUTED_VALUE"""),"")</f>
        <v/>
      </c>
      <c r="D21343" s="12" t="str">
        <f ca="1">IFERROR(__xludf.DUMMYFUNCTION("""COMPUTED_VALUE"""),"")</f>
        <v/>
      </c>
    </row>
    <row r="21344" spans="2:4" ht="13">
      <c r="B21344" s="12" t="str">
        <f ca="1">IFERROR(__xludf.DUMMYFUNCTION("""COMPUTED_VALUE"""),"")</f>
        <v/>
      </c>
      <c r="C21344" s="12" t="str">
        <f ca="1">IFERROR(__xludf.DUMMYFUNCTION("""COMPUTED_VALUE"""),"")</f>
        <v/>
      </c>
      <c r="D21344" s="12" t="str">
        <f ca="1">IFERROR(__xludf.DUMMYFUNCTION("""COMPUTED_VALUE"""),"")</f>
        <v/>
      </c>
    </row>
    <row r="21345" spans="2:4" ht="13">
      <c r="B21345" s="12" t="str">
        <f ca="1">IFERROR(__xludf.DUMMYFUNCTION("""COMPUTED_VALUE"""),"")</f>
        <v/>
      </c>
      <c r="C21345" s="12" t="str">
        <f ca="1">IFERROR(__xludf.DUMMYFUNCTION("""COMPUTED_VALUE"""),"")</f>
        <v/>
      </c>
      <c r="D21345" s="12" t="str">
        <f ca="1">IFERROR(__xludf.DUMMYFUNCTION("""COMPUTED_VALUE"""),"")</f>
        <v/>
      </c>
    </row>
    <row r="21346" spans="2:4" ht="13">
      <c r="B21346" s="12" t="str">
        <f ca="1">IFERROR(__xludf.DUMMYFUNCTION("""COMPUTED_VALUE"""),"")</f>
        <v/>
      </c>
      <c r="C21346" s="12" t="str">
        <f ca="1">IFERROR(__xludf.DUMMYFUNCTION("""COMPUTED_VALUE"""),"")</f>
        <v/>
      </c>
      <c r="D21346" s="12" t="str">
        <f ca="1">IFERROR(__xludf.DUMMYFUNCTION("""COMPUTED_VALUE"""),"")</f>
        <v/>
      </c>
    </row>
    <row r="21347" spans="2:4" ht="13">
      <c r="B21347" s="12" t="str">
        <f ca="1">IFERROR(__xludf.DUMMYFUNCTION("""COMPUTED_VALUE"""),"")</f>
        <v/>
      </c>
      <c r="C21347" s="12" t="str">
        <f ca="1">IFERROR(__xludf.DUMMYFUNCTION("""COMPUTED_VALUE"""),"")</f>
        <v/>
      </c>
      <c r="D21347" s="12" t="str">
        <f ca="1">IFERROR(__xludf.DUMMYFUNCTION("""COMPUTED_VALUE"""),"")</f>
        <v/>
      </c>
    </row>
    <row r="21348" spans="2:4" ht="13">
      <c r="B21348" s="12" t="str">
        <f ca="1">IFERROR(__xludf.DUMMYFUNCTION("""COMPUTED_VALUE"""),"")</f>
        <v/>
      </c>
      <c r="C21348" s="12" t="str">
        <f ca="1">IFERROR(__xludf.DUMMYFUNCTION("""COMPUTED_VALUE"""),"")</f>
        <v/>
      </c>
      <c r="D21348" s="12" t="str">
        <f ca="1">IFERROR(__xludf.DUMMYFUNCTION("""COMPUTED_VALUE"""),"")</f>
        <v/>
      </c>
    </row>
    <row r="21349" spans="2:4" ht="13">
      <c r="B21349" s="12" t="str">
        <f ca="1">IFERROR(__xludf.DUMMYFUNCTION("""COMPUTED_VALUE"""),"")</f>
        <v/>
      </c>
      <c r="C21349" s="12" t="str">
        <f ca="1">IFERROR(__xludf.DUMMYFUNCTION("""COMPUTED_VALUE"""),"")</f>
        <v/>
      </c>
      <c r="D21349" s="12" t="str">
        <f ca="1">IFERROR(__xludf.DUMMYFUNCTION("""COMPUTED_VALUE"""),"")</f>
        <v/>
      </c>
    </row>
    <row r="21350" spans="2:4" ht="13">
      <c r="B21350" s="12" t="str">
        <f ca="1">IFERROR(__xludf.DUMMYFUNCTION("""COMPUTED_VALUE"""),"")</f>
        <v/>
      </c>
      <c r="C21350" s="12" t="str">
        <f ca="1">IFERROR(__xludf.DUMMYFUNCTION("""COMPUTED_VALUE"""),"")</f>
        <v/>
      </c>
      <c r="D21350" s="12" t="str">
        <f ca="1">IFERROR(__xludf.DUMMYFUNCTION("""COMPUTED_VALUE"""),"")</f>
        <v/>
      </c>
    </row>
    <row r="21351" spans="2:4" ht="13">
      <c r="B21351" s="12" t="str">
        <f ca="1">IFERROR(__xludf.DUMMYFUNCTION("""COMPUTED_VALUE"""),"")</f>
        <v/>
      </c>
      <c r="C21351" s="12" t="str">
        <f ca="1">IFERROR(__xludf.DUMMYFUNCTION("""COMPUTED_VALUE"""),"")</f>
        <v/>
      </c>
      <c r="D21351" s="12" t="str">
        <f ca="1">IFERROR(__xludf.DUMMYFUNCTION("""COMPUTED_VALUE"""),"")</f>
        <v/>
      </c>
    </row>
    <row r="21352" spans="2:4" ht="13">
      <c r="B21352" s="12" t="str">
        <f ca="1">IFERROR(__xludf.DUMMYFUNCTION("""COMPUTED_VALUE"""),"")</f>
        <v/>
      </c>
      <c r="C21352" s="12" t="str">
        <f ca="1">IFERROR(__xludf.DUMMYFUNCTION("""COMPUTED_VALUE"""),"")</f>
        <v/>
      </c>
      <c r="D21352" s="12" t="str">
        <f ca="1">IFERROR(__xludf.DUMMYFUNCTION("""COMPUTED_VALUE"""),"")</f>
        <v/>
      </c>
    </row>
    <row r="21353" spans="2:4" ht="13">
      <c r="B21353" s="12" t="str">
        <f ca="1">IFERROR(__xludf.DUMMYFUNCTION("""COMPUTED_VALUE"""),"")</f>
        <v/>
      </c>
      <c r="C21353" s="12" t="str">
        <f ca="1">IFERROR(__xludf.DUMMYFUNCTION("""COMPUTED_VALUE"""),"")</f>
        <v/>
      </c>
      <c r="D21353" s="12" t="str">
        <f ca="1">IFERROR(__xludf.DUMMYFUNCTION("""COMPUTED_VALUE"""),"")</f>
        <v/>
      </c>
    </row>
    <row r="21354" spans="2:4" ht="13">
      <c r="B21354" s="12" t="str">
        <f ca="1">IFERROR(__xludf.DUMMYFUNCTION("""COMPUTED_VALUE"""),"")</f>
        <v/>
      </c>
      <c r="C21354" s="12" t="str">
        <f ca="1">IFERROR(__xludf.DUMMYFUNCTION("""COMPUTED_VALUE"""),"")</f>
        <v/>
      </c>
      <c r="D21354" s="12" t="str">
        <f ca="1">IFERROR(__xludf.DUMMYFUNCTION("""COMPUTED_VALUE"""),"")</f>
        <v/>
      </c>
    </row>
    <row r="21355" spans="2:4" ht="13">
      <c r="B21355" s="12" t="str">
        <f ca="1">IFERROR(__xludf.DUMMYFUNCTION("""COMPUTED_VALUE"""),"")</f>
        <v/>
      </c>
      <c r="C21355" s="12" t="str">
        <f ca="1">IFERROR(__xludf.DUMMYFUNCTION("""COMPUTED_VALUE"""),"")</f>
        <v/>
      </c>
      <c r="D21355" s="12" t="str">
        <f ca="1">IFERROR(__xludf.DUMMYFUNCTION("""COMPUTED_VALUE"""),"")</f>
        <v/>
      </c>
    </row>
    <row r="21356" spans="2:4" ht="13">
      <c r="B21356" s="12" t="str">
        <f ca="1">IFERROR(__xludf.DUMMYFUNCTION("""COMPUTED_VALUE"""),"")</f>
        <v/>
      </c>
      <c r="C21356" s="12" t="str">
        <f ca="1">IFERROR(__xludf.DUMMYFUNCTION("""COMPUTED_VALUE"""),"")</f>
        <v/>
      </c>
      <c r="D21356" s="12" t="str">
        <f ca="1">IFERROR(__xludf.DUMMYFUNCTION("""COMPUTED_VALUE"""),"")</f>
        <v/>
      </c>
    </row>
    <row r="21357" spans="2:4" ht="13">
      <c r="B21357" s="12" t="str">
        <f ca="1">IFERROR(__xludf.DUMMYFUNCTION("""COMPUTED_VALUE"""),"")</f>
        <v/>
      </c>
      <c r="C21357" s="12" t="str">
        <f ca="1">IFERROR(__xludf.DUMMYFUNCTION("""COMPUTED_VALUE"""),"")</f>
        <v/>
      </c>
      <c r="D21357" s="12" t="str">
        <f ca="1">IFERROR(__xludf.DUMMYFUNCTION("""COMPUTED_VALUE"""),"")</f>
        <v/>
      </c>
    </row>
    <row r="21358" spans="2:4" ht="13">
      <c r="B21358" s="12" t="str">
        <f ca="1">IFERROR(__xludf.DUMMYFUNCTION("""COMPUTED_VALUE"""),"")</f>
        <v/>
      </c>
      <c r="C21358" s="12" t="str">
        <f ca="1">IFERROR(__xludf.DUMMYFUNCTION("""COMPUTED_VALUE"""),"")</f>
        <v/>
      </c>
      <c r="D21358" s="12" t="str">
        <f ca="1">IFERROR(__xludf.DUMMYFUNCTION("""COMPUTED_VALUE"""),"")</f>
        <v/>
      </c>
    </row>
    <row r="21359" spans="2:4" ht="13">
      <c r="B21359" s="12" t="str">
        <f ca="1">IFERROR(__xludf.DUMMYFUNCTION("""COMPUTED_VALUE"""),"")</f>
        <v/>
      </c>
      <c r="C21359" s="12" t="str">
        <f ca="1">IFERROR(__xludf.DUMMYFUNCTION("""COMPUTED_VALUE"""),"")</f>
        <v/>
      </c>
      <c r="D21359" s="12" t="str">
        <f ca="1">IFERROR(__xludf.DUMMYFUNCTION("""COMPUTED_VALUE"""),"")</f>
        <v/>
      </c>
    </row>
    <row r="21360" spans="2:4" ht="13">
      <c r="B21360" s="12" t="str">
        <f ca="1">IFERROR(__xludf.DUMMYFUNCTION("""COMPUTED_VALUE"""),"")</f>
        <v/>
      </c>
      <c r="C21360" s="12" t="str">
        <f ca="1">IFERROR(__xludf.DUMMYFUNCTION("""COMPUTED_VALUE"""),"")</f>
        <v/>
      </c>
      <c r="D21360" s="12" t="str">
        <f ca="1">IFERROR(__xludf.DUMMYFUNCTION("""COMPUTED_VALUE"""),"")</f>
        <v/>
      </c>
    </row>
    <row r="21361" spans="2:4" ht="13">
      <c r="B21361" s="12" t="str">
        <f ca="1">IFERROR(__xludf.DUMMYFUNCTION("""COMPUTED_VALUE"""),"")</f>
        <v/>
      </c>
      <c r="C21361" s="12" t="str">
        <f ca="1">IFERROR(__xludf.DUMMYFUNCTION("""COMPUTED_VALUE"""),"")</f>
        <v/>
      </c>
      <c r="D21361" s="12" t="str">
        <f ca="1">IFERROR(__xludf.DUMMYFUNCTION("""COMPUTED_VALUE"""),"")</f>
        <v/>
      </c>
    </row>
    <row r="21362" spans="2:4" ht="13">
      <c r="B21362" s="12" t="str">
        <f ca="1">IFERROR(__xludf.DUMMYFUNCTION("""COMPUTED_VALUE"""),"")</f>
        <v/>
      </c>
      <c r="C21362" s="12" t="str">
        <f ca="1">IFERROR(__xludf.DUMMYFUNCTION("""COMPUTED_VALUE"""),"")</f>
        <v/>
      </c>
      <c r="D21362" s="12" t="str">
        <f ca="1">IFERROR(__xludf.DUMMYFUNCTION("""COMPUTED_VALUE"""),"")</f>
        <v/>
      </c>
    </row>
    <row r="21363" spans="2:4" ht="13">
      <c r="B21363" s="12" t="str">
        <f ca="1">IFERROR(__xludf.DUMMYFUNCTION("""COMPUTED_VALUE"""),"")</f>
        <v/>
      </c>
      <c r="C21363" s="12" t="str">
        <f ca="1">IFERROR(__xludf.DUMMYFUNCTION("""COMPUTED_VALUE"""),"")</f>
        <v/>
      </c>
      <c r="D21363" s="12" t="str">
        <f ca="1">IFERROR(__xludf.DUMMYFUNCTION("""COMPUTED_VALUE"""),"")</f>
        <v/>
      </c>
    </row>
    <row r="21364" spans="2:4" ht="13">
      <c r="B21364" s="12" t="str">
        <f ca="1">IFERROR(__xludf.DUMMYFUNCTION("""COMPUTED_VALUE"""),"")</f>
        <v/>
      </c>
      <c r="C21364" s="12" t="str">
        <f ca="1">IFERROR(__xludf.DUMMYFUNCTION("""COMPUTED_VALUE"""),"")</f>
        <v/>
      </c>
      <c r="D21364" s="12" t="str">
        <f ca="1">IFERROR(__xludf.DUMMYFUNCTION("""COMPUTED_VALUE"""),"")</f>
        <v/>
      </c>
    </row>
    <row r="21365" spans="2:4" ht="13">
      <c r="B21365" s="12" t="str">
        <f ca="1">IFERROR(__xludf.DUMMYFUNCTION("""COMPUTED_VALUE"""),"")</f>
        <v/>
      </c>
      <c r="C21365" s="12" t="str">
        <f ca="1">IFERROR(__xludf.DUMMYFUNCTION("""COMPUTED_VALUE"""),"")</f>
        <v/>
      </c>
      <c r="D21365" s="12" t="str">
        <f ca="1">IFERROR(__xludf.DUMMYFUNCTION("""COMPUTED_VALUE"""),"")</f>
        <v/>
      </c>
    </row>
    <row r="21366" spans="2:4" ht="13">
      <c r="B21366" s="12" t="str">
        <f ca="1">IFERROR(__xludf.DUMMYFUNCTION("""COMPUTED_VALUE"""),"")</f>
        <v/>
      </c>
      <c r="C21366" s="12" t="str">
        <f ca="1">IFERROR(__xludf.DUMMYFUNCTION("""COMPUTED_VALUE"""),"")</f>
        <v/>
      </c>
      <c r="D21366" s="12" t="str">
        <f ca="1">IFERROR(__xludf.DUMMYFUNCTION("""COMPUTED_VALUE"""),"")</f>
        <v/>
      </c>
    </row>
    <row r="21367" spans="2:4" ht="13">
      <c r="B21367" s="12" t="str">
        <f ca="1">IFERROR(__xludf.DUMMYFUNCTION("""COMPUTED_VALUE"""),"")</f>
        <v/>
      </c>
      <c r="C21367" s="12" t="str">
        <f ca="1">IFERROR(__xludf.DUMMYFUNCTION("""COMPUTED_VALUE"""),"")</f>
        <v/>
      </c>
      <c r="D21367" s="12" t="str">
        <f ca="1">IFERROR(__xludf.DUMMYFUNCTION("""COMPUTED_VALUE"""),"")</f>
        <v/>
      </c>
    </row>
    <row r="21368" spans="2:4" ht="13">
      <c r="B21368" s="12" t="str">
        <f ca="1">IFERROR(__xludf.DUMMYFUNCTION("""COMPUTED_VALUE"""),"")</f>
        <v/>
      </c>
      <c r="C21368" s="12" t="str">
        <f ca="1">IFERROR(__xludf.DUMMYFUNCTION("""COMPUTED_VALUE"""),"")</f>
        <v/>
      </c>
      <c r="D21368" s="12" t="str">
        <f ca="1">IFERROR(__xludf.DUMMYFUNCTION("""COMPUTED_VALUE"""),"")</f>
        <v/>
      </c>
    </row>
    <row r="21369" spans="2:4" ht="13">
      <c r="B21369" s="12" t="str">
        <f ca="1">IFERROR(__xludf.DUMMYFUNCTION("""COMPUTED_VALUE"""),"")</f>
        <v/>
      </c>
      <c r="C21369" s="12" t="str">
        <f ca="1">IFERROR(__xludf.DUMMYFUNCTION("""COMPUTED_VALUE"""),"")</f>
        <v/>
      </c>
      <c r="D21369" s="12" t="str">
        <f ca="1">IFERROR(__xludf.DUMMYFUNCTION("""COMPUTED_VALUE"""),"")</f>
        <v/>
      </c>
    </row>
    <row r="21370" spans="2:4" ht="13">
      <c r="B21370" s="12" t="str">
        <f ca="1">IFERROR(__xludf.DUMMYFUNCTION("""COMPUTED_VALUE"""),"")</f>
        <v/>
      </c>
      <c r="C21370" s="12" t="str">
        <f ca="1">IFERROR(__xludf.DUMMYFUNCTION("""COMPUTED_VALUE"""),"")</f>
        <v/>
      </c>
      <c r="D21370" s="12" t="str">
        <f ca="1">IFERROR(__xludf.DUMMYFUNCTION("""COMPUTED_VALUE"""),"")</f>
        <v/>
      </c>
    </row>
    <row r="21371" spans="2:4" ht="13">
      <c r="B21371" s="12" t="str">
        <f ca="1">IFERROR(__xludf.DUMMYFUNCTION("""COMPUTED_VALUE"""),"")</f>
        <v/>
      </c>
      <c r="C21371" s="12" t="str">
        <f ca="1">IFERROR(__xludf.DUMMYFUNCTION("""COMPUTED_VALUE"""),"")</f>
        <v/>
      </c>
      <c r="D21371" s="12" t="str">
        <f ca="1">IFERROR(__xludf.DUMMYFUNCTION("""COMPUTED_VALUE"""),"")</f>
        <v/>
      </c>
    </row>
    <row r="21372" spans="2:4" ht="13">
      <c r="B21372" s="12" t="str">
        <f ca="1">IFERROR(__xludf.DUMMYFUNCTION("""COMPUTED_VALUE"""),"")</f>
        <v/>
      </c>
      <c r="C21372" s="12" t="str">
        <f ca="1">IFERROR(__xludf.DUMMYFUNCTION("""COMPUTED_VALUE"""),"")</f>
        <v/>
      </c>
      <c r="D21372" s="12" t="str">
        <f ca="1">IFERROR(__xludf.DUMMYFUNCTION("""COMPUTED_VALUE"""),"")</f>
        <v/>
      </c>
    </row>
    <row r="21373" spans="2:4" ht="13">
      <c r="B21373" s="12" t="str">
        <f ca="1">IFERROR(__xludf.DUMMYFUNCTION("""COMPUTED_VALUE"""),"")</f>
        <v/>
      </c>
      <c r="C21373" s="12" t="str">
        <f ca="1">IFERROR(__xludf.DUMMYFUNCTION("""COMPUTED_VALUE"""),"")</f>
        <v/>
      </c>
      <c r="D21373" s="12" t="str">
        <f ca="1">IFERROR(__xludf.DUMMYFUNCTION("""COMPUTED_VALUE"""),"")</f>
        <v/>
      </c>
    </row>
    <row r="21374" spans="2:4" ht="13">
      <c r="B21374" s="12" t="str">
        <f ca="1">IFERROR(__xludf.DUMMYFUNCTION("""COMPUTED_VALUE"""),"")</f>
        <v/>
      </c>
      <c r="C21374" s="12" t="str">
        <f ca="1">IFERROR(__xludf.DUMMYFUNCTION("""COMPUTED_VALUE"""),"")</f>
        <v/>
      </c>
      <c r="D21374" s="12" t="str">
        <f ca="1">IFERROR(__xludf.DUMMYFUNCTION("""COMPUTED_VALUE"""),"")</f>
        <v/>
      </c>
    </row>
    <row r="21375" spans="2:4" ht="13">
      <c r="B21375" s="12" t="str">
        <f ca="1">IFERROR(__xludf.DUMMYFUNCTION("""COMPUTED_VALUE"""),"")</f>
        <v/>
      </c>
      <c r="C21375" s="12" t="str">
        <f ca="1">IFERROR(__xludf.DUMMYFUNCTION("""COMPUTED_VALUE"""),"")</f>
        <v/>
      </c>
      <c r="D21375" s="12" t="str">
        <f ca="1">IFERROR(__xludf.DUMMYFUNCTION("""COMPUTED_VALUE"""),"")</f>
        <v/>
      </c>
    </row>
    <row r="21376" spans="2:4" ht="13">
      <c r="B21376" s="12" t="str">
        <f ca="1">IFERROR(__xludf.DUMMYFUNCTION("""COMPUTED_VALUE"""),"")</f>
        <v/>
      </c>
      <c r="C21376" s="12" t="str">
        <f ca="1">IFERROR(__xludf.DUMMYFUNCTION("""COMPUTED_VALUE"""),"")</f>
        <v/>
      </c>
      <c r="D21376" s="12" t="str">
        <f ca="1">IFERROR(__xludf.DUMMYFUNCTION("""COMPUTED_VALUE"""),"")</f>
        <v/>
      </c>
    </row>
    <row r="21377" spans="2:4" ht="13">
      <c r="B21377" s="12" t="str">
        <f ca="1">IFERROR(__xludf.DUMMYFUNCTION("""COMPUTED_VALUE"""),"")</f>
        <v/>
      </c>
      <c r="C21377" s="12" t="str">
        <f ca="1">IFERROR(__xludf.DUMMYFUNCTION("""COMPUTED_VALUE"""),"")</f>
        <v/>
      </c>
      <c r="D21377" s="12" t="str">
        <f ca="1">IFERROR(__xludf.DUMMYFUNCTION("""COMPUTED_VALUE"""),"")</f>
        <v/>
      </c>
    </row>
    <row r="21378" spans="2:4" ht="13">
      <c r="B21378" s="12" t="str">
        <f ca="1">IFERROR(__xludf.DUMMYFUNCTION("""COMPUTED_VALUE"""),"")</f>
        <v/>
      </c>
      <c r="C21378" s="12" t="str">
        <f ca="1">IFERROR(__xludf.DUMMYFUNCTION("""COMPUTED_VALUE"""),"")</f>
        <v/>
      </c>
      <c r="D21378" s="12" t="str">
        <f ca="1">IFERROR(__xludf.DUMMYFUNCTION("""COMPUTED_VALUE"""),"")</f>
        <v/>
      </c>
    </row>
    <row r="21379" spans="2:4" ht="13">
      <c r="B21379" s="12" t="str">
        <f ca="1">IFERROR(__xludf.DUMMYFUNCTION("""COMPUTED_VALUE"""),"")</f>
        <v/>
      </c>
      <c r="C21379" s="12" t="str">
        <f ca="1">IFERROR(__xludf.DUMMYFUNCTION("""COMPUTED_VALUE"""),"")</f>
        <v/>
      </c>
      <c r="D21379" s="12" t="str">
        <f ca="1">IFERROR(__xludf.DUMMYFUNCTION("""COMPUTED_VALUE"""),"")</f>
        <v/>
      </c>
    </row>
    <row r="21380" spans="2:4" ht="13">
      <c r="B21380" s="12" t="str">
        <f ca="1">IFERROR(__xludf.DUMMYFUNCTION("""COMPUTED_VALUE"""),"")</f>
        <v/>
      </c>
      <c r="C21380" s="12" t="str">
        <f ca="1">IFERROR(__xludf.DUMMYFUNCTION("""COMPUTED_VALUE"""),"")</f>
        <v/>
      </c>
      <c r="D21380" s="12" t="str">
        <f ca="1">IFERROR(__xludf.DUMMYFUNCTION("""COMPUTED_VALUE"""),"")</f>
        <v/>
      </c>
    </row>
    <row r="21381" spans="2:4" ht="13">
      <c r="B21381" s="12" t="str">
        <f ca="1">IFERROR(__xludf.DUMMYFUNCTION("""COMPUTED_VALUE"""),"")</f>
        <v/>
      </c>
      <c r="C21381" s="12" t="str">
        <f ca="1">IFERROR(__xludf.DUMMYFUNCTION("""COMPUTED_VALUE"""),"")</f>
        <v/>
      </c>
      <c r="D21381" s="12" t="str">
        <f ca="1">IFERROR(__xludf.DUMMYFUNCTION("""COMPUTED_VALUE"""),"")</f>
        <v/>
      </c>
    </row>
    <row r="21382" spans="2:4" ht="13">
      <c r="B21382" s="12" t="str">
        <f ca="1">IFERROR(__xludf.DUMMYFUNCTION("""COMPUTED_VALUE"""),"")</f>
        <v/>
      </c>
      <c r="C21382" s="12" t="str">
        <f ca="1">IFERROR(__xludf.DUMMYFUNCTION("""COMPUTED_VALUE"""),"")</f>
        <v/>
      </c>
      <c r="D21382" s="12" t="str">
        <f ca="1">IFERROR(__xludf.DUMMYFUNCTION("""COMPUTED_VALUE"""),"")</f>
        <v/>
      </c>
    </row>
    <row r="21383" spans="2:4" ht="13">
      <c r="B21383" s="12" t="str">
        <f ca="1">IFERROR(__xludf.DUMMYFUNCTION("""COMPUTED_VALUE"""),"")</f>
        <v/>
      </c>
      <c r="C21383" s="12" t="str">
        <f ca="1">IFERROR(__xludf.DUMMYFUNCTION("""COMPUTED_VALUE"""),"")</f>
        <v/>
      </c>
      <c r="D21383" s="12" t="str">
        <f ca="1">IFERROR(__xludf.DUMMYFUNCTION("""COMPUTED_VALUE"""),"")</f>
        <v/>
      </c>
    </row>
    <row r="21384" spans="2:4" ht="13">
      <c r="B21384" s="12" t="str">
        <f ca="1">IFERROR(__xludf.DUMMYFUNCTION("""COMPUTED_VALUE"""),"")</f>
        <v/>
      </c>
      <c r="C21384" s="12" t="str">
        <f ca="1">IFERROR(__xludf.DUMMYFUNCTION("""COMPUTED_VALUE"""),"")</f>
        <v/>
      </c>
      <c r="D21384" s="12" t="str">
        <f ca="1">IFERROR(__xludf.DUMMYFUNCTION("""COMPUTED_VALUE"""),"")</f>
        <v/>
      </c>
    </row>
    <row r="21385" spans="2:4" ht="13">
      <c r="B21385" s="12" t="str">
        <f ca="1">IFERROR(__xludf.DUMMYFUNCTION("""COMPUTED_VALUE"""),"")</f>
        <v/>
      </c>
      <c r="C21385" s="12" t="str">
        <f ca="1">IFERROR(__xludf.DUMMYFUNCTION("""COMPUTED_VALUE"""),"")</f>
        <v/>
      </c>
      <c r="D21385" s="12" t="str">
        <f ca="1">IFERROR(__xludf.DUMMYFUNCTION("""COMPUTED_VALUE"""),"")</f>
        <v/>
      </c>
    </row>
    <row r="21386" spans="2:4" ht="13">
      <c r="B21386" s="12" t="str">
        <f ca="1">IFERROR(__xludf.DUMMYFUNCTION("""COMPUTED_VALUE"""),"")</f>
        <v/>
      </c>
      <c r="C21386" s="12" t="str">
        <f ca="1">IFERROR(__xludf.DUMMYFUNCTION("""COMPUTED_VALUE"""),"")</f>
        <v/>
      </c>
      <c r="D21386" s="12" t="str">
        <f ca="1">IFERROR(__xludf.DUMMYFUNCTION("""COMPUTED_VALUE"""),"")</f>
        <v/>
      </c>
    </row>
    <row r="21387" spans="2:4" ht="13">
      <c r="B21387" s="12" t="str">
        <f ca="1">IFERROR(__xludf.DUMMYFUNCTION("""COMPUTED_VALUE"""),"")</f>
        <v/>
      </c>
      <c r="C21387" s="12" t="str">
        <f ca="1">IFERROR(__xludf.DUMMYFUNCTION("""COMPUTED_VALUE"""),"")</f>
        <v/>
      </c>
      <c r="D21387" s="12" t="str">
        <f ca="1">IFERROR(__xludf.DUMMYFUNCTION("""COMPUTED_VALUE"""),"")</f>
        <v/>
      </c>
    </row>
    <row r="21388" spans="2:4" ht="13">
      <c r="B21388" s="12" t="str">
        <f ca="1">IFERROR(__xludf.DUMMYFUNCTION("""COMPUTED_VALUE"""),"")</f>
        <v/>
      </c>
      <c r="C21388" s="12" t="str">
        <f ca="1">IFERROR(__xludf.DUMMYFUNCTION("""COMPUTED_VALUE"""),"")</f>
        <v/>
      </c>
      <c r="D21388" s="12" t="str">
        <f ca="1">IFERROR(__xludf.DUMMYFUNCTION("""COMPUTED_VALUE"""),"")</f>
        <v/>
      </c>
    </row>
    <row r="21389" spans="2:4" ht="13">
      <c r="B21389" s="12" t="str">
        <f ca="1">IFERROR(__xludf.DUMMYFUNCTION("""COMPUTED_VALUE"""),"")</f>
        <v/>
      </c>
      <c r="C21389" s="12" t="str">
        <f ca="1">IFERROR(__xludf.DUMMYFUNCTION("""COMPUTED_VALUE"""),"")</f>
        <v/>
      </c>
      <c r="D21389" s="12" t="str">
        <f ca="1">IFERROR(__xludf.DUMMYFUNCTION("""COMPUTED_VALUE"""),"")</f>
        <v/>
      </c>
    </row>
    <row r="21390" spans="2:4" ht="13">
      <c r="B21390" s="12" t="str">
        <f ca="1">IFERROR(__xludf.DUMMYFUNCTION("""COMPUTED_VALUE"""),"")</f>
        <v/>
      </c>
      <c r="C21390" s="12" t="str">
        <f ca="1">IFERROR(__xludf.DUMMYFUNCTION("""COMPUTED_VALUE"""),"")</f>
        <v/>
      </c>
      <c r="D21390" s="12" t="str">
        <f ca="1">IFERROR(__xludf.DUMMYFUNCTION("""COMPUTED_VALUE"""),"")</f>
        <v/>
      </c>
    </row>
    <row r="21391" spans="2:4" ht="13">
      <c r="B21391" s="12" t="str">
        <f ca="1">IFERROR(__xludf.DUMMYFUNCTION("""COMPUTED_VALUE"""),"")</f>
        <v/>
      </c>
      <c r="C21391" s="12" t="str">
        <f ca="1">IFERROR(__xludf.DUMMYFUNCTION("""COMPUTED_VALUE"""),"")</f>
        <v/>
      </c>
      <c r="D21391" s="12" t="str">
        <f ca="1">IFERROR(__xludf.DUMMYFUNCTION("""COMPUTED_VALUE"""),"")</f>
        <v/>
      </c>
    </row>
    <row r="21392" spans="2:4" ht="13">
      <c r="B21392" s="12" t="str">
        <f ca="1">IFERROR(__xludf.DUMMYFUNCTION("""COMPUTED_VALUE"""),"")</f>
        <v/>
      </c>
      <c r="C21392" s="12" t="str">
        <f ca="1">IFERROR(__xludf.DUMMYFUNCTION("""COMPUTED_VALUE"""),"")</f>
        <v/>
      </c>
      <c r="D21392" s="12" t="str">
        <f ca="1">IFERROR(__xludf.DUMMYFUNCTION("""COMPUTED_VALUE"""),"")</f>
        <v/>
      </c>
    </row>
    <row r="21393" spans="2:4" ht="13">
      <c r="B21393" s="12" t="str">
        <f ca="1">IFERROR(__xludf.DUMMYFUNCTION("""COMPUTED_VALUE"""),"")</f>
        <v/>
      </c>
      <c r="C21393" s="12" t="str">
        <f ca="1">IFERROR(__xludf.DUMMYFUNCTION("""COMPUTED_VALUE"""),"")</f>
        <v/>
      </c>
      <c r="D21393" s="12" t="str">
        <f ca="1">IFERROR(__xludf.DUMMYFUNCTION("""COMPUTED_VALUE"""),"")</f>
        <v/>
      </c>
    </row>
    <row r="21394" spans="2:4" ht="13">
      <c r="B21394" s="12" t="str">
        <f ca="1">IFERROR(__xludf.DUMMYFUNCTION("""COMPUTED_VALUE"""),"")</f>
        <v/>
      </c>
      <c r="C21394" s="12" t="str">
        <f ca="1">IFERROR(__xludf.DUMMYFUNCTION("""COMPUTED_VALUE"""),"")</f>
        <v/>
      </c>
      <c r="D21394" s="12" t="str">
        <f ca="1">IFERROR(__xludf.DUMMYFUNCTION("""COMPUTED_VALUE"""),"")</f>
        <v/>
      </c>
    </row>
    <row r="21395" spans="2:4" ht="13">
      <c r="B21395" s="12" t="str">
        <f ca="1">IFERROR(__xludf.DUMMYFUNCTION("""COMPUTED_VALUE"""),"")</f>
        <v/>
      </c>
      <c r="C21395" s="12" t="str">
        <f ca="1">IFERROR(__xludf.DUMMYFUNCTION("""COMPUTED_VALUE"""),"")</f>
        <v/>
      </c>
      <c r="D21395" s="12" t="str">
        <f ca="1">IFERROR(__xludf.DUMMYFUNCTION("""COMPUTED_VALUE"""),"")</f>
        <v/>
      </c>
    </row>
    <row r="21396" spans="2:4" ht="13">
      <c r="B21396" s="12" t="str">
        <f ca="1">IFERROR(__xludf.DUMMYFUNCTION("""COMPUTED_VALUE"""),"")</f>
        <v/>
      </c>
      <c r="C21396" s="12" t="str">
        <f ca="1">IFERROR(__xludf.DUMMYFUNCTION("""COMPUTED_VALUE"""),"")</f>
        <v/>
      </c>
      <c r="D21396" s="12" t="str">
        <f ca="1">IFERROR(__xludf.DUMMYFUNCTION("""COMPUTED_VALUE"""),"")</f>
        <v/>
      </c>
    </row>
    <row r="21397" spans="2:4" ht="13">
      <c r="B21397" s="12" t="str">
        <f ca="1">IFERROR(__xludf.DUMMYFUNCTION("""COMPUTED_VALUE"""),"")</f>
        <v/>
      </c>
      <c r="C21397" s="12" t="str">
        <f ca="1">IFERROR(__xludf.DUMMYFUNCTION("""COMPUTED_VALUE"""),"")</f>
        <v/>
      </c>
      <c r="D21397" s="12" t="str">
        <f ca="1">IFERROR(__xludf.DUMMYFUNCTION("""COMPUTED_VALUE"""),"")</f>
        <v/>
      </c>
    </row>
    <row r="21398" spans="2:4" ht="13">
      <c r="B21398" s="12" t="str">
        <f ca="1">IFERROR(__xludf.DUMMYFUNCTION("""COMPUTED_VALUE"""),"")</f>
        <v/>
      </c>
      <c r="C21398" s="12" t="str">
        <f ca="1">IFERROR(__xludf.DUMMYFUNCTION("""COMPUTED_VALUE"""),"")</f>
        <v/>
      </c>
      <c r="D21398" s="12" t="str">
        <f ca="1">IFERROR(__xludf.DUMMYFUNCTION("""COMPUTED_VALUE"""),"")</f>
        <v/>
      </c>
    </row>
    <row r="21399" spans="2:4" ht="13">
      <c r="B21399" s="12" t="str">
        <f ca="1">IFERROR(__xludf.DUMMYFUNCTION("""COMPUTED_VALUE"""),"")</f>
        <v/>
      </c>
      <c r="C21399" s="12" t="str">
        <f ca="1">IFERROR(__xludf.DUMMYFUNCTION("""COMPUTED_VALUE"""),"")</f>
        <v/>
      </c>
      <c r="D21399" s="12" t="str">
        <f ca="1">IFERROR(__xludf.DUMMYFUNCTION("""COMPUTED_VALUE"""),"")</f>
        <v/>
      </c>
    </row>
    <row r="21400" spans="2:4" ht="13">
      <c r="B21400" s="12" t="str">
        <f ca="1">IFERROR(__xludf.DUMMYFUNCTION("""COMPUTED_VALUE"""),"")</f>
        <v/>
      </c>
      <c r="C21400" s="12" t="str">
        <f ca="1">IFERROR(__xludf.DUMMYFUNCTION("""COMPUTED_VALUE"""),"")</f>
        <v/>
      </c>
      <c r="D21400" s="12" t="str">
        <f ca="1">IFERROR(__xludf.DUMMYFUNCTION("""COMPUTED_VALUE"""),"")</f>
        <v/>
      </c>
    </row>
    <row r="21401" spans="2:4" ht="13">
      <c r="B21401" s="12" t="str">
        <f ca="1">IFERROR(__xludf.DUMMYFUNCTION("""COMPUTED_VALUE"""),"")</f>
        <v/>
      </c>
      <c r="C21401" s="12" t="str">
        <f ca="1">IFERROR(__xludf.DUMMYFUNCTION("""COMPUTED_VALUE"""),"")</f>
        <v/>
      </c>
      <c r="D21401" s="12" t="str">
        <f ca="1">IFERROR(__xludf.DUMMYFUNCTION("""COMPUTED_VALUE"""),"")</f>
        <v/>
      </c>
    </row>
    <row r="21402" spans="2:4" ht="13">
      <c r="B21402" s="12" t="str">
        <f ca="1">IFERROR(__xludf.DUMMYFUNCTION("""COMPUTED_VALUE"""),"")</f>
        <v/>
      </c>
      <c r="C21402" s="12" t="str">
        <f ca="1">IFERROR(__xludf.DUMMYFUNCTION("""COMPUTED_VALUE"""),"")</f>
        <v/>
      </c>
      <c r="D21402" s="12" t="str">
        <f ca="1">IFERROR(__xludf.DUMMYFUNCTION("""COMPUTED_VALUE"""),"")</f>
        <v/>
      </c>
    </row>
    <row r="21403" spans="2:4" ht="13">
      <c r="B21403" s="12" t="str">
        <f ca="1">IFERROR(__xludf.DUMMYFUNCTION("""COMPUTED_VALUE"""),"")</f>
        <v/>
      </c>
      <c r="C21403" s="12" t="str">
        <f ca="1">IFERROR(__xludf.DUMMYFUNCTION("""COMPUTED_VALUE"""),"")</f>
        <v/>
      </c>
      <c r="D21403" s="12" t="str">
        <f ca="1">IFERROR(__xludf.DUMMYFUNCTION("""COMPUTED_VALUE"""),"")</f>
        <v/>
      </c>
    </row>
    <row r="21404" spans="2:4" ht="13">
      <c r="B21404" s="12" t="str">
        <f ca="1">IFERROR(__xludf.DUMMYFUNCTION("""COMPUTED_VALUE"""),"")</f>
        <v/>
      </c>
      <c r="C21404" s="12" t="str">
        <f ca="1">IFERROR(__xludf.DUMMYFUNCTION("""COMPUTED_VALUE"""),"")</f>
        <v/>
      </c>
      <c r="D21404" s="12" t="str">
        <f ca="1">IFERROR(__xludf.DUMMYFUNCTION("""COMPUTED_VALUE"""),"")</f>
        <v/>
      </c>
    </row>
    <row r="21405" spans="2:4" ht="13">
      <c r="B21405" s="12" t="str">
        <f ca="1">IFERROR(__xludf.DUMMYFUNCTION("""COMPUTED_VALUE"""),"")</f>
        <v/>
      </c>
      <c r="C21405" s="12" t="str">
        <f ca="1">IFERROR(__xludf.DUMMYFUNCTION("""COMPUTED_VALUE"""),"")</f>
        <v/>
      </c>
      <c r="D21405" s="12" t="str">
        <f ca="1">IFERROR(__xludf.DUMMYFUNCTION("""COMPUTED_VALUE"""),"")</f>
        <v/>
      </c>
    </row>
    <row r="21406" spans="2:4" ht="13">
      <c r="B21406" s="12" t="str">
        <f ca="1">IFERROR(__xludf.DUMMYFUNCTION("""COMPUTED_VALUE"""),"")</f>
        <v/>
      </c>
      <c r="C21406" s="12" t="str">
        <f ca="1">IFERROR(__xludf.DUMMYFUNCTION("""COMPUTED_VALUE"""),"")</f>
        <v/>
      </c>
      <c r="D21406" s="12" t="str">
        <f ca="1">IFERROR(__xludf.DUMMYFUNCTION("""COMPUTED_VALUE"""),"")</f>
        <v/>
      </c>
    </row>
    <row r="21407" spans="2:4" ht="13">
      <c r="B21407" s="12" t="str">
        <f ca="1">IFERROR(__xludf.DUMMYFUNCTION("""COMPUTED_VALUE"""),"")</f>
        <v/>
      </c>
      <c r="C21407" s="12" t="str">
        <f ca="1">IFERROR(__xludf.DUMMYFUNCTION("""COMPUTED_VALUE"""),"")</f>
        <v/>
      </c>
      <c r="D21407" s="12" t="str">
        <f ca="1">IFERROR(__xludf.DUMMYFUNCTION("""COMPUTED_VALUE"""),"")</f>
        <v/>
      </c>
    </row>
    <row r="21408" spans="2:4" ht="13">
      <c r="B21408" s="12" t="str">
        <f ca="1">IFERROR(__xludf.DUMMYFUNCTION("""COMPUTED_VALUE"""),"")</f>
        <v/>
      </c>
      <c r="C21408" s="12" t="str">
        <f ca="1">IFERROR(__xludf.DUMMYFUNCTION("""COMPUTED_VALUE"""),"")</f>
        <v/>
      </c>
      <c r="D21408" s="12" t="str">
        <f ca="1">IFERROR(__xludf.DUMMYFUNCTION("""COMPUTED_VALUE"""),"")</f>
        <v/>
      </c>
    </row>
    <row r="21409" spans="2:4" ht="13">
      <c r="B21409" s="12" t="str">
        <f ca="1">IFERROR(__xludf.DUMMYFUNCTION("""COMPUTED_VALUE"""),"")</f>
        <v/>
      </c>
      <c r="C21409" s="12" t="str">
        <f ca="1">IFERROR(__xludf.DUMMYFUNCTION("""COMPUTED_VALUE"""),"")</f>
        <v/>
      </c>
      <c r="D21409" s="12" t="str">
        <f ca="1">IFERROR(__xludf.DUMMYFUNCTION("""COMPUTED_VALUE"""),"")</f>
        <v/>
      </c>
    </row>
    <row r="21410" spans="2:4" ht="13">
      <c r="B21410" s="12" t="str">
        <f ca="1">IFERROR(__xludf.DUMMYFUNCTION("""COMPUTED_VALUE"""),"")</f>
        <v/>
      </c>
      <c r="C21410" s="12" t="str">
        <f ca="1">IFERROR(__xludf.DUMMYFUNCTION("""COMPUTED_VALUE"""),"")</f>
        <v/>
      </c>
      <c r="D21410" s="12" t="str">
        <f ca="1">IFERROR(__xludf.DUMMYFUNCTION("""COMPUTED_VALUE"""),"")</f>
        <v/>
      </c>
    </row>
    <row r="21411" spans="2:4" ht="13">
      <c r="B21411" s="12" t="str">
        <f ca="1">IFERROR(__xludf.DUMMYFUNCTION("""COMPUTED_VALUE"""),"")</f>
        <v/>
      </c>
      <c r="C21411" s="12" t="str">
        <f ca="1">IFERROR(__xludf.DUMMYFUNCTION("""COMPUTED_VALUE"""),"")</f>
        <v/>
      </c>
      <c r="D21411" s="12" t="str">
        <f ca="1">IFERROR(__xludf.DUMMYFUNCTION("""COMPUTED_VALUE"""),"")</f>
        <v/>
      </c>
    </row>
    <row r="21412" spans="2:4" ht="13">
      <c r="B21412" s="12" t="str">
        <f ca="1">IFERROR(__xludf.DUMMYFUNCTION("""COMPUTED_VALUE"""),"")</f>
        <v/>
      </c>
      <c r="C21412" s="12" t="str">
        <f ca="1">IFERROR(__xludf.DUMMYFUNCTION("""COMPUTED_VALUE"""),"")</f>
        <v/>
      </c>
      <c r="D21412" s="12" t="str">
        <f ca="1">IFERROR(__xludf.DUMMYFUNCTION("""COMPUTED_VALUE"""),"")</f>
        <v/>
      </c>
    </row>
    <row r="21413" spans="2:4" ht="13">
      <c r="B21413" s="12" t="str">
        <f ca="1">IFERROR(__xludf.DUMMYFUNCTION("""COMPUTED_VALUE"""),"")</f>
        <v/>
      </c>
      <c r="C21413" s="12" t="str">
        <f ca="1">IFERROR(__xludf.DUMMYFUNCTION("""COMPUTED_VALUE"""),"")</f>
        <v/>
      </c>
      <c r="D21413" s="12" t="str">
        <f ca="1">IFERROR(__xludf.DUMMYFUNCTION("""COMPUTED_VALUE"""),"")</f>
        <v/>
      </c>
    </row>
    <row r="21414" spans="2:4" ht="13">
      <c r="B21414" s="12" t="str">
        <f ca="1">IFERROR(__xludf.DUMMYFUNCTION("""COMPUTED_VALUE"""),"")</f>
        <v/>
      </c>
      <c r="C21414" s="12" t="str">
        <f ca="1">IFERROR(__xludf.DUMMYFUNCTION("""COMPUTED_VALUE"""),"")</f>
        <v/>
      </c>
      <c r="D21414" s="12" t="str">
        <f ca="1">IFERROR(__xludf.DUMMYFUNCTION("""COMPUTED_VALUE"""),"")</f>
        <v/>
      </c>
    </row>
    <row r="21415" spans="2:4" ht="13">
      <c r="B21415" s="12" t="str">
        <f ca="1">IFERROR(__xludf.DUMMYFUNCTION("""COMPUTED_VALUE"""),"")</f>
        <v/>
      </c>
      <c r="C21415" s="12" t="str">
        <f ca="1">IFERROR(__xludf.DUMMYFUNCTION("""COMPUTED_VALUE"""),"")</f>
        <v/>
      </c>
      <c r="D21415" s="12" t="str">
        <f ca="1">IFERROR(__xludf.DUMMYFUNCTION("""COMPUTED_VALUE"""),"")</f>
        <v/>
      </c>
    </row>
    <row r="21416" spans="2:4" ht="13">
      <c r="B21416" s="12" t="str">
        <f ca="1">IFERROR(__xludf.DUMMYFUNCTION("""COMPUTED_VALUE"""),"")</f>
        <v/>
      </c>
      <c r="C21416" s="12" t="str">
        <f ca="1">IFERROR(__xludf.DUMMYFUNCTION("""COMPUTED_VALUE"""),"")</f>
        <v/>
      </c>
      <c r="D21416" s="12" t="str">
        <f ca="1">IFERROR(__xludf.DUMMYFUNCTION("""COMPUTED_VALUE"""),"")</f>
        <v/>
      </c>
    </row>
    <row r="21417" spans="2:4" ht="13">
      <c r="B21417" s="12" t="str">
        <f ca="1">IFERROR(__xludf.DUMMYFUNCTION("""COMPUTED_VALUE"""),"")</f>
        <v/>
      </c>
      <c r="C21417" s="12" t="str">
        <f ca="1">IFERROR(__xludf.DUMMYFUNCTION("""COMPUTED_VALUE"""),"")</f>
        <v/>
      </c>
      <c r="D21417" s="12" t="str">
        <f ca="1">IFERROR(__xludf.DUMMYFUNCTION("""COMPUTED_VALUE"""),"")</f>
        <v/>
      </c>
    </row>
    <row r="21418" spans="2:4" ht="13">
      <c r="B21418" s="12" t="str">
        <f ca="1">IFERROR(__xludf.DUMMYFUNCTION("""COMPUTED_VALUE"""),"")</f>
        <v/>
      </c>
      <c r="C21418" s="12" t="str">
        <f ca="1">IFERROR(__xludf.DUMMYFUNCTION("""COMPUTED_VALUE"""),"")</f>
        <v/>
      </c>
      <c r="D21418" s="12" t="str">
        <f ca="1">IFERROR(__xludf.DUMMYFUNCTION("""COMPUTED_VALUE"""),"")</f>
        <v/>
      </c>
    </row>
    <row r="21419" spans="2:4" ht="13">
      <c r="B21419" s="12" t="str">
        <f ca="1">IFERROR(__xludf.DUMMYFUNCTION("""COMPUTED_VALUE"""),"")</f>
        <v/>
      </c>
      <c r="C21419" s="12" t="str">
        <f ca="1">IFERROR(__xludf.DUMMYFUNCTION("""COMPUTED_VALUE"""),"")</f>
        <v/>
      </c>
      <c r="D21419" s="12" t="str">
        <f ca="1">IFERROR(__xludf.DUMMYFUNCTION("""COMPUTED_VALUE"""),"")</f>
        <v/>
      </c>
    </row>
    <row r="21420" spans="2:4" ht="13">
      <c r="B21420" s="12" t="str">
        <f ca="1">IFERROR(__xludf.DUMMYFUNCTION("""COMPUTED_VALUE"""),"")</f>
        <v/>
      </c>
      <c r="C21420" s="12" t="str">
        <f ca="1">IFERROR(__xludf.DUMMYFUNCTION("""COMPUTED_VALUE"""),"")</f>
        <v/>
      </c>
      <c r="D21420" s="12" t="str">
        <f ca="1">IFERROR(__xludf.DUMMYFUNCTION("""COMPUTED_VALUE"""),"")</f>
        <v/>
      </c>
    </row>
    <row r="21421" spans="2:4" ht="13">
      <c r="B21421" s="12" t="str">
        <f ca="1">IFERROR(__xludf.DUMMYFUNCTION("""COMPUTED_VALUE"""),"")</f>
        <v/>
      </c>
      <c r="C21421" s="12" t="str">
        <f ca="1">IFERROR(__xludf.DUMMYFUNCTION("""COMPUTED_VALUE"""),"")</f>
        <v/>
      </c>
      <c r="D21421" s="12" t="str">
        <f ca="1">IFERROR(__xludf.DUMMYFUNCTION("""COMPUTED_VALUE"""),"")</f>
        <v/>
      </c>
    </row>
    <row r="21422" spans="2:4" ht="13">
      <c r="B21422" s="12" t="str">
        <f ca="1">IFERROR(__xludf.DUMMYFUNCTION("""COMPUTED_VALUE"""),"")</f>
        <v/>
      </c>
      <c r="C21422" s="12" t="str">
        <f ca="1">IFERROR(__xludf.DUMMYFUNCTION("""COMPUTED_VALUE"""),"")</f>
        <v/>
      </c>
      <c r="D21422" s="12" t="str">
        <f ca="1">IFERROR(__xludf.DUMMYFUNCTION("""COMPUTED_VALUE"""),"")</f>
        <v/>
      </c>
    </row>
    <row r="21423" spans="2:4" ht="13">
      <c r="B21423" s="12" t="str">
        <f ca="1">IFERROR(__xludf.DUMMYFUNCTION("""COMPUTED_VALUE"""),"")</f>
        <v/>
      </c>
      <c r="C21423" s="12" t="str">
        <f ca="1">IFERROR(__xludf.DUMMYFUNCTION("""COMPUTED_VALUE"""),"")</f>
        <v/>
      </c>
      <c r="D21423" s="12" t="str">
        <f ca="1">IFERROR(__xludf.DUMMYFUNCTION("""COMPUTED_VALUE"""),"")</f>
        <v/>
      </c>
    </row>
    <row r="21424" spans="2:4" ht="13">
      <c r="B21424" s="12" t="str">
        <f ca="1">IFERROR(__xludf.DUMMYFUNCTION("""COMPUTED_VALUE"""),"")</f>
        <v/>
      </c>
      <c r="C21424" s="12" t="str">
        <f ca="1">IFERROR(__xludf.DUMMYFUNCTION("""COMPUTED_VALUE"""),"")</f>
        <v/>
      </c>
      <c r="D21424" s="12" t="str">
        <f ca="1">IFERROR(__xludf.DUMMYFUNCTION("""COMPUTED_VALUE"""),"")</f>
        <v/>
      </c>
    </row>
    <row r="21425" spans="2:4" ht="13">
      <c r="B21425" s="12" t="str">
        <f ca="1">IFERROR(__xludf.DUMMYFUNCTION("""COMPUTED_VALUE"""),"")</f>
        <v/>
      </c>
      <c r="C21425" s="12" t="str">
        <f ca="1">IFERROR(__xludf.DUMMYFUNCTION("""COMPUTED_VALUE"""),"")</f>
        <v/>
      </c>
      <c r="D21425" s="12" t="str">
        <f ca="1">IFERROR(__xludf.DUMMYFUNCTION("""COMPUTED_VALUE"""),"")</f>
        <v/>
      </c>
    </row>
    <row r="21426" spans="2:4" ht="13">
      <c r="B21426" s="12" t="str">
        <f ca="1">IFERROR(__xludf.DUMMYFUNCTION("""COMPUTED_VALUE"""),"")</f>
        <v/>
      </c>
      <c r="C21426" s="12" t="str">
        <f ca="1">IFERROR(__xludf.DUMMYFUNCTION("""COMPUTED_VALUE"""),"")</f>
        <v/>
      </c>
      <c r="D21426" s="12" t="str">
        <f ca="1">IFERROR(__xludf.DUMMYFUNCTION("""COMPUTED_VALUE"""),"")</f>
        <v/>
      </c>
    </row>
    <row r="21427" spans="2:4" ht="13">
      <c r="B21427" s="12" t="str">
        <f ca="1">IFERROR(__xludf.DUMMYFUNCTION("""COMPUTED_VALUE"""),"")</f>
        <v/>
      </c>
      <c r="C21427" s="12" t="str">
        <f ca="1">IFERROR(__xludf.DUMMYFUNCTION("""COMPUTED_VALUE"""),"")</f>
        <v/>
      </c>
      <c r="D21427" s="12" t="str">
        <f ca="1">IFERROR(__xludf.DUMMYFUNCTION("""COMPUTED_VALUE"""),"")</f>
        <v/>
      </c>
    </row>
    <row r="21428" spans="2:4" ht="13">
      <c r="B21428" s="12" t="str">
        <f ca="1">IFERROR(__xludf.DUMMYFUNCTION("""COMPUTED_VALUE"""),"")</f>
        <v/>
      </c>
      <c r="C21428" s="12" t="str">
        <f ca="1">IFERROR(__xludf.DUMMYFUNCTION("""COMPUTED_VALUE"""),"")</f>
        <v/>
      </c>
      <c r="D21428" s="12" t="str">
        <f ca="1">IFERROR(__xludf.DUMMYFUNCTION("""COMPUTED_VALUE"""),"")</f>
        <v/>
      </c>
    </row>
    <row r="21429" spans="2:4" ht="13">
      <c r="B21429" s="12" t="str">
        <f ca="1">IFERROR(__xludf.DUMMYFUNCTION("""COMPUTED_VALUE"""),"")</f>
        <v/>
      </c>
      <c r="C21429" s="12" t="str">
        <f ca="1">IFERROR(__xludf.DUMMYFUNCTION("""COMPUTED_VALUE"""),"")</f>
        <v/>
      </c>
      <c r="D21429" s="12" t="str">
        <f ca="1">IFERROR(__xludf.DUMMYFUNCTION("""COMPUTED_VALUE"""),"")</f>
        <v/>
      </c>
    </row>
    <row r="21430" spans="2:4" ht="13">
      <c r="B21430" s="12" t="str">
        <f ca="1">IFERROR(__xludf.DUMMYFUNCTION("""COMPUTED_VALUE"""),"")</f>
        <v/>
      </c>
      <c r="C21430" s="12" t="str">
        <f ca="1">IFERROR(__xludf.DUMMYFUNCTION("""COMPUTED_VALUE"""),"")</f>
        <v/>
      </c>
      <c r="D21430" s="12" t="str">
        <f ca="1">IFERROR(__xludf.DUMMYFUNCTION("""COMPUTED_VALUE"""),"")</f>
        <v/>
      </c>
    </row>
    <row r="21431" spans="2:4" ht="13">
      <c r="B21431" s="12" t="str">
        <f ca="1">IFERROR(__xludf.DUMMYFUNCTION("""COMPUTED_VALUE"""),"")</f>
        <v/>
      </c>
      <c r="C21431" s="12" t="str">
        <f ca="1">IFERROR(__xludf.DUMMYFUNCTION("""COMPUTED_VALUE"""),"")</f>
        <v/>
      </c>
      <c r="D21431" s="12" t="str">
        <f ca="1">IFERROR(__xludf.DUMMYFUNCTION("""COMPUTED_VALUE"""),"")</f>
        <v/>
      </c>
    </row>
    <row r="21432" spans="2:4" ht="13">
      <c r="B21432" s="12" t="str">
        <f ca="1">IFERROR(__xludf.DUMMYFUNCTION("""COMPUTED_VALUE"""),"")</f>
        <v/>
      </c>
      <c r="C21432" s="12" t="str">
        <f ca="1">IFERROR(__xludf.DUMMYFUNCTION("""COMPUTED_VALUE"""),"")</f>
        <v/>
      </c>
      <c r="D21432" s="12" t="str">
        <f ca="1">IFERROR(__xludf.DUMMYFUNCTION("""COMPUTED_VALUE"""),"")</f>
        <v/>
      </c>
    </row>
    <row r="21433" spans="2:4" ht="13">
      <c r="B21433" s="12" t="str">
        <f ca="1">IFERROR(__xludf.DUMMYFUNCTION("""COMPUTED_VALUE"""),"")</f>
        <v/>
      </c>
      <c r="C21433" s="12" t="str">
        <f ca="1">IFERROR(__xludf.DUMMYFUNCTION("""COMPUTED_VALUE"""),"")</f>
        <v/>
      </c>
      <c r="D21433" s="12" t="str">
        <f ca="1">IFERROR(__xludf.DUMMYFUNCTION("""COMPUTED_VALUE"""),"")</f>
        <v/>
      </c>
    </row>
    <row r="21434" spans="2:4" ht="13">
      <c r="B21434" s="12" t="str">
        <f ca="1">IFERROR(__xludf.DUMMYFUNCTION("""COMPUTED_VALUE"""),"")</f>
        <v/>
      </c>
      <c r="C21434" s="12" t="str">
        <f ca="1">IFERROR(__xludf.DUMMYFUNCTION("""COMPUTED_VALUE"""),"")</f>
        <v/>
      </c>
      <c r="D21434" s="12" t="str">
        <f ca="1">IFERROR(__xludf.DUMMYFUNCTION("""COMPUTED_VALUE"""),"")</f>
        <v/>
      </c>
    </row>
    <row r="21435" spans="2:4" ht="13">
      <c r="B21435" s="12" t="str">
        <f ca="1">IFERROR(__xludf.DUMMYFUNCTION("""COMPUTED_VALUE"""),"")</f>
        <v/>
      </c>
      <c r="C21435" s="12" t="str">
        <f ca="1">IFERROR(__xludf.DUMMYFUNCTION("""COMPUTED_VALUE"""),"")</f>
        <v/>
      </c>
      <c r="D21435" s="12" t="str">
        <f ca="1">IFERROR(__xludf.DUMMYFUNCTION("""COMPUTED_VALUE"""),"")</f>
        <v/>
      </c>
    </row>
    <row r="21436" spans="2:4" ht="13">
      <c r="B21436" s="12" t="str">
        <f ca="1">IFERROR(__xludf.DUMMYFUNCTION("""COMPUTED_VALUE"""),"")</f>
        <v/>
      </c>
      <c r="C21436" s="12" t="str">
        <f ca="1">IFERROR(__xludf.DUMMYFUNCTION("""COMPUTED_VALUE"""),"")</f>
        <v/>
      </c>
      <c r="D21436" s="12" t="str">
        <f ca="1">IFERROR(__xludf.DUMMYFUNCTION("""COMPUTED_VALUE"""),"")</f>
        <v/>
      </c>
    </row>
    <row r="21437" spans="2:4" ht="13">
      <c r="B21437" s="12" t="str">
        <f ca="1">IFERROR(__xludf.DUMMYFUNCTION("""COMPUTED_VALUE"""),"")</f>
        <v/>
      </c>
      <c r="C21437" s="12" t="str">
        <f ca="1">IFERROR(__xludf.DUMMYFUNCTION("""COMPUTED_VALUE"""),"")</f>
        <v/>
      </c>
      <c r="D21437" s="12" t="str">
        <f ca="1">IFERROR(__xludf.DUMMYFUNCTION("""COMPUTED_VALUE"""),"")</f>
        <v/>
      </c>
    </row>
    <row r="21438" spans="2:4" ht="13">
      <c r="B21438" s="12" t="str">
        <f ca="1">IFERROR(__xludf.DUMMYFUNCTION("""COMPUTED_VALUE"""),"")</f>
        <v/>
      </c>
      <c r="C21438" s="12" t="str">
        <f ca="1">IFERROR(__xludf.DUMMYFUNCTION("""COMPUTED_VALUE"""),"")</f>
        <v/>
      </c>
      <c r="D21438" s="12" t="str">
        <f ca="1">IFERROR(__xludf.DUMMYFUNCTION("""COMPUTED_VALUE"""),"")</f>
        <v/>
      </c>
    </row>
    <row r="21439" spans="2:4" ht="13">
      <c r="B21439" s="12" t="str">
        <f ca="1">IFERROR(__xludf.DUMMYFUNCTION("""COMPUTED_VALUE"""),"")</f>
        <v/>
      </c>
      <c r="C21439" s="12" t="str">
        <f ca="1">IFERROR(__xludf.DUMMYFUNCTION("""COMPUTED_VALUE"""),"")</f>
        <v/>
      </c>
      <c r="D21439" s="12" t="str">
        <f ca="1">IFERROR(__xludf.DUMMYFUNCTION("""COMPUTED_VALUE"""),"")</f>
        <v/>
      </c>
    </row>
    <row r="21440" spans="2:4" ht="13">
      <c r="B21440" s="12" t="str">
        <f ca="1">IFERROR(__xludf.DUMMYFUNCTION("""COMPUTED_VALUE"""),"")</f>
        <v/>
      </c>
      <c r="C21440" s="12" t="str">
        <f ca="1">IFERROR(__xludf.DUMMYFUNCTION("""COMPUTED_VALUE"""),"")</f>
        <v/>
      </c>
      <c r="D21440" s="12" t="str">
        <f ca="1">IFERROR(__xludf.DUMMYFUNCTION("""COMPUTED_VALUE"""),"")</f>
        <v/>
      </c>
    </row>
    <row r="21441" spans="2:4" ht="13">
      <c r="B21441" s="12" t="str">
        <f ca="1">IFERROR(__xludf.DUMMYFUNCTION("""COMPUTED_VALUE"""),"")</f>
        <v/>
      </c>
      <c r="C21441" s="12" t="str">
        <f ca="1">IFERROR(__xludf.DUMMYFUNCTION("""COMPUTED_VALUE"""),"")</f>
        <v/>
      </c>
      <c r="D21441" s="12" t="str">
        <f ca="1">IFERROR(__xludf.DUMMYFUNCTION("""COMPUTED_VALUE"""),"")</f>
        <v/>
      </c>
    </row>
    <row r="21442" spans="2:4" ht="13">
      <c r="B21442" s="12" t="str">
        <f ca="1">IFERROR(__xludf.DUMMYFUNCTION("""COMPUTED_VALUE"""),"")</f>
        <v/>
      </c>
      <c r="C21442" s="12" t="str">
        <f ca="1">IFERROR(__xludf.DUMMYFUNCTION("""COMPUTED_VALUE"""),"")</f>
        <v/>
      </c>
      <c r="D21442" s="12" t="str">
        <f ca="1">IFERROR(__xludf.DUMMYFUNCTION("""COMPUTED_VALUE"""),"")</f>
        <v/>
      </c>
    </row>
    <row r="21443" spans="2:4" ht="13">
      <c r="B21443" s="12" t="str">
        <f ca="1">IFERROR(__xludf.DUMMYFUNCTION("""COMPUTED_VALUE"""),"")</f>
        <v/>
      </c>
      <c r="C21443" s="12" t="str">
        <f ca="1">IFERROR(__xludf.DUMMYFUNCTION("""COMPUTED_VALUE"""),"")</f>
        <v/>
      </c>
      <c r="D21443" s="12" t="str">
        <f ca="1">IFERROR(__xludf.DUMMYFUNCTION("""COMPUTED_VALUE"""),"")</f>
        <v/>
      </c>
    </row>
    <row r="21444" spans="2:4" ht="13">
      <c r="B21444" s="12" t="str">
        <f ca="1">IFERROR(__xludf.DUMMYFUNCTION("""COMPUTED_VALUE"""),"")</f>
        <v/>
      </c>
      <c r="C21444" s="12" t="str">
        <f ca="1">IFERROR(__xludf.DUMMYFUNCTION("""COMPUTED_VALUE"""),"")</f>
        <v/>
      </c>
      <c r="D21444" s="12" t="str">
        <f ca="1">IFERROR(__xludf.DUMMYFUNCTION("""COMPUTED_VALUE"""),"")</f>
        <v/>
      </c>
    </row>
    <row r="21445" spans="2:4" ht="13">
      <c r="B21445" s="12" t="str">
        <f ca="1">IFERROR(__xludf.DUMMYFUNCTION("""COMPUTED_VALUE"""),"")</f>
        <v/>
      </c>
      <c r="C21445" s="12" t="str">
        <f ca="1">IFERROR(__xludf.DUMMYFUNCTION("""COMPUTED_VALUE"""),"")</f>
        <v/>
      </c>
      <c r="D21445" s="12" t="str">
        <f ca="1">IFERROR(__xludf.DUMMYFUNCTION("""COMPUTED_VALUE"""),"")</f>
        <v/>
      </c>
    </row>
    <row r="21446" spans="2:4" ht="13">
      <c r="B21446" s="12" t="str">
        <f ca="1">IFERROR(__xludf.DUMMYFUNCTION("""COMPUTED_VALUE"""),"")</f>
        <v/>
      </c>
      <c r="C21446" s="12" t="str">
        <f ca="1">IFERROR(__xludf.DUMMYFUNCTION("""COMPUTED_VALUE"""),"")</f>
        <v/>
      </c>
      <c r="D21446" s="12" t="str">
        <f ca="1">IFERROR(__xludf.DUMMYFUNCTION("""COMPUTED_VALUE"""),"")</f>
        <v/>
      </c>
    </row>
    <row r="21447" spans="2:4" ht="13">
      <c r="B21447" s="12" t="str">
        <f ca="1">IFERROR(__xludf.DUMMYFUNCTION("""COMPUTED_VALUE"""),"")</f>
        <v/>
      </c>
      <c r="C21447" s="12" t="str">
        <f ca="1">IFERROR(__xludf.DUMMYFUNCTION("""COMPUTED_VALUE"""),"")</f>
        <v/>
      </c>
      <c r="D21447" s="12" t="str">
        <f ca="1">IFERROR(__xludf.DUMMYFUNCTION("""COMPUTED_VALUE"""),"")</f>
        <v/>
      </c>
    </row>
    <row r="21448" spans="2:4" ht="13">
      <c r="B21448" s="12" t="str">
        <f ca="1">IFERROR(__xludf.DUMMYFUNCTION("""COMPUTED_VALUE"""),"")</f>
        <v/>
      </c>
      <c r="C21448" s="12" t="str">
        <f ca="1">IFERROR(__xludf.DUMMYFUNCTION("""COMPUTED_VALUE"""),"")</f>
        <v/>
      </c>
      <c r="D21448" s="12" t="str">
        <f ca="1">IFERROR(__xludf.DUMMYFUNCTION("""COMPUTED_VALUE"""),"")</f>
        <v/>
      </c>
    </row>
    <row r="21449" spans="2:4" ht="13">
      <c r="B21449" s="12" t="str">
        <f ca="1">IFERROR(__xludf.DUMMYFUNCTION("""COMPUTED_VALUE"""),"")</f>
        <v/>
      </c>
      <c r="C21449" s="12" t="str">
        <f ca="1">IFERROR(__xludf.DUMMYFUNCTION("""COMPUTED_VALUE"""),"")</f>
        <v/>
      </c>
      <c r="D21449" s="12" t="str">
        <f ca="1">IFERROR(__xludf.DUMMYFUNCTION("""COMPUTED_VALUE"""),"")</f>
        <v/>
      </c>
    </row>
    <row r="21450" spans="2:4" ht="13">
      <c r="B21450" s="12" t="str">
        <f ca="1">IFERROR(__xludf.DUMMYFUNCTION("""COMPUTED_VALUE"""),"")</f>
        <v/>
      </c>
      <c r="C21450" s="12" t="str">
        <f ca="1">IFERROR(__xludf.DUMMYFUNCTION("""COMPUTED_VALUE"""),"")</f>
        <v/>
      </c>
      <c r="D21450" s="12" t="str">
        <f ca="1">IFERROR(__xludf.DUMMYFUNCTION("""COMPUTED_VALUE"""),"")</f>
        <v/>
      </c>
    </row>
    <row r="21451" spans="2:4" ht="13">
      <c r="B21451" s="12" t="str">
        <f ca="1">IFERROR(__xludf.DUMMYFUNCTION("""COMPUTED_VALUE"""),"")</f>
        <v/>
      </c>
      <c r="C21451" s="12" t="str">
        <f ca="1">IFERROR(__xludf.DUMMYFUNCTION("""COMPUTED_VALUE"""),"")</f>
        <v/>
      </c>
      <c r="D21451" s="12" t="str">
        <f ca="1">IFERROR(__xludf.DUMMYFUNCTION("""COMPUTED_VALUE"""),"")</f>
        <v/>
      </c>
    </row>
    <row r="21452" spans="2:4" ht="13">
      <c r="B21452" s="12" t="str">
        <f ca="1">IFERROR(__xludf.DUMMYFUNCTION("""COMPUTED_VALUE"""),"")</f>
        <v/>
      </c>
      <c r="C21452" s="12" t="str">
        <f ca="1">IFERROR(__xludf.DUMMYFUNCTION("""COMPUTED_VALUE"""),"")</f>
        <v/>
      </c>
      <c r="D21452" s="12" t="str">
        <f ca="1">IFERROR(__xludf.DUMMYFUNCTION("""COMPUTED_VALUE"""),"")</f>
        <v/>
      </c>
    </row>
    <row r="21453" spans="2:4" ht="13">
      <c r="B21453" s="12" t="str">
        <f ca="1">IFERROR(__xludf.DUMMYFUNCTION("""COMPUTED_VALUE"""),"")</f>
        <v/>
      </c>
      <c r="C21453" s="12" t="str">
        <f ca="1">IFERROR(__xludf.DUMMYFUNCTION("""COMPUTED_VALUE"""),"")</f>
        <v/>
      </c>
      <c r="D21453" s="12" t="str">
        <f ca="1">IFERROR(__xludf.DUMMYFUNCTION("""COMPUTED_VALUE"""),"")</f>
        <v/>
      </c>
    </row>
    <row r="21454" spans="2:4" ht="13">
      <c r="B21454" s="12" t="str">
        <f ca="1">IFERROR(__xludf.DUMMYFUNCTION("""COMPUTED_VALUE"""),"")</f>
        <v/>
      </c>
      <c r="C21454" s="12" t="str">
        <f ca="1">IFERROR(__xludf.DUMMYFUNCTION("""COMPUTED_VALUE"""),"")</f>
        <v/>
      </c>
      <c r="D21454" s="12" t="str">
        <f ca="1">IFERROR(__xludf.DUMMYFUNCTION("""COMPUTED_VALUE"""),"")</f>
        <v/>
      </c>
    </row>
    <row r="21455" spans="2:4" ht="13">
      <c r="B21455" s="12" t="str">
        <f ca="1">IFERROR(__xludf.DUMMYFUNCTION("""COMPUTED_VALUE"""),"")</f>
        <v/>
      </c>
      <c r="C21455" s="12" t="str">
        <f ca="1">IFERROR(__xludf.DUMMYFUNCTION("""COMPUTED_VALUE"""),"")</f>
        <v/>
      </c>
      <c r="D21455" s="12" t="str">
        <f ca="1">IFERROR(__xludf.DUMMYFUNCTION("""COMPUTED_VALUE"""),"")</f>
        <v/>
      </c>
    </row>
    <row r="21456" spans="2:4" ht="13">
      <c r="B21456" s="12" t="str">
        <f ca="1">IFERROR(__xludf.DUMMYFUNCTION("""COMPUTED_VALUE"""),"")</f>
        <v/>
      </c>
      <c r="C21456" s="12" t="str">
        <f ca="1">IFERROR(__xludf.DUMMYFUNCTION("""COMPUTED_VALUE"""),"")</f>
        <v/>
      </c>
      <c r="D21456" s="12" t="str">
        <f ca="1">IFERROR(__xludf.DUMMYFUNCTION("""COMPUTED_VALUE"""),"")</f>
        <v/>
      </c>
    </row>
    <row r="21457" spans="2:4" ht="13">
      <c r="B21457" s="12" t="str">
        <f ca="1">IFERROR(__xludf.DUMMYFUNCTION("""COMPUTED_VALUE"""),"")</f>
        <v/>
      </c>
      <c r="C21457" s="12" t="str">
        <f ca="1">IFERROR(__xludf.DUMMYFUNCTION("""COMPUTED_VALUE"""),"")</f>
        <v/>
      </c>
      <c r="D21457" s="12" t="str">
        <f ca="1">IFERROR(__xludf.DUMMYFUNCTION("""COMPUTED_VALUE"""),"")</f>
        <v/>
      </c>
    </row>
    <row r="21458" spans="2:4" ht="13">
      <c r="B21458" s="12" t="str">
        <f ca="1">IFERROR(__xludf.DUMMYFUNCTION("""COMPUTED_VALUE"""),"")</f>
        <v/>
      </c>
      <c r="C21458" s="12" t="str">
        <f ca="1">IFERROR(__xludf.DUMMYFUNCTION("""COMPUTED_VALUE"""),"")</f>
        <v/>
      </c>
      <c r="D21458" s="12" t="str">
        <f ca="1">IFERROR(__xludf.DUMMYFUNCTION("""COMPUTED_VALUE"""),"")</f>
        <v/>
      </c>
    </row>
    <row r="21459" spans="2:4" ht="13">
      <c r="B21459" s="12" t="str">
        <f ca="1">IFERROR(__xludf.DUMMYFUNCTION("""COMPUTED_VALUE"""),"")</f>
        <v/>
      </c>
      <c r="C21459" s="12" t="str">
        <f ca="1">IFERROR(__xludf.DUMMYFUNCTION("""COMPUTED_VALUE"""),"")</f>
        <v/>
      </c>
      <c r="D21459" s="12" t="str">
        <f ca="1">IFERROR(__xludf.DUMMYFUNCTION("""COMPUTED_VALUE"""),"")</f>
        <v/>
      </c>
    </row>
    <row r="21460" spans="2:4" ht="13">
      <c r="B21460" s="12" t="str">
        <f ca="1">IFERROR(__xludf.DUMMYFUNCTION("""COMPUTED_VALUE"""),"")</f>
        <v/>
      </c>
      <c r="C21460" s="12" t="str">
        <f ca="1">IFERROR(__xludf.DUMMYFUNCTION("""COMPUTED_VALUE"""),"")</f>
        <v/>
      </c>
      <c r="D21460" s="12" t="str">
        <f ca="1">IFERROR(__xludf.DUMMYFUNCTION("""COMPUTED_VALUE"""),"")</f>
        <v/>
      </c>
    </row>
    <row r="21461" spans="2:4" ht="13">
      <c r="B21461" s="12" t="str">
        <f ca="1">IFERROR(__xludf.DUMMYFUNCTION("""COMPUTED_VALUE"""),"")</f>
        <v/>
      </c>
      <c r="C21461" s="12" t="str">
        <f ca="1">IFERROR(__xludf.DUMMYFUNCTION("""COMPUTED_VALUE"""),"")</f>
        <v/>
      </c>
      <c r="D21461" s="12" t="str">
        <f ca="1">IFERROR(__xludf.DUMMYFUNCTION("""COMPUTED_VALUE"""),"")</f>
        <v/>
      </c>
    </row>
    <row r="21462" spans="2:4" ht="13">
      <c r="B21462" s="12" t="str">
        <f ca="1">IFERROR(__xludf.DUMMYFUNCTION("""COMPUTED_VALUE"""),"")</f>
        <v/>
      </c>
      <c r="C21462" s="12" t="str">
        <f ca="1">IFERROR(__xludf.DUMMYFUNCTION("""COMPUTED_VALUE"""),"")</f>
        <v/>
      </c>
      <c r="D21462" s="12" t="str">
        <f ca="1">IFERROR(__xludf.DUMMYFUNCTION("""COMPUTED_VALUE"""),"")</f>
        <v/>
      </c>
    </row>
    <row r="21463" spans="2:4" ht="13">
      <c r="B21463" s="12" t="str">
        <f ca="1">IFERROR(__xludf.DUMMYFUNCTION("""COMPUTED_VALUE"""),"")</f>
        <v/>
      </c>
      <c r="C21463" s="12" t="str">
        <f ca="1">IFERROR(__xludf.DUMMYFUNCTION("""COMPUTED_VALUE"""),"")</f>
        <v/>
      </c>
      <c r="D21463" s="12" t="str">
        <f ca="1">IFERROR(__xludf.DUMMYFUNCTION("""COMPUTED_VALUE"""),"")</f>
        <v/>
      </c>
    </row>
    <row r="21464" spans="2:4" ht="13">
      <c r="B21464" s="12" t="str">
        <f ca="1">IFERROR(__xludf.DUMMYFUNCTION("""COMPUTED_VALUE"""),"")</f>
        <v/>
      </c>
      <c r="C21464" s="12" t="str">
        <f ca="1">IFERROR(__xludf.DUMMYFUNCTION("""COMPUTED_VALUE"""),"")</f>
        <v/>
      </c>
      <c r="D21464" s="12" t="str">
        <f ca="1">IFERROR(__xludf.DUMMYFUNCTION("""COMPUTED_VALUE"""),"")</f>
        <v/>
      </c>
    </row>
    <row r="21465" spans="2:4" ht="13">
      <c r="B21465" s="12" t="str">
        <f ca="1">IFERROR(__xludf.DUMMYFUNCTION("""COMPUTED_VALUE"""),"")</f>
        <v/>
      </c>
      <c r="C21465" s="12" t="str">
        <f ca="1">IFERROR(__xludf.DUMMYFUNCTION("""COMPUTED_VALUE"""),"")</f>
        <v/>
      </c>
      <c r="D21465" s="12" t="str">
        <f ca="1">IFERROR(__xludf.DUMMYFUNCTION("""COMPUTED_VALUE"""),"")</f>
        <v/>
      </c>
    </row>
    <row r="21466" spans="2:4" ht="13">
      <c r="B21466" s="12" t="str">
        <f ca="1">IFERROR(__xludf.DUMMYFUNCTION("""COMPUTED_VALUE"""),"")</f>
        <v/>
      </c>
      <c r="C21466" s="12" t="str">
        <f ca="1">IFERROR(__xludf.DUMMYFUNCTION("""COMPUTED_VALUE"""),"")</f>
        <v/>
      </c>
      <c r="D21466" s="12" t="str">
        <f ca="1">IFERROR(__xludf.DUMMYFUNCTION("""COMPUTED_VALUE"""),"")</f>
        <v/>
      </c>
    </row>
    <row r="21467" spans="2:4" ht="13">
      <c r="B21467" s="12" t="str">
        <f ca="1">IFERROR(__xludf.DUMMYFUNCTION("""COMPUTED_VALUE"""),"")</f>
        <v/>
      </c>
      <c r="C21467" s="12" t="str">
        <f ca="1">IFERROR(__xludf.DUMMYFUNCTION("""COMPUTED_VALUE"""),"")</f>
        <v/>
      </c>
      <c r="D21467" s="12" t="str">
        <f ca="1">IFERROR(__xludf.DUMMYFUNCTION("""COMPUTED_VALUE"""),"")</f>
        <v/>
      </c>
    </row>
    <row r="21468" spans="2:4" ht="13">
      <c r="B21468" s="12" t="str">
        <f ca="1">IFERROR(__xludf.DUMMYFUNCTION("""COMPUTED_VALUE"""),"")</f>
        <v/>
      </c>
      <c r="C21468" s="12" t="str">
        <f ca="1">IFERROR(__xludf.DUMMYFUNCTION("""COMPUTED_VALUE"""),"")</f>
        <v/>
      </c>
      <c r="D21468" s="12" t="str">
        <f ca="1">IFERROR(__xludf.DUMMYFUNCTION("""COMPUTED_VALUE"""),"")</f>
        <v/>
      </c>
    </row>
    <row r="21469" spans="2:4" ht="13">
      <c r="B21469" s="12" t="str">
        <f ca="1">IFERROR(__xludf.DUMMYFUNCTION("""COMPUTED_VALUE"""),"")</f>
        <v/>
      </c>
      <c r="C21469" s="12" t="str">
        <f ca="1">IFERROR(__xludf.DUMMYFUNCTION("""COMPUTED_VALUE"""),"")</f>
        <v/>
      </c>
      <c r="D21469" s="12" t="str">
        <f ca="1">IFERROR(__xludf.DUMMYFUNCTION("""COMPUTED_VALUE"""),"")</f>
        <v/>
      </c>
    </row>
    <row r="21470" spans="2:4" ht="13">
      <c r="B21470" s="12" t="str">
        <f ca="1">IFERROR(__xludf.DUMMYFUNCTION("""COMPUTED_VALUE"""),"")</f>
        <v/>
      </c>
      <c r="C21470" s="12" t="str">
        <f ca="1">IFERROR(__xludf.DUMMYFUNCTION("""COMPUTED_VALUE"""),"")</f>
        <v/>
      </c>
      <c r="D21470" s="12" t="str">
        <f ca="1">IFERROR(__xludf.DUMMYFUNCTION("""COMPUTED_VALUE"""),"")</f>
        <v/>
      </c>
    </row>
    <row r="21471" spans="2:4" ht="13">
      <c r="B21471" s="12" t="str">
        <f ca="1">IFERROR(__xludf.DUMMYFUNCTION("""COMPUTED_VALUE"""),"")</f>
        <v/>
      </c>
      <c r="C21471" s="12" t="str">
        <f ca="1">IFERROR(__xludf.DUMMYFUNCTION("""COMPUTED_VALUE"""),"")</f>
        <v/>
      </c>
      <c r="D21471" s="12" t="str">
        <f ca="1">IFERROR(__xludf.DUMMYFUNCTION("""COMPUTED_VALUE"""),"")</f>
        <v/>
      </c>
    </row>
    <row r="21472" spans="2:4" ht="13">
      <c r="B21472" s="12" t="str">
        <f ca="1">IFERROR(__xludf.DUMMYFUNCTION("""COMPUTED_VALUE"""),"")</f>
        <v/>
      </c>
      <c r="C21472" s="12" t="str">
        <f ca="1">IFERROR(__xludf.DUMMYFUNCTION("""COMPUTED_VALUE"""),"")</f>
        <v/>
      </c>
      <c r="D21472" s="12" t="str">
        <f ca="1">IFERROR(__xludf.DUMMYFUNCTION("""COMPUTED_VALUE"""),"")</f>
        <v/>
      </c>
    </row>
    <row r="21473" spans="2:4" ht="13">
      <c r="B21473" s="12" t="str">
        <f ca="1">IFERROR(__xludf.DUMMYFUNCTION("""COMPUTED_VALUE"""),"")</f>
        <v/>
      </c>
      <c r="C21473" s="12" t="str">
        <f ca="1">IFERROR(__xludf.DUMMYFUNCTION("""COMPUTED_VALUE"""),"")</f>
        <v/>
      </c>
      <c r="D21473" s="12" t="str">
        <f ca="1">IFERROR(__xludf.DUMMYFUNCTION("""COMPUTED_VALUE"""),"")</f>
        <v/>
      </c>
    </row>
    <row r="21474" spans="2:4" ht="13">
      <c r="B21474" s="12" t="str">
        <f ca="1">IFERROR(__xludf.DUMMYFUNCTION("""COMPUTED_VALUE"""),"")</f>
        <v/>
      </c>
      <c r="C21474" s="12" t="str">
        <f ca="1">IFERROR(__xludf.DUMMYFUNCTION("""COMPUTED_VALUE"""),"")</f>
        <v/>
      </c>
      <c r="D21474" s="12" t="str">
        <f ca="1">IFERROR(__xludf.DUMMYFUNCTION("""COMPUTED_VALUE"""),"")</f>
        <v/>
      </c>
    </row>
    <row r="21475" spans="2:4" ht="13">
      <c r="B21475" s="12" t="str">
        <f ca="1">IFERROR(__xludf.DUMMYFUNCTION("""COMPUTED_VALUE"""),"")</f>
        <v/>
      </c>
      <c r="C21475" s="12" t="str">
        <f ca="1">IFERROR(__xludf.DUMMYFUNCTION("""COMPUTED_VALUE"""),"")</f>
        <v/>
      </c>
      <c r="D21475" s="12" t="str">
        <f ca="1">IFERROR(__xludf.DUMMYFUNCTION("""COMPUTED_VALUE"""),"")</f>
        <v/>
      </c>
    </row>
    <row r="21476" spans="2:4" ht="13">
      <c r="B21476" s="12" t="str">
        <f ca="1">IFERROR(__xludf.DUMMYFUNCTION("""COMPUTED_VALUE"""),"")</f>
        <v/>
      </c>
      <c r="C21476" s="12" t="str">
        <f ca="1">IFERROR(__xludf.DUMMYFUNCTION("""COMPUTED_VALUE"""),"")</f>
        <v/>
      </c>
      <c r="D21476" s="12" t="str">
        <f ca="1">IFERROR(__xludf.DUMMYFUNCTION("""COMPUTED_VALUE"""),"")</f>
        <v/>
      </c>
    </row>
    <row r="21477" spans="2:4" ht="13">
      <c r="B21477" s="12" t="str">
        <f ca="1">IFERROR(__xludf.DUMMYFUNCTION("""COMPUTED_VALUE"""),"")</f>
        <v/>
      </c>
      <c r="C21477" s="12" t="str">
        <f ca="1">IFERROR(__xludf.DUMMYFUNCTION("""COMPUTED_VALUE"""),"")</f>
        <v/>
      </c>
      <c r="D21477" s="12" t="str">
        <f ca="1">IFERROR(__xludf.DUMMYFUNCTION("""COMPUTED_VALUE"""),"")</f>
        <v/>
      </c>
    </row>
    <row r="21478" spans="2:4" ht="13">
      <c r="B21478" s="12" t="str">
        <f ca="1">IFERROR(__xludf.DUMMYFUNCTION("""COMPUTED_VALUE"""),"")</f>
        <v/>
      </c>
      <c r="C21478" s="12" t="str">
        <f ca="1">IFERROR(__xludf.DUMMYFUNCTION("""COMPUTED_VALUE"""),"")</f>
        <v/>
      </c>
      <c r="D21478" s="12" t="str">
        <f ca="1">IFERROR(__xludf.DUMMYFUNCTION("""COMPUTED_VALUE"""),"")</f>
        <v/>
      </c>
    </row>
    <row r="21479" spans="2:4" ht="13">
      <c r="B21479" s="12" t="str">
        <f ca="1">IFERROR(__xludf.DUMMYFUNCTION("""COMPUTED_VALUE"""),"")</f>
        <v/>
      </c>
      <c r="C21479" s="12" t="str">
        <f ca="1">IFERROR(__xludf.DUMMYFUNCTION("""COMPUTED_VALUE"""),"")</f>
        <v/>
      </c>
      <c r="D21479" s="12" t="str">
        <f ca="1">IFERROR(__xludf.DUMMYFUNCTION("""COMPUTED_VALUE"""),"")</f>
        <v/>
      </c>
    </row>
    <row r="21480" spans="2:4" ht="13">
      <c r="B21480" s="12" t="str">
        <f ca="1">IFERROR(__xludf.DUMMYFUNCTION("""COMPUTED_VALUE"""),"")</f>
        <v/>
      </c>
      <c r="C21480" s="12" t="str">
        <f ca="1">IFERROR(__xludf.DUMMYFUNCTION("""COMPUTED_VALUE"""),"")</f>
        <v/>
      </c>
      <c r="D21480" s="12" t="str">
        <f ca="1">IFERROR(__xludf.DUMMYFUNCTION("""COMPUTED_VALUE"""),"")</f>
        <v/>
      </c>
    </row>
    <row r="21481" spans="2:4" ht="13">
      <c r="B21481" s="12" t="str">
        <f ca="1">IFERROR(__xludf.DUMMYFUNCTION("""COMPUTED_VALUE"""),"")</f>
        <v/>
      </c>
      <c r="C21481" s="12" t="str">
        <f ca="1">IFERROR(__xludf.DUMMYFUNCTION("""COMPUTED_VALUE"""),"")</f>
        <v/>
      </c>
      <c r="D21481" s="12" t="str">
        <f ca="1">IFERROR(__xludf.DUMMYFUNCTION("""COMPUTED_VALUE"""),"")</f>
        <v/>
      </c>
    </row>
    <row r="21482" spans="2:4" ht="13">
      <c r="B21482" s="12" t="str">
        <f ca="1">IFERROR(__xludf.DUMMYFUNCTION("""COMPUTED_VALUE"""),"")</f>
        <v/>
      </c>
      <c r="C21482" s="12" t="str">
        <f ca="1">IFERROR(__xludf.DUMMYFUNCTION("""COMPUTED_VALUE"""),"")</f>
        <v/>
      </c>
      <c r="D21482" s="12" t="str">
        <f ca="1">IFERROR(__xludf.DUMMYFUNCTION("""COMPUTED_VALUE"""),"")</f>
        <v/>
      </c>
    </row>
    <row r="21483" spans="2:4" ht="13">
      <c r="B21483" s="12" t="str">
        <f ca="1">IFERROR(__xludf.DUMMYFUNCTION("""COMPUTED_VALUE"""),"")</f>
        <v/>
      </c>
      <c r="C21483" s="12" t="str">
        <f ca="1">IFERROR(__xludf.DUMMYFUNCTION("""COMPUTED_VALUE"""),"")</f>
        <v/>
      </c>
      <c r="D21483" s="12" t="str">
        <f ca="1">IFERROR(__xludf.DUMMYFUNCTION("""COMPUTED_VALUE"""),"")</f>
        <v/>
      </c>
    </row>
    <row r="21484" spans="2:4" ht="13">
      <c r="B21484" s="12" t="str">
        <f ca="1">IFERROR(__xludf.DUMMYFUNCTION("""COMPUTED_VALUE"""),"")</f>
        <v/>
      </c>
      <c r="C21484" s="12" t="str">
        <f ca="1">IFERROR(__xludf.DUMMYFUNCTION("""COMPUTED_VALUE"""),"")</f>
        <v/>
      </c>
      <c r="D21484" s="12" t="str">
        <f ca="1">IFERROR(__xludf.DUMMYFUNCTION("""COMPUTED_VALUE"""),"")</f>
        <v/>
      </c>
    </row>
    <row r="21485" spans="2:4" ht="13">
      <c r="B21485" s="12" t="str">
        <f ca="1">IFERROR(__xludf.DUMMYFUNCTION("""COMPUTED_VALUE"""),"")</f>
        <v/>
      </c>
      <c r="C21485" s="12" t="str">
        <f ca="1">IFERROR(__xludf.DUMMYFUNCTION("""COMPUTED_VALUE"""),"")</f>
        <v/>
      </c>
      <c r="D21485" s="12" t="str">
        <f ca="1">IFERROR(__xludf.DUMMYFUNCTION("""COMPUTED_VALUE"""),"")</f>
        <v/>
      </c>
    </row>
    <row r="21486" spans="2:4" ht="13">
      <c r="B21486" s="12" t="str">
        <f ca="1">IFERROR(__xludf.DUMMYFUNCTION("""COMPUTED_VALUE"""),"")</f>
        <v/>
      </c>
      <c r="C21486" s="12" t="str">
        <f ca="1">IFERROR(__xludf.DUMMYFUNCTION("""COMPUTED_VALUE"""),"")</f>
        <v/>
      </c>
      <c r="D21486" s="12" t="str">
        <f ca="1">IFERROR(__xludf.DUMMYFUNCTION("""COMPUTED_VALUE"""),"")</f>
        <v/>
      </c>
    </row>
    <row r="21487" spans="2:4" ht="13">
      <c r="B21487" s="12" t="str">
        <f ca="1">IFERROR(__xludf.DUMMYFUNCTION("""COMPUTED_VALUE"""),"")</f>
        <v/>
      </c>
      <c r="C21487" s="12" t="str">
        <f ca="1">IFERROR(__xludf.DUMMYFUNCTION("""COMPUTED_VALUE"""),"")</f>
        <v/>
      </c>
      <c r="D21487" s="12" t="str">
        <f ca="1">IFERROR(__xludf.DUMMYFUNCTION("""COMPUTED_VALUE"""),"")</f>
        <v/>
      </c>
    </row>
    <row r="21488" spans="2:4" ht="13">
      <c r="B21488" s="12" t="str">
        <f ca="1">IFERROR(__xludf.DUMMYFUNCTION("""COMPUTED_VALUE"""),"")</f>
        <v/>
      </c>
      <c r="C21488" s="12" t="str">
        <f ca="1">IFERROR(__xludf.DUMMYFUNCTION("""COMPUTED_VALUE"""),"")</f>
        <v/>
      </c>
      <c r="D21488" s="12" t="str">
        <f ca="1">IFERROR(__xludf.DUMMYFUNCTION("""COMPUTED_VALUE"""),"")</f>
        <v/>
      </c>
    </row>
    <row r="21489" spans="2:4" ht="13">
      <c r="B21489" s="12" t="str">
        <f ca="1">IFERROR(__xludf.DUMMYFUNCTION("""COMPUTED_VALUE"""),"")</f>
        <v/>
      </c>
      <c r="C21489" s="12" t="str">
        <f ca="1">IFERROR(__xludf.DUMMYFUNCTION("""COMPUTED_VALUE"""),"")</f>
        <v/>
      </c>
      <c r="D21489" s="12" t="str">
        <f ca="1">IFERROR(__xludf.DUMMYFUNCTION("""COMPUTED_VALUE"""),"")</f>
        <v/>
      </c>
    </row>
    <row r="21490" spans="2:4" ht="13">
      <c r="B21490" s="12" t="str">
        <f ca="1">IFERROR(__xludf.DUMMYFUNCTION("""COMPUTED_VALUE"""),"")</f>
        <v/>
      </c>
      <c r="C21490" s="12" t="str">
        <f ca="1">IFERROR(__xludf.DUMMYFUNCTION("""COMPUTED_VALUE"""),"")</f>
        <v/>
      </c>
      <c r="D21490" s="12" t="str">
        <f ca="1">IFERROR(__xludf.DUMMYFUNCTION("""COMPUTED_VALUE"""),"")</f>
        <v/>
      </c>
    </row>
    <row r="21491" spans="2:4" ht="13">
      <c r="B21491" s="12" t="str">
        <f ca="1">IFERROR(__xludf.DUMMYFUNCTION("""COMPUTED_VALUE"""),"")</f>
        <v/>
      </c>
      <c r="C21491" s="12" t="str">
        <f ca="1">IFERROR(__xludf.DUMMYFUNCTION("""COMPUTED_VALUE"""),"")</f>
        <v/>
      </c>
      <c r="D21491" s="12" t="str">
        <f ca="1">IFERROR(__xludf.DUMMYFUNCTION("""COMPUTED_VALUE"""),"")</f>
        <v/>
      </c>
    </row>
    <row r="21492" spans="2:4" ht="13">
      <c r="B21492" s="12" t="str">
        <f ca="1">IFERROR(__xludf.DUMMYFUNCTION("""COMPUTED_VALUE"""),"")</f>
        <v/>
      </c>
      <c r="C21492" s="12" t="str">
        <f ca="1">IFERROR(__xludf.DUMMYFUNCTION("""COMPUTED_VALUE"""),"")</f>
        <v/>
      </c>
      <c r="D21492" s="12" t="str">
        <f ca="1">IFERROR(__xludf.DUMMYFUNCTION("""COMPUTED_VALUE"""),"")</f>
        <v/>
      </c>
    </row>
    <row r="21493" spans="2:4" ht="13">
      <c r="B21493" s="12" t="str">
        <f ca="1">IFERROR(__xludf.DUMMYFUNCTION("""COMPUTED_VALUE"""),"")</f>
        <v/>
      </c>
      <c r="C21493" s="12" t="str">
        <f ca="1">IFERROR(__xludf.DUMMYFUNCTION("""COMPUTED_VALUE"""),"")</f>
        <v/>
      </c>
      <c r="D21493" s="12" t="str">
        <f ca="1">IFERROR(__xludf.DUMMYFUNCTION("""COMPUTED_VALUE"""),"")</f>
        <v/>
      </c>
    </row>
    <row r="21494" spans="2:4" ht="13">
      <c r="B21494" s="12" t="str">
        <f ca="1">IFERROR(__xludf.DUMMYFUNCTION("""COMPUTED_VALUE"""),"")</f>
        <v/>
      </c>
      <c r="C21494" s="12" t="str">
        <f ca="1">IFERROR(__xludf.DUMMYFUNCTION("""COMPUTED_VALUE"""),"")</f>
        <v/>
      </c>
      <c r="D21494" s="12" t="str">
        <f ca="1">IFERROR(__xludf.DUMMYFUNCTION("""COMPUTED_VALUE"""),"")</f>
        <v/>
      </c>
    </row>
    <row r="21495" spans="2:4" ht="13">
      <c r="B21495" s="12" t="str">
        <f ca="1">IFERROR(__xludf.DUMMYFUNCTION("""COMPUTED_VALUE"""),"")</f>
        <v/>
      </c>
      <c r="C21495" s="12" t="str">
        <f ca="1">IFERROR(__xludf.DUMMYFUNCTION("""COMPUTED_VALUE"""),"")</f>
        <v/>
      </c>
      <c r="D21495" s="12" t="str">
        <f ca="1">IFERROR(__xludf.DUMMYFUNCTION("""COMPUTED_VALUE"""),"")</f>
        <v/>
      </c>
    </row>
    <row r="21496" spans="2:4" ht="13">
      <c r="B21496" s="12" t="str">
        <f ca="1">IFERROR(__xludf.DUMMYFUNCTION("""COMPUTED_VALUE"""),"")</f>
        <v/>
      </c>
      <c r="C21496" s="12" t="str">
        <f ca="1">IFERROR(__xludf.DUMMYFUNCTION("""COMPUTED_VALUE"""),"")</f>
        <v/>
      </c>
      <c r="D21496" s="12" t="str">
        <f ca="1">IFERROR(__xludf.DUMMYFUNCTION("""COMPUTED_VALUE"""),"")</f>
        <v/>
      </c>
    </row>
    <row r="21497" spans="2:4" ht="13">
      <c r="B21497" s="12" t="str">
        <f ca="1">IFERROR(__xludf.DUMMYFUNCTION("""COMPUTED_VALUE"""),"")</f>
        <v/>
      </c>
      <c r="C21497" s="12" t="str">
        <f ca="1">IFERROR(__xludf.DUMMYFUNCTION("""COMPUTED_VALUE"""),"")</f>
        <v/>
      </c>
      <c r="D21497" s="12" t="str">
        <f ca="1">IFERROR(__xludf.DUMMYFUNCTION("""COMPUTED_VALUE"""),"")</f>
        <v/>
      </c>
    </row>
    <row r="21498" spans="2:4" ht="13">
      <c r="B21498" s="12" t="str">
        <f ca="1">IFERROR(__xludf.DUMMYFUNCTION("""COMPUTED_VALUE"""),"")</f>
        <v/>
      </c>
      <c r="C21498" s="12" t="str">
        <f ca="1">IFERROR(__xludf.DUMMYFUNCTION("""COMPUTED_VALUE"""),"")</f>
        <v/>
      </c>
      <c r="D21498" s="12" t="str">
        <f ca="1">IFERROR(__xludf.DUMMYFUNCTION("""COMPUTED_VALUE"""),"")</f>
        <v/>
      </c>
    </row>
    <row r="21499" spans="2:4" ht="13">
      <c r="B21499" s="12" t="str">
        <f ca="1">IFERROR(__xludf.DUMMYFUNCTION("""COMPUTED_VALUE"""),"")</f>
        <v/>
      </c>
      <c r="C21499" s="12" t="str">
        <f ca="1">IFERROR(__xludf.DUMMYFUNCTION("""COMPUTED_VALUE"""),"")</f>
        <v/>
      </c>
      <c r="D21499" s="12" t="str">
        <f ca="1">IFERROR(__xludf.DUMMYFUNCTION("""COMPUTED_VALUE"""),"")</f>
        <v/>
      </c>
    </row>
    <row r="21500" spans="2:4" ht="13">
      <c r="B21500" s="12" t="str">
        <f ca="1">IFERROR(__xludf.DUMMYFUNCTION("""COMPUTED_VALUE"""),"")</f>
        <v/>
      </c>
      <c r="C21500" s="12" t="str">
        <f ca="1">IFERROR(__xludf.DUMMYFUNCTION("""COMPUTED_VALUE"""),"")</f>
        <v/>
      </c>
      <c r="D21500" s="12" t="str">
        <f ca="1">IFERROR(__xludf.DUMMYFUNCTION("""COMPUTED_VALUE"""),"")</f>
        <v/>
      </c>
    </row>
    <row r="21501" spans="2:4" ht="13">
      <c r="B21501" s="12" t="str">
        <f ca="1">IFERROR(__xludf.DUMMYFUNCTION("""COMPUTED_VALUE"""),"")</f>
        <v/>
      </c>
      <c r="C21501" s="12" t="str">
        <f ca="1">IFERROR(__xludf.DUMMYFUNCTION("""COMPUTED_VALUE"""),"")</f>
        <v/>
      </c>
      <c r="D21501" s="12" t="str">
        <f ca="1">IFERROR(__xludf.DUMMYFUNCTION("""COMPUTED_VALUE"""),"")</f>
        <v/>
      </c>
    </row>
    <row r="21502" spans="2:4" ht="13">
      <c r="B21502" s="12" t="str">
        <f ca="1">IFERROR(__xludf.DUMMYFUNCTION("""COMPUTED_VALUE"""),"")</f>
        <v/>
      </c>
      <c r="C21502" s="12" t="str">
        <f ca="1">IFERROR(__xludf.DUMMYFUNCTION("""COMPUTED_VALUE"""),"")</f>
        <v/>
      </c>
      <c r="D21502" s="12" t="str">
        <f ca="1">IFERROR(__xludf.DUMMYFUNCTION("""COMPUTED_VALUE"""),"")</f>
        <v/>
      </c>
    </row>
    <row r="21503" spans="2:4" ht="13">
      <c r="B21503" s="12" t="str">
        <f ca="1">IFERROR(__xludf.DUMMYFUNCTION("""COMPUTED_VALUE"""),"")</f>
        <v/>
      </c>
      <c r="C21503" s="12" t="str">
        <f ca="1">IFERROR(__xludf.DUMMYFUNCTION("""COMPUTED_VALUE"""),"")</f>
        <v/>
      </c>
      <c r="D21503" s="12" t="str">
        <f ca="1">IFERROR(__xludf.DUMMYFUNCTION("""COMPUTED_VALUE"""),"")</f>
        <v/>
      </c>
    </row>
    <row r="21504" spans="2:4" ht="13">
      <c r="B21504" s="12" t="str">
        <f ca="1">IFERROR(__xludf.DUMMYFUNCTION("""COMPUTED_VALUE"""),"")</f>
        <v/>
      </c>
      <c r="C21504" s="12" t="str">
        <f ca="1">IFERROR(__xludf.DUMMYFUNCTION("""COMPUTED_VALUE"""),"")</f>
        <v/>
      </c>
      <c r="D21504" s="12" t="str">
        <f ca="1">IFERROR(__xludf.DUMMYFUNCTION("""COMPUTED_VALUE"""),"")</f>
        <v/>
      </c>
    </row>
    <row r="21505" spans="2:4" ht="13">
      <c r="B21505" s="12" t="str">
        <f ca="1">IFERROR(__xludf.DUMMYFUNCTION("""COMPUTED_VALUE"""),"")</f>
        <v/>
      </c>
      <c r="C21505" s="12" t="str">
        <f ca="1">IFERROR(__xludf.DUMMYFUNCTION("""COMPUTED_VALUE"""),"")</f>
        <v/>
      </c>
      <c r="D21505" s="12" t="str">
        <f ca="1">IFERROR(__xludf.DUMMYFUNCTION("""COMPUTED_VALUE"""),"")</f>
        <v/>
      </c>
    </row>
    <row r="21506" spans="2:4" ht="13">
      <c r="B21506" s="12" t="str">
        <f ca="1">IFERROR(__xludf.DUMMYFUNCTION("""COMPUTED_VALUE"""),"")</f>
        <v/>
      </c>
      <c r="C21506" s="12" t="str">
        <f ca="1">IFERROR(__xludf.DUMMYFUNCTION("""COMPUTED_VALUE"""),"")</f>
        <v/>
      </c>
      <c r="D21506" s="12" t="str">
        <f ca="1">IFERROR(__xludf.DUMMYFUNCTION("""COMPUTED_VALUE"""),"")</f>
        <v/>
      </c>
    </row>
    <row r="21507" spans="2:4" ht="13">
      <c r="B21507" s="12" t="str">
        <f ca="1">IFERROR(__xludf.DUMMYFUNCTION("""COMPUTED_VALUE"""),"")</f>
        <v/>
      </c>
      <c r="C21507" s="12" t="str">
        <f ca="1">IFERROR(__xludf.DUMMYFUNCTION("""COMPUTED_VALUE"""),"")</f>
        <v/>
      </c>
      <c r="D21507" s="12" t="str">
        <f ca="1">IFERROR(__xludf.DUMMYFUNCTION("""COMPUTED_VALUE"""),"")</f>
        <v/>
      </c>
    </row>
    <row r="21508" spans="2:4" ht="13">
      <c r="B21508" s="12" t="str">
        <f ca="1">IFERROR(__xludf.DUMMYFUNCTION("""COMPUTED_VALUE"""),"")</f>
        <v/>
      </c>
      <c r="C21508" s="12" t="str">
        <f ca="1">IFERROR(__xludf.DUMMYFUNCTION("""COMPUTED_VALUE"""),"")</f>
        <v/>
      </c>
      <c r="D21508" s="12" t="str">
        <f ca="1">IFERROR(__xludf.DUMMYFUNCTION("""COMPUTED_VALUE"""),"")</f>
        <v/>
      </c>
    </row>
    <row r="21509" spans="2:4" ht="13">
      <c r="B21509" s="12" t="str">
        <f ca="1">IFERROR(__xludf.DUMMYFUNCTION("""COMPUTED_VALUE"""),"")</f>
        <v/>
      </c>
      <c r="C21509" s="12" t="str">
        <f ca="1">IFERROR(__xludf.DUMMYFUNCTION("""COMPUTED_VALUE"""),"")</f>
        <v/>
      </c>
      <c r="D21509" s="12" t="str">
        <f ca="1">IFERROR(__xludf.DUMMYFUNCTION("""COMPUTED_VALUE"""),"")</f>
        <v/>
      </c>
    </row>
    <row r="21510" spans="2:4" ht="13">
      <c r="B21510" s="12" t="str">
        <f ca="1">IFERROR(__xludf.DUMMYFUNCTION("""COMPUTED_VALUE"""),"")</f>
        <v/>
      </c>
      <c r="C21510" s="12" t="str">
        <f ca="1">IFERROR(__xludf.DUMMYFUNCTION("""COMPUTED_VALUE"""),"")</f>
        <v/>
      </c>
      <c r="D21510" s="12" t="str">
        <f ca="1">IFERROR(__xludf.DUMMYFUNCTION("""COMPUTED_VALUE"""),"")</f>
        <v/>
      </c>
    </row>
    <row r="21511" spans="2:4" ht="13">
      <c r="B21511" s="12" t="str">
        <f ca="1">IFERROR(__xludf.DUMMYFUNCTION("""COMPUTED_VALUE"""),"")</f>
        <v/>
      </c>
      <c r="C21511" s="12" t="str">
        <f ca="1">IFERROR(__xludf.DUMMYFUNCTION("""COMPUTED_VALUE"""),"")</f>
        <v/>
      </c>
      <c r="D21511" s="12" t="str">
        <f ca="1">IFERROR(__xludf.DUMMYFUNCTION("""COMPUTED_VALUE"""),"")</f>
        <v/>
      </c>
    </row>
    <row r="21512" spans="2:4" ht="13">
      <c r="B21512" s="12" t="str">
        <f ca="1">IFERROR(__xludf.DUMMYFUNCTION("""COMPUTED_VALUE"""),"")</f>
        <v/>
      </c>
      <c r="C21512" s="12" t="str">
        <f ca="1">IFERROR(__xludf.DUMMYFUNCTION("""COMPUTED_VALUE"""),"")</f>
        <v/>
      </c>
      <c r="D21512" s="12" t="str">
        <f ca="1">IFERROR(__xludf.DUMMYFUNCTION("""COMPUTED_VALUE"""),"")</f>
        <v/>
      </c>
    </row>
    <row r="21513" spans="2:4" ht="13">
      <c r="B21513" s="12" t="str">
        <f ca="1">IFERROR(__xludf.DUMMYFUNCTION("""COMPUTED_VALUE"""),"")</f>
        <v/>
      </c>
      <c r="C21513" s="12" t="str">
        <f ca="1">IFERROR(__xludf.DUMMYFUNCTION("""COMPUTED_VALUE"""),"")</f>
        <v/>
      </c>
      <c r="D21513" s="12" t="str">
        <f ca="1">IFERROR(__xludf.DUMMYFUNCTION("""COMPUTED_VALUE"""),"")</f>
        <v/>
      </c>
    </row>
    <row r="21514" spans="2:4" ht="13">
      <c r="B21514" s="12" t="str">
        <f ca="1">IFERROR(__xludf.DUMMYFUNCTION("""COMPUTED_VALUE"""),"")</f>
        <v/>
      </c>
      <c r="C21514" s="12" t="str">
        <f ca="1">IFERROR(__xludf.DUMMYFUNCTION("""COMPUTED_VALUE"""),"")</f>
        <v/>
      </c>
      <c r="D21514" s="12" t="str">
        <f ca="1">IFERROR(__xludf.DUMMYFUNCTION("""COMPUTED_VALUE"""),"")</f>
        <v/>
      </c>
    </row>
    <row r="21515" spans="2:4" ht="13">
      <c r="B21515" s="12" t="str">
        <f ca="1">IFERROR(__xludf.DUMMYFUNCTION("""COMPUTED_VALUE"""),"")</f>
        <v/>
      </c>
      <c r="C21515" s="12" t="str">
        <f ca="1">IFERROR(__xludf.DUMMYFUNCTION("""COMPUTED_VALUE"""),"")</f>
        <v/>
      </c>
      <c r="D21515" s="12" t="str">
        <f ca="1">IFERROR(__xludf.DUMMYFUNCTION("""COMPUTED_VALUE"""),"")</f>
        <v/>
      </c>
    </row>
    <row r="21516" spans="2:4" ht="13">
      <c r="B21516" s="12" t="str">
        <f ca="1">IFERROR(__xludf.DUMMYFUNCTION("""COMPUTED_VALUE"""),"")</f>
        <v/>
      </c>
      <c r="C21516" s="12" t="str">
        <f ca="1">IFERROR(__xludf.DUMMYFUNCTION("""COMPUTED_VALUE"""),"")</f>
        <v/>
      </c>
      <c r="D21516" s="12" t="str">
        <f ca="1">IFERROR(__xludf.DUMMYFUNCTION("""COMPUTED_VALUE"""),"")</f>
        <v/>
      </c>
    </row>
    <row r="21517" spans="2:4" ht="13">
      <c r="B21517" s="12" t="str">
        <f ca="1">IFERROR(__xludf.DUMMYFUNCTION("""COMPUTED_VALUE"""),"")</f>
        <v/>
      </c>
      <c r="C21517" s="12" t="str">
        <f ca="1">IFERROR(__xludf.DUMMYFUNCTION("""COMPUTED_VALUE"""),"")</f>
        <v/>
      </c>
      <c r="D21517" s="12" t="str">
        <f ca="1">IFERROR(__xludf.DUMMYFUNCTION("""COMPUTED_VALUE"""),"")</f>
        <v/>
      </c>
    </row>
    <row r="21518" spans="2:4" ht="13">
      <c r="B21518" s="12" t="str">
        <f ca="1">IFERROR(__xludf.DUMMYFUNCTION("""COMPUTED_VALUE"""),"")</f>
        <v/>
      </c>
      <c r="C21518" s="12" t="str">
        <f ca="1">IFERROR(__xludf.DUMMYFUNCTION("""COMPUTED_VALUE"""),"")</f>
        <v/>
      </c>
      <c r="D21518" s="12" t="str">
        <f ca="1">IFERROR(__xludf.DUMMYFUNCTION("""COMPUTED_VALUE"""),"")</f>
        <v/>
      </c>
    </row>
    <row r="21519" spans="2:4" ht="13">
      <c r="B21519" s="12" t="str">
        <f ca="1">IFERROR(__xludf.DUMMYFUNCTION("""COMPUTED_VALUE"""),"")</f>
        <v/>
      </c>
      <c r="C21519" s="12" t="str">
        <f ca="1">IFERROR(__xludf.DUMMYFUNCTION("""COMPUTED_VALUE"""),"")</f>
        <v/>
      </c>
      <c r="D21519" s="12" t="str">
        <f ca="1">IFERROR(__xludf.DUMMYFUNCTION("""COMPUTED_VALUE"""),"")</f>
        <v/>
      </c>
    </row>
    <row r="21520" spans="2:4" ht="13">
      <c r="B21520" s="12" t="str">
        <f ca="1">IFERROR(__xludf.DUMMYFUNCTION("""COMPUTED_VALUE"""),"")</f>
        <v/>
      </c>
      <c r="C21520" s="12" t="str">
        <f ca="1">IFERROR(__xludf.DUMMYFUNCTION("""COMPUTED_VALUE"""),"")</f>
        <v/>
      </c>
      <c r="D21520" s="12" t="str">
        <f ca="1">IFERROR(__xludf.DUMMYFUNCTION("""COMPUTED_VALUE"""),"")</f>
        <v/>
      </c>
    </row>
    <row r="21521" spans="2:4" ht="13">
      <c r="B21521" s="12" t="str">
        <f ca="1">IFERROR(__xludf.DUMMYFUNCTION("""COMPUTED_VALUE"""),"")</f>
        <v/>
      </c>
      <c r="C21521" s="12" t="str">
        <f ca="1">IFERROR(__xludf.DUMMYFUNCTION("""COMPUTED_VALUE"""),"")</f>
        <v/>
      </c>
      <c r="D21521" s="12" t="str">
        <f ca="1">IFERROR(__xludf.DUMMYFUNCTION("""COMPUTED_VALUE"""),"")</f>
        <v/>
      </c>
    </row>
    <row r="21522" spans="2:4" ht="13">
      <c r="B21522" s="12" t="str">
        <f ca="1">IFERROR(__xludf.DUMMYFUNCTION("""COMPUTED_VALUE"""),"")</f>
        <v/>
      </c>
      <c r="C21522" s="12" t="str">
        <f ca="1">IFERROR(__xludf.DUMMYFUNCTION("""COMPUTED_VALUE"""),"")</f>
        <v/>
      </c>
      <c r="D21522" s="12" t="str">
        <f ca="1">IFERROR(__xludf.DUMMYFUNCTION("""COMPUTED_VALUE"""),"")</f>
        <v/>
      </c>
    </row>
    <row r="21523" spans="2:4" ht="13">
      <c r="B21523" s="12" t="str">
        <f ca="1">IFERROR(__xludf.DUMMYFUNCTION("""COMPUTED_VALUE"""),"")</f>
        <v/>
      </c>
      <c r="C21523" s="12" t="str">
        <f ca="1">IFERROR(__xludf.DUMMYFUNCTION("""COMPUTED_VALUE"""),"")</f>
        <v/>
      </c>
      <c r="D21523" s="12" t="str">
        <f ca="1">IFERROR(__xludf.DUMMYFUNCTION("""COMPUTED_VALUE"""),"")</f>
        <v/>
      </c>
    </row>
    <row r="21524" spans="2:4" ht="13">
      <c r="B21524" s="12" t="str">
        <f ca="1">IFERROR(__xludf.DUMMYFUNCTION("""COMPUTED_VALUE"""),"")</f>
        <v/>
      </c>
      <c r="C21524" s="12" t="str">
        <f ca="1">IFERROR(__xludf.DUMMYFUNCTION("""COMPUTED_VALUE"""),"")</f>
        <v/>
      </c>
      <c r="D21524" s="12" t="str">
        <f ca="1">IFERROR(__xludf.DUMMYFUNCTION("""COMPUTED_VALUE"""),"")</f>
        <v/>
      </c>
    </row>
    <row r="21525" spans="2:4" ht="13">
      <c r="B21525" s="12" t="str">
        <f ca="1">IFERROR(__xludf.DUMMYFUNCTION("""COMPUTED_VALUE"""),"")</f>
        <v/>
      </c>
      <c r="C21525" s="12" t="str">
        <f ca="1">IFERROR(__xludf.DUMMYFUNCTION("""COMPUTED_VALUE"""),"")</f>
        <v/>
      </c>
      <c r="D21525" s="12" t="str">
        <f ca="1">IFERROR(__xludf.DUMMYFUNCTION("""COMPUTED_VALUE"""),"")</f>
        <v/>
      </c>
    </row>
    <row r="21526" spans="2:4" ht="13">
      <c r="B21526" s="12" t="str">
        <f ca="1">IFERROR(__xludf.DUMMYFUNCTION("""COMPUTED_VALUE"""),"")</f>
        <v/>
      </c>
      <c r="C21526" s="12" t="str">
        <f ca="1">IFERROR(__xludf.DUMMYFUNCTION("""COMPUTED_VALUE"""),"")</f>
        <v/>
      </c>
      <c r="D21526" s="12" t="str">
        <f ca="1">IFERROR(__xludf.DUMMYFUNCTION("""COMPUTED_VALUE"""),"")</f>
        <v/>
      </c>
    </row>
    <row r="21527" spans="2:4" ht="13">
      <c r="B21527" s="12" t="str">
        <f ca="1">IFERROR(__xludf.DUMMYFUNCTION("""COMPUTED_VALUE"""),"")</f>
        <v/>
      </c>
      <c r="C21527" s="12" t="str">
        <f ca="1">IFERROR(__xludf.DUMMYFUNCTION("""COMPUTED_VALUE"""),"")</f>
        <v/>
      </c>
      <c r="D21527" s="12" t="str">
        <f ca="1">IFERROR(__xludf.DUMMYFUNCTION("""COMPUTED_VALUE"""),"")</f>
        <v/>
      </c>
    </row>
    <row r="21528" spans="2:4" ht="13">
      <c r="B21528" s="12" t="str">
        <f ca="1">IFERROR(__xludf.DUMMYFUNCTION("""COMPUTED_VALUE"""),"")</f>
        <v/>
      </c>
      <c r="C21528" s="12" t="str">
        <f ca="1">IFERROR(__xludf.DUMMYFUNCTION("""COMPUTED_VALUE"""),"")</f>
        <v/>
      </c>
      <c r="D21528" s="12" t="str">
        <f ca="1">IFERROR(__xludf.DUMMYFUNCTION("""COMPUTED_VALUE"""),"")</f>
        <v/>
      </c>
    </row>
    <row r="21529" spans="2:4" ht="13">
      <c r="B21529" s="12" t="str">
        <f ca="1">IFERROR(__xludf.DUMMYFUNCTION("""COMPUTED_VALUE"""),"")</f>
        <v/>
      </c>
      <c r="C21529" s="12" t="str">
        <f ca="1">IFERROR(__xludf.DUMMYFUNCTION("""COMPUTED_VALUE"""),"")</f>
        <v/>
      </c>
      <c r="D21529" s="12" t="str">
        <f ca="1">IFERROR(__xludf.DUMMYFUNCTION("""COMPUTED_VALUE"""),"")</f>
        <v/>
      </c>
    </row>
    <row r="21530" spans="2:4" ht="13">
      <c r="B21530" s="12" t="str">
        <f ca="1">IFERROR(__xludf.DUMMYFUNCTION("""COMPUTED_VALUE"""),"")</f>
        <v/>
      </c>
      <c r="C21530" s="12" t="str">
        <f ca="1">IFERROR(__xludf.DUMMYFUNCTION("""COMPUTED_VALUE"""),"")</f>
        <v/>
      </c>
      <c r="D21530" s="12" t="str">
        <f ca="1">IFERROR(__xludf.DUMMYFUNCTION("""COMPUTED_VALUE"""),"")</f>
        <v/>
      </c>
    </row>
    <row r="21531" spans="2:4" ht="13">
      <c r="B21531" s="12" t="str">
        <f ca="1">IFERROR(__xludf.DUMMYFUNCTION("""COMPUTED_VALUE"""),"")</f>
        <v/>
      </c>
      <c r="C21531" s="12" t="str">
        <f ca="1">IFERROR(__xludf.DUMMYFUNCTION("""COMPUTED_VALUE"""),"")</f>
        <v/>
      </c>
      <c r="D21531" s="12" t="str">
        <f ca="1">IFERROR(__xludf.DUMMYFUNCTION("""COMPUTED_VALUE"""),"")</f>
        <v/>
      </c>
    </row>
    <row r="21532" spans="2:4" ht="13">
      <c r="B21532" s="12" t="str">
        <f ca="1">IFERROR(__xludf.DUMMYFUNCTION("""COMPUTED_VALUE"""),"")</f>
        <v/>
      </c>
      <c r="C21532" s="12" t="str">
        <f ca="1">IFERROR(__xludf.DUMMYFUNCTION("""COMPUTED_VALUE"""),"")</f>
        <v/>
      </c>
      <c r="D21532" s="12" t="str">
        <f ca="1">IFERROR(__xludf.DUMMYFUNCTION("""COMPUTED_VALUE"""),"")</f>
        <v/>
      </c>
    </row>
    <row r="21533" spans="2:4" ht="13">
      <c r="B21533" s="12" t="str">
        <f ca="1">IFERROR(__xludf.DUMMYFUNCTION("""COMPUTED_VALUE"""),"")</f>
        <v/>
      </c>
      <c r="C21533" s="12" t="str">
        <f ca="1">IFERROR(__xludf.DUMMYFUNCTION("""COMPUTED_VALUE"""),"")</f>
        <v/>
      </c>
      <c r="D21533" s="12" t="str">
        <f ca="1">IFERROR(__xludf.DUMMYFUNCTION("""COMPUTED_VALUE"""),"")</f>
        <v/>
      </c>
    </row>
    <row r="21534" spans="2:4" ht="13">
      <c r="B21534" s="12" t="str">
        <f ca="1">IFERROR(__xludf.DUMMYFUNCTION("""COMPUTED_VALUE"""),"")</f>
        <v/>
      </c>
      <c r="C21534" s="12" t="str">
        <f ca="1">IFERROR(__xludf.DUMMYFUNCTION("""COMPUTED_VALUE"""),"")</f>
        <v/>
      </c>
      <c r="D21534" s="12" t="str">
        <f ca="1">IFERROR(__xludf.DUMMYFUNCTION("""COMPUTED_VALUE"""),"")</f>
        <v/>
      </c>
    </row>
    <row r="21535" spans="2:4" ht="13">
      <c r="B21535" s="12" t="str">
        <f ca="1">IFERROR(__xludf.DUMMYFUNCTION("""COMPUTED_VALUE"""),"")</f>
        <v/>
      </c>
      <c r="C21535" s="12" t="str">
        <f ca="1">IFERROR(__xludf.DUMMYFUNCTION("""COMPUTED_VALUE"""),"")</f>
        <v/>
      </c>
      <c r="D21535" s="12" t="str">
        <f ca="1">IFERROR(__xludf.DUMMYFUNCTION("""COMPUTED_VALUE"""),"")</f>
        <v/>
      </c>
    </row>
    <row r="21536" spans="2:4" ht="13">
      <c r="B21536" s="12" t="str">
        <f ca="1">IFERROR(__xludf.DUMMYFUNCTION("""COMPUTED_VALUE"""),"")</f>
        <v/>
      </c>
      <c r="C21536" s="12" t="str">
        <f ca="1">IFERROR(__xludf.DUMMYFUNCTION("""COMPUTED_VALUE"""),"")</f>
        <v/>
      </c>
      <c r="D21536" s="12" t="str">
        <f ca="1">IFERROR(__xludf.DUMMYFUNCTION("""COMPUTED_VALUE"""),"")</f>
        <v/>
      </c>
    </row>
    <row r="21537" spans="2:4" ht="13">
      <c r="B21537" s="12" t="str">
        <f ca="1">IFERROR(__xludf.DUMMYFUNCTION("""COMPUTED_VALUE"""),"")</f>
        <v/>
      </c>
      <c r="C21537" s="12" t="str">
        <f ca="1">IFERROR(__xludf.DUMMYFUNCTION("""COMPUTED_VALUE"""),"")</f>
        <v/>
      </c>
      <c r="D21537" s="12" t="str">
        <f ca="1">IFERROR(__xludf.DUMMYFUNCTION("""COMPUTED_VALUE"""),"")</f>
        <v/>
      </c>
    </row>
    <row r="21538" spans="2:4" ht="13">
      <c r="B21538" s="12" t="str">
        <f ca="1">IFERROR(__xludf.DUMMYFUNCTION("""COMPUTED_VALUE"""),"")</f>
        <v/>
      </c>
      <c r="C21538" s="12" t="str">
        <f ca="1">IFERROR(__xludf.DUMMYFUNCTION("""COMPUTED_VALUE"""),"")</f>
        <v/>
      </c>
      <c r="D21538" s="12" t="str">
        <f ca="1">IFERROR(__xludf.DUMMYFUNCTION("""COMPUTED_VALUE"""),"")</f>
        <v/>
      </c>
    </row>
    <row r="21539" spans="2:4" ht="13">
      <c r="B21539" s="12" t="str">
        <f ca="1">IFERROR(__xludf.DUMMYFUNCTION("""COMPUTED_VALUE"""),"")</f>
        <v/>
      </c>
      <c r="C21539" s="12" t="str">
        <f ca="1">IFERROR(__xludf.DUMMYFUNCTION("""COMPUTED_VALUE"""),"")</f>
        <v/>
      </c>
      <c r="D21539" s="12" t="str">
        <f ca="1">IFERROR(__xludf.DUMMYFUNCTION("""COMPUTED_VALUE"""),"")</f>
        <v/>
      </c>
    </row>
    <row r="21540" spans="2:4" ht="13">
      <c r="B21540" s="12" t="str">
        <f ca="1">IFERROR(__xludf.DUMMYFUNCTION("""COMPUTED_VALUE"""),"")</f>
        <v/>
      </c>
      <c r="C21540" s="12" t="str">
        <f ca="1">IFERROR(__xludf.DUMMYFUNCTION("""COMPUTED_VALUE"""),"")</f>
        <v/>
      </c>
      <c r="D21540" s="12" t="str">
        <f ca="1">IFERROR(__xludf.DUMMYFUNCTION("""COMPUTED_VALUE"""),"")</f>
        <v/>
      </c>
    </row>
    <row r="21541" spans="2:4" ht="13">
      <c r="B21541" s="12" t="str">
        <f ca="1">IFERROR(__xludf.DUMMYFUNCTION("""COMPUTED_VALUE"""),"")</f>
        <v/>
      </c>
      <c r="C21541" s="12" t="str">
        <f ca="1">IFERROR(__xludf.DUMMYFUNCTION("""COMPUTED_VALUE"""),"")</f>
        <v/>
      </c>
      <c r="D21541" s="12" t="str">
        <f ca="1">IFERROR(__xludf.DUMMYFUNCTION("""COMPUTED_VALUE"""),"")</f>
        <v/>
      </c>
    </row>
    <row r="21542" spans="2:4" ht="13">
      <c r="B21542" s="12" t="str">
        <f ca="1">IFERROR(__xludf.DUMMYFUNCTION("""COMPUTED_VALUE"""),"")</f>
        <v/>
      </c>
      <c r="C21542" s="12" t="str">
        <f ca="1">IFERROR(__xludf.DUMMYFUNCTION("""COMPUTED_VALUE"""),"")</f>
        <v/>
      </c>
      <c r="D21542" s="12" t="str">
        <f ca="1">IFERROR(__xludf.DUMMYFUNCTION("""COMPUTED_VALUE"""),"")</f>
        <v/>
      </c>
    </row>
    <row r="21543" spans="2:4" ht="13">
      <c r="B21543" s="12" t="str">
        <f ca="1">IFERROR(__xludf.DUMMYFUNCTION("""COMPUTED_VALUE"""),"")</f>
        <v/>
      </c>
      <c r="C21543" s="12" t="str">
        <f ca="1">IFERROR(__xludf.DUMMYFUNCTION("""COMPUTED_VALUE"""),"")</f>
        <v/>
      </c>
      <c r="D21543" s="12" t="str">
        <f ca="1">IFERROR(__xludf.DUMMYFUNCTION("""COMPUTED_VALUE"""),"")</f>
        <v/>
      </c>
    </row>
    <row r="21544" spans="2:4" ht="13">
      <c r="B21544" s="12" t="str">
        <f ca="1">IFERROR(__xludf.DUMMYFUNCTION("""COMPUTED_VALUE"""),"")</f>
        <v/>
      </c>
      <c r="C21544" s="12" t="str">
        <f ca="1">IFERROR(__xludf.DUMMYFUNCTION("""COMPUTED_VALUE"""),"")</f>
        <v/>
      </c>
      <c r="D21544" s="12" t="str">
        <f ca="1">IFERROR(__xludf.DUMMYFUNCTION("""COMPUTED_VALUE"""),"")</f>
        <v/>
      </c>
    </row>
    <row r="21545" spans="2:4" ht="13">
      <c r="B21545" s="12" t="str">
        <f ca="1">IFERROR(__xludf.DUMMYFUNCTION("""COMPUTED_VALUE"""),"")</f>
        <v/>
      </c>
      <c r="C21545" s="12" t="str">
        <f ca="1">IFERROR(__xludf.DUMMYFUNCTION("""COMPUTED_VALUE"""),"")</f>
        <v/>
      </c>
      <c r="D21545" s="12" t="str">
        <f ca="1">IFERROR(__xludf.DUMMYFUNCTION("""COMPUTED_VALUE"""),"")</f>
        <v/>
      </c>
    </row>
    <row r="21546" spans="2:4" ht="13">
      <c r="B21546" s="12" t="str">
        <f ca="1">IFERROR(__xludf.DUMMYFUNCTION("""COMPUTED_VALUE"""),"")</f>
        <v/>
      </c>
      <c r="C21546" s="12" t="str">
        <f ca="1">IFERROR(__xludf.DUMMYFUNCTION("""COMPUTED_VALUE"""),"")</f>
        <v/>
      </c>
      <c r="D21546" s="12" t="str">
        <f ca="1">IFERROR(__xludf.DUMMYFUNCTION("""COMPUTED_VALUE"""),"")</f>
        <v/>
      </c>
    </row>
    <row r="21547" spans="2:4" ht="13">
      <c r="B21547" s="12" t="str">
        <f ca="1">IFERROR(__xludf.DUMMYFUNCTION("""COMPUTED_VALUE"""),"")</f>
        <v/>
      </c>
      <c r="C21547" s="12" t="str">
        <f ca="1">IFERROR(__xludf.DUMMYFUNCTION("""COMPUTED_VALUE"""),"")</f>
        <v/>
      </c>
      <c r="D21547" s="12" t="str">
        <f ca="1">IFERROR(__xludf.DUMMYFUNCTION("""COMPUTED_VALUE"""),"")</f>
        <v/>
      </c>
    </row>
    <row r="21548" spans="2:4" ht="13">
      <c r="B21548" s="12" t="str">
        <f ca="1">IFERROR(__xludf.DUMMYFUNCTION("""COMPUTED_VALUE"""),"")</f>
        <v/>
      </c>
      <c r="C21548" s="12" t="str">
        <f ca="1">IFERROR(__xludf.DUMMYFUNCTION("""COMPUTED_VALUE"""),"")</f>
        <v/>
      </c>
      <c r="D21548" s="12" t="str">
        <f ca="1">IFERROR(__xludf.DUMMYFUNCTION("""COMPUTED_VALUE"""),"")</f>
        <v/>
      </c>
    </row>
    <row r="21549" spans="2:4" ht="13">
      <c r="B21549" s="12" t="str">
        <f ca="1">IFERROR(__xludf.DUMMYFUNCTION("""COMPUTED_VALUE"""),"")</f>
        <v/>
      </c>
      <c r="C21549" s="12" t="str">
        <f ca="1">IFERROR(__xludf.DUMMYFUNCTION("""COMPUTED_VALUE"""),"")</f>
        <v/>
      </c>
      <c r="D21549" s="12" t="str">
        <f ca="1">IFERROR(__xludf.DUMMYFUNCTION("""COMPUTED_VALUE"""),"")</f>
        <v/>
      </c>
    </row>
    <row r="21550" spans="2:4" ht="13">
      <c r="B21550" s="12" t="str">
        <f ca="1">IFERROR(__xludf.DUMMYFUNCTION("""COMPUTED_VALUE"""),"")</f>
        <v/>
      </c>
      <c r="C21550" s="12" t="str">
        <f ca="1">IFERROR(__xludf.DUMMYFUNCTION("""COMPUTED_VALUE"""),"")</f>
        <v/>
      </c>
      <c r="D21550" s="12" t="str">
        <f ca="1">IFERROR(__xludf.DUMMYFUNCTION("""COMPUTED_VALUE"""),"")</f>
        <v/>
      </c>
    </row>
    <row r="21551" spans="2:4" ht="13">
      <c r="B21551" s="12" t="str">
        <f ca="1">IFERROR(__xludf.DUMMYFUNCTION("""COMPUTED_VALUE"""),"")</f>
        <v/>
      </c>
      <c r="C21551" s="12" t="str">
        <f ca="1">IFERROR(__xludf.DUMMYFUNCTION("""COMPUTED_VALUE"""),"")</f>
        <v/>
      </c>
      <c r="D21551" s="12" t="str">
        <f ca="1">IFERROR(__xludf.DUMMYFUNCTION("""COMPUTED_VALUE"""),"")</f>
        <v/>
      </c>
    </row>
    <row r="21552" spans="2:4" ht="13">
      <c r="B21552" s="12" t="str">
        <f ca="1">IFERROR(__xludf.DUMMYFUNCTION("""COMPUTED_VALUE"""),"")</f>
        <v/>
      </c>
      <c r="C21552" s="12" t="str">
        <f ca="1">IFERROR(__xludf.DUMMYFUNCTION("""COMPUTED_VALUE"""),"")</f>
        <v/>
      </c>
      <c r="D21552" s="12" t="str">
        <f ca="1">IFERROR(__xludf.DUMMYFUNCTION("""COMPUTED_VALUE"""),"")</f>
        <v/>
      </c>
    </row>
    <row r="21553" spans="2:4" ht="13">
      <c r="B21553" s="12" t="str">
        <f ca="1">IFERROR(__xludf.DUMMYFUNCTION("""COMPUTED_VALUE"""),"")</f>
        <v/>
      </c>
      <c r="C21553" s="12" t="str">
        <f ca="1">IFERROR(__xludf.DUMMYFUNCTION("""COMPUTED_VALUE"""),"")</f>
        <v/>
      </c>
      <c r="D21553" s="12" t="str">
        <f ca="1">IFERROR(__xludf.DUMMYFUNCTION("""COMPUTED_VALUE"""),"")</f>
        <v/>
      </c>
    </row>
    <row r="21554" spans="2:4" ht="13">
      <c r="B21554" s="12" t="str">
        <f ca="1">IFERROR(__xludf.DUMMYFUNCTION("""COMPUTED_VALUE"""),"")</f>
        <v/>
      </c>
      <c r="C21554" s="12" t="str">
        <f ca="1">IFERROR(__xludf.DUMMYFUNCTION("""COMPUTED_VALUE"""),"")</f>
        <v/>
      </c>
      <c r="D21554" s="12" t="str">
        <f ca="1">IFERROR(__xludf.DUMMYFUNCTION("""COMPUTED_VALUE"""),"")</f>
        <v/>
      </c>
    </row>
    <row r="21555" spans="2:4" ht="13">
      <c r="B21555" s="12" t="str">
        <f ca="1">IFERROR(__xludf.DUMMYFUNCTION("""COMPUTED_VALUE"""),"")</f>
        <v/>
      </c>
      <c r="C21555" s="12" t="str">
        <f ca="1">IFERROR(__xludf.DUMMYFUNCTION("""COMPUTED_VALUE"""),"")</f>
        <v/>
      </c>
      <c r="D21555" s="12" t="str">
        <f ca="1">IFERROR(__xludf.DUMMYFUNCTION("""COMPUTED_VALUE"""),"")</f>
        <v/>
      </c>
    </row>
    <row r="21556" spans="2:4" ht="13">
      <c r="B21556" s="12" t="str">
        <f ca="1">IFERROR(__xludf.DUMMYFUNCTION("""COMPUTED_VALUE"""),"")</f>
        <v/>
      </c>
      <c r="C21556" s="12" t="str">
        <f ca="1">IFERROR(__xludf.DUMMYFUNCTION("""COMPUTED_VALUE"""),"")</f>
        <v/>
      </c>
      <c r="D21556" s="12" t="str">
        <f ca="1">IFERROR(__xludf.DUMMYFUNCTION("""COMPUTED_VALUE"""),"")</f>
        <v/>
      </c>
    </row>
    <row r="21557" spans="2:4" ht="13">
      <c r="B21557" s="12" t="str">
        <f ca="1">IFERROR(__xludf.DUMMYFUNCTION("""COMPUTED_VALUE"""),"")</f>
        <v/>
      </c>
      <c r="C21557" s="12" t="str">
        <f ca="1">IFERROR(__xludf.DUMMYFUNCTION("""COMPUTED_VALUE"""),"")</f>
        <v/>
      </c>
      <c r="D21557" s="12" t="str">
        <f ca="1">IFERROR(__xludf.DUMMYFUNCTION("""COMPUTED_VALUE"""),"")</f>
        <v/>
      </c>
    </row>
    <row r="21558" spans="2:4" ht="13">
      <c r="B21558" s="12" t="str">
        <f ca="1">IFERROR(__xludf.DUMMYFUNCTION("""COMPUTED_VALUE"""),"")</f>
        <v/>
      </c>
      <c r="C21558" s="12" t="str">
        <f ca="1">IFERROR(__xludf.DUMMYFUNCTION("""COMPUTED_VALUE"""),"")</f>
        <v/>
      </c>
      <c r="D21558" s="12" t="str">
        <f ca="1">IFERROR(__xludf.DUMMYFUNCTION("""COMPUTED_VALUE"""),"")</f>
        <v/>
      </c>
    </row>
    <row r="21559" spans="2:4" ht="13">
      <c r="B21559" s="12" t="str">
        <f ca="1">IFERROR(__xludf.DUMMYFUNCTION("""COMPUTED_VALUE"""),"")</f>
        <v/>
      </c>
      <c r="C21559" s="12" t="str">
        <f ca="1">IFERROR(__xludf.DUMMYFUNCTION("""COMPUTED_VALUE"""),"")</f>
        <v/>
      </c>
      <c r="D21559" s="12" t="str">
        <f ca="1">IFERROR(__xludf.DUMMYFUNCTION("""COMPUTED_VALUE"""),"")</f>
        <v/>
      </c>
    </row>
    <row r="21560" spans="2:4" ht="13">
      <c r="B21560" s="12" t="str">
        <f ca="1">IFERROR(__xludf.DUMMYFUNCTION("""COMPUTED_VALUE"""),"")</f>
        <v/>
      </c>
      <c r="C21560" s="12" t="str">
        <f ca="1">IFERROR(__xludf.DUMMYFUNCTION("""COMPUTED_VALUE"""),"")</f>
        <v/>
      </c>
      <c r="D21560" s="12" t="str">
        <f ca="1">IFERROR(__xludf.DUMMYFUNCTION("""COMPUTED_VALUE"""),"")</f>
        <v/>
      </c>
    </row>
    <row r="21561" spans="2:4" ht="13">
      <c r="B21561" s="12" t="str">
        <f ca="1">IFERROR(__xludf.DUMMYFUNCTION("""COMPUTED_VALUE"""),"")</f>
        <v/>
      </c>
      <c r="C21561" s="12" t="str">
        <f ca="1">IFERROR(__xludf.DUMMYFUNCTION("""COMPUTED_VALUE"""),"")</f>
        <v/>
      </c>
      <c r="D21561" s="12" t="str">
        <f ca="1">IFERROR(__xludf.DUMMYFUNCTION("""COMPUTED_VALUE"""),"")</f>
        <v/>
      </c>
    </row>
    <row r="21562" spans="2:4" ht="13">
      <c r="B21562" s="12" t="str">
        <f ca="1">IFERROR(__xludf.DUMMYFUNCTION("""COMPUTED_VALUE"""),"")</f>
        <v/>
      </c>
      <c r="C21562" s="12" t="str">
        <f ca="1">IFERROR(__xludf.DUMMYFUNCTION("""COMPUTED_VALUE"""),"")</f>
        <v/>
      </c>
      <c r="D21562" s="12" t="str">
        <f ca="1">IFERROR(__xludf.DUMMYFUNCTION("""COMPUTED_VALUE"""),"")</f>
        <v/>
      </c>
    </row>
    <row r="21563" spans="2:4" ht="13">
      <c r="B21563" s="12" t="str">
        <f ca="1">IFERROR(__xludf.DUMMYFUNCTION("""COMPUTED_VALUE"""),"")</f>
        <v/>
      </c>
      <c r="C21563" s="12" t="str">
        <f ca="1">IFERROR(__xludf.DUMMYFUNCTION("""COMPUTED_VALUE"""),"")</f>
        <v/>
      </c>
      <c r="D21563" s="12" t="str">
        <f ca="1">IFERROR(__xludf.DUMMYFUNCTION("""COMPUTED_VALUE"""),"")</f>
        <v/>
      </c>
    </row>
    <row r="21564" spans="2:4" ht="13">
      <c r="B21564" s="12" t="str">
        <f ca="1">IFERROR(__xludf.DUMMYFUNCTION("""COMPUTED_VALUE"""),"")</f>
        <v/>
      </c>
      <c r="C21564" s="12" t="str">
        <f ca="1">IFERROR(__xludf.DUMMYFUNCTION("""COMPUTED_VALUE"""),"")</f>
        <v/>
      </c>
      <c r="D21564" s="12" t="str">
        <f ca="1">IFERROR(__xludf.DUMMYFUNCTION("""COMPUTED_VALUE"""),"")</f>
        <v/>
      </c>
    </row>
    <row r="21565" spans="2:4" ht="13">
      <c r="B21565" s="12" t="str">
        <f ca="1">IFERROR(__xludf.DUMMYFUNCTION("""COMPUTED_VALUE"""),"")</f>
        <v/>
      </c>
      <c r="C21565" s="12" t="str">
        <f ca="1">IFERROR(__xludf.DUMMYFUNCTION("""COMPUTED_VALUE"""),"")</f>
        <v/>
      </c>
      <c r="D21565" s="12" t="str">
        <f ca="1">IFERROR(__xludf.DUMMYFUNCTION("""COMPUTED_VALUE"""),"")</f>
        <v/>
      </c>
    </row>
    <row r="21566" spans="2:4" ht="13">
      <c r="B21566" s="12" t="str">
        <f ca="1">IFERROR(__xludf.DUMMYFUNCTION("""COMPUTED_VALUE"""),"")</f>
        <v/>
      </c>
      <c r="C21566" s="12" t="str">
        <f ca="1">IFERROR(__xludf.DUMMYFUNCTION("""COMPUTED_VALUE"""),"")</f>
        <v/>
      </c>
      <c r="D21566" s="12" t="str">
        <f ca="1">IFERROR(__xludf.DUMMYFUNCTION("""COMPUTED_VALUE"""),"")</f>
        <v/>
      </c>
    </row>
    <row r="21567" spans="2:4" ht="13">
      <c r="B21567" s="12" t="str">
        <f ca="1">IFERROR(__xludf.DUMMYFUNCTION("""COMPUTED_VALUE"""),"")</f>
        <v/>
      </c>
      <c r="C21567" s="12" t="str">
        <f ca="1">IFERROR(__xludf.DUMMYFUNCTION("""COMPUTED_VALUE"""),"")</f>
        <v/>
      </c>
      <c r="D21567" s="12" t="str">
        <f ca="1">IFERROR(__xludf.DUMMYFUNCTION("""COMPUTED_VALUE"""),"")</f>
        <v/>
      </c>
    </row>
    <row r="21568" spans="2:4" ht="13">
      <c r="B21568" s="12" t="str">
        <f ca="1">IFERROR(__xludf.DUMMYFUNCTION("""COMPUTED_VALUE"""),"")</f>
        <v/>
      </c>
      <c r="C21568" s="12" t="str">
        <f ca="1">IFERROR(__xludf.DUMMYFUNCTION("""COMPUTED_VALUE"""),"")</f>
        <v/>
      </c>
      <c r="D21568" s="12" t="str">
        <f ca="1">IFERROR(__xludf.DUMMYFUNCTION("""COMPUTED_VALUE"""),"")</f>
        <v/>
      </c>
    </row>
    <row r="21569" spans="2:4" ht="13">
      <c r="B21569" s="12" t="str">
        <f ca="1">IFERROR(__xludf.DUMMYFUNCTION("""COMPUTED_VALUE"""),"")</f>
        <v/>
      </c>
      <c r="C21569" s="12" t="str">
        <f ca="1">IFERROR(__xludf.DUMMYFUNCTION("""COMPUTED_VALUE"""),"")</f>
        <v/>
      </c>
      <c r="D21569" s="12" t="str">
        <f ca="1">IFERROR(__xludf.DUMMYFUNCTION("""COMPUTED_VALUE"""),"")</f>
        <v/>
      </c>
    </row>
    <row r="21570" spans="2:4" ht="13">
      <c r="B21570" s="12" t="str">
        <f ca="1">IFERROR(__xludf.DUMMYFUNCTION("""COMPUTED_VALUE"""),"")</f>
        <v/>
      </c>
      <c r="C21570" s="12" t="str">
        <f ca="1">IFERROR(__xludf.DUMMYFUNCTION("""COMPUTED_VALUE"""),"")</f>
        <v/>
      </c>
      <c r="D21570" s="12" t="str">
        <f ca="1">IFERROR(__xludf.DUMMYFUNCTION("""COMPUTED_VALUE"""),"")</f>
        <v/>
      </c>
    </row>
    <row r="21571" spans="2:4" ht="13">
      <c r="B21571" s="12" t="str">
        <f ca="1">IFERROR(__xludf.DUMMYFUNCTION("""COMPUTED_VALUE"""),"")</f>
        <v/>
      </c>
      <c r="C21571" s="12" t="str">
        <f ca="1">IFERROR(__xludf.DUMMYFUNCTION("""COMPUTED_VALUE"""),"")</f>
        <v/>
      </c>
      <c r="D21571" s="12" t="str">
        <f ca="1">IFERROR(__xludf.DUMMYFUNCTION("""COMPUTED_VALUE"""),"")</f>
        <v/>
      </c>
    </row>
    <row r="21572" spans="2:4" ht="13">
      <c r="B21572" s="12" t="str">
        <f ca="1">IFERROR(__xludf.DUMMYFUNCTION("""COMPUTED_VALUE"""),"")</f>
        <v/>
      </c>
      <c r="C21572" s="12" t="str">
        <f ca="1">IFERROR(__xludf.DUMMYFUNCTION("""COMPUTED_VALUE"""),"")</f>
        <v/>
      </c>
      <c r="D21572" s="12" t="str">
        <f ca="1">IFERROR(__xludf.DUMMYFUNCTION("""COMPUTED_VALUE"""),"")</f>
        <v/>
      </c>
    </row>
    <row r="21573" spans="2:4" ht="13">
      <c r="B21573" s="12" t="str">
        <f ca="1">IFERROR(__xludf.DUMMYFUNCTION("""COMPUTED_VALUE"""),"")</f>
        <v/>
      </c>
      <c r="C21573" s="12" t="str">
        <f ca="1">IFERROR(__xludf.DUMMYFUNCTION("""COMPUTED_VALUE"""),"")</f>
        <v/>
      </c>
      <c r="D21573" s="12" t="str">
        <f ca="1">IFERROR(__xludf.DUMMYFUNCTION("""COMPUTED_VALUE"""),"")</f>
        <v/>
      </c>
    </row>
    <row r="21574" spans="2:4" ht="13">
      <c r="B21574" s="12" t="str">
        <f ca="1">IFERROR(__xludf.DUMMYFUNCTION("""COMPUTED_VALUE"""),"")</f>
        <v/>
      </c>
      <c r="C21574" s="12" t="str">
        <f ca="1">IFERROR(__xludf.DUMMYFUNCTION("""COMPUTED_VALUE"""),"")</f>
        <v/>
      </c>
      <c r="D21574" s="12" t="str">
        <f ca="1">IFERROR(__xludf.DUMMYFUNCTION("""COMPUTED_VALUE"""),"")</f>
        <v/>
      </c>
    </row>
    <row r="21575" spans="2:4" ht="13">
      <c r="B21575" s="12" t="str">
        <f ca="1">IFERROR(__xludf.DUMMYFUNCTION("""COMPUTED_VALUE"""),"")</f>
        <v/>
      </c>
      <c r="C21575" s="12" t="str">
        <f ca="1">IFERROR(__xludf.DUMMYFUNCTION("""COMPUTED_VALUE"""),"")</f>
        <v/>
      </c>
      <c r="D21575" s="12" t="str">
        <f ca="1">IFERROR(__xludf.DUMMYFUNCTION("""COMPUTED_VALUE"""),"")</f>
        <v/>
      </c>
    </row>
    <row r="21576" spans="2:4" ht="13">
      <c r="B21576" s="12" t="str">
        <f ca="1">IFERROR(__xludf.DUMMYFUNCTION("""COMPUTED_VALUE"""),"")</f>
        <v/>
      </c>
      <c r="C21576" s="12" t="str">
        <f ca="1">IFERROR(__xludf.DUMMYFUNCTION("""COMPUTED_VALUE"""),"")</f>
        <v/>
      </c>
      <c r="D21576" s="12" t="str">
        <f ca="1">IFERROR(__xludf.DUMMYFUNCTION("""COMPUTED_VALUE"""),"")</f>
        <v/>
      </c>
    </row>
    <row r="21577" spans="2:4" ht="13">
      <c r="B21577" s="12" t="str">
        <f ca="1">IFERROR(__xludf.DUMMYFUNCTION("""COMPUTED_VALUE"""),"")</f>
        <v/>
      </c>
      <c r="C21577" s="12" t="str">
        <f ca="1">IFERROR(__xludf.DUMMYFUNCTION("""COMPUTED_VALUE"""),"")</f>
        <v/>
      </c>
      <c r="D21577" s="12" t="str">
        <f ca="1">IFERROR(__xludf.DUMMYFUNCTION("""COMPUTED_VALUE"""),"")</f>
        <v/>
      </c>
    </row>
    <row r="21578" spans="2:4" ht="13">
      <c r="B21578" s="12" t="str">
        <f ca="1">IFERROR(__xludf.DUMMYFUNCTION("""COMPUTED_VALUE"""),"")</f>
        <v/>
      </c>
      <c r="C21578" s="12" t="str">
        <f ca="1">IFERROR(__xludf.DUMMYFUNCTION("""COMPUTED_VALUE"""),"")</f>
        <v/>
      </c>
      <c r="D21578" s="12" t="str">
        <f ca="1">IFERROR(__xludf.DUMMYFUNCTION("""COMPUTED_VALUE"""),"")</f>
        <v/>
      </c>
    </row>
    <row r="21579" spans="2:4" ht="13">
      <c r="B21579" s="12" t="str">
        <f ca="1">IFERROR(__xludf.DUMMYFUNCTION("""COMPUTED_VALUE"""),"")</f>
        <v/>
      </c>
      <c r="C21579" s="12" t="str">
        <f ca="1">IFERROR(__xludf.DUMMYFUNCTION("""COMPUTED_VALUE"""),"")</f>
        <v/>
      </c>
      <c r="D21579" s="12" t="str">
        <f ca="1">IFERROR(__xludf.DUMMYFUNCTION("""COMPUTED_VALUE"""),"")</f>
        <v/>
      </c>
    </row>
    <row r="21580" spans="2:4" ht="13">
      <c r="B21580" s="12" t="str">
        <f ca="1">IFERROR(__xludf.DUMMYFUNCTION("""COMPUTED_VALUE"""),"")</f>
        <v/>
      </c>
      <c r="C21580" s="12" t="str">
        <f ca="1">IFERROR(__xludf.DUMMYFUNCTION("""COMPUTED_VALUE"""),"")</f>
        <v/>
      </c>
      <c r="D21580" s="12" t="str">
        <f ca="1">IFERROR(__xludf.DUMMYFUNCTION("""COMPUTED_VALUE"""),"")</f>
        <v/>
      </c>
    </row>
    <row r="21581" spans="2:4" ht="13">
      <c r="B21581" s="12" t="str">
        <f ca="1">IFERROR(__xludf.DUMMYFUNCTION("""COMPUTED_VALUE"""),"")</f>
        <v/>
      </c>
      <c r="C21581" s="12" t="str">
        <f ca="1">IFERROR(__xludf.DUMMYFUNCTION("""COMPUTED_VALUE"""),"")</f>
        <v/>
      </c>
      <c r="D21581" s="12" t="str">
        <f ca="1">IFERROR(__xludf.DUMMYFUNCTION("""COMPUTED_VALUE"""),"")</f>
        <v/>
      </c>
    </row>
    <row r="21582" spans="2:4" ht="13">
      <c r="B21582" s="12" t="str">
        <f ca="1">IFERROR(__xludf.DUMMYFUNCTION("""COMPUTED_VALUE"""),"")</f>
        <v/>
      </c>
      <c r="C21582" s="12" t="str">
        <f ca="1">IFERROR(__xludf.DUMMYFUNCTION("""COMPUTED_VALUE"""),"")</f>
        <v/>
      </c>
      <c r="D21582" s="12" t="str">
        <f ca="1">IFERROR(__xludf.DUMMYFUNCTION("""COMPUTED_VALUE"""),"")</f>
        <v/>
      </c>
    </row>
    <row r="21583" spans="2:4" ht="13">
      <c r="B21583" s="12" t="str">
        <f ca="1">IFERROR(__xludf.DUMMYFUNCTION("""COMPUTED_VALUE"""),"")</f>
        <v/>
      </c>
      <c r="C21583" s="12" t="str">
        <f ca="1">IFERROR(__xludf.DUMMYFUNCTION("""COMPUTED_VALUE"""),"")</f>
        <v/>
      </c>
      <c r="D21583" s="12" t="str">
        <f ca="1">IFERROR(__xludf.DUMMYFUNCTION("""COMPUTED_VALUE"""),"")</f>
        <v/>
      </c>
    </row>
    <row r="21584" spans="2:4" ht="13">
      <c r="B21584" s="12" t="str">
        <f ca="1">IFERROR(__xludf.DUMMYFUNCTION("""COMPUTED_VALUE"""),"")</f>
        <v/>
      </c>
      <c r="C21584" s="12" t="str">
        <f ca="1">IFERROR(__xludf.DUMMYFUNCTION("""COMPUTED_VALUE"""),"")</f>
        <v/>
      </c>
      <c r="D21584" s="12" t="str">
        <f ca="1">IFERROR(__xludf.DUMMYFUNCTION("""COMPUTED_VALUE"""),"")</f>
        <v/>
      </c>
    </row>
    <row r="21585" spans="2:4" ht="13">
      <c r="B21585" s="12" t="str">
        <f ca="1">IFERROR(__xludf.DUMMYFUNCTION("""COMPUTED_VALUE"""),"")</f>
        <v/>
      </c>
      <c r="C21585" s="12" t="str">
        <f ca="1">IFERROR(__xludf.DUMMYFUNCTION("""COMPUTED_VALUE"""),"")</f>
        <v/>
      </c>
      <c r="D21585" s="12" t="str">
        <f ca="1">IFERROR(__xludf.DUMMYFUNCTION("""COMPUTED_VALUE"""),"")</f>
        <v/>
      </c>
    </row>
    <row r="21586" spans="2:4" ht="13">
      <c r="B21586" s="12" t="str">
        <f ca="1">IFERROR(__xludf.DUMMYFUNCTION("""COMPUTED_VALUE"""),"")</f>
        <v/>
      </c>
      <c r="C21586" s="12" t="str">
        <f ca="1">IFERROR(__xludf.DUMMYFUNCTION("""COMPUTED_VALUE"""),"")</f>
        <v/>
      </c>
      <c r="D21586" s="12" t="str">
        <f ca="1">IFERROR(__xludf.DUMMYFUNCTION("""COMPUTED_VALUE"""),"")</f>
        <v/>
      </c>
    </row>
    <row r="21587" spans="2:4" ht="13">
      <c r="B21587" s="12" t="str">
        <f ca="1">IFERROR(__xludf.DUMMYFUNCTION("""COMPUTED_VALUE"""),"")</f>
        <v/>
      </c>
      <c r="C21587" s="12" t="str">
        <f ca="1">IFERROR(__xludf.DUMMYFUNCTION("""COMPUTED_VALUE"""),"")</f>
        <v/>
      </c>
      <c r="D21587" s="12" t="str">
        <f ca="1">IFERROR(__xludf.DUMMYFUNCTION("""COMPUTED_VALUE"""),"")</f>
        <v/>
      </c>
    </row>
    <row r="21588" spans="2:4" ht="13">
      <c r="B21588" s="12" t="str">
        <f ca="1">IFERROR(__xludf.DUMMYFUNCTION("""COMPUTED_VALUE"""),"")</f>
        <v/>
      </c>
      <c r="C21588" s="12" t="str">
        <f ca="1">IFERROR(__xludf.DUMMYFUNCTION("""COMPUTED_VALUE"""),"")</f>
        <v/>
      </c>
      <c r="D21588" s="12" t="str">
        <f ca="1">IFERROR(__xludf.DUMMYFUNCTION("""COMPUTED_VALUE"""),"")</f>
        <v/>
      </c>
    </row>
    <row r="21589" spans="2:4" ht="13">
      <c r="B21589" s="12" t="str">
        <f ca="1">IFERROR(__xludf.DUMMYFUNCTION("""COMPUTED_VALUE"""),"")</f>
        <v/>
      </c>
      <c r="C21589" s="12" t="str">
        <f ca="1">IFERROR(__xludf.DUMMYFUNCTION("""COMPUTED_VALUE"""),"")</f>
        <v/>
      </c>
      <c r="D21589" s="12" t="str">
        <f ca="1">IFERROR(__xludf.DUMMYFUNCTION("""COMPUTED_VALUE"""),"")</f>
        <v/>
      </c>
    </row>
    <row r="21590" spans="2:4" ht="13">
      <c r="B21590" s="12" t="str">
        <f ca="1">IFERROR(__xludf.DUMMYFUNCTION("""COMPUTED_VALUE"""),"")</f>
        <v/>
      </c>
      <c r="C21590" s="12" t="str">
        <f ca="1">IFERROR(__xludf.DUMMYFUNCTION("""COMPUTED_VALUE"""),"")</f>
        <v/>
      </c>
      <c r="D21590" s="12" t="str">
        <f ca="1">IFERROR(__xludf.DUMMYFUNCTION("""COMPUTED_VALUE"""),"")</f>
        <v/>
      </c>
    </row>
    <row r="21591" spans="2:4" ht="13">
      <c r="B21591" s="12" t="str">
        <f ca="1">IFERROR(__xludf.DUMMYFUNCTION("""COMPUTED_VALUE"""),"")</f>
        <v/>
      </c>
      <c r="C21591" s="12" t="str">
        <f ca="1">IFERROR(__xludf.DUMMYFUNCTION("""COMPUTED_VALUE"""),"")</f>
        <v/>
      </c>
      <c r="D21591" s="12" t="str">
        <f ca="1">IFERROR(__xludf.DUMMYFUNCTION("""COMPUTED_VALUE"""),"")</f>
        <v/>
      </c>
    </row>
    <row r="21592" spans="2:4" ht="13">
      <c r="B21592" s="12" t="str">
        <f ca="1">IFERROR(__xludf.DUMMYFUNCTION("""COMPUTED_VALUE"""),"")</f>
        <v/>
      </c>
      <c r="C21592" s="12" t="str">
        <f ca="1">IFERROR(__xludf.DUMMYFUNCTION("""COMPUTED_VALUE"""),"")</f>
        <v/>
      </c>
      <c r="D21592" s="12" t="str">
        <f ca="1">IFERROR(__xludf.DUMMYFUNCTION("""COMPUTED_VALUE"""),"")</f>
        <v/>
      </c>
    </row>
    <row r="21593" spans="2:4" ht="13">
      <c r="B21593" s="12" t="str">
        <f ca="1">IFERROR(__xludf.DUMMYFUNCTION("""COMPUTED_VALUE"""),"")</f>
        <v/>
      </c>
      <c r="C21593" s="12" t="str">
        <f ca="1">IFERROR(__xludf.DUMMYFUNCTION("""COMPUTED_VALUE"""),"")</f>
        <v/>
      </c>
      <c r="D21593" s="12" t="str">
        <f ca="1">IFERROR(__xludf.DUMMYFUNCTION("""COMPUTED_VALUE"""),"")</f>
        <v/>
      </c>
    </row>
    <row r="21594" spans="2:4" ht="13">
      <c r="B21594" s="12" t="str">
        <f ca="1">IFERROR(__xludf.DUMMYFUNCTION("""COMPUTED_VALUE"""),"")</f>
        <v/>
      </c>
      <c r="C21594" s="12" t="str">
        <f ca="1">IFERROR(__xludf.DUMMYFUNCTION("""COMPUTED_VALUE"""),"")</f>
        <v/>
      </c>
      <c r="D21594" s="12" t="str">
        <f ca="1">IFERROR(__xludf.DUMMYFUNCTION("""COMPUTED_VALUE"""),"")</f>
        <v/>
      </c>
    </row>
    <row r="21595" spans="2:4" ht="13">
      <c r="B21595" s="12" t="str">
        <f ca="1">IFERROR(__xludf.DUMMYFUNCTION("""COMPUTED_VALUE"""),"")</f>
        <v/>
      </c>
      <c r="C21595" s="12" t="str">
        <f ca="1">IFERROR(__xludf.DUMMYFUNCTION("""COMPUTED_VALUE"""),"")</f>
        <v/>
      </c>
      <c r="D21595" s="12" t="str">
        <f ca="1">IFERROR(__xludf.DUMMYFUNCTION("""COMPUTED_VALUE"""),"")</f>
        <v/>
      </c>
    </row>
    <row r="21596" spans="2:4" ht="13">
      <c r="B21596" s="12" t="str">
        <f ca="1">IFERROR(__xludf.DUMMYFUNCTION("""COMPUTED_VALUE"""),"")</f>
        <v/>
      </c>
      <c r="C21596" s="12" t="str">
        <f ca="1">IFERROR(__xludf.DUMMYFUNCTION("""COMPUTED_VALUE"""),"")</f>
        <v/>
      </c>
      <c r="D21596" s="12" t="str">
        <f ca="1">IFERROR(__xludf.DUMMYFUNCTION("""COMPUTED_VALUE"""),"")</f>
        <v/>
      </c>
    </row>
    <row r="21597" spans="2:4" ht="13">
      <c r="B21597" s="12" t="str">
        <f ca="1">IFERROR(__xludf.DUMMYFUNCTION("""COMPUTED_VALUE"""),"")</f>
        <v/>
      </c>
      <c r="C21597" s="12" t="str">
        <f ca="1">IFERROR(__xludf.DUMMYFUNCTION("""COMPUTED_VALUE"""),"")</f>
        <v/>
      </c>
      <c r="D21597" s="12" t="str">
        <f ca="1">IFERROR(__xludf.DUMMYFUNCTION("""COMPUTED_VALUE"""),"")</f>
        <v/>
      </c>
    </row>
    <row r="21598" spans="2:4" ht="13">
      <c r="B21598" s="12" t="str">
        <f ca="1">IFERROR(__xludf.DUMMYFUNCTION("""COMPUTED_VALUE"""),"")</f>
        <v/>
      </c>
      <c r="C21598" s="12" t="str">
        <f ca="1">IFERROR(__xludf.DUMMYFUNCTION("""COMPUTED_VALUE"""),"")</f>
        <v/>
      </c>
      <c r="D21598" s="12" t="str">
        <f ca="1">IFERROR(__xludf.DUMMYFUNCTION("""COMPUTED_VALUE"""),"")</f>
        <v/>
      </c>
    </row>
    <row r="21599" spans="2:4" ht="13">
      <c r="B21599" s="12" t="str">
        <f ca="1">IFERROR(__xludf.DUMMYFUNCTION("""COMPUTED_VALUE"""),"")</f>
        <v/>
      </c>
      <c r="C21599" s="12" t="str">
        <f ca="1">IFERROR(__xludf.DUMMYFUNCTION("""COMPUTED_VALUE"""),"")</f>
        <v/>
      </c>
      <c r="D21599" s="12" t="str">
        <f ca="1">IFERROR(__xludf.DUMMYFUNCTION("""COMPUTED_VALUE"""),"")</f>
        <v/>
      </c>
    </row>
    <row r="21600" spans="2:4" ht="13">
      <c r="B21600" s="12" t="str">
        <f ca="1">IFERROR(__xludf.DUMMYFUNCTION("""COMPUTED_VALUE"""),"")</f>
        <v/>
      </c>
      <c r="C21600" s="12" t="str">
        <f ca="1">IFERROR(__xludf.DUMMYFUNCTION("""COMPUTED_VALUE"""),"")</f>
        <v/>
      </c>
      <c r="D21600" s="12" t="str">
        <f ca="1">IFERROR(__xludf.DUMMYFUNCTION("""COMPUTED_VALUE"""),"")</f>
        <v/>
      </c>
    </row>
    <row r="21601" spans="2:4" ht="13">
      <c r="B21601" s="12" t="str">
        <f ca="1">IFERROR(__xludf.DUMMYFUNCTION("""COMPUTED_VALUE"""),"")</f>
        <v/>
      </c>
      <c r="C21601" s="12" t="str">
        <f ca="1">IFERROR(__xludf.DUMMYFUNCTION("""COMPUTED_VALUE"""),"")</f>
        <v/>
      </c>
      <c r="D21601" s="12" t="str">
        <f ca="1">IFERROR(__xludf.DUMMYFUNCTION("""COMPUTED_VALUE"""),"")</f>
        <v/>
      </c>
    </row>
    <row r="21602" spans="2:4" ht="13">
      <c r="B21602" s="12" t="str">
        <f ca="1">IFERROR(__xludf.DUMMYFUNCTION("""COMPUTED_VALUE"""),"")</f>
        <v/>
      </c>
      <c r="C21602" s="12" t="str">
        <f ca="1">IFERROR(__xludf.DUMMYFUNCTION("""COMPUTED_VALUE"""),"")</f>
        <v/>
      </c>
      <c r="D21602" s="12" t="str">
        <f ca="1">IFERROR(__xludf.DUMMYFUNCTION("""COMPUTED_VALUE"""),"")</f>
        <v/>
      </c>
    </row>
    <row r="21603" spans="2:4" ht="13">
      <c r="B21603" s="12" t="str">
        <f ca="1">IFERROR(__xludf.DUMMYFUNCTION("""COMPUTED_VALUE"""),"")</f>
        <v/>
      </c>
      <c r="C21603" s="12" t="str">
        <f ca="1">IFERROR(__xludf.DUMMYFUNCTION("""COMPUTED_VALUE"""),"")</f>
        <v/>
      </c>
      <c r="D21603" s="12" t="str">
        <f ca="1">IFERROR(__xludf.DUMMYFUNCTION("""COMPUTED_VALUE"""),"")</f>
        <v/>
      </c>
    </row>
    <row r="21604" spans="2:4" ht="13">
      <c r="B21604" s="12" t="str">
        <f ca="1">IFERROR(__xludf.DUMMYFUNCTION("""COMPUTED_VALUE"""),"")</f>
        <v/>
      </c>
      <c r="C21604" s="12" t="str">
        <f ca="1">IFERROR(__xludf.DUMMYFUNCTION("""COMPUTED_VALUE"""),"")</f>
        <v/>
      </c>
      <c r="D21604" s="12" t="str">
        <f ca="1">IFERROR(__xludf.DUMMYFUNCTION("""COMPUTED_VALUE"""),"")</f>
        <v/>
      </c>
    </row>
    <row r="21605" spans="2:4" ht="13">
      <c r="B21605" s="12" t="str">
        <f ca="1">IFERROR(__xludf.DUMMYFUNCTION("""COMPUTED_VALUE"""),"")</f>
        <v/>
      </c>
      <c r="C21605" s="12" t="str">
        <f ca="1">IFERROR(__xludf.DUMMYFUNCTION("""COMPUTED_VALUE"""),"")</f>
        <v/>
      </c>
      <c r="D21605" s="12" t="str">
        <f ca="1">IFERROR(__xludf.DUMMYFUNCTION("""COMPUTED_VALUE"""),"")</f>
        <v/>
      </c>
    </row>
    <row r="21606" spans="2:4" ht="13">
      <c r="B21606" s="12" t="str">
        <f ca="1">IFERROR(__xludf.DUMMYFUNCTION("""COMPUTED_VALUE"""),"")</f>
        <v/>
      </c>
      <c r="C21606" s="12" t="str">
        <f ca="1">IFERROR(__xludf.DUMMYFUNCTION("""COMPUTED_VALUE"""),"")</f>
        <v/>
      </c>
      <c r="D21606" s="12" t="str">
        <f ca="1">IFERROR(__xludf.DUMMYFUNCTION("""COMPUTED_VALUE"""),"")</f>
        <v/>
      </c>
    </row>
    <row r="21607" spans="2:4" ht="13">
      <c r="B21607" s="12" t="str">
        <f ca="1">IFERROR(__xludf.DUMMYFUNCTION("""COMPUTED_VALUE"""),"")</f>
        <v/>
      </c>
      <c r="C21607" s="12" t="str">
        <f ca="1">IFERROR(__xludf.DUMMYFUNCTION("""COMPUTED_VALUE"""),"")</f>
        <v/>
      </c>
      <c r="D21607" s="12" t="str">
        <f ca="1">IFERROR(__xludf.DUMMYFUNCTION("""COMPUTED_VALUE"""),"")</f>
        <v/>
      </c>
    </row>
    <row r="21608" spans="2:4" ht="13">
      <c r="B21608" s="12" t="str">
        <f ca="1">IFERROR(__xludf.DUMMYFUNCTION("""COMPUTED_VALUE"""),"")</f>
        <v/>
      </c>
      <c r="C21608" s="12" t="str">
        <f ca="1">IFERROR(__xludf.DUMMYFUNCTION("""COMPUTED_VALUE"""),"")</f>
        <v/>
      </c>
      <c r="D21608" s="12" t="str">
        <f ca="1">IFERROR(__xludf.DUMMYFUNCTION("""COMPUTED_VALUE"""),"")</f>
        <v/>
      </c>
    </row>
    <row r="21609" spans="2:4" ht="13">
      <c r="B21609" s="12" t="str">
        <f ca="1">IFERROR(__xludf.DUMMYFUNCTION("""COMPUTED_VALUE"""),"")</f>
        <v/>
      </c>
      <c r="C21609" s="12" t="str">
        <f ca="1">IFERROR(__xludf.DUMMYFUNCTION("""COMPUTED_VALUE"""),"")</f>
        <v/>
      </c>
      <c r="D21609" s="12" t="str">
        <f ca="1">IFERROR(__xludf.DUMMYFUNCTION("""COMPUTED_VALUE"""),"")</f>
        <v/>
      </c>
    </row>
    <row r="21610" spans="2:4" ht="13">
      <c r="B21610" s="12" t="str">
        <f ca="1">IFERROR(__xludf.DUMMYFUNCTION("""COMPUTED_VALUE"""),"")</f>
        <v/>
      </c>
      <c r="C21610" s="12" t="str">
        <f ca="1">IFERROR(__xludf.DUMMYFUNCTION("""COMPUTED_VALUE"""),"")</f>
        <v/>
      </c>
      <c r="D21610" s="12" t="str">
        <f ca="1">IFERROR(__xludf.DUMMYFUNCTION("""COMPUTED_VALUE"""),"")</f>
        <v/>
      </c>
    </row>
    <row r="21611" spans="2:4" ht="13">
      <c r="B21611" s="12" t="str">
        <f ca="1">IFERROR(__xludf.DUMMYFUNCTION("""COMPUTED_VALUE"""),"")</f>
        <v/>
      </c>
      <c r="C21611" s="12" t="str">
        <f ca="1">IFERROR(__xludf.DUMMYFUNCTION("""COMPUTED_VALUE"""),"")</f>
        <v/>
      </c>
      <c r="D21611" s="12" t="str">
        <f ca="1">IFERROR(__xludf.DUMMYFUNCTION("""COMPUTED_VALUE"""),"")</f>
        <v/>
      </c>
    </row>
    <row r="21612" spans="2:4" ht="13">
      <c r="B21612" s="12" t="str">
        <f ca="1">IFERROR(__xludf.DUMMYFUNCTION("""COMPUTED_VALUE"""),"")</f>
        <v/>
      </c>
      <c r="C21612" s="12" t="str">
        <f ca="1">IFERROR(__xludf.DUMMYFUNCTION("""COMPUTED_VALUE"""),"")</f>
        <v/>
      </c>
      <c r="D21612" s="12" t="str">
        <f ca="1">IFERROR(__xludf.DUMMYFUNCTION("""COMPUTED_VALUE"""),"")</f>
        <v/>
      </c>
    </row>
    <row r="21613" spans="2:4" ht="13">
      <c r="B21613" s="12" t="str">
        <f ca="1">IFERROR(__xludf.DUMMYFUNCTION("""COMPUTED_VALUE"""),"")</f>
        <v/>
      </c>
      <c r="C21613" s="12" t="str">
        <f ca="1">IFERROR(__xludf.DUMMYFUNCTION("""COMPUTED_VALUE"""),"")</f>
        <v/>
      </c>
      <c r="D21613" s="12" t="str">
        <f ca="1">IFERROR(__xludf.DUMMYFUNCTION("""COMPUTED_VALUE"""),"")</f>
        <v/>
      </c>
    </row>
    <row r="21614" spans="2:4" ht="13">
      <c r="B21614" s="12" t="str">
        <f ca="1">IFERROR(__xludf.DUMMYFUNCTION("""COMPUTED_VALUE"""),"")</f>
        <v/>
      </c>
      <c r="C21614" s="12" t="str">
        <f ca="1">IFERROR(__xludf.DUMMYFUNCTION("""COMPUTED_VALUE"""),"")</f>
        <v/>
      </c>
      <c r="D21614" s="12" t="str">
        <f ca="1">IFERROR(__xludf.DUMMYFUNCTION("""COMPUTED_VALUE"""),"")</f>
        <v/>
      </c>
    </row>
    <row r="21615" spans="2:4" ht="13">
      <c r="B21615" s="12" t="str">
        <f ca="1">IFERROR(__xludf.DUMMYFUNCTION("""COMPUTED_VALUE"""),"")</f>
        <v/>
      </c>
      <c r="C21615" s="12" t="str">
        <f ca="1">IFERROR(__xludf.DUMMYFUNCTION("""COMPUTED_VALUE"""),"")</f>
        <v/>
      </c>
      <c r="D21615" s="12" t="str">
        <f ca="1">IFERROR(__xludf.DUMMYFUNCTION("""COMPUTED_VALUE"""),"")</f>
        <v/>
      </c>
    </row>
    <row r="21616" spans="2:4" ht="13">
      <c r="B21616" s="12" t="str">
        <f ca="1">IFERROR(__xludf.DUMMYFUNCTION("""COMPUTED_VALUE"""),"")</f>
        <v/>
      </c>
      <c r="C21616" s="12" t="str">
        <f ca="1">IFERROR(__xludf.DUMMYFUNCTION("""COMPUTED_VALUE"""),"")</f>
        <v/>
      </c>
      <c r="D21616" s="12" t="str">
        <f ca="1">IFERROR(__xludf.DUMMYFUNCTION("""COMPUTED_VALUE"""),"")</f>
        <v/>
      </c>
    </row>
    <row r="21617" spans="2:4" ht="13">
      <c r="B21617" s="12" t="str">
        <f ca="1">IFERROR(__xludf.DUMMYFUNCTION("""COMPUTED_VALUE"""),"")</f>
        <v/>
      </c>
      <c r="C21617" s="12" t="str">
        <f ca="1">IFERROR(__xludf.DUMMYFUNCTION("""COMPUTED_VALUE"""),"")</f>
        <v/>
      </c>
      <c r="D21617" s="12" t="str">
        <f ca="1">IFERROR(__xludf.DUMMYFUNCTION("""COMPUTED_VALUE"""),"")</f>
        <v/>
      </c>
    </row>
    <row r="21618" spans="2:4" ht="13">
      <c r="B21618" s="12" t="str">
        <f ca="1">IFERROR(__xludf.DUMMYFUNCTION("""COMPUTED_VALUE"""),"")</f>
        <v/>
      </c>
      <c r="C21618" s="12" t="str">
        <f ca="1">IFERROR(__xludf.DUMMYFUNCTION("""COMPUTED_VALUE"""),"")</f>
        <v/>
      </c>
      <c r="D21618" s="12" t="str">
        <f ca="1">IFERROR(__xludf.DUMMYFUNCTION("""COMPUTED_VALUE"""),"")</f>
        <v/>
      </c>
    </row>
    <row r="21619" spans="2:4" ht="13">
      <c r="B21619" s="12" t="str">
        <f ca="1">IFERROR(__xludf.DUMMYFUNCTION("""COMPUTED_VALUE"""),"")</f>
        <v/>
      </c>
      <c r="C21619" s="12" t="str">
        <f ca="1">IFERROR(__xludf.DUMMYFUNCTION("""COMPUTED_VALUE"""),"")</f>
        <v/>
      </c>
      <c r="D21619" s="12" t="str">
        <f ca="1">IFERROR(__xludf.DUMMYFUNCTION("""COMPUTED_VALUE"""),"")</f>
        <v/>
      </c>
    </row>
    <row r="21620" spans="2:4" ht="13">
      <c r="B21620" s="12" t="str">
        <f ca="1">IFERROR(__xludf.DUMMYFUNCTION("""COMPUTED_VALUE"""),"")</f>
        <v/>
      </c>
      <c r="C21620" s="12" t="str">
        <f ca="1">IFERROR(__xludf.DUMMYFUNCTION("""COMPUTED_VALUE"""),"")</f>
        <v/>
      </c>
      <c r="D21620" s="12" t="str">
        <f ca="1">IFERROR(__xludf.DUMMYFUNCTION("""COMPUTED_VALUE"""),"")</f>
        <v/>
      </c>
    </row>
    <row r="21621" spans="2:4" ht="13">
      <c r="B21621" s="12" t="str">
        <f ca="1">IFERROR(__xludf.DUMMYFUNCTION("""COMPUTED_VALUE"""),"")</f>
        <v/>
      </c>
      <c r="C21621" s="12" t="str">
        <f ca="1">IFERROR(__xludf.DUMMYFUNCTION("""COMPUTED_VALUE"""),"")</f>
        <v/>
      </c>
      <c r="D21621" s="12" t="str">
        <f ca="1">IFERROR(__xludf.DUMMYFUNCTION("""COMPUTED_VALUE"""),"")</f>
        <v/>
      </c>
    </row>
    <row r="21622" spans="2:4" ht="13">
      <c r="B21622" s="12" t="str">
        <f ca="1">IFERROR(__xludf.DUMMYFUNCTION("""COMPUTED_VALUE"""),"")</f>
        <v/>
      </c>
      <c r="C21622" s="12" t="str">
        <f ca="1">IFERROR(__xludf.DUMMYFUNCTION("""COMPUTED_VALUE"""),"")</f>
        <v/>
      </c>
      <c r="D21622" s="12" t="str">
        <f ca="1">IFERROR(__xludf.DUMMYFUNCTION("""COMPUTED_VALUE"""),"")</f>
        <v/>
      </c>
    </row>
    <row r="21623" spans="2:4" ht="13">
      <c r="B21623" s="12" t="str">
        <f ca="1">IFERROR(__xludf.DUMMYFUNCTION("""COMPUTED_VALUE"""),"")</f>
        <v/>
      </c>
      <c r="C21623" s="12" t="str">
        <f ca="1">IFERROR(__xludf.DUMMYFUNCTION("""COMPUTED_VALUE"""),"")</f>
        <v/>
      </c>
      <c r="D21623" s="12" t="str">
        <f ca="1">IFERROR(__xludf.DUMMYFUNCTION("""COMPUTED_VALUE"""),"")</f>
        <v/>
      </c>
    </row>
    <row r="21624" spans="2:4" ht="13">
      <c r="B21624" s="12" t="str">
        <f ca="1">IFERROR(__xludf.DUMMYFUNCTION("""COMPUTED_VALUE"""),"")</f>
        <v/>
      </c>
      <c r="C21624" s="12" t="str">
        <f ca="1">IFERROR(__xludf.DUMMYFUNCTION("""COMPUTED_VALUE"""),"")</f>
        <v/>
      </c>
      <c r="D21624" s="12" t="str">
        <f ca="1">IFERROR(__xludf.DUMMYFUNCTION("""COMPUTED_VALUE"""),"")</f>
        <v/>
      </c>
    </row>
    <row r="21625" spans="2:4" ht="13">
      <c r="B21625" s="12" t="str">
        <f ca="1">IFERROR(__xludf.DUMMYFUNCTION("""COMPUTED_VALUE"""),"")</f>
        <v/>
      </c>
      <c r="C21625" s="12" t="str">
        <f ca="1">IFERROR(__xludf.DUMMYFUNCTION("""COMPUTED_VALUE"""),"")</f>
        <v/>
      </c>
      <c r="D21625" s="12" t="str">
        <f ca="1">IFERROR(__xludf.DUMMYFUNCTION("""COMPUTED_VALUE"""),"")</f>
        <v/>
      </c>
    </row>
    <row r="21626" spans="2:4" ht="13">
      <c r="B21626" s="12" t="str">
        <f ca="1">IFERROR(__xludf.DUMMYFUNCTION("""COMPUTED_VALUE"""),"")</f>
        <v/>
      </c>
      <c r="C21626" s="12" t="str">
        <f ca="1">IFERROR(__xludf.DUMMYFUNCTION("""COMPUTED_VALUE"""),"")</f>
        <v/>
      </c>
      <c r="D21626" s="12" t="str">
        <f ca="1">IFERROR(__xludf.DUMMYFUNCTION("""COMPUTED_VALUE"""),"")</f>
        <v/>
      </c>
    </row>
    <row r="21627" spans="2:4" ht="13">
      <c r="B21627" s="12" t="str">
        <f ca="1">IFERROR(__xludf.DUMMYFUNCTION("""COMPUTED_VALUE"""),"")</f>
        <v/>
      </c>
      <c r="C21627" s="12" t="str">
        <f ca="1">IFERROR(__xludf.DUMMYFUNCTION("""COMPUTED_VALUE"""),"")</f>
        <v/>
      </c>
      <c r="D21627" s="12" t="str">
        <f ca="1">IFERROR(__xludf.DUMMYFUNCTION("""COMPUTED_VALUE"""),"")</f>
        <v/>
      </c>
    </row>
    <row r="21628" spans="2:4" ht="13">
      <c r="B21628" s="12" t="str">
        <f ca="1">IFERROR(__xludf.DUMMYFUNCTION("""COMPUTED_VALUE"""),"")</f>
        <v/>
      </c>
      <c r="C21628" s="12" t="str">
        <f ca="1">IFERROR(__xludf.DUMMYFUNCTION("""COMPUTED_VALUE"""),"")</f>
        <v/>
      </c>
      <c r="D21628" s="12" t="str">
        <f ca="1">IFERROR(__xludf.DUMMYFUNCTION("""COMPUTED_VALUE"""),"")</f>
        <v/>
      </c>
    </row>
    <row r="21629" spans="2:4" ht="13">
      <c r="B21629" s="12" t="str">
        <f ca="1">IFERROR(__xludf.DUMMYFUNCTION("""COMPUTED_VALUE"""),"")</f>
        <v/>
      </c>
      <c r="C21629" s="12" t="str">
        <f ca="1">IFERROR(__xludf.DUMMYFUNCTION("""COMPUTED_VALUE"""),"")</f>
        <v/>
      </c>
      <c r="D21629" s="12" t="str">
        <f ca="1">IFERROR(__xludf.DUMMYFUNCTION("""COMPUTED_VALUE"""),"")</f>
        <v/>
      </c>
    </row>
    <row r="21630" spans="2:4" ht="13">
      <c r="B21630" s="12" t="str">
        <f ca="1">IFERROR(__xludf.DUMMYFUNCTION("""COMPUTED_VALUE"""),"")</f>
        <v/>
      </c>
      <c r="C21630" s="12" t="str">
        <f ca="1">IFERROR(__xludf.DUMMYFUNCTION("""COMPUTED_VALUE"""),"")</f>
        <v/>
      </c>
      <c r="D21630" s="12" t="str">
        <f ca="1">IFERROR(__xludf.DUMMYFUNCTION("""COMPUTED_VALUE"""),"")</f>
        <v/>
      </c>
    </row>
    <row r="21631" spans="2:4" ht="13">
      <c r="B21631" s="12" t="str">
        <f ca="1">IFERROR(__xludf.DUMMYFUNCTION("""COMPUTED_VALUE"""),"")</f>
        <v/>
      </c>
      <c r="C21631" s="12" t="str">
        <f ca="1">IFERROR(__xludf.DUMMYFUNCTION("""COMPUTED_VALUE"""),"")</f>
        <v/>
      </c>
      <c r="D21631" s="12" t="str">
        <f ca="1">IFERROR(__xludf.DUMMYFUNCTION("""COMPUTED_VALUE"""),"")</f>
        <v/>
      </c>
    </row>
    <row r="21632" spans="2:4" ht="13">
      <c r="B21632" s="12" t="str">
        <f ca="1">IFERROR(__xludf.DUMMYFUNCTION("""COMPUTED_VALUE"""),"")</f>
        <v/>
      </c>
      <c r="C21632" s="12" t="str">
        <f ca="1">IFERROR(__xludf.DUMMYFUNCTION("""COMPUTED_VALUE"""),"")</f>
        <v/>
      </c>
      <c r="D21632" s="12" t="str">
        <f ca="1">IFERROR(__xludf.DUMMYFUNCTION("""COMPUTED_VALUE"""),"")</f>
        <v/>
      </c>
    </row>
    <row r="21633" spans="2:4" ht="13">
      <c r="B21633" s="12" t="str">
        <f ca="1">IFERROR(__xludf.DUMMYFUNCTION("""COMPUTED_VALUE"""),"")</f>
        <v/>
      </c>
      <c r="C21633" s="12" t="str">
        <f ca="1">IFERROR(__xludf.DUMMYFUNCTION("""COMPUTED_VALUE"""),"")</f>
        <v/>
      </c>
      <c r="D21633" s="12" t="str">
        <f ca="1">IFERROR(__xludf.DUMMYFUNCTION("""COMPUTED_VALUE"""),"")</f>
        <v/>
      </c>
    </row>
    <row r="21634" spans="2:4" ht="13">
      <c r="B21634" s="12" t="str">
        <f ca="1">IFERROR(__xludf.DUMMYFUNCTION("""COMPUTED_VALUE"""),"")</f>
        <v/>
      </c>
      <c r="C21634" s="12" t="str">
        <f ca="1">IFERROR(__xludf.DUMMYFUNCTION("""COMPUTED_VALUE"""),"")</f>
        <v/>
      </c>
      <c r="D21634" s="12" t="str">
        <f ca="1">IFERROR(__xludf.DUMMYFUNCTION("""COMPUTED_VALUE"""),"")</f>
        <v/>
      </c>
    </row>
    <row r="21635" spans="2:4" ht="13">
      <c r="B21635" s="12" t="str">
        <f ca="1">IFERROR(__xludf.DUMMYFUNCTION("""COMPUTED_VALUE"""),"")</f>
        <v/>
      </c>
      <c r="C21635" s="12" t="str">
        <f ca="1">IFERROR(__xludf.DUMMYFUNCTION("""COMPUTED_VALUE"""),"")</f>
        <v/>
      </c>
      <c r="D21635" s="12" t="str">
        <f ca="1">IFERROR(__xludf.DUMMYFUNCTION("""COMPUTED_VALUE"""),"")</f>
        <v/>
      </c>
    </row>
    <row r="21636" spans="2:4" ht="13">
      <c r="B21636" s="12" t="str">
        <f ca="1">IFERROR(__xludf.DUMMYFUNCTION("""COMPUTED_VALUE"""),"")</f>
        <v/>
      </c>
      <c r="C21636" s="12" t="str">
        <f ca="1">IFERROR(__xludf.DUMMYFUNCTION("""COMPUTED_VALUE"""),"")</f>
        <v/>
      </c>
      <c r="D21636" s="12" t="str">
        <f ca="1">IFERROR(__xludf.DUMMYFUNCTION("""COMPUTED_VALUE"""),"")</f>
        <v/>
      </c>
    </row>
    <row r="21637" spans="2:4" ht="13">
      <c r="B21637" s="12" t="str">
        <f ca="1">IFERROR(__xludf.DUMMYFUNCTION("""COMPUTED_VALUE"""),"")</f>
        <v/>
      </c>
      <c r="C21637" s="12" t="str">
        <f ca="1">IFERROR(__xludf.DUMMYFUNCTION("""COMPUTED_VALUE"""),"")</f>
        <v/>
      </c>
      <c r="D21637" s="12" t="str">
        <f ca="1">IFERROR(__xludf.DUMMYFUNCTION("""COMPUTED_VALUE"""),"")</f>
        <v/>
      </c>
    </row>
    <row r="21638" spans="2:4" ht="13">
      <c r="B21638" s="12" t="str">
        <f ca="1">IFERROR(__xludf.DUMMYFUNCTION("""COMPUTED_VALUE"""),"")</f>
        <v/>
      </c>
      <c r="C21638" s="12" t="str">
        <f ca="1">IFERROR(__xludf.DUMMYFUNCTION("""COMPUTED_VALUE"""),"")</f>
        <v/>
      </c>
      <c r="D21638" s="12" t="str">
        <f ca="1">IFERROR(__xludf.DUMMYFUNCTION("""COMPUTED_VALUE"""),"")</f>
        <v/>
      </c>
    </row>
    <row r="21639" spans="2:4" ht="13">
      <c r="B21639" s="12" t="str">
        <f ca="1">IFERROR(__xludf.DUMMYFUNCTION("""COMPUTED_VALUE"""),"")</f>
        <v/>
      </c>
      <c r="C21639" s="12" t="str">
        <f ca="1">IFERROR(__xludf.DUMMYFUNCTION("""COMPUTED_VALUE"""),"")</f>
        <v/>
      </c>
      <c r="D21639" s="12" t="str">
        <f ca="1">IFERROR(__xludf.DUMMYFUNCTION("""COMPUTED_VALUE"""),"")</f>
        <v/>
      </c>
    </row>
    <row r="21640" spans="2:4" ht="13">
      <c r="B21640" s="12" t="str">
        <f ca="1">IFERROR(__xludf.DUMMYFUNCTION("""COMPUTED_VALUE"""),"")</f>
        <v/>
      </c>
      <c r="C21640" s="12" t="str">
        <f ca="1">IFERROR(__xludf.DUMMYFUNCTION("""COMPUTED_VALUE"""),"")</f>
        <v/>
      </c>
      <c r="D21640" s="12" t="str">
        <f ca="1">IFERROR(__xludf.DUMMYFUNCTION("""COMPUTED_VALUE"""),"")</f>
        <v/>
      </c>
    </row>
    <row r="21641" spans="2:4" ht="13">
      <c r="B21641" s="12" t="str">
        <f ca="1">IFERROR(__xludf.DUMMYFUNCTION("""COMPUTED_VALUE"""),"")</f>
        <v/>
      </c>
      <c r="C21641" s="12" t="str">
        <f ca="1">IFERROR(__xludf.DUMMYFUNCTION("""COMPUTED_VALUE"""),"")</f>
        <v/>
      </c>
      <c r="D21641" s="12" t="str">
        <f ca="1">IFERROR(__xludf.DUMMYFUNCTION("""COMPUTED_VALUE"""),"")</f>
        <v/>
      </c>
    </row>
    <row r="21642" spans="2:4" ht="13">
      <c r="B21642" s="12" t="str">
        <f ca="1">IFERROR(__xludf.DUMMYFUNCTION("""COMPUTED_VALUE"""),"")</f>
        <v/>
      </c>
      <c r="C21642" s="12" t="str">
        <f ca="1">IFERROR(__xludf.DUMMYFUNCTION("""COMPUTED_VALUE"""),"")</f>
        <v/>
      </c>
      <c r="D21642" s="12" t="str">
        <f ca="1">IFERROR(__xludf.DUMMYFUNCTION("""COMPUTED_VALUE"""),"")</f>
        <v/>
      </c>
    </row>
    <row r="21643" spans="2:4" ht="13">
      <c r="B21643" s="12" t="str">
        <f ca="1">IFERROR(__xludf.DUMMYFUNCTION("""COMPUTED_VALUE"""),"")</f>
        <v/>
      </c>
      <c r="C21643" s="12" t="str">
        <f ca="1">IFERROR(__xludf.DUMMYFUNCTION("""COMPUTED_VALUE"""),"")</f>
        <v/>
      </c>
      <c r="D21643" s="12" t="str">
        <f ca="1">IFERROR(__xludf.DUMMYFUNCTION("""COMPUTED_VALUE"""),"")</f>
        <v/>
      </c>
    </row>
    <row r="21644" spans="2:4" ht="13">
      <c r="B21644" s="12" t="str">
        <f ca="1">IFERROR(__xludf.DUMMYFUNCTION("""COMPUTED_VALUE"""),"")</f>
        <v/>
      </c>
      <c r="C21644" s="12" t="str">
        <f ca="1">IFERROR(__xludf.DUMMYFUNCTION("""COMPUTED_VALUE"""),"")</f>
        <v/>
      </c>
      <c r="D21644" s="12" t="str">
        <f ca="1">IFERROR(__xludf.DUMMYFUNCTION("""COMPUTED_VALUE"""),"")</f>
        <v/>
      </c>
    </row>
    <row r="21645" spans="2:4" ht="13">
      <c r="B21645" s="12" t="str">
        <f ca="1">IFERROR(__xludf.DUMMYFUNCTION("""COMPUTED_VALUE"""),"")</f>
        <v/>
      </c>
      <c r="C21645" s="12" t="str">
        <f ca="1">IFERROR(__xludf.DUMMYFUNCTION("""COMPUTED_VALUE"""),"")</f>
        <v/>
      </c>
      <c r="D21645" s="12" t="str">
        <f ca="1">IFERROR(__xludf.DUMMYFUNCTION("""COMPUTED_VALUE"""),"")</f>
        <v/>
      </c>
    </row>
    <row r="21646" spans="2:4" ht="13">
      <c r="B21646" s="12" t="str">
        <f ca="1">IFERROR(__xludf.DUMMYFUNCTION("""COMPUTED_VALUE"""),"")</f>
        <v/>
      </c>
      <c r="C21646" s="12" t="str">
        <f ca="1">IFERROR(__xludf.DUMMYFUNCTION("""COMPUTED_VALUE"""),"")</f>
        <v/>
      </c>
      <c r="D21646" s="12" t="str">
        <f ca="1">IFERROR(__xludf.DUMMYFUNCTION("""COMPUTED_VALUE"""),"")</f>
        <v/>
      </c>
    </row>
    <row r="21647" spans="2:4" ht="13">
      <c r="B21647" s="12" t="str">
        <f ca="1">IFERROR(__xludf.DUMMYFUNCTION("""COMPUTED_VALUE"""),"")</f>
        <v/>
      </c>
      <c r="C21647" s="12" t="str">
        <f ca="1">IFERROR(__xludf.DUMMYFUNCTION("""COMPUTED_VALUE"""),"")</f>
        <v/>
      </c>
      <c r="D21647" s="12" t="str">
        <f ca="1">IFERROR(__xludf.DUMMYFUNCTION("""COMPUTED_VALUE"""),"")</f>
        <v/>
      </c>
    </row>
    <row r="21648" spans="2:4" ht="13">
      <c r="B21648" s="12" t="str">
        <f ca="1">IFERROR(__xludf.DUMMYFUNCTION("""COMPUTED_VALUE"""),"")</f>
        <v/>
      </c>
      <c r="C21648" s="12" t="str">
        <f ca="1">IFERROR(__xludf.DUMMYFUNCTION("""COMPUTED_VALUE"""),"")</f>
        <v/>
      </c>
      <c r="D21648" s="12" t="str">
        <f ca="1">IFERROR(__xludf.DUMMYFUNCTION("""COMPUTED_VALUE"""),"")</f>
        <v/>
      </c>
    </row>
    <row r="21649" spans="2:4" ht="13">
      <c r="B21649" s="12" t="str">
        <f ca="1">IFERROR(__xludf.DUMMYFUNCTION("""COMPUTED_VALUE"""),"")</f>
        <v/>
      </c>
      <c r="C21649" s="12" t="str">
        <f ca="1">IFERROR(__xludf.DUMMYFUNCTION("""COMPUTED_VALUE"""),"")</f>
        <v/>
      </c>
      <c r="D21649" s="12" t="str">
        <f ca="1">IFERROR(__xludf.DUMMYFUNCTION("""COMPUTED_VALUE"""),"")</f>
        <v/>
      </c>
    </row>
    <row r="21650" spans="2:4" ht="13">
      <c r="B21650" s="12" t="str">
        <f ca="1">IFERROR(__xludf.DUMMYFUNCTION("""COMPUTED_VALUE"""),"")</f>
        <v/>
      </c>
      <c r="C21650" s="12" t="str">
        <f ca="1">IFERROR(__xludf.DUMMYFUNCTION("""COMPUTED_VALUE"""),"")</f>
        <v/>
      </c>
      <c r="D21650" s="12" t="str">
        <f ca="1">IFERROR(__xludf.DUMMYFUNCTION("""COMPUTED_VALUE"""),"")</f>
        <v/>
      </c>
    </row>
    <row r="21651" spans="2:4" ht="13">
      <c r="B21651" s="12" t="str">
        <f ca="1">IFERROR(__xludf.DUMMYFUNCTION("""COMPUTED_VALUE"""),"")</f>
        <v/>
      </c>
      <c r="C21651" s="12" t="str">
        <f ca="1">IFERROR(__xludf.DUMMYFUNCTION("""COMPUTED_VALUE"""),"")</f>
        <v/>
      </c>
      <c r="D21651" s="12" t="str">
        <f ca="1">IFERROR(__xludf.DUMMYFUNCTION("""COMPUTED_VALUE"""),"")</f>
        <v/>
      </c>
    </row>
    <row r="21652" spans="2:4" ht="13">
      <c r="B21652" s="12" t="str">
        <f ca="1">IFERROR(__xludf.DUMMYFUNCTION("""COMPUTED_VALUE"""),"")</f>
        <v/>
      </c>
      <c r="C21652" s="12" t="str">
        <f ca="1">IFERROR(__xludf.DUMMYFUNCTION("""COMPUTED_VALUE"""),"")</f>
        <v/>
      </c>
      <c r="D21652" s="12" t="str">
        <f ca="1">IFERROR(__xludf.DUMMYFUNCTION("""COMPUTED_VALUE"""),"")</f>
        <v/>
      </c>
    </row>
    <row r="21653" spans="2:4" ht="13">
      <c r="B21653" s="12" t="str">
        <f ca="1">IFERROR(__xludf.DUMMYFUNCTION("""COMPUTED_VALUE"""),"")</f>
        <v/>
      </c>
      <c r="C21653" s="12" t="str">
        <f ca="1">IFERROR(__xludf.DUMMYFUNCTION("""COMPUTED_VALUE"""),"")</f>
        <v/>
      </c>
      <c r="D21653" s="12" t="str">
        <f ca="1">IFERROR(__xludf.DUMMYFUNCTION("""COMPUTED_VALUE"""),"")</f>
        <v/>
      </c>
    </row>
    <row r="21654" spans="2:4" ht="13">
      <c r="B21654" s="12" t="str">
        <f ca="1">IFERROR(__xludf.DUMMYFUNCTION("""COMPUTED_VALUE"""),"")</f>
        <v/>
      </c>
      <c r="C21654" s="12" t="str">
        <f ca="1">IFERROR(__xludf.DUMMYFUNCTION("""COMPUTED_VALUE"""),"")</f>
        <v/>
      </c>
      <c r="D21654" s="12" t="str">
        <f ca="1">IFERROR(__xludf.DUMMYFUNCTION("""COMPUTED_VALUE"""),"")</f>
        <v/>
      </c>
    </row>
    <row r="21655" spans="2:4" ht="13">
      <c r="B21655" s="12" t="str">
        <f ca="1">IFERROR(__xludf.DUMMYFUNCTION("""COMPUTED_VALUE"""),"")</f>
        <v/>
      </c>
      <c r="C21655" s="12" t="str">
        <f ca="1">IFERROR(__xludf.DUMMYFUNCTION("""COMPUTED_VALUE"""),"")</f>
        <v/>
      </c>
      <c r="D21655" s="12" t="str">
        <f ca="1">IFERROR(__xludf.DUMMYFUNCTION("""COMPUTED_VALUE"""),"")</f>
        <v/>
      </c>
    </row>
    <row r="21656" spans="2:4" ht="13">
      <c r="B21656" s="12" t="str">
        <f ca="1">IFERROR(__xludf.DUMMYFUNCTION("""COMPUTED_VALUE"""),"")</f>
        <v/>
      </c>
      <c r="C21656" s="12" t="str">
        <f ca="1">IFERROR(__xludf.DUMMYFUNCTION("""COMPUTED_VALUE"""),"")</f>
        <v/>
      </c>
      <c r="D21656" s="12" t="str">
        <f ca="1">IFERROR(__xludf.DUMMYFUNCTION("""COMPUTED_VALUE"""),"")</f>
        <v/>
      </c>
    </row>
    <row r="21657" spans="2:4" ht="13">
      <c r="B21657" s="12" t="str">
        <f ca="1">IFERROR(__xludf.DUMMYFUNCTION("""COMPUTED_VALUE"""),"")</f>
        <v/>
      </c>
      <c r="C21657" s="12" t="str">
        <f ca="1">IFERROR(__xludf.DUMMYFUNCTION("""COMPUTED_VALUE"""),"")</f>
        <v/>
      </c>
      <c r="D21657" s="12" t="str">
        <f ca="1">IFERROR(__xludf.DUMMYFUNCTION("""COMPUTED_VALUE"""),"")</f>
        <v/>
      </c>
    </row>
    <row r="21658" spans="2:4" ht="13">
      <c r="B21658" s="12" t="str">
        <f ca="1">IFERROR(__xludf.DUMMYFUNCTION("""COMPUTED_VALUE"""),"")</f>
        <v/>
      </c>
      <c r="C21658" s="12" t="str">
        <f ca="1">IFERROR(__xludf.DUMMYFUNCTION("""COMPUTED_VALUE"""),"")</f>
        <v/>
      </c>
      <c r="D21658" s="12" t="str">
        <f ca="1">IFERROR(__xludf.DUMMYFUNCTION("""COMPUTED_VALUE"""),"")</f>
        <v/>
      </c>
    </row>
    <row r="21659" spans="2:4" ht="13">
      <c r="B21659" s="12" t="str">
        <f ca="1">IFERROR(__xludf.DUMMYFUNCTION("""COMPUTED_VALUE"""),"")</f>
        <v/>
      </c>
      <c r="C21659" s="12" t="str">
        <f ca="1">IFERROR(__xludf.DUMMYFUNCTION("""COMPUTED_VALUE"""),"")</f>
        <v/>
      </c>
      <c r="D21659" s="12" t="str">
        <f ca="1">IFERROR(__xludf.DUMMYFUNCTION("""COMPUTED_VALUE"""),"")</f>
        <v/>
      </c>
    </row>
    <row r="21660" spans="2:4" ht="13">
      <c r="B21660" s="12" t="str">
        <f ca="1">IFERROR(__xludf.DUMMYFUNCTION("""COMPUTED_VALUE"""),"")</f>
        <v/>
      </c>
      <c r="C21660" s="12" t="str">
        <f ca="1">IFERROR(__xludf.DUMMYFUNCTION("""COMPUTED_VALUE"""),"")</f>
        <v/>
      </c>
      <c r="D21660" s="12" t="str">
        <f ca="1">IFERROR(__xludf.DUMMYFUNCTION("""COMPUTED_VALUE"""),"")</f>
        <v/>
      </c>
    </row>
    <row r="21661" spans="2:4" ht="13">
      <c r="B21661" s="12" t="str">
        <f ca="1">IFERROR(__xludf.DUMMYFUNCTION("""COMPUTED_VALUE"""),"")</f>
        <v/>
      </c>
      <c r="C21661" s="12" t="str">
        <f ca="1">IFERROR(__xludf.DUMMYFUNCTION("""COMPUTED_VALUE"""),"")</f>
        <v/>
      </c>
      <c r="D21661" s="12" t="str">
        <f ca="1">IFERROR(__xludf.DUMMYFUNCTION("""COMPUTED_VALUE"""),"")</f>
        <v/>
      </c>
    </row>
    <row r="21662" spans="2:4" ht="13">
      <c r="B21662" s="12" t="str">
        <f ca="1">IFERROR(__xludf.DUMMYFUNCTION("""COMPUTED_VALUE"""),"")</f>
        <v/>
      </c>
      <c r="C21662" s="12" t="str">
        <f ca="1">IFERROR(__xludf.DUMMYFUNCTION("""COMPUTED_VALUE"""),"")</f>
        <v/>
      </c>
      <c r="D21662" s="12" t="str">
        <f ca="1">IFERROR(__xludf.DUMMYFUNCTION("""COMPUTED_VALUE"""),"")</f>
        <v/>
      </c>
    </row>
    <row r="21663" spans="2:4" ht="13">
      <c r="B21663" s="12" t="str">
        <f ca="1">IFERROR(__xludf.DUMMYFUNCTION("""COMPUTED_VALUE"""),"")</f>
        <v/>
      </c>
      <c r="C21663" s="12" t="str">
        <f ca="1">IFERROR(__xludf.DUMMYFUNCTION("""COMPUTED_VALUE"""),"")</f>
        <v/>
      </c>
      <c r="D21663" s="12" t="str">
        <f ca="1">IFERROR(__xludf.DUMMYFUNCTION("""COMPUTED_VALUE"""),"")</f>
        <v/>
      </c>
    </row>
    <row r="21664" spans="2:4" ht="13">
      <c r="B21664" s="12" t="str">
        <f ca="1">IFERROR(__xludf.DUMMYFUNCTION("""COMPUTED_VALUE"""),"")</f>
        <v/>
      </c>
      <c r="C21664" s="12" t="str">
        <f ca="1">IFERROR(__xludf.DUMMYFUNCTION("""COMPUTED_VALUE"""),"")</f>
        <v/>
      </c>
      <c r="D21664" s="12" t="str">
        <f ca="1">IFERROR(__xludf.DUMMYFUNCTION("""COMPUTED_VALUE"""),"")</f>
        <v/>
      </c>
    </row>
    <row r="21665" spans="2:4" ht="13">
      <c r="B21665" s="12" t="str">
        <f ca="1">IFERROR(__xludf.DUMMYFUNCTION("""COMPUTED_VALUE"""),"")</f>
        <v/>
      </c>
      <c r="C21665" s="12" t="str">
        <f ca="1">IFERROR(__xludf.DUMMYFUNCTION("""COMPUTED_VALUE"""),"")</f>
        <v/>
      </c>
      <c r="D21665" s="12" t="str">
        <f ca="1">IFERROR(__xludf.DUMMYFUNCTION("""COMPUTED_VALUE"""),"")</f>
        <v/>
      </c>
    </row>
    <row r="21666" spans="2:4" ht="13">
      <c r="B21666" s="12" t="str">
        <f ca="1">IFERROR(__xludf.DUMMYFUNCTION("""COMPUTED_VALUE"""),"")</f>
        <v/>
      </c>
      <c r="C21666" s="12" t="str">
        <f ca="1">IFERROR(__xludf.DUMMYFUNCTION("""COMPUTED_VALUE"""),"")</f>
        <v/>
      </c>
      <c r="D21666" s="12" t="str">
        <f ca="1">IFERROR(__xludf.DUMMYFUNCTION("""COMPUTED_VALUE"""),"")</f>
        <v/>
      </c>
    </row>
    <row r="21667" spans="2:4" ht="13">
      <c r="B21667" s="12" t="str">
        <f ca="1">IFERROR(__xludf.DUMMYFUNCTION("""COMPUTED_VALUE"""),"")</f>
        <v/>
      </c>
      <c r="C21667" s="12" t="str">
        <f ca="1">IFERROR(__xludf.DUMMYFUNCTION("""COMPUTED_VALUE"""),"")</f>
        <v/>
      </c>
      <c r="D21667" s="12" t="str">
        <f ca="1">IFERROR(__xludf.DUMMYFUNCTION("""COMPUTED_VALUE"""),"")</f>
        <v/>
      </c>
    </row>
    <row r="21668" spans="2:4" ht="13">
      <c r="B21668" s="12" t="str">
        <f ca="1">IFERROR(__xludf.DUMMYFUNCTION("""COMPUTED_VALUE"""),"")</f>
        <v/>
      </c>
      <c r="C21668" s="12" t="str">
        <f ca="1">IFERROR(__xludf.DUMMYFUNCTION("""COMPUTED_VALUE"""),"")</f>
        <v/>
      </c>
      <c r="D21668" s="12" t="str">
        <f ca="1">IFERROR(__xludf.DUMMYFUNCTION("""COMPUTED_VALUE"""),"")</f>
        <v/>
      </c>
    </row>
    <row r="21669" spans="2:4" ht="13">
      <c r="B21669" s="12" t="str">
        <f ca="1">IFERROR(__xludf.DUMMYFUNCTION("""COMPUTED_VALUE"""),"")</f>
        <v/>
      </c>
      <c r="C21669" s="12" t="str">
        <f ca="1">IFERROR(__xludf.DUMMYFUNCTION("""COMPUTED_VALUE"""),"")</f>
        <v/>
      </c>
      <c r="D21669" s="12" t="str">
        <f ca="1">IFERROR(__xludf.DUMMYFUNCTION("""COMPUTED_VALUE"""),"")</f>
        <v/>
      </c>
    </row>
    <row r="21670" spans="2:4" ht="13">
      <c r="B21670" s="12" t="str">
        <f ca="1">IFERROR(__xludf.DUMMYFUNCTION("""COMPUTED_VALUE"""),"")</f>
        <v/>
      </c>
      <c r="C21670" s="12" t="str">
        <f ca="1">IFERROR(__xludf.DUMMYFUNCTION("""COMPUTED_VALUE"""),"")</f>
        <v/>
      </c>
      <c r="D21670" s="12" t="str">
        <f ca="1">IFERROR(__xludf.DUMMYFUNCTION("""COMPUTED_VALUE"""),"")</f>
        <v/>
      </c>
    </row>
    <row r="21671" spans="2:4" ht="13">
      <c r="B21671" s="12" t="str">
        <f ca="1">IFERROR(__xludf.DUMMYFUNCTION("""COMPUTED_VALUE"""),"")</f>
        <v/>
      </c>
      <c r="C21671" s="12" t="str">
        <f ca="1">IFERROR(__xludf.DUMMYFUNCTION("""COMPUTED_VALUE"""),"")</f>
        <v/>
      </c>
      <c r="D21671" s="12" t="str">
        <f ca="1">IFERROR(__xludf.DUMMYFUNCTION("""COMPUTED_VALUE"""),"")</f>
        <v/>
      </c>
    </row>
    <row r="21672" spans="2:4" ht="13">
      <c r="B21672" s="12" t="str">
        <f ca="1">IFERROR(__xludf.DUMMYFUNCTION("""COMPUTED_VALUE"""),"")</f>
        <v/>
      </c>
      <c r="C21672" s="12" t="str">
        <f ca="1">IFERROR(__xludf.DUMMYFUNCTION("""COMPUTED_VALUE"""),"")</f>
        <v/>
      </c>
      <c r="D21672" s="12" t="str">
        <f ca="1">IFERROR(__xludf.DUMMYFUNCTION("""COMPUTED_VALUE"""),"")</f>
        <v/>
      </c>
    </row>
    <row r="21673" spans="2:4" ht="13">
      <c r="B21673" s="12" t="str">
        <f ca="1">IFERROR(__xludf.DUMMYFUNCTION("""COMPUTED_VALUE"""),"")</f>
        <v/>
      </c>
      <c r="C21673" s="12" t="str">
        <f ca="1">IFERROR(__xludf.DUMMYFUNCTION("""COMPUTED_VALUE"""),"")</f>
        <v/>
      </c>
      <c r="D21673" s="12" t="str">
        <f ca="1">IFERROR(__xludf.DUMMYFUNCTION("""COMPUTED_VALUE"""),"")</f>
        <v/>
      </c>
    </row>
    <row r="21674" spans="2:4" ht="13">
      <c r="B21674" s="12" t="str">
        <f ca="1">IFERROR(__xludf.DUMMYFUNCTION("""COMPUTED_VALUE"""),"")</f>
        <v/>
      </c>
      <c r="C21674" s="12" t="str">
        <f ca="1">IFERROR(__xludf.DUMMYFUNCTION("""COMPUTED_VALUE"""),"")</f>
        <v/>
      </c>
      <c r="D21674" s="12" t="str">
        <f ca="1">IFERROR(__xludf.DUMMYFUNCTION("""COMPUTED_VALUE"""),"")</f>
        <v/>
      </c>
    </row>
    <row r="21675" spans="2:4" ht="13">
      <c r="B21675" s="12" t="str">
        <f ca="1">IFERROR(__xludf.DUMMYFUNCTION("""COMPUTED_VALUE"""),"")</f>
        <v/>
      </c>
      <c r="C21675" s="12" t="str">
        <f ca="1">IFERROR(__xludf.DUMMYFUNCTION("""COMPUTED_VALUE"""),"")</f>
        <v/>
      </c>
      <c r="D21675" s="12" t="str">
        <f ca="1">IFERROR(__xludf.DUMMYFUNCTION("""COMPUTED_VALUE"""),"")</f>
        <v/>
      </c>
    </row>
    <row r="21676" spans="2:4" ht="13">
      <c r="B21676" s="12" t="str">
        <f ca="1">IFERROR(__xludf.DUMMYFUNCTION("""COMPUTED_VALUE"""),"")</f>
        <v/>
      </c>
      <c r="C21676" s="12" t="str">
        <f ca="1">IFERROR(__xludf.DUMMYFUNCTION("""COMPUTED_VALUE"""),"")</f>
        <v/>
      </c>
      <c r="D21676" s="12" t="str">
        <f ca="1">IFERROR(__xludf.DUMMYFUNCTION("""COMPUTED_VALUE"""),"")</f>
        <v/>
      </c>
    </row>
    <row r="21677" spans="2:4" ht="13">
      <c r="B21677" s="12" t="str">
        <f ca="1">IFERROR(__xludf.DUMMYFUNCTION("""COMPUTED_VALUE"""),"")</f>
        <v/>
      </c>
      <c r="C21677" s="12" t="str">
        <f ca="1">IFERROR(__xludf.DUMMYFUNCTION("""COMPUTED_VALUE"""),"")</f>
        <v/>
      </c>
      <c r="D21677" s="12" t="str">
        <f ca="1">IFERROR(__xludf.DUMMYFUNCTION("""COMPUTED_VALUE"""),"")</f>
        <v/>
      </c>
    </row>
    <row r="21678" spans="2:4" ht="13">
      <c r="B21678" s="12" t="str">
        <f ca="1">IFERROR(__xludf.DUMMYFUNCTION("""COMPUTED_VALUE"""),"")</f>
        <v/>
      </c>
      <c r="C21678" s="12" t="str">
        <f ca="1">IFERROR(__xludf.DUMMYFUNCTION("""COMPUTED_VALUE"""),"")</f>
        <v/>
      </c>
      <c r="D21678" s="12" t="str">
        <f ca="1">IFERROR(__xludf.DUMMYFUNCTION("""COMPUTED_VALUE"""),"")</f>
        <v/>
      </c>
    </row>
    <row r="21679" spans="2:4" ht="13">
      <c r="B21679" s="12" t="str">
        <f ca="1">IFERROR(__xludf.DUMMYFUNCTION("""COMPUTED_VALUE"""),"")</f>
        <v/>
      </c>
      <c r="C21679" s="12" t="str">
        <f ca="1">IFERROR(__xludf.DUMMYFUNCTION("""COMPUTED_VALUE"""),"")</f>
        <v/>
      </c>
      <c r="D21679" s="12" t="str">
        <f ca="1">IFERROR(__xludf.DUMMYFUNCTION("""COMPUTED_VALUE"""),"")</f>
        <v/>
      </c>
    </row>
    <row r="21680" spans="2:4" ht="13">
      <c r="B21680" s="12" t="str">
        <f ca="1">IFERROR(__xludf.DUMMYFUNCTION("""COMPUTED_VALUE"""),"")</f>
        <v/>
      </c>
      <c r="C21680" s="12" t="str">
        <f ca="1">IFERROR(__xludf.DUMMYFUNCTION("""COMPUTED_VALUE"""),"")</f>
        <v/>
      </c>
      <c r="D21680" s="12" t="str">
        <f ca="1">IFERROR(__xludf.DUMMYFUNCTION("""COMPUTED_VALUE"""),"")</f>
        <v/>
      </c>
    </row>
    <row r="21681" spans="2:4" ht="13">
      <c r="B21681" s="12" t="str">
        <f ca="1">IFERROR(__xludf.DUMMYFUNCTION("""COMPUTED_VALUE"""),"")</f>
        <v/>
      </c>
      <c r="C21681" s="12" t="str">
        <f ca="1">IFERROR(__xludf.DUMMYFUNCTION("""COMPUTED_VALUE"""),"")</f>
        <v/>
      </c>
      <c r="D21681" s="12" t="str">
        <f ca="1">IFERROR(__xludf.DUMMYFUNCTION("""COMPUTED_VALUE"""),"")</f>
        <v/>
      </c>
    </row>
    <row r="21682" spans="2:4" ht="13">
      <c r="B21682" s="12" t="str">
        <f ca="1">IFERROR(__xludf.DUMMYFUNCTION("""COMPUTED_VALUE"""),"")</f>
        <v/>
      </c>
      <c r="C21682" s="12" t="str">
        <f ca="1">IFERROR(__xludf.DUMMYFUNCTION("""COMPUTED_VALUE"""),"")</f>
        <v/>
      </c>
      <c r="D21682" s="12" t="str">
        <f ca="1">IFERROR(__xludf.DUMMYFUNCTION("""COMPUTED_VALUE"""),"")</f>
        <v/>
      </c>
    </row>
    <row r="21683" spans="2:4" ht="13">
      <c r="B21683" s="12" t="str">
        <f ca="1">IFERROR(__xludf.DUMMYFUNCTION("""COMPUTED_VALUE"""),"")</f>
        <v/>
      </c>
      <c r="C21683" s="12" t="str">
        <f ca="1">IFERROR(__xludf.DUMMYFUNCTION("""COMPUTED_VALUE"""),"")</f>
        <v/>
      </c>
      <c r="D21683" s="12" t="str">
        <f ca="1">IFERROR(__xludf.DUMMYFUNCTION("""COMPUTED_VALUE"""),"")</f>
        <v/>
      </c>
    </row>
    <row r="21684" spans="2:4" ht="13">
      <c r="B21684" s="12" t="str">
        <f ca="1">IFERROR(__xludf.DUMMYFUNCTION("""COMPUTED_VALUE"""),"")</f>
        <v/>
      </c>
      <c r="C21684" s="12" t="str">
        <f ca="1">IFERROR(__xludf.DUMMYFUNCTION("""COMPUTED_VALUE"""),"")</f>
        <v/>
      </c>
      <c r="D21684" s="12" t="str">
        <f ca="1">IFERROR(__xludf.DUMMYFUNCTION("""COMPUTED_VALUE"""),"")</f>
        <v/>
      </c>
    </row>
    <row r="21685" spans="2:4" ht="13">
      <c r="B21685" s="12" t="str">
        <f ca="1">IFERROR(__xludf.DUMMYFUNCTION("""COMPUTED_VALUE"""),"")</f>
        <v/>
      </c>
      <c r="C21685" s="12" t="str">
        <f ca="1">IFERROR(__xludf.DUMMYFUNCTION("""COMPUTED_VALUE"""),"")</f>
        <v/>
      </c>
      <c r="D21685" s="12" t="str">
        <f ca="1">IFERROR(__xludf.DUMMYFUNCTION("""COMPUTED_VALUE"""),"")</f>
        <v/>
      </c>
    </row>
    <row r="21686" spans="2:4" ht="13">
      <c r="B21686" s="12" t="str">
        <f ca="1">IFERROR(__xludf.DUMMYFUNCTION("""COMPUTED_VALUE"""),"")</f>
        <v/>
      </c>
      <c r="C21686" s="12" t="str">
        <f ca="1">IFERROR(__xludf.DUMMYFUNCTION("""COMPUTED_VALUE"""),"")</f>
        <v/>
      </c>
      <c r="D21686" s="12" t="str">
        <f ca="1">IFERROR(__xludf.DUMMYFUNCTION("""COMPUTED_VALUE"""),"")</f>
        <v/>
      </c>
    </row>
    <row r="21687" spans="2:4" ht="13">
      <c r="B21687" s="12" t="str">
        <f ca="1">IFERROR(__xludf.DUMMYFUNCTION("""COMPUTED_VALUE"""),"")</f>
        <v/>
      </c>
      <c r="C21687" s="12" t="str">
        <f ca="1">IFERROR(__xludf.DUMMYFUNCTION("""COMPUTED_VALUE"""),"")</f>
        <v/>
      </c>
      <c r="D21687" s="12" t="str">
        <f ca="1">IFERROR(__xludf.DUMMYFUNCTION("""COMPUTED_VALUE"""),"")</f>
        <v/>
      </c>
    </row>
    <row r="21688" spans="2:4" ht="13">
      <c r="B21688" s="12" t="str">
        <f ca="1">IFERROR(__xludf.DUMMYFUNCTION("""COMPUTED_VALUE"""),"")</f>
        <v/>
      </c>
      <c r="C21688" s="12" t="str">
        <f ca="1">IFERROR(__xludf.DUMMYFUNCTION("""COMPUTED_VALUE"""),"")</f>
        <v/>
      </c>
      <c r="D21688" s="12" t="str">
        <f ca="1">IFERROR(__xludf.DUMMYFUNCTION("""COMPUTED_VALUE"""),"")</f>
        <v/>
      </c>
    </row>
    <row r="21689" spans="2:4" ht="13">
      <c r="B21689" s="12" t="str">
        <f ca="1">IFERROR(__xludf.DUMMYFUNCTION("""COMPUTED_VALUE"""),"")</f>
        <v/>
      </c>
      <c r="C21689" s="12" t="str">
        <f ca="1">IFERROR(__xludf.DUMMYFUNCTION("""COMPUTED_VALUE"""),"")</f>
        <v/>
      </c>
      <c r="D21689" s="12" t="str">
        <f ca="1">IFERROR(__xludf.DUMMYFUNCTION("""COMPUTED_VALUE"""),"")</f>
        <v/>
      </c>
    </row>
    <row r="21690" spans="2:4" ht="13">
      <c r="B21690" s="12" t="str">
        <f ca="1">IFERROR(__xludf.DUMMYFUNCTION("""COMPUTED_VALUE"""),"")</f>
        <v/>
      </c>
      <c r="C21690" s="12" t="str">
        <f ca="1">IFERROR(__xludf.DUMMYFUNCTION("""COMPUTED_VALUE"""),"")</f>
        <v/>
      </c>
      <c r="D21690" s="12" t="str">
        <f ca="1">IFERROR(__xludf.DUMMYFUNCTION("""COMPUTED_VALUE"""),"")</f>
        <v/>
      </c>
    </row>
    <row r="21691" spans="2:4" ht="13">
      <c r="B21691" s="12" t="str">
        <f ca="1">IFERROR(__xludf.DUMMYFUNCTION("""COMPUTED_VALUE"""),"")</f>
        <v/>
      </c>
      <c r="C21691" s="12" t="str">
        <f ca="1">IFERROR(__xludf.DUMMYFUNCTION("""COMPUTED_VALUE"""),"")</f>
        <v/>
      </c>
      <c r="D21691" s="12" t="str">
        <f ca="1">IFERROR(__xludf.DUMMYFUNCTION("""COMPUTED_VALUE"""),"")</f>
        <v/>
      </c>
    </row>
    <row r="21692" spans="2:4" ht="13">
      <c r="B21692" s="12" t="str">
        <f ca="1">IFERROR(__xludf.DUMMYFUNCTION("""COMPUTED_VALUE"""),"")</f>
        <v/>
      </c>
      <c r="C21692" s="12" t="str">
        <f ca="1">IFERROR(__xludf.DUMMYFUNCTION("""COMPUTED_VALUE"""),"")</f>
        <v/>
      </c>
      <c r="D21692" s="12" t="str">
        <f ca="1">IFERROR(__xludf.DUMMYFUNCTION("""COMPUTED_VALUE"""),"")</f>
        <v/>
      </c>
    </row>
    <row r="21693" spans="2:4" ht="13">
      <c r="B21693" s="12" t="str">
        <f ca="1">IFERROR(__xludf.DUMMYFUNCTION("""COMPUTED_VALUE"""),"")</f>
        <v/>
      </c>
      <c r="C21693" s="12" t="str">
        <f ca="1">IFERROR(__xludf.DUMMYFUNCTION("""COMPUTED_VALUE"""),"")</f>
        <v/>
      </c>
      <c r="D21693" s="12" t="str">
        <f ca="1">IFERROR(__xludf.DUMMYFUNCTION("""COMPUTED_VALUE"""),"")</f>
        <v/>
      </c>
    </row>
    <row r="21694" spans="2:4" ht="13">
      <c r="B21694" s="12" t="str">
        <f ca="1">IFERROR(__xludf.DUMMYFUNCTION("""COMPUTED_VALUE"""),"")</f>
        <v/>
      </c>
      <c r="C21694" s="12" t="str">
        <f ca="1">IFERROR(__xludf.DUMMYFUNCTION("""COMPUTED_VALUE"""),"")</f>
        <v/>
      </c>
      <c r="D21694" s="12" t="str">
        <f ca="1">IFERROR(__xludf.DUMMYFUNCTION("""COMPUTED_VALUE"""),"")</f>
        <v/>
      </c>
    </row>
    <row r="21695" spans="2:4" ht="13">
      <c r="B21695" s="12" t="str">
        <f ca="1">IFERROR(__xludf.DUMMYFUNCTION("""COMPUTED_VALUE"""),"")</f>
        <v/>
      </c>
      <c r="C21695" s="12" t="str">
        <f ca="1">IFERROR(__xludf.DUMMYFUNCTION("""COMPUTED_VALUE"""),"")</f>
        <v/>
      </c>
      <c r="D21695" s="12" t="str">
        <f ca="1">IFERROR(__xludf.DUMMYFUNCTION("""COMPUTED_VALUE"""),"")</f>
        <v/>
      </c>
    </row>
    <row r="21696" spans="2:4" ht="13">
      <c r="B21696" s="12" t="str">
        <f ca="1">IFERROR(__xludf.DUMMYFUNCTION("""COMPUTED_VALUE"""),"")</f>
        <v/>
      </c>
      <c r="C21696" s="12" t="str">
        <f ca="1">IFERROR(__xludf.DUMMYFUNCTION("""COMPUTED_VALUE"""),"")</f>
        <v/>
      </c>
      <c r="D21696" s="12" t="str">
        <f ca="1">IFERROR(__xludf.DUMMYFUNCTION("""COMPUTED_VALUE"""),"")</f>
        <v/>
      </c>
    </row>
    <row r="21697" spans="2:4" ht="13">
      <c r="B21697" s="12" t="str">
        <f ca="1">IFERROR(__xludf.DUMMYFUNCTION("""COMPUTED_VALUE"""),"")</f>
        <v/>
      </c>
      <c r="C21697" s="12" t="str">
        <f ca="1">IFERROR(__xludf.DUMMYFUNCTION("""COMPUTED_VALUE"""),"")</f>
        <v/>
      </c>
      <c r="D21697" s="12" t="str">
        <f ca="1">IFERROR(__xludf.DUMMYFUNCTION("""COMPUTED_VALUE"""),"")</f>
        <v/>
      </c>
    </row>
    <row r="21698" spans="2:4" ht="13">
      <c r="B21698" s="12" t="str">
        <f ca="1">IFERROR(__xludf.DUMMYFUNCTION("""COMPUTED_VALUE"""),"")</f>
        <v/>
      </c>
      <c r="C21698" s="12" t="str">
        <f ca="1">IFERROR(__xludf.DUMMYFUNCTION("""COMPUTED_VALUE"""),"")</f>
        <v/>
      </c>
      <c r="D21698" s="12" t="str">
        <f ca="1">IFERROR(__xludf.DUMMYFUNCTION("""COMPUTED_VALUE"""),"")</f>
        <v/>
      </c>
    </row>
    <row r="21699" spans="2:4" ht="13">
      <c r="B21699" s="12" t="str">
        <f ca="1">IFERROR(__xludf.DUMMYFUNCTION("""COMPUTED_VALUE"""),"")</f>
        <v/>
      </c>
      <c r="C21699" s="12" t="str">
        <f ca="1">IFERROR(__xludf.DUMMYFUNCTION("""COMPUTED_VALUE"""),"")</f>
        <v/>
      </c>
      <c r="D21699" s="12" t="str">
        <f ca="1">IFERROR(__xludf.DUMMYFUNCTION("""COMPUTED_VALUE"""),"")</f>
        <v/>
      </c>
    </row>
    <row r="21700" spans="2:4" ht="13">
      <c r="B21700" s="12" t="str">
        <f ca="1">IFERROR(__xludf.DUMMYFUNCTION("""COMPUTED_VALUE"""),"")</f>
        <v/>
      </c>
      <c r="C21700" s="12" t="str">
        <f ca="1">IFERROR(__xludf.DUMMYFUNCTION("""COMPUTED_VALUE"""),"")</f>
        <v/>
      </c>
      <c r="D21700" s="12" t="str">
        <f ca="1">IFERROR(__xludf.DUMMYFUNCTION("""COMPUTED_VALUE"""),"")</f>
        <v/>
      </c>
    </row>
    <row r="21701" spans="2:4" ht="13">
      <c r="B21701" s="12" t="str">
        <f ca="1">IFERROR(__xludf.DUMMYFUNCTION("""COMPUTED_VALUE"""),"")</f>
        <v/>
      </c>
      <c r="C21701" s="12" t="str">
        <f ca="1">IFERROR(__xludf.DUMMYFUNCTION("""COMPUTED_VALUE"""),"")</f>
        <v/>
      </c>
      <c r="D21701" s="12" t="str">
        <f ca="1">IFERROR(__xludf.DUMMYFUNCTION("""COMPUTED_VALUE"""),"")</f>
        <v/>
      </c>
    </row>
    <row r="21702" spans="2:4" ht="13">
      <c r="B21702" s="12" t="str">
        <f ca="1">IFERROR(__xludf.DUMMYFUNCTION("""COMPUTED_VALUE"""),"")</f>
        <v/>
      </c>
      <c r="C21702" s="12" t="str">
        <f ca="1">IFERROR(__xludf.DUMMYFUNCTION("""COMPUTED_VALUE"""),"")</f>
        <v/>
      </c>
      <c r="D21702" s="12" t="str">
        <f ca="1">IFERROR(__xludf.DUMMYFUNCTION("""COMPUTED_VALUE"""),"")</f>
        <v/>
      </c>
    </row>
    <row r="21703" spans="2:4" ht="13">
      <c r="B21703" s="12" t="str">
        <f ca="1">IFERROR(__xludf.DUMMYFUNCTION("""COMPUTED_VALUE"""),"")</f>
        <v/>
      </c>
      <c r="C21703" s="12" t="str">
        <f ca="1">IFERROR(__xludf.DUMMYFUNCTION("""COMPUTED_VALUE"""),"")</f>
        <v/>
      </c>
      <c r="D21703" s="12" t="str">
        <f ca="1">IFERROR(__xludf.DUMMYFUNCTION("""COMPUTED_VALUE"""),"")</f>
        <v/>
      </c>
    </row>
    <row r="21704" spans="2:4" ht="13">
      <c r="B21704" s="12" t="str">
        <f ca="1">IFERROR(__xludf.DUMMYFUNCTION("""COMPUTED_VALUE"""),"")</f>
        <v/>
      </c>
      <c r="C21704" s="12" t="str">
        <f ca="1">IFERROR(__xludf.DUMMYFUNCTION("""COMPUTED_VALUE"""),"")</f>
        <v/>
      </c>
      <c r="D21704" s="12" t="str">
        <f ca="1">IFERROR(__xludf.DUMMYFUNCTION("""COMPUTED_VALUE"""),"")</f>
        <v/>
      </c>
    </row>
    <row r="21705" spans="2:4" ht="13">
      <c r="B21705" s="12" t="str">
        <f ca="1">IFERROR(__xludf.DUMMYFUNCTION("""COMPUTED_VALUE"""),"")</f>
        <v/>
      </c>
      <c r="C21705" s="12" t="str">
        <f ca="1">IFERROR(__xludf.DUMMYFUNCTION("""COMPUTED_VALUE"""),"")</f>
        <v/>
      </c>
      <c r="D21705" s="12" t="str">
        <f ca="1">IFERROR(__xludf.DUMMYFUNCTION("""COMPUTED_VALUE"""),"")</f>
        <v/>
      </c>
    </row>
    <row r="21706" spans="2:4" ht="13">
      <c r="B21706" s="12" t="str">
        <f ca="1">IFERROR(__xludf.DUMMYFUNCTION("""COMPUTED_VALUE"""),"")</f>
        <v/>
      </c>
      <c r="C21706" s="12" t="str">
        <f ca="1">IFERROR(__xludf.DUMMYFUNCTION("""COMPUTED_VALUE"""),"")</f>
        <v/>
      </c>
      <c r="D21706" s="12" t="str">
        <f ca="1">IFERROR(__xludf.DUMMYFUNCTION("""COMPUTED_VALUE"""),"")</f>
        <v/>
      </c>
    </row>
    <row r="21707" spans="2:4" ht="13">
      <c r="B21707" s="12" t="str">
        <f ca="1">IFERROR(__xludf.DUMMYFUNCTION("""COMPUTED_VALUE"""),"")</f>
        <v/>
      </c>
      <c r="C21707" s="12" t="str">
        <f ca="1">IFERROR(__xludf.DUMMYFUNCTION("""COMPUTED_VALUE"""),"")</f>
        <v/>
      </c>
      <c r="D21707" s="12" t="str">
        <f ca="1">IFERROR(__xludf.DUMMYFUNCTION("""COMPUTED_VALUE"""),"")</f>
        <v/>
      </c>
    </row>
    <row r="21708" spans="2:4" ht="13">
      <c r="B21708" s="12" t="str">
        <f ca="1">IFERROR(__xludf.DUMMYFUNCTION("""COMPUTED_VALUE"""),"")</f>
        <v/>
      </c>
      <c r="C21708" s="12" t="str">
        <f ca="1">IFERROR(__xludf.DUMMYFUNCTION("""COMPUTED_VALUE"""),"")</f>
        <v/>
      </c>
      <c r="D21708" s="12" t="str">
        <f ca="1">IFERROR(__xludf.DUMMYFUNCTION("""COMPUTED_VALUE"""),"")</f>
        <v/>
      </c>
    </row>
    <row r="21709" spans="2:4" ht="13">
      <c r="B21709" s="12" t="str">
        <f ca="1">IFERROR(__xludf.DUMMYFUNCTION("""COMPUTED_VALUE"""),"")</f>
        <v/>
      </c>
      <c r="C21709" s="12" t="str">
        <f ca="1">IFERROR(__xludf.DUMMYFUNCTION("""COMPUTED_VALUE"""),"")</f>
        <v/>
      </c>
      <c r="D21709" s="12" t="str">
        <f ca="1">IFERROR(__xludf.DUMMYFUNCTION("""COMPUTED_VALUE"""),"")</f>
        <v/>
      </c>
    </row>
    <row r="21710" spans="2:4" ht="13">
      <c r="B21710" s="12" t="str">
        <f ca="1">IFERROR(__xludf.DUMMYFUNCTION("""COMPUTED_VALUE"""),"")</f>
        <v/>
      </c>
      <c r="C21710" s="12" t="str">
        <f ca="1">IFERROR(__xludf.DUMMYFUNCTION("""COMPUTED_VALUE"""),"")</f>
        <v/>
      </c>
      <c r="D21710" s="12" t="str">
        <f ca="1">IFERROR(__xludf.DUMMYFUNCTION("""COMPUTED_VALUE"""),"")</f>
        <v/>
      </c>
    </row>
    <row r="21711" spans="2:4" ht="13">
      <c r="B21711" s="12" t="str">
        <f ca="1">IFERROR(__xludf.DUMMYFUNCTION("""COMPUTED_VALUE"""),"")</f>
        <v/>
      </c>
      <c r="C21711" s="12" t="str">
        <f ca="1">IFERROR(__xludf.DUMMYFUNCTION("""COMPUTED_VALUE"""),"")</f>
        <v/>
      </c>
      <c r="D21711" s="12" t="str">
        <f ca="1">IFERROR(__xludf.DUMMYFUNCTION("""COMPUTED_VALUE"""),"")</f>
        <v/>
      </c>
    </row>
    <row r="21712" spans="2:4" ht="13">
      <c r="B21712" s="12" t="str">
        <f ca="1">IFERROR(__xludf.DUMMYFUNCTION("""COMPUTED_VALUE"""),"")</f>
        <v/>
      </c>
      <c r="C21712" s="12" t="str">
        <f ca="1">IFERROR(__xludf.DUMMYFUNCTION("""COMPUTED_VALUE"""),"")</f>
        <v/>
      </c>
      <c r="D21712" s="12" t="str">
        <f ca="1">IFERROR(__xludf.DUMMYFUNCTION("""COMPUTED_VALUE"""),"")</f>
        <v/>
      </c>
    </row>
    <row r="21713" spans="2:4" ht="13">
      <c r="B21713" s="12" t="str">
        <f ca="1">IFERROR(__xludf.DUMMYFUNCTION("""COMPUTED_VALUE"""),"")</f>
        <v/>
      </c>
      <c r="C21713" s="12" t="str">
        <f ca="1">IFERROR(__xludf.DUMMYFUNCTION("""COMPUTED_VALUE"""),"")</f>
        <v/>
      </c>
      <c r="D21713" s="12" t="str">
        <f ca="1">IFERROR(__xludf.DUMMYFUNCTION("""COMPUTED_VALUE"""),"")</f>
        <v/>
      </c>
    </row>
    <row r="21714" spans="2:4" ht="13">
      <c r="B21714" s="12" t="str">
        <f ca="1">IFERROR(__xludf.DUMMYFUNCTION("""COMPUTED_VALUE"""),"")</f>
        <v/>
      </c>
      <c r="C21714" s="12" t="str">
        <f ca="1">IFERROR(__xludf.DUMMYFUNCTION("""COMPUTED_VALUE"""),"")</f>
        <v/>
      </c>
      <c r="D21714" s="12" t="str">
        <f ca="1">IFERROR(__xludf.DUMMYFUNCTION("""COMPUTED_VALUE"""),"")</f>
        <v/>
      </c>
    </row>
    <row r="21715" spans="2:4" ht="13">
      <c r="B21715" s="12" t="str">
        <f ca="1">IFERROR(__xludf.DUMMYFUNCTION("""COMPUTED_VALUE"""),"")</f>
        <v/>
      </c>
      <c r="C21715" s="12" t="str">
        <f ca="1">IFERROR(__xludf.DUMMYFUNCTION("""COMPUTED_VALUE"""),"")</f>
        <v/>
      </c>
      <c r="D21715" s="12" t="str">
        <f ca="1">IFERROR(__xludf.DUMMYFUNCTION("""COMPUTED_VALUE"""),"")</f>
        <v/>
      </c>
    </row>
    <row r="21716" spans="2:4" ht="13">
      <c r="B21716" s="12" t="str">
        <f ca="1">IFERROR(__xludf.DUMMYFUNCTION("""COMPUTED_VALUE"""),"")</f>
        <v/>
      </c>
      <c r="C21716" s="12" t="str">
        <f ca="1">IFERROR(__xludf.DUMMYFUNCTION("""COMPUTED_VALUE"""),"")</f>
        <v/>
      </c>
      <c r="D21716" s="12" t="str">
        <f ca="1">IFERROR(__xludf.DUMMYFUNCTION("""COMPUTED_VALUE"""),"")</f>
        <v/>
      </c>
    </row>
    <row r="21717" spans="2:4" ht="13">
      <c r="B21717" s="12" t="str">
        <f ca="1">IFERROR(__xludf.DUMMYFUNCTION("""COMPUTED_VALUE"""),"")</f>
        <v/>
      </c>
      <c r="C21717" s="12" t="str">
        <f ca="1">IFERROR(__xludf.DUMMYFUNCTION("""COMPUTED_VALUE"""),"")</f>
        <v/>
      </c>
      <c r="D21717" s="12" t="str">
        <f ca="1">IFERROR(__xludf.DUMMYFUNCTION("""COMPUTED_VALUE"""),"")</f>
        <v/>
      </c>
    </row>
    <row r="21718" spans="2:4" ht="13">
      <c r="B21718" s="12" t="str">
        <f ca="1">IFERROR(__xludf.DUMMYFUNCTION("""COMPUTED_VALUE"""),"")</f>
        <v/>
      </c>
      <c r="C21718" s="12" t="str">
        <f ca="1">IFERROR(__xludf.DUMMYFUNCTION("""COMPUTED_VALUE"""),"")</f>
        <v/>
      </c>
      <c r="D21718" s="12" t="str">
        <f ca="1">IFERROR(__xludf.DUMMYFUNCTION("""COMPUTED_VALUE"""),"")</f>
        <v/>
      </c>
    </row>
    <row r="21719" spans="2:4" ht="13">
      <c r="B21719" s="12" t="str">
        <f ca="1">IFERROR(__xludf.DUMMYFUNCTION("""COMPUTED_VALUE"""),"")</f>
        <v/>
      </c>
      <c r="C21719" s="12" t="str">
        <f ca="1">IFERROR(__xludf.DUMMYFUNCTION("""COMPUTED_VALUE"""),"")</f>
        <v/>
      </c>
      <c r="D21719" s="12" t="str">
        <f ca="1">IFERROR(__xludf.DUMMYFUNCTION("""COMPUTED_VALUE"""),"")</f>
        <v/>
      </c>
    </row>
    <row r="21720" spans="2:4" ht="13">
      <c r="B21720" s="12" t="str">
        <f ca="1">IFERROR(__xludf.DUMMYFUNCTION("""COMPUTED_VALUE"""),"")</f>
        <v/>
      </c>
      <c r="C21720" s="12" t="str">
        <f ca="1">IFERROR(__xludf.DUMMYFUNCTION("""COMPUTED_VALUE"""),"")</f>
        <v/>
      </c>
      <c r="D21720" s="12" t="str">
        <f ca="1">IFERROR(__xludf.DUMMYFUNCTION("""COMPUTED_VALUE"""),"")</f>
        <v/>
      </c>
    </row>
    <row r="21721" spans="2:4" ht="13">
      <c r="B21721" s="12" t="str">
        <f ca="1">IFERROR(__xludf.DUMMYFUNCTION("""COMPUTED_VALUE"""),"")</f>
        <v/>
      </c>
      <c r="C21721" s="12" t="str">
        <f ca="1">IFERROR(__xludf.DUMMYFUNCTION("""COMPUTED_VALUE"""),"")</f>
        <v/>
      </c>
      <c r="D21721" s="12" t="str">
        <f ca="1">IFERROR(__xludf.DUMMYFUNCTION("""COMPUTED_VALUE"""),"")</f>
        <v/>
      </c>
    </row>
    <row r="21722" spans="2:4" ht="13">
      <c r="B21722" s="12" t="str">
        <f ca="1">IFERROR(__xludf.DUMMYFUNCTION("""COMPUTED_VALUE"""),"")</f>
        <v/>
      </c>
      <c r="C21722" s="12" t="str">
        <f ca="1">IFERROR(__xludf.DUMMYFUNCTION("""COMPUTED_VALUE"""),"")</f>
        <v/>
      </c>
      <c r="D21722" s="12" t="str">
        <f ca="1">IFERROR(__xludf.DUMMYFUNCTION("""COMPUTED_VALUE"""),"")</f>
        <v/>
      </c>
    </row>
    <row r="21723" spans="2:4" ht="13">
      <c r="B21723" s="12" t="str">
        <f ca="1">IFERROR(__xludf.DUMMYFUNCTION("""COMPUTED_VALUE"""),"")</f>
        <v/>
      </c>
      <c r="C21723" s="12" t="str">
        <f ca="1">IFERROR(__xludf.DUMMYFUNCTION("""COMPUTED_VALUE"""),"")</f>
        <v/>
      </c>
      <c r="D21723" s="12" t="str">
        <f ca="1">IFERROR(__xludf.DUMMYFUNCTION("""COMPUTED_VALUE"""),"")</f>
        <v/>
      </c>
    </row>
    <row r="21724" spans="2:4" ht="13">
      <c r="B21724" s="12" t="str">
        <f ca="1">IFERROR(__xludf.DUMMYFUNCTION("""COMPUTED_VALUE"""),"")</f>
        <v/>
      </c>
      <c r="C21724" s="12" t="str">
        <f ca="1">IFERROR(__xludf.DUMMYFUNCTION("""COMPUTED_VALUE"""),"")</f>
        <v/>
      </c>
      <c r="D21724" s="12" t="str">
        <f ca="1">IFERROR(__xludf.DUMMYFUNCTION("""COMPUTED_VALUE"""),"")</f>
        <v/>
      </c>
    </row>
    <row r="21725" spans="2:4" ht="13">
      <c r="B21725" s="12" t="str">
        <f ca="1">IFERROR(__xludf.DUMMYFUNCTION("""COMPUTED_VALUE"""),"")</f>
        <v/>
      </c>
      <c r="C21725" s="12" t="str">
        <f ca="1">IFERROR(__xludf.DUMMYFUNCTION("""COMPUTED_VALUE"""),"")</f>
        <v/>
      </c>
      <c r="D21725" s="12" t="str">
        <f ca="1">IFERROR(__xludf.DUMMYFUNCTION("""COMPUTED_VALUE"""),"")</f>
        <v/>
      </c>
    </row>
    <row r="21726" spans="2:4" ht="13">
      <c r="B21726" s="12" t="str">
        <f ca="1">IFERROR(__xludf.DUMMYFUNCTION("""COMPUTED_VALUE"""),"")</f>
        <v/>
      </c>
      <c r="C21726" s="12" t="str">
        <f ca="1">IFERROR(__xludf.DUMMYFUNCTION("""COMPUTED_VALUE"""),"")</f>
        <v/>
      </c>
      <c r="D21726" s="12" t="str">
        <f ca="1">IFERROR(__xludf.DUMMYFUNCTION("""COMPUTED_VALUE"""),"")</f>
        <v/>
      </c>
    </row>
    <row r="21727" spans="2:4" ht="13">
      <c r="B21727" s="12" t="str">
        <f ca="1">IFERROR(__xludf.DUMMYFUNCTION("""COMPUTED_VALUE"""),"")</f>
        <v/>
      </c>
      <c r="C21727" s="12" t="str">
        <f ca="1">IFERROR(__xludf.DUMMYFUNCTION("""COMPUTED_VALUE"""),"")</f>
        <v/>
      </c>
      <c r="D21727" s="12" t="str">
        <f ca="1">IFERROR(__xludf.DUMMYFUNCTION("""COMPUTED_VALUE"""),"")</f>
        <v/>
      </c>
    </row>
    <row r="21728" spans="2:4" ht="13">
      <c r="B21728" s="12" t="str">
        <f ca="1">IFERROR(__xludf.DUMMYFUNCTION("""COMPUTED_VALUE"""),"")</f>
        <v/>
      </c>
      <c r="C21728" s="12" t="str">
        <f ca="1">IFERROR(__xludf.DUMMYFUNCTION("""COMPUTED_VALUE"""),"")</f>
        <v/>
      </c>
      <c r="D21728" s="12" t="str">
        <f ca="1">IFERROR(__xludf.DUMMYFUNCTION("""COMPUTED_VALUE"""),"")</f>
        <v/>
      </c>
    </row>
    <row r="21729" spans="2:4" ht="13">
      <c r="B21729" s="12" t="str">
        <f ca="1">IFERROR(__xludf.DUMMYFUNCTION("""COMPUTED_VALUE"""),"")</f>
        <v/>
      </c>
      <c r="C21729" s="12" t="str">
        <f ca="1">IFERROR(__xludf.DUMMYFUNCTION("""COMPUTED_VALUE"""),"")</f>
        <v/>
      </c>
      <c r="D21729" s="12" t="str">
        <f ca="1">IFERROR(__xludf.DUMMYFUNCTION("""COMPUTED_VALUE"""),"")</f>
        <v/>
      </c>
    </row>
    <row r="21730" spans="2:4" ht="13">
      <c r="B21730" s="12" t="str">
        <f ca="1">IFERROR(__xludf.DUMMYFUNCTION("""COMPUTED_VALUE"""),"")</f>
        <v/>
      </c>
      <c r="C21730" s="12" t="str">
        <f ca="1">IFERROR(__xludf.DUMMYFUNCTION("""COMPUTED_VALUE"""),"")</f>
        <v/>
      </c>
      <c r="D21730" s="12" t="str">
        <f ca="1">IFERROR(__xludf.DUMMYFUNCTION("""COMPUTED_VALUE"""),"")</f>
        <v/>
      </c>
    </row>
    <row r="21731" spans="2:4" ht="13">
      <c r="B21731" s="12" t="str">
        <f ca="1">IFERROR(__xludf.DUMMYFUNCTION("""COMPUTED_VALUE"""),"")</f>
        <v/>
      </c>
      <c r="C21731" s="12" t="str">
        <f ca="1">IFERROR(__xludf.DUMMYFUNCTION("""COMPUTED_VALUE"""),"")</f>
        <v/>
      </c>
      <c r="D21731" s="12" t="str">
        <f ca="1">IFERROR(__xludf.DUMMYFUNCTION("""COMPUTED_VALUE"""),"")</f>
        <v/>
      </c>
    </row>
    <row r="21732" spans="2:4" ht="13">
      <c r="B21732" s="12" t="str">
        <f ca="1">IFERROR(__xludf.DUMMYFUNCTION("""COMPUTED_VALUE"""),"")</f>
        <v/>
      </c>
      <c r="C21732" s="12" t="str">
        <f ca="1">IFERROR(__xludf.DUMMYFUNCTION("""COMPUTED_VALUE"""),"")</f>
        <v/>
      </c>
      <c r="D21732" s="12" t="str">
        <f ca="1">IFERROR(__xludf.DUMMYFUNCTION("""COMPUTED_VALUE"""),"")</f>
        <v/>
      </c>
    </row>
    <row r="21733" spans="2:4" ht="13">
      <c r="B21733" s="12" t="str">
        <f ca="1">IFERROR(__xludf.DUMMYFUNCTION("""COMPUTED_VALUE"""),"")</f>
        <v/>
      </c>
      <c r="C21733" s="12" t="str">
        <f ca="1">IFERROR(__xludf.DUMMYFUNCTION("""COMPUTED_VALUE"""),"")</f>
        <v/>
      </c>
      <c r="D21733" s="12" t="str">
        <f ca="1">IFERROR(__xludf.DUMMYFUNCTION("""COMPUTED_VALUE"""),"")</f>
        <v/>
      </c>
    </row>
    <row r="21734" spans="2:4" ht="13">
      <c r="B21734" s="12" t="str">
        <f ca="1">IFERROR(__xludf.DUMMYFUNCTION("""COMPUTED_VALUE"""),"")</f>
        <v/>
      </c>
      <c r="C21734" s="12" t="str">
        <f ca="1">IFERROR(__xludf.DUMMYFUNCTION("""COMPUTED_VALUE"""),"")</f>
        <v/>
      </c>
      <c r="D21734" s="12" t="str">
        <f ca="1">IFERROR(__xludf.DUMMYFUNCTION("""COMPUTED_VALUE"""),"")</f>
        <v/>
      </c>
    </row>
    <row r="21735" spans="2:4" ht="13">
      <c r="B21735" s="12" t="str">
        <f ca="1">IFERROR(__xludf.DUMMYFUNCTION("""COMPUTED_VALUE"""),"")</f>
        <v/>
      </c>
      <c r="C21735" s="12" t="str">
        <f ca="1">IFERROR(__xludf.DUMMYFUNCTION("""COMPUTED_VALUE"""),"")</f>
        <v/>
      </c>
      <c r="D21735" s="12" t="str">
        <f ca="1">IFERROR(__xludf.DUMMYFUNCTION("""COMPUTED_VALUE"""),"")</f>
        <v/>
      </c>
    </row>
    <row r="21736" spans="2:4" ht="13">
      <c r="B21736" s="12" t="str">
        <f ca="1">IFERROR(__xludf.DUMMYFUNCTION("""COMPUTED_VALUE"""),"")</f>
        <v/>
      </c>
      <c r="C21736" s="12" t="str">
        <f ca="1">IFERROR(__xludf.DUMMYFUNCTION("""COMPUTED_VALUE"""),"")</f>
        <v/>
      </c>
      <c r="D21736" s="12" t="str">
        <f ca="1">IFERROR(__xludf.DUMMYFUNCTION("""COMPUTED_VALUE"""),"")</f>
        <v/>
      </c>
    </row>
    <row r="21737" spans="2:4" ht="13">
      <c r="B21737" s="12" t="str">
        <f ca="1">IFERROR(__xludf.DUMMYFUNCTION("""COMPUTED_VALUE"""),"")</f>
        <v/>
      </c>
      <c r="C21737" s="12" t="str">
        <f ca="1">IFERROR(__xludf.DUMMYFUNCTION("""COMPUTED_VALUE"""),"")</f>
        <v/>
      </c>
      <c r="D21737" s="12" t="str">
        <f ca="1">IFERROR(__xludf.DUMMYFUNCTION("""COMPUTED_VALUE"""),"")</f>
        <v/>
      </c>
    </row>
    <row r="21738" spans="2:4" ht="13">
      <c r="B21738" s="12" t="str">
        <f ca="1">IFERROR(__xludf.DUMMYFUNCTION("""COMPUTED_VALUE"""),"")</f>
        <v/>
      </c>
      <c r="C21738" s="12" t="str">
        <f ca="1">IFERROR(__xludf.DUMMYFUNCTION("""COMPUTED_VALUE"""),"")</f>
        <v/>
      </c>
      <c r="D21738" s="12" t="str">
        <f ca="1">IFERROR(__xludf.DUMMYFUNCTION("""COMPUTED_VALUE"""),"")</f>
        <v/>
      </c>
    </row>
    <row r="21739" spans="2:4" ht="13">
      <c r="B21739" s="12" t="str">
        <f ca="1">IFERROR(__xludf.DUMMYFUNCTION("""COMPUTED_VALUE"""),"")</f>
        <v/>
      </c>
      <c r="C21739" s="12" t="str">
        <f ca="1">IFERROR(__xludf.DUMMYFUNCTION("""COMPUTED_VALUE"""),"")</f>
        <v/>
      </c>
      <c r="D21739" s="12" t="str">
        <f ca="1">IFERROR(__xludf.DUMMYFUNCTION("""COMPUTED_VALUE"""),"")</f>
        <v/>
      </c>
    </row>
    <row r="21740" spans="2:4" ht="13">
      <c r="B21740" s="12" t="str">
        <f ca="1">IFERROR(__xludf.DUMMYFUNCTION("""COMPUTED_VALUE"""),"")</f>
        <v/>
      </c>
      <c r="C21740" s="12" t="str">
        <f ca="1">IFERROR(__xludf.DUMMYFUNCTION("""COMPUTED_VALUE"""),"")</f>
        <v/>
      </c>
      <c r="D21740" s="12" t="str">
        <f ca="1">IFERROR(__xludf.DUMMYFUNCTION("""COMPUTED_VALUE"""),"")</f>
        <v/>
      </c>
    </row>
    <row r="21741" spans="2:4" ht="13">
      <c r="B21741" s="12" t="str">
        <f ca="1">IFERROR(__xludf.DUMMYFUNCTION("""COMPUTED_VALUE"""),"")</f>
        <v/>
      </c>
      <c r="C21741" s="12" t="str">
        <f ca="1">IFERROR(__xludf.DUMMYFUNCTION("""COMPUTED_VALUE"""),"")</f>
        <v/>
      </c>
      <c r="D21741" s="12" t="str">
        <f ca="1">IFERROR(__xludf.DUMMYFUNCTION("""COMPUTED_VALUE"""),"")</f>
        <v/>
      </c>
    </row>
    <row r="21742" spans="2:4" ht="13">
      <c r="B21742" s="12" t="str">
        <f ca="1">IFERROR(__xludf.DUMMYFUNCTION("""COMPUTED_VALUE"""),"")</f>
        <v/>
      </c>
      <c r="C21742" s="12" t="str">
        <f ca="1">IFERROR(__xludf.DUMMYFUNCTION("""COMPUTED_VALUE"""),"")</f>
        <v/>
      </c>
      <c r="D21742" s="12" t="str">
        <f ca="1">IFERROR(__xludf.DUMMYFUNCTION("""COMPUTED_VALUE"""),"")</f>
        <v/>
      </c>
    </row>
    <row r="21743" spans="2:4" ht="13">
      <c r="B21743" s="12" t="str">
        <f ca="1">IFERROR(__xludf.DUMMYFUNCTION("""COMPUTED_VALUE"""),"")</f>
        <v/>
      </c>
      <c r="C21743" s="12" t="str">
        <f ca="1">IFERROR(__xludf.DUMMYFUNCTION("""COMPUTED_VALUE"""),"")</f>
        <v/>
      </c>
      <c r="D21743" s="12" t="str">
        <f ca="1">IFERROR(__xludf.DUMMYFUNCTION("""COMPUTED_VALUE"""),"")</f>
        <v/>
      </c>
    </row>
    <row r="21744" spans="2:4" ht="13">
      <c r="B21744" s="12" t="str">
        <f ca="1">IFERROR(__xludf.DUMMYFUNCTION("""COMPUTED_VALUE"""),"")</f>
        <v/>
      </c>
      <c r="C21744" s="12" t="str">
        <f ca="1">IFERROR(__xludf.DUMMYFUNCTION("""COMPUTED_VALUE"""),"")</f>
        <v/>
      </c>
      <c r="D21744" s="12" t="str">
        <f ca="1">IFERROR(__xludf.DUMMYFUNCTION("""COMPUTED_VALUE"""),"")</f>
        <v/>
      </c>
    </row>
    <row r="21745" spans="2:4" ht="13">
      <c r="B21745" s="12" t="str">
        <f ca="1">IFERROR(__xludf.DUMMYFUNCTION("""COMPUTED_VALUE"""),"")</f>
        <v/>
      </c>
      <c r="C21745" s="12" t="str">
        <f ca="1">IFERROR(__xludf.DUMMYFUNCTION("""COMPUTED_VALUE"""),"")</f>
        <v/>
      </c>
      <c r="D21745" s="12" t="str">
        <f ca="1">IFERROR(__xludf.DUMMYFUNCTION("""COMPUTED_VALUE"""),"")</f>
        <v/>
      </c>
    </row>
    <row r="21746" spans="2:4" ht="13">
      <c r="B21746" s="12" t="str">
        <f ca="1">IFERROR(__xludf.DUMMYFUNCTION("""COMPUTED_VALUE"""),"")</f>
        <v/>
      </c>
      <c r="C21746" s="12" t="str">
        <f ca="1">IFERROR(__xludf.DUMMYFUNCTION("""COMPUTED_VALUE"""),"")</f>
        <v/>
      </c>
      <c r="D21746" s="12" t="str">
        <f ca="1">IFERROR(__xludf.DUMMYFUNCTION("""COMPUTED_VALUE"""),"")</f>
        <v/>
      </c>
    </row>
    <row r="21747" spans="2:4" ht="13">
      <c r="B21747" s="12" t="str">
        <f ca="1">IFERROR(__xludf.DUMMYFUNCTION("""COMPUTED_VALUE"""),"")</f>
        <v/>
      </c>
      <c r="C21747" s="12" t="str">
        <f ca="1">IFERROR(__xludf.DUMMYFUNCTION("""COMPUTED_VALUE"""),"")</f>
        <v/>
      </c>
      <c r="D21747" s="12" t="str">
        <f ca="1">IFERROR(__xludf.DUMMYFUNCTION("""COMPUTED_VALUE"""),"")</f>
        <v/>
      </c>
    </row>
    <row r="21748" spans="2:4" ht="13">
      <c r="B21748" s="12" t="str">
        <f ca="1">IFERROR(__xludf.DUMMYFUNCTION("""COMPUTED_VALUE"""),"")</f>
        <v/>
      </c>
      <c r="C21748" s="12" t="str">
        <f ca="1">IFERROR(__xludf.DUMMYFUNCTION("""COMPUTED_VALUE"""),"")</f>
        <v/>
      </c>
      <c r="D21748" s="12" t="str">
        <f ca="1">IFERROR(__xludf.DUMMYFUNCTION("""COMPUTED_VALUE"""),"")</f>
        <v/>
      </c>
    </row>
    <row r="21749" spans="2:4" ht="13">
      <c r="B21749" s="12" t="str">
        <f ca="1">IFERROR(__xludf.DUMMYFUNCTION("""COMPUTED_VALUE"""),"")</f>
        <v/>
      </c>
      <c r="C21749" s="12" t="str">
        <f ca="1">IFERROR(__xludf.DUMMYFUNCTION("""COMPUTED_VALUE"""),"")</f>
        <v/>
      </c>
      <c r="D21749" s="12" t="str">
        <f ca="1">IFERROR(__xludf.DUMMYFUNCTION("""COMPUTED_VALUE"""),"")</f>
        <v/>
      </c>
    </row>
    <row r="21750" spans="2:4" ht="13">
      <c r="B21750" s="12" t="str">
        <f ca="1">IFERROR(__xludf.DUMMYFUNCTION("""COMPUTED_VALUE"""),"")</f>
        <v/>
      </c>
      <c r="C21750" s="12" t="str">
        <f ca="1">IFERROR(__xludf.DUMMYFUNCTION("""COMPUTED_VALUE"""),"")</f>
        <v/>
      </c>
      <c r="D21750" s="12" t="str">
        <f ca="1">IFERROR(__xludf.DUMMYFUNCTION("""COMPUTED_VALUE"""),"")</f>
        <v/>
      </c>
    </row>
    <row r="21751" spans="2:4" ht="13">
      <c r="B21751" s="12" t="str">
        <f ca="1">IFERROR(__xludf.DUMMYFUNCTION("""COMPUTED_VALUE"""),"")</f>
        <v/>
      </c>
      <c r="C21751" s="12" t="str">
        <f ca="1">IFERROR(__xludf.DUMMYFUNCTION("""COMPUTED_VALUE"""),"")</f>
        <v/>
      </c>
      <c r="D21751" s="12" t="str">
        <f ca="1">IFERROR(__xludf.DUMMYFUNCTION("""COMPUTED_VALUE"""),"")</f>
        <v/>
      </c>
    </row>
    <row r="21752" spans="2:4" ht="13">
      <c r="B21752" s="12" t="str">
        <f ca="1">IFERROR(__xludf.DUMMYFUNCTION("""COMPUTED_VALUE"""),"")</f>
        <v/>
      </c>
      <c r="C21752" s="12" t="str">
        <f ca="1">IFERROR(__xludf.DUMMYFUNCTION("""COMPUTED_VALUE"""),"")</f>
        <v/>
      </c>
      <c r="D21752" s="12" t="str">
        <f ca="1">IFERROR(__xludf.DUMMYFUNCTION("""COMPUTED_VALUE"""),"")</f>
        <v/>
      </c>
    </row>
    <row r="21753" spans="2:4" ht="13">
      <c r="B21753" s="12" t="str">
        <f ca="1">IFERROR(__xludf.DUMMYFUNCTION("""COMPUTED_VALUE"""),"")</f>
        <v/>
      </c>
      <c r="C21753" s="12" t="str">
        <f ca="1">IFERROR(__xludf.DUMMYFUNCTION("""COMPUTED_VALUE"""),"")</f>
        <v/>
      </c>
      <c r="D21753" s="12" t="str">
        <f ca="1">IFERROR(__xludf.DUMMYFUNCTION("""COMPUTED_VALUE"""),"")</f>
        <v/>
      </c>
    </row>
    <row r="21754" spans="2:4" ht="13">
      <c r="B21754" s="12" t="str">
        <f ca="1">IFERROR(__xludf.DUMMYFUNCTION("""COMPUTED_VALUE"""),"")</f>
        <v/>
      </c>
      <c r="C21754" s="12" t="str">
        <f ca="1">IFERROR(__xludf.DUMMYFUNCTION("""COMPUTED_VALUE"""),"")</f>
        <v/>
      </c>
      <c r="D21754" s="12" t="str">
        <f ca="1">IFERROR(__xludf.DUMMYFUNCTION("""COMPUTED_VALUE"""),"")</f>
        <v/>
      </c>
    </row>
    <row r="21755" spans="2:4" ht="13">
      <c r="B21755" s="12" t="str">
        <f ca="1">IFERROR(__xludf.DUMMYFUNCTION("""COMPUTED_VALUE"""),"")</f>
        <v/>
      </c>
      <c r="C21755" s="12" t="str">
        <f ca="1">IFERROR(__xludf.DUMMYFUNCTION("""COMPUTED_VALUE"""),"")</f>
        <v/>
      </c>
      <c r="D21755" s="12" t="str">
        <f ca="1">IFERROR(__xludf.DUMMYFUNCTION("""COMPUTED_VALUE"""),"")</f>
        <v/>
      </c>
    </row>
    <row r="21756" spans="2:4" ht="13">
      <c r="B21756" s="12" t="str">
        <f ca="1">IFERROR(__xludf.DUMMYFUNCTION("""COMPUTED_VALUE"""),"")</f>
        <v/>
      </c>
      <c r="C21756" s="12" t="str">
        <f ca="1">IFERROR(__xludf.DUMMYFUNCTION("""COMPUTED_VALUE"""),"")</f>
        <v/>
      </c>
      <c r="D21756" s="12" t="str">
        <f ca="1">IFERROR(__xludf.DUMMYFUNCTION("""COMPUTED_VALUE"""),"")</f>
        <v/>
      </c>
    </row>
    <row r="21757" spans="2:4" ht="13">
      <c r="B21757" s="12" t="str">
        <f ca="1">IFERROR(__xludf.DUMMYFUNCTION("""COMPUTED_VALUE"""),"")</f>
        <v/>
      </c>
      <c r="C21757" s="12" t="str">
        <f ca="1">IFERROR(__xludf.DUMMYFUNCTION("""COMPUTED_VALUE"""),"")</f>
        <v/>
      </c>
      <c r="D21757" s="12" t="str">
        <f ca="1">IFERROR(__xludf.DUMMYFUNCTION("""COMPUTED_VALUE"""),"")</f>
        <v/>
      </c>
    </row>
    <row r="21758" spans="2:4" ht="13">
      <c r="B21758" s="12" t="str">
        <f ca="1">IFERROR(__xludf.DUMMYFUNCTION("""COMPUTED_VALUE"""),"")</f>
        <v/>
      </c>
      <c r="C21758" s="12" t="str">
        <f ca="1">IFERROR(__xludf.DUMMYFUNCTION("""COMPUTED_VALUE"""),"")</f>
        <v/>
      </c>
      <c r="D21758" s="12" t="str">
        <f ca="1">IFERROR(__xludf.DUMMYFUNCTION("""COMPUTED_VALUE"""),"")</f>
        <v/>
      </c>
    </row>
    <row r="21759" spans="2:4" ht="13">
      <c r="B21759" s="12" t="str">
        <f ca="1">IFERROR(__xludf.DUMMYFUNCTION("""COMPUTED_VALUE"""),"")</f>
        <v/>
      </c>
      <c r="C21759" s="12" t="str">
        <f ca="1">IFERROR(__xludf.DUMMYFUNCTION("""COMPUTED_VALUE"""),"")</f>
        <v/>
      </c>
      <c r="D21759" s="12" t="str">
        <f ca="1">IFERROR(__xludf.DUMMYFUNCTION("""COMPUTED_VALUE"""),"")</f>
        <v/>
      </c>
    </row>
    <row r="21760" spans="2:4" ht="13">
      <c r="B21760" s="12" t="str">
        <f ca="1">IFERROR(__xludf.DUMMYFUNCTION("""COMPUTED_VALUE"""),"")</f>
        <v/>
      </c>
      <c r="C21760" s="12" t="str">
        <f ca="1">IFERROR(__xludf.DUMMYFUNCTION("""COMPUTED_VALUE"""),"")</f>
        <v/>
      </c>
      <c r="D21760" s="12" t="str">
        <f ca="1">IFERROR(__xludf.DUMMYFUNCTION("""COMPUTED_VALUE"""),"")</f>
        <v/>
      </c>
    </row>
    <row r="21761" spans="2:4" ht="13">
      <c r="B21761" s="12" t="str">
        <f ca="1">IFERROR(__xludf.DUMMYFUNCTION("""COMPUTED_VALUE"""),"")</f>
        <v/>
      </c>
      <c r="C21761" s="12" t="str">
        <f ca="1">IFERROR(__xludf.DUMMYFUNCTION("""COMPUTED_VALUE"""),"")</f>
        <v/>
      </c>
      <c r="D21761" s="12" t="str">
        <f ca="1">IFERROR(__xludf.DUMMYFUNCTION("""COMPUTED_VALUE"""),"")</f>
        <v/>
      </c>
    </row>
    <row r="21762" spans="2:4" ht="13">
      <c r="B21762" s="12" t="str">
        <f ca="1">IFERROR(__xludf.DUMMYFUNCTION("""COMPUTED_VALUE"""),"")</f>
        <v/>
      </c>
      <c r="C21762" s="12" t="str">
        <f ca="1">IFERROR(__xludf.DUMMYFUNCTION("""COMPUTED_VALUE"""),"")</f>
        <v/>
      </c>
      <c r="D21762" s="12" t="str">
        <f ca="1">IFERROR(__xludf.DUMMYFUNCTION("""COMPUTED_VALUE"""),"")</f>
        <v/>
      </c>
    </row>
    <row r="21763" spans="2:4" ht="13">
      <c r="B21763" s="12" t="str">
        <f ca="1">IFERROR(__xludf.DUMMYFUNCTION("""COMPUTED_VALUE"""),"")</f>
        <v/>
      </c>
      <c r="C21763" s="12" t="str">
        <f ca="1">IFERROR(__xludf.DUMMYFUNCTION("""COMPUTED_VALUE"""),"")</f>
        <v/>
      </c>
      <c r="D21763" s="12" t="str">
        <f ca="1">IFERROR(__xludf.DUMMYFUNCTION("""COMPUTED_VALUE"""),"")</f>
        <v/>
      </c>
    </row>
    <row r="21764" spans="2:4" ht="13">
      <c r="B21764" s="12" t="str">
        <f ca="1">IFERROR(__xludf.DUMMYFUNCTION("""COMPUTED_VALUE"""),"")</f>
        <v/>
      </c>
      <c r="C21764" s="12" t="str">
        <f ca="1">IFERROR(__xludf.DUMMYFUNCTION("""COMPUTED_VALUE"""),"")</f>
        <v/>
      </c>
      <c r="D21764" s="12" t="str">
        <f ca="1">IFERROR(__xludf.DUMMYFUNCTION("""COMPUTED_VALUE"""),"")</f>
        <v/>
      </c>
    </row>
    <row r="21765" spans="2:4" ht="13">
      <c r="B21765" s="12" t="str">
        <f ca="1">IFERROR(__xludf.DUMMYFUNCTION("""COMPUTED_VALUE"""),"")</f>
        <v/>
      </c>
      <c r="C21765" s="12" t="str">
        <f ca="1">IFERROR(__xludf.DUMMYFUNCTION("""COMPUTED_VALUE"""),"")</f>
        <v/>
      </c>
      <c r="D21765" s="12" t="str">
        <f ca="1">IFERROR(__xludf.DUMMYFUNCTION("""COMPUTED_VALUE"""),"")</f>
        <v/>
      </c>
    </row>
    <row r="21766" spans="2:4" ht="13">
      <c r="B21766" s="12" t="str">
        <f ca="1">IFERROR(__xludf.DUMMYFUNCTION("""COMPUTED_VALUE"""),"")</f>
        <v/>
      </c>
      <c r="C21766" s="12" t="str">
        <f ca="1">IFERROR(__xludf.DUMMYFUNCTION("""COMPUTED_VALUE"""),"")</f>
        <v/>
      </c>
      <c r="D21766" s="12" t="str">
        <f ca="1">IFERROR(__xludf.DUMMYFUNCTION("""COMPUTED_VALUE"""),"")</f>
        <v/>
      </c>
    </row>
    <row r="21767" spans="2:4" ht="13">
      <c r="B21767" s="12" t="str">
        <f ca="1">IFERROR(__xludf.DUMMYFUNCTION("""COMPUTED_VALUE"""),"")</f>
        <v/>
      </c>
      <c r="C21767" s="12" t="str">
        <f ca="1">IFERROR(__xludf.DUMMYFUNCTION("""COMPUTED_VALUE"""),"")</f>
        <v/>
      </c>
      <c r="D21767" s="12" t="str">
        <f ca="1">IFERROR(__xludf.DUMMYFUNCTION("""COMPUTED_VALUE"""),"")</f>
        <v/>
      </c>
    </row>
    <row r="21768" spans="2:4" ht="13">
      <c r="B21768" s="12" t="str">
        <f ca="1">IFERROR(__xludf.DUMMYFUNCTION("""COMPUTED_VALUE"""),"")</f>
        <v/>
      </c>
      <c r="C21768" s="12" t="str">
        <f ca="1">IFERROR(__xludf.DUMMYFUNCTION("""COMPUTED_VALUE"""),"")</f>
        <v/>
      </c>
      <c r="D21768" s="12" t="str">
        <f ca="1">IFERROR(__xludf.DUMMYFUNCTION("""COMPUTED_VALUE"""),"")</f>
        <v/>
      </c>
    </row>
    <row r="21769" spans="2:4" ht="13">
      <c r="B21769" s="12" t="str">
        <f ca="1">IFERROR(__xludf.DUMMYFUNCTION("""COMPUTED_VALUE"""),"")</f>
        <v/>
      </c>
      <c r="C21769" s="12" t="str">
        <f ca="1">IFERROR(__xludf.DUMMYFUNCTION("""COMPUTED_VALUE"""),"")</f>
        <v/>
      </c>
      <c r="D21769" s="12" t="str">
        <f ca="1">IFERROR(__xludf.DUMMYFUNCTION("""COMPUTED_VALUE"""),"")</f>
        <v/>
      </c>
    </row>
    <row r="21770" spans="2:4" ht="13">
      <c r="B21770" s="12" t="str">
        <f ca="1">IFERROR(__xludf.DUMMYFUNCTION("""COMPUTED_VALUE"""),"")</f>
        <v/>
      </c>
      <c r="C21770" s="12" t="str">
        <f ca="1">IFERROR(__xludf.DUMMYFUNCTION("""COMPUTED_VALUE"""),"")</f>
        <v/>
      </c>
      <c r="D21770" s="12" t="str">
        <f ca="1">IFERROR(__xludf.DUMMYFUNCTION("""COMPUTED_VALUE"""),"")</f>
        <v/>
      </c>
    </row>
    <row r="21771" spans="2:4" ht="13">
      <c r="B21771" s="12" t="str">
        <f ca="1">IFERROR(__xludf.DUMMYFUNCTION("""COMPUTED_VALUE"""),"")</f>
        <v/>
      </c>
      <c r="C21771" s="12" t="str">
        <f ca="1">IFERROR(__xludf.DUMMYFUNCTION("""COMPUTED_VALUE"""),"")</f>
        <v/>
      </c>
      <c r="D21771" s="12" t="str">
        <f ca="1">IFERROR(__xludf.DUMMYFUNCTION("""COMPUTED_VALUE"""),"")</f>
        <v/>
      </c>
    </row>
    <row r="21772" spans="2:4" ht="13">
      <c r="B21772" s="12" t="str">
        <f ca="1">IFERROR(__xludf.DUMMYFUNCTION("""COMPUTED_VALUE"""),"")</f>
        <v/>
      </c>
      <c r="C21772" s="12" t="str">
        <f ca="1">IFERROR(__xludf.DUMMYFUNCTION("""COMPUTED_VALUE"""),"")</f>
        <v/>
      </c>
      <c r="D21772" s="12" t="str">
        <f ca="1">IFERROR(__xludf.DUMMYFUNCTION("""COMPUTED_VALUE"""),"")</f>
        <v/>
      </c>
    </row>
    <row r="21773" spans="2:4" ht="13">
      <c r="B21773" s="12" t="str">
        <f ca="1">IFERROR(__xludf.DUMMYFUNCTION("""COMPUTED_VALUE"""),"")</f>
        <v/>
      </c>
      <c r="C21773" s="12" t="str">
        <f ca="1">IFERROR(__xludf.DUMMYFUNCTION("""COMPUTED_VALUE"""),"")</f>
        <v/>
      </c>
      <c r="D21773" s="12" t="str">
        <f ca="1">IFERROR(__xludf.DUMMYFUNCTION("""COMPUTED_VALUE"""),"")</f>
        <v/>
      </c>
    </row>
    <row r="21774" spans="2:4" ht="13">
      <c r="B21774" s="12" t="str">
        <f ca="1">IFERROR(__xludf.DUMMYFUNCTION("""COMPUTED_VALUE"""),"")</f>
        <v/>
      </c>
      <c r="C21774" s="12" t="str">
        <f ca="1">IFERROR(__xludf.DUMMYFUNCTION("""COMPUTED_VALUE"""),"")</f>
        <v/>
      </c>
      <c r="D21774" s="12" t="str">
        <f ca="1">IFERROR(__xludf.DUMMYFUNCTION("""COMPUTED_VALUE"""),"")</f>
        <v/>
      </c>
    </row>
    <row r="21775" spans="2:4" ht="13">
      <c r="B21775" s="12" t="str">
        <f ca="1">IFERROR(__xludf.DUMMYFUNCTION("""COMPUTED_VALUE"""),"")</f>
        <v/>
      </c>
      <c r="C21775" s="12" t="str">
        <f ca="1">IFERROR(__xludf.DUMMYFUNCTION("""COMPUTED_VALUE"""),"")</f>
        <v/>
      </c>
      <c r="D21775" s="12" t="str">
        <f ca="1">IFERROR(__xludf.DUMMYFUNCTION("""COMPUTED_VALUE"""),"")</f>
        <v/>
      </c>
    </row>
    <row r="21776" spans="2:4" ht="13">
      <c r="B21776" s="12" t="str">
        <f ca="1">IFERROR(__xludf.DUMMYFUNCTION("""COMPUTED_VALUE"""),"")</f>
        <v/>
      </c>
      <c r="C21776" s="12" t="str">
        <f ca="1">IFERROR(__xludf.DUMMYFUNCTION("""COMPUTED_VALUE"""),"")</f>
        <v/>
      </c>
      <c r="D21776" s="12" t="str">
        <f ca="1">IFERROR(__xludf.DUMMYFUNCTION("""COMPUTED_VALUE"""),"")</f>
        <v/>
      </c>
    </row>
    <row r="21777" spans="2:4" ht="13">
      <c r="B21777" s="12" t="str">
        <f ca="1">IFERROR(__xludf.DUMMYFUNCTION("""COMPUTED_VALUE"""),"")</f>
        <v/>
      </c>
      <c r="C21777" s="12" t="str">
        <f ca="1">IFERROR(__xludf.DUMMYFUNCTION("""COMPUTED_VALUE"""),"")</f>
        <v/>
      </c>
      <c r="D21777" s="12" t="str">
        <f ca="1">IFERROR(__xludf.DUMMYFUNCTION("""COMPUTED_VALUE"""),"")</f>
        <v/>
      </c>
    </row>
    <row r="21778" spans="2:4" ht="13">
      <c r="B21778" s="12" t="str">
        <f ca="1">IFERROR(__xludf.DUMMYFUNCTION("""COMPUTED_VALUE"""),"")</f>
        <v/>
      </c>
      <c r="C21778" s="12" t="str">
        <f ca="1">IFERROR(__xludf.DUMMYFUNCTION("""COMPUTED_VALUE"""),"")</f>
        <v/>
      </c>
      <c r="D21778" s="12" t="str">
        <f ca="1">IFERROR(__xludf.DUMMYFUNCTION("""COMPUTED_VALUE"""),"")</f>
        <v/>
      </c>
    </row>
    <row r="21779" spans="2:4" ht="13">
      <c r="B21779" s="12" t="str">
        <f ca="1">IFERROR(__xludf.DUMMYFUNCTION("""COMPUTED_VALUE"""),"")</f>
        <v/>
      </c>
      <c r="C21779" s="12" t="str">
        <f ca="1">IFERROR(__xludf.DUMMYFUNCTION("""COMPUTED_VALUE"""),"")</f>
        <v/>
      </c>
      <c r="D21779" s="12" t="str">
        <f ca="1">IFERROR(__xludf.DUMMYFUNCTION("""COMPUTED_VALUE"""),"")</f>
        <v/>
      </c>
    </row>
    <row r="21780" spans="2:4" ht="13">
      <c r="B21780" s="12" t="str">
        <f ca="1">IFERROR(__xludf.DUMMYFUNCTION("""COMPUTED_VALUE"""),"")</f>
        <v/>
      </c>
      <c r="C21780" s="12" t="str">
        <f ca="1">IFERROR(__xludf.DUMMYFUNCTION("""COMPUTED_VALUE"""),"")</f>
        <v/>
      </c>
      <c r="D21780" s="12" t="str">
        <f ca="1">IFERROR(__xludf.DUMMYFUNCTION("""COMPUTED_VALUE"""),"")</f>
        <v/>
      </c>
    </row>
    <row r="21781" spans="2:4" ht="13">
      <c r="B21781" s="12" t="str">
        <f ca="1">IFERROR(__xludf.DUMMYFUNCTION("""COMPUTED_VALUE"""),"")</f>
        <v/>
      </c>
      <c r="C21781" s="12" t="str">
        <f ca="1">IFERROR(__xludf.DUMMYFUNCTION("""COMPUTED_VALUE"""),"")</f>
        <v/>
      </c>
      <c r="D21781" s="12" t="str">
        <f ca="1">IFERROR(__xludf.DUMMYFUNCTION("""COMPUTED_VALUE"""),"")</f>
        <v/>
      </c>
    </row>
    <row r="21782" spans="2:4" ht="13">
      <c r="B21782" s="12" t="str">
        <f ca="1">IFERROR(__xludf.DUMMYFUNCTION("""COMPUTED_VALUE"""),"")</f>
        <v/>
      </c>
      <c r="C21782" s="12" t="str">
        <f ca="1">IFERROR(__xludf.DUMMYFUNCTION("""COMPUTED_VALUE"""),"")</f>
        <v/>
      </c>
      <c r="D21782" s="12" t="str">
        <f ca="1">IFERROR(__xludf.DUMMYFUNCTION("""COMPUTED_VALUE"""),"")</f>
        <v/>
      </c>
    </row>
    <row r="21783" spans="2:4" ht="13">
      <c r="B21783" s="12" t="str">
        <f ca="1">IFERROR(__xludf.DUMMYFUNCTION("""COMPUTED_VALUE"""),"")</f>
        <v/>
      </c>
      <c r="C21783" s="12" t="str">
        <f ca="1">IFERROR(__xludf.DUMMYFUNCTION("""COMPUTED_VALUE"""),"")</f>
        <v/>
      </c>
      <c r="D21783" s="12" t="str">
        <f ca="1">IFERROR(__xludf.DUMMYFUNCTION("""COMPUTED_VALUE"""),"")</f>
        <v/>
      </c>
    </row>
    <row r="21784" spans="2:4" ht="13">
      <c r="B21784" s="12" t="str">
        <f ca="1">IFERROR(__xludf.DUMMYFUNCTION("""COMPUTED_VALUE"""),"")</f>
        <v/>
      </c>
      <c r="C21784" s="12" t="str">
        <f ca="1">IFERROR(__xludf.DUMMYFUNCTION("""COMPUTED_VALUE"""),"")</f>
        <v/>
      </c>
      <c r="D21784" s="12" t="str">
        <f ca="1">IFERROR(__xludf.DUMMYFUNCTION("""COMPUTED_VALUE"""),"")</f>
        <v/>
      </c>
    </row>
    <row r="21785" spans="2:4" ht="13">
      <c r="B21785" s="12" t="str">
        <f ca="1">IFERROR(__xludf.DUMMYFUNCTION("""COMPUTED_VALUE"""),"")</f>
        <v/>
      </c>
      <c r="C21785" s="12" t="str">
        <f ca="1">IFERROR(__xludf.DUMMYFUNCTION("""COMPUTED_VALUE"""),"")</f>
        <v/>
      </c>
      <c r="D21785" s="12" t="str">
        <f ca="1">IFERROR(__xludf.DUMMYFUNCTION("""COMPUTED_VALUE"""),"")</f>
        <v/>
      </c>
    </row>
    <row r="21786" spans="2:4" ht="13">
      <c r="B21786" s="12" t="str">
        <f ca="1">IFERROR(__xludf.DUMMYFUNCTION("""COMPUTED_VALUE"""),"")</f>
        <v/>
      </c>
      <c r="C21786" s="12" t="str">
        <f ca="1">IFERROR(__xludf.DUMMYFUNCTION("""COMPUTED_VALUE"""),"")</f>
        <v/>
      </c>
      <c r="D21786" s="12" t="str">
        <f ca="1">IFERROR(__xludf.DUMMYFUNCTION("""COMPUTED_VALUE"""),"")</f>
        <v/>
      </c>
    </row>
    <row r="21787" spans="2:4" ht="13">
      <c r="B21787" s="12" t="str">
        <f ca="1">IFERROR(__xludf.DUMMYFUNCTION("""COMPUTED_VALUE"""),"")</f>
        <v/>
      </c>
      <c r="C21787" s="12" t="str">
        <f ca="1">IFERROR(__xludf.DUMMYFUNCTION("""COMPUTED_VALUE"""),"")</f>
        <v/>
      </c>
      <c r="D21787" s="12" t="str">
        <f ca="1">IFERROR(__xludf.DUMMYFUNCTION("""COMPUTED_VALUE"""),"")</f>
        <v/>
      </c>
    </row>
    <row r="21788" spans="2:4" ht="13">
      <c r="B21788" s="12" t="str">
        <f ca="1">IFERROR(__xludf.DUMMYFUNCTION("""COMPUTED_VALUE"""),"")</f>
        <v/>
      </c>
      <c r="C21788" s="12" t="str">
        <f ca="1">IFERROR(__xludf.DUMMYFUNCTION("""COMPUTED_VALUE"""),"")</f>
        <v/>
      </c>
      <c r="D21788" s="12" t="str">
        <f ca="1">IFERROR(__xludf.DUMMYFUNCTION("""COMPUTED_VALUE"""),"")</f>
        <v/>
      </c>
    </row>
    <row r="21789" spans="2:4" ht="13">
      <c r="B21789" s="12" t="str">
        <f ca="1">IFERROR(__xludf.DUMMYFUNCTION("""COMPUTED_VALUE"""),"")</f>
        <v/>
      </c>
      <c r="C21789" s="12" t="str">
        <f ca="1">IFERROR(__xludf.DUMMYFUNCTION("""COMPUTED_VALUE"""),"")</f>
        <v/>
      </c>
      <c r="D21789" s="12" t="str">
        <f ca="1">IFERROR(__xludf.DUMMYFUNCTION("""COMPUTED_VALUE"""),"")</f>
        <v/>
      </c>
    </row>
    <row r="21790" spans="2:4" ht="13">
      <c r="B21790" s="12" t="str">
        <f ca="1">IFERROR(__xludf.DUMMYFUNCTION("""COMPUTED_VALUE"""),"")</f>
        <v/>
      </c>
      <c r="C21790" s="12" t="str">
        <f ca="1">IFERROR(__xludf.DUMMYFUNCTION("""COMPUTED_VALUE"""),"")</f>
        <v/>
      </c>
      <c r="D21790" s="12" t="str">
        <f ca="1">IFERROR(__xludf.DUMMYFUNCTION("""COMPUTED_VALUE"""),"")</f>
        <v/>
      </c>
    </row>
    <row r="21791" spans="2:4" ht="13">
      <c r="B21791" s="12" t="str">
        <f ca="1">IFERROR(__xludf.DUMMYFUNCTION("""COMPUTED_VALUE"""),"")</f>
        <v/>
      </c>
      <c r="C21791" s="12" t="str">
        <f ca="1">IFERROR(__xludf.DUMMYFUNCTION("""COMPUTED_VALUE"""),"")</f>
        <v/>
      </c>
      <c r="D21791" s="12" t="str">
        <f ca="1">IFERROR(__xludf.DUMMYFUNCTION("""COMPUTED_VALUE"""),"")</f>
        <v/>
      </c>
    </row>
    <row r="21792" spans="2:4" ht="13">
      <c r="B21792" s="12" t="str">
        <f ca="1">IFERROR(__xludf.DUMMYFUNCTION("""COMPUTED_VALUE"""),"")</f>
        <v/>
      </c>
      <c r="C21792" s="12" t="str">
        <f ca="1">IFERROR(__xludf.DUMMYFUNCTION("""COMPUTED_VALUE"""),"")</f>
        <v/>
      </c>
      <c r="D21792" s="12" t="str">
        <f ca="1">IFERROR(__xludf.DUMMYFUNCTION("""COMPUTED_VALUE"""),"")</f>
        <v/>
      </c>
    </row>
    <row r="21793" spans="2:4" ht="13">
      <c r="B21793" s="12" t="str">
        <f ca="1">IFERROR(__xludf.DUMMYFUNCTION("""COMPUTED_VALUE"""),"")</f>
        <v/>
      </c>
      <c r="C21793" s="12" t="str">
        <f ca="1">IFERROR(__xludf.DUMMYFUNCTION("""COMPUTED_VALUE"""),"")</f>
        <v/>
      </c>
      <c r="D21793" s="12" t="str">
        <f ca="1">IFERROR(__xludf.DUMMYFUNCTION("""COMPUTED_VALUE"""),"")</f>
        <v/>
      </c>
    </row>
    <row r="21794" spans="2:4" ht="13">
      <c r="B21794" s="12" t="str">
        <f ca="1">IFERROR(__xludf.DUMMYFUNCTION("""COMPUTED_VALUE"""),"")</f>
        <v/>
      </c>
      <c r="C21794" s="12" t="str">
        <f ca="1">IFERROR(__xludf.DUMMYFUNCTION("""COMPUTED_VALUE"""),"")</f>
        <v/>
      </c>
      <c r="D21794" s="12" t="str">
        <f ca="1">IFERROR(__xludf.DUMMYFUNCTION("""COMPUTED_VALUE"""),"")</f>
        <v/>
      </c>
    </row>
    <row r="21795" spans="2:4" ht="13">
      <c r="B21795" s="12" t="str">
        <f ca="1">IFERROR(__xludf.DUMMYFUNCTION("""COMPUTED_VALUE"""),"")</f>
        <v/>
      </c>
      <c r="C21795" s="12" t="str">
        <f ca="1">IFERROR(__xludf.DUMMYFUNCTION("""COMPUTED_VALUE"""),"")</f>
        <v/>
      </c>
      <c r="D21795" s="12" t="str">
        <f ca="1">IFERROR(__xludf.DUMMYFUNCTION("""COMPUTED_VALUE"""),"")</f>
        <v/>
      </c>
    </row>
    <row r="21796" spans="2:4" ht="13">
      <c r="B21796" s="12" t="str">
        <f ca="1">IFERROR(__xludf.DUMMYFUNCTION("""COMPUTED_VALUE"""),"")</f>
        <v/>
      </c>
      <c r="C21796" s="12" t="str">
        <f ca="1">IFERROR(__xludf.DUMMYFUNCTION("""COMPUTED_VALUE"""),"")</f>
        <v/>
      </c>
      <c r="D21796" s="12" t="str">
        <f ca="1">IFERROR(__xludf.DUMMYFUNCTION("""COMPUTED_VALUE"""),"")</f>
        <v/>
      </c>
    </row>
    <row r="21797" spans="2:4" ht="13">
      <c r="B21797" s="12" t="str">
        <f ca="1">IFERROR(__xludf.DUMMYFUNCTION("""COMPUTED_VALUE"""),"")</f>
        <v/>
      </c>
      <c r="C21797" s="12" t="str">
        <f ca="1">IFERROR(__xludf.DUMMYFUNCTION("""COMPUTED_VALUE"""),"")</f>
        <v/>
      </c>
      <c r="D21797" s="12" t="str">
        <f ca="1">IFERROR(__xludf.DUMMYFUNCTION("""COMPUTED_VALUE"""),"")</f>
        <v/>
      </c>
    </row>
    <row r="21798" spans="2:4" ht="13">
      <c r="B21798" s="12" t="str">
        <f ca="1">IFERROR(__xludf.DUMMYFUNCTION("""COMPUTED_VALUE"""),"")</f>
        <v/>
      </c>
      <c r="C21798" s="12" t="str">
        <f ca="1">IFERROR(__xludf.DUMMYFUNCTION("""COMPUTED_VALUE"""),"")</f>
        <v/>
      </c>
      <c r="D21798" s="12" t="str">
        <f ca="1">IFERROR(__xludf.DUMMYFUNCTION("""COMPUTED_VALUE"""),"")</f>
        <v/>
      </c>
    </row>
    <row r="21799" spans="2:4" ht="13">
      <c r="B21799" s="12" t="str">
        <f ca="1">IFERROR(__xludf.DUMMYFUNCTION("""COMPUTED_VALUE"""),"")</f>
        <v/>
      </c>
      <c r="C21799" s="12" t="str">
        <f ca="1">IFERROR(__xludf.DUMMYFUNCTION("""COMPUTED_VALUE"""),"")</f>
        <v/>
      </c>
      <c r="D21799" s="12" t="str">
        <f ca="1">IFERROR(__xludf.DUMMYFUNCTION("""COMPUTED_VALUE"""),"")</f>
        <v/>
      </c>
    </row>
    <row r="21800" spans="2:4" ht="13">
      <c r="B21800" s="12" t="str">
        <f ca="1">IFERROR(__xludf.DUMMYFUNCTION("""COMPUTED_VALUE"""),"")</f>
        <v/>
      </c>
      <c r="C21800" s="12" t="str">
        <f ca="1">IFERROR(__xludf.DUMMYFUNCTION("""COMPUTED_VALUE"""),"")</f>
        <v/>
      </c>
      <c r="D21800" s="12" t="str">
        <f ca="1">IFERROR(__xludf.DUMMYFUNCTION("""COMPUTED_VALUE"""),"")</f>
        <v/>
      </c>
    </row>
    <row r="21801" spans="2:4" ht="13">
      <c r="B21801" s="12" t="str">
        <f ca="1">IFERROR(__xludf.DUMMYFUNCTION("""COMPUTED_VALUE"""),"")</f>
        <v/>
      </c>
      <c r="C21801" s="12" t="str">
        <f ca="1">IFERROR(__xludf.DUMMYFUNCTION("""COMPUTED_VALUE"""),"")</f>
        <v/>
      </c>
      <c r="D21801" s="12" t="str">
        <f ca="1">IFERROR(__xludf.DUMMYFUNCTION("""COMPUTED_VALUE"""),"")</f>
        <v/>
      </c>
    </row>
    <row r="21802" spans="2:4" ht="13">
      <c r="B21802" s="12" t="str">
        <f ca="1">IFERROR(__xludf.DUMMYFUNCTION("""COMPUTED_VALUE"""),"")</f>
        <v/>
      </c>
      <c r="C21802" s="12" t="str">
        <f ca="1">IFERROR(__xludf.DUMMYFUNCTION("""COMPUTED_VALUE"""),"")</f>
        <v/>
      </c>
      <c r="D21802" s="12" t="str">
        <f ca="1">IFERROR(__xludf.DUMMYFUNCTION("""COMPUTED_VALUE"""),"")</f>
        <v/>
      </c>
    </row>
    <row r="21803" spans="2:4" ht="13">
      <c r="B21803" s="12" t="str">
        <f ca="1">IFERROR(__xludf.DUMMYFUNCTION("""COMPUTED_VALUE"""),"")</f>
        <v/>
      </c>
      <c r="C21803" s="12" t="str">
        <f ca="1">IFERROR(__xludf.DUMMYFUNCTION("""COMPUTED_VALUE"""),"")</f>
        <v/>
      </c>
      <c r="D21803" s="12" t="str">
        <f ca="1">IFERROR(__xludf.DUMMYFUNCTION("""COMPUTED_VALUE"""),"")</f>
        <v/>
      </c>
    </row>
    <row r="21804" spans="2:4" ht="13">
      <c r="B21804" s="12" t="str">
        <f ca="1">IFERROR(__xludf.DUMMYFUNCTION("""COMPUTED_VALUE"""),"")</f>
        <v/>
      </c>
      <c r="C21804" s="12" t="str">
        <f ca="1">IFERROR(__xludf.DUMMYFUNCTION("""COMPUTED_VALUE"""),"")</f>
        <v/>
      </c>
      <c r="D21804" s="12" t="str">
        <f ca="1">IFERROR(__xludf.DUMMYFUNCTION("""COMPUTED_VALUE"""),"")</f>
        <v/>
      </c>
    </row>
    <row r="21805" spans="2:4" ht="13">
      <c r="B21805" s="12" t="str">
        <f ca="1">IFERROR(__xludf.DUMMYFUNCTION("""COMPUTED_VALUE"""),"")</f>
        <v/>
      </c>
      <c r="C21805" s="12" t="str">
        <f ca="1">IFERROR(__xludf.DUMMYFUNCTION("""COMPUTED_VALUE"""),"")</f>
        <v/>
      </c>
      <c r="D21805" s="12" t="str">
        <f ca="1">IFERROR(__xludf.DUMMYFUNCTION("""COMPUTED_VALUE"""),"")</f>
        <v/>
      </c>
    </row>
    <row r="21806" spans="2:4" ht="13">
      <c r="B21806" s="12" t="str">
        <f ca="1">IFERROR(__xludf.DUMMYFUNCTION("""COMPUTED_VALUE"""),"")</f>
        <v/>
      </c>
      <c r="C21806" s="12" t="str">
        <f ca="1">IFERROR(__xludf.DUMMYFUNCTION("""COMPUTED_VALUE"""),"")</f>
        <v/>
      </c>
      <c r="D21806" s="12" t="str">
        <f ca="1">IFERROR(__xludf.DUMMYFUNCTION("""COMPUTED_VALUE"""),"")</f>
        <v/>
      </c>
    </row>
    <row r="21807" spans="2:4" ht="13">
      <c r="B21807" s="12" t="str">
        <f ca="1">IFERROR(__xludf.DUMMYFUNCTION("""COMPUTED_VALUE"""),"")</f>
        <v/>
      </c>
      <c r="C21807" s="12" t="str">
        <f ca="1">IFERROR(__xludf.DUMMYFUNCTION("""COMPUTED_VALUE"""),"")</f>
        <v/>
      </c>
      <c r="D21807" s="12" t="str">
        <f ca="1">IFERROR(__xludf.DUMMYFUNCTION("""COMPUTED_VALUE"""),"")</f>
        <v/>
      </c>
    </row>
    <row r="21808" spans="2:4" ht="13">
      <c r="B21808" s="12" t="str">
        <f ca="1">IFERROR(__xludf.DUMMYFUNCTION("""COMPUTED_VALUE"""),"")</f>
        <v/>
      </c>
      <c r="C21808" s="12" t="str">
        <f ca="1">IFERROR(__xludf.DUMMYFUNCTION("""COMPUTED_VALUE"""),"")</f>
        <v/>
      </c>
      <c r="D21808" s="12" t="str">
        <f ca="1">IFERROR(__xludf.DUMMYFUNCTION("""COMPUTED_VALUE"""),"")</f>
        <v/>
      </c>
    </row>
    <row r="21809" spans="2:4" ht="13">
      <c r="B21809" s="12" t="str">
        <f ca="1">IFERROR(__xludf.DUMMYFUNCTION("""COMPUTED_VALUE"""),"")</f>
        <v/>
      </c>
      <c r="C21809" s="12" t="str">
        <f ca="1">IFERROR(__xludf.DUMMYFUNCTION("""COMPUTED_VALUE"""),"")</f>
        <v/>
      </c>
      <c r="D21809" s="12" t="str">
        <f ca="1">IFERROR(__xludf.DUMMYFUNCTION("""COMPUTED_VALUE"""),"")</f>
        <v/>
      </c>
    </row>
    <row r="21810" spans="2:4" ht="13">
      <c r="B21810" s="12" t="str">
        <f ca="1">IFERROR(__xludf.DUMMYFUNCTION("""COMPUTED_VALUE"""),"")</f>
        <v/>
      </c>
      <c r="C21810" s="12" t="str">
        <f ca="1">IFERROR(__xludf.DUMMYFUNCTION("""COMPUTED_VALUE"""),"")</f>
        <v/>
      </c>
      <c r="D21810" s="12" t="str">
        <f ca="1">IFERROR(__xludf.DUMMYFUNCTION("""COMPUTED_VALUE"""),"")</f>
        <v/>
      </c>
    </row>
    <row r="21811" spans="2:4" ht="13">
      <c r="B21811" s="12" t="str">
        <f ca="1">IFERROR(__xludf.DUMMYFUNCTION("""COMPUTED_VALUE"""),"")</f>
        <v/>
      </c>
      <c r="C21811" s="12" t="str">
        <f ca="1">IFERROR(__xludf.DUMMYFUNCTION("""COMPUTED_VALUE"""),"")</f>
        <v/>
      </c>
      <c r="D21811" s="12" t="str">
        <f ca="1">IFERROR(__xludf.DUMMYFUNCTION("""COMPUTED_VALUE"""),"")</f>
        <v/>
      </c>
    </row>
    <row r="21812" spans="2:4" ht="13">
      <c r="B21812" s="12" t="str">
        <f ca="1">IFERROR(__xludf.DUMMYFUNCTION("""COMPUTED_VALUE"""),"")</f>
        <v/>
      </c>
      <c r="C21812" s="12" t="str">
        <f ca="1">IFERROR(__xludf.DUMMYFUNCTION("""COMPUTED_VALUE"""),"")</f>
        <v/>
      </c>
      <c r="D21812" s="12" t="str">
        <f ca="1">IFERROR(__xludf.DUMMYFUNCTION("""COMPUTED_VALUE"""),"")</f>
        <v/>
      </c>
    </row>
    <row r="21813" spans="2:4" ht="13">
      <c r="B21813" s="12" t="str">
        <f ca="1">IFERROR(__xludf.DUMMYFUNCTION("""COMPUTED_VALUE"""),"")</f>
        <v/>
      </c>
      <c r="C21813" s="12" t="str">
        <f ca="1">IFERROR(__xludf.DUMMYFUNCTION("""COMPUTED_VALUE"""),"")</f>
        <v/>
      </c>
      <c r="D21813" s="12" t="str">
        <f ca="1">IFERROR(__xludf.DUMMYFUNCTION("""COMPUTED_VALUE"""),"")</f>
        <v/>
      </c>
    </row>
    <row r="21814" spans="2:4" ht="13">
      <c r="B21814" s="12" t="str">
        <f ca="1">IFERROR(__xludf.DUMMYFUNCTION("""COMPUTED_VALUE"""),"")</f>
        <v/>
      </c>
      <c r="C21814" s="12" t="str">
        <f ca="1">IFERROR(__xludf.DUMMYFUNCTION("""COMPUTED_VALUE"""),"")</f>
        <v/>
      </c>
      <c r="D21814" s="12" t="str">
        <f ca="1">IFERROR(__xludf.DUMMYFUNCTION("""COMPUTED_VALUE"""),"")</f>
        <v/>
      </c>
    </row>
    <row r="21815" spans="2:4" ht="13">
      <c r="B21815" s="12" t="str">
        <f ca="1">IFERROR(__xludf.DUMMYFUNCTION("""COMPUTED_VALUE"""),"")</f>
        <v/>
      </c>
      <c r="C21815" s="12" t="str">
        <f ca="1">IFERROR(__xludf.DUMMYFUNCTION("""COMPUTED_VALUE"""),"")</f>
        <v/>
      </c>
      <c r="D21815" s="12" t="str">
        <f ca="1">IFERROR(__xludf.DUMMYFUNCTION("""COMPUTED_VALUE"""),"")</f>
        <v/>
      </c>
    </row>
    <row r="21816" spans="2:4" ht="13">
      <c r="B21816" s="12" t="str">
        <f ca="1">IFERROR(__xludf.DUMMYFUNCTION("""COMPUTED_VALUE"""),"")</f>
        <v/>
      </c>
      <c r="C21816" s="12" t="str">
        <f ca="1">IFERROR(__xludf.DUMMYFUNCTION("""COMPUTED_VALUE"""),"")</f>
        <v/>
      </c>
      <c r="D21816" s="12" t="str">
        <f ca="1">IFERROR(__xludf.DUMMYFUNCTION("""COMPUTED_VALUE"""),"")</f>
        <v/>
      </c>
    </row>
    <row r="21817" spans="2:4" ht="13">
      <c r="B21817" s="12" t="str">
        <f ca="1">IFERROR(__xludf.DUMMYFUNCTION("""COMPUTED_VALUE"""),"")</f>
        <v/>
      </c>
      <c r="C21817" s="12" t="str">
        <f ca="1">IFERROR(__xludf.DUMMYFUNCTION("""COMPUTED_VALUE"""),"")</f>
        <v/>
      </c>
      <c r="D21817" s="12" t="str">
        <f ca="1">IFERROR(__xludf.DUMMYFUNCTION("""COMPUTED_VALUE"""),"")</f>
        <v/>
      </c>
    </row>
    <row r="21818" spans="2:4" ht="13">
      <c r="B21818" s="12" t="str">
        <f ca="1">IFERROR(__xludf.DUMMYFUNCTION("""COMPUTED_VALUE"""),"")</f>
        <v/>
      </c>
      <c r="C21818" s="12" t="str">
        <f ca="1">IFERROR(__xludf.DUMMYFUNCTION("""COMPUTED_VALUE"""),"")</f>
        <v/>
      </c>
      <c r="D21818" s="12" t="str">
        <f ca="1">IFERROR(__xludf.DUMMYFUNCTION("""COMPUTED_VALUE"""),"")</f>
        <v/>
      </c>
    </row>
    <row r="21819" spans="2:4" ht="13">
      <c r="B21819" s="12" t="str">
        <f ca="1">IFERROR(__xludf.DUMMYFUNCTION("""COMPUTED_VALUE"""),"")</f>
        <v/>
      </c>
      <c r="C21819" s="12" t="str">
        <f ca="1">IFERROR(__xludf.DUMMYFUNCTION("""COMPUTED_VALUE"""),"")</f>
        <v/>
      </c>
      <c r="D21819" s="12" t="str">
        <f ca="1">IFERROR(__xludf.DUMMYFUNCTION("""COMPUTED_VALUE"""),"")</f>
        <v/>
      </c>
    </row>
    <row r="21820" spans="2:4" ht="13">
      <c r="B21820" s="12" t="str">
        <f ca="1">IFERROR(__xludf.DUMMYFUNCTION("""COMPUTED_VALUE"""),"")</f>
        <v/>
      </c>
      <c r="C21820" s="12" t="str">
        <f ca="1">IFERROR(__xludf.DUMMYFUNCTION("""COMPUTED_VALUE"""),"")</f>
        <v/>
      </c>
      <c r="D21820" s="12" t="str">
        <f ca="1">IFERROR(__xludf.DUMMYFUNCTION("""COMPUTED_VALUE"""),"")</f>
        <v/>
      </c>
    </row>
    <row r="21821" spans="2:4" ht="13">
      <c r="B21821" s="12" t="str">
        <f ca="1">IFERROR(__xludf.DUMMYFUNCTION("""COMPUTED_VALUE"""),"")</f>
        <v/>
      </c>
      <c r="C21821" s="12" t="str">
        <f ca="1">IFERROR(__xludf.DUMMYFUNCTION("""COMPUTED_VALUE"""),"")</f>
        <v/>
      </c>
      <c r="D21821" s="12" t="str">
        <f ca="1">IFERROR(__xludf.DUMMYFUNCTION("""COMPUTED_VALUE"""),"")</f>
        <v/>
      </c>
    </row>
    <row r="21822" spans="2:4" ht="13">
      <c r="B21822" s="12" t="str">
        <f ca="1">IFERROR(__xludf.DUMMYFUNCTION("""COMPUTED_VALUE"""),"")</f>
        <v/>
      </c>
      <c r="C21822" s="12" t="str">
        <f ca="1">IFERROR(__xludf.DUMMYFUNCTION("""COMPUTED_VALUE"""),"")</f>
        <v/>
      </c>
      <c r="D21822" s="12" t="str">
        <f ca="1">IFERROR(__xludf.DUMMYFUNCTION("""COMPUTED_VALUE"""),"")</f>
        <v/>
      </c>
    </row>
    <row r="21823" spans="2:4" ht="13">
      <c r="B21823" s="12" t="str">
        <f ca="1">IFERROR(__xludf.DUMMYFUNCTION("""COMPUTED_VALUE"""),"")</f>
        <v/>
      </c>
      <c r="C21823" s="12" t="str">
        <f ca="1">IFERROR(__xludf.DUMMYFUNCTION("""COMPUTED_VALUE"""),"")</f>
        <v/>
      </c>
      <c r="D21823" s="12" t="str">
        <f ca="1">IFERROR(__xludf.DUMMYFUNCTION("""COMPUTED_VALUE"""),"")</f>
        <v/>
      </c>
    </row>
    <row r="21824" spans="2:4" ht="13">
      <c r="B21824" s="12" t="str">
        <f ca="1">IFERROR(__xludf.DUMMYFUNCTION("""COMPUTED_VALUE"""),"")</f>
        <v/>
      </c>
      <c r="C21824" s="12" t="str">
        <f ca="1">IFERROR(__xludf.DUMMYFUNCTION("""COMPUTED_VALUE"""),"")</f>
        <v/>
      </c>
      <c r="D21824" s="12" t="str">
        <f ca="1">IFERROR(__xludf.DUMMYFUNCTION("""COMPUTED_VALUE"""),"")</f>
        <v/>
      </c>
    </row>
    <row r="21825" spans="2:4" ht="13">
      <c r="B21825" s="12" t="str">
        <f ca="1">IFERROR(__xludf.DUMMYFUNCTION("""COMPUTED_VALUE"""),"")</f>
        <v/>
      </c>
      <c r="C21825" s="12" t="str">
        <f ca="1">IFERROR(__xludf.DUMMYFUNCTION("""COMPUTED_VALUE"""),"")</f>
        <v/>
      </c>
      <c r="D21825" s="12" t="str">
        <f ca="1">IFERROR(__xludf.DUMMYFUNCTION("""COMPUTED_VALUE"""),"")</f>
        <v/>
      </c>
    </row>
    <row r="21826" spans="2:4" ht="13">
      <c r="B21826" s="12" t="str">
        <f ca="1">IFERROR(__xludf.DUMMYFUNCTION("""COMPUTED_VALUE"""),"")</f>
        <v/>
      </c>
      <c r="C21826" s="12" t="str">
        <f ca="1">IFERROR(__xludf.DUMMYFUNCTION("""COMPUTED_VALUE"""),"")</f>
        <v/>
      </c>
      <c r="D21826" s="12" t="str">
        <f ca="1">IFERROR(__xludf.DUMMYFUNCTION("""COMPUTED_VALUE"""),"")</f>
        <v/>
      </c>
    </row>
    <row r="21827" spans="2:4" ht="13">
      <c r="B21827" s="12" t="str">
        <f ca="1">IFERROR(__xludf.DUMMYFUNCTION("""COMPUTED_VALUE"""),"")</f>
        <v/>
      </c>
      <c r="C21827" s="12" t="str">
        <f ca="1">IFERROR(__xludf.DUMMYFUNCTION("""COMPUTED_VALUE"""),"")</f>
        <v/>
      </c>
      <c r="D21827" s="12" t="str">
        <f ca="1">IFERROR(__xludf.DUMMYFUNCTION("""COMPUTED_VALUE"""),"")</f>
        <v/>
      </c>
    </row>
    <row r="21828" spans="2:4" ht="13">
      <c r="B21828" s="12" t="str">
        <f ca="1">IFERROR(__xludf.DUMMYFUNCTION("""COMPUTED_VALUE"""),"")</f>
        <v/>
      </c>
      <c r="C21828" s="12" t="str">
        <f ca="1">IFERROR(__xludf.DUMMYFUNCTION("""COMPUTED_VALUE"""),"")</f>
        <v/>
      </c>
      <c r="D21828" s="12" t="str">
        <f ca="1">IFERROR(__xludf.DUMMYFUNCTION("""COMPUTED_VALUE"""),"")</f>
        <v/>
      </c>
    </row>
    <row r="21829" spans="2:4" ht="13">
      <c r="B21829" s="12" t="str">
        <f ca="1">IFERROR(__xludf.DUMMYFUNCTION("""COMPUTED_VALUE"""),"")</f>
        <v/>
      </c>
      <c r="C21829" s="12" t="str">
        <f ca="1">IFERROR(__xludf.DUMMYFUNCTION("""COMPUTED_VALUE"""),"")</f>
        <v/>
      </c>
      <c r="D21829" s="12" t="str">
        <f ca="1">IFERROR(__xludf.DUMMYFUNCTION("""COMPUTED_VALUE"""),"")</f>
        <v/>
      </c>
    </row>
    <row r="21830" spans="2:4" ht="13">
      <c r="B21830" s="12" t="str">
        <f ca="1">IFERROR(__xludf.DUMMYFUNCTION("""COMPUTED_VALUE"""),"")</f>
        <v/>
      </c>
      <c r="C21830" s="12" t="str">
        <f ca="1">IFERROR(__xludf.DUMMYFUNCTION("""COMPUTED_VALUE"""),"")</f>
        <v/>
      </c>
      <c r="D21830" s="12" t="str">
        <f ca="1">IFERROR(__xludf.DUMMYFUNCTION("""COMPUTED_VALUE"""),"")</f>
        <v/>
      </c>
    </row>
    <row r="21831" spans="2:4" ht="13">
      <c r="B21831" s="12" t="str">
        <f ca="1">IFERROR(__xludf.DUMMYFUNCTION("""COMPUTED_VALUE"""),"")</f>
        <v/>
      </c>
      <c r="C21831" s="12" t="str">
        <f ca="1">IFERROR(__xludf.DUMMYFUNCTION("""COMPUTED_VALUE"""),"")</f>
        <v/>
      </c>
      <c r="D21831" s="12" t="str">
        <f ca="1">IFERROR(__xludf.DUMMYFUNCTION("""COMPUTED_VALUE"""),"")</f>
        <v/>
      </c>
    </row>
    <row r="21832" spans="2:4" ht="13">
      <c r="B21832" s="12" t="str">
        <f ca="1">IFERROR(__xludf.DUMMYFUNCTION("""COMPUTED_VALUE"""),"")</f>
        <v/>
      </c>
      <c r="C21832" s="12" t="str">
        <f ca="1">IFERROR(__xludf.DUMMYFUNCTION("""COMPUTED_VALUE"""),"")</f>
        <v/>
      </c>
      <c r="D21832" s="12" t="str">
        <f ca="1">IFERROR(__xludf.DUMMYFUNCTION("""COMPUTED_VALUE"""),"")</f>
        <v/>
      </c>
    </row>
    <row r="21833" spans="2:4" ht="13">
      <c r="B21833" s="12" t="str">
        <f ca="1">IFERROR(__xludf.DUMMYFUNCTION("""COMPUTED_VALUE"""),"")</f>
        <v/>
      </c>
      <c r="C21833" s="12" t="str">
        <f ca="1">IFERROR(__xludf.DUMMYFUNCTION("""COMPUTED_VALUE"""),"")</f>
        <v/>
      </c>
      <c r="D21833" s="12" t="str">
        <f ca="1">IFERROR(__xludf.DUMMYFUNCTION("""COMPUTED_VALUE"""),"")</f>
        <v/>
      </c>
    </row>
    <row r="21834" spans="2:4" ht="13">
      <c r="B21834" s="12" t="str">
        <f ca="1">IFERROR(__xludf.DUMMYFUNCTION("""COMPUTED_VALUE"""),"")</f>
        <v/>
      </c>
      <c r="C21834" s="12" t="str">
        <f ca="1">IFERROR(__xludf.DUMMYFUNCTION("""COMPUTED_VALUE"""),"")</f>
        <v/>
      </c>
      <c r="D21834" s="12" t="str">
        <f ca="1">IFERROR(__xludf.DUMMYFUNCTION("""COMPUTED_VALUE"""),"")</f>
        <v/>
      </c>
    </row>
    <row r="21835" spans="2:4" ht="13">
      <c r="B21835" s="12" t="str">
        <f ca="1">IFERROR(__xludf.DUMMYFUNCTION("""COMPUTED_VALUE"""),"")</f>
        <v/>
      </c>
      <c r="C21835" s="12" t="str">
        <f ca="1">IFERROR(__xludf.DUMMYFUNCTION("""COMPUTED_VALUE"""),"")</f>
        <v/>
      </c>
      <c r="D21835" s="12" t="str">
        <f ca="1">IFERROR(__xludf.DUMMYFUNCTION("""COMPUTED_VALUE"""),"")</f>
        <v/>
      </c>
    </row>
    <row r="21836" spans="2:4" ht="13">
      <c r="B21836" s="12" t="str">
        <f ca="1">IFERROR(__xludf.DUMMYFUNCTION("""COMPUTED_VALUE"""),"")</f>
        <v/>
      </c>
      <c r="C21836" s="12" t="str">
        <f ca="1">IFERROR(__xludf.DUMMYFUNCTION("""COMPUTED_VALUE"""),"")</f>
        <v/>
      </c>
      <c r="D21836" s="12" t="str">
        <f ca="1">IFERROR(__xludf.DUMMYFUNCTION("""COMPUTED_VALUE"""),"")</f>
        <v/>
      </c>
    </row>
    <row r="21837" spans="2:4" ht="13">
      <c r="B21837" s="12" t="str">
        <f ca="1">IFERROR(__xludf.DUMMYFUNCTION("""COMPUTED_VALUE"""),"")</f>
        <v/>
      </c>
      <c r="C21837" s="12" t="str">
        <f ca="1">IFERROR(__xludf.DUMMYFUNCTION("""COMPUTED_VALUE"""),"")</f>
        <v/>
      </c>
      <c r="D21837" s="12" t="str">
        <f ca="1">IFERROR(__xludf.DUMMYFUNCTION("""COMPUTED_VALUE"""),"")</f>
        <v/>
      </c>
    </row>
    <row r="21838" spans="2:4" ht="13">
      <c r="B21838" s="12" t="str">
        <f ca="1">IFERROR(__xludf.DUMMYFUNCTION("""COMPUTED_VALUE"""),"")</f>
        <v/>
      </c>
      <c r="C21838" s="12" t="str">
        <f ca="1">IFERROR(__xludf.DUMMYFUNCTION("""COMPUTED_VALUE"""),"")</f>
        <v/>
      </c>
      <c r="D21838" s="12" t="str">
        <f ca="1">IFERROR(__xludf.DUMMYFUNCTION("""COMPUTED_VALUE"""),"")</f>
        <v/>
      </c>
    </row>
    <row r="21839" spans="2:4" ht="13">
      <c r="B21839" s="12" t="str">
        <f ca="1">IFERROR(__xludf.DUMMYFUNCTION("""COMPUTED_VALUE"""),"")</f>
        <v/>
      </c>
      <c r="C21839" s="12" t="str">
        <f ca="1">IFERROR(__xludf.DUMMYFUNCTION("""COMPUTED_VALUE"""),"")</f>
        <v/>
      </c>
      <c r="D21839" s="12" t="str">
        <f ca="1">IFERROR(__xludf.DUMMYFUNCTION("""COMPUTED_VALUE"""),"")</f>
        <v/>
      </c>
    </row>
    <row r="21840" spans="2:4" ht="13">
      <c r="B21840" s="12" t="str">
        <f ca="1">IFERROR(__xludf.DUMMYFUNCTION("""COMPUTED_VALUE"""),"")</f>
        <v/>
      </c>
      <c r="C21840" s="12" t="str">
        <f ca="1">IFERROR(__xludf.DUMMYFUNCTION("""COMPUTED_VALUE"""),"")</f>
        <v/>
      </c>
      <c r="D21840" s="12" t="str">
        <f ca="1">IFERROR(__xludf.DUMMYFUNCTION("""COMPUTED_VALUE"""),"")</f>
        <v/>
      </c>
    </row>
    <row r="21841" spans="2:4" ht="13">
      <c r="B21841" s="12" t="str">
        <f ca="1">IFERROR(__xludf.DUMMYFUNCTION("""COMPUTED_VALUE"""),"")</f>
        <v/>
      </c>
      <c r="C21841" s="12" t="str">
        <f ca="1">IFERROR(__xludf.DUMMYFUNCTION("""COMPUTED_VALUE"""),"")</f>
        <v/>
      </c>
      <c r="D21841" s="12" t="str">
        <f ca="1">IFERROR(__xludf.DUMMYFUNCTION("""COMPUTED_VALUE"""),"")</f>
        <v/>
      </c>
    </row>
    <row r="21842" spans="2:4" ht="13">
      <c r="B21842" s="12" t="str">
        <f ca="1">IFERROR(__xludf.DUMMYFUNCTION("""COMPUTED_VALUE"""),"")</f>
        <v/>
      </c>
      <c r="C21842" s="12" t="str">
        <f ca="1">IFERROR(__xludf.DUMMYFUNCTION("""COMPUTED_VALUE"""),"")</f>
        <v/>
      </c>
      <c r="D21842" s="12" t="str">
        <f ca="1">IFERROR(__xludf.DUMMYFUNCTION("""COMPUTED_VALUE"""),"")</f>
        <v/>
      </c>
    </row>
    <row r="21843" spans="2:4" ht="13">
      <c r="B21843" s="12" t="str">
        <f ca="1">IFERROR(__xludf.DUMMYFUNCTION("""COMPUTED_VALUE"""),"")</f>
        <v/>
      </c>
      <c r="C21843" s="12" t="str">
        <f ca="1">IFERROR(__xludf.DUMMYFUNCTION("""COMPUTED_VALUE"""),"")</f>
        <v/>
      </c>
      <c r="D21843" s="12" t="str">
        <f ca="1">IFERROR(__xludf.DUMMYFUNCTION("""COMPUTED_VALUE"""),"")</f>
        <v/>
      </c>
    </row>
    <row r="21844" spans="2:4" ht="13">
      <c r="B21844" s="12" t="str">
        <f ca="1">IFERROR(__xludf.DUMMYFUNCTION("""COMPUTED_VALUE"""),"")</f>
        <v/>
      </c>
      <c r="C21844" s="12" t="str">
        <f ca="1">IFERROR(__xludf.DUMMYFUNCTION("""COMPUTED_VALUE"""),"")</f>
        <v/>
      </c>
      <c r="D21844" s="12" t="str">
        <f ca="1">IFERROR(__xludf.DUMMYFUNCTION("""COMPUTED_VALUE"""),"")</f>
        <v/>
      </c>
    </row>
    <row r="21845" spans="2:4" ht="13">
      <c r="B21845" s="12" t="str">
        <f ca="1">IFERROR(__xludf.DUMMYFUNCTION("""COMPUTED_VALUE"""),"")</f>
        <v/>
      </c>
      <c r="C21845" s="12" t="str">
        <f ca="1">IFERROR(__xludf.DUMMYFUNCTION("""COMPUTED_VALUE"""),"")</f>
        <v/>
      </c>
      <c r="D21845" s="12" t="str">
        <f ca="1">IFERROR(__xludf.DUMMYFUNCTION("""COMPUTED_VALUE"""),"")</f>
        <v/>
      </c>
    </row>
    <row r="21846" spans="2:4" ht="13">
      <c r="B21846" s="12" t="str">
        <f ca="1">IFERROR(__xludf.DUMMYFUNCTION("""COMPUTED_VALUE"""),"")</f>
        <v/>
      </c>
      <c r="C21846" s="12" t="str">
        <f ca="1">IFERROR(__xludf.DUMMYFUNCTION("""COMPUTED_VALUE"""),"")</f>
        <v/>
      </c>
      <c r="D21846" s="12" t="str">
        <f ca="1">IFERROR(__xludf.DUMMYFUNCTION("""COMPUTED_VALUE"""),"")</f>
        <v/>
      </c>
    </row>
    <row r="21847" spans="2:4" ht="13">
      <c r="B21847" s="12" t="str">
        <f ca="1">IFERROR(__xludf.DUMMYFUNCTION("""COMPUTED_VALUE"""),"")</f>
        <v/>
      </c>
      <c r="C21847" s="12" t="str">
        <f ca="1">IFERROR(__xludf.DUMMYFUNCTION("""COMPUTED_VALUE"""),"")</f>
        <v/>
      </c>
      <c r="D21847" s="12" t="str">
        <f ca="1">IFERROR(__xludf.DUMMYFUNCTION("""COMPUTED_VALUE"""),"")</f>
        <v/>
      </c>
    </row>
    <row r="21848" spans="2:4" ht="13">
      <c r="B21848" s="12" t="str">
        <f ca="1">IFERROR(__xludf.DUMMYFUNCTION("""COMPUTED_VALUE"""),"")</f>
        <v/>
      </c>
      <c r="C21848" s="12" t="str">
        <f ca="1">IFERROR(__xludf.DUMMYFUNCTION("""COMPUTED_VALUE"""),"")</f>
        <v/>
      </c>
      <c r="D21848" s="12" t="str">
        <f ca="1">IFERROR(__xludf.DUMMYFUNCTION("""COMPUTED_VALUE"""),"")</f>
        <v/>
      </c>
    </row>
    <row r="21849" spans="2:4" ht="13">
      <c r="B21849" s="12" t="str">
        <f ca="1">IFERROR(__xludf.DUMMYFUNCTION("""COMPUTED_VALUE"""),"")</f>
        <v/>
      </c>
      <c r="C21849" s="12" t="str">
        <f ca="1">IFERROR(__xludf.DUMMYFUNCTION("""COMPUTED_VALUE"""),"")</f>
        <v/>
      </c>
      <c r="D21849" s="12" t="str">
        <f ca="1">IFERROR(__xludf.DUMMYFUNCTION("""COMPUTED_VALUE"""),"")</f>
        <v/>
      </c>
    </row>
    <row r="21850" spans="2:4" ht="13">
      <c r="B21850" s="12" t="str">
        <f ca="1">IFERROR(__xludf.DUMMYFUNCTION("""COMPUTED_VALUE"""),"")</f>
        <v/>
      </c>
      <c r="C21850" s="12" t="str">
        <f ca="1">IFERROR(__xludf.DUMMYFUNCTION("""COMPUTED_VALUE"""),"")</f>
        <v/>
      </c>
      <c r="D21850" s="12" t="str">
        <f ca="1">IFERROR(__xludf.DUMMYFUNCTION("""COMPUTED_VALUE"""),"")</f>
        <v/>
      </c>
    </row>
    <row r="21851" spans="2:4" ht="13">
      <c r="B21851" s="12" t="str">
        <f ca="1">IFERROR(__xludf.DUMMYFUNCTION("""COMPUTED_VALUE"""),"")</f>
        <v/>
      </c>
      <c r="C21851" s="12" t="str">
        <f ca="1">IFERROR(__xludf.DUMMYFUNCTION("""COMPUTED_VALUE"""),"")</f>
        <v/>
      </c>
      <c r="D21851" s="12" t="str">
        <f ca="1">IFERROR(__xludf.DUMMYFUNCTION("""COMPUTED_VALUE"""),"")</f>
        <v/>
      </c>
    </row>
    <row r="21852" spans="2:4" ht="13">
      <c r="B21852" s="12" t="str">
        <f ca="1">IFERROR(__xludf.DUMMYFUNCTION("""COMPUTED_VALUE"""),"")</f>
        <v/>
      </c>
      <c r="C21852" s="12" t="str">
        <f ca="1">IFERROR(__xludf.DUMMYFUNCTION("""COMPUTED_VALUE"""),"")</f>
        <v/>
      </c>
      <c r="D21852" s="12" t="str">
        <f ca="1">IFERROR(__xludf.DUMMYFUNCTION("""COMPUTED_VALUE"""),"")</f>
        <v/>
      </c>
    </row>
    <row r="21853" spans="2:4" ht="13">
      <c r="B21853" s="12" t="str">
        <f ca="1">IFERROR(__xludf.DUMMYFUNCTION("""COMPUTED_VALUE"""),"")</f>
        <v/>
      </c>
      <c r="C21853" s="12" t="str">
        <f ca="1">IFERROR(__xludf.DUMMYFUNCTION("""COMPUTED_VALUE"""),"")</f>
        <v/>
      </c>
      <c r="D21853" s="12" t="str">
        <f ca="1">IFERROR(__xludf.DUMMYFUNCTION("""COMPUTED_VALUE"""),"")</f>
        <v/>
      </c>
    </row>
    <row r="21854" spans="2:4" ht="13">
      <c r="B21854" s="12" t="str">
        <f ca="1">IFERROR(__xludf.DUMMYFUNCTION("""COMPUTED_VALUE"""),"")</f>
        <v/>
      </c>
      <c r="C21854" s="12" t="str">
        <f ca="1">IFERROR(__xludf.DUMMYFUNCTION("""COMPUTED_VALUE"""),"")</f>
        <v/>
      </c>
      <c r="D21854" s="12" t="str">
        <f ca="1">IFERROR(__xludf.DUMMYFUNCTION("""COMPUTED_VALUE"""),"")</f>
        <v/>
      </c>
    </row>
    <row r="21855" spans="2:4" ht="13">
      <c r="B21855" s="12" t="str">
        <f ca="1">IFERROR(__xludf.DUMMYFUNCTION("""COMPUTED_VALUE"""),"")</f>
        <v/>
      </c>
      <c r="C21855" s="12" t="str">
        <f ca="1">IFERROR(__xludf.DUMMYFUNCTION("""COMPUTED_VALUE"""),"")</f>
        <v/>
      </c>
      <c r="D21855" s="12" t="str">
        <f ca="1">IFERROR(__xludf.DUMMYFUNCTION("""COMPUTED_VALUE"""),"")</f>
        <v/>
      </c>
    </row>
    <row r="21856" spans="2:4" ht="13">
      <c r="B21856" s="12" t="str">
        <f ca="1">IFERROR(__xludf.DUMMYFUNCTION("""COMPUTED_VALUE"""),"")</f>
        <v/>
      </c>
      <c r="C21856" s="12" t="str">
        <f ca="1">IFERROR(__xludf.DUMMYFUNCTION("""COMPUTED_VALUE"""),"")</f>
        <v/>
      </c>
      <c r="D21856" s="12" t="str">
        <f ca="1">IFERROR(__xludf.DUMMYFUNCTION("""COMPUTED_VALUE"""),"")</f>
        <v/>
      </c>
    </row>
    <row r="21857" spans="2:4" ht="13">
      <c r="B21857" s="12" t="str">
        <f ca="1">IFERROR(__xludf.DUMMYFUNCTION("""COMPUTED_VALUE"""),"")</f>
        <v/>
      </c>
      <c r="C21857" s="12" t="str">
        <f ca="1">IFERROR(__xludf.DUMMYFUNCTION("""COMPUTED_VALUE"""),"")</f>
        <v/>
      </c>
      <c r="D21857" s="12" t="str">
        <f ca="1">IFERROR(__xludf.DUMMYFUNCTION("""COMPUTED_VALUE"""),"")</f>
        <v/>
      </c>
    </row>
    <row r="21858" spans="2:4" ht="13">
      <c r="B21858" s="12" t="str">
        <f ca="1">IFERROR(__xludf.DUMMYFUNCTION("""COMPUTED_VALUE"""),"")</f>
        <v/>
      </c>
      <c r="C21858" s="12" t="str">
        <f ca="1">IFERROR(__xludf.DUMMYFUNCTION("""COMPUTED_VALUE"""),"")</f>
        <v/>
      </c>
      <c r="D21858" s="12" t="str">
        <f ca="1">IFERROR(__xludf.DUMMYFUNCTION("""COMPUTED_VALUE"""),"")</f>
        <v/>
      </c>
    </row>
    <row r="21859" spans="2:4" ht="13">
      <c r="B21859" s="12" t="str">
        <f ca="1">IFERROR(__xludf.DUMMYFUNCTION("""COMPUTED_VALUE"""),"")</f>
        <v/>
      </c>
      <c r="C21859" s="12" t="str">
        <f ca="1">IFERROR(__xludf.DUMMYFUNCTION("""COMPUTED_VALUE"""),"")</f>
        <v/>
      </c>
      <c r="D21859" s="12" t="str">
        <f ca="1">IFERROR(__xludf.DUMMYFUNCTION("""COMPUTED_VALUE"""),"")</f>
        <v/>
      </c>
    </row>
    <row r="21860" spans="2:4" ht="13">
      <c r="B21860" s="12" t="str">
        <f ca="1">IFERROR(__xludf.DUMMYFUNCTION("""COMPUTED_VALUE"""),"")</f>
        <v/>
      </c>
      <c r="C21860" s="12" t="str">
        <f ca="1">IFERROR(__xludf.DUMMYFUNCTION("""COMPUTED_VALUE"""),"")</f>
        <v/>
      </c>
      <c r="D21860" s="12" t="str">
        <f ca="1">IFERROR(__xludf.DUMMYFUNCTION("""COMPUTED_VALUE"""),"")</f>
        <v/>
      </c>
    </row>
    <row r="21861" spans="2:4" ht="13">
      <c r="B21861" s="12" t="str">
        <f ca="1">IFERROR(__xludf.DUMMYFUNCTION("""COMPUTED_VALUE"""),"")</f>
        <v/>
      </c>
      <c r="C21861" s="12" t="str">
        <f ca="1">IFERROR(__xludf.DUMMYFUNCTION("""COMPUTED_VALUE"""),"")</f>
        <v/>
      </c>
      <c r="D21861" s="12" t="str">
        <f ca="1">IFERROR(__xludf.DUMMYFUNCTION("""COMPUTED_VALUE"""),"")</f>
        <v/>
      </c>
    </row>
    <row r="21862" spans="2:4" ht="13">
      <c r="B21862" s="12" t="str">
        <f ca="1">IFERROR(__xludf.DUMMYFUNCTION("""COMPUTED_VALUE"""),"")</f>
        <v/>
      </c>
      <c r="C21862" s="12" t="str">
        <f ca="1">IFERROR(__xludf.DUMMYFUNCTION("""COMPUTED_VALUE"""),"")</f>
        <v/>
      </c>
      <c r="D21862" s="12" t="str">
        <f ca="1">IFERROR(__xludf.DUMMYFUNCTION("""COMPUTED_VALUE"""),"")</f>
        <v/>
      </c>
    </row>
    <row r="21863" spans="2:4" ht="13">
      <c r="B21863" s="12" t="str">
        <f ca="1">IFERROR(__xludf.DUMMYFUNCTION("""COMPUTED_VALUE"""),"")</f>
        <v/>
      </c>
      <c r="C21863" s="12" t="str">
        <f ca="1">IFERROR(__xludf.DUMMYFUNCTION("""COMPUTED_VALUE"""),"")</f>
        <v/>
      </c>
      <c r="D21863" s="12" t="str">
        <f ca="1">IFERROR(__xludf.DUMMYFUNCTION("""COMPUTED_VALUE"""),"")</f>
        <v/>
      </c>
    </row>
    <row r="21864" spans="2:4" ht="13">
      <c r="B21864" s="12" t="str">
        <f ca="1">IFERROR(__xludf.DUMMYFUNCTION("""COMPUTED_VALUE"""),"")</f>
        <v/>
      </c>
      <c r="C21864" s="12" t="str">
        <f ca="1">IFERROR(__xludf.DUMMYFUNCTION("""COMPUTED_VALUE"""),"")</f>
        <v/>
      </c>
      <c r="D21864" s="12" t="str">
        <f ca="1">IFERROR(__xludf.DUMMYFUNCTION("""COMPUTED_VALUE"""),"")</f>
        <v/>
      </c>
    </row>
    <row r="21865" spans="2:4" ht="13">
      <c r="B21865" s="12" t="str">
        <f ca="1">IFERROR(__xludf.DUMMYFUNCTION("""COMPUTED_VALUE"""),"")</f>
        <v/>
      </c>
      <c r="C21865" s="12" t="str">
        <f ca="1">IFERROR(__xludf.DUMMYFUNCTION("""COMPUTED_VALUE"""),"")</f>
        <v/>
      </c>
      <c r="D21865" s="12" t="str">
        <f ca="1">IFERROR(__xludf.DUMMYFUNCTION("""COMPUTED_VALUE"""),"")</f>
        <v/>
      </c>
    </row>
    <row r="21866" spans="2:4" ht="13">
      <c r="B21866" s="12" t="str">
        <f ca="1">IFERROR(__xludf.DUMMYFUNCTION("""COMPUTED_VALUE"""),"")</f>
        <v/>
      </c>
      <c r="C21866" s="12" t="str">
        <f ca="1">IFERROR(__xludf.DUMMYFUNCTION("""COMPUTED_VALUE"""),"")</f>
        <v/>
      </c>
      <c r="D21866" s="12" t="str">
        <f ca="1">IFERROR(__xludf.DUMMYFUNCTION("""COMPUTED_VALUE"""),"")</f>
        <v/>
      </c>
    </row>
    <row r="21867" spans="2:4" ht="13">
      <c r="B21867" s="12" t="str">
        <f ca="1">IFERROR(__xludf.DUMMYFUNCTION("""COMPUTED_VALUE"""),"")</f>
        <v/>
      </c>
      <c r="C21867" s="12" t="str">
        <f ca="1">IFERROR(__xludf.DUMMYFUNCTION("""COMPUTED_VALUE"""),"")</f>
        <v/>
      </c>
      <c r="D21867" s="12" t="str">
        <f ca="1">IFERROR(__xludf.DUMMYFUNCTION("""COMPUTED_VALUE"""),"")</f>
        <v/>
      </c>
    </row>
    <row r="21868" spans="2:4" ht="13">
      <c r="B21868" s="12" t="str">
        <f ca="1">IFERROR(__xludf.DUMMYFUNCTION("""COMPUTED_VALUE"""),"")</f>
        <v/>
      </c>
      <c r="C21868" s="12" t="str">
        <f ca="1">IFERROR(__xludf.DUMMYFUNCTION("""COMPUTED_VALUE"""),"")</f>
        <v/>
      </c>
      <c r="D21868" s="12" t="str">
        <f ca="1">IFERROR(__xludf.DUMMYFUNCTION("""COMPUTED_VALUE"""),"")</f>
        <v/>
      </c>
    </row>
    <row r="21869" spans="2:4" ht="13">
      <c r="B21869" s="12" t="str">
        <f ca="1">IFERROR(__xludf.DUMMYFUNCTION("""COMPUTED_VALUE"""),"")</f>
        <v/>
      </c>
      <c r="C21869" s="12" t="str">
        <f ca="1">IFERROR(__xludf.DUMMYFUNCTION("""COMPUTED_VALUE"""),"")</f>
        <v/>
      </c>
      <c r="D21869" s="12" t="str">
        <f ca="1">IFERROR(__xludf.DUMMYFUNCTION("""COMPUTED_VALUE"""),"")</f>
        <v/>
      </c>
    </row>
    <row r="21870" spans="2:4" ht="13">
      <c r="B21870" s="12" t="str">
        <f ca="1">IFERROR(__xludf.DUMMYFUNCTION("""COMPUTED_VALUE"""),"")</f>
        <v/>
      </c>
      <c r="C21870" s="12" t="str">
        <f ca="1">IFERROR(__xludf.DUMMYFUNCTION("""COMPUTED_VALUE"""),"")</f>
        <v/>
      </c>
      <c r="D21870" s="12" t="str">
        <f ca="1">IFERROR(__xludf.DUMMYFUNCTION("""COMPUTED_VALUE"""),"")</f>
        <v/>
      </c>
    </row>
    <row r="21871" spans="2:4" ht="13">
      <c r="B21871" s="12" t="str">
        <f ca="1">IFERROR(__xludf.DUMMYFUNCTION("""COMPUTED_VALUE"""),"")</f>
        <v/>
      </c>
      <c r="C21871" s="12" t="str">
        <f ca="1">IFERROR(__xludf.DUMMYFUNCTION("""COMPUTED_VALUE"""),"")</f>
        <v/>
      </c>
      <c r="D21871" s="12" t="str">
        <f ca="1">IFERROR(__xludf.DUMMYFUNCTION("""COMPUTED_VALUE"""),"")</f>
        <v/>
      </c>
    </row>
    <row r="21872" spans="2:4" ht="13">
      <c r="B21872" s="12" t="str">
        <f ca="1">IFERROR(__xludf.DUMMYFUNCTION("""COMPUTED_VALUE"""),"")</f>
        <v/>
      </c>
      <c r="C21872" s="12" t="str">
        <f ca="1">IFERROR(__xludf.DUMMYFUNCTION("""COMPUTED_VALUE"""),"")</f>
        <v/>
      </c>
      <c r="D21872" s="12" t="str">
        <f ca="1">IFERROR(__xludf.DUMMYFUNCTION("""COMPUTED_VALUE"""),"")</f>
        <v/>
      </c>
    </row>
    <row r="21873" spans="2:4" ht="13">
      <c r="B21873" s="12" t="str">
        <f ca="1">IFERROR(__xludf.DUMMYFUNCTION("""COMPUTED_VALUE"""),"")</f>
        <v/>
      </c>
      <c r="C21873" s="12" t="str">
        <f ca="1">IFERROR(__xludf.DUMMYFUNCTION("""COMPUTED_VALUE"""),"")</f>
        <v/>
      </c>
      <c r="D21873" s="12" t="str">
        <f ca="1">IFERROR(__xludf.DUMMYFUNCTION("""COMPUTED_VALUE"""),"")</f>
        <v/>
      </c>
    </row>
    <row r="21874" spans="2:4" ht="13">
      <c r="B21874" s="12" t="str">
        <f ca="1">IFERROR(__xludf.DUMMYFUNCTION("""COMPUTED_VALUE"""),"")</f>
        <v/>
      </c>
      <c r="C21874" s="12" t="str">
        <f ca="1">IFERROR(__xludf.DUMMYFUNCTION("""COMPUTED_VALUE"""),"")</f>
        <v/>
      </c>
      <c r="D21874" s="12" t="str">
        <f ca="1">IFERROR(__xludf.DUMMYFUNCTION("""COMPUTED_VALUE"""),"")</f>
        <v/>
      </c>
    </row>
    <row r="21875" spans="2:4" ht="13">
      <c r="B21875" s="12" t="str">
        <f ca="1">IFERROR(__xludf.DUMMYFUNCTION("""COMPUTED_VALUE"""),"")</f>
        <v/>
      </c>
      <c r="C21875" s="12" t="str">
        <f ca="1">IFERROR(__xludf.DUMMYFUNCTION("""COMPUTED_VALUE"""),"")</f>
        <v/>
      </c>
      <c r="D21875" s="12" t="str">
        <f ca="1">IFERROR(__xludf.DUMMYFUNCTION("""COMPUTED_VALUE"""),"")</f>
        <v/>
      </c>
    </row>
    <row r="21876" spans="2:4" ht="13">
      <c r="B21876" s="12" t="str">
        <f ca="1">IFERROR(__xludf.DUMMYFUNCTION("""COMPUTED_VALUE"""),"")</f>
        <v/>
      </c>
      <c r="C21876" s="12" t="str">
        <f ca="1">IFERROR(__xludf.DUMMYFUNCTION("""COMPUTED_VALUE"""),"")</f>
        <v/>
      </c>
      <c r="D21876" s="12" t="str">
        <f ca="1">IFERROR(__xludf.DUMMYFUNCTION("""COMPUTED_VALUE"""),"")</f>
        <v/>
      </c>
    </row>
    <row r="21877" spans="2:4" ht="13">
      <c r="B21877" s="12" t="str">
        <f ca="1">IFERROR(__xludf.DUMMYFUNCTION("""COMPUTED_VALUE"""),"")</f>
        <v/>
      </c>
      <c r="C21877" s="12" t="str">
        <f ca="1">IFERROR(__xludf.DUMMYFUNCTION("""COMPUTED_VALUE"""),"")</f>
        <v/>
      </c>
      <c r="D21877" s="12" t="str">
        <f ca="1">IFERROR(__xludf.DUMMYFUNCTION("""COMPUTED_VALUE"""),"")</f>
        <v/>
      </c>
    </row>
    <row r="21878" spans="2:4" ht="13">
      <c r="B21878" s="12" t="str">
        <f ca="1">IFERROR(__xludf.DUMMYFUNCTION("""COMPUTED_VALUE"""),"")</f>
        <v/>
      </c>
      <c r="C21878" s="12" t="str">
        <f ca="1">IFERROR(__xludf.DUMMYFUNCTION("""COMPUTED_VALUE"""),"")</f>
        <v/>
      </c>
      <c r="D21878" s="12" t="str">
        <f ca="1">IFERROR(__xludf.DUMMYFUNCTION("""COMPUTED_VALUE"""),"")</f>
        <v/>
      </c>
    </row>
    <row r="21879" spans="2:4" ht="13">
      <c r="B21879" s="12" t="str">
        <f ca="1">IFERROR(__xludf.DUMMYFUNCTION("""COMPUTED_VALUE"""),"")</f>
        <v/>
      </c>
      <c r="C21879" s="12" t="str">
        <f ca="1">IFERROR(__xludf.DUMMYFUNCTION("""COMPUTED_VALUE"""),"")</f>
        <v/>
      </c>
      <c r="D21879" s="12" t="str">
        <f ca="1">IFERROR(__xludf.DUMMYFUNCTION("""COMPUTED_VALUE"""),"")</f>
        <v/>
      </c>
    </row>
    <row r="21880" spans="2:4" ht="13">
      <c r="B21880" s="12" t="str">
        <f ca="1">IFERROR(__xludf.DUMMYFUNCTION("""COMPUTED_VALUE"""),"")</f>
        <v/>
      </c>
      <c r="C21880" s="12" t="str">
        <f ca="1">IFERROR(__xludf.DUMMYFUNCTION("""COMPUTED_VALUE"""),"")</f>
        <v/>
      </c>
      <c r="D21880" s="12" t="str">
        <f ca="1">IFERROR(__xludf.DUMMYFUNCTION("""COMPUTED_VALUE"""),"")</f>
        <v/>
      </c>
    </row>
    <row r="21881" spans="2:4" ht="13">
      <c r="B21881" s="12" t="str">
        <f ca="1">IFERROR(__xludf.DUMMYFUNCTION("""COMPUTED_VALUE"""),"")</f>
        <v/>
      </c>
      <c r="C21881" s="12" t="str">
        <f ca="1">IFERROR(__xludf.DUMMYFUNCTION("""COMPUTED_VALUE"""),"")</f>
        <v/>
      </c>
      <c r="D21881" s="12" t="str">
        <f ca="1">IFERROR(__xludf.DUMMYFUNCTION("""COMPUTED_VALUE"""),"")</f>
        <v/>
      </c>
    </row>
    <row r="21882" spans="2:4" ht="13">
      <c r="B21882" s="12" t="str">
        <f ca="1">IFERROR(__xludf.DUMMYFUNCTION("""COMPUTED_VALUE"""),"")</f>
        <v/>
      </c>
      <c r="C21882" s="12" t="str">
        <f ca="1">IFERROR(__xludf.DUMMYFUNCTION("""COMPUTED_VALUE"""),"")</f>
        <v/>
      </c>
      <c r="D21882" s="12" t="str">
        <f ca="1">IFERROR(__xludf.DUMMYFUNCTION("""COMPUTED_VALUE"""),"")</f>
        <v/>
      </c>
    </row>
    <row r="21883" spans="2:4" ht="13">
      <c r="B21883" s="12" t="str">
        <f ca="1">IFERROR(__xludf.DUMMYFUNCTION("""COMPUTED_VALUE"""),"")</f>
        <v/>
      </c>
      <c r="C21883" s="12" t="str">
        <f ca="1">IFERROR(__xludf.DUMMYFUNCTION("""COMPUTED_VALUE"""),"")</f>
        <v/>
      </c>
      <c r="D21883" s="12" t="str">
        <f ca="1">IFERROR(__xludf.DUMMYFUNCTION("""COMPUTED_VALUE"""),"")</f>
        <v/>
      </c>
    </row>
    <row r="21884" spans="2:4" ht="13">
      <c r="B21884" s="12" t="str">
        <f ca="1">IFERROR(__xludf.DUMMYFUNCTION("""COMPUTED_VALUE"""),"")</f>
        <v/>
      </c>
      <c r="C21884" s="12" t="str">
        <f ca="1">IFERROR(__xludf.DUMMYFUNCTION("""COMPUTED_VALUE"""),"")</f>
        <v/>
      </c>
      <c r="D21884" s="12" t="str">
        <f ca="1">IFERROR(__xludf.DUMMYFUNCTION("""COMPUTED_VALUE"""),"")</f>
        <v/>
      </c>
    </row>
    <row r="21885" spans="2:4" ht="13">
      <c r="B21885" s="12" t="str">
        <f ca="1">IFERROR(__xludf.DUMMYFUNCTION("""COMPUTED_VALUE"""),"")</f>
        <v/>
      </c>
      <c r="C21885" s="12" t="str">
        <f ca="1">IFERROR(__xludf.DUMMYFUNCTION("""COMPUTED_VALUE"""),"")</f>
        <v/>
      </c>
      <c r="D21885" s="12" t="str">
        <f ca="1">IFERROR(__xludf.DUMMYFUNCTION("""COMPUTED_VALUE"""),"")</f>
        <v/>
      </c>
    </row>
    <row r="21886" spans="2:4" ht="13">
      <c r="B21886" s="12" t="str">
        <f ca="1">IFERROR(__xludf.DUMMYFUNCTION("""COMPUTED_VALUE"""),"")</f>
        <v/>
      </c>
      <c r="C21886" s="12" t="str">
        <f ca="1">IFERROR(__xludf.DUMMYFUNCTION("""COMPUTED_VALUE"""),"")</f>
        <v/>
      </c>
      <c r="D21886" s="12" t="str">
        <f ca="1">IFERROR(__xludf.DUMMYFUNCTION("""COMPUTED_VALUE"""),"")</f>
        <v/>
      </c>
    </row>
    <row r="21887" spans="2:4" ht="13">
      <c r="B21887" s="12" t="str">
        <f ca="1">IFERROR(__xludf.DUMMYFUNCTION("""COMPUTED_VALUE"""),"")</f>
        <v/>
      </c>
      <c r="C21887" s="12" t="str">
        <f ca="1">IFERROR(__xludf.DUMMYFUNCTION("""COMPUTED_VALUE"""),"")</f>
        <v/>
      </c>
      <c r="D21887" s="12" t="str">
        <f ca="1">IFERROR(__xludf.DUMMYFUNCTION("""COMPUTED_VALUE"""),"")</f>
        <v/>
      </c>
    </row>
    <row r="21888" spans="2:4" ht="13">
      <c r="B21888" s="12" t="str">
        <f ca="1">IFERROR(__xludf.DUMMYFUNCTION("""COMPUTED_VALUE"""),"")</f>
        <v/>
      </c>
      <c r="C21888" s="12" t="str">
        <f ca="1">IFERROR(__xludf.DUMMYFUNCTION("""COMPUTED_VALUE"""),"")</f>
        <v/>
      </c>
      <c r="D21888" s="12" t="str">
        <f ca="1">IFERROR(__xludf.DUMMYFUNCTION("""COMPUTED_VALUE"""),"")</f>
        <v/>
      </c>
    </row>
    <row r="21889" spans="2:4" ht="13">
      <c r="B21889" s="12" t="str">
        <f ca="1">IFERROR(__xludf.DUMMYFUNCTION("""COMPUTED_VALUE"""),"")</f>
        <v/>
      </c>
      <c r="C21889" s="12" t="str">
        <f ca="1">IFERROR(__xludf.DUMMYFUNCTION("""COMPUTED_VALUE"""),"")</f>
        <v/>
      </c>
      <c r="D21889" s="12" t="str">
        <f ca="1">IFERROR(__xludf.DUMMYFUNCTION("""COMPUTED_VALUE"""),"")</f>
        <v/>
      </c>
    </row>
    <row r="21890" spans="2:4" ht="13">
      <c r="B21890" s="12" t="str">
        <f ca="1">IFERROR(__xludf.DUMMYFUNCTION("""COMPUTED_VALUE"""),"")</f>
        <v/>
      </c>
      <c r="C21890" s="12" t="str">
        <f ca="1">IFERROR(__xludf.DUMMYFUNCTION("""COMPUTED_VALUE"""),"")</f>
        <v/>
      </c>
      <c r="D21890" s="12" t="str">
        <f ca="1">IFERROR(__xludf.DUMMYFUNCTION("""COMPUTED_VALUE"""),"")</f>
        <v/>
      </c>
    </row>
    <row r="21891" spans="2:4" ht="13">
      <c r="B21891" s="12" t="str">
        <f ca="1">IFERROR(__xludf.DUMMYFUNCTION("""COMPUTED_VALUE"""),"")</f>
        <v/>
      </c>
      <c r="C21891" s="12" t="str">
        <f ca="1">IFERROR(__xludf.DUMMYFUNCTION("""COMPUTED_VALUE"""),"")</f>
        <v/>
      </c>
      <c r="D21891" s="12" t="str">
        <f ca="1">IFERROR(__xludf.DUMMYFUNCTION("""COMPUTED_VALUE"""),"")</f>
        <v/>
      </c>
    </row>
    <row r="21892" spans="2:4" ht="13">
      <c r="B21892" s="12" t="str">
        <f ca="1">IFERROR(__xludf.DUMMYFUNCTION("""COMPUTED_VALUE"""),"")</f>
        <v/>
      </c>
      <c r="C21892" s="12" t="str">
        <f ca="1">IFERROR(__xludf.DUMMYFUNCTION("""COMPUTED_VALUE"""),"")</f>
        <v/>
      </c>
      <c r="D21892" s="12" t="str">
        <f ca="1">IFERROR(__xludf.DUMMYFUNCTION("""COMPUTED_VALUE"""),"")</f>
        <v/>
      </c>
    </row>
    <row r="21893" spans="2:4" ht="13">
      <c r="B21893" s="12" t="str">
        <f ca="1">IFERROR(__xludf.DUMMYFUNCTION("""COMPUTED_VALUE"""),"")</f>
        <v/>
      </c>
      <c r="C21893" s="12" t="str">
        <f ca="1">IFERROR(__xludf.DUMMYFUNCTION("""COMPUTED_VALUE"""),"")</f>
        <v/>
      </c>
      <c r="D21893" s="12" t="str">
        <f ca="1">IFERROR(__xludf.DUMMYFUNCTION("""COMPUTED_VALUE"""),"")</f>
        <v/>
      </c>
    </row>
    <row r="21894" spans="2:4" ht="13">
      <c r="B21894" s="12" t="str">
        <f ca="1">IFERROR(__xludf.DUMMYFUNCTION("""COMPUTED_VALUE"""),"")</f>
        <v/>
      </c>
      <c r="C21894" s="12" t="str">
        <f ca="1">IFERROR(__xludf.DUMMYFUNCTION("""COMPUTED_VALUE"""),"")</f>
        <v/>
      </c>
      <c r="D21894" s="12" t="str">
        <f ca="1">IFERROR(__xludf.DUMMYFUNCTION("""COMPUTED_VALUE"""),"")</f>
        <v/>
      </c>
    </row>
    <row r="21895" spans="2:4" ht="13">
      <c r="B21895" s="12" t="str">
        <f ca="1">IFERROR(__xludf.DUMMYFUNCTION("""COMPUTED_VALUE"""),"")</f>
        <v/>
      </c>
      <c r="C21895" s="12" t="str">
        <f ca="1">IFERROR(__xludf.DUMMYFUNCTION("""COMPUTED_VALUE"""),"")</f>
        <v/>
      </c>
      <c r="D21895" s="12" t="str">
        <f ca="1">IFERROR(__xludf.DUMMYFUNCTION("""COMPUTED_VALUE"""),"")</f>
        <v/>
      </c>
    </row>
    <row r="21896" spans="2:4" ht="13">
      <c r="B21896" s="12" t="str">
        <f ca="1">IFERROR(__xludf.DUMMYFUNCTION("""COMPUTED_VALUE"""),"")</f>
        <v/>
      </c>
      <c r="C21896" s="12" t="str">
        <f ca="1">IFERROR(__xludf.DUMMYFUNCTION("""COMPUTED_VALUE"""),"")</f>
        <v/>
      </c>
      <c r="D21896" s="12" t="str">
        <f ca="1">IFERROR(__xludf.DUMMYFUNCTION("""COMPUTED_VALUE"""),"")</f>
        <v/>
      </c>
    </row>
    <row r="21897" spans="2:4" ht="13">
      <c r="B21897" s="12" t="str">
        <f ca="1">IFERROR(__xludf.DUMMYFUNCTION("""COMPUTED_VALUE"""),"")</f>
        <v/>
      </c>
      <c r="C21897" s="12" t="str">
        <f ca="1">IFERROR(__xludf.DUMMYFUNCTION("""COMPUTED_VALUE"""),"")</f>
        <v/>
      </c>
      <c r="D21897" s="12" t="str">
        <f ca="1">IFERROR(__xludf.DUMMYFUNCTION("""COMPUTED_VALUE"""),"")</f>
        <v/>
      </c>
    </row>
    <row r="21898" spans="2:4" ht="13">
      <c r="B21898" s="12" t="str">
        <f ca="1">IFERROR(__xludf.DUMMYFUNCTION("""COMPUTED_VALUE"""),"")</f>
        <v/>
      </c>
      <c r="C21898" s="12" t="str">
        <f ca="1">IFERROR(__xludf.DUMMYFUNCTION("""COMPUTED_VALUE"""),"")</f>
        <v/>
      </c>
      <c r="D21898" s="12" t="str">
        <f ca="1">IFERROR(__xludf.DUMMYFUNCTION("""COMPUTED_VALUE"""),"")</f>
        <v/>
      </c>
    </row>
    <row r="21899" spans="2:4" ht="13">
      <c r="B21899" s="12" t="str">
        <f ca="1">IFERROR(__xludf.DUMMYFUNCTION("""COMPUTED_VALUE"""),"")</f>
        <v/>
      </c>
      <c r="C21899" s="12" t="str">
        <f ca="1">IFERROR(__xludf.DUMMYFUNCTION("""COMPUTED_VALUE"""),"")</f>
        <v/>
      </c>
      <c r="D21899" s="12" t="str">
        <f ca="1">IFERROR(__xludf.DUMMYFUNCTION("""COMPUTED_VALUE"""),"")</f>
        <v/>
      </c>
    </row>
    <row r="21900" spans="2:4" ht="13">
      <c r="B21900" s="12" t="str">
        <f ca="1">IFERROR(__xludf.DUMMYFUNCTION("""COMPUTED_VALUE"""),"")</f>
        <v/>
      </c>
      <c r="C21900" s="12" t="str">
        <f ca="1">IFERROR(__xludf.DUMMYFUNCTION("""COMPUTED_VALUE"""),"")</f>
        <v/>
      </c>
      <c r="D21900" s="12" t="str">
        <f ca="1">IFERROR(__xludf.DUMMYFUNCTION("""COMPUTED_VALUE"""),"")</f>
        <v/>
      </c>
    </row>
    <row r="21901" spans="2:4" ht="13">
      <c r="B21901" s="12" t="str">
        <f ca="1">IFERROR(__xludf.DUMMYFUNCTION("""COMPUTED_VALUE"""),"")</f>
        <v/>
      </c>
      <c r="C21901" s="12" t="str">
        <f ca="1">IFERROR(__xludf.DUMMYFUNCTION("""COMPUTED_VALUE"""),"")</f>
        <v/>
      </c>
      <c r="D21901" s="12" t="str">
        <f ca="1">IFERROR(__xludf.DUMMYFUNCTION("""COMPUTED_VALUE"""),"")</f>
        <v/>
      </c>
    </row>
    <row r="21902" spans="2:4" ht="13">
      <c r="B21902" s="12" t="str">
        <f ca="1">IFERROR(__xludf.DUMMYFUNCTION("""COMPUTED_VALUE"""),"")</f>
        <v/>
      </c>
      <c r="C21902" s="12" t="str">
        <f ca="1">IFERROR(__xludf.DUMMYFUNCTION("""COMPUTED_VALUE"""),"")</f>
        <v/>
      </c>
      <c r="D21902" s="12" t="str">
        <f ca="1">IFERROR(__xludf.DUMMYFUNCTION("""COMPUTED_VALUE"""),"")</f>
        <v/>
      </c>
    </row>
    <row r="21903" spans="2:4" ht="13">
      <c r="B21903" s="12" t="str">
        <f ca="1">IFERROR(__xludf.DUMMYFUNCTION("""COMPUTED_VALUE"""),"")</f>
        <v/>
      </c>
      <c r="C21903" s="12" t="str">
        <f ca="1">IFERROR(__xludf.DUMMYFUNCTION("""COMPUTED_VALUE"""),"")</f>
        <v/>
      </c>
      <c r="D21903" s="12" t="str">
        <f ca="1">IFERROR(__xludf.DUMMYFUNCTION("""COMPUTED_VALUE"""),"")</f>
        <v/>
      </c>
    </row>
    <row r="21904" spans="2:4" ht="13">
      <c r="B21904" s="12" t="str">
        <f ca="1">IFERROR(__xludf.DUMMYFUNCTION("""COMPUTED_VALUE"""),"")</f>
        <v/>
      </c>
      <c r="C21904" s="12" t="str">
        <f ca="1">IFERROR(__xludf.DUMMYFUNCTION("""COMPUTED_VALUE"""),"")</f>
        <v/>
      </c>
      <c r="D21904" s="12" t="str">
        <f ca="1">IFERROR(__xludf.DUMMYFUNCTION("""COMPUTED_VALUE"""),"")</f>
        <v/>
      </c>
    </row>
    <row r="21905" spans="2:4" ht="13">
      <c r="B21905" s="12" t="str">
        <f ca="1">IFERROR(__xludf.DUMMYFUNCTION("""COMPUTED_VALUE"""),"")</f>
        <v/>
      </c>
      <c r="C21905" s="12" t="str">
        <f ca="1">IFERROR(__xludf.DUMMYFUNCTION("""COMPUTED_VALUE"""),"")</f>
        <v/>
      </c>
      <c r="D21905" s="12" t="str">
        <f ca="1">IFERROR(__xludf.DUMMYFUNCTION("""COMPUTED_VALUE"""),"")</f>
        <v/>
      </c>
    </row>
    <row r="21906" spans="2:4" ht="13">
      <c r="B21906" s="12" t="str">
        <f ca="1">IFERROR(__xludf.DUMMYFUNCTION("""COMPUTED_VALUE"""),"")</f>
        <v/>
      </c>
      <c r="C21906" s="12" t="str">
        <f ca="1">IFERROR(__xludf.DUMMYFUNCTION("""COMPUTED_VALUE"""),"")</f>
        <v/>
      </c>
      <c r="D21906" s="12" t="str">
        <f ca="1">IFERROR(__xludf.DUMMYFUNCTION("""COMPUTED_VALUE"""),"")</f>
        <v/>
      </c>
    </row>
    <row r="21907" spans="2:4" ht="13">
      <c r="B21907" s="12" t="str">
        <f ca="1">IFERROR(__xludf.DUMMYFUNCTION("""COMPUTED_VALUE"""),"")</f>
        <v/>
      </c>
      <c r="C21907" s="12" t="str">
        <f ca="1">IFERROR(__xludf.DUMMYFUNCTION("""COMPUTED_VALUE"""),"")</f>
        <v/>
      </c>
      <c r="D21907" s="12" t="str">
        <f ca="1">IFERROR(__xludf.DUMMYFUNCTION("""COMPUTED_VALUE"""),"")</f>
        <v/>
      </c>
    </row>
    <row r="21908" spans="2:4" ht="13">
      <c r="B21908" s="12" t="str">
        <f ca="1">IFERROR(__xludf.DUMMYFUNCTION("""COMPUTED_VALUE"""),"")</f>
        <v/>
      </c>
      <c r="C21908" s="12" t="str">
        <f ca="1">IFERROR(__xludf.DUMMYFUNCTION("""COMPUTED_VALUE"""),"")</f>
        <v/>
      </c>
      <c r="D21908" s="12" t="str">
        <f ca="1">IFERROR(__xludf.DUMMYFUNCTION("""COMPUTED_VALUE"""),"")</f>
        <v/>
      </c>
    </row>
    <row r="21909" spans="2:4" ht="13">
      <c r="B21909" s="12" t="str">
        <f ca="1">IFERROR(__xludf.DUMMYFUNCTION("""COMPUTED_VALUE"""),"")</f>
        <v/>
      </c>
      <c r="C21909" s="12" t="str">
        <f ca="1">IFERROR(__xludf.DUMMYFUNCTION("""COMPUTED_VALUE"""),"")</f>
        <v/>
      </c>
      <c r="D21909" s="12" t="str">
        <f ca="1">IFERROR(__xludf.DUMMYFUNCTION("""COMPUTED_VALUE"""),"")</f>
        <v/>
      </c>
    </row>
    <row r="21910" spans="2:4" ht="13">
      <c r="B21910" s="12" t="str">
        <f ca="1">IFERROR(__xludf.DUMMYFUNCTION("""COMPUTED_VALUE"""),"")</f>
        <v/>
      </c>
      <c r="C21910" s="12" t="str">
        <f ca="1">IFERROR(__xludf.DUMMYFUNCTION("""COMPUTED_VALUE"""),"")</f>
        <v/>
      </c>
      <c r="D21910" s="12" t="str">
        <f ca="1">IFERROR(__xludf.DUMMYFUNCTION("""COMPUTED_VALUE"""),"")</f>
        <v/>
      </c>
    </row>
    <row r="21911" spans="2:4" ht="13">
      <c r="B21911" s="12" t="str">
        <f ca="1">IFERROR(__xludf.DUMMYFUNCTION("""COMPUTED_VALUE"""),"")</f>
        <v/>
      </c>
      <c r="C21911" s="12" t="str">
        <f ca="1">IFERROR(__xludf.DUMMYFUNCTION("""COMPUTED_VALUE"""),"")</f>
        <v/>
      </c>
      <c r="D21911" s="12" t="str">
        <f ca="1">IFERROR(__xludf.DUMMYFUNCTION("""COMPUTED_VALUE"""),"")</f>
        <v/>
      </c>
    </row>
    <row r="21912" spans="2:4" ht="13">
      <c r="B21912" s="12" t="str">
        <f ca="1">IFERROR(__xludf.DUMMYFUNCTION("""COMPUTED_VALUE"""),"")</f>
        <v/>
      </c>
      <c r="C21912" s="12" t="str">
        <f ca="1">IFERROR(__xludf.DUMMYFUNCTION("""COMPUTED_VALUE"""),"")</f>
        <v/>
      </c>
      <c r="D21912" s="12" t="str">
        <f ca="1">IFERROR(__xludf.DUMMYFUNCTION("""COMPUTED_VALUE"""),"")</f>
        <v/>
      </c>
    </row>
    <row r="21913" spans="2:4" ht="13">
      <c r="B21913" s="12" t="str">
        <f ca="1">IFERROR(__xludf.DUMMYFUNCTION("""COMPUTED_VALUE"""),"")</f>
        <v/>
      </c>
      <c r="C21913" s="12" t="str">
        <f ca="1">IFERROR(__xludf.DUMMYFUNCTION("""COMPUTED_VALUE"""),"")</f>
        <v/>
      </c>
      <c r="D21913" s="12" t="str">
        <f ca="1">IFERROR(__xludf.DUMMYFUNCTION("""COMPUTED_VALUE"""),"")</f>
        <v/>
      </c>
    </row>
    <row r="21914" spans="2:4" ht="13">
      <c r="B21914" s="12" t="str">
        <f ca="1">IFERROR(__xludf.DUMMYFUNCTION("""COMPUTED_VALUE"""),"")</f>
        <v/>
      </c>
      <c r="C21914" s="12" t="str">
        <f ca="1">IFERROR(__xludf.DUMMYFUNCTION("""COMPUTED_VALUE"""),"")</f>
        <v/>
      </c>
      <c r="D21914" s="12" t="str">
        <f ca="1">IFERROR(__xludf.DUMMYFUNCTION("""COMPUTED_VALUE"""),"")</f>
        <v/>
      </c>
    </row>
    <row r="21915" spans="2:4" ht="13">
      <c r="B21915" s="12" t="str">
        <f ca="1">IFERROR(__xludf.DUMMYFUNCTION("""COMPUTED_VALUE"""),"")</f>
        <v/>
      </c>
      <c r="C21915" s="12" t="str">
        <f ca="1">IFERROR(__xludf.DUMMYFUNCTION("""COMPUTED_VALUE"""),"")</f>
        <v/>
      </c>
      <c r="D21915" s="12" t="str">
        <f ca="1">IFERROR(__xludf.DUMMYFUNCTION("""COMPUTED_VALUE"""),"")</f>
        <v/>
      </c>
    </row>
    <row r="21916" spans="2:4" ht="13">
      <c r="B21916" s="12" t="str">
        <f ca="1">IFERROR(__xludf.DUMMYFUNCTION("""COMPUTED_VALUE"""),"")</f>
        <v/>
      </c>
      <c r="C21916" s="12" t="str">
        <f ca="1">IFERROR(__xludf.DUMMYFUNCTION("""COMPUTED_VALUE"""),"")</f>
        <v/>
      </c>
      <c r="D21916" s="12" t="str">
        <f ca="1">IFERROR(__xludf.DUMMYFUNCTION("""COMPUTED_VALUE"""),"")</f>
        <v/>
      </c>
    </row>
    <row r="21917" spans="2:4" ht="13">
      <c r="B21917" s="12" t="str">
        <f ca="1">IFERROR(__xludf.DUMMYFUNCTION("""COMPUTED_VALUE"""),"")</f>
        <v/>
      </c>
      <c r="C21917" s="12" t="str">
        <f ca="1">IFERROR(__xludf.DUMMYFUNCTION("""COMPUTED_VALUE"""),"")</f>
        <v/>
      </c>
      <c r="D21917" s="12" t="str">
        <f ca="1">IFERROR(__xludf.DUMMYFUNCTION("""COMPUTED_VALUE"""),"")</f>
        <v/>
      </c>
    </row>
    <row r="21918" spans="2:4" ht="13">
      <c r="B21918" s="12" t="str">
        <f ca="1">IFERROR(__xludf.DUMMYFUNCTION("""COMPUTED_VALUE"""),"")</f>
        <v/>
      </c>
      <c r="C21918" s="12" t="str">
        <f ca="1">IFERROR(__xludf.DUMMYFUNCTION("""COMPUTED_VALUE"""),"")</f>
        <v/>
      </c>
      <c r="D21918" s="12" t="str">
        <f ca="1">IFERROR(__xludf.DUMMYFUNCTION("""COMPUTED_VALUE"""),"")</f>
        <v/>
      </c>
    </row>
    <row r="21919" spans="2:4" ht="13">
      <c r="B21919" s="12" t="str">
        <f ca="1">IFERROR(__xludf.DUMMYFUNCTION("""COMPUTED_VALUE"""),"")</f>
        <v/>
      </c>
      <c r="C21919" s="12" t="str">
        <f ca="1">IFERROR(__xludf.DUMMYFUNCTION("""COMPUTED_VALUE"""),"")</f>
        <v/>
      </c>
      <c r="D21919" s="12" t="str">
        <f ca="1">IFERROR(__xludf.DUMMYFUNCTION("""COMPUTED_VALUE"""),"")</f>
        <v/>
      </c>
    </row>
    <row r="21920" spans="2:4" ht="13">
      <c r="B21920" s="12" t="str">
        <f ca="1">IFERROR(__xludf.DUMMYFUNCTION("""COMPUTED_VALUE"""),"")</f>
        <v/>
      </c>
      <c r="C21920" s="12" t="str">
        <f ca="1">IFERROR(__xludf.DUMMYFUNCTION("""COMPUTED_VALUE"""),"")</f>
        <v/>
      </c>
      <c r="D21920" s="12" t="str">
        <f ca="1">IFERROR(__xludf.DUMMYFUNCTION("""COMPUTED_VALUE"""),"")</f>
        <v/>
      </c>
    </row>
    <row r="21921" spans="2:4" ht="13">
      <c r="B21921" s="12" t="str">
        <f ca="1">IFERROR(__xludf.DUMMYFUNCTION("""COMPUTED_VALUE"""),"")</f>
        <v/>
      </c>
      <c r="C21921" s="12" t="str">
        <f ca="1">IFERROR(__xludf.DUMMYFUNCTION("""COMPUTED_VALUE"""),"")</f>
        <v/>
      </c>
      <c r="D21921" s="12" t="str">
        <f ca="1">IFERROR(__xludf.DUMMYFUNCTION("""COMPUTED_VALUE"""),"")</f>
        <v/>
      </c>
    </row>
    <row r="21922" spans="2:4" ht="13">
      <c r="B21922" s="12" t="str">
        <f ca="1">IFERROR(__xludf.DUMMYFUNCTION("""COMPUTED_VALUE"""),"")</f>
        <v/>
      </c>
      <c r="C21922" s="12" t="str">
        <f ca="1">IFERROR(__xludf.DUMMYFUNCTION("""COMPUTED_VALUE"""),"")</f>
        <v/>
      </c>
      <c r="D21922" s="12" t="str">
        <f ca="1">IFERROR(__xludf.DUMMYFUNCTION("""COMPUTED_VALUE"""),"")</f>
        <v/>
      </c>
    </row>
    <row r="21923" spans="2:4" ht="13">
      <c r="B21923" s="12" t="str">
        <f ca="1">IFERROR(__xludf.DUMMYFUNCTION("""COMPUTED_VALUE"""),"")</f>
        <v/>
      </c>
      <c r="C21923" s="12" t="str">
        <f ca="1">IFERROR(__xludf.DUMMYFUNCTION("""COMPUTED_VALUE"""),"")</f>
        <v/>
      </c>
      <c r="D21923" s="12" t="str">
        <f ca="1">IFERROR(__xludf.DUMMYFUNCTION("""COMPUTED_VALUE"""),"")</f>
        <v/>
      </c>
    </row>
    <row r="21924" spans="2:4" ht="13">
      <c r="B21924" s="12" t="str">
        <f ca="1">IFERROR(__xludf.DUMMYFUNCTION("""COMPUTED_VALUE"""),"")</f>
        <v/>
      </c>
      <c r="C21924" s="12" t="str">
        <f ca="1">IFERROR(__xludf.DUMMYFUNCTION("""COMPUTED_VALUE"""),"")</f>
        <v/>
      </c>
      <c r="D21924" s="12" t="str">
        <f ca="1">IFERROR(__xludf.DUMMYFUNCTION("""COMPUTED_VALUE"""),"")</f>
        <v/>
      </c>
    </row>
    <row r="21925" spans="2:4" ht="13">
      <c r="B21925" s="12" t="str">
        <f ca="1">IFERROR(__xludf.DUMMYFUNCTION("""COMPUTED_VALUE"""),"")</f>
        <v/>
      </c>
      <c r="C21925" s="12" t="str">
        <f ca="1">IFERROR(__xludf.DUMMYFUNCTION("""COMPUTED_VALUE"""),"")</f>
        <v/>
      </c>
      <c r="D21925" s="12" t="str">
        <f ca="1">IFERROR(__xludf.DUMMYFUNCTION("""COMPUTED_VALUE"""),"")</f>
        <v/>
      </c>
    </row>
    <row r="21926" spans="2:4" ht="13">
      <c r="B21926" s="12" t="str">
        <f ca="1">IFERROR(__xludf.DUMMYFUNCTION("""COMPUTED_VALUE"""),"")</f>
        <v/>
      </c>
      <c r="C21926" s="12" t="str">
        <f ca="1">IFERROR(__xludf.DUMMYFUNCTION("""COMPUTED_VALUE"""),"")</f>
        <v/>
      </c>
      <c r="D21926" s="12" t="str">
        <f ca="1">IFERROR(__xludf.DUMMYFUNCTION("""COMPUTED_VALUE"""),"")</f>
        <v/>
      </c>
    </row>
    <row r="21927" spans="2:4" ht="13">
      <c r="B21927" s="12" t="str">
        <f ca="1">IFERROR(__xludf.DUMMYFUNCTION("""COMPUTED_VALUE"""),"")</f>
        <v/>
      </c>
      <c r="C21927" s="12" t="str">
        <f ca="1">IFERROR(__xludf.DUMMYFUNCTION("""COMPUTED_VALUE"""),"")</f>
        <v/>
      </c>
      <c r="D21927" s="12" t="str">
        <f ca="1">IFERROR(__xludf.DUMMYFUNCTION("""COMPUTED_VALUE"""),"")</f>
        <v/>
      </c>
    </row>
    <row r="21928" spans="2:4" ht="13">
      <c r="B21928" s="12" t="str">
        <f ca="1">IFERROR(__xludf.DUMMYFUNCTION("""COMPUTED_VALUE"""),"")</f>
        <v/>
      </c>
      <c r="C21928" s="12" t="str">
        <f ca="1">IFERROR(__xludf.DUMMYFUNCTION("""COMPUTED_VALUE"""),"")</f>
        <v/>
      </c>
      <c r="D21928" s="12" t="str">
        <f ca="1">IFERROR(__xludf.DUMMYFUNCTION("""COMPUTED_VALUE"""),"")</f>
        <v/>
      </c>
    </row>
    <row r="21929" spans="2:4" ht="13">
      <c r="B21929" s="12" t="str">
        <f ca="1">IFERROR(__xludf.DUMMYFUNCTION("""COMPUTED_VALUE"""),"")</f>
        <v/>
      </c>
      <c r="C21929" s="12" t="str">
        <f ca="1">IFERROR(__xludf.DUMMYFUNCTION("""COMPUTED_VALUE"""),"")</f>
        <v/>
      </c>
      <c r="D21929" s="12" t="str">
        <f ca="1">IFERROR(__xludf.DUMMYFUNCTION("""COMPUTED_VALUE"""),"")</f>
        <v/>
      </c>
    </row>
    <row r="21930" spans="2:4" ht="13">
      <c r="B21930" s="12" t="str">
        <f ca="1">IFERROR(__xludf.DUMMYFUNCTION("""COMPUTED_VALUE"""),"")</f>
        <v/>
      </c>
      <c r="C21930" s="12" t="str">
        <f ca="1">IFERROR(__xludf.DUMMYFUNCTION("""COMPUTED_VALUE"""),"")</f>
        <v/>
      </c>
      <c r="D21930" s="12" t="str">
        <f ca="1">IFERROR(__xludf.DUMMYFUNCTION("""COMPUTED_VALUE"""),"")</f>
        <v/>
      </c>
    </row>
    <row r="21931" spans="2:4" ht="13">
      <c r="B21931" s="12" t="str">
        <f ca="1">IFERROR(__xludf.DUMMYFUNCTION("""COMPUTED_VALUE"""),"")</f>
        <v/>
      </c>
      <c r="C21931" s="12" t="str">
        <f ca="1">IFERROR(__xludf.DUMMYFUNCTION("""COMPUTED_VALUE"""),"")</f>
        <v/>
      </c>
      <c r="D21931" s="12" t="str">
        <f ca="1">IFERROR(__xludf.DUMMYFUNCTION("""COMPUTED_VALUE"""),"")</f>
        <v/>
      </c>
    </row>
    <row r="21932" spans="2:4" ht="13">
      <c r="B21932" s="12" t="str">
        <f ca="1">IFERROR(__xludf.DUMMYFUNCTION("""COMPUTED_VALUE"""),"")</f>
        <v/>
      </c>
      <c r="C21932" s="12" t="str">
        <f ca="1">IFERROR(__xludf.DUMMYFUNCTION("""COMPUTED_VALUE"""),"")</f>
        <v/>
      </c>
      <c r="D21932" s="12" t="str">
        <f ca="1">IFERROR(__xludf.DUMMYFUNCTION("""COMPUTED_VALUE"""),"")</f>
        <v/>
      </c>
    </row>
    <row r="21933" spans="2:4" ht="13">
      <c r="B21933" s="12" t="str">
        <f ca="1">IFERROR(__xludf.DUMMYFUNCTION("""COMPUTED_VALUE"""),"")</f>
        <v/>
      </c>
      <c r="C21933" s="12" t="str">
        <f ca="1">IFERROR(__xludf.DUMMYFUNCTION("""COMPUTED_VALUE"""),"")</f>
        <v/>
      </c>
      <c r="D21933" s="12" t="str">
        <f ca="1">IFERROR(__xludf.DUMMYFUNCTION("""COMPUTED_VALUE"""),"")</f>
        <v/>
      </c>
    </row>
    <row r="21934" spans="2:4" ht="13">
      <c r="B21934" s="12" t="str">
        <f ca="1">IFERROR(__xludf.DUMMYFUNCTION("""COMPUTED_VALUE"""),"")</f>
        <v/>
      </c>
      <c r="C21934" s="12" t="str">
        <f ca="1">IFERROR(__xludf.DUMMYFUNCTION("""COMPUTED_VALUE"""),"")</f>
        <v/>
      </c>
      <c r="D21934" s="12" t="str">
        <f ca="1">IFERROR(__xludf.DUMMYFUNCTION("""COMPUTED_VALUE"""),"")</f>
        <v/>
      </c>
    </row>
    <row r="21935" spans="2:4" ht="13">
      <c r="B21935" s="12" t="str">
        <f ca="1">IFERROR(__xludf.DUMMYFUNCTION("""COMPUTED_VALUE"""),"")</f>
        <v/>
      </c>
      <c r="C21935" s="12" t="str">
        <f ca="1">IFERROR(__xludf.DUMMYFUNCTION("""COMPUTED_VALUE"""),"")</f>
        <v/>
      </c>
      <c r="D21935" s="12" t="str">
        <f ca="1">IFERROR(__xludf.DUMMYFUNCTION("""COMPUTED_VALUE"""),"")</f>
        <v/>
      </c>
    </row>
    <row r="21936" spans="2:4" ht="13">
      <c r="B21936" s="12" t="str">
        <f ca="1">IFERROR(__xludf.DUMMYFUNCTION("""COMPUTED_VALUE"""),"")</f>
        <v/>
      </c>
      <c r="C21936" s="12" t="str">
        <f ca="1">IFERROR(__xludf.DUMMYFUNCTION("""COMPUTED_VALUE"""),"")</f>
        <v/>
      </c>
      <c r="D21936" s="12" t="str">
        <f ca="1">IFERROR(__xludf.DUMMYFUNCTION("""COMPUTED_VALUE"""),"")</f>
        <v/>
      </c>
    </row>
    <row r="21937" spans="2:4" ht="13">
      <c r="B21937" s="12" t="str">
        <f ca="1">IFERROR(__xludf.DUMMYFUNCTION("""COMPUTED_VALUE"""),"")</f>
        <v/>
      </c>
      <c r="C21937" s="12" t="str">
        <f ca="1">IFERROR(__xludf.DUMMYFUNCTION("""COMPUTED_VALUE"""),"")</f>
        <v/>
      </c>
      <c r="D21937" s="12" t="str">
        <f ca="1">IFERROR(__xludf.DUMMYFUNCTION("""COMPUTED_VALUE"""),"")</f>
        <v/>
      </c>
    </row>
    <row r="21938" spans="2:4" ht="13">
      <c r="B21938" s="12" t="str">
        <f ca="1">IFERROR(__xludf.DUMMYFUNCTION("""COMPUTED_VALUE"""),"")</f>
        <v/>
      </c>
      <c r="C21938" s="12" t="str">
        <f ca="1">IFERROR(__xludf.DUMMYFUNCTION("""COMPUTED_VALUE"""),"")</f>
        <v/>
      </c>
      <c r="D21938" s="12" t="str">
        <f ca="1">IFERROR(__xludf.DUMMYFUNCTION("""COMPUTED_VALUE"""),"")</f>
        <v/>
      </c>
    </row>
    <row r="21939" spans="2:4" ht="13">
      <c r="B21939" s="12" t="str">
        <f ca="1">IFERROR(__xludf.DUMMYFUNCTION("""COMPUTED_VALUE"""),"")</f>
        <v/>
      </c>
      <c r="C21939" s="12" t="str">
        <f ca="1">IFERROR(__xludf.DUMMYFUNCTION("""COMPUTED_VALUE"""),"")</f>
        <v/>
      </c>
      <c r="D21939" s="12" t="str">
        <f ca="1">IFERROR(__xludf.DUMMYFUNCTION("""COMPUTED_VALUE"""),"")</f>
        <v/>
      </c>
    </row>
    <row r="21940" spans="2:4" ht="13">
      <c r="B21940" s="12" t="str">
        <f ca="1">IFERROR(__xludf.DUMMYFUNCTION("""COMPUTED_VALUE"""),"")</f>
        <v/>
      </c>
      <c r="C21940" s="12" t="str">
        <f ca="1">IFERROR(__xludf.DUMMYFUNCTION("""COMPUTED_VALUE"""),"")</f>
        <v/>
      </c>
      <c r="D21940" s="12" t="str">
        <f ca="1">IFERROR(__xludf.DUMMYFUNCTION("""COMPUTED_VALUE"""),"")</f>
        <v/>
      </c>
    </row>
    <row r="21941" spans="2:4" ht="13">
      <c r="B21941" s="12" t="str">
        <f ca="1">IFERROR(__xludf.DUMMYFUNCTION("""COMPUTED_VALUE"""),"")</f>
        <v/>
      </c>
      <c r="C21941" s="12" t="str">
        <f ca="1">IFERROR(__xludf.DUMMYFUNCTION("""COMPUTED_VALUE"""),"")</f>
        <v/>
      </c>
      <c r="D21941" s="12" t="str">
        <f ca="1">IFERROR(__xludf.DUMMYFUNCTION("""COMPUTED_VALUE"""),"")</f>
        <v/>
      </c>
    </row>
    <row r="21942" spans="2:4" ht="13">
      <c r="B21942" s="12" t="str">
        <f ca="1">IFERROR(__xludf.DUMMYFUNCTION("""COMPUTED_VALUE"""),"")</f>
        <v/>
      </c>
      <c r="C21942" s="12" t="str">
        <f ca="1">IFERROR(__xludf.DUMMYFUNCTION("""COMPUTED_VALUE"""),"")</f>
        <v/>
      </c>
      <c r="D21942" s="12" t="str">
        <f ca="1">IFERROR(__xludf.DUMMYFUNCTION("""COMPUTED_VALUE"""),"")</f>
        <v/>
      </c>
    </row>
    <row r="21943" spans="2:4" ht="13">
      <c r="B21943" s="12" t="str">
        <f ca="1">IFERROR(__xludf.DUMMYFUNCTION("""COMPUTED_VALUE"""),"")</f>
        <v/>
      </c>
      <c r="C21943" s="12" t="str">
        <f ca="1">IFERROR(__xludf.DUMMYFUNCTION("""COMPUTED_VALUE"""),"")</f>
        <v/>
      </c>
      <c r="D21943" s="12" t="str">
        <f ca="1">IFERROR(__xludf.DUMMYFUNCTION("""COMPUTED_VALUE"""),"")</f>
        <v/>
      </c>
    </row>
    <row r="21944" spans="2:4" ht="13">
      <c r="B21944" s="12" t="str">
        <f ca="1">IFERROR(__xludf.DUMMYFUNCTION("""COMPUTED_VALUE"""),"")</f>
        <v/>
      </c>
      <c r="C21944" s="12" t="str">
        <f ca="1">IFERROR(__xludf.DUMMYFUNCTION("""COMPUTED_VALUE"""),"")</f>
        <v/>
      </c>
      <c r="D21944" s="12" t="str">
        <f ca="1">IFERROR(__xludf.DUMMYFUNCTION("""COMPUTED_VALUE"""),"")</f>
        <v/>
      </c>
    </row>
    <row r="21945" spans="2:4" ht="13">
      <c r="B21945" s="12" t="str">
        <f ca="1">IFERROR(__xludf.DUMMYFUNCTION("""COMPUTED_VALUE"""),"")</f>
        <v/>
      </c>
      <c r="C21945" s="12" t="str">
        <f ca="1">IFERROR(__xludf.DUMMYFUNCTION("""COMPUTED_VALUE"""),"")</f>
        <v/>
      </c>
      <c r="D21945" s="12" t="str">
        <f ca="1">IFERROR(__xludf.DUMMYFUNCTION("""COMPUTED_VALUE"""),"")</f>
        <v/>
      </c>
    </row>
    <row r="21946" spans="2:4" ht="13">
      <c r="B21946" s="12" t="str">
        <f ca="1">IFERROR(__xludf.DUMMYFUNCTION("""COMPUTED_VALUE"""),"")</f>
        <v/>
      </c>
      <c r="C21946" s="12" t="str">
        <f ca="1">IFERROR(__xludf.DUMMYFUNCTION("""COMPUTED_VALUE"""),"")</f>
        <v/>
      </c>
      <c r="D21946" s="12" t="str">
        <f ca="1">IFERROR(__xludf.DUMMYFUNCTION("""COMPUTED_VALUE"""),"")</f>
        <v/>
      </c>
    </row>
    <row r="21947" spans="2:4" ht="13">
      <c r="B21947" s="12" t="str">
        <f ca="1">IFERROR(__xludf.DUMMYFUNCTION("""COMPUTED_VALUE"""),"")</f>
        <v/>
      </c>
      <c r="C21947" s="12" t="str">
        <f ca="1">IFERROR(__xludf.DUMMYFUNCTION("""COMPUTED_VALUE"""),"")</f>
        <v/>
      </c>
      <c r="D21947" s="12" t="str">
        <f ca="1">IFERROR(__xludf.DUMMYFUNCTION("""COMPUTED_VALUE"""),"")</f>
        <v/>
      </c>
    </row>
    <row r="21948" spans="2:4" ht="13">
      <c r="B21948" s="12" t="str">
        <f ca="1">IFERROR(__xludf.DUMMYFUNCTION("""COMPUTED_VALUE"""),"")</f>
        <v/>
      </c>
      <c r="C21948" s="12" t="str">
        <f ca="1">IFERROR(__xludf.DUMMYFUNCTION("""COMPUTED_VALUE"""),"")</f>
        <v/>
      </c>
      <c r="D21948" s="12" t="str">
        <f ca="1">IFERROR(__xludf.DUMMYFUNCTION("""COMPUTED_VALUE"""),"")</f>
        <v/>
      </c>
    </row>
    <row r="21949" spans="2:4" ht="13">
      <c r="B21949" s="12" t="str">
        <f ca="1">IFERROR(__xludf.DUMMYFUNCTION("""COMPUTED_VALUE"""),"")</f>
        <v/>
      </c>
      <c r="C21949" s="12" t="str">
        <f ca="1">IFERROR(__xludf.DUMMYFUNCTION("""COMPUTED_VALUE"""),"")</f>
        <v/>
      </c>
      <c r="D21949" s="12" t="str">
        <f ca="1">IFERROR(__xludf.DUMMYFUNCTION("""COMPUTED_VALUE"""),"")</f>
        <v/>
      </c>
    </row>
    <row r="21950" spans="2:4" ht="13">
      <c r="B21950" s="12" t="str">
        <f ca="1">IFERROR(__xludf.DUMMYFUNCTION("""COMPUTED_VALUE"""),"")</f>
        <v/>
      </c>
      <c r="C21950" s="12" t="str">
        <f ca="1">IFERROR(__xludf.DUMMYFUNCTION("""COMPUTED_VALUE"""),"")</f>
        <v/>
      </c>
      <c r="D21950" s="12" t="str">
        <f ca="1">IFERROR(__xludf.DUMMYFUNCTION("""COMPUTED_VALUE"""),"")</f>
        <v/>
      </c>
    </row>
    <row r="21951" spans="2:4" ht="13">
      <c r="B21951" s="12" t="str">
        <f ca="1">IFERROR(__xludf.DUMMYFUNCTION("""COMPUTED_VALUE"""),"")</f>
        <v/>
      </c>
      <c r="C21951" s="12" t="str">
        <f ca="1">IFERROR(__xludf.DUMMYFUNCTION("""COMPUTED_VALUE"""),"")</f>
        <v/>
      </c>
      <c r="D21951" s="12" t="str">
        <f ca="1">IFERROR(__xludf.DUMMYFUNCTION("""COMPUTED_VALUE"""),"")</f>
        <v/>
      </c>
    </row>
    <row r="21952" spans="2:4" ht="13">
      <c r="B21952" s="12" t="str">
        <f ca="1">IFERROR(__xludf.DUMMYFUNCTION("""COMPUTED_VALUE"""),"")</f>
        <v/>
      </c>
      <c r="C21952" s="12" t="str">
        <f ca="1">IFERROR(__xludf.DUMMYFUNCTION("""COMPUTED_VALUE"""),"")</f>
        <v/>
      </c>
      <c r="D21952" s="12" t="str">
        <f ca="1">IFERROR(__xludf.DUMMYFUNCTION("""COMPUTED_VALUE"""),"")</f>
        <v/>
      </c>
    </row>
    <row r="21953" spans="2:4" ht="13">
      <c r="B21953" s="12" t="str">
        <f ca="1">IFERROR(__xludf.DUMMYFUNCTION("""COMPUTED_VALUE"""),"")</f>
        <v/>
      </c>
      <c r="C21953" s="12" t="str">
        <f ca="1">IFERROR(__xludf.DUMMYFUNCTION("""COMPUTED_VALUE"""),"")</f>
        <v/>
      </c>
      <c r="D21953" s="12" t="str">
        <f ca="1">IFERROR(__xludf.DUMMYFUNCTION("""COMPUTED_VALUE"""),"")</f>
        <v/>
      </c>
    </row>
    <row r="21954" spans="2:4" ht="13">
      <c r="B21954" s="12" t="str">
        <f ca="1">IFERROR(__xludf.DUMMYFUNCTION("""COMPUTED_VALUE"""),"")</f>
        <v/>
      </c>
      <c r="C21954" s="12" t="str">
        <f ca="1">IFERROR(__xludf.DUMMYFUNCTION("""COMPUTED_VALUE"""),"")</f>
        <v/>
      </c>
      <c r="D21954" s="12" t="str">
        <f ca="1">IFERROR(__xludf.DUMMYFUNCTION("""COMPUTED_VALUE"""),"")</f>
        <v/>
      </c>
    </row>
    <row r="21955" spans="2:4" ht="13">
      <c r="B21955" s="12" t="str">
        <f ca="1">IFERROR(__xludf.DUMMYFUNCTION("""COMPUTED_VALUE"""),"")</f>
        <v/>
      </c>
      <c r="C21955" s="12" t="str">
        <f ca="1">IFERROR(__xludf.DUMMYFUNCTION("""COMPUTED_VALUE"""),"")</f>
        <v/>
      </c>
      <c r="D21955" s="12" t="str">
        <f ca="1">IFERROR(__xludf.DUMMYFUNCTION("""COMPUTED_VALUE"""),"")</f>
        <v/>
      </c>
    </row>
    <row r="21956" spans="2:4" ht="13">
      <c r="B21956" s="12" t="str">
        <f ca="1">IFERROR(__xludf.DUMMYFUNCTION("""COMPUTED_VALUE"""),"")</f>
        <v/>
      </c>
      <c r="C21956" s="12" t="str">
        <f ca="1">IFERROR(__xludf.DUMMYFUNCTION("""COMPUTED_VALUE"""),"")</f>
        <v/>
      </c>
      <c r="D21956" s="12" t="str">
        <f ca="1">IFERROR(__xludf.DUMMYFUNCTION("""COMPUTED_VALUE"""),"")</f>
        <v/>
      </c>
    </row>
    <row r="21957" spans="2:4" ht="13">
      <c r="B21957" s="12" t="str">
        <f ca="1">IFERROR(__xludf.DUMMYFUNCTION("""COMPUTED_VALUE"""),"")</f>
        <v/>
      </c>
      <c r="C21957" s="12" t="str">
        <f ca="1">IFERROR(__xludf.DUMMYFUNCTION("""COMPUTED_VALUE"""),"")</f>
        <v/>
      </c>
      <c r="D21957" s="12" t="str">
        <f ca="1">IFERROR(__xludf.DUMMYFUNCTION("""COMPUTED_VALUE"""),"")</f>
        <v/>
      </c>
    </row>
    <row r="21958" spans="2:4" ht="13">
      <c r="B21958" s="12" t="str">
        <f ca="1">IFERROR(__xludf.DUMMYFUNCTION("""COMPUTED_VALUE"""),"")</f>
        <v/>
      </c>
      <c r="C21958" s="12" t="str">
        <f ca="1">IFERROR(__xludf.DUMMYFUNCTION("""COMPUTED_VALUE"""),"")</f>
        <v/>
      </c>
      <c r="D21958" s="12" t="str">
        <f ca="1">IFERROR(__xludf.DUMMYFUNCTION("""COMPUTED_VALUE"""),"")</f>
        <v/>
      </c>
    </row>
    <row r="21959" spans="2:4" ht="13">
      <c r="B21959" s="12" t="str">
        <f ca="1">IFERROR(__xludf.DUMMYFUNCTION("""COMPUTED_VALUE"""),"")</f>
        <v/>
      </c>
      <c r="C21959" s="12" t="str">
        <f ca="1">IFERROR(__xludf.DUMMYFUNCTION("""COMPUTED_VALUE"""),"")</f>
        <v/>
      </c>
      <c r="D21959" s="12" t="str">
        <f ca="1">IFERROR(__xludf.DUMMYFUNCTION("""COMPUTED_VALUE"""),"")</f>
        <v/>
      </c>
    </row>
    <row r="21960" spans="2:4" ht="13">
      <c r="B21960" s="12" t="str">
        <f ca="1">IFERROR(__xludf.DUMMYFUNCTION("""COMPUTED_VALUE"""),"")</f>
        <v/>
      </c>
      <c r="C21960" s="12" t="str">
        <f ca="1">IFERROR(__xludf.DUMMYFUNCTION("""COMPUTED_VALUE"""),"")</f>
        <v/>
      </c>
      <c r="D21960" s="12" t="str">
        <f ca="1">IFERROR(__xludf.DUMMYFUNCTION("""COMPUTED_VALUE"""),"")</f>
        <v/>
      </c>
    </row>
    <row r="21961" spans="2:4" ht="13">
      <c r="B21961" s="12" t="str">
        <f ca="1">IFERROR(__xludf.DUMMYFUNCTION("""COMPUTED_VALUE"""),"")</f>
        <v/>
      </c>
      <c r="C21961" s="12" t="str">
        <f ca="1">IFERROR(__xludf.DUMMYFUNCTION("""COMPUTED_VALUE"""),"")</f>
        <v/>
      </c>
      <c r="D21961" s="12" t="str">
        <f ca="1">IFERROR(__xludf.DUMMYFUNCTION("""COMPUTED_VALUE"""),"")</f>
        <v/>
      </c>
    </row>
    <row r="21962" spans="2:4" ht="13">
      <c r="B21962" s="12" t="str">
        <f ca="1">IFERROR(__xludf.DUMMYFUNCTION("""COMPUTED_VALUE"""),"")</f>
        <v/>
      </c>
      <c r="C21962" s="12" t="str">
        <f ca="1">IFERROR(__xludf.DUMMYFUNCTION("""COMPUTED_VALUE"""),"")</f>
        <v/>
      </c>
      <c r="D21962" s="12" t="str">
        <f ca="1">IFERROR(__xludf.DUMMYFUNCTION("""COMPUTED_VALUE"""),"")</f>
        <v/>
      </c>
    </row>
    <row r="21963" spans="2:4" ht="13">
      <c r="B21963" s="12" t="str">
        <f ca="1">IFERROR(__xludf.DUMMYFUNCTION("""COMPUTED_VALUE"""),"")</f>
        <v/>
      </c>
      <c r="C21963" s="12" t="str">
        <f ca="1">IFERROR(__xludf.DUMMYFUNCTION("""COMPUTED_VALUE"""),"")</f>
        <v/>
      </c>
      <c r="D21963" s="12" t="str">
        <f ca="1">IFERROR(__xludf.DUMMYFUNCTION("""COMPUTED_VALUE"""),"")</f>
        <v/>
      </c>
    </row>
    <row r="21964" spans="2:4" ht="13">
      <c r="B21964" s="12" t="str">
        <f ca="1">IFERROR(__xludf.DUMMYFUNCTION("""COMPUTED_VALUE"""),"")</f>
        <v/>
      </c>
      <c r="C21964" s="12" t="str">
        <f ca="1">IFERROR(__xludf.DUMMYFUNCTION("""COMPUTED_VALUE"""),"")</f>
        <v/>
      </c>
      <c r="D21964" s="12" t="str">
        <f ca="1">IFERROR(__xludf.DUMMYFUNCTION("""COMPUTED_VALUE"""),"")</f>
        <v/>
      </c>
    </row>
    <row r="21965" spans="2:4" ht="13">
      <c r="B21965" s="12" t="str">
        <f ca="1">IFERROR(__xludf.DUMMYFUNCTION("""COMPUTED_VALUE"""),"")</f>
        <v/>
      </c>
      <c r="C21965" s="12" t="str">
        <f ca="1">IFERROR(__xludf.DUMMYFUNCTION("""COMPUTED_VALUE"""),"")</f>
        <v/>
      </c>
      <c r="D21965" s="12" t="str">
        <f ca="1">IFERROR(__xludf.DUMMYFUNCTION("""COMPUTED_VALUE"""),"")</f>
        <v/>
      </c>
    </row>
    <row r="21966" spans="2:4" ht="13">
      <c r="B21966" s="12" t="str">
        <f ca="1">IFERROR(__xludf.DUMMYFUNCTION("""COMPUTED_VALUE"""),"")</f>
        <v/>
      </c>
      <c r="C21966" s="12" t="str">
        <f ca="1">IFERROR(__xludf.DUMMYFUNCTION("""COMPUTED_VALUE"""),"")</f>
        <v/>
      </c>
      <c r="D21966" s="12" t="str">
        <f ca="1">IFERROR(__xludf.DUMMYFUNCTION("""COMPUTED_VALUE"""),"")</f>
        <v/>
      </c>
    </row>
    <row r="21967" spans="2:4" ht="13">
      <c r="B21967" s="12" t="str">
        <f ca="1">IFERROR(__xludf.DUMMYFUNCTION("""COMPUTED_VALUE"""),"")</f>
        <v/>
      </c>
      <c r="C21967" s="12" t="str">
        <f ca="1">IFERROR(__xludf.DUMMYFUNCTION("""COMPUTED_VALUE"""),"")</f>
        <v/>
      </c>
      <c r="D21967" s="12" t="str">
        <f ca="1">IFERROR(__xludf.DUMMYFUNCTION("""COMPUTED_VALUE"""),"")</f>
        <v/>
      </c>
    </row>
    <row r="21968" spans="2:4" ht="13">
      <c r="B21968" s="12" t="str">
        <f ca="1">IFERROR(__xludf.DUMMYFUNCTION("""COMPUTED_VALUE"""),"")</f>
        <v/>
      </c>
      <c r="C21968" s="12" t="str">
        <f ca="1">IFERROR(__xludf.DUMMYFUNCTION("""COMPUTED_VALUE"""),"")</f>
        <v/>
      </c>
      <c r="D21968" s="12" t="str">
        <f ca="1">IFERROR(__xludf.DUMMYFUNCTION("""COMPUTED_VALUE"""),"")</f>
        <v/>
      </c>
    </row>
    <row r="21969" spans="2:4" ht="13">
      <c r="B21969" s="12" t="str">
        <f ca="1">IFERROR(__xludf.DUMMYFUNCTION("""COMPUTED_VALUE"""),"")</f>
        <v/>
      </c>
      <c r="C21969" s="12" t="str">
        <f ca="1">IFERROR(__xludf.DUMMYFUNCTION("""COMPUTED_VALUE"""),"")</f>
        <v/>
      </c>
      <c r="D21969" s="12" t="str">
        <f ca="1">IFERROR(__xludf.DUMMYFUNCTION("""COMPUTED_VALUE"""),"")</f>
        <v/>
      </c>
    </row>
    <row r="21970" spans="2:4" ht="13">
      <c r="B21970" s="12" t="str">
        <f ca="1">IFERROR(__xludf.DUMMYFUNCTION("""COMPUTED_VALUE"""),"")</f>
        <v/>
      </c>
      <c r="C21970" s="12" t="str">
        <f ca="1">IFERROR(__xludf.DUMMYFUNCTION("""COMPUTED_VALUE"""),"")</f>
        <v/>
      </c>
      <c r="D21970" s="12" t="str">
        <f ca="1">IFERROR(__xludf.DUMMYFUNCTION("""COMPUTED_VALUE"""),"")</f>
        <v/>
      </c>
    </row>
    <row r="21971" spans="2:4" ht="13">
      <c r="B21971" s="12" t="str">
        <f ca="1">IFERROR(__xludf.DUMMYFUNCTION("""COMPUTED_VALUE"""),"")</f>
        <v/>
      </c>
      <c r="C21971" s="12" t="str">
        <f ca="1">IFERROR(__xludf.DUMMYFUNCTION("""COMPUTED_VALUE"""),"")</f>
        <v/>
      </c>
      <c r="D21971" s="12" t="str">
        <f ca="1">IFERROR(__xludf.DUMMYFUNCTION("""COMPUTED_VALUE"""),"")</f>
        <v/>
      </c>
    </row>
    <row r="21972" spans="2:4" ht="13">
      <c r="B21972" s="12" t="str">
        <f ca="1">IFERROR(__xludf.DUMMYFUNCTION("""COMPUTED_VALUE"""),"")</f>
        <v/>
      </c>
      <c r="C21972" s="12" t="str">
        <f ca="1">IFERROR(__xludf.DUMMYFUNCTION("""COMPUTED_VALUE"""),"")</f>
        <v/>
      </c>
      <c r="D21972" s="12" t="str">
        <f ca="1">IFERROR(__xludf.DUMMYFUNCTION("""COMPUTED_VALUE"""),"")</f>
        <v/>
      </c>
    </row>
    <row r="21973" spans="2:4" ht="13">
      <c r="B21973" s="12" t="str">
        <f ca="1">IFERROR(__xludf.DUMMYFUNCTION("""COMPUTED_VALUE"""),"")</f>
        <v/>
      </c>
      <c r="C21973" s="12" t="str">
        <f ca="1">IFERROR(__xludf.DUMMYFUNCTION("""COMPUTED_VALUE"""),"")</f>
        <v/>
      </c>
      <c r="D21973" s="12" t="str">
        <f ca="1">IFERROR(__xludf.DUMMYFUNCTION("""COMPUTED_VALUE"""),"")</f>
        <v/>
      </c>
    </row>
    <row r="21974" spans="2:4" ht="13">
      <c r="B21974" s="12" t="str">
        <f ca="1">IFERROR(__xludf.DUMMYFUNCTION("""COMPUTED_VALUE"""),"")</f>
        <v/>
      </c>
      <c r="C21974" s="12" t="str">
        <f ca="1">IFERROR(__xludf.DUMMYFUNCTION("""COMPUTED_VALUE"""),"")</f>
        <v/>
      </c>
      <c r="D21974" s="12" t="str">
        <f ca="1">IFERROR(__xludf.DUMMYFUNCTION("""COMPUTED_VALUE"""),"")</f>
        <v/>
      </c>
    </row>
    <row r="21975" spans="2:4" ht="13">
      <c r="B21975" s="12" t="str">
        <f ca="1">IFERROR(__xludf.DUMMYFUNCTION("""COMPUTED_VALUE"""),"")</f>
        <v/>
      </c>
      <c r="C21975" s="12" t="str">
        <f ca="1">IFERROR(__xludf.DUMMYFUNCTION("""COMPUTED_VALUE"""),"")</f>
        <v/>
      </c>
      <c r="D21975" s="12" t="str">
        <f ca="1">IFERROR(__xludf.DUMMYFUNCTION("""COMPUTED_VALUE"""),"")</f>
        <v/>
      </c>
    </row>
    <row r="21976" spans="2:4" ht="13">
      <c r="B21976" s="12" t="str">
        <f ca="1">IFERROR(__xludf.DUMMYFUNCTION("""COMPUTED_VALUE"""),"")</f>
        <v/>
      </c>
      <c r="C21976" s="12" t="str">
        <f ca="1">IFERROR(__xludf.DUMMYFUNCTION("""COMPUTED_VALUE"""),"")</f>
        <v/>
      </c>
      <c r="D21976" s="12" t="str">
        <f ca="1">IFERROR(__xludf.DUMMYFUNCTION("""COMPUTED_VALUE"""),"")</f>
        <v/>
      </c>
    </row>
    <row r="21977" spans="2:4" ht="13">
      <c r="B21977" s="12" t="str">
        <f ca="1">IFERROR(__xludf.DUMMYFUNCTION("""COMPUTED_VALUE"""),"")</f>
        <v/>
      </c>
      <c r="C21977" s="12" t="str">
        <f ca="1">IFERROR(__xludf.DUMMYFUNCTION("""COMPUTED_VALUE"""),"")</f>
        <v/>
      </c>
      <c r="D21977" s="12" t="str">
        <f ca="1">IFERROR(__xludf.DUMMYFUNCTION("""COMPUTED_VALUE"""),"")</f>
        <v/>
      </c>
    </row>
    <row r="21978" spans="2:4" ht="13">
      <c r="B21978" s="12" t="str">
        <f ca="1">IFERROR(__xludf.DUMMYFUNCTION("""COMPUTED_VALUE"""),"")</f>
        <v/>
      </c>
      <c r="C21978" s="12" t="str">
        <f ca="1">IFERROR(__xludf.DUMMYFUNCTION("""COMPUTED_VALUE"""),"")</f>
        <v/>
      </c>
      <c r="D21978" s="12" t="str">
        <f ca="1">IFERROR(__xludf.DUMMYFUNCTION("""COMPUTED_VALUE"""),"")</f>
        <v/>
      </c>
    </row>
    <row r="21979" spans="2:4" ht="13">
      <c r="B21979" s="12" t="str">
        <f ca="1">IFERROR(__xludf.DUMMYFUNCTION("""COMPUTED_VALUE"""),"")</f>
        <v/>
      </c>
      <c r="C21979" s="12" t="str">
        <f ca="1">IFERROR(__xludf.DUMMYFUNCTION("""COMPUTED_VALUE"""),"")</f>
        <v/>
      </c>
      <c r="D21979" s="12" t="str">
        <f ca="1">IFERROR(__xludf.DUMMYFUNCTION("""COMPUTED_VALUE"""),"")</f>
        <v/>
      </c>
    </row>
    <row r="21980" spans="2:4" ht="13">
      <c r="B21980" s="12" t="str">
        <f ca="1">IFERROR(__xludf.DUMMYFUNCTION("""COMPUTED_VALUE"""),"")</f>
        <v/>
      </c>
      <c r="C21980" s="12" t="str">
        <f ca="1">IFERROR(__xludf.DUMMYFUNCTION("""COMPUTED_VALUE"""),"")</f>
        <v/>
      </c>
      <c r="D21980" s="12" t="str">
        <f ca="1">IFERROR(__xludf.DUMMYFUNCTION("""COMPUTED_VALUE"""),"")</f>
        <v/>
      </c>
    </row>
    <row r="21981" spans="2:4" ht="13">
      <c r="B21981" s="12" t="str">
        <f ca="1">IFERROR(__xludf.DUMMYFUNCTION("""COMPUTED_VALUE"""),"")</f>
        <v/>
      </c>
      <c r="C21981" s="12" t="str">
        <f ca="1">IFERROR(__xludf.DUMMYFUNCTION("""COMPUTED_VALUE"""),"")</f>
        <v/>
      </c>
      <c r="D21981" s="12" t="str">
        <f ca="1">IFERROR(__xludf.DUMMYFUNCTION("""COMPUTED_VALUE"""),"")</f>
        <v/>
      </c>
    </row>
    <row r="21982" spans="2:4" ht="13">
      <c r="B21982" s="12" t="str">
        <f ca="1">IFERROR(__xludf.DUMMYFUNCTION("""COMPUTED_VALUE"""),"")</f>
        <v/>
      </c>
      <c r="C21982" s="12" t="str">
        <f ca="1">IFERROR(__xludf.DUMMYFUNCTION("""COMPUTED_VALUE"""),"")</f>
        <v/>
      </c>
      <c r="D21982" s="12" t="str">
        <f ca="1">IFERROR(__xludf.DUMMYFUNCTION("""COMPUTED_VALUE"""),"")</f>
        <v/>
      </c>
    </row>
    <row r="21983" spans="2:4" ht="13">
      <c r="B21983" s="12" t="str">
        <f ca="1">IFERROR(__xludf.DUMMYFUNCTION("""COMPUTED_VALUE"""),"")</f>
        <v/>
      </c>
      <c r="C21983" s="12" t="str">
        <f ca="1">IFERROR(__xludf.DUMMYFUNCTION("""COMPUTED_VALUE"""),"")</f>
        <v/>
      </c>
      <c r="D21983" s="12" t="str">
        <f ca="1">IFERROR(__xludf.DUMMYFUNCTION("""COMPUTED_VALUE"""),"")</f>
        <v/>
      </c>
    </row>
    <row r="21984" spans="2:4" ht="13">
      <c r="B21984" s="12" t="str">
        <f ca="1">IFERROR(__xludf.DUMMYFUNCTION("""COMPUTED_VALUE"""),"")</f>
        <v/>
      </c>
      <c r="C21984" s="12" t="str">
        <f ca="1">IFERROR(__xludf.DUMMYFUNCTION("""COMPUTED_VALUE"""),"")</f>
        <v/>
      </c>
      <c r="D21984" s="12" t="str">
        <f ca="1">IFERROR(__xludf.DUMMYFUNCTION("""COMPUTED_VALUE"""),"")</f>
        <v/>
      </c>
    </row>
    <row r="21985" spans="2:4" ht="13">
      <c r="B21985" s="12" t="str">
        <f ca="1">IFERROR(__xludf.DUMMYFUNCTION("""COMPUTED_VALUE"""),"")</f>
        <v/>
      </c>
      <c r="C21985" s="12" t="str">
        <f ca="1">IFERROR(__xludf.DUMMYFUNCTION("""COMPUTED_VALUE"""),"")</f>
        <v/>
      </c>
      <c r="D21985" s="12" t="str">
        <f ca="1">IFERROR(__xludf.DUMMYFUNCTION("""COMPUTED_VALUE"""),"")</f>
        <v/>
      </c>
    </row>
    <row r="21986" spans="2:4" ht="13">
      <c r="B21986" s="12" t="str">
        <f ca="1">IFERROR(__xludf.DUMMYFUNCTION("""COMPUTED_VALUE"""),"")</f>
        <v/>
      </c>
      <c r="C21986" s="12" t="str">
        <f ca="1">IFERROR(__xludf.DUMMYFUNCTION("""COMPUTED_VALUE"""),"")</f>
        <v/>
      </c>
      <c r="D21986" s="12" t="str">
        <f ca="1">IFERROR(__xludf.DUMMYFUNCTION("""COMPUTED_VALUE"""),"")</f>
        <v/>
      </c>
    </row>
    <row r="21987" spans="2:4" ht="13">
      <c r="B21987" s="12" t="str">
        <f ca="1">IFERROR(__xludf.DUMMYFUNCTION("""COMPUTED_VALUE"""),"")</f>
        <v/>
      </c>
      <c r="C21987" s="12" t="str">
        <f ca="1">IFERROR(__xludf.DUMMYFUNCTION("""COMPUTED_VALUE"""),"")</f>
        <v/>
      </c>
      <c r="D21987" s="12" t="str">
        <f ca="1">IFERROR(__xludf.DUMMYFUNCTION("""COMPUTED_VALUE"""),"")</f>
        <v/>
      </c>
    </row>
    <row r="21988" spans="2:4" ht="13">
      <c r="B21988" s="12" t="str">
        <f ca="1">IFERROR(__xludf.DUMMYFUNCTION("""COMPUTED_VALUE"""),"")</f>
        <v/>
      </c>
      <c r="C21988" s="12" t="str">
        <f ca="1">IFERROR(__xludf.DUMMYFUNCTION("""COMPUTED_VALUE"""),"")</f>
        <v/>
      </c>
      <c r="D21988" s="12" t="str">
        <f ca="1">IFERROR(__xludf.DUMMYFUNCTION("""COMPUTED_VALUE"""),"")</f>
        <v/>
      </c>
    </row>
    <row r="21989" spans="2:4" ht="13">
      <c r="B21989" s="12" t="str">
        <f ca="1">IFERROR(__xludf.DUMMYFUNCTION("""COMPUTED_VALUE"""),"")</f>
        <v/>
      </c>
      <c r="C21989" s="12" t="str">
        <f ca="1">IFERROR(__xludf.DUMMYFUNCTION("""COMPUTED_VALUE"""),"")</f>
        <v/>
      </c>
      <c r="D21989" s="12" t="str">
        <f ca="1">IFERROR(__xludf.DUMMYFUNCTION("""COMPUTED_VALUE"""),"")</f>
        <v/>
      </c>
    </row>
    <row r="21990" spans="2:4" ht="13">
      <c r="B21990" s="12" t="str">
        <f ca="1">IFERROR(__xludf.DUMMYFUNCTION("""COMPUTED_VALUE"""),"")</f>
        <v/>
      </c>
      <c r="C21990" s="12" t="str">
        <f ca="1">IFERROR(__xludf.DUMMYFUNCTION("""COMPUTED_VALUE"""),"")</f>
        <v/>
      </c>
      <c r="D21990" s="12" t="str">
        <f ca="1">IFERROR(__xludf.DUMMYFUNCTION("""COMPUTED_VALUE"""),"")</f>
        <v/>
      </c>
    </row>
    <row r="21991" spans="2:4" ht="13">
      <c r="B21991" s="12" t="str">
        <f ca="1">IFERROR(__xludf.DUMMYFUNCTION("""COMPUTED_VALUE"""),"")</f>
        <v/>
      </c>
      <c r="C21991" s="12" t="str">
        <f ca="1">IFERROR(__xludf.DUMMYFUNCTION("""COMPUTED_VALUE"""),"")</f>
        <v/>
      </c>
      <c r="D21991" s="12" t="str">
        <f ca="1">IFERROR(__xludf.DUMMYFUNCTION("""COMPUTED_VALUE"""),"")</f>
        <v/>
      </c>
    </row>
    <row r="21992" spans="2:4" ht="13">
      <c r="B21992" s="12" t="str">
        <f ca="1">IFERROR(__xludf.DUMMYFUNCTION("""COMPUTED_VALUE"""),"")</f>
        <v/>
      </c>
      <c r="C21992" s="12" t="str">
        <f ca="1">IFERROR(__xludf.DUMMYFUNCTION("""COMPUTED_VALUE"""),"")</f>
        <v/>
      </c>
      <c r="D21992" s="12" t="str">
        <f ca="1">IFERROR(__xludf.DUMMYFUNCTION("""COMPUTED_VALUE"""),"")</f>
        <v/>
      </c>
    </row>
    <row r="21993" spans="2:4" ht="13">
      <c r="B21993" s="12" t="str">
        <f ca="1">IFERROR(__xludf.DUMMYFUNCTION("""COMPUTED_VALUE"""),"")</f>
        <v/>
      </c>
      <c r="C21993" s="12" t="str">
        <f ca="1">IFERROR(__xludf.DUMMYFUNCTION("""COMPUTED_VALUE"""),"")</f>
        <v/>
      </c>
      <c r="D21993" s="12" t="str">
        <f ca="1">IFERROR(__xludf.DUMMYFUNCTION("""COMPUTED_VALUE"""),"")</f>
        <v/>
      </c>
    </row>
    <row r="21994" spans="2:4" ht="13">
      <c r="B21994" s="12" t="str">
        <f ca="1">IFERROR(__xludf.DUMMYFUNCTION("""COMPUTED_VALUE"""),"")</f>
        <v/>
      </c>
      <c r="C21994" s="12" t="str">
        <f ca="1">IFERROR(__xludf.DUMMYFUNCTION("""COMPUTED_VALUE"""),"")</f>
        <v/>
      </c>
      <c r="D21994" s="12" t="str">
        <f ca="1">IFERROR(__xludf.DUMMYFUNCTION("""COMPUTED_VALUE"""),"")</f>
        <v/>
      </c>
    </row>
    <row r="21995" spans="2:4" ht="13">
      <c r="B21995" s="12" t="str">
        <f ca="1">IFERROR(__xludf.DUMMYFUNCTION("""COMPUTED_VALUE"""),"")</f>
        <v/>
      </c>
      <c r="C21995" s="12" t="str">
        <f ca="1">IFERROR(__xludf.DUMMYFUNCTION("""COMPUTED_VALUE"""),"")</f>
        <v/>
      </c>
      <c r="D21995" s="12" t="str">
        <f ca="1">IFERROR(__xludf.DUMMYFUNCTION("""COMPUTED_VALUE"""),"")</f>
        <v/>
      </c>
    </row>
    <row r="21996" spans="2:4" ht="13">
      <c r="B21996" s="12" t="str">
        <f ca="1">IFERROR(__xludf.DUMMYFUNCTION("""COMPUTED_VALUE"""),"")</f>
        <v/>
      </c>
      <c r="C21996" s="12" t="str">
        <f ca="1">IFERROR(__xludf.DUMMYFUNCTION("""COMPUTED_VALUE"""),"")</f>
        <v/>
      </c>
      <c r="D21996" s="12" t="str">
        <f ca="1">IFERROR(__xludf.DUMMYFUNCTION("""COMPUTED_VALUE"""),"")</f>
        <v/>
      </c>
    </row>
    <row r="21997" spans="2:4" ht="13">
      <c r="B21997" s="12" t="str">
        <f ca="1">IFERROR(__xludf.DUMMYFUNCTION("""COMPUTED_VALUE"""),"")</f>
        <v/>
      </c>
      <c r="C21997" s="12" t="str">
        <f ca="1">IFERROR(__xludf.DUMMYFUNCTION("""COMPUTED_VALUE"""),"")</f>
        <v/>
      </c>
      <c r="D21997" s="12" t="str">
        <f ca="1">IFERROR(__xludf.DUMMYFUNCTION("""COMPUTED_VALUE"""),"")</f>
        <v/>
      </c>
    </row>
    <row r="21998" spans="2:4" ht="13">
      <c r="B21998" s="12" t="str">
        <f ca="1">IFERROR(__xludf.DUMMYFUNCTION("""COMPUTED_VALUE"""),"")</f>
        <v/>
      </c>
      <c r="C21998" s="12" t="str">
        <f ca="1">IFERROR(__xludf.DUMMYFUNCTION("""COMPUTED_VALUE"""),"")</f>
        <v/>
      </c>
      <c r="D21998" s="12" t="str">
        <f ca="1">IFERROR(__xludf.DUMMYFUNCTION("""COMPUTED_VALUE"""),"")</f>
        <v/>
      </c>
    </row>
    <row r="21999" spans="2:4" ht="13">
      <c r="B21999" s="12" t="str">
        <f ca="1">IFERROR(__xludf.DUMMYFUNCTION("""COMPUTED_VALUE"""),"")</f>
        <v/>
      </c>
      <c r="C21999" s="12" t="str">
        <f ca="1">IFERROR(__xludf.DUMMYFUNCTION("""COMPUTED_VALUE"""),"")</f>
        <v/>
      </c>
      <c r="D21999" s="12" t="str">
        <f ca="1">IFERROR(__xludf.DUMMYFUNCTION("""COMPUTED_VALUE"""),"")</f>
        <v/>
      </c>
    </row>
    <row r="22000" spans="2:4" ht="13">
      <c r="B22000" s="12" t="str">
        <f ca="1">IFERROR(__xludf.DUMMYFUNCTION("""COMPUTED_VALUE"""),"")</f>
        <v/>
      </c>
      <c r="C22000" s="12" t="str">
        <f ca="1">IFERROR(__xludf.DUMMYFUNCTION("""COMPUTED_VALUE"""),"")</f>
        <v/>
      </c>
      <c r="D22000" s="12" t="str">
        <f ca="1">IFERROR(__xludf.DUMMYFUNCTION("""COMPUTED_VALUE"""),"")</f>
        <v/>
      </c>
    </row>
    <row r="22001" spans="2:4" ht="13">
      <c r="B22001" s="12" t="str">
        <f ca="1">IFERROR(__xludf.DUMMYFUNCTION("""COMPUTED_VALUE"""),"")</f>
        <v/>
      </c>
      <c r="C22001" s="12" t="str">
        <f ca="1">IFERROR(__xludf.DUMMYFUNCTION("""COMPUTED_VALUE"""),"")</f>
        <v/>
      </c>
      <c r="D22001" s="12" t="str">
        <f ca="1">IFERROR(__xludf.DUMMYFUNCTION("""COMPUTED_VALUE"""),"")</f>
        <v/>
      </c>
    </row>
    <row r="22002" spans="2:4" ht="13">
      <c r="B22002" s="12" t="str">
        <f ca="1">IFERROR(__xludf.DUMMYFUNCTION("""COMPUTED_VALUE"""),"")</f>
        <v/>
      </c>
      <c r="C22002" s="12" t="str">
        <f ca="1">IFERROR(__xludf.DUMMYFUNCTION("""COMPUTED_VALUE"""),"")</f>
        <v/>
      </c>
      <c r="D22002" s="12" t="str">
        <f ca="1">IFERROR(__xludf.DUMMYFUNCTION("""COMPUTED_VALUE"""),"")</f>
        <v/>
      </c>
    </row>
    <row r="22003" spans="2:4" ht="13">
      <c r="B22003" s="12" t="str">
        <f ca="1">IFERROR(__xludf.DUMMYFUNCTION("""COMPUTED_VALUE"""),"")</f>
        <v/>
      </c>
      <c r="C22003" s="12" t="str">
        <f ca="1">IFERROR(__xludf.DUMMYFUNCTION("""COMPUTED_VALUE"""),"")</f>
        <v/>
      </c>
      <c r="D22003" s="12" t="str">
        <f ca="1">IFERROR(__xludf.DUMMYFUNCTION("""COMPUTED_VALUE"""),"")</f>
        <v/>
      </c>
    </row>
    <row r="22004" spans="2:4" ht="13">
      <c r="B22004" s="12" t="str">
        <f ca="1">IFERROR(__xludf.DUMMYFUNCTION("""COMPUTED_VALUE"""),"")</f>
        <v/>
      </c>
      <c r="C22004" s="12" t="str">
        <f ca="1">IFERROR(__xludf.DUMMYFUNCTION("""COMPUTED_VALUE"""),"")</f>
        <v/>
      </c>
      <c r="D22004" s="12" t="str">
        <f ca="1">IFERROR(__xludf.DUMMYFUNCTION("""COMPUTED_VALUE"""),"")</f>
        <v/>
      </c>
    </row>
    <row r="22005" spans="2:4" ht="13">
      <c r="B22005" s="12" t="str">
        <f ca="1">IFERROR(__xludf.DUMMYFUNCTION("""COMPUTED_VALUE"""),"")</f>
        <v/>
      </c>
      <c r="C22005" s="12" t="str">
        <f ca="1">IFERROR(__xludf.DUMMYFUNCTION("""COMPUTED_VALUE"""),"")</f>
        <v/>
      </c>
      <c r="D22005" s="12" t="str">
        <f ca="1">IFERROR(__xludf.DUMMYFUNCTION("""COMPUTED_VALUE"""),"")</f>
        <v/>
      </c>
    </row>
    <row r="22006" spans="2:4" ht="13">
      <c r="B22006" s="12" t="str">
        <f ca="1">IFERROR(__xludf.DUMMYFUNCTION("""COMPUTED_VALUE"""),"")</f>
        <v/>
      </c>
      <c r="C22006" s="12" t="str">
        <f ca="1">IFERROR(__xludf.DUMMYFUNCTION("""COMPUTED_VALUE"""),"")</f>
        <v/>
      </c>
      <c r="D22006" s="12" t="str">
        <f ca="1">IFERROR(__xludf.DUMMYFUNCTION("""COMPUTED_VALUE"""),"")</f>
        <v/>
      </c>
    </row>
    <row r="22007" spans="2:4" ht="13">
      <c r="B22007" s="12" t="str">
        <f ca="1">IFERROR(__xludf.DUMMYFUNCTION("""COMPUTED_VALUE"""),"")</f>
        <v/>
      </c>
      <c r="C22007" s="12" t="str">
        <f ca="1">IFERROR(__xludf.DUMMYFUNCTION("""COMPUTED_VALUE"""),"")</f>
        <v/>
      </c>
      <c r="D22007" s="12" t="str">
        <f ca="1">IFERROR(__xludf.DUMMYFUNCTION("""COMPUTED_VALUE"""),"")</f>
        <v/>
      </c>
    </row>
    <row r="22008" spans="2:4" ht="13">
      <c r="B22008" s="12" t="str">
        <f ca="1">IFERROR(__xludf.DUMMYFUNCTION("""COMPUTED_VALUE"""),"")</f>
        <v/>
      </c>
      <c r="C22008" s="12" t="str">
        <f ca="1">IFERROR(__xludf.DUMMYFUNCTION("""COMPUTED_VALUE"""),"")</f>
        <v/>
      </c>
      <c r="D22008" s="12" t="str">
        <f ca="1">IFERROR(__xludf.DUMMYFUNCTION("""COMPUTED_VALUE"""),"")</f>
        <v/>
      </c>
    </row>
    <row r="22009" spans="2:4" ht="13">
      <c r="B22009" s="12" t="str">
        <f ca="1">IFERROR(__xludf.DUMMYFUNCTION("""COMPUTED_VALUE"""),"")</f>
        <v/>
      </c>
      <c r="C22009" s="12" t="str">
        <f ca="1">IFERROR(__xludf.DUMMYFUNCTION("""COMPUTED_VALUE"""),"")</f>
        <v/>
      </c>
      <c r="D22009" s="12" t="str">
        <f ca="1">IFERROR(__xludf.DUMMYFUNCTION("""COMPUTED_VALUE"""),"")</f>
        <v/>
      </c>
    </row>
    <row r="22010" spans="2:4" ht="13">
      <c r="B22010" s="12" t="str">
        <f ca="1">IFERROR(__xludf.DUMMYFUNCTION("""COMPUTED_VALUE"""),"")</f>
        <v/>
      </c>
      <c r="C22010" s="12" t="str">
        <f ca="1">IFERROR(__xludf.DUMMYFUNCTION("""COMPUTED_VALUE"""),"")</f>
        <v/>
      </c>
      <c r="D22010" s="12" t="str">
        <f ca="1">IFERROR(__xludf.DUMMYFUNCTION("""COMPUTED_VALUE"""),"")</f>
        <v/>
      </c>
    </row>
    <row r="22011" spans="2:4" ht="13">
      <c r="B22011" s="12" t="str">
        <f ca="1">IFERROR(__xludf.DUMMYFUNCTION("""COMPUTED_VALUE"""),"")</f>
        <v/>
      </c>
      <c r="C22011" s="12" t="str">
        <f ca="1">IFERROR(__xludf.DUMMYFUNCTION("""COMPUTED_VALUE"""),"")</f>
        <v/>
      </c>
      <c r="D22011" s="12" t="str">
        <f ca="1">IFERROR(__xludf.DUMMYFUNCTION("""COMPUTED_VALUE"""),"")</f>
        <v/>
      </c>
    </row>
    <row r="22012" spans="2:4" ht="13">
      <c r="B22012" s="12" t="str">
        <f ca="1">IFERROR(__xludf.DUMMYFUNCTION("""COMPUTED_VALUE"""),"")</f>
        <v/>
      </c>
      <c r="C22012" s="12" t="str">
        <f ca="1">IFERROR(__xludf.DUMMYFUNCTION("""COMPUTED_VALUE"""),"")</f>
        <v/>
      </c>
      <c r="D22012" s="12" t="str">
        <f ca="1">IFERROR(__xludf.DUMMYFUNCTION("""COMPUTED_VALUE"""),"")</f>
        <v/>
      </c>
    </row>
    <row r="22013" spans="2:4" ht="13">
      <c r="B22013" s="12" t="str">
        <f ca="1">IFERROR(__xludf.DUMMYFUNCTION("""COMPUTED_VALUE"""),"")</f>
        <v/>
      </c>
      <c r="C22013" s="12" t="str">
        <f ca="1">IFERROR(__xludf.DUMMYFUNCTION("""COMPUTED_VALUE"""),"")</f>
        <v/>
      </c>
      <c r="D22013" s="12" t="str">
        <f ca="1">IFERROR(__xludf.DUMMYFUNCTION("""COMPUTED_VALUE"""),"")</f>
        <v/>
      </c>
    </row>
    <row r="22014" spans="2:4" ht="13">
      <c r="B22014" s="12" t="str">
        <f ca="1">IFERROR(__xludf.DUMMYFUNCTION("""COMPUTED_VALUE"""),"")</f>
        <v/>
      </c>
      <c r="C22014" s="12" t="str">
        <f ca="1">IFERROR(__xludf.DUMMYFUNCTION("""COMPUTED_VALUE"""),"")</f>
        <v/>
      </c>
      <c r="D22014" s="12" t="str">
        <f ca="1">IFERROR(__xludf.DUMMYFUNCTION("""COMPUTED_VALUE"""),"")</f>
        <v/>
      </c>
    </row>
    <row r="22015" spans="2:4" ht="13">
      <c r="B22015" s="12" t="str">
        <f ca="1">IFERROR(__xludf.DUMMYFUNCTION("""COMPUTED_VALUE"""),"")</f>
        <v/>
      </c>
      <c r="C22015" s="12" t="str">
        <f ca="1">IFERROR(__xludf.DUMMYFUNCTION("""COMPUTED_VALUE"""),"")</f>
        <v/>
      </c>
      <c r="D22015" s="12" t="str">
        <f ca="1">IFERROR(__xludf.DUMMYFUNCTION("""COMPUTED_VALUE"""),"")</f>
        <v/>
      </c>
    </row>
    <row r="22016" spans="2:4" ht="13">
      <c r="B22016" s="12" t="str">
        <f ca="1">IFERROR(__xludf.DUMMYFUNCTION("""COMPUTED_VALUE"""),"")</f>
        <v/>
      </c>
      <c r="C22016" s="12" t="str">
        <f ca="1">IFERROR(__xludf.DUMMYFUNCTION("""COMPUTED_VALUE"""),"")</f>
        <v/>
      </c>
      <c r="D22016" s="12" t="str">
        <f ca="1">IFERROR(__xludf.DUMMYFUNCTION("""COMPUTED_VALUE"""),"")</f>
        <v/>
      </c>
    </row>
    <row r="22017" spans="2:4" ht="13">
      <c r="B22017" s="12" t="str">
        <f ca="1">IFERROR(__xludf.DUMMYFUNCTION("""COMPUTED_VALUE"""),"")</f>
        <v/>
      </c>
      <c r="C22017" s="12" t="str">
        <f ca="1">IFERROR(__xludf.DUMMYFUNCTION("""COMPUTED_VALUE"""),"")</f>
        <v/>
      </c>
      <c r="D22017" s="12" t="str">
        <f ca="1">IFERROR(__xludf.DUMMYFUNCTION("""COMPUTED_VALUE"""),"")</f>
        <v/>
      </c>
    </row>
    <row r="22018" spans="2:4" ht="13">
      <c r="B22018" s="12" t="str">
        <f ca="1">IFERROR(__xludf.DUMMYFUNCTION("""COMPUTED_VALUE"""),"")</f>
        <v/>
      </c>
      <c r="C22018" s="12" t="str">
        <f ca="1">IFERROR(__xludf.DUMMYFUNCTION("""COMPUTED_VALUE"""),"")</f>
        <v/>
      </c>
      <c r="D22018" s="12" t="str">
        <f ca="1">IFERROR(__xludf.DUMMYFUNCTION("""COMPUTED_VALUE"""),"")</f>
        <v/>
      </c>
    </row>
    <row r="22019" spans="2:4" ht="13">
      <c r="B22019" s="12" t="str">
        <f ca="1">IFERROR(__xludf.DUMMYFUNCTION("""COMPUTED_VALUE"""),"")</f>
        <v/>
      </c>
      <c r="C22019" s="12" t="str">
        <f ca="1">IFERROR(__xludf.DUMMYFUNCTION("""COMPUTED_VALUE"""),"")</f>
        <v/>
      </c>
      <c r="D22019" s="12" t="str">
        <f ca="1">IFERROR(__xludf.DUMMYFUNCTION("""COMPUTED_VALUE"""),"")</f>
        <v/>
      </c>
    </row>
    <row r="22020" spans="2:4" ht="13">
      <c r="B22020" s="12" t="str">
        <f ca="1">IFERROR(__xludf.DUMMYFUNCTION("""COMPUTED_VALUE"""),"")</f>
        <v/>
      </c>
      <c r="C22020" s="12" t="str">
        <f ca="1">IFERROR(__xludf.DUMMYFUNCTION("""COMPUTED_VALUE"""),"")</f>
        <v/>
      </c>
      <c r="D22020" s="12" t="str">
        <f ca="1">IFERROR(__xludf.DUMMYFUNCTION("""COMPUTED_VALUE"""),"")</f>
        <v/>
      </c>
    </row>
    <row r="22021" spans="2:4" ht="13">
      <c r="B22021" s="12" t="str">
        <f ca="1">IFERROR(__xludf.DUMMYFUNCTION("""COMPUTED_VALUE"""),"")</f>
        <v/>
      </c>
      <c r="C22021" s="12" t="str">
        <f ca="1">IFERROR(__xludf.DUMMYFUNCTION("""COMPUTED_VALUE"""),"")</f>
        <v/>
      </c>
      <c r="D22021" s="12" t="str">
        <f ca="1">IFERROR(__xludf.DUMMYFUNCTION("""COMPUTED_VALUE"""),"")</f>
        <v/>
      </c>
    </row>
    <row r="22022" spans="2:4" ht="13">
      <c r="B22022" s="12" t="str">
        <f ca="1">IFERROR(__xludf.DUMMYFUNCTION("""COMPUTED_VALUE"""),"")</f>
        <v/>
      </c>
      <c r="C22022" s="12" t="str">
        <f ca="1">IFERROR(__xludf.DUMMYFUNCTION("""COMPUTED_VALUE"""),"")</f>
        <v/>
      </c>
      <c r="D22022" s="12" t="str">
        <f ca="1">IFERROR(__xludf.DUMMYFUNCTION("""COMPUTED_VALUE"""),"")</f>
        <v/>
      </c>
    </row>
    <row r="22023" spans="2:4" ht="13">
      <c r="B22023" s="12" t="str">
        <f ca="1">IFERROR(__xludf.DUMMYFUNCTION("""COMPUTED_VALUE"""),"")</f>
        <v/>
      </c>
      <c r="C22023" s="12" t="str">
        <f ca="1">IFERROR(__xludf.DUMMYFUNCTION("""COMPUTED_VALUE"""),"")</f>
        <v/>
      </c>
      <c r="D22023" s="12" t="str">
        <f ca="1">IFERROR(__xludf.DUMMYFUNCTION("""COMPUTED_VALUE"""),"")</f>
        <v/>
      </c>
    </row>
    <row r="22024" spans="2:4" ht="13">
      <c r="B22024" s="12" t="str">
        <f ca="1">IFERROR(__xludf.DUMMYFUNCTION("""COMPUTED_VALUE"""),"")</f>
        <v/>
      </c>
      <c r="C22024" s="12" t="str">
        <f ca="1">IFERROR(__xludf.DUMMYFUNCTION("""COMPUTED_VALUE"""),"")</f>
        <v/>
      </c>
      <c r="D22024" s="12" t="str">
        <f ca="1">IFERROR(__xludf.DUMMYFUNCTION("""COMPUTED_VALUE"""),"")</f>
        <v/>
      </c>
    </row>
    <row r="22025" spans="2:4" ht="13">
      <c r="B22025" s="12" t="str">
        <f ca="1">IFERROR(__xludf.DUMMYFUNCTION("""COMPUTED_VALUE"""),"")</f>
        <v/>
      </c>
      <c r="C22025" s="12" t="str">
        <f ca="1">IFERROR(__xludf.DUMMYFUNCTION("""COMPUTED_VALUE"""),"")</f>
        <v/>
      </c>
      <c r="D22025" s="12" t="str">
        <f ca="1">IFERROR(__xludf.DUMMYFUNCTION("""COMPUTED_VALUE"""),"")</f>
        <v/>
      </c>
    </row>
    <row r="22026" spans="2:4" ht="13">
      <c r="B22026" s="12" t="str">
        <f ca="1">IFERROR(__xludf.DUMMYFUNCTION("""COMPUTED_VALUE"""),"")</f>
        <v/>
      </c>
      <c r="C22026" s="12" t="str">
        <f ca="1">IFERROR(__xludf.DUMMYFUNCTION("""COMPUTED_VALUE"""),"")</f>
        <v/>
      </c>
      <c r="D22026" s="12" t="str">
        <f ca="1">IFERROR(__xludf.DUMMYFUNCTION("""COMPUTED_VALUE"""),"")</f>
        <v/>
      </c>
    </row>
    <row r="22027" spans="2:4" ht="13">
      <c r="B22027" s="12" t="str">
        <f ca="1">IFERROR(__xludf.DUMMYFUNCTION("""COMPUTED_VALUE"""),"")</f>
        <v/>
      </c>
      <c r="C22027" s="12" t="str">
        <f ca="1">IFERROR(__xludf.DUMMYFUNCTION("""COMPUTED_VALUE"""),"")</f>
        <v/>
      </c>
      <c r="D22027" s="12" t="str">
        <f ca="1">IFERROR(__xludf.DUMMYFUNCTION("""COMPUTED_VALUE"""),"")</f>
        <v/>
      </c>
    </row>
    <row r="22028" spans="2:4" ht="13">
      <c r="B22028" s="12" t="str">
        <f ca="1">IFERROR(__xludf.DUMMYFUNCTION("""COMPUTED_VALUE"""),"")</f>
        <v/>
      </c>
      <c r="C22028" s="12" t="str">
        <f ca="1">IFERROR(__xludf.DUMMYFUNCTION("""COMPUTED_VALUE"""),"")</f>
        <v/>
      </c>
      <c r="D22028" s="12" t="str">
        <f ca="1">IFERROR(__xludf.DUMMYFUNCTION("""COMPUTED_VALUE"""),"")</f>
        <v/>
      </c>
    </row>
    <row r="22029" spans="2:4" ht="13">
      <c r="B22029" s="12" t="str">
        <f ca="1">IFERROR(__xludf.DUMMYFUNCTION("""COMPUTED_VALUE"""),"")</f>
        <v/>
      </c>
      <c r="C22029" s="12" t="str">
        <f ca="1">IFERROR(__xludf.DUMMYFUNCTION("""COMPUTED_VALUE"""),"")</f>
        <v/>
      </c>
      <c r="D22029" s="12" t="str">
        <f ca="1">IFERROR(__xludf.DUMMYFUNCTION("""COMPUTED_VALUE"""),"")</f>
        <v/>
      </c>
    </row>
    <row r="22030" spans="2:4" ht="13">
      <c r="B22030" s="12" t="str">
        <f ca="1">IFERROR(__xludf.DUMMYFUNCTION("""COMPUTED_VALUE"""),"")</f>
        <v/>
      </c>
      <c r="C22030" s="12" t="str">
        <f ca="1">IFERROR(__xludf.DUMMYFUNCTION("""COMPUTED_VALUE"""),"")</f>
        <v/>
      </c>
      <c r="D22030" s="12" t="str">
        <f ca="1">IFERROR(__xludf.DUMMYFUNCTION("""COMPUTED_VALUE"""),"")</f>
        <v/>
      </c>
    </row>
    <row r="22031" spans="2:4" ht="13">
      <c r="B22031" s="12" t="str">
        <f ca="1">IFERROR(__xludf.DUMMYFUNCTION("""COMPUTED_VALUE"""),"")</f>
        <v/>
      </c>
      <c r="C22031" s="12" t="str">
        <f ca="1">IFERROR(__xludf.DUMMYFUNCTION("""COMPUTED_VALUE"""),"")</f>
        <v/>
      </c>
      <c r="D22031" s="12" t="str">
        <f ca="1">IFERROR(__xludf.DUMMYFUNCTION("""COMPUTED_VALUE"""),"")</f>
        <v/>
      </c>
    </row>
    <row r="22032" spans="2:4" ht="13">
      <c r="B22032" s="12" t="str">
        <f ca="1">IFERROR(__xludf.DUMMYFUNCTION("""COMPUTED_VALUE"""),"")</f>
        <v/>
      </c>
      <c r="C22032" s="12" t="str">
        <f ca="1">IFERROR(__xludf.DUMMYFUNCTION("""COMPUTED_VALUE"""),"")</f>
        <v/>
      </c>
      <c r="D22032" s="12" t="str">
        <f ca="1">IFERROR(__xludf.DUMMYFUNCTION("""COMPUTED_VALUE"""),"")</f>
        <v/>
      </c>
    </row>
    <row r="22033" spans="2:4" ht="13">
      <c r="B22033" s="12" t="str">
        <f ca="1">IFERROR(__xludf.DUMMYFUNCTION("""COMPUTED_VALUE"""),"")</f>
        <v/>
      </c>
      <c r="C22033" s="12" t="str">
        <f ca="1">IFERROR(__xludf.DUMMYFUNCTION("""COMPUTED_VALUE"""),"")</f>
        <v/>
      </c>
      <c r="D22033" s="12" t="str">
        <f ca="1">IFERROR(__xludf.DUMMYFUNCTION("""COMPUTED_VALUE"""),"")</f>
        <v/>
      </c>
    </row>
    <row r="22034" spans="2:4" ht="13">
      <c r="B22034" s="12" t="str">
        <f ca="1">IFERROR(__xludf.DUMMYFUNCTION("""COMPUTED_VALUE"""),"")</f>
        <v/>
      </c>
      <c r="C22034" s="12" t="str">
        <f ca="1">IFERROR(__xludf.DUMMYFUNCTION("""COMPUTED_VALUE"""),"")</f>
        <v/>
      </c>
      <c r="D22034" s="12" t="str">
        <f ca="1">IFERROR(__xludf.DUMMYFUNCTION("""COMPUTED_VALUE"""),"")</f>
        <v/>
      </c>
    </row>
    <row r="22035" spans="2:4" ht="13">
      <c r="B22035" s="12" t="str">
        <f ca="1">IFERROR(__xludf.DUMMYFUNCTION("""COMPUTED_VALUE"""),"")</f>
        <v/>
      </c>
      <c r="C22035" s="12" t="str">
        <f ca="1">IFERROR(__xludf.DUMMYFUNCTION("""COMPUTED_VALUE"""),"")</f>
        <v/>
      </c>
      <c r="D22035" s="12" t="str">
        <f ca="1">IFERROR(__xludf.DUMMYFUNCTION("""COMPUTED_VALUE"""),"")</f>
        <v/>
      </c>
    </row>
    <row r="22036" spans="2:4" ht="13">
      <c r="B22036" s="12" t="str">
        <f ca="1">IFERROR(__xludf.DUMMYFUNCTION("""COMPUTED_VALUE"""),"")</f>
        <v/>
      </c>
      <c r="C22036" s="12" t="str">
        <f ca="1">IFERROR(__xludf.DUMMYFUNCTION("""COMPUTED_VALUE"""),"")</f>
        <v/>
      </c>
      <c r="D22036" s="12" t="str">
        <f ca="1">IFERROR(__xludf.DUMMYFUNCTION("""COMPUTED_VALUE"""),"")</f>
        <v/>
      </c>
    </row>
    <row r="22037" spans="2:4" ht="13">
      <c r="B22037" s="12" t="str">
        <f ca="1">IFERROR(__xludf.DUMMYFUNCTION("""COMPUTED_VALUE"""),"")</f>
        <v/>
      </c>
      <c r="C22037" s="12" t="str">
        <f ca="1">IFERROR(__xludf.DUMMYFUNCTION("""COMPUTED_VALUE"""),"")</f>
        <v/>
      </c>
      <c r="D22037" s="12" t="str">
        <f ca="1">IFERROR(__xludf.DUMMYFUNCTION("""COMPUTED_VALUE"""),"")</f>
        <v/>
      </c>
    </row>
    <row r="22038" spans="2:4" ht="13">
      <c r="B22038" s="12" t="str">
        <f ca="1">IFERROR(__xludf.DUMMYFUNCTION("""COMPUTED_VALUE"""),"")</f>
        <v/>
      </c>
      <c r="C22038" s="12" t="str">
        <f ca="1">IFERROR(__xludf.DUMMYFUNCTION("""COMPUTED_VALUE"""),"")</f>
        <v/>
      </c>
      <c r="D22038" s="12" t="str">
        <f ca="1">IFERROR(__xludf.DUMMYFUNCTION("""COMPUTED_VALUE"""),"")</f>
        <v/>
      </c>
    </row>
    <row r="22039" spans="2:4" ht="13">
      <c r="B22039" s="12" t="str">
        <f ca="1">IFERROR(__xludf.DUMMYFUNCTION("""COMPUTED_VALUE"""),"")</f>
        <v/>
      </c>
      <c r="C22039" s="12" t="str">
        <f ca="1">IFERROR(__xludf.DUMMYFUNCTION("""COMPUTED_VALUE"""),"")</f>
        <v/>
      </c>
      <c r="D22039" s="12" t="str">
        <f ca="1">IFERROR(__xludf.DUMMYFUNCTION("""COMPUTED_VALUE"""),"")</f>
        <v/>
      </c>
    </row>
    <row r="22040" spans="2:4" ht="13">
      <c r="B22040" s="12" t="str">
        <f ca="1">IFERROR(__xludf.DUMMYFUNCTION("""COMPUTED_VALUE"""),"")</f>
        <v/>
      </c>
      <c r="C22040" s="12" t="str">
        <f ca="1">IFERROR(__xludf.DUMMYFUNCTION("""COMPUTED_VALUE"""),"")</f>
        <v/>
      </c>
      <c r="D22040" s="12" t="str">
        <f ca="1">IFERROR(__xludf.DUMMYFUNCTION("""COMPUTED_VALUE"""),"")</f>
        <v/>
      </c>
    </row>
    <row r="22041" spans="2:4" ht="13">
      <c r="B22041" s="12" t="str">
        <f ca="1">IFERROR(__xludf.DUMMYFUNCTION("""COMPUTED_VALUE"""),"")</f>
        <v/>
      </c>
      <c r="C22041" s="12" t="str">
        <f ca="1">IFERROR(__xludf.DUMMYFUNCTION("""COMPUTED_VALUE"""),"")</f>
        <v/>
      </c>
      <c r="D22041" s="12" t="str">
        <f ca="1">IFERROR(__xludf.DUMMYFUNCTION("""COMPUTED_VALUE"""),"")</f>
        <v/>
      </c>
    </row>
    <row r="22042" spans="2:4" ht="13">
      <c r="B22042" s="12" t="str">
        <f ca="1">IFERROR(__xludf.DUMMYFUNCTION("""COMPUTED_VALUE"""),"")</f>
        <v/>
      </c>
      <c r="C22042" s="12" t="str">
        <f ca="1">IFERROR(__xludf.DUMMYFUNCTION("""COMPUTED_VALUE"""),"")</f>
        <v/>
      </c>
      <c r="D22042" s="12" t="str">
        <f ca="1">IFERROR(__xludf.DUMMYFUNCTION("""COMPUTED_VALUE"""),"")</f>
        <v/>
      </c>
    </row>
    <row r="22043" spans="2:4" ht="13">
      <c r="B22043" s="12" t="str">
        <f ca="1">IFERROR(__xludf.DUMMYFUNCTION("""COMPUTED_VALUE"""),"")</f>
        <v/>
      </c>
      <c r="C22043" s="12" t="str">
        <f ca="1">IFERROR(__xludf.DUMMYFUNCTION("""COMPUTED_VALUE"""),"")</f>
        <v/>
      </c>
      <c r="D22043" s="12" t="str">
        <f ca="1">IFERROR(__xludf.DUMMYFUNCTION("""COMPUTED_VALUE"""),"")</f>
        <v/>
      </c>
    </row>
    <row r="22044" spans="2:4" ht="13">
      <c r="B22044" s="12" t="str">
        <f ca="1">IFERROR(__xludf.DUMMYFUNCTION("""COMPUTED_VALUE"""),"")</f>
        <v/>
      </c>
      <c r="C22044" s="12" t="str">
        <f ca="1">IFERROR(__xludf.DUMMYFUNCTION("""COMPUTED_VALUE"""),"")</f>
        <v/>
      </c>
      <c r="D22044" s="12" t="str">
        <f ca="1">IFERROR(__xludf.DUMMYFUNCTION("""COMPUTED_VALUE"""),"")</f>
        <v/>
      </c>
    </row>
    <row r="22045" spans="2:4" ht="13">
      <c r="B22045" s="12" t="str">
        <f ca="1">IFERROR(__xludf.DUMMYFUNCTION("""COMPUTED_VALUE"""),"")</f>
        <v/>
      </c>
      <c r="C22045" s="12" t="str">
        <f ca="1">IFERROR(__xludf.DUMMYFUNCTION("""COMPUTED_VALUE"""),"")</f>
        <v/>
      </c>
      <c r="D22045" s="12" t="str">
        <f ca="1">IFERROR(__xludf.DUMMYFUNCTION("""COMPUTED_VALUE"""),"")</f>
        <v/>
      </c>
    </row>
    <row r="22046" spans="2:4" ht="13">
      <c r="B22046" s="12" t="str">
        <f ca="1">IFERROR(__xludf.DUMMYFUNCTION("""COMPUTED_VALUE"""),"")</f>
        <v/>
      </c>
      <c r="C22046" s="12" t="str">
        <f ca="1">IFERROR(__xludf.DUMMYFUNCTION("""COMPUTED_VALUE"""),"")</f>
        <v/>
      </c>
      <c r="D22046" s="12" t="str">
        <f ca="1">IFERROR(__xludf.DUMMYFUNCTION("""COMPUTED_VALUE"""),"")</f>
        <v/>
      </c>
    </row>
    <row r="22047" spans="2:4" ht="13">
      <c r="B22047" s="12" t="str">
        <f ca="1">IFERROR(__xludf.DUMMYFUNCTION("""COMPUTED_VALUE"""),"")</f>
        <v/>
      </c>
      <c r="C22047" s="12" t="str">
        <f ca="1">IFERROR(__xludf.DUMMYFUNCTION("""COMPUTED_VALUE"""),"")</f>
        <v/>
      </c>
      <c r="D22047" s="12" t="str">
        <f ca="1">IFERROR(__xludf.DUMMYFUNCTION("""COMPUTED_VALUE"""),"")</f>
        <v/>
      </c>
    </row>
    <row r="22048" spans="2:4" ht="13">
      <c r="B22048" s="12" t="str">
        <f ca="1">IFERROR(__xludf.DUMMYFUNCTION("""COMPUTED_VALUE"""),"")</f>
        <v/>
      </c>
      <c r="C22048" s="12" t="str">
        <f ca="1">IFERROR(__xludf.DUMMYFUNCTION("""COMPUTED_VALUE"""),"")</f>
        <v/>
      </c>
      <c r="D22048" s="12" t="str">
        <f ca="1">IFERROR(__xludf.DUMMYFUNCTION("""COMPUTED_VALUE"""),"")</f>
        <v/>
      </c>
    </row>
    <row r="22049" spans="2:4" ht="13">
      <c r="B22049" s="12" t="str">
        <f ca="1">IFERROR(__xludf.DUMMYFUNCTION("""COMPUTED_VALUE"""),"")</f>
        <v/>
      </c>
      <c r="C22049" s="12" t="str">
        <f ca="1">IFERROR(__xludf.DUMMYFUNCTION("""COMPUTED_VALUE"""),"")</f>
        <v/>
      </c>
      <c r="D22049" s="12" t="str">
        <f ca="1">IFERROR(__xludf.DUMMYFUNCTION("""COMPUTED_VALUE"""),"")</f>
        <v/>
      </c>
    </row>
    <row r="22050" spans="2:4" ht="13">
      <c r="B22050" s="12" t="str">
        <f ca="1">IFERROR(__xludf.DUMMYFUNCTION("""COMPUTED_VALUE"""),"")</f>
        <v/>
      </c>
      <c r="C22050" s="12" t="str">
        <f ca="1">IFERROR(__xludf.DUMMYFUNCTION("""COMPUTED_VALUE"""),"")</f>
        <v/>
      </c>
      <c r="D22050" s="12" t="str">
        <f ca="1">IFERROR(__xludf.DUMMYFUNCTION("""COMPUTED_VALUE"""),"")</f>
        <v/>
      </c>
    </row>
    <row r="22051" spans="2:4" ht="13">
      <c r="B22051" s="12" t="str">
        <f ca="1">IFERROR(__xludf.DUMMYFUNCTION("""COMPUTED_VALUE"""),"")</f>
        <v/>
      </c>
      <c r="C22051" s="12" t="str">
        <f ca="1">IFERROR(__xludf.DUMMYFUNCTION("""COMPUTED_VALUE"""),"")</f>
        <v/>
      </c>
      <c r="D22051" s="12" t="str">
        <f ca="1">IFERROR(__xludf.DUMMYFUNCTION("""COMPUTED_VALUE"""),"")</f>
        <v/>
      </c>
    </row>
    <row r="22052" spans="2:4" ht="13">
      <c r="B22052" s="12" t="str">
        <f ca="1">IFERROR(__xludf.DUMMYFUNCTION("""COMPUTED_VALUE"""),"")</f>
        <v/>
      </c>
      <c r="C22052" s="12" t="str">
        <f ca="1">IFERROR(__xludf.DUMMYFUNCTION("""COMPUTED_VALUE"""),"")</f>
        <v/>
      </c>
      <c r="D22052" s="12" t="str">
        <f ca="1">IFERROR(__xludf.DUMMYFUNCTION("""COMPUTED_VALUE"""),"")</f>
        <v/>
      </c>
    </row>
    <row r="22053" spans="2:4" ht="13">
      <c r="B22053" s="12" t="str">
        <f ca="1">IFERROR(__xludf.DUMMYFUNCTION("""COMPUTED_VALUE"""),"")</f>
        <v/>
      </c>
      <c r="C22053" s="12" t="str">
        <f ca="1">IFERROR(__xludf.DUMMYFUNCTION("""COMPUTED_VALUE"""),"")</f>
        <v/>
      </c>
      <c r="D22053" s="12" t="str">
        <f ca="1">IFERROR(__xludf.DUMMYFUNCTION("""COMPUTED_VALUE"""),"")</f>
        <v/>
      </c>
    </row>
    <row r="22054" spans="2:4" ht="13">
      <c r="B22054" s="12" t="str">
        <f ca="1">IFERROR(__xludf.DUMMYFUNCTION("""COMPUTED_VALUE"""),"")</f>
        <v/>
      </c>
      <c r="C22054" s="12" t="str">
        <f ca="1">IFERROR(__xludf.DUMMYFUNCTION("""COMPUTED_VALUE"""),"")</f>
        <v/>
      </c>
      <c r="D22054" s="12" t="str">
        <f ca="1">IFERROR(__xludf.DUMMYFUNCTION("""COMPUTED_VALUE"""),"")</f>
        <v/>
      </c>
    </row>
    <row r="22055" spans="2:4" ht="13">
      <c r="B22055" s="12" t="str">
        <f ca="1">IFERROR(__xludf.DUMMYFUNCTION("""COMPUTED_VALUE"""),"")</f>
        <v/>
      </c>
      <c r="C22055" s="12" t="str">
        <f ca="1">IFERROR(__xludf.DUMMYFUNCTION("""COMPUTED_VALUE"""),"")</f>
        <v/>
      </c>
      <c r="D22055" s="12" t="str">
        <f ca="1">IFERROR(__xludf.DUMMYFUNCTION("""COMPUTED_VALUE"""),"")</f>
        <v/>
      </c>
    </row>
    <row r="22056" spans="2:4" ht="13">
      <c r="B22056" s="12" t="str">
        <f ca="1">IFERROR(__xludf.DUMMYFUNCTION("""COMPUTED_VALUE"""),"")</f>
        <v/>
      </c>
      <c r="C22056" s="12" t="str">
        <f ca="1">IFERROR(__xludf.DUMMYFUNCTION("""COMPUTED_VALUE"""),"")</f>
        <v/>
      </c>
      <c r="D22056" s="12" t="str">
        <f ca="1">IFERROR(__xludf.DUMMYFUNCTION("""COMPUTED_VALUE"""),"")</f>
        <v/>
      </c>
    </row>
    <row r="22057" spans="2:4" ht="13">
      <c r="B22057" s="12" t="str">
        <f ca="1">IFERROR(__xludf.DUMMYFUNCTION("""COMPUTED_VALUE"""),"")</f>
        <v/>
      </c>
      <c r="C22057" s="12" t="str">
        <f ca="1">IFERROR(__xludf.DUMMYFUNCTION("""COMPUTED_VALUE"""),"")</f>
        <v/>
      </c>
      <c r="D22057" s="12" t="str">
        <f ca="1">IFERROR(__xludf.DUMMYFUNCTION("""COMPUTED_VALUE"""),"")</f>
        <v/>
      </c>
    </row>
    <row r="22058" spans="2:4" ht="13">
      <c r="B22058" s="12" t="str">
        <f ca="1">IFERROR(__xludf.DUMMYFUNCTION("""COMPUTED_VALUE"""),"")</f>
        <v/>
      </c>
      <c r="C22058" s="12" t="str">
        <f ca="1">IFERROR(__xludf.DUMMYFUNCTION("""COMPUTED_VALUE"""),"")</f>
        <v/>
      </c>
      <c r="D22058" s="12" t="str">
        <f ca="1">IFERROR(__xludf.DUMMYFUNCTION("""COMPUTED_VALUE"""),"")</f>
        <v/>
      </c>
    </row>
    <row r="22059" spans="2:4" ht="13">
      <c r="B22059" s="12" t="str">
        <f ca="1">IFERROR(__xludf.DUMMYFUNCTION("""COMPUTED_VALUE"""),"")</f>
        <v/>
      </c>
      <c r="C22059" s="12" t="str">
        <f ca="1">IFERROR(__xludf.DUMMYFUNCTION("""COMPUTED_VALUE"""),"")</f>
        <v/>
      </c>
      <c r="D22059" s="12" t="str">
        <f ca="1">IFERROR(__xludf.DUMMYFUNCTION("""COMPUTED_VALUE"""),"")</f>
        <v/>
      </c>
    </row>
    <row r="22060" spans="2:4" ht="13">
      <c r="B22060" s="12" t="str">
        <f ca="1">IFERROR(__xludf.DUMMYFUNCTION("""COMPUTED_VALUE"""),"")</f>
        <v/>
      </c>
      <c r="C22060" s="12" t="str">
        <f ca="1">IFERROR(__xludf.DUMMYFUNCTION("""COMPUTED_VALUE"""),"")</f>
        <v/>
      </c>
      <c r="D22060" s="12" t="str">
        <f ca="1">IFERROR(__xludf.DUMMYFUNCTION("""COMPUTED_VALUE"""),"")</f>
        <v/>
      </c>
    </row>
    <row r="22061" spans="2:4" ht="13">
      <c r="B22061" s="12" t="str">
        <f ca="1">IFERROR(__xludf.DUMMYFUNCTION("""COMPUTED_VALUE"""),"")</f>
        <v/>
      </c>
      <c r="C22061" s="12" t="str">
        <f ca="1">IFERROR(__xludf.DUMMYFUNCTION("""COMPUTED_VALUE"""),"")</f>
        <v/>
      </c>
      <c r="D22061" s="12" t="str">
        <f ca="1">IFERROR(__xludf.DUMMYFUNCTION("""COMPUTED_VALUE"""),"")</f>
        <v/>
      </c>
    </row>
    <row r="22062" spans="2:4" ht="13">
      <c r="B22062" s="12" t="str">
        <f ca="1">IFERROR(__xludf.DUMMYFUNCTION("""COMPUTED_VALUE"""),"")</f>
        <v/>
      </c>
      <c r="C22062" s="12" t="str">
        <f ca="1">IFERROR(__xludf.DUMMYFUNCTION("""COMPUTED_VALUE"""),"")</f>
        <v/>
      </c>
      <c r="D22062" s="12" t="str">
        <f ca="1">IFERROR(__xludf.DUMMYFUNCTION("""COMPUTED_VALUE"""),"")</f>
        <v/>
      </c>
    </row>
    <row r="22063" spans="2:4" ht="13">
      <c r="B22063" s="12" t="str">
        <f ca="1">IFERROR(__xludf.DUMMYFUNCTION("""COMPUTED_VALUE"""),"")</f>
        <v/>
      </c>
      <c r="C22063" s="12" t="str">
        <f ca="1">IFERROR(__xludf.DUMMYFUNCTION("""COMPUTED_VALUE"""),"")</f>
        <v/>
      </c>
      <c r="D22063" s="12" t="str">
        <f ca="1">IFERROR(__xludf.DUMMYFUNCTION("""COMPUTED_VALUE"""),"")</f>
        <v/>
      </c>
    </row>
    <row r="22064" spans="2:4" ht="13">
      <c r="B22064" s="12" t="str">
        <f ca="1">IFERROR(__xludf.DUMMYFUNCTION("""COMPUTED_VALUE"""),"")</f>
        <v/>
      </c>
      <c r="C22064" s="12" t="str">
        <f ca="1">IFERROR(__xludf.DUMMYFUNCTION("""COMPUTED_VALUE"""),"")</f>
        <v/>
      </c>
      <c r="D22064" s="12" t="str">
        <f ca="1">IFERROR(__xludf.DUMMYFUNCTION("""COMPUTED_VALUE"""),"")</f>
        <v/>
      </c>
    </row>
    <row r="22065" spans="2:4" ht="13">
      <c r="B22065" s="12" t="str">
        <f ca="1">IFERROR(__xludf.DUMMYFUNCTION("""COMPUTED_VALUE"""),"")</f>
        <v/>
      </c>
      <c r="C22065" s="12" t="str">
        <f ca="1">IFERROR(__xludf.DUMMYFUNCTION("""COMPUTED_VALUE"""),"")</f>
        <v/>
      </c>
      <c r="D22065" s="12" t="str">
        <f ca="1">IFERROR(__xludf.DUMMYFUNCTION("""COMPUTED_VALUE"""),"")</f>
        <v/>
      </c>
    </row>
    <row r="22066" spans="2:4" ht="13">
      <c r="B22066" s="12" t="str">
        <f ca="1">IFERROR(__xludf.DUMMYFUNCTION("""COMPUTED_VALUE"""),"")</f>
        <v/>
      </c>
      <c r="C22066" s="12" t="str">
        <f ca="1">IFERROR(__xludf.DUMMYFUNCTION("""COMPUTED_VALUE"""),"")</f>
        <v/>
      </c>
      <c r="D22066" s="12" t="str">
        <f ca="1">IFERROR(__xludf.DUMMYFUNCTION("""COMPUTED_VALUE"""),"")</f>
        <v/>
      </c>
    </row>
    <row r="22067" spans="2:4" ht="13">
      <c r="B22067" s="12" t="str">
        <f ca="1">IFERROR(__xludf.DUMMYFUNCTION("""COMPUTED_VALUE"""),"")</f>
        <v/>
      </c>
      <c r="C22067" s="12" t="str">
        <f ca="1">IFERROR(__xludf.DUMMYFUNCTION("""COMPUTED_VALUE"""),"")</f>
        <v/>
      </c>
      <c r="D22067" s="12" t="str">
        <f ca="1">IFERROR(__xludf.DUMMYFUNCTION("""COMPUTED_VALUE"""),"")</f>
        <v/>
      </c>
    </row>
    <row r="22068" spans="2:4" ht="13">
      <c r="B22068" s="12" t="str">
        <f ca="1">IFERROR(__xludf.DUMMYFUNCTION("""COMPUTED_VALUE"""),"")</f>
        <v/>
      </c>
      <c r="C22068" s="12" t="str">
        <f ca="1">IFERROR(__xludf.DUMMYFUNCTION("""COMPUTED_VALUE"""),"")</f>
        <v/>
      </c>
      <c r="D22068" s="12" t="str">
        <f ca="1">IFERROR(__xludf.DUMMYFUNCTION("""COMPUTED_VALUE"""),"")</f>
        <v/>
      </c>
    </row>
    <row r="22069" spans="2:4" ht="13">
      <c r="B22069" s="12" t="str">
        <f ca="1">IFERROR(__xludf.DUMMYFUNCTION("""COMPUTED_VALUE"""),"")</f>
        <v/>
      </c>
      <c r="C22069" s="12" t="str">
        <f ca="1">IFERROR(__xludf.DUMMYFUNCTION("""COMPUTED_VALUE"""),"")</f>
        <v/>
      </c>
      <c r="D22069" s="12" t="str">
        <f ca="1">IFERROR(__xludf.DUMMYFUNCTION("""COMPUTED_VALUE"""),"")</f>
        <v/>
      </c>
    </row>
    <row r="22070" spans="2:4" ht="13">
      <c r="B22070" s="12" t="str">
        <f ca="1">IFERROR(__xludf.DUMMYFUNCTION("""COMPUTED_VALUE"""),"")</f>
        <v/>
      </c>
      <c r="C22070" s="12" t="str">
        <f ca="1">IFERROR(__xludf.DUMMYFUNCTION("""COMPUTED_VALUE"""),"")</f>
        <v/>
      </c>
      <c r="D22070" s="12" t="str">
        <f ca="1">IFERROR(__xludf.DUMMYFUNCTION("""COMPUTED_VALUE"""),"")</f>
        <v/>
      </c>
    </row>
    <row r="22071" spans="2:4" ht="13">
      <c r="B22071" s="12" t="str">
        <f ca="1">IFERROR(__xludf.DUMMYFUNCTION("""COMPUTED_VALUE"""),"")</f>
        <v/>
      </c>
      <c r="C22071" s="12" t="str">
        <f ca="1">IFERROR(__xludf.DUMMYFUNCTION("""COMPUTED_VALUE"""),"")</f>
        <v/>
      </c>
      <c r="D22071" s="12" t="str">
        <f ca="1">IFERROR(__xludf.DUMMYFUNCTION("""COMPUTED_VALUE"""),"")</f>
        <v/>
      </c>
    </row>
    <row r="22072" spans="2:4" ht="13">
      <c r="B22072" s="12" t="str">
        <f ca="1">IFERROR(__xludf.DUMMYFUNCTION("""COMPUTED_VALUE"""),"")</f>
        <v/>
      </c>
      <c r="C22072" s="12" t="str">
        <f ca="1">IFERROR(__xludf.DUMMYFUNCTION("""COMPUTED_VALUE"""),"")</f>
        <v/>
      </c>
      <c r="D22072" s="12" t="str">
        <f ca="1">IFERROR(__xludf.DUMMYFUNCTION("""COMPUTED_VALUE"""),"")</f>
        <v/>
      </c>
    </row>
    <row r="22073" spans="2:4" ht="13">
      <c r="B22073" s="12" t="str">
        <f ca="1">IFERROR(__xludf.DUMMYFUNCTION("""COMPUTED_VALUE"""),"")</f>
        <v/>
      </c>
      <c r="C22073" s="12" t="str">
        <f ca="1">IFERROR(__xludf.DUMMYFUNCTION("""COMPUTED_VALUE"""),"")</f>
        <v/>
      </c>
      <c r="D22073" s="12" t="str">
        <f ca="1">IFERROR(__xludf.DUMMYFUNCTION("""COMPUTED_VALUE"""),"")</f>
        <v/>
      </c>
    </row>
    <row r="22074" spans="2:4" ht="13">
      <c r="B22074" s="12" t="str">
        <f ca="1">IFERROR(__xludf.DUMMYFUNCTION("""COMPUTED_VALUE"""),"")</f>
        <v/>
      </c>
      <c r="C22074" s="12" t="str">
        <f ca="1">IFERROR(__xludf.DUMMYFUNCTION("""COMPUTED_VALUE"""),"")</f>
        <v/>
      </c>
      <c r="D22074" s="12" t="str">
        <f ca="1">IFERROR(__xludf.DUMMYFUNCTION("""COMPUTED_VALUE"""),"")</f>
        <v/>
      </c>
    </row>
    <row r="22075" spans="2:4" ht="13">
      <c r="B22075" s="12" t="str">
        <f ca="1">IFERROR(__xludf.DUMMYFUNCTION("""COMPUTED_VALUE"""),"")</f>
        <v/>
      </c>
      <c r="C22075" s="12" t="str">
        <f ca="1">IFERROR(__xludf.DUMMYFUNCTION("""COMPUTED_VALUE"""),"")</f>
        <v/>
      </c>
      <c r="D22075" s="12" t="str">
        <f ca="1">IFERROR(__xludf.DUMMYFUNCTION("""COMPUTED_VALUE"""),"")</f>
        <v/>
      </c>
    </row>
    <row r="22076" spans="2:4" ht="13">
      <c r="B22076" s="12" t="str">
        <f ca="1">IFERROR(__xludf.DUMMYFUNCTION("""COMPUTED_VALUE"""),"")</f>
        <v/>
      </c>
      <c r="C22076" s="12" t="str">
        <f ca="1">IFERROR(__xludf.DUMMYFUNCTION("""COMPUTED_VALUE"""),"")</f>
        <v/>
      </c>
      <c r="D22076" s="12" t="str">
        <f ca="1">IFERROR(__xludf.DUMMYFUNCTION("""COMPUTED_VALUE"""),"")</f>
        <v/>
      </c>
    </row>
    <row r="22077" spans="2:4" ht="13">
      <c r="B22077" s="12" t="str">
        <f ca="1">IFERROR(__xludf.DUMMYFUNCTION("""COMPUTED_VALUE"""),"")</f>
        <v/>
      </c>
      <c r="C22077" s="12" t="str">
        <f ca="1">IFERROR(__xludf.DUMMYFUNCTION("""COMPUTED_VALUE"""),"")</f>
        <v/>
      </c>
      <c r="D22077" s="12" t="str">
        <f ca="1">IFERROR(__xludf.DUMMYFUNCTION("""COMPUTED_VALUE"""),"")</f>
        <v/>
      </c>
    </row>
    <row r="22078" spans="2:4" ht="13">
      <c r="B22078" s="12" t="str">
        <f ca="1">IFERROR(__xludf.DUMMYFUNCTION("""COMPUTED_VALUE"""),"")</f>
        <v/>
      </c>
      <c r="C22078" s="12" t="str">
        <f ca="1">IFERROR(__xludf.DUMMYFUNCTION("""COMPUTED_VALUE"""),"")</f>
        <v/>
      </c>
      <c r="D22078" s="12" t="str">
        <f ca="1">IFERROR(__xludf.DUMMYFUNCTION("""COMPUTED_VALUE"""),"")</f>
        <v/>
      </c>
    </row>
    <row r="22079" spans="2:4" ht="13">
      <c r="B22079" s="12" t="str">
        <f ca="1">IFERROR(__xludf.DUMMYFUNCTION("""COMPUTED_VALUE"""),"")</f>
        <v/>
      </c>
      <c r="C22079" s="12" t="str">
        <f ca="1">IFERROR(__xludf.DUMMYFUNCTION("""COMPUTED_VALUE"""),"")</f>
        <v/>
      </c>
      <c r="D22079" s="12" t="str">
        <f ca="1">IFERROR(__xludf.DUMMYFUNCTION("""COMPUTED_VALUE"""),"")</f>
        <v/>
      </c>
    </row>
    <row r="22080" spans="2:4" ht="13">
      <c r="B22080" s="12" t="str">
        <f ca="1">IFERROR(__xludf.DUMMYFUNCTION("""COMPUTED_VALUE"""),"")</f>
        <v/>
      </c>
      <c r="C22080" s="12" t="str">
        <f ca="1">IFERROR(__xludf.DUMMYFUNCTION("""COMPUTED_VALUE"""),"")</f>
        <v/>
      </c>
      <c r="D22080" s="12" t="str">
        <f ca="1">IFERROR(__xludf.DUMMYFUNCTION("""COMPUTED_VALUE"""),"")</f>
        <v/>
      </c>
    </row>
    <row r="22081" spans="2:4" ht="13">
      <c r="B22081" s="12" t="str">
        <f ca="1">IFERROR(__xludf.DUMMYFUNCTION("""COMPUTED_VALUE"""),"")</f>
        <v/>
      </c>
      <c r="C22081" s="12" t="str">
        <f ca="1">IFERROR(__xludf.DUMMYFUNCTION("""COMPUTED_VALUE"""),"")</f>
        <v/>
      </c>
      <c r="D22081" s="12" t="str">
        <f ca="1">IFERROR(__xludf.DUMMYFUNCTION("""COMPUTED_VALUE"""),"")</f>
        <v/>
      </c>
    </row>
    <row r="22082" spans="2:4" ht="13">
      <c r="B22082" s="12" t="str">
        <f ca="1">IFERROR(__xludf.DUMMYFUNCTION("""COMPUTED_VALUE"""),"")</f>
        <v/>
      </c>
      <c r="C22082" s="12" t="str">
        <f ca="1">IFERROR(__xludf.DUMMYFUNCTION("""COMPUTED_VALUE"""),"")</f>
        <v/>
      </c>
      <c r="D22082" s="12" t="str">
        <f ca="1">IFERROR(__xludf.DUMMYFUNCTION("""COMPUTED_VALUE"""),"")</f>
        <v/>
      </c>
    </row>
    <row r="22083" spans="2:4" ht="13">
      <c r="B22083" s="12" t="str">
        <f ca="1">IFERROR(__xludf.DUMMYFUNCTION("""COMPUTED_VALUE"""),"")</f>
        <v/>
      </c>
      <c r="C22083" s="12" t="str">
        <f ca="1">IFERROR(__xludf.DUMMYFUNCTION("""COMPUTED_VALUE"""),"")</f>
        <v/>
      </c>
      <c r="D22083" s="12" t="str">
        <f ca="1">IFERROR(__xludf.DUMMYFUNCTION("""COMPUTED_VALUE"""),"")</f>
        <v/>
      </c>
    </row>
    <row r="22084" spans="2:4" ht="13">
      <c r="B22084" s="12" t="str">
        <f ca="1">IFERROR(__xludf.DUMMYFUNCTION("""COMPUTED_VALUE"""),"")</f>
        <v/>
      </c>
      <c r="C22084" s="12" t="str">
        <f ca="1">IFERROR(__xludf.DUMMYFUNCTION("""COMPUTED_VALUE"""),"")</f>
        <v/>
      </c>
      <c r="D22084" s="12" t="str">
        <f ca="1">IFERROR(__xludf.DUMMYFUNCTION("""COMPUTED_VALUE"""),"")</f>
        <v/>
      </c>
    </row>
    <row r="22085" spans="2:4" ht="13">
      <c r="B22085" s="12" t="str">
        <f ca="1">IFERROR(__xludf.DUMMYFUNCTION("""COMPUTED_VALUE"""),"")</f>
        <v/>
      </c>
      <c r="C22085" s="12" t="str">
        <f ca="1">IFERROR(__xludf.DUMMYFUNCTION("""COMPUTED_VALUE"""),"")</f>
        <v/>
      </c>
      <c r="D22085" s="12" t="str">
        <f ca="1">IFERROR(__xludf.DUMMYFUNCTION("""COMPUTED_VALUE"""),"")</f>
        <v/>
      </c>
    </row>
    <row r="22086" spans="2:4" ht="13">
      <c r="B22086" s="12" t="str">
        <f ca="1">IFERROR(__xludf.DUMMYFUNCTION("""COMPUTED_VALUE"""),"")</f>
        <v/>
      </c>
      <c r="C22086" s="12" t="str">
        <f ca="1">IFERROR(__xludf.DUMMYFUNCTION("""COMPUTED_VALUE"""),"")</f>
        <v/>
      </c>
      <c r="D22086" s="12" t="str">
        <f ca="1">IFERROR(__xludf.DUMMYFUNCTION("""COMPUTED_VALUE"""),"")</f>
        <v/>
      </c>
    </row>
    <row r="22087" spans="2:4" ht="13">
      <c r="B22087" s="12" t="str">
        <f ca="1">IFERROR(__xludf.DUMMYFUNCTION("""COMPUTED_VALUE"""),"")</f>
        <v/>
      </c>
      <c r="C22087" s="12" t="str">
        <f ca="1">IFERROR(__xludf.DUMMYFUNCTION("""COMPUTED_VALUE"""),"")</f>
        <v/>
      </c>
      <c r="D22087" s="12" t="str">
        <f ca="1">IFERROR(__xludf.DUMMYFUNCTION("""COMPUTED_VALUE"""),"")</f>
        <v/>
      </c>
    </row>
    <row r="22088" spans="2:4" ht="13">
      <c r="B22088" s="12" t="str">
        <f ca="1">IFERROR(__xludf.DUMMYFUNCTION("""COMPUTED_VALUE"""),"")</f>
        <v/>
      </c>
      <c r="C22088" s="12" t="str">
        <f ca="1">IFERROR(__xludf.DUMMYFUNCTION("""COMPUTED_VALUE"""),"")</f>
        <v/>
      </c>
      <c r="D22088" s="12" t="str">
        <f ca="1">IFERROR(__xludf.DUMMYFUNCTION("""COMPUTED_VALUE"""),"")</f>
        <v/>
      </c>
    </row>
    <row r="22089" spans="2:4" ht="13">
      <c r="B22089" s="12" t="str">
        <f ca="1">IFERROR(__xludf.DUMMYFUNCTION("""COMPUTED_VALUE"""),"")</f>
        <v/>
      </c>
      <c r="C22089" s="12" t="str">
        <f ca="1">IFERROR(__xludf.DUMMYFUNCTION("""COMPUTED_VALUE"""),"")</f>
        <v/>
      </c>
      <c r="D22089" s="12" t="str">
        <f ca="1">IFERROR(__xludf.DUMMYFUNCTION("""COMPUTED_VALUE"""),"")</f>
        <v/>
      </c>
    </row>
    <row r="22090" spans="2:4" ht="13">
      <c r="B22090" s="12" t="str">
        <f ca="1">IFERROR(__xludf.DUMMYFUNCTION("""COMPUTED_VALUE"""),"")</f>
        <v/>
      </c>
      <c r="C22090" s="12" t="str">
        <f ca="1">IFERROR(__xludf.DUMMYFUNCTION("""COMPUTED_VALUE"""),"")</f>
        <v/>
      </c>
      <c r="D22090" s="12" t="str">
        <f ca="1">IFERROR(__xludf.DUMMYFUNCTION("""COMPUTED_VALUE"""),"")</f>
        <v/>
      </c>
    </row>
    <row r="22091" spans="2:4" ht="13">
      <c r="B22091" s="12" t="str">
        <f ca="1">IFERROR(__xludf.DUMMYFUNCTION("""COMPUTED_VALUE"""),"")</f>
        <v/>
      </c>
      <c r="C22091" s="12" t="str">
        <f ca="1">IFERROR(__xludf.DUMMYFUNCTION("""COMPUTED_VALUE"""),"")</f>
        <v/>
      </c>
      <c r="D22091" s="12" t="str">
        <f ca="1">IFERROR(__xludf.DUMMYFUNCTION("""COMPUTED_VALUE"""),"")</f>
        <v/>
      </c>
    </row>
    <row r="22092" spans="2:4" ht="13">
      <c r="B22092" s="12" t="str">
        <f ca="1">IFERROR(__xludf.DUMMYFUNCTION("""COMPUTED_VALUE"""),"")</f>
        <v/>
      </c>
      <c r="C22092" s="12" t="str">
        <f ca="1">IFERROR(__xludf.DUMMYFUNCTION("""COMPUTED_VALUE"""),"")</f>
        <v/>
      </c>
      <c r="D22092" s="12" t="str">
        <f ca="1">IFERROR(__xludf.DUMMYFUNCTION("""COMPUTED_VALUE"""),"")</f>
        <v/>
      </c>
    </row>
    <row r="22093" spans="2:4" ht="13">
      <c r="B22093" s="12" t="str">
        <f ca="1">IFERROR(__xludf.DUMMYFUNCTION("""COMPUTED_VALUE"""),"")</f>
        <v/>
      </c>
      <c r="C22093" s="12" t="str">
        <f ca="1">IFERROR(__xludf.DUMMYFUNCTION("""COMPUTED_VALUE"""),"")</f>
        <v/>
      </c>
      <c r="D22093" s="12" t="str">
        <f ca="1">IFERROR(__xludf.DUMMYFUNCTION("""COMPUTED_VALUE"""),"")</f>
        <v/>
      </c>
    </row>
    <row r="22094" spans="2:4" ht="13">
      <c r="B22094" s="12" t="str">
        <f ca="1">IFERROR(__xludf.DUMMYFUNCTION("""COMPUTED_VALUE"""),"")</f>
        <v/>
      </c>
      <c r="C22094" s="12" t="str">
        <f ca="1">IFERROR(__xludf.DUMMYFUNCTION("""COMPUTED_VALUE"""),"")</f>
        <v/>
      </c>
      <c r="D22094" s="12" t="str">
        <f ca="1">IFERROR(__xludf.DUMMYFUNCTION("""COMPUTED_VALUE"""),"")</f>
        <v/>
      </c>
    </row>
    <row r="22095" spans="2:4" ht="13">
      <c r="B22095" s="12" t="str">
        <f ca="1">IFERROR(__xludf.DUMMYFUNCTION("""COMPUTED_VALUE"""),"")</f>
        <v/>
      </c>
      <c r="C22095" s="12" t="str">
        <f ca="1">IFERROR(__xludf.DUMMYFUNCTION("""COMPUTED_VALUE"""),"")</f>
        <v/>
      </c>
      <c r="D22095" s="12" t="str">
        <f ca="1">IFERROR(__xludf.DUMMYFUNCTION("""COMPUTED_VALUE"""),"")</f>
        <v/>
      </c>
    </row>
    <row r="22096" spans="2:4" ht="13">
      <c r="B22096" s="12" t="str">
        <f ca="1">IFERROR(__xludf.DUMMYFUNCTION("""COMPUTED_VALUE"""),"")</f>
        <v/>
      </c>
      <c r="C22096" s="12" t="str">
        <f ca="1">IFERROR(__xludf.DUMMYFUNCTION("""COMPUTED_VALUE"""),"")</f>
        <v/>
      </c>
      <c r="D22096" s="12" t="str">
        <f ca="1">IFERROR(__xludf.DUMMYFUNCTION("""COMPUTED_VALUE"""),"")</f>
        <v/>
      </c>
    </row>
    <row r="22097" spans="2:4" ht="13">
      <c r="B22097" s="12" t="str">
        <f ca="1">IFERROR(__xludf.DUMMYFUNCTION("""COMPUTED_VALUE"""),"")</f>
        <v/>
      </c>
      <c r="C22097" s="12" t="str">
        <f ca="1">IFERROR(__xludf.DUMMYFUNCTION("""COMPUTED_VALUE"""),"")</f>
        <v/>
      </c>
      <c r="D22097" s="12" t="str">
        <f ca="1">IFERROR(__xludf.DUMMYFUNCTION("""COMPUTED_VALUE"""),"")</f>
        <v/>
      </c>
    </row>
    <row r="22098" spans="2:4" ht="13">
      <c r="B22098" s="12" t="str">
        <f ca="1">IFERROR(__xludf.DUMMYFUNCTION("""COMPUTED_VALUE"""),"")</f>
        <v/>
      </c>
      <c r="C22098" s="12" t="str">
        <f ca="1">IFERROR(__xludf.DUMMYFUNCTION("""COMPUTED_VALUE"""),"")</f>
        <v/>
      </c>
      <c r="D22098" s="12" t="str">
        <f ca="1">IFERROR(__xludf.DUMMYFUNCTION("""COMPUTED_VALUE"""),"")</f>
        <v/>
      </c>
    </row>
    <row r="22099" spans="2:4" ht="13">
      <c r="B22099" s="12" t="str">
        <f ca="1">IFERROR(__xludf.DUMMYFUNCTION("""COMPUTED_VALUE"""),"")</f>
        <v/>
      </c>
      <c r="C22099" s="12" t="str">
        <f ca="1">IFERROR(__xludf.DUMMYFUNCTION("""COMPUTED_VALUE"""),"")</f>
        <v/>
      </c>
      <c r="D22099" s="12" t="str">
        <f ca="1">IFERROR(__xludf.DUMMYFUNCTION("""COMPUTED_VALUE"""),"")</f>
        <v/>
      </c>
    </row>
    <row r="22100" spans="2:4" ht="13">
      <c r="B22100" s="12" t="str">
        <f ca="1">IFERROR(__xludf.DUMMYFUNCTION("""COMPUTED_VALUE"""),"")</f>
        <v/>
      </c>
      <c r="C22100" s="12" t="str">
        <f ca="1">IFERROR(__xludf.DUMMYFUNCTION("""COMPUTED_VALUE"""),"")</f>
        <v/>
      </c>
      <c r="D22100" s="12" t="str">
        <f ca="1">IFERROR(__xludf.DUMMYFUNCTION("""COMPUTED_VALUE"""),"")</f>
        <v/>
      </c>
    </row>
    <row r="22101" spans="2:4" ht="13">
      <c r="B22101" s="12" t="str">
        <f ca="1">IFERROR(__xludf.DUMMYFUNCTION("""COMPUTED_VALUE"""),"")</f>
        <v/>
      </c>
      <c r="C22101" s="12" t="str">
        <f ca="1">IFERROR(__xludf.DUMMYFUNCTION("""COMPUTED_VALUE"""),"")</f>
        <v/>
      </c>
      <c r="D22101" s="12" t="str">
        <f ca="1">IFERROR(__xludf.DUMMYFUNCTION("""COMPUTED_VALUE"""),"")</f>
        <v/>
      </c>
    </row>
    <row r="22102" spans="2:4" ht="13">
      <c r="B22102" s="12" t="str">
        <f ca="1">IFERROR(__xludf.DUMMYFUNCTION("""COMPUTED_VALUE"""),"")</f>
        <v/>
      </c>
      <c r="C22102" s="12" t="str">
        <f ca="1">IFERROR(__xludf.DUMMYFUNCTION("""COMPUTED_VALUE"""),"")</f>
        <v/>
      </c>
      <c r="D22102" s="12" t="str">
        <f ca="1">IFERROR(__xludf.DUMMYFUNCTION("""COMPUTED_VALUE"""),"")</f>
        <v/>
      </c>
    </row>
    <row r="22103" spans="2:4" ht="13">
      <c r="B22103" s="12" t="str">
        <f ca="1">IFERROR(__xludf.DUMMYFUNCTION("""COMPUTED_VALUE"""),"")</f>
        <v/>
      </c>
      <c r="C22103" s="12" t="str">
        <f ca="1">IFERROR(__xludf.DUMMYFUNCTION("""COMPUTED_VALUE"""),"")</f>
        <v/>
      </c>
      <c r="D22103" s="12" t="str">
        <f ca="1">IFERROR(__xludf.DUMMYFUNCTION("""COMPUTED_VALUE"""),"")</f>
        <v/>
      </c>
    </row>
    <row r="22104" spans="2:4" ht="13">
      <c r="B22104" s="12" t="str">
        <f ca="1">IFERROR(__xludf.DUMMYFUNCTION("""COMPUTED_VALUE"""),"")</f>
        <v/>
      </c>
      <c r="C22104" s="12" t="str">
        <f ca="1">IFERROR(__xludf.DUMMYFUNCTION("""COMPUTED_VALUE"""),"")</f>
        <v/>
      </c>
      <c r="D22104" s="12" t="str">
        <f ca="1">IFERROR(__xludf.DUMMYFUNCTION("""COMPUTED_VALUE"""),"")</f>
        <v/>
      </c>
    </row>
    <row r="22105" spans="2:4" ht="13">
      <c r="B22105" s="12" t="str">
        <f ca="1">IFERROR(__xludf.DUMMYFUNCTION("""COMPUTED_VALUE"""),"")</f>
        <v/>
      </c>
      <c r="C22105" s="12" t="str">
        <f ca="1">IFERROR(__xludf.DUMMYFUNCTION("""COMPUTED_VALUE"""),"")</f>
        <v/>
      </c>
      <c r="D22105" s="12" t="str">
        <f ca="1">IFERROR(__xludf.DUMMYFUNCTION("""COMPUTED_VALUE"""),"")</f>
        <v/>
      </c>
    </row>
    <row r="22106" spans="2:4" ht="13">
      <c r="B22106" s="12" t="str">
        <f ca="1">IFERROR(__xludf.DUMMYFUNCTION("""COMPUTED_VALUE"""),"")</f>
        <v/>
      </c>
      <c r="C22106" s="12" t="str">
        <f ca="1">IFERROR(__xludf.DUMMYFUNCTION("""COMPUTED_VALUE"""),"")</f>
        <v/>
      </c>
      <c r="D22106" s="12" t="str">
        <f ca="1">IFERROR(__xludf.DUMMYFUNCTION("""COMPUTED_VALUE"""),"")</f>
        <v/>
      </c>
    </row>
    <row r="22107" spans="2:4" ht="13">
      <c r="B22107" s="12" t="str">
        <f ca="1">IFERROR(__xludf.DUMMYFUNCTION("""COMPUTED_VALUE"""),"")</f>
        <v/>
      </c>
      <c r="C22107" s="12" t="str">
        <f ca="1">IFERROR(__xludf.DUMMYFUNCTION("""COMPUTED_VALUE"""),"")</f>
        <v/>
      </c>
      <c r="D22107" s="12" t="str">
        <f ca="1">IFERROR(__xludf.DUMMYFUNCTION("""COMPUTED_VALUE"""),"")</f>
        <v/>
      </c>
    </row>
    <row r="22108" spans="2:4" ht="13">
      <c r="B22108" s="12" t="str">
        <f ca="1">IFERROR(__xludf.DUMMYFUNCTION("""COMPUTED_VALUE"""),"")</f>
        <v/>
      </c>
      <c r="C22108" s="12" t="str">
        <f ca="1">IFERROR(__xludf.DUMMYFUNCTION("""COMPUTED_VALUE"""),"")</f>
        <v/>
      </c>
      <c r="D22108" s="12" t="str">
        <f ca="1">IFERROR(__xludf.DUMMYFUNCTION("""COMPUTED_VALUE"""),"")</f>
        <v/>
      </c>
    </row>
    <row r="22109" spans="2:4" ht="13">
      <c r="B22109" s="12" t="str">
        <f ca="1">IFERROR(__xludf.DUMMYFUNCTION("""COMPUTED_VALUE"""),"")</f>
        <v/>
      </c>
      <c r="C22109" s="12" t="str">
        <f ca="1">IFERROR(__xludf.DUMMYFUNCTION("""COMPUTED_VALUE"""),"")</f>
        <v/>
      </c>
      <c r="D22109" s="12" t="str">
        <f ca="1">IFERROR(__xludf.DUMMYFUNCTION("""COMPUTED_VALUE"""),"")</f>
        <v/>
      </c>
    </row>
    <row r="22110" spans="2:4" ht="13">
      <c r="B22110" s="12" t="str">
        <f ca="1">IFERROR(__xludf.DUMMYFUNCTION("""COMPUTED_VALUE"""),"")</f>
        <v/>
      </c>
      <c r="C22110" s="12" t="str">
        <f ca="1">IFERROR(__xludf.DUMMYFUNCTION("""COMPUTED_VALUE"""),"")</f>
        <v/>
      </c>
      <c r="D22110" s="12" t="str">
        <f ca="1">IFERROR(__xludf.DUMMYFUNCTION("""COMPUTED_VALUE"""),"")</f>
        <v/>
      </c>
    </row>
    <row r="22111" spans="2:4" ht="13">
      <c r="B22111" s="12" t="str">
        <f ca="1">IFERROR(__xludf.DUMMYFUNCTION("""COMPUTED_VALUE"""),"")</f>
        <v/>
      </c>
      <c r="C22111" s="12" t="str">
        <f ca="1">IFERROR(__xludf.DUMMYFUNCTION("""COMPUTED_VALUE"""),"")</f>
        <v/>
      </c>
      <c r="D22111" s="12" t="str">
        <f ca="1">IFERROR(__xludf.DUMMYFUNCTION("""COMPUTED_VALUE"""),"")</f>
        <v/>
      </c>
    </row>
    <row r="22112" spans="2:4" ht="13">
      <c r="B22112" s="12" t="str">
        <f ca="1">IFERROR(__xludf.DUMMYFUNCTION("""COMPUTED_VALUE"""),"")</f>
        <v/>
      </c>
      <c r="C22112" s="12" t="str">
        <f ca="1">IFERROR(__xludf.DUMMYFUNCTION("""COMPUTED_VALUE"""),"")</f>
        <v/>
      </c>
      <c r="D22112" s="12" t="str">
        <f ca="1">IFERROR(__xludf.DUMMYFUNCTION("""COMPUTED_VALUE"""),"")</f>
        <v/>
      </c>
    </row>
    <row r="22113" spans="2:4" ht="13">
      <c r="B22113" s="12" t="str">
        <f ca="1">IFERROR(__xludf.DUMMYFUNCTION("""COMPUTED_VALUE"""),"")</f>
        <v/>
      </c>
      <c r="C22113" s="12" t="str">
        <f ca="1">IFERROR(__xludf.DUMMYFUNCTION("""COMPUTED_VALUE"""),"")</f>
        <v/>
      </c>
      <c r="D22113" s="12" t="str">
        <f ca="1">IFERROR(__xludf.DUMMYFUNCTION("""COMPUTED_VALUE"""),"")</f>
        <v/>
      </c>
    </row>
    <row r="22114" spans="2:4" ht="13">
      <c r="B22114" s="12" t="str">
        <f ca="1">IFERROR(__xludf.DUMMYFUNCTION("""COMPUTED_VALUE"""),"")</f>
        <v/>
      </c>
      <c r="C22114" s="12" t="str">
        <f ca="1">IFERROR(__xludf.DUMMYFUNCTION("""COMPUTED_VALUE"""),"")</f>
        <v/>
      </c>
      <c r="D22114" s="12" t="str">
        <f ca="1">IFERROR(__xludf.DUMMYFUNCTION("""COMPUTED_VALUE"""),"")</f>
        <v/>
      </c>
    </row>
    <row r="22115" spans="2:4" ht="13">
      <c r="B22115" s="12" t="str">
        <f ca="1">IFERROR(__xludf.DUMMYFUNCTION("""COMPUTED_VALUE"""),"")</f>
        <v/>
      </c>
      <c r="C22115" s="12" t="str">
        <f ca="1">IFERROR(__xludf.DUMMYFUNCTION("""COMPUTED_VALUE"""),"")</f>
        <v/>
      </c>
      <c r="D22115" s="12" t="str">
        <f ca="1">IFERROR(__xludf.DUMMYFUNCTION("""COMPUTED_VALUE"""),"")</f>
        <v/>
      </c>
    </row>
    <row r="22116" spans="2:4" ht="13">
      <c r="B22116" s="12" t="str">
        <f ca="1">IFERROR(__xludf.DUMMYFUNCTION("""COMPUTED_VALUE"""),"")</f>
        <v/>
      </c>
      <c r="C22116" s="12" t="str">
        <f ca="1">IFERROR(__xludf.DUMMYFUNCTION("""COMPUTED_VALUE"""),"")</f>
        <v/>
      </c>
      <c r="D22116" s="12" t="str">
        <f ca="1">IFERROR(__xludf.DUMMYFUNCTION("""COMPUTED_VALUE"""),"")</f>
        <v/>
      </c>
    </row>
    <row r="22117" spans="2:4" ht="13">
      <c r="B22117" s="12" t="str">
        <f ca="1">IFERROR(__xludf.DUMMYFUNCTION("""COMPUTED_VALUE"""),"")</f>
        <v/>
      </c>
      <c r="C22117" s="12" t="str">
        <f ca="1">IFERROR(__xludf.DUMMYFUNCTION("""COMPUTED_VALUE"""),"")</f>
        <v/>
      </c>
      <c r="D22117" s="12" t="str">
        <f ca="1">IFERROR(__xludf.DUMMYFUNCTION("""COMPUTED_VALUE"""),"")</f>
        <v/>
      </c>
    </row>
    <row r="22118" spans="2:4" ht="13">
      <c r="B22118" s="12" t="str">
        <f ca="1">IFERROR(__xludf.DUMMYFUNCTION("""COMPUTED_VALUE"""),"")</f>
        <v/>
      </c>
      <c r="C22118" s="12" t="str">
        <f ca="1">IFERROR(__xludf.DUMMYFUNCTION("""COMPUTED_VALUE"""),"")</f>
        <v/>
      </c>
      <c r="D22118" s="12" t="str">
        <f ca="1">IFERROR(__xludf.DUMMYFUNCTION("""COMPUTED_VALUE"""),"")</f>
        <v/>
      </c>
    </row>
    <row r="22119" spans="2:4" ht="13">
      <c r="B22119" s="12" t="str">
        <f ca="1">IFERROR(__xludf.DUMMYFUNCTION("""COMPUTED_VALUE"""),"")</f>
        <v/>
      </c>
      <c r="C22119" s="12" t="str">
        <f ca="1">IFERROR(__xludf.DUMMYFUNCTION("""COMPUTED_VALUE"""),"")</f>
        <v/>
      </c>
      <c r="D22119" s="12" t="str">
        <f ca="1">IFERROR(__xludf.DUMMYFUNCTION("""COMPUTED_VALUE"""),"")</f>
        <v/>
      </c>
    </row>
    <row r="22120" spans="2:4" ht="13">
      <c r="B22120" s="12" t="str">
        <f ca="1">IFERROR(__xludf.DUMMYFUNCTION("""COMPUTED_VALUE"""),"")</f>
        <v/>
      </c>
      <c r="C22120" s="12" t="str">
        <f ca="1">IFERROR(__xludf.DUMMYFUNCTION("""COMPUTED_VALUE"""),"")</f>
        <v/>
      </c>
      <c r="D22120" s="12" t="str">
        <f ca="1">IFERROR(__xludf.DUMMYFUNCTION("""COMPUTED_VALUE"""),"")</f>
        <v/>
      </c>
    </row>
    <row r="22121" spans="2:4" ht="13">
      <c r="B22121" s="12" t="str">
        <f ca="1">IFERROR(__xludf.DUMMYFUNCTION("""COMPUTED_VALUE"""),"")</f>
        <v/>
      </c>
      <c r="C22121" s="12" t="str">
        <f ca="1">IFERROR(__xludf.DUMMYFUNCTION("""COMPUTED_VALUE"""),"")</f>
        <v/>
      </c>
      <c r="D22121" s="12" t="str">
        <f ca="1">IFERROR(__xludf.DUMMYFUNCTION("""COMPUTED_VALUE"""),"")</f>
        <v/>
      </c>
    </row>
    <row r="22122" spans="2:4" ht="13">
      <c r="B22122" s="12" t="str">
        <f ca="1">IFERROR(__xludf.DUMMYFUNCTION("""COMPUTED_VALUE"""),"")</f>
        <v/>
      </c>
      <c r="C22122" s="12" t="str">
        <f ca="1">IFERROR(__xludf.DUMMYFUNCTION("""COMPUTED_VALUE"""),"")</f>
        <v/>
      </c>
      <c r="D22122" s="12" t="str">
        <f ca="1">IFERROR(__xludf.DUMMYFUNCTION("""COMPUTED_VALUE"""),"")</f>
        <v/>
      </c>
    </row>
    <row r="22123" spans="2:4" ht="13">
      <c r="B22123" s="12" t="str">
        <f ca="1">IFERROR(__xludf.DUMMYFUNCTION("""COMPUTED_VALUE"""),"")</f>
        <v/>
      </c>
      <c r="C22123" s="12" t="str">
        <f ca="1">IFERROR(__xludf.DUMMYFUNCTION("""COMPUTED_VALUE"""),"")</f>
        <v/>
      </c>
      <c r="D22123" s="12" t="str">
        <f ca="1">IFERROR(__xludf.DUMMYFUNCTION("""COMPUTED_VALUE"""),"")</f>
        <v/>
      </c>
    </row>
    <row r="22124" spans="2:4" ht="13">
      <c r="B22124" s="12" t="str">
        <f ca="1">IFERROR(__xludf.DUMMYFUNCTION("""COMPUTED_VALUE"""),"")</f>
        <v/>
      </c>
      <c r="C22124" s="12" t="str">
        <f ca="1">IFERROR(__xludf.DUMMYFUNCTION("""COMPUTED_VALUE"""),"")</f>
        <v/>
      </c>
      <c r="D22124" s="12" t="str">
        <f ca="1">IFERROR(__xludf.DUMMYFUNCTION("""COMPUTED_VALUE"""),"")</f>
        <v/>
      </c>
    </row>
    <row r="22125" spans="2:4" ht="13">
      <c r="B22125" s="12" t="str">
        <f ca="1">IFERROR(__xludf.DUMMYFUNCTION("""COMPUTED_VALUE"""),"")</f>
        <v/>
      </c>
      <c r="C22125" s="12" t="str">
        <f ca="1">IFERROR(__xludf.DUMMYFUNCTION("""COMPUTED_VALUE"""),"")</f>
        <v/>
      </c>
      <c r="D22125" s="12" t="str">
        <f ca="1">IFERROR(__xludf.DUMMYFUNCTION("""COMPUTED_VALUE"""),"")</f>
        <v/>
      </c>
    </row>
    <row r="22126" spans="2:4" ht="13">
      <c r="B22126" s="12" t="str">
        <f ca="1">IFERROR(__xludf.DUMMYFUNCTION("""COMPUTED_VALUE"""),"")</f>
        <v/>
      </c>
      <c r="C22126" s="12" t="str">
        <f ca="1">IFERROR(__xludf.DUMMYFUNCTION("""COMPUTED_VALUE"""),"")</f>
        <v/>
      </c>
      <c r="D22126" s="12" t="str">
        <f ca="1">IFERROR(__xludf.DUMMYFUNCTION("""COMPUTED_VALUE"""),"")</f>
        <v/>
      </c>
    </row>
    <row r="22127" spans="2:4" ht="13">
      <c r="B22127" s="12" t="str">
        <f ca="1">IFERROR(__xludf.DUMMYFUNCTION("""COMPUTED_VALUE"""),"")</f>
        <v/>
      </c>
      <c r="C22127" s="12" t="str">
        <f ca="1">IFERROR(__xludf.DUMMYFUNCTION("""COMPUTED_VALUE"""),"")</f>
        <v/>
      </c>
      <c r="D22127" s="12" t="str">
        <f ca="1">IFERROR(__xludf.DUMMYFUNCTION("""COMPUTED_VALUE"""),"")</f>
        <v/>
      </c>
    </row>
    <row r="22128" spans="2:4" ht="13">
      <c r="B22128" s="12" t="str">
        <f ca="1">IFERROR(__xludf.DUMMYFUNCTION("""COMPUTED_VALUE"""),"")</f>
        <v/>
      </c>
      <c r="C22128" s="12" t="str">
        <f ca="1">IFERROR(__xludf.DUMMYFUNCTION("""COMPUTED_VALUE"""),"")</f>
        <v/>
      </c>
      <c r="D22128" s="12" t="str">
        <f ca="1">IFERROR(__xludf.DUMMYFUNCTION("""COMPUTED_VALUE"""),"")</f>
        <v/>
      </c>
    </row>
    <row r="22129" spans="2:4" ht="13">
      <c r="B22129" s="12" t="str">
        <f ca="1">IFERROR(__xludf.DUMMYFUNCTION("""COMPUTED_VALUE"""),"")</f>
        <v/>
      </c>
      <c r="C22129" s="12" t="str">
        <f ca="1">IFERROR(__xludf.DUMMYFUNCTION("""COMPUTED_VALUE"""),"")</f>
        <v/>
      </c>
      <c r="D22129" s="12" t="str">
        <f ca="1">IFERROR(__xludf.DUMMYFUNCTION("""COMPUTED_VALUE"""),"")</f>
        <v/>
      </c>
    </row>
    <row r="22130" spans="2:4" ht="13">
      <c r="B22130" s="12" t="str">
        <f ca="1">IFERROR(__xludf.DUMMYFUNCTION("""COMPUTED_VALUE"""),"")</f>
        <v/>
      </c>
      <c r="C22130" s="12" t="str">
        <f ca="1">IFERROR(__xludf.DUMMYFUNCTION("""COMPUTED_VALUE"""),"")</f>
        <v/>
      </c>
      <c r="D22130" s="12" t="str">
        <f ca="1">IFERROR(__xludf.DUMMYFUNCTION("""COMPUTED_VALUE"""),"")</f>
        <v/>
      </c>
    </row>
    <row r="22131" spans="2:4" ht="13">
      <c r="B22131" s="12" t="str">
        <f ca="1">IFERROR(__xludf.DUMMYFUNCTION("""COMPUTED_VALUE"""),"")</f>
        <v/>
      </c>
      <c r="C22131" s="12" t="str">
        <f ca="1">IFERROR(__xludf.DUMMYFUNCTION("""COMPUTED_VALUE"""),"")</f>
        <v/>
      </c>
      <c r="D22131" s="12" t="str">
        <f ca="1">IFERROR(__xludf.DUMMYFUNCTION("""COMPUTED_VALUE"""),"")</f>
        <v/>
      </c>
    </row>
    <row r="22132" spans="2:4" ht="13">
      <c r="B22132" s="12" t="str">
        <f ca="1">IFERROR(__xludf.DUMMYFUNCTION("""COMPUTED_VALUE"""),"")</f>
        <v/>
      </c>
      <c r="C22132" s="12" t="str">
        <f ca="1">IFERROR(__xludf.DUMMYFUNCTION("""COMPUTED_VALUE"""),"")</f>
        <v/>
      </c>
      <c r="D22132" s="12" t="str">
        <f ca="1">IFERROR(__xludf.DUMMYFUNCTION("""COMPUTED_VALUE"""),"")</f>
        <v/>
      </c>
    </row>
    <row r="22133" spans="2:4" ht="13">
      <c r="B22133" s="12" t="str">
        <f ca="1">IFERROR(__xludf.DUMMYFUNCTION("""COMPUTED_VALUE"""),"")</f>
        <v/>
      </c>
      <c r="C22133" s="12" t="str">
        <f ca="1">IFERROR(__xludf.DUMMYFUNCTION("""COMPUTED_VALUE"""),"")</f>
        <v/>
      </c>
      <c r="D22133" s="12" t="str">
        <f ca="1">IFERROR(__xludf.DUMMYFUNCTION("""COMPUTED_VALUE"""),"")</f>
        <v/>
      </c>
    </row>
    <row r="22134" spans="2:4" ht="13">
      <c r="B22134" s="12" t="str">
        <f ca="1">IFERROR(__xludf.DUMMYFUNCTION("""COMPUTED_VALUE"""),"")</f>
        <v/>
      </c>
      <c r="C22134" s="12" t="str">
        <f ca="1">IFERROR(__xludf.DUMMYFUNCTION("""COMPUTED_VALUE"""),"")</f>
        <v/>
      </c>
      <c r="D22134" s="12" t="str">
        <f ca="1">IFERROR(__xludf.DUMMYFUNCTION("""COMPUTED_VALUE"""),"")</f>
        <v/>
      </c>
    </row>
    <row r="22135" spans="2:4" ht="13">
      <c r="B22135" s="12" t="str">
        <f ca="1">IFERROR(__xludf.DUMMYFUNCTION("""COMPUTED_VALUE"""),"")</f>
        <v/>
      </c>
      <c r="C22135" s="12" t="str">
        <f ca="1">IFERROR(__xludf.DUMMYFUNCTION("""COMPUTED_VALUE"""),"")</f>
        <v/>
      </c>
      <c r="D22135" s="12" t="str">
        <f ca="1">IFERROR(__xludf.DUMMYFUNCTION("""COMPUTED_VALUE"""),"")</f>
        <v/>
      </c>
    </row>
    <row r="22136" spans="2:4" ht="13">
      <c r="B22136" s="12" t="str">
        <f ca="1">IFERROR(__xludf.DUMMYFUNCTION("""COMPUTED_VALUE"""),"")</f>
        <v/>
      </c>
      <c r="C22136" s="12" t="str">
        <f ca="1">IFERROR(__xludf.DUMMYFUNCTION("""COMPUTED_VALUE"""),"")</f>
        <v/>
      </c>
      <c r="D22136" s="12" t="str">
        <f ca="1">IFERROR(__xludf.DUMMYFUNCTION("""COMPUTED_VALUE"""),"")</f>
        <v/>
      </c>
    </row>
    <row r="22137" spans="2:4" ht="13">
      <c r="B22137" s="12" t="str">
        <f ca="1">IFERROR(__xludf.DUMMYFUNCTION("""COMPUTED_VALUE"""),"")</f>
        <v/>
      </c>
      <c r="C22137" s="12" t="str">
        <f ca="1">IFERROR(__xludf.DUMMYFUNCTION("""COMPUTED_VALUE"""),"")</f>
        <v/>
      </c>
      <c r="D22137" s="12" t="str">
        <f ca="1">IFERROR(__xludf.DUMMYFUNCTION("""COMPUTED_VALUE"""),"")</f>
        <v/>
      </c>
    </row>
    <row r="22138" spans="2:4" ht="13">
      <c r="B22138" s="12" t="str">
        <f ca="1">IFERROR(__xludf.DUMMYFUNCTION("""COMPUTED_VALUE"""),"")</f>
        <v/>
      </c>
      <c r="C22138" s="12" t="str">
        <f ca="1">IFERROR(__xludf.DUMMYFUNCTION("""COMPUTED_VALUE"""),"")</f>
        <v/>
      </c>
      <c r="D22138" s="12" t="str">
        <f ca="1">IFERROR(__xludf.DUMMYFUNCTION("""COMPUTED_VALUE"""),"")</f>
        <v/>
      </c>
    </row>
    <row r="22139" spans="2:4" ht="13">
      <c r="B22139" s="12" t="str">
        <f ca="1">IFERROR(__xludf.DUMMYFUNCTION("""COMPUTED_VALUE"""),"")</f>
        <v/>
      </c>
      <c r="C22139" s="12" t="str">
        <f ca="1">IFERROR(__xludf.DUMMYFUNCTION("""COMPUTED_VALUE"""),"")</f>
        <v/>
      </c>
      <c r="D22139" s="12" t="str">
        <f ca="1">IFERROR(__xludf.DUMMYFUNCTION("""COMPUTED_VALUE"""),"")</f>
        <v/>
      </c>
    </row>
    <row r="22140" spans="2:4" ht="13">
      <c r="B22140" s="12" t="str">
        <f ca="1">IFERROR(__xludf.DUMMYFUNCTION("""COMPUTED_VALUE"""),"")</f>
        <v/>
      </c>
      <c r="C22140" s="12" t="str">
        <f ca="1">IFERROR(__xludf.DUMMYFUNCTION("""COMPUTED_VALUE"""),"")</f>
        <v/>
      </c>
      <c r="D22140" s="12" t="str">
        <f ca="1">IFERROR(__xludf.DUMMYFUNCTION("""COMPUTED_VALUE"""),"")</f>
        <v/>
      </c>
    </row>
    <row r="22141" spans="2:4" ht="13">
      <c r="B22141" s="12" t="str">
        <f ca="1">IFERROR(__xludf.DUMMYFUNCTION("""COMPUTED_VALUE"""),"")</f>
        <v/>
      </c>
      <c r="C22141" s="12" t="str">
        <f ca="1">IFERROR(__xludf.DUMMYFUNCTION("""COMPUTED_VALUE"""),"")</f>
        <v/>
      </c>
      <c r="D22141" s="12" t="str">
        <f ca="1">IFERROR(__xludf.DUMMYFUNCTION("""COMPUTED_VALUE"""),"")</f>
        <v/>
      </c>
    </row>
    <row r="22142" spans="2:4" ht="13">
      <c r="B22142" s="12" t="str">
        <f ca="1">IFERROR(__xludf.DUMMYFUNCTION("""COMPUTED_VALUE"""),"")</f>
        <v/>
      </c>
      <c r="C22142" s="12" t="str">
        <f ca="1">IFERROR(__xludf.DUMMYFUNCTION("""COMPUTED_VALUE"""),"")</f>
        <v/>
      </c>
      <c r="D22142" s="12" t="str">
        <f ca="1">IFERROR(__xludf.DUMMYFUNCTION("""COMPUTED_VALUE"""),"")</f>
        <v/>
      </c>
    </row>
    <row r="22143" spans="2:4" ht="13">
      <c r="B22143" s="12" t="str">
        <f ca="1">IFERROR(__xludf.DUMMYFUNCTION("""COMPUTED_VALUE"""),"")</f>
        <v/>
      </c>
      <c r="C22143" s="12" t="str">
        <f ca="1">IFERROR(__xludf.DUMMYFUNCTION("""COMPUTED_VALUE"""),"")</f>
        <v/>
      </c>
      <c r="D22143" s="12" t="str">
        <f ca="1">IFERROR(__xludf.DUMMYFUNCTION("""COMPUTED_VALUE"""),"")</f>
        <v/>
      </c>
    </row>
    <row r="22144" spans="2:4" ht="13">
      <c r="B22144" s="12" t="str">
        <f ca="1">IFERROR(__xludf.DUMMYFUNCTION("""COMPUTED_VALUE"""),"")</f>
        <v/>
      </c>
      <c r="C22144" s="12" t="str">
        <f ca="1">IFERROR(__xludf.DUMMYFUNCTION("""COMPUTED_VALUE"""),"")</f>
        <v/>
      </c>
      <c r="D22144" s="12" t="str">
        <f ca="1">IFERROR(__xludf.DUMMYFUNCTION("""COMPUTED_VALUE"""),"")</f>
        <v/>
      </c>
    </row>
    <row r="22145" spans="2:4" ht="13">
      <c r="B22145" s="12" t="str">
        <f ca="1">IFERROR(__xludf.DUMMYFUNCTION("""COMPUTED_VALUE"""),"")</f>
        <v/>
      </c>
      <c r="C22145" s="12" t="str">
        <f ca="1">IFERROR(__xludf.DUMMYFUNCTION("""COMPUTED_VALUE"""),"")</f>
        <v/>
      </c>
      <c r="D22145" s="12" t="str">
        <f ca="1">IFERROR(__xludf.DUMMYFUNCTION("""COMPUTED_VALUE"""),"")</f>
        <v/>
      </c>
    </row>
    <row r="22146" spans="2:4" ht="13">
      <c r="B22146" s="12" t="str">
        <f ca="1">IFERROR(__xludf.DUMMYFUNCTION("""COMPUTED_VALUE"""),"")</f>
        <v/>
      </c>
      <c r="C22146" s="12" t="str">
        <f ca="1">IFERROR(__xludf.DUMMYFUNCTION("""COMPUTED_VALUE"""),"")</f>
        <v/>
      </c>
      <c r="D22146" s="12" t="str">
        <f ca="1">IFERROR(__xludf.DUMMYFUNCTION("""COMPUTED_VALUE"""),"")</f>
        <v/>
      </c>
    </row>
    <row r="22147" spans="2:4" ht="13">
      <c r="B22147" s="12" t="str">
        <f ca="1">IFERROR(__xludf.DUMMYFUNCTION("""COMPUTED_VALUE"""),"")</f>
        <v/>
      </c>
      <c r="C22147" s="12" t="str">
        <f ca="1">IFERROR(__xludf.DUMMYFUNCTION("""COMPUTED_VALUE"""),"")</f>
        <v/>
      </c>
      <c r="D22147" s="12" t="str">
        <f ca="1">IFERROR(__xludf.DUMMYFUNCTION("""COMPUTED_VALUE"""),"")</f>
        <v/>
      </c>
    </row>
    <row r="22148" spans="2:4" ht="13">
      <c r="B22148" s="12" t="str">
        <f ca="1">IFERROR(__xludf.DUMMYFUNCTION("""COMPUTED_VALUE"""),"")</f>
        <v/>
      </c>
      <c r="C22148" s="12" t="str">
        <f ca="1">IFERROR(__xludf.DUMMYFUNCTION("""COMPUTED_VALUE"""),"")</f>
        <v/>
      </c>
      <c r="D22148" s="12" t="str">
        <f ca="1">IFERROR(__xludf.DUMMYFUNCTION("""COMPUTED_VALUE"""),"")</f>
        <v/>
      </c>
    </row>
    <row r="22149" spans="2:4" ht="13">
      <c r="B22149" s="12" t="str">
        <f ca="1">IFERROR(__xludf.DUMMYFUNCTION("""COMPUTED_VALUE"""),"")</f>
        <v/>
      </c>
      <c r="C22149" s="12" t="str">
        <f ca="1">IFERROR(__xludf.DUMMYFUNCTION("""COMPUTED_VALUE"""),"")</f>
        <v/>
      </c>
      <c r="D22149" s="12" t="str">
        <f ca="1">IFERROR(__xludf.DUMMYFUNCTION("""COMPUTED_VALUE"""),"")</f>
        <v/>
      </c>
    </row>
    <row r="22150" spans="2:4" ht="13">
      <c r="B22150" s="12" t="str">
        <f ca="1">IFERROR(__xludf.DUMMYFUNCTION("""COMPUTED_VALUE"""),"")</f>
        <v/>
      </c>
      <c r="C22150" s="12" t="str">
        <f ca="1">IFERROR(__xludf.DUMMYFUNCTION("""COMPUTED_VALUE"""),"")</f>
        <v/>
      </c>
      <c r="D22150" s="12" t="str">
        <f ca="1">IFERROR(__xludf.DUMMYFUNCTION("""COMPUTED_VALUE"""),"")</f>
        <v/>
      </c>
    </row>
    <row r="22151" spans="2:4" ht="13">
      <c r="B22151" s="12" t="str">
        <f ca="1">IFERROR(__xludf.DUMMYFUNCTION("""COMPUTED_VALUE"""),"")</f>
        <v/>
      </c>
      <c r="C22151" s="12" t="str">
        <f ca="1">IFERROR(__xludf.DUMMYFUNCTION("""COMPUTED_VALUE"""),"")</f>
        <v/>
      </c>
      <c r="D22151" s="12" t="str">
        <f ca="1">IFERROR(__xludf.DUMMYFUNCTION("""COMPUTED_VALUE"""),"")</f>
        <v/>
      </c>
    </row>
    <row r="22152" spans="2:4" ht="13">
      <c r="B22152" s="12" t="str">
        <f ca="1">IFERROR(__xludf.DUMMYFUNCTION("""COMPUTED_VALUE"""),"")</f>
        <v/>
      </c>
      <c r="C22152" s="12" t="str">
        <f ca="1">IFERROR(__xludf.DUMMYFUNCTION("""COMPUTED_VALUE"""),"")</f>
        <v/>
      </c>
      <c r="D22152" s="12" t="str">
        <f ca="1">IFERROR(__xludf.DUMMYFUNCTION("""COMPUTED_VALUE"""),"")</f>
        <v/>
      </c>
    </row>
    <row r="22153" spans="2:4" ht="13">
      <c r="B22153" s="12" t="str">
        <f ca="1">IFERROR(__xludf.DUMMYFUNCTION("""COMPUTED_VALUE"""),"")</f>
        <v/>
      </c>
      <c r="C22153" s="12" t="str">
        <f ca="1">IFERROR(__xludf.DUMMYFUNCTION("""COMPUTED_VALUE"""),"")</f>
        <v/>
      </c>
      <c r="D22153" s="12" t="str">
        <f ca="1">IFERROR(__xludf.DUMMYFUNCTION("""COMPUTED_VALUE"""),"")</f>
        <v/>
      </c>
    </row>
    <row r="22154" spans="2:4" ht="13">
      <c r="B22154" s="12" t="str">
        <f ca="1">IFERROR(__xludf.DUMMYFUNCTION("""COMPUTED_VALUE"""),"")</f>
        <v/>
      </c>
      <c r="C22154" s="12" t="str">
        <f ca="1">IFERROR(__xludf.DUMMYFUNCTION("""COMPUTED_VALUE"""),"")</f>
        <v/>
      </c>
      <c r="D22154" s="12" t="str">
        <f ca="1">IFERROR(__xludf.DUMMYFUNCTION("""COMPUTED_VALUE"""),"")</f>
        <v/>
      </c>
    </row>
    <row r="22155" spans="2:4" ht="13">
      <c r="B22155" s="12" t="str">
        <f ca="1">IFERROR(__xludf.DUMMYFUNCTION("""COMPUTED_VALUE"""),"")</f>
        <v/>
      </c>
      <c r="C22155" s="12" t="str">
        <f ca="1">IFERROR(__xludf.DUMMYFUNCTION("""COMPUTED_VALUE"""),"")</f>
        <v/>
      </c>
      <c r="D22155" s="12" t="str">
        <f ca="1">IFERROR(__xludf.DUMMYFUNCTION("""COMPUTED_VALUE"""),"")</f>
        <v/>
      </c>
    </row>
    <row r="22156" spans="2:4" ht="13">
      <c r="B22156" s="12" t="str">
        <f ca="1">IFERROR(__xludf.DUMMYFUNCTION("""COMPUTED_VALUE"""),"")</f>
        <v/>
      </c>
      <c r="C22156" s="12" t="str">
        <f ca="1">IFERROR(__xludf.DUMMYFUNCTION("""COMPUTED_VALUE"""),"")</f>
        <v/>
      </c>
      <c r="D22156" s="12" t="str">
        <f ca="1">IFERROR(__xludf.DUMMYFUNCTION("""COMPUTED_VALUE"""),"")</f>
        <v/>
      </c>
    </row>
    <row r="22157" spans="2:4" ht="13">
      <c r="B22157" s="12" t="str">
        <f ca="1">IFERROR(__xludf.DUMMYFUNCTION("""COMPUTED_VALUE"""),"")</f>
        <v/>
      </c>
      <c r="C22157" s="12" t="str">
        <f ca="1">IFERROR(__xludf.DUMMYFUNCTION("""COMPUTED_VALUE"""),"")</f>
        <v/>
      </c>
      <c r="D22157" s="12" t="str">
        <f ca="1">IFERROR(__xludf.DUMMYFUNCTION("""COMPUTED_VALUE"""),"")</f>
        <v/>
      </c>
    </row>
    <row r="22158" spans="2:4" ht="13">
      <c r="B22158" s="12" t="str">
        <f ca="1">IFERROR(__xludf.DUMMYFUNCTION("""COMPUTED_VALUE"""),"")</f>
        <v/>
      </c>
      <c r="C22158" s="12" t="str">
        <f ca="1">IFERROR(__xludf.DUMMYFUNCTION("""COMPUTED_VALUE"""),"")</f>
        <v/>
      </c>
      <c r="D22158" s="12" t="str">
        <f ca="1">IFERROR(__xludf.DUMMYFUNCTION("""COMPUTED_VALUE"""),"")</f>
        <v/>
      </c>
    </row>
    <row r="22159" spans="2:4" ht="13">
      <c r="B22159" s="12" t="str">
        <f ca="1">IFERROR(__xludf.DUMMYFUNCTION("""COMPUTED_VALUE"""),"")</f>
        <v/>
      </c>
      <c r="C22159" s="12" t="str">
        <f ca="1">IFERROR(__xludf.DUMMYFUNCTION("""COMPUTED_VALUE"""),"")</f>
        <v/>
      </c>
      <c r="D22159" s="12" t="str">
        <f ca="1">IFERROR(__xludf.DUMMYFUNCTION("""COMPUTED_VALUE"""),"")</f>
        <v/>
      </c>
    </row>
    <row r="22160" spans="2:4" ht="13">
      <c r="B22160" s="12" t="str">
        <f ca="1">IFERROR(__xludf.DUMMYFUNCTION("""COMPUTED_VALUE"""),"")</f>
        <v/>
      </c>
      <c r="C22160" s="12" t="str">
        <f ca="1">IFERROR(__xludf.DUMMYFUNCTION("""COMPUTED_VALUE"""),"")</f>
        <v/>
      </c>
      <c r="D22160" s="12" t="str">
        <f ca="1">IFERROR(__xludf.DUMMYFUNCTION("""COMPUTED_VALUE"""),"")</f>
        <v/>
      </c>
    </row>
    <row r="22161" spans="2:4" ht="13">
      <c r="B22161" s="12" t="str">
        <f ca="1">IFERROR(__xludf.DUMMYFUNCTION("""COMPUTED_VALUE"""),"")</f>
        <v/>
      </c>
      <c r="C22161" s="12" t="str">
        <f ca="1">IFERROR(__xludf.DUMMYFUNCTION("""COMPUTED_VALUE"""),"")</f>
        <v/>
      </c>
      <c r="D22161" s="12" t="str">
        <f ca="1">IFERROR(__xludf.DUMMYFUNCTION("""COMPUTED_VALUE"""),"")</f>
        <v/>
      </c>
    </row>
    <row r="22162" spans="2:4" ht="13">
      <c r="B22162" s="12" t="str">
        <f ca="1">IFERROR(__xludf.DUMMYFUNCTION("""COMPUTED_VALUE"""),"")</f>
        <v/>
      </c>
      <c r="C22162" s="12" t="str">
        <f ca="1">IFERROR(__xludf.DUMMYFUNCTION("""COMPUTED_VALUE"""),"")</f>
        <v/>
      </c>
      <c r="D22162" s="12" t="str">
        <f ca="1">IFERROR(__xludf.DUMMYFUNCTION("""COMPUTED_VALUE"""),"")</f>
        <v/>
      </c>
    </row>
    <row r="22163" spans="2:4" ht="13">
      <c r="B22163" s="12" t="str">
        <f ca="1">IFERROR(__xludf.DUMMYFUNCTION("""COMPUTED_VALUE"""),"")</f>
        <v/>
      </c>
      <c r="C22163" s="12" t="str">
        <f ca="1">IFERROR(__xludf.DUMMYFUNCTION("""COMPUTED_VALUE"""),"")</f>
        <v/>
      </c>
      <c r="D22163" s="12" t="str">
        <f ca="1">IFERROR(__xludf.DUMMYFUNCTION("""COMPUTED_VALUE"""),"")</f>
        <v/>
      </c>
    </row>
    <row r="22164" spans="2:4" ht="13">
      <c r="B22164" s="12" t="str">
        <f ca="1">IFERROR(__xludf.DUMMYFUNCTION("""COMPUTED_VALUE"""),"")</f>
        <v/>
      </c>
      <c r="C22164" s="12" t="str">
        <f ca="1">IFERROR(__xludf.DUMMYFUNCTION("""COMPUTED_VALUE"""),"")</f>
        <v/>
      </c>
      <c r="D22164" s="12" t="str">
        <f ca="1">IFERROR(__xludf.DUMMYFUNCTION("""COMPUTED_VALUE"""),"")</f>
        <v/>
      </c>
    </row>
    <row r="22165" spans="2:4" ht="13">
      <c r="B22165" s="12" t="str">
        <f ca="1">IFERROR(__xludf.DUMMYFUNCTION("""COMPUTED_VALUE"""),"")</f>
        <v/>
      </c>
      <c r="C22165" s="12" t="str">
        <f ca="1">IFERROR(__xludf.DUMMYFUNCTION("""COMPUTED_VALUE"""),"")</f>
        <v/>
      </c>
      <c r="D22165" s="12" t="str">
        <f ca="1">IFERROR(__xludf.DUMMYFUNCTION("""COMPUTED_VALUE"""),"")</f>
        <v/>
      </c>
    </row>
    <row r="22166" spans="2:4" ht="13">
      <c r="B22166" s="12" t="str">
        <f ca="1">IFERROR(__xludf.DUMMYFUNCTION("""COMPUTED_VALUE"""),"")</f>
        <v/>
      </c>
      <c r="C22166" s="12" t="str">
        <f ca="1">IFERROR(__xludf.DUMMYFUNCTION("""COMPUTED_VALUE"""),"")</f>
        <v/>
      </c>
      <c r="D22166" s="12" t="str">
        <f ca="1">IFERROR(__xludf.DUMMYFUNCTION("""COMPUTED_VALUE"""),"")</f>
        <v/>
      </c>
    </row>
    <row r="22167" spans="2:4" ht="13">
      <c r="B22167" s="12" t="str">
        <f ca="1">IFERROR(__xludf.DUMMYFUNCTION("""COMPUTED_VALUE"""),"")</f>
        <v/>
      </c>
      <c r="C22167" s="12" t="str">
        <f ca="1">IFERROR(__xludf.DUMMYFUNCTION("""COMPUTED_VALUE"""),"")</f>
        <v/>
      </c>
      <c r="D22167" s="12" t="str">
        <f ca="1">IFERROR(__xludf.DUMMYFUNCTION("""COMPUTED_VALUE"""),"")</f>
        <v/>
      </c>
    </row>
    <row r="22168" spans="2:4" ht="13">
      <c r="B22168" s="12" t="str">
        <f ca="1">IFERROR(__xludf.DUMMYFUNCTION("""COMPUTED_VALUE"""),"")</f>
        <v/>
      </c>
      <c r="C22168" s="12" t="str">
        <f ca="1">IFERROR(__xludf.DUMMYFUNCTION("""COMPUTED_VALUE"""),"")</f>
        <v/>
      </c>
      <c r="D22168" s="12" t="str">
        <f ca="1">IFERROR(__xludf.DUMMYFUNCTION("""COMPUTED_VALUE"""),"")</f>
        <v/>
      </c>
    </row>
    <row r="22169" spans="2:4" ht="13">
      <c r="B22169" s="12" t="str">
        <f ca="1">IFERROR(__xludf.DUMMYFUNCTION("""COMPUTED_VALUE"""),"")</f>
        <v/>
      </c>
      <c r="C22169" s="12" t="str">
        <f ca="1">IFERROR(__xludf.DUMMYFUNCTION("""COMPUTED_VALUE"""),"")</f>
        <v/>
      </c>
      <c r="D22169" s="12" t="str">
        <f ca="1">IFERROR(__xludf.DUMMYFUNCTION("""COMPUTED_VALUE"""),"")</f>
        <v/>
      </c>
    </row>
    <row r="22170" spans="2:4" ht="13">
      <c r="B22170" s="12" t="str">
        <f ca="1">IFERROR(__xludf.DUMMYFUNCTION("""COMPUTED_VALUE"""),"")</f>
        <v/>
      </c>
      <c r="C22170" s="12" t="str">
        <f ca="1">IFERROR(__xludf.DUMMYFUNCTION("""COMPUTED_VALUE"""),"")</f>
        <v/>
      </c>
      <c r="D22170" s="12" t="str">
        <f ca="1">IFERROR(__xludf.DUMMYFUNCTION("""COMPUTED_VALUE"""),"")</f>
        <v/>
      </c>
    </row>
    <row r="22171" spans="2:4" ht="13">
      <c r="B22171" s="12" t="str">
        <f ca="1">IFERROR(__xludf.DUMMYFUNCTION("""COMPUTED_VALUE"""),"")</f>
        <v/>
      </c>
      <c r="C22171" s="12" t="str">
        <f ca="1">IFERROR(__xludf.DUMMYFUNCTION("""COMPUTED_VALUE"""),"")</f>
        <v/>
      </c>
      <c r="D22171" s="12" t="str">
        <f ca="1">IFERROR(__xludf.DUMMYFUNCTION("""COMPUTED_VALUE"""),"")</f>
        <v/>
      </c>
    </row>
    <row r="22172" spans="2:4" ht="13">
      <c r="B22172" s="12" t="str">
        <f ca="1">IFERROR(__xludf.DUMMYFUNCTION("""COMPUTED_VALUE"""),"")</f>
        <v/>
      </c>
      <c r="C22172" s="12" t="str">
        <f ca="1">IFERROR(__xludf.DUMMYFUNCTION("""COMPUTED_VALUE"""),"")</f>
        <v/>
      </c>
      <c r="D22172" s="12" t="str">
        <f ca="1">IFERROR(__xludf.DUMMYFUNCTION("""COMPUTED_VALUE"""),"")</f>
        <v/>
      </c>
    </row>
    <row r="22173" spans="2:4" ht="13">
      <c r="B22173" s="12" t="str">
        <f ca="1">IFERROR(__xludf.DUMMYFUNCTION("""COMPUTED_VALUE"""),"")</f>
        <v/>
      </c>
      <c r="C22173" s="12" t="str">
        <f ca="1">IFERROR(__xludf.DUMMYFUNCTION("""COMPUTED_VALUE"""),"")</f>
        <v/>
      </c>
      <c r="D22173" s="12" t="str">
        <f ca="1">IFERROR(__xludf.DUMMYFUNCTION("""COMPUTED_VALUE"""),"")</f>
        <v/>
      </c>
    </row>
    <row r="22174" spans="2:4" ht="13">
      <c r="B22174" s="12" t="str">
        <f ca="1">IFERROR(__xludf.DUMMYFUNCTION("""COMPUTED_VALUE"""),"")</f>
        <v/>
      </c>
      <c r="C22174" s="12" t="str">
        <f ca="1">IFERROR(__xludf.DUMMYFUNCTION("""COMPUTED_VALUE"""),"")</f>
        <v/>
      </c>
      <c r="D22174" s="12" t="str">
        <f ca="1">IFERROR(__xludf.DUMMYFUNCTION("""COMPUTED_VALUE"""),"")</f>
        <v/>
      </c>
    </row>
    <row r="22175" spans="2:4" ht="13">
      <c r="B22175" s="12" t="str">
        <f ca="1">IFERROR(__xludf.DUMMYFUNCTION("""COMPUTED_VALUE"""),"")</f>
        <v/>
      </c>
      <c r="C22175" s="12" t="str">
        <f ca="1">IFERROR(__xludf.DUMMYFUNCTION("""COMPUTED_VALUE"""),"")</f>
        <v/>
      </c>
      <c r="D22175" s="12" t="str">
        <f ca="1">IFERROR(__xludf.DUMMYFUNCTION("""COMPUTED_VALUE"""),"")</f>
        <v/>
      </c>
    </row>
    <row r="22176" spans="2:4" ht="13">
      <c r="B22176" s="12" t="str">
        <f ca="1">IFERROR(__xludf.DUMMYFUNCTION("""COMPUTED_VALUE"""),"")</f>
        <v/>
      </c>
      <c r="C22176" s="12" t="str">
        <f ca="1">IFERROR(__xludf.DUMMYFUNCTION("""COMPUTED_VALUE"""),"")</f>
        <v/>
      </c>
      <c r="D22176" s="12" t="str">
        <f ca="1">IFERROR(__xludf.DUMMYFUNCTION("""COMPUTED_VALUE"""),"")</f>
        <v/>
      </c>
    </row>
    <row r="22177" spans="2:4" ht="13">
      <c r="B22177" s="12" t="str">
        <f ca="1">IFERROR(__xludf.DUMMYFUNCTION("""COMPUTED_VALUE"""),"")</f>
        <v/>
      </c>
      <c r="C22177" s="12" t="str">
        <f ca="1">IFERROR(__xludf.DUMMYFUNCTION("""COMPUTED_VALUE"""),"")</f>
        <v/>
      </c>
      <c r="D22177" s="12" t="str">
        <f ca="1">IFERROR(__xludf.DUMMYFUNCTION("""COMPUTED_VALUE"""),"")</f>
        <v/>
      </c>
    </row>
    <row r="22178" spans="2:4" ht="13">
      <c r="B22178" s="12" t="str">
        <f ca="1">IFERROR(__xludf.DUMMYFUNCTION("""COMPUTED_VALUE"""),"")</f>
        <v/>
      </c>
      <c r="C22178" s="12" t="str">
        <f ca="1">IFERROR(__xludf.DUMMYFUNCTION("""COMPUTED_VALUE"""),"")</f>
        <v/>
      </c>
      <c r="D22178" s="12" t="str">
        <f ca="1">IFERROR(__xludf.DUMMYFUNCTION("""COMPUTED_VALUE"""),"")</f>
        <v/>
      </c>
    </row>
    <row r="22179" spans="2:4" ht="13">
      <c r="B22179" s="12" t="str">
        <f ca="1">IFERROR(__xludf.DUMMYFUNCTION("""COMPUTED_VALUE"""),"")</f>
        <v/>
      </c>
      <c r="C22179" s="12" t="str">
        <f ca="1">IFERROR(__xludf.DUMMYFUNCTION("""COMPUTED_VALUE"""),"")</f>
        <v/>
      </c>
      <c r="D22179" s="12" t="str">
        <f ca="1">IFERROR(__xludf.DUMMYFUNCTION("""COMPUTED_VALUE"""),"")</f>
        <v/>
      </c>
    </row>
    <row r="22180" spans="2:4" ht="13">
      <c r="B22180" s="12" t="str">
        <f ca="1">IFERROR(__xludf.DUMMYFUNCTION("""COMPUTED_VALUE"""),"")</f>
        <v/>
      </c>
      <c r="C22180" s="12" t="str">
        <f ca="1">IFERROR(__xludf.DUMMYFUNCTION("""COMPUTED_VALUE"""),"")</f>
        <v/>
      </c>
      <c r="D22180" s="12" t="str">
        <f ca="1">IFERROR(__xludf.DUMMYFUNCTION("""COMPUTED_VALUE"""),"")</f>
        <v/>
      </c>
    </row>
    <row r="22181" spans="2:4" ht="13">
      <c r="B22181" s="12" t="str">
        <f ca="1">IFERROR(__xludf.DUMMYFUNCTION("""COMPUTED_VALUE"""),"")</f>
        <v/>
      </c>
      <c r="C22181" s="12" t="str">
        <f ca="1">IFERROR(__xludf.DUMMYFUNCTION("""COMPUTED_VALUE"""),"")</f>
        <v/>
      </c>
      <c r="D22181" s="12" t="str">
        <f ca="1">IFERROR(__xludf.DUMMYFUNCTION("""COMPUTED_VALUE"""),"")</f>
        <v/>
      </c>
    </row>
    <row r="22182" spans="2:4" ht="13">
      <c r="B22182" s="12" t="str">
        <f ca="1">IFERROR(__xludf.DUMMYFUNCTION("""COMPUTED_VALUE"""),"")</f>
        <v/>
      </c>
      <c r="C22182" s="12" t="str">
        <f ca="1">IFERROR(__xludf.DUMMYFUNCTION("""COMPUTED_VALUE"""),"")</f>
        <v/>
      </c>
      <c r="D22182" s="12" t="str">
        <f ca="1">IFERROR(__xludf.DUMMYFUNCTION("""COMPUTED_VALUE"""),"")</f>
        <v/>
      </c>
    </row>
    <row r="22183" spans="2:4" ht="13">
      <c r="B22183" s="12" t="str">
        <f ca="1">IFERROR(__xludf.DUMMYFUNCTION("""COMPUTED_VALUE"""),"")</f>
        <v/>
      </c>
      <c r="C22183" s="12" t="str">
        <f ca="1">IFERROR(__xludf.DUMMYFUNCTION("""COMPUTED_VALUE"""),"")</f>
        <v/>
      </c>
      <c r="D22183" s="12" t="str">
        <f ca="1">IFERROR(__xludf.DUMMYFUNCTION("""COMPUTED_VALUE"""),"")</f>
        <v/>
      </c>
    </row>
    <row r="22184" spans="2:4" ht="13">
      <c r="B22184" s="12" t="str">
        <f ca="1">IFERROR(__xludf.DUMMYFUNCTION("""COMPUTED_VALUE"""),"")</f>
        <v/>
      </c>
      <c r="C22184" s="12" t="str">
        <f ca="1">IFERROR(__xludf.DUMMYFUNCTION("""COMPUTED_VALUE"""),"")</f>
        <v/>
      </c>
      <c r="D22184" s="12" t="str">
        <f ca="1">IFERROR(__xludf.DUMMYFUNCTION("""COMPUTED_VALUE"""),"")</f>
        <v/>
      </c>
    </row>
    <row r="22185" spans="2:4" ht="13">
      <c r="B22185" s="12" t="str">
        <f ca="1">IFERROR(__xludf.DUMMYFUNCTION("""COMPUTED_VALUE"""),"")</f>
        <v/>
      </c>
      <c r="C22185" s="12" t="str">
        <f ca="1">IFERROR(__xludf.DUMMYFUNCTION("""COMPUTED_VALUE"""),"")</f>
        <v/>
      </c>
      <c r="D22185" s="12" t="str">
        <f ca="1">IFERROR(__xludf.DUMMYFUNCTION("""COMPUTED_VALUE"""),"")</f>
        <v/>
      </c>
    </row>
    <row r="22186" spans="2:4" ht="13">
      <c r="B22186" s="12" t="str">
        <f ca="1">IFERROR(__xludf.DUMMYFUNCTION("""COMPUTED_VALUE"""),"")</f>
        <v/>
      </c>
      <c r="C22186" s="12" t="str">
        <f ca="1">IFERROR(__xludf.DUMMYFUNCTION("""COMPUTED_VALUE"""),"")</f>
        <v/>
      </c>
      <c r="D22186" s="12" t="str">
        <f ca="1">IFERROR(__xludf.DUMMYFUNCTION("""COMPUTED_VALUE"""),"")</f>
        <v/>
      </c>
    </row>
    <row r="22187" spans="2:4" ht="13">
      <c r="B22187" s="12" t="str">
        <f ca="1">IFERROR(__xludf.DUMMYFUNCTION("""COMPUTED_VALUE"""),"")</f>
        <v/>
      </c>
      <c r="C22187" s="12" t="str">
        <f ca="1">IFERROR(__xludf.DUMMYFUNCTION("""COMPUTED_VALUE"""),"")</f>
        <v/>
      </c>
      <c r="D22187" s="12" t="str">
        <f ca="1">IFERROR(__xludf.DUMMYFUNCTION("""COMPUTED_VALUE"""),"")</f>
        <v/>
      </c>
    </row>
    <row r="22188" spans="2:4" ht="13">
      <c r="B22188" s="12" t="str">
        <f ca="1">IFERROR(__xludf.DUMMYFUNCTION("""COMPUTED_VALUE"""),"")</f>
        <v/>
      </c>
      <c r="C22188" s="12" t="str">
        <f ca="1">IFERROR(__xludf.DUMMYFUNCTION("""COMPUTED_VALUE"""),"")</f>
        <v/>
      </c>
      <c r="D22188" s="12" t="str">
        <f ca="1">IFERROR(__xludf.DUMMYFUNCTION("""COMPUTED_VALUE"""),"")</f>
        <v/>
      </c>
    </row>
    <row r="22189" spans="2:4" ht="13">
      <c r="B22189" s="12" t="str">
        <f ca="1">IFERROR(__xludf.DUMMYFUNCTION("""COMPUTED_VALUE"""),"")</f>
        <v/>
      </c>
      <c r="C22189" s="12" t="str">
        <f ca="1">IFERROR(__xludf.DUMMYFUNCTION("""COMPUTED_VALUE"""),"")</f>
        <v/>
      </c>
      <c r="D22189" s="12" t="str">
        <f ca="1">IFERROR(__xludf.DUMMYFUNCTION("""COMPUTED_VALUE"""),"")</f>
        <v/>
      </c>
    </row>
    <row r="22190" spans="2:4" ht="13">
      <c r="B22190" s="12" t="str">
        <f ca="1">IFERROR(__xludf.DUMMYFUNCTION("""COMPUTED_VALUE"""),"")</f>
        <v/>
      </c>
      <c r="C22190" s="12" t="str">
        <f ca="1">IFERROR(__xludf.DUMMYFUNCTION("""COMPUTED_VALUE"""),"")</f>
        <v/>
      </c>
      <c r="D22190" s="12" t="str">
        <f ca="1">IFERROR(__xludf.DUMMYFUNCTION("""COMPUTED_VALUE"""),"")</f>
        <v/>
      </c>
    </row>
    <row r="22191" spans="2:4" ht="13">
      <c r="B22191" s="12" t="str">
        <f ca="1">IFERROR(__xludf.DUMMYFUNCTION("""COMPUTED_VALUE"""),"")</f>
        <v/>
      </c>
      <c r="C22191" s="12" t="str">
        <f ca="1">IFERROR(__xludf.DUMMYFUNCTION("""COMPUTED_VALUE"""),"")</f>
        <v/>
      </c>
      <c r="D22191" s="12" t="str">
        <f ca="1">IFERROR(__xludf.DUMMYFUNCTION("""COMPUTED_VALUE"""),"")</f>
        <v/>
      </c>
    </row>
    <row r="22192" spans="2:4" ht="13">
      <c r="B22192" s="12" t="str">
        <f ca="1">IFERROR(__xludf.DUMMYFUNCTION("""COMPUTED_VALUE"""),"")</f>
        <v/>
      </c>
      <c r="C22192" s="12" t="str">
        <f ca="1">IFERROR(__xludf.DUMMYFUNCTION("""COMPUTED_VALUE"""),"")</f>
        <v/>
      </c>
      <c r="D22192" s="12" t="str">
        <f ca="1">IFERROR(__xludf.DUMMYFUNCTION("""COMPUTED_VALUE"""),"")</f>
        <v/>
      </c>
    </row>
    <row r="22193" spans="2:4" ht="13">
      <c r="B22193" s="12" t="str">
        <f ca="1">IFERROR(__xludf.DUMMYFUNCTION("""COMPUTED_VALUE"""),"")</f>
        <v/>
      </c>
      <c r="C22193" s="12" t="str">
        <f ca="1">IFERROR(__xludf.DUMMYFUNCTION("""COMPUTED_VALUE"""),"")</f>
        <v/>
      </c>
      <c r="D22193" s="12" t="str">
        <f ca="1">IFERROR(__xludf.DUMMYFUNCTION("""COMPUTED_VALUE"""),"")</f>
        <v/>
      </c>
    </row>
    <row r="22194" spans="2:4" ht="13">
      <c r="B22194" s="12" t="str">
        <f ca="1">IFERROR(__xludf.DUMMYFUNCTION("""COMPUTED_VALUE"""),"")</f>
        <v/>
      </c>
      <c r="C22194" s="12" t="str">
        <f ca="1">IFERROR(__xludf.DUMMYFUNCTION("""COMPUTED_VALUE"""),"")</f>
        <v/>
      </c>
      <c r="D22194" s="12" t="str">
        <f ca="1">IFERROR(__xludf.DUMMYFUNCTION("""COMPUTED_VALUE"""),"")</f>
        <v/>
      </c>
    </row>
    <row r="22195" spans="2:4" ht="13">
      <c r="B22195" s="12" t="str">
        <f ca="1">IFERROR(__xludf.DUMMYFUNCTION("""COMPUTED_VALUE"""),"")</f>
        <v/>
      </c>
      <c r="C22195" s="12" t="str">
        <f ca="1">IFERROR(__xludf.DUMMYFUNCTION("""COMPUTED_VALUE"""),"")</f>
        <v/>
      </c>
      <c r="D22195" s="12" t="str">
        <f ca="1">IFERROR(__xludf.DUMMYFUNCTION("""COMPUTED_VALUE"""),"")</f>
        <v/>
      </c>
    </row>
    <row r="22196" spans="2:4" ht="13">
      <c r="B22196" s="12" t="str">
        <f ca="1">IFERROR(__xludf.DUMMYFUNCTION("""COMPUTED_VALUE"""),"")</f>
        <v/>
      </c>
      <c r="C22196" s="12" t="str">
        <f ca="1">IFERROR(__xludf.DUMMYFUNCTION("""COMPUTED_VALUE"""),"")</f>
        <v/>
      </c>
      <c r="D22196" s="12" t="str">
        <f ca="1">IFERROR(__xludf.DUMMYFUNCTION("""COMPUTED_VALUE"""),"")</f>
        <v/>
      </c>
    </row>
    <row r="22197" spans="2:4" ht="13">
      <c r="B22197" s="12" t="str">
        <f ca="1">IFERROR(__xludf.DUMMYFUNCTION("""COMPUTED_VALUE"""),"")</f>
        <v/>
      </c>
      <c r="C22197" s="12" t="str">
        <f ca="1">IFERROR(__xludf.DUMMYFUNCTION("""COMPUTED_VALUE"""),"")</f>
        <v/>
      </c>
      <c r="D22197" s="12" t="str">
        <f ca="1">IFERROR(__xludf.DUMMYFUNCTION("""COMPUTED_VALUE"""),"")</f>
        <v/>
      </c>
    </row>
    <row r="22198" spans="2:4" ht="13">
      <c r="B22198" s="12" t="str">
        <f ca="1">IFERROR(__xludf.DUMMYFUNCTION("""COMPUTED_VALUE"""),"")</f>
        <v/>
      </c>
      <c r="C22198" s="12" t="str">
        <f ca="1">IFERROR(__xludf.DUMMYFUNCTION("""COMPUTED_VALUE"""),"")</f>
        <v/>
      </c>
      <c r="D22198" s="12" t="str">
        <f ca="1">IFERROR(__xludf.DUMMYFUNCTION("""COMPUTED_VALUE"""),"")</f>
        <v/>
      </c>
    </row>
    <row r="22199" spans="2:4" ht="13">
      <c r="B22199" s="12" t="str">
        <f ca="1">IFERROR(__xludf.DUMMYFUNCTION("""COMPUTED_VALUE"""),"")</f>
        <v/>
      </c>
      <c r="C22199" s="12" t="str">
        <f ca="1">IFERROR(__xludf.DUMMYFUNCTION("""COMPUTED_VALUE"""),"")</f>
        <v/>
      </c>
      <c r="D22199" s="12" t="str">
        <f ca="1">IFERROR(__xludf.DUMMYFUNCTION("""COMPUTED_VALUE"""),"")</f>
        <v/>
      </c>
    </row>
    <row r="22200" spans="2:4" ht="13">
      <c r="B22200" s="12" t="str">
        <f ca="1">IFERROR(__xludf.DUMMYFUNCTION("""COMPUTED_VALUE"""),"")</f>
        <v/>
      </c>
      <c r="C22200" s="12" t="str">
        <f ca="1">IFERROR(__xludf.DUMMYFUNCTION("""COMPUTED_VALUE"""),"")</f>
        <v/>
      </c>
      <c r="D22200" s="12" t="str">
        <f ca="1">IFERROR(__xludf.DUMMYFUNCTION("""COMPUTED_VALUE"""),"")</f>
        <v/>
      </c>
    </row>
    <row r="22201" spans="2:4" ht="13">
      <c r="B22201" s="12" t="str">
        <f ca="1">IFERROR(__xludf.DUMMYFUNCTION("""COMPUTED_VALUE"""),"")</f>
        <v/>
      </c>
      <c r="C22201" s="12" t="str">
        <f ca="1">IFERROR(__xludf.DUMMYFUNCTION("""COMPUTED_VALUE"""),"")</f>
        <v/>
      </c>
      <c r="D22201" s="12" t="str">
        <f ca="1">IFERROR(__xludf.DUMMYFUNCTION("""COMPUTED_VALUE"""),"")</f>
        <v/>
      </c>
    </row>
    <row r="22202" spans="2:4" ht="13">
      <c r="B22202" s="12" t="str">
        <f ca="1">IFERROR(__xludf.DUMMYFUNCTION("""COMPUTED_VALUE"""),"")</f>
        <v/>
      </c>
      <c r="C22202" s="12" t="str">
        <f ca="1">IFERROR(__xludf.DUMMYFUNCTION("""COMPUTED_VALUE"""),"")</f>
        <v/>
      </c>
      <c r="D22202" s="12" t="str">
        <f ca="1">IFERROR(__xludf.DUMMYFUNCTION("""COMPUTED_VALUE"""),"")</f>
        <v/>
      </c>
    </row>
    <row r="22203" spans="2:4" ht="13">
      <c r="B22203" s="12" t="str">
        <f ca="1">IFERROR(__xludf.DUMMYFUNCTION("""COMPUTED_VALUE"""),"")</f>
        <v/>
      </c>
      <c r="C22203" s="12" t="str">
        <f ca="1">IFERROR(__xludf.DUMMYFUNCTION("""COMPUTED_VALUE"""),"")</f>
        <v/>
      </c>
      <c r="D22203" s="12" t="str">
        <f ca="1">IFERROR(__xludf.DUMMYFUNCTION("""COMPUTED_VALUE"""),"")</f>
        <v/>
      </c>
    </row>
    <row r="22204" spans="2:4" ht="13">
      <c r="B22204" s="12" t="str">
        <f ca="1">IFERROR(__xludf.DUMMYFUNCTION("""COMPUTED_VALUE"""),"")</f>
        <v/>
      </c>
      <c r="C22204" s="12" t="str">
        <f ca="1">IFERROR(__xludf.DUMMYFUNCTION("""COMPUTED_VALUE"""),"")</f>
        <v/>
      </c>
      <c r="D22204" s="12" t="str">
        <f ca="1">IFERROR(__xludf.DUMMYFUNCTION("""COMPUTED_VALUE"""),"")</f>
        <v/>
      </c>
    </row>
    <row r="22205" spans="2:4" ht="13">
      <c r="B22205" s="12" t="str">
        <f ca="1">IFERROR(__xludf.DUMMYFUNCTION("""COMPUTED_VALUE"""),"")</f>
        <v/>
      </c>
      <c r="C22205" s="12" t="str">
        <f ca="1">IFERROR(__xludf.DUMMYFUNCTION("""COMPUTED_VALUE"""),"")</f>
        <v/>
      </c>
      <c r="D22205" s="12" t="str">
        <f ca="1">IFERROR(__xludf.DUMMYFUNCTION("""COMPUTED_VALUE"""),"")</f>
        <v/>
      </c>
    </row>
    <row r="22206" spans="2:4" ht="13">
      <c r="B22206" s="12" t="str">
        <f ca="1">IFERROR(__xludf.DUMMYFUNCTION("""COMPUTED_VALUE"""),"")</f>
        <v/>
      </c>
      <c r="C22206" s="12" t="str">
        <f ca="1">IFERROR(__xludf.DUMMYFUNCTION("""COMPUTED_VALUE"""),"")</f>
        <v/>
      </c>
      <c r="D22206" s="12" t="str">
        <f ca="1">IFERROR(__xludf.DUMMYFUNCTION("""COMPUTED_VALUE"""),"")</f>
        <v/>
      </c>
    </row>
    <row r="22207" spans="2:4" ht="13">
      <c r="B22207" s="12" t="str">
        <f ca="1">IFERROR(__xludf.DUMMYFUNCTION("""COMPUTED_VALUE"""),"")</f>
        <v/>
      </c>
      <c r="C22207" s="12" t="str">
        <f ca="1">IFERROR(__xludf.DUMMYFUNCTION("""COMPUTED_VALUE"""),"")</f>
        <v/>
      </c>
      <c r="D22207" s="12" t="str">
        <f ca="1">IFERROR(__xludf.DUMMYFUNCTION("""COMPUTED_VALUE"""),"")</f>
        <v/>
      </c>
    </row>
    <row r="22208" spans="2:4" ht="13">
      <c r="B22208" s="12" t="str">
        <f ca="1">IFERROR(__xludf.DUMMYFUNCTION("""COMPUTED_VALUE"""),"")</f>
        <v/>
      </c>
      <c r="C22208" s="12" t="str">
        <f ca="1">IFERROR(__xludf.DUMMYFUNCTION("""COMPUTED_VALUE"""),"")</f>
        <v/>
      </c>
      <c r="D22208" s="12" t="str">
        <f ca="1">IFERROR(__xludf.DUMMYFUNCTION("""COMPUTED_VALUE"""),"")</f>
        <v/>
      </c>
    </row>
    <row r="22209" spans="2:4" ht="13">
      <c r="B22209" s="12" t="str">
        <f ca="1">IFERROR(__xludf.DUMMYFUNCTION("""COMPUTED_VALUE"""),"")</f>
        <v/>
      </c>
      <c r="C22209" s="12" t="str">
        <f ca="1">IFERROR(__xludf.DUMMYFUNCTION("""COMPUTED_VALUE"""),"")</f>
        <v/>
      </c>
      <c r="D22209" s="12" t="str">
        <f ca="1">IFERROR(__xludf.DUMMYFUNCTION("""COMPUTED_VALUE"""),"")</f>
        <v/>
      </c>
    </row>
    <row r="22210" spans="2:4" ht="13">
      <c r="B22210" s="12" t="str">
        <f ca="1">IFERROR(__xludf.DUMMYFUNCTION("""COMPUTED_VALUE"""),"")</f>
        <v/>
      </c>
      <c r="C22210" s="12" t="str">
        <f ca="1">IFERROR(__xludf.DUMMYFUNCTION("""COMPUTED_VALUE"""),"")</f>
        <v/>
      </c>
      <c r="D22210" s="12" t="str">
        <f ca="1">IFERROR(__xludf.DUMMYFUNCTION("""COMPUTED_VALUE"""),"")</f>
        <v/>
      </c>
    </row>
    <row r="22211" spans="2:4" ht="13">
      <c r="B22211" s="12" t="str">
        <f ca="1">IFERROR(__xludf.DUMMYFUNCTION("""COMPUTED_VALUE"""),"")</f>
        <v/>
      </c>
      <c r="C22211" s="12" t="str">
        <f ca="1">IFERROR(__xludf.DUMMYFUNCTION("""COMPUTED_VALUE"""),"")</f>
        <v/>
      </c>
      <c r="D22211" s="12" t="str">
        <f ca="1">IFERROR(__xludf.DUMMYFUNCTION("""COMPUTED_VALUE"""),"")</f>
        <v/>
      </c>
    </row>
    <row r="22212" spans="2:4" ht="13">
      <c r="B22212" s="12" t="str">
        <f ca="1">IFERROR(__xludf.DUMMYFUNCTION("""COMPUTED_VALUE"""),"")</f>
        <v/>
      </c>
      <c r="C22212" s="12" t="str">
        <f ca="1">IFERROR(__xludf.DUMMYFUNCTION("""COMPUTED_VALUE"""),"")</f>
        <v/>
      </c>
      <c r="D22212" s="12" t="str">
        <f ca="1">IFERROR(__xludf.DUMMYFUNCTION("""COMPUTED_VALUE"""),"")</f>
        <v/>
      </c>
    </row>
    <row r="22213" spans="2:4" ht="13">
      <c r="B22213" s="12" t="str">
        <f ca="1">IFERROR(__xludf.DUMMYFUNCTION("""COMPUTED_VALUE"""),"")</f>
        <v/>
      </c>
      <c r="C22213" s="12" t="str">
        <f ca="1">IFERROR(__xludf.DUMMYFUNCTION("""COMPUTED_VALUE"""),"")</f>
        <v/>
      </c>
      <c r="D22213" s="12" t="str">
        <f ca="1">IFERROR(__xludf.DUMMYFUNCTION("""COMPUTED_VALUE"""),"")</f>
        <v/>
      </c>
    </row>
    <row r="22214" spans="2:4" ht="13">
      <c r="B22214" s="12" t="str">
        <f ca="1">IFERROR(__xludf.DUMMYFUNCTION("""COMPUTED_VALUE"""),"")</f>
        <v/>
      </c>
      <c r="C22214" s="12" t="str">
        <f ca="1">IFERROR(__xludf.DUMMYFUNCTION("""COMPUTED_VALUE"""),"")</f>
        <v/>
      </c>
      <c r="D22214" s="12" t="str">
        <f ca="1">IFERROR(__xludf.DUMMYFUNCTION("""COMPUTED_VALUE"""),"")</f>
        <v/>
      </c>
    </row>
    <row r="22215" spans="2:4" ht="13">
      <c r="B22215" s="12" t="str">
        <f ca="1">IFERROR(__xludf.DUMMYFUNCTION("""COMPUTED_VALUE"""),"")</f>
        <v/>
      </c>
      <c r="C22215" s="12" t="str">
        <f ca="1">IFERROR(__xludf.DUMMYFUNCTION("""COMPUTED_VALUE"""),"")</f>
        <v/>
      </c>
      <c r="D22215" s="12" t="str">
        <f ca="1">IFERROR(__xludf.DUMMYFUNCTION("""COMPUTED_VALUE"""),"")</f>
        <v/>
      </c>
    </row>
    <row r="22216" spans="2:4" ht="13">
      <c r="B22216" s="12" t="str">
        <f ca="1">IFERROR(__xludf.DUMMYFUNCTION("""COMPUTED_VALUE"""),"")</f>
        <v/>
      </c>
      <c r="C22216" s="12" t="str">
        <f ca="1">IFERROR(__xludf.DUMMYFUNCTION("""COMPUTED_VALUE"""),"")</f>
        <v/>
      </c>
      <c r="D22216" s="12" t="str">
        <f ca="1">IFERROR(__xludf.DUMMYFUNCTION("""COMPUTED_VALUE"""),"")</f>
        <v/>
      </c>
    </row>
    <row r="22217" spans="2:4" ht="13">
      <c r="B22217" s="12" t="str">
        <f ca="1">IFERROR(__xludf.DUMMYFUNCTION("""COMPUTED_VALUE"""),"")</f>
        <v/>
      </c>
      <c r="C22217" s="12" t="str">
        <f ca="1">IFERROR(__xludf.DUMMYFUNCTION("""COMPUTED_VALUE"""),"")</f>
        <v/>
      </c>
      <c r="D22217" s="12" t="str">
        <f ca="1">IFERROR(__xludf.DUMMYFUNCTION("""COMPUTED_VALUE"""),"")</f>
        <v/>
      </c>
    </row>
    <row r="22218" spans="2:4" ht="13">
      <c r="B22218" s="12" t="str">
        <f ca="1">IFERROR(__xludf.DUMMYFUNCTION("""COMPUTED_VALUE"""),"")</f>
        <v/>
      </c>
      <c r="C22218" s="12" t="str">
        <f ca="1">IFERROR(__xludf.DUMMYFUNCTION("""COMPUTED_VALUE"""),"")</f>
        <v/>
      </c>
      <c r="D22218" s="12" t="str">
        <f ca="1">IFERROR(__xludf.DUMMYFUNCTION("""COMPUTED_VALUE"""),"")</f>
        <v/>
      </c>
    </row>
    <row r="22219" spans="2:4" ht="13">
      <c r="B22219" s="12" t="str">
        <f ca="1">IFERROR(__xludf.DUMMYFUNCTION("""COMPUTED_VALUE"""),"")</f>
        <v/>
      </c>
      <c r="C22219" s="12" t="str">
        <f ca="1">IFERROR(__xludf.DUMMYFUNCTION("""COMPUTED_VALUE"""),"")</f>
        <v/>
      </c>
      <c r="D22219" s="12" t="str">
        <f ca="1">IFERROR(__xludf.DUMMYFUNCTION("""COMPUTED_VALUE"""),"")</f>
        <v/>
      </c>
    </row>
    <row r="22220" spans="2:4" ht="13">
      <c r="B22220" s="12" t="str">
        <f ca="1">IFERROR(__xludf.DUMMYFUNCTION("""COMPUTED_VALUE"""),"")</f>
        <v/>
      </c>
      <c r="C22220" s="12" t="str">
        <f ca="1">IFERROR(__xludf.DUMMYFUNCTION("""COMPUTED_VALUE"""),"")</f>
        <v/>
      </c>
      <c r="D22220" s="12" t="str">
        <f ca="1">IFERROR(__xludf.DUMMYFUNCTION("""COMPUTED_VALUE"""),"")</f>
        <v/>
      </c>
    </row>
    <row r="22221" spans="2:4" ht="13">
      <c r="B22221" s="12" t="str">
        <f ca="1">IFERROR(__xludf.DUMMYFUNCTION("""COMPUTED_VALUE"""),"")</f>
        <v/>
      </c>
      <c r="C22221" s="12" t="str">
        <f ca="1">IFERROR(__xludf.DUMMYFUNCTION("""COMPUTED_VALUE"""),"")</f>
        <v/>
      </c>
      <c r="D22221" s="12" t="str">
        <f ca="1">IFERROR(__xludf.DUMMYFUNCTION("""COMPUTED_VALUE"""),"")</f>
        <v/>
      </c>
    </row>
    <row r="22222" spans="2:4" ht="13">
      <c r="B22222" s="12" t="str">
        <f ca="1">IFERROR(__xludf.DUMMYFUNCTION("""COMPUTED_VALUE"""),"")</f>
        <v/>
      </c>
      <c r="C22222" s="12" t="str">
        <f ca="1">IFERROR(__xludf.DUMMYFUNCTION("""COMPUTED_VALUE"""),"")</f>
        <v/>
      </c>
      <c r="D22222" s="12" t="str">
        <f ca="1">IFERROR(__xludf.DUMMYFUNCTION("""COMPUTED_VALUE"""),"")</f>
        <v/>
      </c>
    </row>
    <row r="22223" spans="2:4" ht="13">
      <c r="B22223" s="12" t="str">
        <f ca="1">IFERROR(__xludf.DUMMYFUNCTION("""COMPUTED_VALUE"""),"")</f>
        <v/>
      </c>
      <c r="C22223" s="12" t="str">
        <f ca="1">IFERROR(__xludf.DUMMYFUNCTION("""COMPUTED_VALUE"""),"")</f>
        <v/>
      </c>
      <c r="D22223" s="12" t="str">
        <f ca="1">IFERROR(__xludf.DUMMYFUNCTION("""COMPUTED_VALUE"""),"")</f>
        <v/>
      </c>
    </row>
    <row r="22224" spans="2:4" ht="13">
      <c r="B22224" s="12" t="str">
        <f ca="1">IFERROR(__xludf.DUMMYFUNCTION("""COMPUTED_VALUE"""),"")</f>
        <v/>
      </c>
      <c r="C22224" s="12" t="str">
        <f ca="1">IFERROR(__xludf.DUMMYFUNCTION("""COMPUTED_VALUE"""),"")</f>
        <v/>
      </c>
      <c r="D22224" s="12" t="str">
        <f ca="1">IFERROR(__xludf.DUMMYFUNCTION("""COMPUTED_VALUE"""),"")</f>
        <v/>
      </c>
    </row>
    <row r="22225" spans="2:4" ht="13">
      <c r="B22225" s="12" t="str">
        <f ca="1">IFERROR(__xludf.DUMMYFUNCTION("""COMPUTED_VALUE"""),"")</f>
        <v/>
      </c>
      <c r="C22225" s="12" t="str">
        <f ca="1">IFERROR(__xludf.DUMMYFUNCTION("""COMPUTED_VALUE"""),"")</f>
        <v/>
      </c>
      <c r="D22225" s="12" t="str">
        <f ca="1">IFERROR(__xludf.DUMMYFUNCTION("""COMPUTED_VALUE"""),"")</f>
        <v/>
      </c>
    </row>
    <row r="22226" spans="2:4" ht="13">
      <c r="B22226" s="12" t="str">
        <f ca="1">IFERROR(__xludf.DUMMYFUNCTION("""COMPUTED_VALUE"""),"")</f>
        <v/>
      </c>
      <c r="C22226" s="12" t="str">
        <f ca="1">IFERROR(__xludf.DUMMYFUNCTION("""COMPUTED_VALUE"""),"")</f>
        <v/>
      </c>
      <c r="D22226" s="12" t="str">
        <f ca="1">IFERROR(__xludf.DUMMYFUNCTION("""COMPUTED_VALUE"""),"")</f>
        <v/>
      </c>
    </row>
    <row r="22227" spans="2:4" ht="13">
      <c r="B22227" s="12" t="str">
        <f ca="1">IFERROR(__xludf.DUMMYFUNCTION("""COMPUTED_VALUE"""),"")</f>
        <v/>
      </c>
      <c r="C22227" s="12" t="str">
        <f ca="1">IFERROR(__xludf.DUMMYFUNCTION("""COMPUTED_VALUE"""),"")</f>
        <v/>
      </c>
      <c r="D22227" s="12" t="str">
        <f ca="1">IFERROR(__xludf.DUMMYFUNCTION("""COMPUTED_VALUE"""),"")</f>
        <v/>
      </c>
    </row>
    <row r="22228" spans="2:4" ht="13">
      <c r="B22228" s="12" t="str">
        <f ca="1">IFERROR(__xludf.DUMMYFUNCTION("""COMPUTED_VALUE"""),"")</f>
        <v/>
      </c>
      <c r="C22228" s="12" t="str">
        <f ca="1">IFERROR(__xludf.DUMMYFUNCTION("""COMPUTED_VALUE"""),"")</f>
        <v/>
      </c>
      <c r="D22228" s="12" t="str">
        <f ca="1">IFERROR(__xludf.DUMMYFUNCTION("""COMPUTED_VALUE"""),"")</f>
        <v/>
      </c>
    </row>
    <row r="22229" spans="2:4" ht="13">
      <c r="B22229" s="12" t="str">
        <f ca="1">IFERROR(__xludf.DUMMYFUNCTION("""COMPUTED_VALUE"""),"")</f>
        <v/>
      </c>
      <c r="C22229" s="12" t="str">
        <f ca="1">IFERROR(__xludf.DUMMYFUNCTION("""COMPUTED_VALUE"""),"")</f>
        <v/>
      </c>
      <c r="D22229" s="12" t="str">
        <f ca="1">IFERROR(__xludf.DUMMYFUNCTION("""COMPUTED_VALUE"""),"")</f>
        <v/>
      </c>
    </row>
    <row r="22230" spans="2:4" ht="13">
      <c r="B22230" s="12" t="str">
        <f ca="1">IFERROR(__xludf.DUMMYFUNCTION("""COMPUTED_VALUE"""),"")</f>
        <v/>
      </c>
      <c r="C22230" s="12" t="str">
        <f ca="1">IFERROR(__xludf.DUMMYFUNCTION("""COMPUTED_VALUE"""),"")</f>
        <v/>
      </c>
      <c r="D22230" s="12" t="str">
        <f ca="1">IFERROR(__xludf.DUMMYFUNCTION("""COMPUTED_VALUE"""),"")</f>
        <v/>
      </c>
    </row>
    <row r="22231" spans="2:4" ht="13">
      <c r="B22231" s="12" t="str">
        <f ca="1">IFERROR(__xludf.DUMMYFUNCTION("""COMPUTED_VALUE"""),"")</f>
        <v/>
      </c>
      <c r="C22231" s="12" t="str">
        <f ca="1">IFERROR(__xludf.DUMMYFUNCTION("""COMPUTED_VALUE"""),"")</f>
        <v/>
      </c>
      <c r="D22231" s="12" t="str">
        <f ca="1">IFERROR(__xludf.DUMMYFUNCTION("""COMPUTED_VALUE"""),"")</f>
        <v/>
      </c>
    </row>
    <row r="22232" spans="2:4" ht="13">
      <c r="B22232" s="12" t="str">
        <f ca="1">IFERROR(__xludf.DUMMYFUNCTION("""COMPUTED_VALUE"""),"")</f>
        <v/>
      </c>
      <c r="C22232" s="12" t="str">
        <f ca="1">IFERROR(__xludf.DUMMYFUNCTION("""COMPUTED_VALUE"""),"")</f>
        <v/>
      </c>
      <c r="D22232" s="12" t="str">
        <f ca="1">IFERROR(__xludf.DUMMYFUNCTION("""COMPUTED_VALUE"""),"")</f>
        <v/>
      </c>
    </row>
    <row r="22233" spans="2:4" ht="13">
      <c r="B22233" s="12" t="str">
        <f ca="1">IFERROR(__xludf.DUMMYFUNCTION("""COMPUTED_VALUE"""),"")</f>
        <v/>
      </c>
      <c r="C22233" s="12" t="str">
        <f ca="1">IFERROR(__xludf.DUMMYFUNCTION("""COMPUTED_VALUE"""),"")</f>
        <v/>
      </c>
      <c r="D22233" s="12" t="str">
        <f ca="1">IFERROR(__xludf.DUMMYFUNCTION("""COMPUTED_VALUE"""),"")</f>
        <v/>
      </c>
    </row>
    <row r="22234" spans="2:4" ht="13">
      <c r="B22234" s="12" t="str">
        <f ca="1">IFERROR(__xludf.DUMMYFUNCTION("""COMPUTED_VALUE"""),"")</f>
        <v/>
      </c>
      <c r="C22234" s="12" t="str">
        <f ca="1">IFERROR(__xludf.DUMMYFUNCTION("""COMPUTED_VALUE"""),"")</f>
        <v/>
      </c>
      <c r="D22234" s="12" t="str">
        <f ca="1">IFERROR(__xludf.DUMMYFUNCTION("""COMPUTED_VALUE"""),"")</f>
        <v/>
      </c>
    </row>
    <row r="22235" spans="2:4" ht="13">
      <c r="B22235" s="12" t="str">
        <f ca="1">IFERROR(__xludf.DUMMYFUNCTION("""COMPUTED_VALUE"""),"")</f>
        <v/>
      </c>
      <c r="C22235" s="12" t="str">
        <f ca="1">IFERROR(__xludf.DUMMYFUNCTION("""COMPUTED_VALUE"""),"")</f>
        <v/>
      </c>
      <c r="D22235" s="12" t="str">
        <f ca="1">IFERROR(__xludf.DUMMYFUNCTION("""COMPUTED_VALUE"""),"")</f>
        <v/>
      </c>
    </row>
    <row r="22236" spans="2:4" ht="13">
      <c r="B22236" s="12" t="str">
        <f ca="1">IFERROR(__xludf.DUMMYFUNCTION("""COMPUTED_VALUE"""),"")</f>
        <v/>
      </c>
      <c r="C22236" s="12" t="str">
        <f ca="1">IFERROR(__xludf.DUMMYFUNCTION("""COMPUTED_VALUE"""),"")</f>
        <v/>
      </c>
      <c r="D22236" s="12" t="str">
        <f ca="1">IFERROR(__xludf.DUMMYFUNCTION("""COMPUTED_VALUE"""),"")</f>
        <v/>
      </c>
    </row>
    <row r="22237" spans="2:4" ht="13">
      <c r="B22237" s="12" t="str">
        <f ca="1">IFERROR(__xludf.DUMMYFUNCTION("""COMPUTED_VALUE"""),"")</f>
        <v/>
      </c>
      <c r="C22237" s="12" t="str">
        <f ca="1">IFERROR(__xludf.DUMMYFUNCTION("""COMPUTED_VALUE"""),"")</f>
        <v/>
      </c>
      <c r="D22237" s="12" t="str">
        <f ca="1">IFERROR(__xludf.DUMMYFUNCTION("""COMPUTED_VALUE"""),"")</f>
        <v/>
      </c>
    </row>
    <row r="22238" spans="2:4" ht="13">
      <c r="B22238" s="12" t="str">
        <f ca="1">IFERROR(__xludf.DUMMYFUNCTION("""COMPUTED_VALUE"""),"")</f>
        <v/>
      </c>
      <c r="C22238" s="12" t="str">
        <f ca="1">IFERROR(__xludf.DUMMYFUNCTION("""COMPUTED_VALUE"""),"")</f>
        <v/>
      </c>
      <c r="D22238" s="12" t="str">
        <f ca="1">IFERROR(__xludf.DUMMYFUNCTION("""COMPUTED_VALUE"""),"")</f>
        <v/>
      </c>
    </row>
    <row r="22239" spans="2:4" ht="13">
      <c r="B22239" s="12" t="str">
        <f ca="1">IFERROR(__xludf.DUMMYFUNCTION("""COMPUTED_VALUE"""),"")</f>
        <v/>
      </c>
      <c r="C22239" s="12" t="str">
        <f ca="1">IFERROR(__xludf.DUMMYFUNCTION("""COMPUTED_VALUE"""),"")</f>
        <v/>
      </c>
      <c r="D22239" s="12" t="str">
        <f ca="1">IFERROR(__xludf.DUMMYFUNCTION("""COMPUTED_VALUE"""),"")</f>
        <v/>
      </c>
    </row>
    <row r="22240" spans="2:4" ht="13">
      <c r="B22240" s="12" t="str">
        <f ca="1">IFERROR(__xludf.DUMMYFUNCTION("""COMPUTED_VALUE"""),"")</f>
        <v/>
      </c>
      <c r="C22240" s="12" t="str">
        <f ca="1">IFERROR(__xludf.DUMMYFUNCTION("""COMPUTED_VALUE"""),"")</f>
        <v/>
      </c>
      <c r="D22240" s="12" t="str">
        <f ca="1">IFERROR(__xludf.DUMMYFUNCTION("""COMPUTED_VALUE"""),"")</f>
        <v/>
      </c>
    </row>
    <row r="22241" spans="2:4" ht="13">
      <c r="B22241" s="12" t="str">
        <f ca="1">IFERROR(__xludf.DUMMYFUNCTION("""COMPUTED_VALUE"""),"")</f>
        <v/>
      </c>
      <c r="C22241" s="12" t="str">
        <f ca="1">IFERROR(__xludf.DUMMYFUNCTION("""COMPUTED_VALUE"""),"")</f>
        <v/>
      </c>
      <c r="D22241" s="12" t="str">
        <f ca="1">IFERROR(__xludf.DUMMYFUNCTION("""COMPUTED_VALUE"""),"")</f>
        <v/>
      </c>
    </row>
    <row r="22242" spans="2:4" ht="13">
      <c r="B22242" s="12" t="str">
        <f ca="1">IFERROR(__xludf.DUMMYFUNCTION("""COMPUTED_VALUE"""),"")</f>
        <v/>
      </c>
      <c r="C22242" s="12" t="str">
        <f ca="1">IFERROR(__xludf.DUMMYFUNCTION("""COMPUTED_VALUE"""),"")</f>
        <v/>
      </c>
      <c r="D22242" s="12" t="str">
        <f ca="1">IFERROR(__xludf.DUMMYFUNCTION("""COMPUTED_VALUE"""),"")</f>
        <v/>
      </c>
    </row>
    <row r="22243" spans="2:4" ht="13">
      <c r="B22243" s="12" t="str">
        <f ca="1">IFERROR(__xludf.DUMMYFUNCTION("""COMPUTED_VALUE"""),"")</f>
        <v/>
      </c>
      <c r="C22243" s="12" t="str">
        <f ca="1">IFERROR(__xludf.DUMMYFUNCTION("""COMPUTED_VALUE"""),"")</f>
        <v/>
      </c>
      <c r="D22243" s="12" t="str">
        <f ca="1">IFERROR(__xludf.DUMMYFUNCTION("""COMPUTED_VALUE"""),"")</f>
        <v/>
      </c>
    </row>
    <row r="22244" spans="2:4" ht="13">
      <c r="B22244" s="12" t="str">
        <f ca="1">IFERROR(__xludf.DUMMYFUNCTION("""COMPUTED_VALUE"""),"")</f>
        <v/>
      </c>
      <c r="C22244" s="12" t="str">
        <f ca="1">IFERROR(__xludf.DUMMYFUNCTION("""COMPUTED_VALUE"""),"")</f>
        <v/>
      </c>
      <c r="D22244" s="12" t="str">
        <f ca="1">IFERROR(__xludf.DUMMYFUNCTION("""COMPUTED_VALUE"""),"")</f>
        <v/>
      </c>
    </row>
    <row r="22245" spans="2:4" ht="13">
      <c r="B22245" s="12" t="str">
        <f ca="1">IFERROR(__xludf.DUMMYFUNCTION("""COMPUTED_VALUE"""),"")</f>
        <v/>
      </c>
      <c r="C22245" s="12" t="str">
        <f ca="1">IFERROR(__xludf.DUMMYFUNCTION("""COMPUTED_VALUE"""),"")</f>
        <v/>
      </c>
      <c r="D22245" s="12" t="str">
        <f ca="1">IFERROR(__xludf.DUMMYFUNCTION("""COMPUTED_VALUE"""),"")</f>
        <v/>
      </c>
    </row>
    <row r="22246" spans="2:4" ht="13">
      <c r="B22246" s="12" t="str">
        <f ca="1">IFERROR(__xludf.DUMMYFUNCTION("""COMPUTED_VALUE"""),"")</f>
        <v/>
      </c>
      <c r="C22246" s="12" t="str">
        <f ca="1">IFERROR(__xludf.DUMMYFUNCTION("""COMPUTED_VALUE"""),"")</f>
        <v/>
      </c>
      <c r="D22246" s="12" t="str">
        <f ca="1">IFERROR(__xludf.DUMMYFUNCTION("""COMPUTED_VALUE"""),"")</f>
        <v/>
      </c>
    </row>
    <row r="22247" spans="2:4" ht="13">
      <c r="B22247" s="12" t="str">
        <f ca="1">IFERROR(__xludf.DUMMYFUNCTION("""COMPUTED_VALUE"""),"")</f>
        <v/>
      </c>
      <c r="C22247" s="12" t="str">
        <f ca="1">IFERROR(__xludf.DUMMYFUNCTION("""COMPUTED_VALUE"""),"")</f>
        <v/>
      </c>
      <c r="D22247" s="12" t="str">
        <f ca="1">IFERROR(__xludf.DUMMYFUNCTION("""COMPUTED_VALUE"""),"")</f>
        <v/>
      </c>
    </row>
    <row r="22248" spans="2:4" ht="13">
      <c r="B22248" s="12" t="str">
        <f ca="1">IFERROR(__xludf.DUMMYFUNCTION("""COMPUTED_VALUE"""),"")</f>
        <v/>
      </c>
      <c r="C22248" s="12" t="str">
        <f ca="1">IFERROR(__xludf.DUMMYFUNCTION("""COMPUTED_VALUE"""),"")</f>
        <v/>
      </c>
      <c r="D22248" s="12" t="str">
        <f ca="1">IFERROR(__xludf.DUMMYFUNCTION("""COMPUTED_VALUE"""),"")</f>
        <v/>
      </c>
    </row>
    <row r="22249" spans="2:4" ht="13">
      <c r="B22249" s="12" t="str">
        <f ca="1">IFERROR(__xludf.DUMMYFUNCTION("""COMPUTED_VALUE"""),"")</f>
        <v/>
      </c>
      <c r="C22249" s="12" t="str">
        <f ca="1">IFERROR(__xludf.DUMMYFUNCTION("""COMPUTED_VALUE"""),"")</f>
        <v/>
      </c>
      <c r="D22249" s="12" t="str">
        <f ca="1">IFERROR(__xludf.DUMMYFUNCTION("""COMPUTED_VALUE"""),"")</f>
        <v/>
      </c>
    </row>
    <row r="22250" spans="2:4" ht="13">
      <c r="B22250" s="12" t="str">
        <f ca="1">IFERROR(__xludf.DUMMYFUNCTION("""COMPUTED_VALUE"""),"")</f>
        <v/>
      </c>
      <c r="C22250" s="12" t="str">
        <f ca="1">IFERROR(__xludf.DUMMYFUNCTION("""COMPUTED_VALUE"""),"")</f>
        <v/>
      </c>
      <c r="D22250" s="12" t="str">
        <f ca="1">IFERROR(__xludf.DUMMYFUNCTION("""COMPUTED_VALUE"""),"")</f>
        <v/>
      </c>
    </row>
    <row r="22251" spans="2:4" ht="13">
      <c r="B22251" s="12" t="str">
        <f ca="1">IFERROR(__xludf.DUMMYFUNCTION("""COMPUTED_VALUE"""),"")</f>
        <v/>
      </c>
      <c r="C22251" s="12" t="str">
        <f ca="1">IFERROR(__xludf.DUMMYFUNCTION("""COMPUTED_VALUE"""),"")</f>
        <v/>
      </c>
      <c r="D22251" s="12" t="str">
        <f ca="1">IFERROR(__xludf.DUMMYFUNCTION("""COMPUTED_VALUE"""),"")</f>
        <v/>
      </c>
    </row>
    <row r="22252" spans="2:4" ht="13">
      <c r="B22252" s="12" t="str">
        <f ca="1">IFERROR(__xludf.DUMMYFUNCTION("""COMPUTED_VALUE"""),"")</f>
        <v/>
      </c>
      <c r="C22252" s="12" t="str">
        <f ca="1">IFERROR(__xludf.DUMMYFUNCTION("""COMPUTED_VALUE"""),"")</f>
        <v/>
      </c>
      <c r="D22252" s="12" t="str">
        <f ca="1">IFERROR(__xludf.DUMMYFUNCTION("""COMPUTED_VALUE"""),"")</f>
        <v/>
      </c>
    </row>
    <row r="22253" spans="2:4" ht="13">
      <c r="B22253" s="12" t="str">
        <f ca="1">IFERROR(__xludf.DUMMYFUNCTION("""COMPUTED_VALUE"""),"")</f>
        <v/>
      </c>
      <c r="C22253" s="12" t="str">
        <f ca="1">IFERROR(__xludf.DUMMYFUNCTION("""COMPUTED_VALUE"""),"")</f>
        <v/>
      </c>
      <c r="D22253" s="12" t="str">
        <f ca="1">IFERROR(__xludf.DUMMYFUNCTION("""COMPUTED_VALUE"""),"")</f>
        <v/>
      </c>
    </row>
    <row r="22254" spans="2:4" ht="13">
      <c r="B22254" s="12" t="str">
        <f ca="1">IFERROR(__xludf.DUMMYFUNCTION("""COMPUTED_VALUE"""),"")</f>
        <v/>
      </c>
      <c r="C22254" s="12" t="str">
        <f ca="1">IFERROR(__xludf.DUMMYFUNCTION("""COMPUTED_VALUE"""),"")</f>
        <v/>
      </c>
      <c r="D22254" s="12" t="str">
        <f ca="1">IFERROR(__xludf.DUMMYFUNCTION("""COMPUTED_VALUE"""),"")</f>
        <v/>
      </c>
    </row>
    <row r="22255" spans="2:4" ht="13">
      <c r="B22255" s="12" t="str">
        <f ca="1">IFERROR(__xludf.DUMMYFUNCTION("""COMPUTED_VALUE"""),"")</f>
        <v/>
      </c>
      <c r="C22255" s="12" t="str">
        <f ca="1">IFERROR(__xludf.DUMMYFUNCTION("""COMPUTED_VALUE"""),"")</f>
        <v/>
      </c>
      <c r="D22255" s="12" t="str">
        <f ca="1">IFERROR(__xludf.DUMMYFUNCTION("""COMPUTED_VALUE"""),"")</f>
        <v/>
      </c>
    </row>
    <row r="22256" spans="2:4" ht="13">
      <c r="B22256" s="12" t="str">
        <f ca="1">IFERROR(__xludf.DUMMYFUNCTION("""COMPUTED_VALUE"""),"")</f>
        <v/>
      </c>
      <c r="C22256" s="12" t="str">
        <f ca="1">IFERROR(__xludf.DUMMYFUNCTION("""COMPUTED_VALUE"""),"")</f>
        <v/>
      </c>
      <c r="D22256" s="12" t="str">
        <f ca="1">IFERROR(__xludf.DUMMYFUNCTION("""COMPUTED_VALUE"""),"")</f>
        <v/>
      </c>
    </row>
    <row r="22257" spans="2:4" ht="13">
      <c r="B22257" s="12" t="str">
        <f ca="1">IFERROR(__xludf.DUMMYFUNCTION("""COMPUTED_VALUE"""),"")</f>
        <v/>
      </c>
      <c r="C22257" s="12" t="str">
        <f ca="1">IFERROR(__xludf.DUMMYFUNCTION("""COMPUTED_VALUE"""),"")</f>
        <v/>
      </c>
      <c r="D22257" s="12" t="str">
        <f ca="1">IFERROR(__xludf.DUMMYFUNCTION("""COMPUTED_VALUE"""),"")</f>
        <v/>
      </c>
    </row>
    <row r="22258" spans="2:4" ht="13">
      <c r="B22258" s="12" t="str">
        <f ca="1">IFERROR(__xludf.DUMMYFUNCTION("""COMPUTED_VALUE"""),"")</f>
        <v/>
      </c>
      <c r="C22258" s="12" t="str">
        <f ca="1">IFERROR(__xludf.DUMMYFUNCTION("""COMPUTED_VALUE"""),"")</f>
        <v/>
      </c>
      <c r="D22258" s="12" t="str">
        <f ca="1">IFERROR(__xludf.DUMMYFUNCTION("""COMPUTED_VALUE"""),"")</f>
        <v/>
      </c>
    </row>
    <row r="22259" spans="2:4" ht="13">
      <c r="B22259" s="12" t="str">
        <f ca="1">IFERROR(__xludf.DUMMYFUNCTION("""COMPUTED_VALUE"""),"")</f>
        <v/>
      </c>
      <c r="C22259" s="12" t="str">
        <f ca="1">IFERROR(__xludf.DUMMYFUNCTION("""COMPUTED_VALUE"""),"")</f>
        <v/>
      </c>
      <c r="D22259" s="12" t="str">
        <f ca="1">IFERROR(__xludf.DUMMYFUNCTION("""COMPUTED_VALUE"""),"")</f>
        <v/>
      </c>
    </row>
    <row r="22260" spans="2:4" ht="13">
      <c r="B22260" s="12" t="str">
        <f ca="1">IFERROR(__xludf.DUMMYFUNCTION("""COMPUTED_VALUE"""),"")</f>
        <v/>
      </c>
      <c r="C22260" s="12" t="str">
        <f ca="1">IFERROR(__xludf.DUMMYFUNCTION("""COMPUTED_VALUE"""),"")</f>
        <v/>
      </c>
      <c r="D22260" s="12" t="str">
        <f ca="1">IFERROR(__xludf.DUMMYFUNCTION("""COMPUTED_VALUE"""),"")</f>
        <v/>
      </c>
    </row>
    <row r="22261" spans="2:4" ht="13">
      <c r="B22261" s="12" t="str">
        <f ca="1">IFERROR(__xludf.DUMMYFUNCTION("""COMPUTED_VALUE"""),"")</f>
        <v/>
      </c>
      <c r="C22261" s="12" t="str">
        <f ca="1">IFERROR(__xludf.DUMMYFUNCTION("""COMPUTED_VALUE"""),"")</f>
        <v/>
      </c>
      <c r="D22261" s="12" t="str">
        <f ca="1">IFERROR(__xludf.DUMMYFUNCTION("""COMPUTED_VALUE"""),"")</f>
        <v/>
      </c>
    </row>
    <row r="22262" spans="2:4" ht="13">
      <c r="B22262" s="12" t="str">
        <f ca="1">IFERROR(__xludf.DUMMYFUNCTION("""COMPUTED_VALUE"""),"")</f>
        <v/>
      </c>
      <c r="C22262" s="12" t="str">
        <f ca="1">IFERROR(__xludf.DUMMYFUNCTION("""COMPUTED_VALUE"""),"")</f>
        <v/>
      </c>
      <c r="D22262" s="12" t="str">
        <f ca="1">IFERROR(__xludf.DUMMYFUNCTION("""COMPUTED_VALUE"""),"")</f>
        <v/>
      </c>
    </row>
    <row r="22263" spans="2:4" ht="13">
      <c r="B22263" s="12" t="str">
        <f ca="1">IFERROR(__xludf.DUMMYFUNCTION("""COMPUTED_VALUE"""),"")</f>
        <v/>
      </c>
      <c r="C22263" s="12" t="str">
        <f ca="1">IFERROR(__xludf.DUMMYFUNCTION("""COMPUTED_VALUE"""),"")</f>
        <v/>
      </c>
      <c r="D22263" s="12" t="str">
        <f ca="1">IFERROR(__xludf.DUMMYFUNCTION("""COMPUTED_VALUE"""),"")</f>
        <v/>
      </c>
    </row>
    <row r="22264" spans="2:4" ht="13">
      <c r="B22264" s="12" t="str">
        <f ca="1">IFERROR(__xludf.DUMMYFUNCTION("""COMPUTED_VALUE"""),"")</f>
        <v/>
      </c>
      <c r="C22264" s="12" t="str">
        <f ca="1">IFERROR(__xludf.DUMMYFUNCTION("""COMPUTED_VALUE"""),"")</f>
        <v/>
      </c>
      <c r="D22264" s="12" t="str">
        <f ca="1">IFERROR(__xludf.DUMMYFUNCTION("""COMPUTED_VALUE"""),"")</f>
        <v/>
      </c>
    </row>
    <row r="22265" spans="2:4" ht="13">
      <c r="B22265" s="12" t="str">
        <f ca="1">IFERROR(__xludf.DUMMYFUNCTION("""COMPUTED_VALUE"""),"")</f>
        <v/>
      </c>
      <c r="C22265" s="12" t="str">
        <f ca="1">IFERROR(__xludf.DUMMYFUNCTION("""COMPUTED_VALUE"""),"")</f>
        <v/>
      </c>
      <c r="D22265" s="12" t="str">
        <f ca="1">IFERROR(__xludf.DUMMYFUNCTION("""COMPUTED_VALUE"""),"")</f>
        <v/>
      </c>
    </row>
    <row r="22266" spans="2:4" ht="13">
      <c r="B22266" s="12" t="str">
        <f ca="1">IFERROR(__xludf.DUMMYFUNCTION("""COMPUTED_VALUE"""),"")</f>
        <v/>
      </c>
      <c r="C22266" s="12" t="str">
        <f ca="1">IFERROR(__xludf.DUMMYFUNCTION("""COMPUTED_VALUE"""),"")</f>
        <v/>
      </c>
      <c r="D22266" s="12" t="str">
        <f ca="1">IFERROR(__xludf.DUMMYFUNCTION("""COMPUTED_VALUE"""),"")</f>
        <v/>
      </c>
    </row>
    <row r="22267" spans="2:4" ht="13">
      <c r="B22267" s="12" t="str">
        <f ca="1">IFERROR(__xludf.DUMMYFUNCTION("""COMPUTED_VALUE"""),"")</f>
        <v/>
      </c>
      <c r="C22267" s="12" t="str">
        <f ca="1">IFERROR(__xludf.DUMMYFUNCTION("""COMPUTED_VALUE"""),"")</f>
        <v/>
      </c>
      <c r="D22267" s="12" t="str">
        <f ca="1">IFERROR(__xludf.DUMMYFUNCTION("""COMPUTED_VALUE"""),"")</f>
        <v/>
      </c>
    </row>
    <row r="22268" spans="2:4" ht="13">
      <c r="B22268" s="12" t="str">
        <f ca="1">IFERROR(__xludf.DUMMYFUNCTION("""COMPUTED_VALUE"""),"")</f>
        <v/>
      </c>
      <c r="C22268" s="12" t="str">
        <f ca="1">IFERROR(__xludf.DUMMYFUNCTION("""COMPUTED_VALUE"""),"")</f>
        <v/>
      </c>
      <c r="D22268" s="12" t="str">
        <f ca="1">IFERROR(__xludf.DUMMYFUNCTION("""COMPUTED_VALUE"""),"")</f>
        <v/>
      </c>
    </row>
    <row r="22269" spans="2:4" ht="13">
      <c r="B22269" s="12" t="str">
        <f ca="1">IFERROR(__xludf.DUMMYFUNCTION("""COMPUTED_VALUE"""),"")</f>
        <v/>
      </c>
      <c r="C22269" s="12" t="str">
        <f ca="1">IFERROR(__xludf.DUMMYFUNCTION("""COMPUTED_VALUE"""),"")</f>
        <v/>
      </c>
      <c r="D22269" s="12" t="str">
        <f ca="1">IFERROR(__xludf.DUMMYFUNCTION("""COMPUTED_VALUE"""),"")</f>
        <v/>
      </c>
    </row>
    <row r="22270" spans="2:4" ht="13">
      <c r="B22270" s="12" t="str">
        <f ca="1">IFERROR(__xludf.DUMMYFUNCTION("""COMPUTED_VALUE"""),"")</f>
        <v/>
      </c>
      <c r="C22270" s="12" t="str">
        <f ca="1">IFERROR(__xludf.DUMMYFUNCTION("""COMPUTED_VALUE"""),"")</f>
        <v/>
      </c>
      <c r="D22270" s="12" t="str">
        <f ca="1">IFERROR(__xludf.DUMMYFUNCTION("""COMPUTED_VALUE"""),"")</f>
        <v/>
      </c>
    </row>
    <row r="22271" spans="2:4" ht="13">
      <c r="B22271" s="12" t="str">
        <f ca="1">IFERROR(__xludf.DUMMYFUNCTION("""COMPUTED_VALUE"""),"")</f>
        <v/>
      </c>
      <c r="C22271" s="12" t="str">
        <f ca="1">IFERROR(__xludf.DUMMYFUNCTION("""COMPUTED_VALUE"""),"")</f>
        <v/>
      </c>
      <c r="D22271" s="12" t="str">
        <f ca="1">IFERROR(__xludf.DUMMYFUNCTION("""COMPUTED_VALUE"""),"")</f>
        <v/>
      </c>
    </row>
    <row r="22272" spans="2:4" ht="13">
      <c r="B22272" s="12" t="str">
        <f ca="1">IFERROR(__xludf.DUMMYFUNCTION("""COMPUTED_VALUE"""),"")</f>
        <v/>
      </c>
      <c r="C22272" s="12" t="str">
        <f ca="1">IFERROR(__xludf.DUMMYFUNCTION("""COMPUTED_VALUE"""),"")</f>
        <v/>
      </c>
      <c r="D22272" s="12" t="str">
        <f ca="1">IFERROR(__xludf.DUMMYFUNCTION("""COMPUTED_VALUE"""),"")</f>
        <v/>
      </c>
    </row>
    <row r="22273" spans="2:4" ht="13">
      <c r="B22273" s="12" t="str">
        <f ca="1">IFERROR(__xludf.DUMMYFUNCTION("""COMPUTED_VALUE"""),"")</f>
        <v/>
      </c>
      <c r="C22273" s="12" t="str">
        <f ca="1">IFERROR(__xludf.DUMMYFUNCTION("""COMPUTED_VALUE"""),"")</f>
        <v/>
      </c>
      <c r="D22273" s="12" t="str">
        <f ca="1">IFERROR(__xludf.DUMMYFUNCTION("""COMPUTED_VALUE"""),"")</f>
        <v/>
      </c>
    </row>
    <row r="22274" spans="2:4" ht="13">
      <c r="B22274" s="12" t="str">
        <f ca="1">IFERROR(__xludf.DUMMYFUNCTION("""COMPUTED_VALUE"""),"")</f>
        <v/>
      </c>
      <c r="C22274" s="12" t="str">
        <f ca="1">IFERROR(__xludf.DUMMYFUNCTION("""COMPUTED_VALUE"""),"")</f>
        <v/>
      </c>
      <c r="D22274" s="12" t="str">
        <f ca="1">IFERROR(__xludf.DUMMYFUNCTION("""COMPUTED_VALUE"""),"")</f>
        <v/>
      </c>
    </row>
    <row r="22275" spans="2:4" ht="13">
      <c r="B22275" s="12" t="str">
        <f ca="1">IFERROR(__xludf.DUMMYFUNCTION("""COMPUTED_VALUE"""),"")</f>
        <v/>
      </c>
      <c r="C22275" s="12" t="str">
        <f ca="1">IFERROR(__xludf.DUMMYFUNCTION("""COMPUTED_VALUE"""),"")</f>
        <v/>
      </c>
      <c r="D22275" s="12" t="str">
        <f ca="1">IFERROR(__xludf.DUMMYFUNCTION("""COMPUTED_VALUE"""),"")</f>
        <v/>
      </c>
    </row>
    <row r="22276" spans="2:4" ht="13">
      <c r="B22276" s="12" t="str">
        <f ca="1">IFERROR(__xludf.DUMMYFUNCTION("""COMPUTED_VALUE"""),"")</f>
        <v/>
      </c>
      <c r="C22276" s="12" t="str">
        <f ca="1">IFERROR(__xludf.DUMMYFUNCTION("""COMPUTED_VALUE"""),"")</f>
        <v/>
      </c>
      <c r="D22276" s="12" t="str">
        <f ca="1">IFERROR(__xludf.DUMMYFUNCTION("""COMPUTED_VALUE"""),"")</f>
        <v/>
      </c>
    </row>
    <row r="22277" spans="2:4" ht="13">
      <c r="B22277" s="12" t="str">
        <f ca="1">IFERROR(__xludf.DUMMYFUNCTION("""COMPUTED_VALUE"""),"")</f>
        <v/>
      </c>
      <c r="C22277" s="12" t="str">
        <f ca="1">IFERROR(__xludf.DUMMYFUNCTION("""COMPUTED_VALUE"""),"")</f>
        <v/>
      </c>
      <c r="D22277" s="12" t="str">
        <f ca="1">IFERROR(__xludf.DUMMYFUNCTION("""COMPUTED_VALUE"""),"")</f>
        <v/>
      </c>
    </row>
    <row r="22278" spans="2:4" ht="13">
      <c r="B22278" s="12" t="str">
        <f ca="1">IFERROR(__xludf.DUMMYFUNCTION("""COMPUTED_VALUE"""),"")</f>
        <v/>
      </c>
      <c r="C22278" s="12" t="str">
        <f ca="1">IFERROR(__xludf.DUMMYFUNCTION("""COMPUTED_VALUE"""),"")</f>
        <v/>
      </c>
      <c r="D22278" s="12" t="str">
        <f ca="1">IFERROR(__xludf.DUMMYFUNCTION("""COMPUTED_VALUE"""),"")</f>
        <v/>
      </c>
    </row>
    <row r="22279" spans="2:4" ht="13">
      <c r="B22279" s="12" t="str">
        <f ca="1">IFERROR(__xludf.DUMMYFUNCTION("""COMPUTED_VALUE"""),"")</f>
        <v/>
      </c>
      <c r="C22279" s="12" t="str">
        <f ca="1">IFERROR(__xludf.DUMMYFUNCTION("""COMPUTED_VALUE"""),"")</f>
        <v/>
      </c>
      <c r="D22279" s="12" t="str">
        <f ca="1">IFERROR(__xludf.DUMMYFUNCTION("""COMPUTED_VALUE"""),"")</f>
        <v/>
      </c>
    </row>
    <row r="22280" spans="2:4" ht="13">
      <c r="B22280" s="12" t="str">
        <f ca="1">IFERROR(__xludf.DUMMYFUNCTION("""COMPUTED_VALUE"""),"")</f>
        <v/>
      </c>
      <c r="C22280" s="12" t="str">
        <f ca="1">IFERROR(__xludf.DUMMYFUNCTION("""COMPUTED_VALUE"""),"")</f>
        <v/>
      </c>
      <c r="D22280" s="12" t="str">
        <f ca="1">IFERROR(__xludf.DUMMYFUNCTION("""COMPUTED_VALUE"""),"")</f>
        <v/>
      </c>
    </row>
    <row r="22281" spans="2:4" ht="13">
      <c r="B22281" s="12" t="str">
        <f ca="1">IFERROR(__xludf.DUMMYFUNCTION("""COMPUTED_VALUE"""),"")</f>
        <v/>
      </c>
      <c r="C22281" s="12" t="str">
        <f ca="1">IFERROR(__xludf.DUMMYFUNCTION("""COMPUTED_VALUE"""),"")</f>
        <v/>
      </c>
      <c r="D22281" s="12" t="str">
        <f ca="1">IFERROR(__xludf.DUMMYFUNCTION("""COMPUTED_VALUE"""),"")</f>
        <v/>
      </c>
    </row>
    <row r="22282" spans="2:4" ht="13">
      <c r="B22282" s="12" t="str">
        <f ca="1">IFERROR(__xludf.DUMMYFUNCTION("""COMPUTED_VALUE"""),"")</f>
        <v/>
      </c>
      <c r="C22282" s="12" t="str">
        <f ca="1">IFERROR(__xludf.DUMMYFUNCTION("""COMPUTED_VALUE"""),"")</f>
        <v/>
      </c>
      <c r="D22282" s="12" t="str">
        <f ca="1">IFERROR(__xludf.DUMMYFUNCTION("""COMPUTED_VALUE"""),"")</f>
        <v/>
      </c>
    </row>
    <row r="22283" spans="2:4" ht="13">
      <c r="B22283" s="12" t="str">
        <f ca="1">IFERROR(__xludf.DUMMYFUNCTION("""COMPUTED_VALUE"""),"")</f>
        <v/>
      </c>
      <c r="C22283" s="12" t="str">
        <f ca="1">IFERROR(__xludf.DUMMYFUNCTION("""COMPUTED_VALUE"""),"")</f>
        <v/>
      </c>
      <c r="D22283" s="12" t="str">
        <f ca="1">IFERROR(__xludf.DUMMYFUNCTION("""COMPUTED_VALUE"""),"")</f>
        <v/>
      </c>
    </row>
    <row r="22284" spans="2:4" ht="13">
      <c r="B22284" s="12" t="str">
        <f ca="1">IFERROR(__xludf.DUMMYFUNCTION("""COMPUTED_VALUE"""),"")</f>
        <v/>
      </c>
      <c r="C22284" s="12" t="str">
        <f ca="1">IFERROR(__xludf.DUMMYFUNCTION("""COMPUTED_VALUE"""),"")</f>
        <v/>
      </c>
      <c r="D22284" s="12" t="str">
        <f ca="1">IFERROR(__xludf.DUMMYFUNCTION("""COMPUTED_VALUE"""),"")</f>
        <v/>
      </c>
    </row>
    <row r="22285" spans="2:4" ht="13">
      <c r="B22285" s="12" t="str">
        <f ca="1">IFERROR(__xludf.DUMMYFUNCTION("""COMPUTED_VALUE"""),"")</f>
        <v/>
      </c>
      <c r="C22285" s="12" t="str">
        <f ca="1">IFERROR(__xludf.DUMMYFUNCTION("""COMPUTED_VALUE"""),"")</f>
        <v/>
      </c>
      <c r="D22285" s="12" t="str">
        <f ca="1">IFERROR(__xludf.DUMMYFUNCTION("""COMPUTED_VALUE"""),"")</f>
        <v/>
      </c>
    </row>
    <row r="22286" spans="2:4" ht="13">
      <c r="B22286" s="12" t="str">
        <f ca="1">IFERROR(__xludf.DUMMYFUNCTION("""COMPUTED_VALUE"""),"")</f>
        <v/>
      </c>
      <c r="C22286" s="12" t="str">
        <f ca="1">IFERROR(__xludf.DUMMYFUNCTION("""COMPUTED_VALUE"""),"")</f>
        <v/>
      </c>
      <c r="D22286" s="12" t="str">
        <f ca="1">IFERROR(__xludf.DUMMYFUNCTION("""COMPUTED_VALUE"""),"")</f>
        <v/>
      </c>
    </row>
    <row r="22287" spans="2:4" ht="13">
      <c r="B22287" s="12" t="str">
        <f ca="1">IFERROR(__xludf.DUMMYFUNCTION("""COMPUTED_VALUE"""),"")</f>
        <v/>
      </c>
      <c r="C22287" s="12" t="str">
        <f ca="1">IFERROR(__xludf.DUMMYFUNCTION("""COMPUTED_VALUE"""),"")</f>
        <v/>
      </c>
      <c r="D22287" s="12" t="str">
        <f ca="1">IFERROR(__xludf.DUMMYFUNCTION("""COMPUTED_VALUE"""),"")</f>
        <v/>
      </c>
    </row>
    <row r="22288" spans="2:4" ht="13">
      <c r="B22288" s="12" t="str">
        <f ca="1">IFERROR(__xludf.DUMMYFUNCTION("""COMPUTED_VALUE"""),"")</f>
        <v/>
      </c>
      <c r="C22288" s="12" t="str">
        <f ca="1">IFERROR(__xludf.DUMMYFUNCTION("""COMPUTED_VALUE"""),"")</f>
        <v/>
      </c>
      <c r="D22288" s="12" t="str">
        <f ca="1">IFERROR(__xludf.DUMMYFUNCTION("""COMPUTED_VALUE"""),"")</f>
        <v/>
      </c>
    </row>
    <row r="22289" spans="2:4" ht="13">
      <c r="B22289" s="12" t="str">
        <f ca="1">IFERROR(__xludf.DUMMYFUNCTION("""COMPUTED_VALUE"""),"")</f>
        <v/>
      </c>
      <c r="C22289" s="12" t="str">
        <f ca="1">IFERROR(__xludf.DUMMYFUNCTION("""COMPUTED_VALUE"""),"")</f>
        <v/>
      </c>
      <c r="D22289" s="12" t="str">
        <f ca="1">IFERROR(__xludf.DUMMYFUNCTION("""COMPUTED_VALUE"""),"")</f>
        <v/>
      </c>
    </row>
    <row r="22290" spans="2:4" ht="13">
      <c r="B22290" s="12" t="str">
        <f ca="1">IFERROR(__xludf.DUMMYFUNCTION("""COMPUTED_VALUE"""),"")</f>
        <v/>
      </c>
      <c r="C22290" s="12" t="str">
        <f ca="1">IFERROR(__xludf.DUMMYFUNCTION("""COMPUTED_VALUE"""),"")</f>
        <v/>
      </c>
      <c r="D22290" s="12" t="str">
        <f ca="1">IFERROR(__xludf.DUMMYFUNCTION("""COMPUTED_VALUE"""),"")</f>
        <v/>
      </c>
    </row>
    <row r="22291" spans="2:4" ht="13">
      <c r="B22291" s="12" t="str">
        <f ca="1">IFERROR(__xludf.DUMMYFUNCTION("""COMPUTED_VALUE"""),"")</f>
        <v/>
      </c>
      <c r="C22291" s="12" t="str">
        <f ca="1">IFERROR(__xludf.DUMMYFUNCTION("""COMPUTED_VALUE"""),"")</f>
        <v/>
      </c>
      <c r="D22291" s="12" t="str">
        <f ca="1">IFERROR(__xludf.DUMMYFUNCTION("""COMPUTED_VALUE"""),"")</f>
        <v/>
      </c>
    </row>
    <row r="22292" spans="2:4" ht="13">
      <c r="B22292" s="12" t="str">
        <f ca="1">IFERROR(__xludf.DUMMYFUNCTION("""COMPUTED_VALUE"""),"")</f>
        <v/>
      </c>
      <c r="C22292" s="12" t="str">
        <f ca="1">IFERROR(__xludf.DUMMYFUNCTION("""COMPUTED_VALUE"""),"")</f>
        <v/>
      </c>
      <c r="D22292" s="12" t="str">
        <f ca="1">IFERROR(__xludf.DUMMYFUNCTION("""COMPUTED_VALUE"""),"")</f>
        <v/>
      </c>
    </row>
    <row r="22293" spans="2:4" ht="13">
      <c r="B22293" s="12" t="str">
        <f ca="1">IFERROR(__xludf.DUMMYFUNCTION("""COMPUTED_VALUE"""),"")</f>
        <v/>
      </c>
      <c r="C22293" s="12" t="str">
        <f ca="1">IFERROR(__xludf.DUMMYFUNCTION("""COMPUTED_VALUE"""),"")</f>
        <v/>
      </c>
      <c r="D22293" s="12" t="str">
        <f ca="1">IFERROR(__xludf.DUMMYFUNCTION("""COMPUTED_VALUE"""),"")</f>
        <v/>
      </c>
    </row>
    <row r="22294" spans="2:4" ht="13">
      <c r="B22294" s="12" t="str">
        <f ca="1">IFERROR(__xludf.DUMMYFUNCTION("""COMPUTED_VALUE"""),"")</f>
        <v/>
      </c>
      <c r="C22294" s="12" t="str">
        <f ca="1">IFERROR(__xludf.DUMMYFUNCTION("""COMPUTED_VALUE"""),"")</f>
        <v/>
      </c>
      <c r="D22294" s="12" t="str">
        <f ca="1">IFERROR(__xludf.DUMMYFUNCTION("""COMPUTED_VALUE"""),"")</f>
        <v/>
      </c>
    </row>
    <row r="22295" spans="2:4" ht="13">
      <c r="B22295" s="12" t="str">
        <f ca="1">IFERROR(__xludf.DUMMYFUNCTION("""COMPUTED_VALUE"""),"")</f>
        <v/>
      </c>
      <c r="C22295" s="12" t="str">
        <f ca="1">IFERROR(__xludf.DUMMYFUNCTION("""COMPUTED_VALUE"""),"")</f>
        <v/>
      </c>
      <c r="D22295" s="12" t="str">
        <f ca="1">IFERROR(__xludf.DUMMYFUNCTION("""COMPUTED_VALUE"""),"")</f>
        <v/>
      </c>
    </row>
    <row r="22296" spans="2:4" ht="13">
      <c r="B22296" s="12" t="str">
        <f ca="1">IFERROR(__xludf.DUMMYFUNCTION("""COMPUTED_VALUE"""),"")</f>
        <v/>
      </c>
      <c r="C22296" s="12" t="str">
        <f ca="1">IFERROR(__xludf.DUMMYFUNCTION("""COMPUTED_VALUE"""),"")</f>
        <v/>
      </c>
      <c r="D22296" s="12" t="str">
        <f ca="1">IFERROR(__xludf.DUMMYFUNCTION("""COMPUTED_VALUE"""),"")</f>
        <v/>
      </c>
    </row>
    <row r="22297" spans="2:4" ht="13">
      <c r="B22297" s="12" t="str">
        <f ca="1">IFERROR(__xludf.DUMMYFUNCTION("""COMPUTED_VALUE"""),"")</f>
        <v/>
      </c>
      <c r="C22297" s="12" t="str">
        <f ca="1">IFERROR(__xludf.DUMMYFUNCTION("""COMPUTED_VALUE"""),"")</f>
        <v/>
      </c>
      <c r="D22297" s="12" t="str">
        <f ca="1">IFERROR(__xludf.DUMMYFUNCTION("""COMPUTED_VALUE"""),"")</f>
        <v/>
      </c>
    </row>
    <row r="22298" spans="2:4" ht="13">
      <c r="B22298" s="12" t="str">
        <f ca="1">IFERROR(__xludf.DUMMYFUNCTION("""COMPUTED_VALUE"""),"")</f>
        <v/>
      </c>
      <c r="C22298" s="12" t="str">
        <f ca="1">IFERROR(__xludf.DUMMYFUNCTION("""COMPUTED_VALUE"""),"")</f>
        <v/>
      </c>
      <c r="D22298" s="12" t="str">
        <f ca="1">IFERROR(__xludf.DUMMYFUNCTION("""COMPUTED_VALUE"""),"")</f>
        <v/>
      </c>
    </row>
    <row r="22299" spans="2:4" ht="13">
      <c r="B22299" s="12" t="str">
        <f ca="1">IFERROR(__xludf.DUMMYFUNCTION("""COMPUTED_VALUE"""),"")</f>
        <v/>
      </c>
      <c r="C22299" s="12" t="str">
        <f ca="1">IFERROR(__xludf.DUMMYFUNCTION("""COMPUTED_VALUE"""),"")</f>
        <v/>
      </c>
      <c r="D22299" s="12" t="str">
        <f ca="1">IFERROR(__xludf.DUMMYFUNCTION("""COMPUTED_VALUE"""),"")</f>
        <v/>
      </c>
    </row>
    <row r="22300" spans="2:4" ht="13">
      <c r="B22300" s="12" t="str">
        <f ca="1">IFERROR(__xludf.DUMMYFUNCTION("""COMPUTED_VALUE"""),"")</f>
        <v/>
      </c>
      <c r="C22300" s="12" t="str">
        <f ca="1">IFERROR(__xludf.DUMMYFUNCTION("""COMPUTED_VALUE"""),"")</f>
        <v/>
      </c>
      <c r="D22300" s="12" t="str">
        <f ca="1">IFERROR(__xludf.DUMMYFUNCTION("""COMPUTED_VALUE"""),"")</f>
        <v/>
      </c>
    </row>
    <row r="22301" spans="2:4" ht="13">
      <c r="B22301" s="12" t="str">
        <f ca="1">IFERROR(__xludf.DUMMYFUNCTION("""COMPUTED_VALUE"""),"")</f>
        <v/>
      </c>
      <c r="C22301" s="12" t="str">
        <f ca="1">IFERROR(__xludf.DUMMYFUNCTION("""COMPUTED_VALUE"""),"")</f>
        <v/>
      </c>
      <c r="D22301" s="12" t="str">
        <f ca="1">IFERROR(__xludf.DUMMYFUNCTION("""COMPUTED_VALUE"""),"")</f>
        <v/>
      </c>
    </row>
    <row r="22302" spans="2:4" ht="13">
      <c r="B22302" s="12" t="str">
        <f ca="1">IFERROR(__xludf.DUMMYFUNCTION("""COMPUTED_VALUE"""),"")</f>
        <v/>
      </c>
      <c r="C22302" s="12" t="str">
        <f ca="1">IFERROR(__xludf.DUMMYFUNCTION("""COMPUTED_VALUE"""),"")</f>
        <v/>
      </c>
      <c r="D22302" s="12" t="str">
        <f ca="1">IFERROR(__xludf.DUMMYFUNCTION("""COMPUTED_VALUE"""),"")</f>
        <v/>
      </c>
    </row>
    <row r="22303" spans="2:4" ht="13">
      <c r="B22303" s="12" t="str">
        <f ca="1">IFERROR(__xludf.DUMMYFUNCTION("""COMPUTED_VALUE"""),"")</f>
        <v/>
      </c>
      <c r="C22303" s="12" t="str">
        <f ca="1">IFERROR(__xludf.DUMMYFUNCTION("""COMPUTED_VALUE"""),"")</f>
        <v/>
      </c>
      <c r="D22303" s="12" t="str">
        <f ca="1">IFERROR(__xludf.DUMMYFUNCTION("""COMPUTED_VALUE"""),"")</f>
        <v/>
      </c>
    </row>
    <row r="22304" spans="2:4" ht="13">
      <c r="B22304" s="12" t="str">
        <f ca="1">IFERROR(__xludf.DUMMYFUNCTION("""COMPUTED_VALUE"""),"")</f>
        <v/>
      </c>
      <c r="C22304" s="12" t="str">
        <f ca="1">IFERROR(__xludf.DUMMYFUNCTION("""COMPUTED_VALUE"""),"")</f>
        <v/>
      </c>
      <c r="D22304" s="12" t="str">
        <f ca="1">IFERROR(__xludf.DUMMYFUNCTION("""COMPUTED_VALUE"""),"")</f>
        <v/>
      </c>
    </row>
    <row r="22305" spans="2:4" ht="13">
      <c r="B22305" s="12" t="str">
        <f ca="1">IFERROR(__xludf.DUMMYFUNCTION("""COMPUTED_VALUE"""),"")</f>
        <v/>
      </c>
      <c r="C22305" s="12" t="str">
        <f ca="1">IFERROR(__xludf.DUMMYFUNCTION("""COMPUTED_VALUE"""),"")</f>
        <v/>
      </c>
      <c r="D22305" s="12" t="str">
        <f ca="1">IFERROR(__xludf.DUMMYFUNCTION("""COMPUTED_VALUE"""),"")</f>
        <v/>
      </c>
    </row>
    <row r="22306" spans="2:4" ht="13">
      <c r="B22306" s="12" t="str">
        <f ca="1">IFERROR(__xludf.DUMMYFUNCTION("""COMPUTED_VALUE"""),"")</f>
        <v/>
      </c>
      <c r="C22306" s="12" t="str">
        <f ca="1">IFERROR(__xludf.DUMMYFUNCTION("""COMPUTED_VALUE"""),"")</f>
        <v/>
      </c>
      <c r="D22306" s="12" t="str">
        <f ca="1">IFERROR(__xludf.DUMMYFUNCTION("""COMPUTED_VALUE"""),"")</f>
        <v/>
      </c>
    </row>
    <row r="22307" spans="2:4" ht="13">
      <c r="B22307" s="12" t="str">
        <f ca="1">IFERROR(__xludf.DUMMYFUNCTION("""COMPUTED_VALUE"""),"")</f>
        <v/>
      </c>
      <c r="C22307" s="12" t="str">
        <f ca="1">IFERROR(__xludf.DUMMYFUNCTION("""COMPUTED_VALUE"""),"")</f>
        <v/>
      </c>
      <c r="D22307" s="12" t="str">
        <f ca="1">IFERROR(__xludf.DUMMYFUNCTION("""COMPUTED_VALUE"""),"")</f>
        <v/>
      </c>
    </row>
    <row r="22308" spans="2:4" ht="13">
      <c r="B22308" s="12" t="str">
        <f ca="1">IFERROR(__xludf.DUMMYFUNCTION("""COMPUTED_VALUE"""),"")</f>
        <v/>
      </c>
      <c r="C22308" s="12" t="str">
        <f ca="1">IFERROR(__xludf.DUMMYFUNCTION("""COMPUTED_VALUE"""),"")</f>
        <v/>
      </c>
      <c r="D22308" s="12" t="str">
        <f ca="1">IFERROR(__xludf.DUMMYFUNCTION("""COMPUTED_VALUE"""),"")</f>
        <v/>
      </c>
    </row>
    <row r="22309" spans="2:4" ht="13">
      <c r="B22309" s="12" t="str">
        <f ca="1">IFERROR(__xludf.DUMMYFUNCTION("""COMPUTED_VALUE"""),"")</f>
        <v/>
      </c>
      <c r="C22309" s="12" t="str">
        <f ca="1">IFERROR(__xludf.DUMMYFUNCTION("""COMPUTED_VALUE"""),"")</f>
        <v/>
      </c>
      <c r="D22309" s="12" t="str">
        <f ca="1">IFERROR(__xludf.DUMMYFUNCTION("""COMPUTED_VALUE"""),"")</f>
        <v/>
      </c>
    </row>
    <row r="22310" spans="2:4" ht="13">
      <c r="B22310" s="12" t="str">
        <f ca="1">IFERROR(__xludf.DUMMYFUNCTION("""COMPUTED_VALUE"""),"")</f>
        <v/>
      </c>
      <c r="C22310" s="12" t="str">
        <f ca="1">IFERROR(__xludf.DUMMYFUNCTION("""COMPUTED_VALUE"""),"")</f>
        <v/>
      </c>
      <c r="D22310" s="12" t="str">
        <f ca="1">IFERROR(__xludf.DUMMYFUNCTION("""COMPUTED_VALUE"""),"")</f>
        <v/>
      </c>
    </row>
    <row r="22311" spans="2:4" ht="13">
      <c r="B22311" s="12" t="str">
        <f ca="1">IFERROR(__xludf.DUMMYFUNCTION("""COMPUTED_VALUE"""),"")</f>
        <v/>
      </c>
      <c r="C22311" s="12" t="str">
        <f ca="1">IFERROR(__xludf.DUMMYFUNCTION("""COMPUTED_VALUE"""),"")</f>
        <v/>
      </c>
      <c r="D22311" s="12" t="str">
        <f ca="1">IFERROR(__xludf.DUMMYFUNCTION("""COMPUTED_VALUE"""),"")</f>
        <v/>
      </c>
    </row>
    <row r="22312" spans="2:4" ht="13">
      <c r="B22312" s="12" t="str">
        <f ca="1">IFERROR(__xludf.DUMMYFUNCTION("""COMPUTED_VALUE"""),"")</f>
        <v/>
      </c>
      <c r="C22312" s="12" t="str">
        <f ca="1">IFERROR(__xludf.DUMMYFUNCTION("""COMPUTED_VALUE"""),"")</f>
        <v/>
      </c>
      <c r="D22312" s="12" t="str">
        <f ca="1">IFERROR(__xludf.DUMMYFUNCTION("""COMPUTED_VALUE"""),"")</f>
        <v/>
      </c>
    </row>
    <row r="22313" spans="2:4" ht="13">
      <c r="B22313" s="12" t="str">
        <f ca="1">IFERROR(__xludf.DUMMYFUNCTION("""COMPUTED_VALUE"""),"")</f>
        <v/>
      </c>
      <c r="C22313" s="12" t="str">
        <f ca="1">IFERROR(__xludf.DUMMYFUNCTION("""COMPUTED_VALUE"""),"")</f>
        <v/>
      </c>
      <c r="D22313" s="12" t="str">
        <f ca="1">IFERROR(__xludf.DUMMYFUNCTION("""COMPUTED_VALUE"""),"")</f>
        <v/>
      </c>
    </row>
    <row r="22314" spans="2:4" ht="13">
      <c r="B22314" s="12" t="str">
        <f ca="1">IFERROR(__xludf.DUMMYFUNCTION("""COMPUTED_VALUE"""),"")</f>
        <v/>
      </c>
      <c r="C22314" s="12" t="str">
        <f ca="1">IFERROR(__xludf.DUMMYFUNCTION("""COMPUTED_VALUE"""),"")</f>
        <v/>
      </c>
      <c r="D22314" s="12" t="str">
        <f ca="1">IFERROR(__xludf.DUMMYFUNCTION("""COMPUTED_VALUE"""),"")</f>
        <v/>
      </c>
    </row>
    <row r="22315" spans="2:4" ht="13">
      <c r="B22315" s="12" t="str">
        <f ca="1">IFERROR(__xludf.DUMMYFUNCTION("""COMPUTED_VALUE"""),"")</f>
        <v/>
      </c>
      <c r="C22315" s="12" t="str">
        <f ca="1">IFERROR(__xludf.DUMMYFUNCTION("""COMPUTED_VALUE"""),"")</f>
        <v/>
      </c>
      <c r="D22315" s="12" t="str">
        <f ca="1">IFERROR(__xludf.DUMMYFUNCTION("""COMPUTED_VALUE"""),"")</f>
        <v/>
      </c>
    </row>
    <row r="22316" spans="2:4" ht="13">
      <c r="B22316" s="12" t="str">
        <f ca="1">IFERROR(__xludf.DUMMYFUNCTION("""COMPUTED_VALUE"""),"")</f>
        <v/>
      </c>
      <c r="C22316" s="12" t="str">
        <f ca="1">IFERROR(__xludf.DUMMYFUNCTION("""COMPUTED_VALUE"""),"")</f>
        <v/>
      </c>
      <c r="D22316" s="12" t="str">
        <f ca="1">IFERROR(__xludf.DUMMYFUNCTION("""COMPUTED_VALUE"""),"")</f>
        <v/>
      </c>
    </row>
    <row r="22317" spans="2:4" ht="13">
      <c r="B22317" s="12" t="str">
        <f ca="1">IFERROR(__xludf.DUMMYFUNCTION("""COMPUTED_VALUE"""),"")</f>
        <v/>
      </c>
      <c r="C22317" s="12" t="str">
        <f ca="1">IFERROR(__xludf.DUMMYFUNCTION("""COMPUTED_VALUE"""),"")</f>
        <v/>
      </c>
      <c r="D22317" s="12" t="str">
        <f ca="1">IFERROR(__xludf.DUMMYFUNCTION("""COMPUTED_VALUE"""),"")</f>
        <v/>
      </c>
    </row>
    <row r="22318" spans="2:4" ht="13">
      <c r="B22318" s="12" t="str">
        <f ca="1">IFERROR(__xludf.DUMMYFUNCTION("""COMPUTED_VALUE"""),"")</f>
        <v/>
      </c>
      <c r="C22318" s="12" t="str">
        <f ca="1">IFERROR(__xludf.DUMMYFUNCTION("""COMPUTED_VALUE"""),"")</f>
        <v/>
      </c>
      <c r="D22318" s="12" t="str">
        <f ca="1">IFERROR(__xludf.DUMMYFUNCTION("""COMPUTED_VALUE"""),"")</f>
        <v/>
      </c>
    </row>
    <row r="22319" spans="2:4" ht="13">
      <c r="B22319" s="12" t="str">
        <f ca="1">IFERROR(__xludf.DUMMYFUNCTION("""COMPUTED_VALUE"""),"")</f>
        <v/>
      </c>
      <c r="C22319" s="12" t="str">
        <f ca="1">IFERROR(__xludf.DUMMYFUNCTION("""COMPUTED_VALUE"""),"")</f>
        <v/>
      </c>
      <c r="D22319" s="12" t="str">
        <f ca="1">IFERROR(__xludf.DUMMYFUNCTION("""COMPUTED_VALUE"""),"")</f>
        <v/>
      </c>
    </row>
    <row r="22320" spans="2:4" ht="13">
      <c r="B22320" s="12" t="str">
        <f ca="1">IFERROR(__xludf.DUMMYFUNCTION("""COMPUTED_VALUE"""),"")</f>
        <v/>
      </c>
      <c r="C22320" s="12" t="str">
        <f ca="1">IFERROR(__xludf.DUMMYFUNCTION("""COMPUTED_VALUE"""),"")</f>
        <v/>
      </c>
      <c r="D22320" s="12" t="str">
        <f ca="1">IFERROR(__xludf.DUMMYFUNCTION("""COMPUTED_VALUE"""),"")</f>
        <v/>
      </c>
    </row>
    <row r="22321" spans="2:4" ht="13">
      <c r="B22321" s="12" t="str">
        <f ca="1">IFERROR(__xludf.DUMMYFUNCTION("""COMPUTED_VALUE"""),"")</f>
        <v/>
      </c>
      <c r="C22321" s="12" t="str">
        <f ca="1">IFERROR(__xludf.DUMMYFUNCTION("""COMPUTED_VALUE"""),"")</f>
        <v/>
      </c>
      <c r="D22321" s="12" t="str">
        <f ca="1">IFERROR(__xludf.DUMMYFUNCTION("""COMPUTED_VALUE"""),"")</f>
        <v/>
      </c>
    </row>
    <row r="22322" spans="2:4" ht="13">
      <c r="B22322" s="12" t="str">
        <f ca="1">IFERROR(__xludf.DUMMYFUNCTION("""COMPUTED_VALUE"""),"")</f>
        <v/>
      </c>
      <c r="C22322" s="12" t="str">
        <f ca="1">IFERROR(__xludf.DUMMYFUNCTION("""COMPUTED_VALUE"""),"")</f>
        <v/>
      </c>
      <c r="D22322" s="12" t="str">
        <f ca="1">IFERROR(__xludf.DUMMYFUNCTION("""COMPUTED_VALUE"""),"")</f>
        <v/>
      </c>
    </row>
    <row r="22323" spans="2:4" ht="13">
      <c r="B22323" s="12" t="str">
        <f ca="1">IFERROR(__xludf.DUMMYFUNCTION("""COMPUTED_VALUE"""),"")</f>
        <v/>
      </c>
      <c r="C22323" s="12" t="str">
        <f ca="1">IFERROR(__xludf.DUMMYFUNCTION("""COMPUTED_VALUE"""),"")</f>
        <v/>
      </c>
      <c r="D22323" s="12" t="str">
        <f ca="1">IFERROR(__xludf.DUMMYFUNCTION("""COMPUTED_VALUE"""),"")</f>
        <v/>
      </c>
    </row>
    <row r="22324" spans="2:4" ht="13">
      <c r="B22324" s="12" t="str">
        <f ca="1">IFERROR(__xludf.DUMMYFUNCTION("""COMPUTED_VALUE"""),"")</f>
        <v/>
      </c>
      <c r="C22324" s="12" t="str">
        <f ca="1">IFERROR(__xludf.DUMMYFUNCTION("""COMPUTED_VALUE"""),"")</f>
        <v/>
      </c>
      <c r="D22324" s="12" t="str">
        <f ca="1">IFERROR(__xludf.DUMMYFUNCTION("""COMPUTED_VALUE"""),"")</f>
        <v/>
      </c>
    </row>
    <row r="22325" spans="2:4" ht="13">
      <c r="B22325" s="12" t="str">
        <f ca="1">IFERROR(__xludf.DUMMYFUNCTION("""COMPUTED_VALUE"""),"")</f>
        <v/>
      </c>
      <c r="C22325" s="12" t="str">
        <f ca="1">IFERROR(__xludf.DUMMYFUNCTION("""COMPUTED_VALUE"""),"")</f>
        <v/>
      </c>
      <c r="D22325" s="12" t="str">
        <f ca="1">IFERROR(__xludf.DUMMYFUNCTION("""COMPUTED_VALUE"""),"")</f>
        <v/>
      </c>
    </row>
    <row r="22326" spans="2:4" ht="13">
      <c r="B22326" s="12" t="str">
        <f ca="1">IFERROR(__xludf.DUMMYFUNCTION("""COMPUTED_VALUE"""),"")</f>
        <v/>
      </c>
      <c r="C22326" s="12" t="str">
        <f ca="1">IFERROR(__xludf.DUMMYFUNCTION("""COMPUTED_VALUE"""),"")</f>
        <v/>
      </c>
      <c r="D22326" s="12" t="str">
        <f ca="1">IFERROR(__xludf.DUMMYFUNCTION("""COMPUTED_VALUE"""),"")</f>
        <v/>
      </c>
    </row>
    <row r="22327" spans="2:4" ht="13">
      <c r="B22327" s="12" t="str">
        <f ca="1">IFERROR(__xludf.DUMMYFUNCTION("""COMPUTED_VALUE"""),"")</f>
        <v/>
      </c>
      <c r="C22327" s="12" t="str">
        <f ca="1">IFERROR(__xludf.DUMMYFUNCTION("""COMPUTED_VALUE"""),"")</f>
        <v/>
      </c>
      <c r="D22327" s="12" t="str">
        <f ca="1">IFERROR(__xludf.DUMMYFUNCTION("""COMPUTED_VALUE"""),"")</f>
        <v/>
      </c>
    </row>
    <row r="22328" spans="2:4" ht="13">
      <c r="B22328" s="12" t="str">
        <f ca="1">IFERROR(__xludf.DUMMYFUNCTION("""COMPUTED_VALUE"""),"")</f>
        <v/>
      </c>
      <c r="C22328" s="12" t="str">
        <f ca="1">IFERROR(__xludf.DUMMYFUNCTION("""COMPUTED_VALUE"""),"")</f>
        <v/>
      </c>
      <c r="D22328" s="12" t="str">
        <f ca="1">IFERROR(__xludf.DUMMYFUNCTION("""COMPUTED_VALUE"""),"")</f>
        <v/>
      </c>
    </row>
    <row r="22329" spans="2:4" ht="13">
      <c r="B22329" s="12" t="str">
        <f ca="1">IFERROR(__xludf.DUMMYFUNCTION("""COMPUTED_VALUE"""),"")</f>
        <v/>
      </c>
      <c r="C22329" s="12" t="str">
        <f ca="1">IFERROR(__xludf.DUMMYFUNCTION("""COMPUTED_VALUE"""),"")</f>
        <v/>
      </c>
      <c r="D22329" s="12" t="str">
        <f ca="1">IFERROR(__xludf.DUMMYFUNCTION("""COMPUTED_VALUE"""),"")</f>
        <v/>
      </c>
    </row>
    <row r="22330" spans="2:4" ht="13">
      <c r="B22330" s="12" t="str">
        <f ca="1">IFERROR(__xludf.DUMMYFUNCTION("""COMPUTED_VALUE"""),"")</f>
        <v/>
      </c>
      <c r="C22330" s="12" t="str">
        <f ca="1">IFERROR(__xludf.DUMMYFUNCTION("""COMPUTED_VALUE"""),"")</f>
        <v/>
      </c>
      <c r="D22330" s="12" t="str">
        <f ca="1">IFERROR(__xludf.DUMMYFUNCTION("""COMPUTED_VALUE"""),"")</f>
        <v/>
      </c>
    </row>
    <row r="22331" spans="2:4" ht="13">
      <c r="B22331" s="12" t="str">
        <f ca="1">IFERROR(__xludf.DUMMYFUNCTION("""COMPUTED_VALUE"""),"")</f>
        <v/>
      </c>
      <c r="C22331" s="12" t="str">
        <f ca="1">IFERROR(__xludf.DUMMYFUNCTION("""COMPUTED_VALUE"""),"")</f>
        <v/>
      </c>
      <c r="D22331" s="12" t="str">
        <f ca="1">IFERROR(__xludf.DUMMYFUNCTION("""COMPUTED_VALUE"""),"")</f>
        <v/>
      </c>
    </row>
    <row r="22332" spans="2:4" ht="13">
      <c r="B22332" s="12" t="str">
        <f ca="1">IFERROR(__xludf.DUMMYFUNCTION("""COMPUTED_VALUE"""),"")</f>
        <v/>
      </c>
      <c r="C22332" s="12" t="str">
        <f ca="1">IFERROR(__xludf.DUMMYFUNCTION("""COMPUTED_VALUE"""),"")</f>
        <v/>
      </c>
      <c r="D22332" s="12" t="str">
        <f ca="1">IFERROR(__xludf.DUMMYFUNCTION("""COMPUTED_VALUE"""),"")</f>
        <v/>
      </c>
    </row>
    <row r="22333" spans="2:4" ht="13">
      <c r="B22333" s="12" t="str">
        <f ca="1">IFERROR(__xludf.DUMMYFUNCTION("""COMPUTED_VALUE"""),"")</f>
        <v/>
      </c>
      <c r="C22333" s="12" t="str">
        <f ca="1">IFERROR(__xludf.DUMMYFUNCTION("""COMPUTED_VALUE"""),"")</f>
        <v/>
      </c>
      <c r="D22333" s="12" t="str">
        <f ca="1">IFERROR(__xludf.DUMMYFUNCTION("""COMPUTED_VALUE"""),"")</f>
        <v/>
      </c>
    </row>
    <row r="22334" spans="2:4" ht="13">
      <c r="B22334" s="12" t="str">
        <f ca="1">IFERROR(__xludf.DUMMYFUNCTION("""COMPUTED_VALUE"""),"")</f>
        <v/>
      </c>
      <c r="C22334" s="12" t="str">
        <f ca="1">IFERROR(__xludf.DUMMYFUNCTION("""COMPUTED_VALUE"""),"")</f>
        <v/>
      </c>
      <c r="D22334" s="12" t="str">
        <f ca="1">IFERROR(__xludf.DUMMYFUNCTION("""COMPUTED_VALUE"""),"")</f>
        <v/>
      </c>
    </row>
    <row r="22335" spans="2:4" ht="13">
      <c r="B22335" s="12" t="str">
        <f ca="1">IFERROR(__xludf.DUMMYFUNCTION("""COMPUTED_VALUE"""),"")</f>
        <v/>
      </c>
      <c r="C22335" s="12" t="str">
        <f ca="1">IFERROR(__xludf.DUMMYFUNCTION("""COMPUTED_VALUE"""),"")</f>
        <v/>
      </c>
      <c r="D22335" s="12" t="str">
        <f ca="1">IFERROR(__xludf.DUMMYFUNCTION("""COMPUTED_VALUE"""),"")</f>
        <v/>
      </c>
    </row>
    <row r="22336" spans="2:4" ht="13">
      <c r="B22336" s="12" t="str">
        <f ca="1">IFERROR(__xludf.DUMMYFUNCTION("""COMPUTED_VALUE"""),"")</f>
        <v/>
      </c>
      <c r="C22336" s="12" t="str">
        <f ca="1">IFERROR(__xludf.DUMMYFUNCTION("""COMPUTED_VALUE"""),"")</f>
        <v/>
      </c>
      <c r="D22336" s="12" t="str">
        <f ca="1">IFERROR(__xludf.DUMMYFUNCTION("""COMPUTED_VALUE"""),"")</f>
        <v/>
      </c>
    </row>
    <row r="22337" spans="2:4" ht="13">
      <c r="B22337" s="12" t="str">
        <f ca="1">IFERROR(__xludf.DUMMYFUNCTION("""COMPUTED_VALUE"""),"")</f>
        <v/>
      </c>
      <c r="C22337" s="12" t="str">
        <f ca="1">IFERROR(__xludf.DUMMYFUNCTION("""COMPUTED_VALUE"""),"")</f>
        <v/>
      </c>
      <c r="D22337" s="12" t="str">
        <f ca="1">IFERROR(__xludf.DUMMYFUNCTION("""COMPUTED_VALUE"""),"")</f>
        <v/>
      </c>
    </row>
    <row r="22338" spans="2:4" ht="13">
      <c r="B22338" s="12" t="str">
        <f ca="1">IFERROR(__xludf.DUMMYFUNCTION("""COMPUTED_VALUE"""),"")</f>
        <v/>
      </c>
      <c r="C22338" s="12" t="str">
        <f ca="1">IFERROR(__xludf.DUMMYFUNCTION("""COMPUTED_VALUE"""),"")</f>
        <v/>
      </c>
      <c r="D22338" s="12" t="str">
        <f ca="1">IFERROR(__xludf.DUMMYFUNCTION("""COMPUTED_VALUE"""),"")</f>
        <v/>
      </c>
    </row>
    <row r="22339" spans="2:4" ht="13">
      <c r="B22339" s="12" t="str">
        <f ca="1">IFERROR(__xludf.DUMMYFUNCTION("""COMPUTED_VALUE"""),"")</f>
        <v/>
      </c>
      <c r="C22339" s="12" t="str">
        <f ca="1">IFERROR(__xludf.DUMMYFUNCTION("""COMPUTED_VALUE"""),"")</f>
        <v/>
      </c>
      <c r="D22339" s="12" t="str">
        <f ca="1">IFERROR(__xludf.DUMMYFUNCTION("""COMPUTED_VALUE"""),"")</f>
        <v/>
      </c>
    </row>
    <row r="22340" spans="2:4" ht="13">
      <c r="B22340" s="12" t="str">
        <f ca="1">IFERROR(__xludf.DUMMYFUNCTION("""COMPUTED_VALUE"""),"")</f>
        <v/>
      </c>
      <c r="C22340" s="12" t="str">
        <f ca="1">IFERROR(__xludf.DUMMYFUNCTION("""COMPUTED_VALUE"""),"")</f>
        <v/>
      </c>
      <c r="D22340" s="12" t="str">
        <f ca="1">IFERROR(__xludf.DUMMYFUNCTION("""COMPUTED_VALUE"""),"")</f>
        <v/>
      </c>
    </row>
    <row r="22341" spans="2:4" ht="13">
      <c r="B22341" s="12" t="str">
        <f ca="1">IFERROR(__xludf.DUMMYFUNCTION("""COMPUTED_VALUE"""),"")</f>
        <v/>
      </c>
      <c r="C22341" s="12" t="str">
        <f ca="1">IFERROR(__xludf.DUMMYFUNCTION("""COMPUTED_VALUE"""),"")</f>
        <v/>
      </c>
      <c r="D22341" s="12" t="str">
        <f ca="1">IFERROR(__xludf.DUMMYFUNCTION("""COMPUTED_VALUE"""),"")</f>
        <v/>
      </c>
    </row>
    <row r="22342" spans="2:4" ht="13">
      <c r="B22342" s="12" t="str">
        <f ca="1">IFERROR(__xludf.DUMMYFUNCTION("""COMPUTED_VALUE"""),"")</f>
        <v/>
      </c>
      <c r="C22342" s="12" t="str">
        <f ca="1">IFERROR(__xludf.DUMMYFUNCTION("""COMPUTED_VALUE"""),"")</f>
        <v/>
      </c>
      <c r="D22342" s="12" t="str">
        <f ca="1">IFERROR(__xludf.DUMMYFUNCTION("""COMPUTED_VALUE"""),"")</f>
        <v/>
      </c>
    </row>
    <row r="22343" spans="2:4" ht="13">
      <c r="B22343" s="12" t="str">
        <f ca="1">IFERROR(__xludf.DUMMYFUNCTION("""COMPUTED_VALUE"""),"")</f>
        <v/>
      </c>
      <c r="C22343" s="12" t="str">
        <f ca="1">IFERROR(__xludf.DUMMYFUNCTION("""COMPUTED_VALUE"""),"")</f>
        <v/>
      </c>
      <c r="D22343" s="12" t="str">
        <f ca="1">IFERROR(__xludf.DUMMYFUNCTION("""COMPUTED_VALUE"""),"")</f>
        <v/>
      </c>
    </row>
    <row r="22344" spans="2:4" ht="13">
      <c r="B22344" s="12" t="str">
        <f ca="1">IFERROR(__xludf.DUMMYFUNCTION("""COMPUTED_VALUE"""),"")</f>
        <v/>
      </c>
      <c r="C22344" s="12" t="str">
        <f ca="1">IFERROR(__xludf.DUMMYFUNCTION("""COMPUTED_VALUE"""),"")</f>
        <v/>
      </c>
      <c r="D22344" s="12" t="str">
        <f ca="1">IFERROR(__xludf.DUMMYFUNCTION("""COMPUTED_VALUE"""),"")</f>
        <v/>
      </c>
    </row>
    <row r="22345" spans="2:4" ht="13">
      <c r="B22345" s="12" t="str">
        <f ca="1">IFERROR(__xludf.DUMMYFUNCTION("""COMPUTED_VALUE"""),"")</f>
        <v/>
      </c>
      <c r="C22345" s="12" t="str">
        <f ca="1">IFERROR(__xludf.DUMMYFUNCTION("""COMPUTED_VALUE"""),"")</f>
        <v/>
      </c>
      <c r="D22345" s="12" t="str">
        <f ca="1">IFERROR(__xludf.DUMMYFUNCTION("""COMPUTED_VALUE"""),"")</f>
        <v/>
      </c>
    </row>
    <row r="22346" spans="2:4" ht="13">
      <c r="B22346" s="12" t="str">
        <f ca="1">IFERROR(__xludf.DUMMYFUNCTION("""COMPUTED_VALUE"""),"")</f>
        <v/>
      </c>
      <c r="C22346" s="12" t="str">
        <f ca="1">IFERROR(__xludf.DUMMYFUNCTION("""COMPUTED_VALUE"""),"")</f>
        <v/>
      </c>
      <c r="D22346" s="12" t="str">
        <f ca="1">IFERROR(__xludf.DUMMYFUNCTION("""COMPUTED_VALUE"""),"")</f>
        <v/>
      </c>
    </row>
    <row r="22347" spans="2:4" ht="13">
      <c r="B22347" s="12" t="str">
        <f ca="1">IFERROR(__xludf.DUMMYFUNCTION("""COMPUTED_VALUE"""),"")</f>
        <v/>
      </c>
      <c r="C22347" s="12" t="str">
        <f ca="1">IFERROR(__xludf.DUMMYFUNCTION("""COMPUTED_VALUE"""),"")</f>
        <v/>
      </c>
      <c r="D22347" s="12" t="str">
        <f ca="1">IFERROR(__xludf.DUMMYFUNCTION("""COMPUTED_VALUE"""),"")</f>
        <v/>
      </c>
    </row>
    <row r="22348" spans="2:4" ht="13">
      <c r="B22348" s="12" t="str">
        <f ca="1">IFERROR(__xludf.DUMMYFUNCTION("""COMPUTED_VALUE"""),"")</f>
        <v/>
      </c>
      <c r="C22348" s="12" t="str">
        <f ca="1">IFERROR(__xludf.DUMMYFUNCTION("""COMPUTED_VALUE"""),"")</f>
        <v/>
      </c>
      <c r="D22348" s="12" t="str">
        <f ca="1">IFERROR(__xludf.DUMMYFUNCTION("""COMPUTED_VALUE"""),"")</f>
        <v/>
      </c>
    </row>
    <row r="22349" spans="2:4" ht="13">
      <c r="B22349" s="12" t="str">
        <f ca="1">IFERROR(__xludf.DUMMYFUNCTION("""COMPUTED_VALUE"""),"")</f>
        <v/>
      </c>
      <c r="C22349" s="12" t="str">
        <f ca="1">IFERROR(__xludf.DUMMYFUNCTION("""COMPUTED_VALUE"""),"")</f>
        <v/>
      </c>
      <c r="D22349" s="12" t="str">
        <f ca="1">IFERROR(__xludf.DUMMYFUNCTION("""COMPUTED_VALUE"""),"")</f>
        <v/>
      </c>
    </row>
    <row r="22350" spans="2:4" ht="13">
      <c r="B22350" s="12" t="str">
        <f ca="1">IFERROR(__xludf.DUMMYFUNCTION("""COMPUTED_VALUE"""),"")</f>
        <v/>
      </c>
      <c r="C22350" s="12" t="str">
        <f ca="1">IFERROR(__xludf.DUMMYFUNCTION("""COMPUTED_VALUE"""),"")</f>
        <v/>
      </c>
      <c r="D22350" s="12" t="str">
        <f ca="1">IFERROR(__xludf.DUMMYFUNCTION("""COMPUTED_VALUE"""),"")</f>
        <v/>
      </c>
    </row>
    <row r="22351" spans="2:4" ht="13">
      <c r="B22351" s="12" t="str">
        <f ca="1">IFERROR(__xludf.DUMMYFUNCTION("""COMPUTED_VALUE"""),"")</f>
        <v/>
      </c>
      <c r="C22351" s="12" t="str">
        <f ca="1">IFERROR(__xludf.DUMMYFUNCTION("""COMPUTED_VALUE"""),"")</f>
        <v/>
      </c>
      <c r="D22351" s="12" t="str">
        <f ca="1">IFERROR(__xludf.DUMMYFUNCTION("""COMPUTED_VALUE"""),"")</f>
        <v/>
      </c>
    </row>
    <row r="22352" spans="2:4" ht="13">
      <c r="B22352" s="12" t="str">
        <f ca="1">IFERROR(__xludf.DUMMYFUNCTION("""COMPUTED_VALUE"""),"")</f>
        <v/>
      </c>
      <c r="C22352" s="12" t="str">
        <f ca="1">IFERROR(__xludf.DUMMYFUNCTION("""COMPUTED_VALUE"""),"")</f>
        <v/>
      </c>
      <c r="D22352" s="12" t="str">
        <f ca="1">IFERROR(__xludf.DUMMYFUNCTION("""COMPUTED_VALUE"""),"")</f>
        <v/>
      </c>
    </row>
    <row r="22353" spans="2:4" ht="13">
      <c r="B22353" s="12" t="str">
        <f ca="1">IFERROR(__xludf.DUMMYFUNCTION("""COMPUTED_VALUE"""),"")</f>
        <v/>
      </c>
      <c r="C22353" s="12" t="str">
        <f ca="1">IFERROR(__xludf.DUMMYFUNCTION("""COMPUTED_VALUE"""),"")</f>
        <v/>
      </c>
      <c r="D22353" s="12" t="str">
        <f ca="1">IFERROR(__xludf.DUMMYFUNCTION("""COMPUTED_VALUE"""),"")</f>
        <v/>
      </c>
    </row>
    <row r="22354" spans="2:4" ht="13">
      <c r="B22354" s="12" t="str">
        <f ca="1">IFERROR(__xludf.DUMMYFUNCTION("""COMPUTED_VALUE"""),"")</f>
        <v/>
      </c>
      <c r="C22354" s="12" t="str">
        <f ca="1">IFERROR(__xludf.DUMMYFUNCTION("""COMPUTED_VALUE"""),"")</f>
        <v/>
      </c>
      <c r="D22354" s="12" t="str">
        <f ca="1">IFERROR(__xludf.DUMMYFUNCTION("""COMPUTED_VALUE"""),"")</f>
        <v/>
      </c>
    </row>
    <row r="22355" spans="2:4" ht="13">
      <c r="B22355" s="12" t="str">
        <f ca="1">IFERROR(__xludf.DUMMYFUNCTION("""COMPUTED_VALUE"""),"")</f>
        <v/>
      </c>
      <c r="C22355" s="12" t="str">
        <f ca="1">IFERROR(__xludf.DUMMYFUNCTION("""COMPUTED_VALUE"""),"")</f>
        <v/>
      </c>
      <c r="D22355" s="12" t="str">
        <f ca="1">IFERROR(__xludf.DUMMYFUNCTION("""COMPUTED_VALUE"""),"")</f>
        <v/>
      </c>
    </row>
    <row r="22356" spans="2:4" ht="13">
      <c r="B22356" s="12" t="str">
        <f ca="1">IFERROR(__xludf.DUMMYFUNCTION("""COMPUTED_VALUE"""),"")</f>
        <v/>
      </c>
      <c r="C22356" s="12" t="str">
        <f ca="1">IFERROR(__xludf.DUMMYFUNCTION("""COMPUTED_VALUE"""),"")</f>
        <v/>
      </c>
      <c r="D22356" s="12" t="str">
        <f ca="1">IFERROR(__xludf.DUMMYFUNCTION("""COMPUTED_VALUE"""),"")</f>
        <v/>
      </c>
    </row>
    <row r="22357" spans="2:4" ht="13">
      <c r="B22357" s="12" t="str">
        <f ca="1">IFERROR(__xludf.DUMMYFUNCTION("""COMPUTED_VALUE"""),"")</f>
        <v/>
      </c>
      <c r="C22357" s="12" t="str">
        <f ca="1">IFERROR(__xludf.DUMMYFUNCTION("""COMPUTED_VALUE"""),"")</f>
        <v/>
      </c>
      <c r="D22357" s="12" t="str">
        <f ca="1">IFERROR(__xludf.DUMMYFUNCTION("""COMPUTED_VALUE"""),"")</f>
        <v/>
      </c>
    </row>
    <row r="22358" spans="2:4" ht="13">
      <c r="B22358" s="12" t="str">
        <f ca="1">IFERROR(__xludf.DUMMYFUNCTION("""COMPUTED_VALUE"""),"")</f>
        <v/>
      </c>
      <c r="C22358" s="12" t="str">
        <f ca="1">IFERROR(__xludf.DUMMYFUNCTION("""COMPUTED_VALUE"""),"")</f>
        <v/>
      </c>
      <c r="D22358" s="12" t="str">
        <f ca="1">IFERROR(__xludf.DUMMYFUNCTION("""COMPUTED_VALUE"""),"")</f>
        <v/>
      </c>
    </row>
    <row r="22359" spans="2:4" ht="13">
      <c r="B22359" s="12" t="str">
        <f ca="1">IFERROR(__xludf.DUMMYFUNCTION("""COMPUTED_VALUE"""),"")</f>
        <v/>
      </c>
      <c r="C22359" s="12" t="str">
        <f ca="1">IFERROR(__xludf.DUMMYFUNCTION("""COMPUTED_VALUE"""),"")</f>
        <v/>
      </c>
      <c r="D22359" s="12" t="str">
        <f ca="1">IFERROR(__xludf.DUMMYFUNCTION("""COMPUTED_VALUE"""),"")</f>
        <v/>
      </c>
    </row>
    <row r="22360" spans="2:4" ht="13">
      <c r="B22360" s="12" t="str">
        <f ca="1">IFERROR(__xludf.DUMMYFUNCTION("""COMPUTED_VALUE"""),"")</f>
        <v/>
      </c>
      <c r="C22360" s="12" t="str">
        <f ca="1">IFERROR(__xludf.DUMMYFUNCTION("""COMPUTED_VALUE"""),"")</f>
        <v/>
      </c>
      <c r="D22360" s="12" t="str">
        <f ca="1">IFERROR(__xludf.DUMMYFUNCTION("""COMPUTED_VALUE"""),"")</f>
        <v/>
      </c>
    </row>
    <row r="22361" spans="2:4" ht="13">
      <c r="B22361" s="12" t="str">
        <f ca="1">IFERROR(__xludf.DUMMYFUNCTION("""COMPUTED_VALUE"""),"")</f>
        <v/>
      </c>
      <c r="C22361" s="12" t="str">
        <f ca="1">IFERROR(__xludf.DUMMYFUNCTION("""COMPUTED_VALUE"""),"")</f>
        <v/>
      </c>
      <c r="D22361" s="12" t="str">
        <f ca="1">IFERROR(__xludf.DUMMYFUNCTION("""COMPUTED_VALUE"""),"")</f>
        <v/>
      </c>
    </row>
    <row r="22362" spans="2:4" ht="13">
      <c r="B22362" s="12" t="str">
        <f ca="1">IFERROR(__xludf.DUMMYFUNCTION("""COMPUTED_VALUE"""),"")</f>
        <v/>
      </c>
      <c r="C22362" s="12" t="str">
        <f ca="1">IFERROR(__xludf.DUMMYFUNCTION("""COMPUTED_VALUE"""),"")</f>
        <v/>
      </c>
      <c r="D22362" s="12" t="str">
        <f ca="1">IFERROR(__xludf.DUMMYFUNCTION("""COMPUTED_VALUE"""),"")</f>
        <v/>
      </c>
    </row>
    <row r="22363" spans="2:4" ht="13">
      <c r="B22363" s="12" t="str">
        <f ca="1">IFERROR(__xludf.DUMMYFUNCTION("""COMPUTED_VALUE"""),"")</f>
        <v/>
      </c>
      <c r="C22363" s="12" t="str">
        <f ca="1">IFERROR(__xludf.DUMMYFUNCTION("""COMPUTED_VALUE"""),"")</f>
        <v/>
      </c>
      <c r="D22363" s="12" t="str">
        <f ca="1">IFERROR(__xludf.DUMMYFUNCTION("""COMPUTED_VALUE"""),"")</f>
        <v/>
      </c>
    </row>
    <row r="22364" spans="2:4" ht="13">
      <c r="B22364" s="12" t="str">
        <f ca="1">IFERROR(__xludf.DUMMYFUNCTION("""COMPUTED_VALUE"""),"")</f>
        <v/>
      </c>
      <c r="C22364" s="12" t="str">
        <f ca="1">IFERROR(__xludf.DUMMYFUNCTION("""COMPUTED_VALUE"""),"")</f>
        <v/>
      </c>
      <c r="D22364" s="12" t="str">
        <f ca="1">IFERROR(__xludf.DUMMYFUNCTION("""COMPUTED_VALUE"""),"")</f>
        <v/>
      </c>
    </row>
    <row r="22365" spans="2:4" ht="13">
      <c r="B22365" s="12" t="str">
        <f ca="1">IFERROR(__xludf.DUMMYFUNCTION("""COMPUTED_VALUE"""),"")</f>
        <v/>
      </c>
      <c r="C22365" s="12" t="str">
        <f ca="1">IFERROR(__xludf.DUMMYFUNCTION("""COMPUTED_VALUE"""),"")</f>
        <v/>
      </c>
      <c r="D22365" s="12" t="str">
        <f ca="1">IFERROR(__xludf.DUMMYFUNCTION("""COMPUTED_VALUE"""),"")</f>
        <v/>
      </c>
    </row>
    <row r="22366" spans="2:4" ht="13">
      <c r="B22366" s="12" t="str">
        <f ca="1">IFERROR(__xludf.DUMMYFUNCTION("""COMPUTED_VALUE"""),"")</f>
        <v/>
      </c>
      <c r="C22366" s="12" t="str">
        <f ca="1">IFERROR(__xludf.DUMMYFUNCTION("""COMPUTED_VALUE"""),"")</f>
        <v/>
      </c>
      <c r="D22366" s="12" t="str">
        <f ca="1">IFERROR(__xludf.DUMMYFUNCTION("""COMPUTED_VALUE"""),"")</f>
        <v/>
      </c>
    </row>
    <row r="22367" spans="2:4" ht="13">
      <c r="B22367" s="12" t="str">
        <f ca="1">IFERROR(__xludf.DUMMYFUNCTION("""COMPUTED_VALUE"""),"")</f>
        <v/>
      </c>
      <c r="C22367" s="12" t="str">
        <f ca="1">IFERROR(__xludf.DUMMYFUNCTION("""COMPUTED_VALUE"""),"")</f>
        <v/>
      </c>
      <c r="D22367" s="12" t="str">
        <f ca="1">IFERROR(__xludf.DUMMYFUNCTION("""COMPUTED_VALUE"""),"")</f>
        <v/>
      </c>
    </row>
    <row r="22368" spans="2:4" ht="13">
      <c r="B22368" s="12" t="str">
        <f ca="1">IFERROR(__xludf.DUMMYFUNCTION("""COMPUTED_VALUE"""),"")</f>
        <v/>
      </c>
      <c r="C22368" s="12" t="str">
        <f ca="1">IFERROR(__xludf.DUMMYFUNCTION("""COMPUTED_VALUE"""),"")</f>
        <v/>
      </c>
      <c r="D22368" s="12" t="str">
        <f ca="1">IFERROR(__xludf.DUMMYFUNCTION("""COMPUTED_VALUE"""),"")</f>
        <v/>
      </c>
    </row>
    <row r="22369" spans="2:4" ht="13">
      <c r="B22369" s="12" t="str">
        <f ca="1">IFERROR(__xludf.DUMMYFUNCTION("""COMPUTED_VALUE"""),"")</f>
        <v/>
      </c>
      <c r="C22369" s="12" t="str">
        <f ca="1">IFERROR(__xludf.DUMMYFUNCTION("""COMPUTED_VALUE"""),"")</f>
        <v/>
      </c>
      <c r="D22369" s="12" t="str">
        <f ca="1">IFERROR(__xludf.DUMMYFUNCTION("""COMPUTED_VALUE"""),"")</f>
        <v/>
      </c>
    </row>
    <row r="22370" spans="2:4" ht="13">
      <c r="B22370" s="12" t="str">
        <f ca="1">IFERROR(__xludf.DUMMYFUNCTION("""COMPUTED_VALUE"""),"")</f>
        <v/>
      </c>
      <c r="C22370" s="12" t="str">
        <f ca="1">IFERROR(__xludf.DUMMYFUNCTION("""COMPUTED_VALUE"""),"")</f>
        <v/>
      </c>
      <c r="D22370" s="12" t="str">
        <f ca="1">IFERROR(__xludf.DUMMYFUNCTION("""COMPUTED_VALUE"""),"")</f>
        <v/>
      </c>
    </row>
    <row r="22371" spans="2:4" ht="13">
      <c r="B22371" s="12" t="str">
        <f ca="1">IFERROR(__xludf.DUMMYFUNCTION("""COMPUTED_VALUE"""),"")</f>
        <v/>
      </c>
      <c r="C22371" s="12" t="str">
        <f ca="1">IFERROR(__xludf.DUMMYFUNCTION("""COMPUTED_VALUE"""),"")</f>
        <v/>
      </c>
      <c r="D22371" s="12" t="str">
        <f ca="1">IFERROR(__xludf.DUMMYFUNCTION("""COMPUTED_VALUE"""),"")</f>
        <v/>
      </c>
    </row>
    <row r="22372" spans="2:4" ht="13">
      <c r="B22372" s="12" t="str">
        <f ca="1">IFERROR(__xludf.DUMMYFUNCTION("""COMPUTED_VALUE"""),"")</f>
        <v/>
      </c>
      <c r="C22372" s="12" t="str">
        <f ca="1">IFERROR(__xludf.DUMMYFUNCTION("""COMPUTED_VALUE"""),"")</f>
        <v/>
      </c>
      <c r="D22372" s="12" t="str">
        <f ca="1">IFERROR(__xludf.DUMMYFUNCTION("""COMPUTED_VALUE"""),"")</f>
        <v/>
      </c>
    </row>
    <row r="22373" spans="2:4" ht="13">
      <c r="B22373" s="12" t="str">
        <f ca="1">IFERROR(__xludf.DUMMYFUNCTION("""COMPUTED_VALUE"""),"")</f>
        <v/>
      </c>
      <c r="C22373" s="12" t="str">
        <f ca="1">IFERROR(__xludf.DUMMYFUNCTION("""COMPUTED_VALUE"""),"")</f>
        <v/>
      </c>
      <c r="D22373" s="12" t="str">
        <f ca="1">IFERROR(__xludf.DUMMYFUNCTION("""COMPUTED_VALUE"""),"")</f>
        <v/>
      </c>
    </row>
    <row r="22374" spans="2:4" ht="13">
      <c r="B22374" s="12" t="str">
        <f ca="1">IFERROR(__xludf.DUMMYFUNCTION("""COMPUTED_VALUE"""),"")</f>
        <v/>
      </c>
      <c r="C22374" s="12" t="str">
        <f ca="1">IFERROR(__xludf.DUMMYFUNCTION("""COMPUTED_VALUE"""),"")</f>
        <v/>
      </c>
      <c r="D22374" s="12" t="str">
        <f ca="1">IFERROR(__xludf.DUMMYFUNCTION("""COMPUTED_VALUE"""),"")</f>
        <v/>
      </c>
    </row>
    <row r="22375" spans="2:4" ht="13">
      <c r="B22375" s="12" t="str">
        <f ca="1">IFERROR(__xludf.DUMMYFUNCTION("""COMPUTED_VALUE"""),"")</f>
        <v/>
      </c>
      <c r="C22375" s="12" t="str">
        <f ca="1">IFERROR(__xludf.DUMMYFUNCTION("""COMPUTED_VALUE"""),"")</f>
        <v/>
      </c>
      <c r="D22375" s="12" t="str">
        <f ca="1">IFERROR(__xludf.DUMMYFUNCTION("""COMPUTED_VALUE"""),"")</f>
        <v/>
      </c>
    </row>
    <row r="22376" spans="2:4" ht="13">
      <c r="B22376" s="12" t="str">
        <f ca="1">IFERROR(__xludf.DUMMYFUNCTION("""COMPUTED_VALUE"""),"")</f>
        <v/>
      </c>
      <c r="C22376" s="12" t="str">
        <f ca="1">IFERROR(__xludf.DUMMYFUNCTION("""COMPUTED_VALUE"""),"")</f>
        <v/>
      </c>
      <c r="D22376" s="12" t="str">
        <f ca="1">IFERROR(__xludf.DUMMYFUNCTION("""COMPUTED_VALUE"""),"")</f>
        <v/>
      </c>
    </row>
    <row r="22377" spans="2:4" ht="13">
      <c r="B22377" s="12" t="str">
        <f ca="1">IFERROR(__xludf.DUMMYFUNCTION("""COMPUTED_VALUE"""),"")</f>
        <v/>
      </c>
      <c r="C22377" s="12" t="str">
        <f ca="1">IFERROR(__xludf.DUMMYFUNCTION("""COMPUTED_VALUE"""),"")</f>
        <v/>
      </c>
      <c r="D22377" s="12" t="str">
        <f ca="1">IFERROR(__xludf.DUMMYFUNCTION("""COMPUTED_VALUE"""),"")</f>
        <v/>
      </c>
    </row>
    <row r="22378" spans="2:4" ht="13">
      <c r="B22378" s="12" t="str">
        <f ca="1">IFERROR(__xludf.DUMMYFUNCTION("""COMPUTED_VALUE"""),"")</f>
        <v/>
      </c>
      <c r="C22378" s="12" t="str">
        <f ca="1">IFERROR(__xludf.DUMMYFUNCTION("""COMPUTED_VALUE"""),"")</f>
        <v/>
      </c>
      <c r="D22378" s="12" t="str">
        <f ca="1">IFERROR(__xludf.DUMMYFUNCTION("""COMPUTED_VALUE"""),"")</f>
        <v/>
      </c>
    </row>
    <row r="22379" spans="2:4" ht="13">
      <c r="B22379" s="12" t="str">
        <f ca="1">IFERROR(__xludf.DUMMYFUNCTION("""COMPUTED_VALUE"""),"")</f>
        <v/>
      </c>
      <c r="C22379" s="12" t="str">
        <f ca="1">IFERROR(__xludf.DUMMYFUNCTION("""COMPUTED_VALUE"""),"")</f>
        <v/>
      </c>
      <c r="D22379" s="12" t="str">
        <f ca="1">IFERROR(__xludf.DUMMYFUNCTION("""COMPUTED_VALUE"""),"")</f>
        <v/>
      </c>
    </row>
    <row r="22380" spans="2:4" ht="13">
      <c r="B22380" s="12" t="str">
        <f ca="1">IFERROR(__xludf.DUMMYFUNCTION("""COMPUTED_VALUE"""),"")</f>
        <v/>
      </c>
      <c r="C22380" s="12" t="str">
        <f ca="1">IFERROR(__xludf.DUMMYFUNCTION("""COMPUTED_VALUE"""),"")</f>
        <v/>
      </c>
      <c r="D22380" s="12" t="str">
        <f ca="1">IFERROR(__xludf.DUMMYFUNCTION("""COMPUTED_VALUE"""),"")</f>
        <v/>
      </c>
    </row>
    <row r="22381" spans="2:4" ht="13">
      <c r="B22381" s="12" t="str">
        <f ca="1">IFERROR(__xludf.DUMMYFUNCTION("""COMPUTED_VALUE"""),"")</f>
        <v/>
      </c>
      <c r="C22381" s="12" t="str">
        <f ca="1">IFERROR(__xludf.DUMMYFUNCTION("""COMPUTED_VALUE"""),"")</f>
        <v/>
      </c>
      <c r="D22381" s="12" t="str">
        <f ca="1">IFERROR(__xludf.DUMMYFUNCTION("""COMPUTED_VALUE"""),"")</f>
        <v/>
      </c>
    </row>
    <row r="22382" spans="2:4" ht="13">
      <c r="B22382" s="12" t="str">
        <f ca="1">IFERROR(__xludf.DUMMYFUNCTION("""COMPUTED_VALUE"""),"")</f>
        <v/>
      </c>
      <c r="C22382" s="12" t="str">
        <f ca="1">IFERROR(__xludf.DUMMYFUNCTION("""COMPUTED_VALUE"""),"")</f>
        <v/>
      </c>
      <c r="D22382" s="12" t="str">
        <f ca="1">IFERROR(__xludf.DUMMYFUNCTION("""COMPUTED_VALUE"""),"")</f>
        <v/>
      </c>
    </row>
    <row r="22383" spans="2:4" ht="13">
      <c r="B22383" s="12" t="str">
        <f ca="1">IFERROR(__xludf.DUMMYFUNCTION("""COMPUTED_VALUE"""),"")</f>
        <v/>
      </c>
      <c r="C22383" s="12" t="str">
        <f ca="1">IFERROR(__xludf.DUMMYFUNCTION("""COMPUTED_VALUE"""),"")</f>
        <v/>
      </c>
      <c r="D22383" s="12" t="str">
        <f ca="1">IFERROR(__xludf.DUMMYFUNCTION("""COMPUTED_VALUE"""),"")</f>
        <v/>
      </c>
    </row>
    <row r="22384" spans="2:4" ht="13">
      <c r="B22384" s="12" t="str">
        <f ca="1">IFERROR(__xludf.DUMMYFUNCTION("""COMPUTED_VALUE"""),"")</f>
        <v/>
      </c>
      <c r="C22384" s="12" t="str">
        <f ca="1">IFERROR(__xludf.DUMMYFUNCTION("""COMPUTED_VALUE"""),"")</f>
        <v/>
      </c>
      <c r="D22384" s="12" t="str">
        <f ca="1">IFERROR(__xludf.DUMMYFUNCTION("""COMPUTED_VALUE"""),"")</f>
        <v/>
      </c>
    </row>
    <row r="22385" spans="2:4" ht="13">
      <c r="B22385" s="12" t="str">
        <f ca="1">IFERROR(__xludf.DUMMYFUNCTION("""COMPUTED_VALUE"""),"")</f>
        <v/>
      </c>
      <c r="C22385" s="12" t="str">
        <f ca="1">IFERROR(__xludf.DUMMYFUNCTION("""COMPUTED_VALUE"""),"")</f>
        <v/>
      </c>
      <c r="D22385" s="12" t="str">
        <f ca="1">IFERROR(__xludf.DUMMYFUNCTION("""COMPUTED_VALUE"""),"")</f>
        <v/>
      </c>
    </row>
    <row r="22386" spans="2:4" ht="13">
      <c r="B22386" s="12" t="str">
        <f ca="1">IFERROR(__xludf.DUMMYFUNCTION("""COMPUTED_VALUE"""),"")</f>
        <v/>
      </c>
      <c r="C22386" s="12" t="str">
        <f ca="1">IFERROR(__xludf.DUMMYFUNCTION("""COMPUTED_VALUE"""),"")</f>
        <v/>
      </c>
      <c r="D22386" s="12" t="str">
        <f ca="1">IFERROR(__xludf.DUMMYFUNCTION("""COMPUTED_VALUE"""),"")</f>
        <v/>
      </c>
    </row>
    <row r="22387" spans="2:4" ht="13">
      <c r="B22387" s="12" t="str">
        <f ca="1">IFERROR(__xludf.DUMMYFUNCTION("""COMPUTED_VALUE"""),"")</f>
        <v/>
      </c>
      <c r="C22387" s="12" t="str">
        <f ca="1">IFERROR(__xludf.DUMMYFUNCTION("""COMPUTED_VALUE"""),"")</f>
        <v/>
      </c>
      <c r="D22387" s="12" t="str">
        <f ca="1">IFERROR(__xludf.DUMMYFUNCTION("""COMPUTED_VALUE"""),"")</f>
        <v/>
      </c>
    </row>
    <row r="22388" spans="2:4" ht="13">
      <c r="B22388" s="12" t="str">
        <f ca="1">IFERROR(__xludf.DUMMYFUNCTION("""COMPUTED_VALUE"""),"")</f>
        <v/>
      </c>
      <c r="C22388" s="12" t="str">
        <f ca="1">IFERROR(__xludf.DUMMYFUNCTION("""COMPUTED_VALUE"""),"")</f>
        <v/>
      </c>
      <c r="D22388" s="12" t="str">
        <f ca="1">IFERROR(__xludf.DUMMYFUNCTION("""COMPUTED_VALUE"""),"")</f>
        <v/>
      </c>
    </row>
    <row r="22389" spans="2:4" ht="13">
      <c r="B22389" s="12" t="str">
        <f ca="1">IFERROR(__xludf.DUMMYFUNCTION("""COMPUTED_VALUE"""),"")</f>
        <v/>
      </c>
      <c r="C22389" s="12" t="str">
        <f ca="1">IFERROR(__xludf.DUMMYFUNCTION("""COMPUTED_VALUE"""),"")</f>
        <v/>
      </c>
      <c r="D22389" s="12" t="str">
        <f ca="1">IFERROR(__xludf.DUMMYFUNCTION("""COMPUTED_VALUE"""),"")</f>
        <v/>
      </c>
    </row>
    <row r="22390" spans="2:4" ht="13">
      <c r="B22390" s="12" t="str">
        <f ca="1">IFERROR(__xludf.DUMMYFUNCTION("""COMPUTED_VALUE"""),"")</f>
        <v/>
      </c>
      <c r="C22390" s="12" t="str">
        <f ca="1">IFERROR(__xludf.DUMMYFUNCTION("""COMPUTED_VALUE"""),"")</f>
        <v/>
      </c>
      <c r="D22390" s="12" t="str">
        <f ca="1">IFERROR(__xludf.DUMMYFUNCTION("""COMPUTED_VALUE"""),"")</f>
        <v/>
      </c>
    </row>
    <row r="22391" spans="2:4" ht="13">
      <c r="B22391" s="12" t="str">
        <f ca="1">IFERROR(__xludf.DUMMYFUNCTION("""COMPUTED_VALUE"""),"")</f>
        <v/>
      </c>
      <c r="C22391" s="12" t="str">
        <f ca="1">IFERROR(__xludf.DUMMYFUNCTION("""COMPUTED_VALUE"""),"")</f>
        <v/>
      </c>
      <c r="D22391" s="12" t="str">
        <f ca="1">IFERROR(__xludf.DUMMYFUNCTION("""COMPUTED_VALUE"""),"")</f>
        <v/>
      </c>
    </row>
    <row r="22392" spans="2:4" ht="13">
      <c r="B22392" s="12" t="str">
        <f ca="1">IFERROR(__xludf.DUMMYFUNCTION("""COMPUTED_VALUE"""),"")</f>
        <v/>
      </c>
      <c r="C22392" s="12" t="str">
        <f ca="1">IFERROR(__xludf.DUMMYFUNCTION("""COMPUTED_VALUE"""),"")</f>
        <v/>
      </c>
      <c r="D22392" s="12" t="str">
        <f ca="1">IFERROR(__xludf.DUMMYFUNCTION("""COMPUTED_VALUE"""),"")</f>
        <v/>
      </c>
    </row>
    <row r="22393" spans="2:4" ht="13">
      <c r="B22393" s="12" t="str">
        <f ca="1">IFERROR(__xludf.DUMMYFUNCTION("""COMPUTED_VALUE"""),"")</f>
        <v/>
      </c>
      <c r="C22393" s="12" t="str">
        <f ca="1">IFERROR(__xludf.DUMMYFUNCTION("""COMPUTED_VALUE"""),"")</f>
        <v/>
      </c>
      <c r="D22393" s="12" t="str">
        <f ca="1">IFERROR(__xludf.DUMMYFUNCTION("""COMPUTED_VALUE"""),"")</f>
        <v/>
      </c>
    </row>
    <row r="22394" spans="2:4" ht="13">
      <c r="B22394" s="12" t="str">
        <f ca="1">IFERROR(__xludf.DUMMYFUNCTION("""COMPUTED_VALUE"""),"")</f>
        <v/>
      </c>
      <c r="C22394" s="12" t="str">
        <f ca="1">IFERROR(__xludf.DUMMYFUNCTION("""COMPUTED_VALUE"""),"")</f>
        <v/>
      </c>
      <c r="D22394" s="12" t="str">
        <f ca="1">IFERROR(__xludf.DUMMYFUNCTION("""COMPUTED_VALUE"""),"")</f>
        <v/>
      </c>
    </row>
    <row r="22395" spans="2:4" ht="13">
      <c r="B22395" s="12" t="str">
        <f ca="1">IFERROR(__xludf.DUMMYFUNCTION("""COMPUTED_VALUE"""),"")</f>
        <v/>
      </c>
      <c r="C22395" s="12" t="str">
        <f ca="1">IFERROR(__xludf.DUMMYFUNCTION("""COMPUTED_VALUE"""),"")</f>
        <v/>
      </c>
      <c r="D22395" s="12" t="str">
        <f ca="1">IFERROR(__xludf.DUMMYFUNCTION("""COMPUTED_VALUE"""),"")</f>
        <v/>
      </c>
    </row>
    <row r="22396" spans="2:4" ht="13">
      <c r="B22396" s="12" t="str">
        <f ca="1">IFERROR(__xludf.DUMMYFUNCTION("""COMPUTED_VALUE"""),"")</f>
        <v/>
      </c>
      <c r="C22396" s="12" t="str">
        <f ca="1">IFERROR(__xludf.DUMMYFUNCTION("""COMPUTED_VALUE"""),"")</f>
        <v/>
      </c>
      <c r="D22396" s="12" t="str">
        <f ca="1">IFERROR(__xludf.DUMMYFUNCTION("""COMPUTED_VALUE"""),"")</f>
        <v/>
      </c>
    </row>
    <row r="22397" spans="2:4" ht="13">
      <c r="B22397" s="12" t="str">
        <f ca="1">IFERROR(__xludf.DUMMYFUNCTION("""COMPUTED_VALUE"""),"")</f>
        <v/>
      </c>
      <c r="C22397" s="12" t="str">
        <f ca="1">IFERROR(__xludf.DUMMYFUNCTION("""COMPUTED_VALUE"""),"")</f>
        <v/>
      </c>
      <c r="D22397" s="12" t="str">
        <f ca="1">IFERROR(__xludf.DUMMYFUNCTION("""COMPUTED_VALUE"""),"")</f>
        <v/>
      </c>
    </row>
    <row r="22398" spans="2:4" ht="13">
      <c r="B22398" s="12" t="str">
        <f ca="1">IFERROR(__xludf.DUMMYFUNCTION("""COMPUTED_VALUE"""),"")</f>
        <v/>
      </c>
      <c r="C22398" s="12" t="str">
        <f ca="1">IFERROR(__xludf.DUMMYFUNCTION("""COMPUTED_VALUE"""),"")</f>
        <v/>
      </c>
      <c r="D22398" s="12" t="str">
        <f ca="1">IFERROR(__xludf.DUMMYFUNCTION("""COMPUTED_VALUE"""),"")</f>
        <v/>
      </c>
    </row>
    <row r="22399" spans="2:4" ht="13">
      <c r="B22399" s="12" t="str">
        <f ca="1">IFERROR(__xludf.DUMMYFUNCTION("""COMPUTED_VALUE"""),"")</f>
        <v/>
      </c>
      <c r="C22399" s="12" t="str">
        <f ca="1">IFERROR(__xludf.DUMMYFUNCTION("""COMPUTED_VALUE"""),"")</f>
        <v/>
      </c>
      <c r="D22399" s="12" t="str">
        <f ca="1">IFERROR(__xludf.DUMMYFUNCTION("""COMPUTED_VALUE"""),"")</f>
        <v/>
      </c>
    </row>
    <row r="22400" spans="2:4" ht="13">
      <c r="B22400" s="12" t="str">
        <f ca="1">IFERROR(__xludf.DUMMYFUNCTION("""COMPUTED_VALUE"""),"")</f>
        <v/>
      </c>
      <c r="C22400" s="12" t="str">
        <f ca="1">IFERROR(__xludf.DUMMYFUNCTION("""COMPUTED_VALUE"""),"")</f>
        <v/>
      </c>
      <c r="D22400" s="12" t="str">
        <f ca="1">IFERROR(__xludf.DUMMYFUNCTION("""COMPUTED_VALUE"""),"")</f>
        <v/>
      </c>
    </row>
    <row r="22401" spans="2:4" ht="13">
      <c r="B22401" s="12" t="str">
        <f ca="1">IFERROR(__xludf.DUMMYFUNCTION("""COMPUTED_VALUE"""),"")</f>
        <v/>
      </c>
      <c r="C22401" s="12" t="str">
        <f ca="1">IFERROR(__xludf.DUMMYFUNCTION("""COMPUTED_VALUE"""),"")</f>
        <v/>
      </c>
      <c r="D22401" s="12" t="str">
        <f ca="1">IFERROR(__xludf.DUMMYFUNCTION("""COMPUTED_VALUE"""),"")</f>
        <v/>
      </c>
    </row>
    <row r="22402" spans="2:4" ht="13">
      <c r="B22402" s="12" t="str">
        <f ca="1">IFERROR(__xludf.DUMMYFUNCTION("""COMPUTED_VALUE"""),"")</f>
        <v/>
      </c>
      <c r="C22402" s="12" t="str">
        <f ca="1">IFERROR(__xludf.DUMMYFUNCTION("""COMPUTED_VALUE"""),"")</f>
        <v/>
      </c>
      <c r="D22402" s="12" t="str">
        <f ca="1">IFERROR(__xludf.DUMMYFUNCTION("""COMPUTED_VALUE"""),"")</f>
        <v/>
      </c>
    </row>
    <row r="22403" spans="2:4" ht="13">
      <c r="B22403" s="12" t="str">
        <f ca="1">IFERROR(__xludf.DUMMYFUNCTION("""COMPUTED_VALUE"""),"")</f>
        <v/>
      </c>
      <c r="C22403" s="12" t="str">
        <f ca="1">IFERROR(__xludf.DUMMYFUNCTION("""COMPUTED_VALUE"""),"")</f>
        <v/>
      </c>
      <c r="D22403" s="12" t="str">
        <f ca="1">IFERROR(__xludf.DUMMYFUNCTION("""COMPUTED_VALUE"""),"")</f>
        <v/>
      </c>
    </row>
    <row r="22404" spans="2:4" ht="13">
      <c r="B22404" s="12" t="str">
        <f ca="1">IFERROR(__xludf.DUMMYFUNCTION("""COMPUTED_VALUE"""),"")</f>
        <v/>
      </c>
      <c r="C22404" s="12" t="str">
        <f ca="1">IFERROR(__xludf.DUMMYFUNCTION("""COMPUTED_VALUE"""),"")</f>
        <v/>
      </c>
      <c r="D22404" s="12" t="str">
        <f ca="1">IFERROR(__xludf.DUMMYFUNCTION("""COMPUTED_VALUE"""),"")</f>
        <v/>
      </c>
    </row>
    <row r="22405" spans="2:4" ht="13">
      <c r="B22405" s="12" t="str">
        <f ca="1">IFERROR(__xludf.DUMMYFUNCTION("""COMPUTED_VALUE"""),"")</f>
        <v/>
      </c>
      <c r="C22405" s="12" t="str">
        <f ca="1">IFERROR(__xludf.DUMMYFUNCTION("""COMPUTED_VALUE"""),"")</f>
        <v/>
      </c>
      <c r="D22405" s="12" t="str">
        <f ca="1">IFERROR(__xludf.DUMMYFUNCTION("""COMPUTED_VALUE"""),"")</f>
        <v/>
      </c>
    </row>
    <row r="22406" spans="2:4" ht="13">
      <c r="B22406" s="12" t="str">
        <f ca="1">IFERROR(__xludf.DUMMYFUNCTION("""COMPUTED_VALUE"""),"")</f>
        <v/>
      </c>
      <c r="C22406" s="12" t="str">
        <f ca="1">IFERROR(__xludf.DUMMYFUNCTION("""COMPUTED_VALUE"""),"")</f>
        <v/>
      </c>
      <c r="D22406" s="12" t="str">
        <f ca="1">IFERROR(__xludf.DUMMYFUNCTION("""COMPUTED_VALUE"""),"")</f>
        <v/>
      </c>
    </row>
    <row r="22407" spans="2:4" ht="13">
      <c r="B22407" s="12" t="str">
        <f ca="1">IFERROR(__xludf.DUMMYFUNCTION("""COMPUTED_VALUE"""),"")</f>
        <v/>
      </c>
      <c r="C22407" s="12" t="str">
        <f ca="1">IFERROR(__xludf.DUMMYFUNCTION("""COMPUTED_VALUE"""),"")</f>
        <v/>
      </c>
      <c r="D22407" s="12" t="str">
        <f ca="1">IFERROR(__xludf.DUMMYFUNCTION("""COMPUTED_VALUE"""),"")</f>
        <v/>
      </c>
    </row>
    <row r="22408" spans="2:4" ht="13">
      <c r="B22408" s="12" t="str">
        <f ca="1">IFERROR(__xludf.DUMMYFUNCTION("""COMPUTED_VALUE"""),"")</f>
        <v/>
      </c>
      <c r="C22408" s="12" t="str">
        <f ca="1">IFERROR(__xludf.DUMMYFUNCTION("""COMPUTED_VALUE"""),"")</f>
        <v/>
      </c>
      <c r="D22408" s="12" t="str">
        <f ca="1">IFERROR(__xludf.DUMMYFUNCTION("""COMPUTED_VALUE"""),"")</f>
        <v/>
      </c>
    </row>
    <row r="22409" spans="2:4" ht="13">
      <c r="B22409" s="12" t="str">
        <f ca="1">IFERROR(__xludf.DUMMYFUNCTION("""COMPUTED_VALUE"""),"")</f>
        <v/>
      </c>
      <c r="C22409" s="12" t="str">
        <f ca="1">IFERROR(__xludf.DUMMYFUNCTION("""COMPUTED_VALUE"""),"")</f>
        <v/>
      </c>
      <c r="D22409" s="12" t="str">
        <f ca="1">IFERROR(__xludf.DUMMYFUNCTION("""COMPUTED_VALUE"""),"")</f>
        <v/>
      </c>
    </row>
    <row r="22410" spans="2:4" ht="13">
      <c r="B22410" s="12" t="str">
        <f ca="1">IFERROR(__xludf.DUMMYFUNCTION("""COMPUTED_VALUE"""),"")</f>
        <v/>
      </c>
      <c r="C22410" s="12" t="str">
        <f ca="1">IFERROR(__xludf.DUMMYFUNCTION("""COMPUTED_VALUE"""),"")</f>
        <v/>
      </c>
      <c r="D22410" s="12" t="str">
        <f ca="1">IFERROR(__xludf.DUMMYFUNCTION("""COMPUTED_VALUE"""),"")</f>
        <v/>
      </c>
    </row>
    <row r="22411" spans="2:4" ht="13">
      <c r="B22411" s="12" t="str">
        <f ca="1">IFERROR(__xludf.DUMMYFUNCTION("""COMPUTED_VALUE"""),"")</f>
        <v/>
      </c>
      <c r="C22411" s="12" t="str">
        <f ca="1">IFERROR(__xludf.DUMMYFUNCTION("""COMPUTED_VALUE"""),"")</f>
        <v/>
      </c>
      <c r="D22411" s="12" t="str">
        <f ca="1">IFERROR(__xludf.DUMMYFUNCTION("""COMPUTED_VALUE"""),"")</f>
        <v/>
      </c>
    </row>
    <row r="22412" spans="2:4" ht="13">
      <c r="B22412" s="12" t="str">
        <f ca="1">IFERROR(__xludf.DUMMYFUNCTION("""COMPUTED_VALUE"""),"")</f>
        <v/>
      </c>
      <c r="C22412" s="12" t="str">
        <f ca="1">IFERROR(__xludf.DUMMYFUNCTION("""COMPUTED_VALUE"""),"")</f>
        <v/>
      </c>
      <c r="D22412" s="12" t="str">
        <f ca="1">IFERROR(__xludf.DUMMYFUNCTION("""COMPUTED_VALUE"""),"")</f>
        <v/>
      </c>
    </row>
    <row r="22413" spans="2:4" ht="13">
      <c r="B22413" s="12" t="str">
        <f ca="1">IFERROR(__xludf.DUMMYFUNCTION("""COMPUTED_VALUE"""),"")</f>
        <v/>
      </c>
      <c r="C22413" s="12" t="str">
        <f ca="1">IFERROR(__xludf.DUMMYFUNCTION("""COMPUTED_VALUE"""),"")</f>
        <v/>
      </c>
      <c r="D22413" s="12" t="str">
        <f ca="1">IFERROR(__xludf.DUMMYFUNCTION("""COMPUTED_VALUE"""),"")</f>
        <v/>
      </c>
    </row>
    <row r="22414" spans="2:4" ht="13">
      <c r="B22414" s="12" t="str">
        <f ca="1">IFERROR(__xludf.DUMMYFUNCTION("""COMPUTED_VALUE"""),"")</f>
        <v/>
      </c>
      <c r="C22414" s="12" t="str">
        <f ca="1">IFERROR(__xludf.DUMMYFUNCTION("""COMPUTED_VALUE"""),"")</f>
        <v/>
      </c>
      <c r="D22414" s="12" t="str">
        <f ca="1">IFERROR(__xludf.DUMMYFUNCTION("""COMPUTED_VALUE"""),"")</f>
        <v/>
      </c>
    </row>
    <row r="22415" spans="2:4" ht="13">
      <c r="B22415" s="12" t="str">
        <f ca="1">IFERROR(__xludf.DUMMYFUNCTION("""COMPUTED_VALUE"""),"")</f>
        <v/>
      </c>
      <c r="C22415" s="12" t="str">
        <f ca="1">IFERROR(__xludf.DUMMYFUNCTION("""COMPUTED_VALUE"""),"")</f>
        <v/>
      </c>
      <c r="D22415" s="12" t="str">
        <f ca="1">IFERROR(__xludf.DUMMYFUNCTION("""COMPUTED_VALUE"""),"")</f>
        <v/>
      </c>
    </row>
    <row r="22416" spans="2:4" ht="13">
      <c r="B22416" s="12" t="str">
        <f ca="1">IFERROR(__xludf.DUMMYFUNCTION("""COMPUTED_VALUE"""),"")</f>
        <v/>
      </c>
      <c r="C22416" s="12" t="str">
        <f ca="1">IFERROR(__xludf.DUMMYFUNCTION("""COMPUTED_VALUE"""),"")</f>
        <v/>
      </c>
      <c r="D22416" s="12" t="str">
        <f ca="1">IFERROR(__xludf.DUMMYFUNCTION("""COMPUTED_VALUE"""),"")</f>
        <v/>
      </c>
    </row>
    <row r="22417" spans="2:4" ht="13">
      <c r="B22417" s="12" t="str">
        <f ca="1">IFERROR(__xludf.DUMMYFUNCTION("""COMPUTED_VALUE"""),"")</f>
        <v/>
      </c>
      <c r="C22417" s="12" t="str">
        <f ca="1">IFERROR(__xludf.DUMMYFUNCTION("""COMPUTED_VALUE"""),"")</f>
        <v/>
      </c>
      <c r="D22417" s="12" t="str">
        <f ca="1">IFERROR(__xludf.DUMMYFUNCTION("""COMPUTED_VALUE"""),"")</f>
        <v/>
      </c>
    </row>
    <row r="22418" spans="2:4" ht="13">
      <c r="B22418" s="12" t="str">
        <f ca="1">IFERROR(__xludf.DUMMYFUNCTION("""COMPUTED_VALUE"""),"")</f>
        <v/>
      </c>
      <c r="C22418" s="12" t="str">
        <f ca="1">IFERROR(__xludf.DUMMYFUNCTION("""COMPUTED_VALUE"""),"")</f>
        <v/>
      </c>
      <c r="D22418" s="12" t="str">
        <f ca="1">IFERROR(__xludf.DUMMYFUNCTION("""COMPUTED_VALUE"""),"")</f>
        <v/>
      </c>
    </row>
    <row r="22419" spans="2:4" ht="13">
      <c r="B22419" s="12" t="str">
        <f ca="1">IFERROR(__xludf.DUMMYFUNCTION("""COMPUTED_VALUE"""),"")</f>
        <v/>
      </c>
      <c r="C22419" s="12" t="str">
        <f ca="1">IFERROR(__xludf.DUMMYFUNCTION("""COMPUTED_VALUE"""),"")</f>
        <v/>
      </c>
      <c r="D22419" s="12" t="str">
        <f ca="1">IFERROR(__xludf.DUMMYFUNCTION("""COMPUTED_VALUE"""),"")</f>
        <v/>
      </c>
    </row>
    <row r="22420" spans="2:4" ht="13">
      <c r="B22420" s="12" t="str">
        <f ca="1">IFERROR(__xludf.DUMMYFUNCTION("""COMPUTED_VALUE"""),"")</f>
        <v/>
      </c>
      <c r="C22420" s="12" t="str">
        <f ca="1">IFERROR(__xludf.DUMMYFUNCTION("""COMPUTED_VALUE"""),"")</f>
        <v/>
      </c>
      <c r="D22420" s="12" t="str">
        <f ca="1">IFERROR(__xludf.DUMMYFUNCTION("""COMPUTED_VALUE"""),"")</f>
        <v/>
      </c>
    </row>
    <row r="22421" spans="2:4" ht="13">
      <c r="B22421" s="12" t="str">
        <f ca="1">IFERROR(__xludf.DUMMYFUNCTION("""COMPUTED_VALUE"""),"")</f>
        <v/>
      </c>
      <c r="C22421" s="12" t="str">
        <f ca="1">IFERROR(__xludf.DUMMYFUNCTION("""COMPUTED_VALUE"""),"")</f>
        <v/>
      </c>
      <c r="D22421" s="12" t="str">
        <f ca="1">IFERROR(__xludf.DUMMYFUNCTION("""COMPUTED_VALUE"""),"")</f>
        <v/>
      </c>
    </row>
    <row r="22422" spans="2:4" ht="13">
      <c r="B22422" s="12" t="str">
        <f ca="1">IFERROR(__xludf.DUMMYFUNCTION("""COMPUTED_VALUE"""),"")</f>
        <v/>
      </c>
      <c r="C22422" s="12" t="str">
        <f ca="1">IFERROR(__xludf.DUMMYFUNCTION("""COMPUTED_VALUE"""),"")</f>
        <v/>
      </c>
      <c r="D22422" s="12" t="str">
        <f ca="1">IFERROR(__xludf.DUMMYFUNCTION("""COMPUTED_VALUE"""),"")</f>
        <v/>
      </c>
    </row>
    <row r="22423" spans="2:4" ht="13">
      <c r="B22423" s="12" t="str">
        <f ca="1">IFERROR(__xludf.DUMMYFUNCTION("""COMPUTED_VALUE"""),"")</f>
        <v/>
      </c>
      <c r="C22423" s="12" t="str">
        <f ca="1">IFERROR(__xludf.DUMMYFUNCTION("""COMPUTED_VALUE"""),"")</f>
        <v/>
      </c>
      <c r="D22423" s="12" t="str">
        <f ca="1">IFERROR(__xludf.DUMMYFUNCTION("""COMPUTED_VALUE"""),"")</f>
        <v/>
      </c>
    </row>
    <row r="22424" spans="2:4" ht="13">
      <c r="B22424" s="12" t="str">
        <f ca="1">IFERROR(__xludf.DUMMYFUNCTION("""COMPUTED_VALUE"""),"")</f>
        <v/>
      </c>
      <c r="C22424" s="12" t="str">
        <f ca="1">IFERROR(__xludf.DUMMYFUNCTION("""COMPUTED_VALUE"""),"")</f>
        <v/>
      </c>
      <c r="D22424" s="12" t="str">
        <f ca="1">IFERROR(__xludf.DUMMYFUNCTION("""COMPUTED_VALUE"""),"")</f>
        <v/>
      </c>
    </row>
    <row r="22425" spans="2:4" ht="13">
      <c r="B22425" s="12" t="str">
        <f ca="1">IFERROR(__xludf.DUMMYFUNCTION("""COMPUTED_VALUE"""),"")</f>
        <v/>
      </c>
      <c r="C22425" s="12" t="str">
        <f ca="1">IFERROR(__xludf.DUMMYFUNCTION("""COMPUTED_VALUE"""),"")</f>
        <v/>
      </c>
      <c r="D22425" s="12" t="str">
        <f ca="1">IFERROR(__xludf.DUMMYFUNCTION("""COMPUTED_VALUE"""),"")</f>
        <v/>
      </c>
    </row>
    <row r="22426" spans="2:4" ht="13">
      <c r="B22426" s="12" t="str">
        <f ca="1">IFERROR(__xludf.DUMMYFUNCTION("""COMPUTED_VALUE"""),"")</f>
        <v/>
      </c>
      <c r="C22426" s="12" t="str">
        <f ca="1">IFERROR(__xludf.DUMMYFUNCTION("""COMPUTED_VALUE"""),"")</f>
        <v/>
      </c>
      <c r="D22426" s="12" t="str">
        <f ca="1">IFERROR(__xludf.DUMMYFUNCTION("""COMPUTED_VALUE"""),"")</f>
        <v/>
      </c>
    </row>
    <row r="22427" spans="2:4" ht="13">
      <c r="B22427" s="12" t="str">
        <f ca="1">IFERROR(__xludf.DUMMYFUNCTION("""COMPUTED_VALUE"""),"")</f>
        <v/>
      </c>
      <c r="C22427" s="12" t="str">
        <f ca="1">IFERROR(__xludf.DUMMYFUNCTION("""COMPUTED_VALUE"""),"")</f>
        <v/>
      </c>
      <c r="D22427" s="12" t="str">
        <f ca="1">IFERROR(__xludf.DUMMYFUNCTION("""COMPUTED_VALUE"""),"")</f>
        <v/>
      </c>
    </row>
    <row r="22428" spans="2:4" ht="13">
      <c r="B22428" s="12" t="str">
        <f ca="1">IFERROR(__xludf.DUMMYFUNCTION("""COMPUTED_VALUE"""),"")</f>
        <v/>
      </c>
      <c r="C22428" s="12" t="str">
        <f ca="1">IFERROR(__xludf.DUMMYFUNCTION("""COMPUTED_VALUE"""),"")</f>
        <v/>
      </c>
      <c r="D22428" s="12" t="str">
        <f ca="1">IFERROR(__xludf.DUMMYFUNCTION("""COMPUTED_VALUE"""),"")</f>
        <v/>
      </c>
    </row>
    <row r="22429" spans="2:4" ht="13">
      <c r="B22429" s="12" t="str">
        <f ca="1">IFERROR(__xludf.DUMMYFUNCTION("""COMPUTED_VALUE"""),"")</f>
        <v/>
      </c>
      <c r="C22429" s="12" t="str">
        <f ca="1">IFERROR(__xludf.DUMMYFUNCTION("""COMPUTED_VALUE"""),"")</f>
        <v/>
      </c>
      <c r="D22429" s="12" t="str">
        <f ca="1">IFERROR(__xludf.DUMMYFUNCTION("""COMPUTED_VALUE"""),"")</f>
        <v/>
      </c>
    </row>
    <row r="22430" spans="2:4" ht="13">
      <c r="B22430" s="12" t="str">
        <f ca="1">IFERROR(__xludf.DUMMYFUNCTION("""COMPUTED_VALUE"""),"")</f>
        <v/>
      </c>
      <c r="C22430" s="12" t="str">
        <f ca="1">IFERROR(__xludf.DUMMYFUNCTION("""COMPUTED_VALUE"""),"")</f>
        <v/>
      </c>
      <c r="D22430" s="12" t="str">
        <f ca="1">IFERROR(__xludf.DUMMYFUNCTION("""COMPUTED_VALUE"""),"")</f>
        <v/>
      </c>
    </row>
    <row r="22431" spans="2:4" ht="13">
      <c r="B22431" s="12" t="str">
        <f ca="1">IFERROR(__xludf.DUMMYFUNCTION("""COMPUTED_VALUE"""),"")</f>
        <v/>
      </c>
      <c r="C22431" s="12" t="str">
        <f ca="1">IFERROR(__xludf.DUMMYFUNCTION("""COMPUTED_VALUE"""),"")</f>
        <v/>
      </c>
      <c r="D22431" s="12" t="str">
        <f ca="1">IFERROR(__xludf.DUMMYFUNCTION("""COMPUTED_VALUE"""),"")</f>
        <v/>
      </c>
    </row>
    <row r="22432" spans="2:4" ht="13">
      <c r="B22432" s="12" t="str">
        <f ca="1">IFERROR(__xludf.DUMMYFUNCTION("""COMPUTED_VALUE"""),"")</f>
        <v/>
      </c>
      <c r="C22432" s="12" t="str">
        <f ca="1">IFERROR(__xludf.DUMMYFUNCTION("""COMPUTED_VALUE"""),"")</f>
        <v/>
      </c>
      <c r="D22432" s="12" t="str">
        <f ca="1">IFERROR(__xludf.DUMMYFUNCTION("""COMPUTED_VALUE"""),"")</f>
        <v/>
      </c>
    </row>
    <row r="22433" spans="2:4" ht="13">
      <c r="B22433" s="12" t="str">
        <f ca="1">IFERROR(__xludf.DUMMYFUNCTION("""COMPUTED_VALUE"""),"")</f>
        <v/>
      </c>
      <c r="C22433" s="12" t="str">
        <f ca="1">IFERROR(__xludf.DUMMYFUNCTION("""COMPUTED_VALUE"""),"")</f>
        <v/>
      </c>
      <c r="D22433" s="12" t="str">
        <f ca="1">IFERROR(__xludf.DUMMYFUNCTION("""COMPUTED_VALUE"""),"")</f>
        <v/>
      </c>
    </row>
    <row r="22434" spans="2:4" ht="13">
      <c r="B22434" s="12" t="str">
        <f ca="1">IFERROR(__xludf.DUMMYFUNCTION("""COMPUTED_VALUE"""),"")</f>
        <v/>
      </c>
      <c r="C22434" s="12" t="str">
        <f ca="1">IFERROR(__xludf.DUMMYFUNCTION("""COMPUTED_VALUE"""),"")</f>
        <v/>
      </c>
      <c r="D22434" s="12" t="str">
        <f ca="1">IFERROR(__xludf.DUMMYFUNCTION("""COMPUTED_VALUE"""),"")</f>
        <v/>
      </c>
    </row>
    <row r="22435" spans="2:4" ht="13">
      <c r="B22435" s="12" t="str">
        <f ca="1">IFERROR(__xludf.DUMMYFUNCTION("""COMPUTED_VALUE"""),"")</f>
        <v/>
      </c>
      <c r="C22435" s="12" t="str">
        <f ca="1">IFERROR(__xludf.DUMMYFUNCTION("""COMPUTED_VALUE"""),"")</f>
        <v/>
      </c>
      <c r="D22435" s="12" t="str">
        <f ca="1">IFERROR(__xludf.DUMMYFUNCTION("""COMPUTED_VALUE"""),"")</f>
        <v/>
      </c>
    </row>
    <row r="22436" spans="2:4" ht="13">
      <c r="B22436" s="12" t="str">
        <f ca="1">IFERROR(__xludf.DUMMYFUNCTION("""COMPUTED_VALUE"""),"")</f>
        <v/>
      </c>
      <c r="C22436" s="12" t="str">
        <f ca="1">IFERROR(__xludf.DUMMYFUNCTION("""COMPUTED_VALUE"""),"")</f>
        <v/>
      </c>
      <c r="D22436" s="12" t="str">
        <f ca="1">IFERROR(__xludf.DUMMYFUNCTION("""COMPUTED_VALUE"""),"")</f>
        <v/>
      </c>
    </row>
    <row r="22437" spans="2:4" ht="13">
      <c r="B22437" s="12" t="str">
        <f ca="1">IFERROR(__xludf.DUMMYFUNCTION("""COMPUTED_VALUE"""),"")</f>
        <v/>
      </c>
      <c r="C22437" s="12" t="str">
        <f ca="1">IFERROR(__xludf.DUMMYFUNCTION("""COMPUTED_VALUE"""),"")</f>
        <v/>
      </c>
      <c r="D22437" s="12" t="str">
        <f ca="1">IFERROR(__xludf.DUMMYFUNCTION("""COMPUTED_VALUE"""),"")</f>
        <v/>
      </c>
    </row>
    <row r="22438" spans="2:4" ht="13">
      <c r="B22438" s="12" t="str">
        <f ca="1">IFERROR(__xludf.DUMMYFUNCTION("""COMPUTED_VALUE"""),"")</f>
        <v/>
      </c>
      <c r="C22438" s="12" t="str">
        <f ca="1">IFERROR(__xludf.DUMMYFUNCTION("""COMPUTED_VALUE"""),"")</f>
        <v/>
      </c>
      <c r="D22438" s="12" t="str">
        <f ca="1">IFERROR(__xludf.DUMMYFUNCTION("""COMPUTED_VALUE"""),"")</f>
        <v/>
      </c>
    </row>
    <row r="22439" spans="2:4" ht="13">
      <c r="B22439" s="12" t="str">
        <f ca="1">IFERROR(__xludf.DUMMYFUNCTION("""COMPUTED_VALUE"""),"")</f>
        <v/>
      </c>
      <c r="C22439" s="12" t="str">
        <f ca="1">IFERROR(__xludf.DUMMYFUNCTION("""COMPUTED_VALUE"""),"")</f>
        <v/>
      </c>
      <c r="D22439" s="12" t="str">
        <f ca="1">IFERROR(__xludf.DUMMYFUNCTION("""COMPUTED_VALUE"""),"")</f>
        <v/>
      </c>
    </row>
    <row r="22440" spans="2:4" ht="13">
      <c r="B22440" s="12" t="str">
        <f ca="1">IFERROR(__xludf.DUMMYFUNCTION("""COMPUTED_VALUE"""),"")</f>
        <v/>
      </c>
      <c r="C22440" s="12" t="str">
        <f ca="1">IFERROR(__xludf.DUMMYFUNCTION("""COMPUTED_VALUE"""),"")</f>
        <v/>
      </c>
      <c r="D22440" s="12" t="str">
        <f ca="1">IFERROR(__xludf.DUMMYFUNCTION("""COMPUTED_VALUE"""),"")</f>
        <v/>
      </c>
    </row>
    <row r="22441" spans="2:4" ht="13">
      <c r="B22441" s="12" t="str">
        <f ca="1">IFERROR(__xludf.DUMMYFUNCTION("""COMPUTED_VALUE"""),"")</f>
        <v/>
      </c>
      <c r="C22441" s="12" t="str">
        <f ca="1">IFERROR(__xludf.DUMMYFUNCTION("""COMPUTED_VALUE"""),"")</f>
        <v/>
      </c>
      <c r="D22441" s="12" t="str">
        <f ca="1">IFERROR(__xludf.DUMMYFUNCTION("""COMPUTED_VALUE"""),"")</f>
        <v/>
      </c>
    </row>
    <row r="22442" spans="2:4" ht="13">
      <c r="B22442" s="12" t="str">
        <f ca="1">IFERROR(__xludf.DUMMYFUNCTION("""COMPUTED_VALUE"""),"")</f>
        <v/>
      </c>
      <c r="C22442" s="12" t="str">
        <f ca="1">IFERROR(__xludf.DUMMYFUNCTION("""COMPUTED_VALUE"""),"")</f>
        <v/>
      </c>
      <c r="D22442" s="12" t="str">
        <f ca="1">IFERROR(__xludf.DUMMYFUNCTION("""COMPUTED_VALUE"""),"")</f>
        <v/>
      </c>
    </row>
    <row r="22443" spans="2:4" ht="13">
      <c r="B22443" s="12" t="str">
        <f ca="1">IFERROR(__xludf.DUMMYFUNCTION("""COMPUTED_VALUE"""),"")</f>
        <v/>
      </c>
      <c r="C22443" s="12" t="str">
        <f ca="1">IFERROR(__xludf.DUMMYFUNCTION("""COMPUTED_VALUE"""),"")</f>
        <v/>
      </c>
      <c r="D22443" s="12" t="str">
        <f ca="1">IFERROR(__xludf.DUMMYFUNCTION("""COMPUTED_VALUE"""),"")</f>
        <v/>
      </c>
    </row>
    <row r="22444" spans="2:4" ht="13">
      <c r="B22444" s="12" t="str">
        <f ca="1">IFERROR(__xludf.DUMMYFUNCTION("""COMPUTED_VALUE"""),"")</f>
        <v/>
      </c>
      <c r="C22444" s="12" t="str">
        <f ca="1">IFERROR(__xludf.DUMMYFUNCTION("""COMPUTED_VALUE"""),"")</f>
        <v/>
      </c>
      <c r="D22444" s="12" t="str">
        <f ca="1">IFERROR(__xludf.DUMMYFUNCTION("""COMPUTED_VALUE"""),"")</f>
        <v/>
      </c>
    </row>
    <row r="22445" spans="2:4" ht="13">
      <c r="B22445" s="12" t="str">
        <f ca="1">IFERROR(__xludf.DUMMYFUNCTION("""COMPUTED_VALUE"""),"")</f>
        <v/>
      </c>
      <c r="C22445" s="12" t="str">
        <f ca="1">IFERROR(__xludf.DUMMYFUNCTION("""COMPUTED_VALUE"""),"")</f>
        <v/>
      </c>
      <c r="D22445" s="12" t="str">
        <f ca="1">IFERROR(__xludf.DUMMYFUNCTION("""COMPUTED_VALUE"""),"")</f>
        <v/>
      </c>
    </row>
    <row r="22446" spans="2:4" ht="13">
      <c r="B22446" s="12" t="str">
        <f ca="1">IFERROR(__xludf.DUMMYFUNCTION("""COMPUTED_VALUE"""),"")</f>
        <v/>
      </c>
      <c r="C22446" s="12" t="str">
        <f ca="1">IFERROR(__xludf.DUMMYFUNCTION("""COMPUTED_VALUE"""),"")</f>
        <v/>
      </c>
      <c r="D22446" s="12" t="str">
        <f ca="1">IFERROR(__xludf.DUMMYFUNCTION("""COMPUTED_VALUE"""),"")</f>
        <v/>
      </c>
    </row>
    <row r="22447" spans="2:4" ht="13">
      <c r="B22447" s="12" t="str">
        <f ca="1">IFERROR(__xludf.DUMMYFUNCTION("""COMPUTED_VALUE"""),"")</f>
        <v/>
      </c>
      <c r="C22447" s="12" t="str">
        <f ca="1">IFERROR(__xludf.DUMMYFUNCTION("""COMPUTED_VALUE"""),"")</f>
        <v/>
      </c>
      <c r="D22447" s="12" t="str">
        <f ca="1">IFERROR(__xludf.DUMMYFUNCTION("""COMPUTED_VALUE"""),"")</f>
        <v/>
      </c>
    </row>
    <row r="22448" spans="2:4" ht="13">
      <c r="B22448" s="12" t="str">
        <f ca="1">IFERROR(__xludf.DUMMYFUNCTION("""COMPUTED_VALUE"""),"")</f>
        <v/>
      </c>
      <c r="C22448" s="12" t="str">
        <f ca="1">IFERROR(__xludf.DUMMYFUNCTION("""COMPUTED_VALUE"""),"")</f>
        <v/>
      </c>
      <c r="D22448" s="12" t="str">
        <f ca="1">IFERROR(__xludf.DUMMYFUNCTION("""COMPUTED_VALUE"""),"")</f>
        <v/>
      </c>
    </row>
    <row r="22449" spans="2:4" ht="13">
      <c r="B22449" s="12" t="str">
        <f ca="1">IFERROR(__xludf.DUMMYFUNCTION("""COMPUTED_VALUE"""),"")</f>
        <v/>
      </c>
      <c r="C22449" s="12" t="str">
        <f ca="1">IFERROR(__xludf.DUMMYFUNCTION("""COMPUTED_VALUE"""),"")</f>
        <v/>
      </c>
      <c r="D22449" s="12" t="str">
        <f ca="1">IFERROR(__xludf.DUMMYFUNCTION("""COMPUTED_VALUE"""),"")</f>
        <v/>
      </c>
    </row>
    <row r="22450" spans="2:4" ht="13">
      <c r="B22450" s="12" t="str">
        <f ca="1">IFERROR(__xludf.DUMMYFUNCTION("""COMPUTED_VALUE"""),"")</f>
        <v/>
      </c>
      <c r="C22450" s="12" t="str">
        <f ca="1">IFERROR(__xludf.DUMMYFUNCTION("""COMPUTED_VALUE"""),"")</f>
        <v/>
      </c>
      <c r="D22450" s="12" t="str">
        <f ca="1">IFERROR(__xludf.DUMMYFUNCTION("""COMPUTED_VALUE"""),"")</f>
        <v/>
      </c>
    </row>
    <row r="22451" spans="2:4" ht="13">
      <c r="B22451" s="12" t="str">
        <f ca="1">IFERROR(__xludf.DUMMYFUNCTION("""COMPUTED_VALUE"""),"")</f>
        <v/>
      </c>
      <c r="C22451" s="12" t="str">
        <f ca="1">IFERROR(__xludf.DUMMYFUNCTION("""COMPUTED_VALUE"""),"")</f>
        <v/>
      </c>
      <c r="D22451" s="12" t="str">
        <f ca="1">IFERROR(__xludf.DUMMYFUNCTION("""COMPUTED_VALUE"""),"")</f>
        <v/>
      </c>
    </row>
    <row r="22452" spans="2:4" ht="13">
      <c r="B22452" s="12" t="str">
        <f ca="1">IFERROR(__xludf.DUMMYFUNCTION("""COMPUTED_VALUE"""),"")</f>
        <v/>
      </c>
      <c r="C22452" s="12" t="str">
        <f ca="1">IFERROR(__xludf.DUMMYFUNCTION("""COMPUTED_VALUE"""),"")</f>
        <v/>
      </c>
      <c r="D22452" s="12" t="str">
        <f ca="1">IFERROR(__xludf.DUMMYFUNCTION("""COMPUTED_VALUE"""),"")</f>
        <v/>
      </c>
    </row>
    <row r="22453" spans="2:4" ht="13">
      <c r="B22453" s="12" t="str">
        <f ca="1">IFERROR(__xludf.DUMMYFUNCTION("""COMPUTED_VALUE"""),"")</f>
        <v/>
      </c>
      <c r="C22453" s="12" t="str">
        <f ca="1">IFERROR(__xludf.DUMMYFUNCTION("""COMPUTED_VALUE"""),"")</f>
        <v/>
      </c>
      <c r="D22453" s="12" t="str">
        <f ca="1">IFERROR(__xludf.DUMMYFUNCTION("""COMPUTED_VALUE"""),"")</f>
        <v/>
      </c>
    </row>
    <row r="22454" spans="2:4" ht="13">
      <c r="B22454" s="12" t="str">
        <f ca="1">IFERROR(__xludf.DUMMYFUNCTION("""COMPUTED_VALUE"""),"")</f>
        <v/>
      </c>
      <c r="C22454" s="12" t="str">
        <f ca="1">IFERROR(__xludf.DUMMYFUNCTION("""COMPUTED_VALUE"""),"")</f>
        <v/>
      </c>
      <c r="D22454" s="12" t="str">
        <f ca="1">IFERROR(__xludf.DUMMYFUNCTION("""COMPUTED_VALUE"""),"")</f>
        <v/>
      </c>
    </row>
    <row r="22455" spans="2:4" ht="13">
      <c r="B22455" s="12" t="str">
        <f ca="1">IFERROR(__xludf.DUMMYFUNCTION("""COMPUTED_VALUE"""),"")</f>
        <v/>
      </c>
      <c r="C22455" s="12" t="str">
        <f ca="1">IFERROR(__xludf.DUMMYFUNCTION("""COMPUTED_VALUE"""),"")</f>
        <v/>
      </c>
      <c r="D22455" s="12" t="str">
        <f ca="1">IFERROR(__xludf.DUMMYFUNCTION("""COMPUTED_VALUE"""),"")</f>
        <v/>
      </c>
    </row>
    <row r="22456" spans="2:4" ht="13">
      <c r="B22456" s="12" t="str">
        <f ca="1">IFERROR(__xludf.DUMMYFUNCTION("""COMPUTED_VALUE"""),"")</f>
        <v/>
      </c>
      <c r="C22456" s="12" t="str">
        <f ca="1">IFERROR(__xludf.DUMMYFUNCTION("""COMPUTED_VALUE"""),"")</f>
        <v/>
      </c>
      <c r="D22456" s="12" t="str">
        <f ca="1">IFERROR(__xludf.DUMMYFUNCTION("""COMPUTED_VALUE"""),"")</f>
        <v/>
      </c>
    </row>
    <row r="22457" spans="2:4" ht="13">
      <c r="B22457" s="12" t="str">
        <f ca="1">IFERROR(__xludf.DUMMYFUNCTION("""COMPUTED_VALUE"""),"")</f>
        <v/>
      </c>
      <c r="C22457" s="12" t="str">
        <f ca="1">IFERROR(__xludf.DUMMYFUNCTION("""COMPUTED_VALUE"""),"")</f>
        <v/>
      </c>
      <c r="D22457" s="12" t="str">
        <f ca="1">IFERROR(__xludf.DUMMYFUNCTION("""COMPUTED_VALUE"""),"")</f>
        <v/>
      </c>
    </row>
    <row r="22458" spans="2:4" ht="13">
      <c r="B22458" s="12" t="str">
        <f ca="1">IFERROR(__xludf.DUMMYFUNCTION("""COMPUTED_VALUE"""),"")</f>
        <v/>
      </c>
      <c r="C22458" s="12" t="str">
        <f ca="1">IFERROR(__xludf.DUMMYFUNCTION("""COMPUTED_VALUE"""),"")</f>
        <v/>
      </c>
      <c r="D22458" s="12" t="str">
        <f ca="1">IFERROR(__xludf.DUMMYFUNCTION("""COMPUTED_VALUE"""),"")</f>
        <v/>
      </c>
    </row>
    <row r="22459" spans="2:4" ht="13">
      <c r="B22459" s="12" t="str">
        <f ca="1">IFERROR(__xludf.DUMMYFUNCTION("""COMPUTED_VALUE"""),"")</f>
        <v/>
      </c>
      <c r="C22459" s="12" t="str">
        <f ca="1">IFERROR(__xludf.DUMMYFUNCTION("""COMPUTED_VALUE"""),"")</f>
        <v/>
      </c>
      <c r="D22459" s="12" t="str">
        <f ca="1">IFERROR(__xludf.DUMMYFUNCTION("""COMPUTED_VALUE"""),"")</f>
        <v/>
      </c>
    </row>
    <row r="22460" spans="2:4" ht="13">
      <c r="B22460" s="12" t="str">
        <f ca="1">IFERROR(__xludf.DUMMYFUNCTION("""COMPUTED_VALUE"""),"")</f>
        <v/>
      </c>
      <c r="C22460" s="12" t="str">
        <f ca="1">IFERROR(__xludf.DUMMYFUNCTION("""COMPUTED_VALUE"""),"")</f>
        <v/>
      </c>
      <c r="D22460" s="12" t="str">
        <f ca="1">IFERROR(__xludf.DUMMYFUNCTION("""COMPUTED_VALUE"""),"")</f>
        <v/>
      </c>
    </row>
    <row r="22461" spans="2:4" ht="13">
      <c r="B22461" s="12" t="str">
        <f ca="1">IFERROR(__xludf.DUMMYFUNCTION("""COMPUTED_VALUE"""),"")</f>
        <v/>
      </c>
      <c r="C22461" s="12" t="str">
        <f ca="1">IFERROR(__xludf.DUMMYFUNCTION("""COMPUTED_VALUE"""),"")</f>
        <v/>
      </c>
      <c r="D22461" s="12" t="str">
        <f ca="1">IFERROR(__xludf.DUMMYFUNCTION("""COMPUTED_VALUE"""),"")</f>
        <v/>
      </c>
    </row>
    <row r="22462" spans="2:4" ht="13">
      <c r="B22462" s="12" t="str">
        <f ca="1">IFERROR(__xludf.DUMMYFUNCTION("""COMPUTED_VALUE"""),"")</f>
        <v/>
      </c>
      <c r="C22462" s="12" t="str">
        <f ca="1">IFERROR(__xludf.DUMMYFUNCTION("""COMPUTED_VALUE"""),"")</f>
        <v/>
      </c>
      <c r="D22462" s="12" t="str">
        <f ca="1">IFERROR(__xludf.DUMMYFUNCTION("""COMPUTED_VALUE"""),"")</f>
        <v/>
      </c>
    </row>
    <row r="22463" spans="2:4" ht="13">
      <c r="B22463" s="12" t="str">
        <f ca="1">IFERROR(__xludf.DUMMYFUNCTION("""COMPUTED_VALUE"""),"")</f>
        <v/>
      </c>
      <c r="C22463" s="12" t="str">
        <f ca="1">IFERROR(__xludf.DUMMYFUNCTION("""COMPUTED_VALUE"""),"")</f>
        <v/>
      </c>
      <c r="D22463" s="12" t="str">
        <f ca="1">IFERROR(__xludf.DUMMYFUNCTION("""COMPUTED_VALUE"""),"")</f>
        <v/>
      </c>
    </row>
    <row r="22464" spans="2:4" ht="13">
      <c r="B22464" s="12" t="str">
        <f ca="1">IFERROR(__xludf.DUMMYFUNCTION("""COMPUTED_VALUE"""),"")</f>
        <v/>
      </c>
      <c r="C22464" s="12" t="str">
        <f ca="1">IFERROR(__xludf.DUMMYFUNCTION("""COMPUTED_VALUE"""),"")</f>
        <v/>
      </c>
      <c r="D22464" s="12" t="str">
        <f ca="1">IFERROR(__xludf.DUMMYFUNCTION("""COMPUTED_VALUE"""),"")</f>
        <v/>
      </c>
    </row>
    <row r="22465" spans="2:4" ht="13">
      <c r="B22465" s="12" t="str">
        <f ca="1">IFERROR(__xludf.DUMMYFUNCTION("""COMPUTED_VALUE"""),"")</f>
        <v/>
      </c>
      <c r="C22465" s="12" t="str">
        <f ca="1">IFERROR(__xludf.DUMMYFUNCTION("""COMPUTED_VALUE"""),"")</f>
        <v/>
      </c>
      <c r="D22465" s="12" t="str">
        <f ca="1">IFERROR(__xludf.DUMMYFUNCTION("""COMPUTED_VALUE"""),"")</f>
        <v/>
      </c>
    </row>
    <row r="22466" spans="2:4" ht="13">
      <c r="B22466" s="12" t="str">
        <f ca="1">IFERROR(__xludf.DUMMYFUNCTION("""COMPUTED_VALUE"""),"")</f>
        <v/>
      </c>
      <c r="C22466" s="12" t="str">
        <f ca="1">IFERROR(__xludf.DUMMYFUNCTION("""COMPUTED_VALUE"""),"")</f>
        <v/>
      </c>
      <c r="D22466" s="12" t="str">
        <f ca="1">IFERROR(__xludf.DUMMYFUNCTION("""COMPUTED_VALUE"""),"")</f>
        <v/>
      </c>
    </row>
    <row r="22467" spans="2:4" ht="13">
      <c r="B22467" s="12" t="str">
        <f ca="1">IFERROR(__xludf.DUMMYFUNCTION("""COMPUTED_VALUE"""),"")</f>
        <v/>
      </c>
      <c r="C22467" s="12" t="str">
        <f ca="1">IFERROR(__xludf.DUMMYFUNCTION("""COMPUTED_VALUE"""),"")</f>
        <v/>
      </c>
      <c r="D22467" s="12" t="str">
        <f ca="1">IFERROR(__xludf.DUMMYFUNCTION("""COMPUTED_VALUE"""),"")</f>
        <v/>
      </c>
    </row>
    <row r="22468" spans="2:4" ht="13">
      <c r="B22468" s="12" t="str">
        <f ca="1">IFERROR(__xludf.DUMMYFUNCTION("""COMPUTED_VALUE"""),"")</f>
        <v/>
      </c>
      <c r="C22468" s="12" t="str">
        <f ca="1">IFERROR(__xludf.DUMMYFUNCTION("""COMPUTED_VALUE"""),"")</f>
        <v/>
      </c>
      <c r="D22468" s="12" t="str">
        <f ca="1">IFERROR(__xludf.DUMMYFUNCTION("""COMPUTED_VALUE"""),"")</f>
        <v/>
      </c>
    </row>
    <row r="22469" spans="2:4" ht="13">
      <c r="B22469" s="12" t="str">
        <f ca="1">IFERROR(__xludf.DUMMYFUNCTION("""COMPUTED_VALUE"""),"")</f>
        <v/>
      </c>
      <c r="C22469" s="12" t="str">
        <f ca="1">IFERROR(__xludf.DUMMYFUNCTION("""COMPUTED_VALUE"""),"")</f>
        <v/>
      </c>
      <c r="D22469" s="12" t="str">
        <f ca="1">IFERROR(__xludf.DUMMYFUNCTION("""COMPUTED_VALUE"""),"")</f>
        <v/>
      </c>
    </row>
    <row r="22470" spans="2:4" ht="13">
      <c r="B22470" s="12" t="str">
        <f ca="1">IFERROR(__xludf.DUMMYFUNCTION("""COMPUTED_VALUE"""),"")</f>
        <v/>
      </c>
      <c r="C22470" s="12" t="str">
        <f ca="1">IFERROR(__xludf.DUMMYFUNCTION("""COMPUTED_VALUE"""),"")</f>
        <v/>
      </c>
      <c r="D22470" s="12" t="str">
        <f ca="1">IFERROR(__xludf.DUMMYFUNCTION("""COMPUTED_VALUE"""),"")</f>
        <v/>
      </c>
    </row>
    <row r="22471" spans="2:4" ht="13">
      <c r="B22471" s="12" t="str">
        <f ca="1">IFERROR(__xludf.DUMMYFUNCTION("""COMPUTED_VALUE"""),"")</f>
        <v/>
      </c>
      <c r="C22471" s="12" t="str">
        <f ca="1">IFERROR(__xludf.DUMMYFUNCTION("""COMPUTED_VALUE"""),"")</f>
        <v/>
      </c>
      <c r="D22471" s="12" t="str">
        <f ca="1">IFERROR(__xludf.DUMMYFUNCTION("""COMPUTED_VALUE"""),"")</f>
        <v/>
      </c>
    </row>
    <row r="22472" spans="2:4" ht="13">
      <c r="B22472" s="12" t="str">
        <f ca="1">IFERROR(__xludf.DUMMYFUNCTION("""COMPUTED_VALUE"""),"")</f>
        <v/>
      </c>
      <c r="C22472" s="12" t="str">
        <f ca="1">IFERROR(__xludf.DUMMYFUNCTION("""COMPUTED_VALUE"""),"")</f>
        <v/>
      </c>
      <c r="D22472" s="12" t="str">
        <f ca="1">IFERROR(__xludf.DUMMYFUNCTION("""COMPUTED_VALUE"""),"")</f>
        <v/>
      </c>
    </row>
    <row r="22473" spans="2:4" ht="13">
      <c r="B22473" s="12" t="str">
        <f ca="1">IFERROR(__xludf.DUMMYFUNCTION("""COMPUTED_VALUE"""),"")</f>
        <v/>
      </c>
      <c r="C22473" s="12" t="str">
        <f ca="1">IFERROR(__xludf.DUMMYFUNCTION("""COMPUTED_VALUE"""),"")</f>
        <v/>
      </c>
      <c r="D22473" s="12" t="str">
        <f ca="1">IFERROR(__xludf.DUMMYFUNCTION("""COMPUTED_VALUE"""),"")</f>
        <v/>
      </c>
    </row>
    <row r="22474" spans="2:4" ht="13">
      <c r="B22474" s="12" t="str">
        <f ca="1">IFERROR(__xludf.DUMMYFUNCTION("""COMPUTED_VALUE"""),"")</f>
        <v/>
      </c>
      <c r="C22474" s="12" t="str">
        <f ca="1">IFERROR(__xludf.DUMMYFUNCTION("""COMPUTED_VALUE"""),"")</f>
        <v/>
      </c>
      <c r="D22474" s="12" t="str">
        <f ca="1">IFERROR(__xludf.DUMMYFUNCTION("""COMPUTED_VALUE"""),"")</f>
        <v/>
      </c>
    </row>
    <row r="22475" spans="2:4" ht="13">
      <c r="B22475" s="12" t="str">
        <f ca="1">IFERROR(__xludf.DUMMYFUNCTION("""COMPUTED_VALUE"""),"")</f>
        <v/>
      </c>
      <c r="C22475" s="12" t="str">
        <f ca="1">IFERROR(__xludf.DUMMYFUNCTION("""COMPUTED_VALUE"""),"")</f>
        <v/>
      </c>
      <c r="D22475" s="12" t="str">
        <f ca="1">IFERROR(__xludf.DUMMYFUNCTION("""COMPUTED_VALUE"""),"")</f>
        <v/>
      </c>
    </row>
    <row r="22476" spans="2:4" ht="13">
      <c r="B22476" s="12" t="str">
        <f ca="1">IFERROR(__xludf.DUMMYFUNCTION("""COMPUTED_VALUE"""),"")</f>
        <v/>
      </c>
      <c r="C22476" s="12" t="str">
        <f ca="1">IFERROR(__xludf.DUMMYFUNCTION("""COMPUTED_VALUE"""),"")</f>
        <v/>
      </c>
      <c r="D22476" s="12" t="str">
        <f ca="1">IFERROR(__xludf.DUMMYFUNCTION("""COMPUTED_VALUE"""),"")</f>
        <v/>
      </c>
    </row>
    <row r="22477" spans="2:4" ht="13">
      <c r="B22477" s="12" t="str">
        <f ca="1">IFERROR(__xludf.DUMMYFUNCTION("""COMPUTED_VALUE"""),"")</f>
        <v/>
      </c>
      <c r="C22477" s="12" t="str">
        <f ca="1">IFERROR(__xludf.DUMMYFUNCTION("""COMPUTED_VALUE"""),"")</f>
        <v/>
      </c>
      <c r="D22477" s="12" t="str">
        <f ca="1">IFERROR(__xludf.DUMMYFUNCTION("""COMPUTED_VALUE"""),"")</f>
        <v/>
      </c>
    </row>
    <row r="22478" spans="2:4" ht="13">
      <c r="B22478" s="12" t="str">
        <f ca="1">IFERROR(__xludf.DUMMYFUNCTION("""COMPUTED_VALUE"""),"")</f>
        <v/>
      </c>
      <c r="C22478" s="12" t="str">
        <f ca="1">IFERROR(__xludf.DUMMYFUNCTION("""COMPUTED_VALUE"""),"")</f>
        <v/>
      </c>
      <c r="D22478" s="12" t="str">
        <f ca="1">IFERROR(__xludf.DUMMYFUNCTION("""COMPUTED_VALUE"""),"")</f>
        <v/>
      </c>
    </row>
    <row r="22479" spans="2:4" ht="13">
      <c r="B22479" s="12" t="str">
        <f ca="1">IFERROR(__xludf.DUMMYFUNCTION("""COMPUTED_VALUE"""),"")</f>
        <v/>
      </c>
      <c r="C22479" s="12" t="str">
        <f ca="1">IFERROR(__xludf.DUMMYFUNCTION("""COMPUTED_VALUE"""),"")</f>
        <v/>
      </c>
      <c r="D22479" s="12" t="str">
        <f ca="1">IFERROR(__xludf.DUMMYFUNCTION("""COMPUTED_VALUE"""),"")</f>
        <v/>
      </c>
    </row>
    <row r="22480" spans="2:4" ht="13">
      <c r="B22480" s="12" t="str">
        <f ca="1">IFERROR(__xludf.DUMMYFUNCTION("""COMPUTED_VALUE"""),"")</f>
        <v/>
      </c>
      <c r="C22480" s="12" t="str">
        <f ca="1">IFERROR(__xludf.DUMMYFUNCTION("""COMPUTED_VALUE"""),"")</f>
        <v/>
      </c>
      <c r="D22480" s="12" t="str">
        <f ca="1">IFERROR(__xludf.DUMMYFUNCTION("""COMPUTED_VALUE"""),"")</f>
        <v/>
      </c>
    </row>
    <row r="22481" spans="2:4" ht="13">
      <c r="B22481" s="12" t="str">
        <f ca="1">IFERROR(__xludf.DUMMYFUNCTION("""COMPUTED_VALUE"""),"")</f>
        <v/>
      </c>
      <c r="C22481" s="12" t="str">
        <f ca="1">IFERROR(__xludf.DUMMYFUNCTION("""COMPUTED_VALUE"""),"")</f>
        <v/>
      </c>
      <c r="D22481" s="12" t="str">
        <f ca="1">IFERROR(__xludf.DUMMYFUNCTION("""COMPUTED_VALUE"""),"")</f>
        <v/>
      </c>
    </row>
    <row r="22482" spans="2:4" ht="13">
      <c r="B22482" s="12" t="str">
        <f ca="1">IFERROR(__xludf.DUMMYFUNCTION("""COMPUTED_VALUE"""),"")</f>
        <v/>
      </c>
      <c r="C22482" s="12" t="str">
        <f ca="1">IFERROR(__xludf.DUMMYFUNCTION("""COMPUTED_VALUE"""),"")</f>
        <v/>
      </c>
      <c r="D22482" s="12" t="str">
        <f ca="1">IFERROR(__xludf.DUMMYFUNCTION("""COMPUTED_VALUE"""),"")</f>
        <v/>
      </c>
    </row>
    <row r="22483" spans="2:4" ht="13">
      <c r="B22483" s="12" t="str">
        <f ca="1">IFERROR(__xludf.DUMMYFUNCTION("""COMPUTED_VALUE"""),"")</f>
        <v/>
      </c>
      <c r="C22483" s="12" t="str">
        <f ca="1">IFERROR(__xludf.DUMMYFUNCTION("""COMPUTED_VALUE"""),"")</f>
        <v/>
      </c>
      <c r="D22483" s="12" t="str">
        <f ca="1">IFERROR(__xludf.DUMMYFUNCTION("""COMPUTED_VALUE"""),"")</f>
        <v/>
      </c>
    </row>
    <row r="22484" spans="2:4" ht="13">
      <c r="B22484" s="12" t="str">
        <f ca="1">IFERROR(__xludf.DUMMYFUNCTION("""COMPUTED_VALUE"""),"")</f>
        <v/>
      </c>
      <c r="C22484" s="12" t="str">
        <f ca="1">IFERROR(__xludf.DUMMYFUNCTION("""COMPUTED_VALUE"""),"")</f>
        <v/>
      </c>
      <c r="D22484" s="12" t="str">
        <f ca="1">IFERROR(__xludf.DUMMYFUNCTION("""COMPUTED_VALUE"""),"")</f>
        <v/>
      </c>
    </row>
    <row r="22485" spans="2:4" ht="13">
      <c r="B22485" s="12" t="str">
        <f ca="1">IFERROR(__xludf.DUMMYFUNCTION("""COMPUTED_VALUE"""),"")</f>
        <v/>
      </c>
      <c r="C22485" s="12" t="str">
        <f ca="1">IFERROR(__xludf.DUMMYFUNCTION("""COMPUTED_VALUE"""),"")</f>
        <v/>
      </c>
      <c r="D22485" s="12" t="str">
        <f ca="1">IFERROR(__xludf.DUMMYFUNCTION("""COMPUTED_VALUE"""),"")</f>
        <v/>
      </c>
    </row>
    <row r="22486" spans="2:4" ht="13">
      <c r="B22486" s="12" t="str">
        <f ca="1">IFERROR(__xludf.DUMMYFUNCTION("""COMPUTED_VALUE"""),"")</f>
        <v/>
      </c>
      <c r="C22486" s="12" t="str">
        <f ca="1">IFERROR(__xludf.DUMMYFUNCTION("""COMPUTED_VALUE"""),"")</f>
        <v/>
      </c>
      <c r="D22486" s="12" t="str">
        <f ca="1">IFERROR(__xludf.DUMMYFUNCTION("""COMPUTED_VALUE"""),"")</f>
        <v/>
      </c>
    </row>
    <row r="22487" spans="2:4" ht="13">
      <c r="B22487" s="12" t="str">
        <f ca="1">IFERROR(__xludf.DUMMYFUNCTION("""COMPUTED_VALUE"""),"")</f>
        <v/>
      </c>
      <c r="C22487" s="12" t="str">
        <f ca="1">IFERROR(__xludf.DUMMYFUNCTION("""COMPUTED_VALUE"""),"")</f>
        <v/>
      </c>
      <c r="D22487" s="12" t="str">
        <f ca="1">IFERROR(__xludf.DUMMYFUNCTION("""COMPUTED_VALUE"""),"")</f>
        <v/>
      </c>
    </row>
    <row r="22488" spans="2:4" ht="13">
      <c r="B22488" s="12" t="str">
        <f ca="1">IFERROR(__xludf.DUMMYFUNCTION("""COMPUTED_VALUE"""),"")</f>
        <v/>
      </c>
      <c r="C22488" s="12" t="str">
        <f ca="1">IFERROR(__xludf.DUMMYFUNCTION("""COMPUTED_VALUE"""),"")</f>
        <v/>
      </c>
      <c r="D22488" s="12" t="str">
        <f ca="1">IFERROR(__xludf.DUMMYFUNCTION("""COMPUTED_VALUE"""),"")</f>
        <v/>
      </c>
    </row>
    <row r="22489" spans="2:4" ht="13">
      <c r="B22489" s="12" t="str">
        <f ca="1">IFERROR(__xludf.DUMMYFUNCTION("""COMPUTED_VALUE"""),"")</f>
        <v/>
      </c>
      <c r="C22489" s="12" t="str">
        <f ca="1">IFERROR(__xludf.DUMMYFUNCTION("""COMPUTED_VALUE"""),"")</f>
        <v/>
      </c>
      <c r="D22489" s="12" t="str">
        <f ca="1">IFERROR(__xludf.DUMMYFUNCTION("""COMPUTED_VALUE"""),"")</f>
        <v/>
      </c>
    </row>
    <row r="22490" spans="2:4" ht="13">
      <c r="B22490" s="12" t="str">
        <f ca="1">IFERROR(__xludf.DUMMYFUNCTION("""COMPUTED_VALUE"""),"")</f>
        <v/>
      </c>
      <c r="C22490" s="12" t="str">
        <f ca="1">IFERROR(__xludf.DUMMYFUNCTION("""COMPUTED_VALUE"""),"")</f>
        <v/>
      </c>
      <c r="D22490" s="12" t="str">
        <f ca="1">IFERROR(__xludf.DUMMYFUNCTION("""COMPUTED_VALUE"""),"")</f>
        <v/>
      </c>
    </row>
    <row r="22491" spans="2:4" ht="13">
      <c r="B22491" s="12" t="str">
        <f ca="1">IFERROR(__xludf.DUMMYFUNCTION("""COMPUTED_VALUE"""),"")</f>
        <v/>
      </c>
      <c r="C22491" s="12" t="str">
        <f ca="1">IFERROR(__xludf.DUMMYFUNCTION("""COMPUTED_VALUE"""),"")</f>
        <v/>
      </c>
      <c r="D22491" s="12" t="str">
        <f ca="1">IFERROR(__xludf.DUMMYFUNCTION("""COMPUTED_VALUE"""),"")</f>
        <v/>
      </c>
    </row>
    <row r="22492" spans="2:4" ht="13">
      <c r="B22492" s="12" t="str">
        <f ca="1">IFERROR(__xludf.DUMMYFUNCTION("""COMPUTED_VALUE"""),"")</f>
        <v/>
      </c>
      <c r="C22492" s="12" t="str">
        <f ca="1">IFERROR(__xludf.DUMMYFUNCTION("""COMPUTED_VALUE"""),"")</f>
        <v/>
      </c>
      <c r="D22492" s="12" t="str">
        <f ca="1">IFERROR(__xludf.DUMMYFUNCTION("""COMPUTED_VALUE"""),"")</f>
        <v/>
      </c>
    </row>
    <row r="22493" spans="2:4" ht="13">
      <c r="B22493" s="12" t="str">
        <f ca="1">IFERROR(__xludf.DUMMYFUNCTION("""COMPUTED_VALUE"""),"")</f>
        <v/>
      </c>
      <c r="C22493" s="12" t="str">
        <f ca="1">IFERROR(__xludf.DUMMYFUNCTION("""COMPUTED_VALUE"""),"")</f>
        <v/>
      </c>
      <c r="D22493" s="12" t="str">
        <f ca="1">IFERROR(__xludf.DUMMYFUNCTION("""COMPUTED_VALUE"""),"")</f>
        <v/>
      </c>
    </row>
    <row r="22494" spans="2:4" ht="13">
      <c r="B22494" s="12" t="str">
        <f ca="1">IFERROR(__xludf.DUMMYFUNCTION("""COMPUTED_VALUE"""),"")</f>
        <v/>
      </c>
      <c r="C22494" s="12" t="str">
        <f ca="1">IFERROR(__xludf.DUMMYFUNCTION("""COMPUTED_VALUE"""),"")</f>
        <v/>
      </c>
      <c r="D22494" s="12" t="str">
        <f ca="1">IFERROR(__xludf.DUMMYFUNCTION("""COMPUTED_VALUE"""),"")</f>
        <v/>
      </c>
    </row>
    <row r="22495" spans="2:4" ht="13">
      <c r="B22495" s="12" t="str">
        <f ca="1">IFERROR(__xludf.DUMMYFUNCTION("""COMPUTED_VALUE"""),"")</f>
        <v/>
      </c>
      <c r="C22495" s="12" t="str">
        <f ca="1">IFERROR(__xludf.DUMMYFUNCTION("""COMPUTED_VALUE"""),"")</f>
        <v/>
      </c>
      <c r="D22495" s="12" t="str">
        <f ca="1">IFERROR(__xludf.DUMMYFUNCTION("""COMPUTED_VALUE"""),"")</f>
        <v/>
      </c>
    </row>
    <row r="22496" spans="2:4" ht="13">
      <c r="B22496" s="12" t="str">
        <f ca="1">IFERROR(__xludf.DUMMYFUNCTION("""COMPUTED_VALUE"""),"")</f>
        <v/>
      </c>
      <c r="C22496" s="12" t="str">
        <f ca="1">IFERROR(__xludf.DUMMYFUNCTION("""COMPUTED_VALUE"""),"")</f>
        <v/>
      </c>
      <c r="D22496" s="12" t="str">
        <f ca="1">IFERROR(__xludf.DUMMYFUNCTION("""COMPUTED_VALUE"""),"")</f>
        <v/>
      </c>
    </row>
    <row r="22497" spans="2:4" ht="13">
      <c r="B22497" s="12" t="str">
        <f ca="1">IFERROR(__xludf.DUMMYFUNCTION("""COMPUTED_VALUE"""),"")</f>
        <v/>
      </c>
      <c r="C22497" s="12" t="str">
        <f ca="1">IFERROR(__xludf.DUMMYFUNCTION("""COMPUTED_VALUE"""),"")</f>
        <v/>
      </c>
      <c r="D22497" s="12" t="str">
        <f ca="1">IFERROR(__xludf.DUMMYFUNCTION("""COMPUTED_VALUE"""),"")</f>
        <v/>
      </c>
    </row>
    <row r="22498" spans="2:4" ht="13">
      <c r="B22498" s="12" t="str">
        <f ca="1">IFERROR(__xludf.DUMMYFUNCTION("""COMPUTED_VALUE"""),"")</f>
        <v/>
      </c>
      <c r="C22498" s="12" t="str">
        <f ca="1">IFERROR(__xludf.DUMMYFUNCTION("""COMPUTED_VALUE"""),"")</f>
        <v/>
      </c>
      <c r="D22498" s="12" t="str">
        <f ca="1">IFERROR(__xludf.DUMMYFUNCTION("""COMPUTED_VALUE"""),"")</f>
        <v/>
      </c>
    </row>
    <row r="22499" spans="2:4" ht="13">
      <c r="B22499" s="12" t="str">
        <f ca="1">IFERROR(__xludf.DUMMYFUNCTION("""COMPUTED_VALUE"""),"")</f>
        <v/>
      </c>
      <c r="C22499" s="12" t="str">
        <f ca="1">IFERROR(__xludf.DUMMYFUNCTION("""COMPUTED_VALUE"""),"")</f>
        <v/>
      </c>
      <c r="D22499" s="12" t="str">
        <f ca="1">IFERROR(__xludf.DUMMYFUNCTION("""COMPUTED_VALUE"""),"")</f>
        <v/>
      </c>
    </row>
    <row r="22500" spans="2:4" ht="13">
      <c r="B22500" s="12" t="str">
        <f ca="1">IFERROR(__xludf.DUMMYFUNCTION("""COMPUTED_VALUE"""),"")</f>
        <v/>
      </c>
      <c r="C22500" s="12" t="str">
        <f ca="1">IFERROR(__xludf.DUMMYFUNCTION("""COMPUTED_VALUE"""),"")</f>
        <v/>
      </c>
      <c r="D22500" s="12" t="str">
        <f ca="1">IFERROR(__xludf.DUMMYFUNCTION("""COMPUTED_VALUE"""),"")</f>
        <v/>
      </c>
    </row>
    <row r="22501" spans="2:4" ht="13">
      <c r="B22501" s="12" t="str">
        <f ca="1">IFERROR(__xludf.DUMMYFUNCTION("""COMPUTED_VALUE"""),"")</f>
        <v/>
      </c>
      <c r="C22501" s="12" t="str">
        <f ca="1">IFERROR(__xludf.DUMMYFUNCTION("""COMPUTED_VALUE"""),"")</f>
        <v/>
      </c>
      <c r="D22501" s="12" t="str">
        <f ca="1">IFERROR(__xludf.DUMMYFUNCTION("""COMPUTED_VALUE"""),"")</f>
        <v/>
      </c>
    </row>
    <row r="22502" spans="2:4" ht="13">
      <c r="B22502" s="12" t="str">
        <f ca="1">IFERROR(__xludf.DUMMYFUNCTION("""COMPUTED_VALUE"""),"")</f>
        <v/>
      </c>
      <c r="C22502" s="12" t="str">
        <f ca="1">IFERROR(__xludf.DUMMYFUNCTION("""COMPUTED_VALUE"""),"")</f>
        <v/>
      </c>
      <c r="D22502" s="12" t="str">
        <f ca="1">IFERROR(__xludf.DUMMYFUNCTION("""COMPUTED_VALUE"""),"")</f>
        <v/>
      </c>
    </row>
    <row r="22503" spans="2:4" ht="13">
      <c r="B22503" s="12" t="str">
        <f ca="1">IFERROR(__xludf.DUMMYFUNCTION("""COMPUTED_VALUE"""),"")</f>
        <v/>
      </c>
      <c r="C22503" s="12" t="str">
        <f ca="1">IFERROR(__xludf.DUMMYFUNCTION("""COMPUTED_VALUE"""),"")</f>
        <v/>
      </c>
      <c r="D22503" s="12" t="str">
        <f ca="1">IFERROR(__xludf.DUMMYFUNCTION("""COMPUTED_VALUE"""),"")</f>
        <v/>
      </c>
    </row>
    <row r="22504" spans="2:4" ht="13">
      <c r="B22504" s="12" t="str">
        <f ca="1">IFERROR(__xludf.DUMMYFUNCTION("""COMPUTED_VALUE"""),"")</f>
        <v/>
      </c>
      <c r="C22504" s="12" t="str">
        <f ca="1">IFERROR(__xludf.DUMMYFUNCTION("""COMPUTED_VALUE"""),"")</f>
        <v/>
      </c>
      <c r="D22504" s="12" t="str">
        <f ca="1">IFERROR(__xludf.DUMMYFUNCTION("""COMPUTED_VALUE"""),"")</f>
        <v/>
      </c>
    </row>
    <row r="22505" spans="2:4" ht="13">
      <c r="B22505" s="12" t="str">
        <f ca="1">IFERROR(__xludf.DUMMYFUNCTION("""COMPUTED_VALUE"""),"")</f>
        <v/>
      </c>
      <c r="C22505" s="12" t="str">
        <f ca="1">IFERROR(__xludf.DUMMYFUNCTION("""COMPUTED_VALUE"""),"")</f>
        <v/>
      </c>
      <c r="D22505" s="12" t="str">
        <f ca="1">IFERROR(__xludf.DUMMYFUNCTION("""COMPUTED_VALUE"""),"")</f>
        <v/>
      </c>
    </row>
    <row r="22506" spans="2:4" ht="13">
      <c r="B22506" s="12" t="str">
        <f ca="1">IFERROR(__xludf.DUMMYFUNCTION("""COMPUTED_VALUE"""),"")</f>
        <v/>
      </c>
      <c r="C22506" s="12" t="str">
        <f ca="1">IFERROR(__xludf.DUMMYFUNCTION("""COMPUTED_VALUE"""),"")</f>
        <v/>
      </c>
      <c r="D22506" s="12" t="str">
        <f ca="1">IFERROR(__xludf.DUMMYFUNCTION("""COMPUTED_VALUE"""),"")</f>
        <v/>
      </c>
    </row>
    <row r="22507" spans="2:4" ht="13">
      <c r="B22507" s="12" t="str">
        <f ca="1">IFERROR(__xludf.DUMMYFUNCTION("""COMPUTED_VALUE"""),"")</f>
        <v/>
      </c>
      <c r="C22507" s="12" t="str">
        <f ca="1">IFERROR(__xludf.DUMMYFUNCTION("""COMPUTED_VALUE"""),"")</f>
        <v/>
      </c>
      <c r="D22507" s="12" t="str">
        <f ca="1">IFERROR(__xludf.DUMMYFUNCTION("""COMPUTED_VALUE"""),"")</f>
        <v/>
      </c>
    </row>
    <row r="22508" spans="2:4" ht="13">
      <c r="B22508" s="12" t="str">
        <f ca="1">IFERROR(__xludf.DUMMYFUNCTION("""COMPUTED_VALUE"""),"")</f>
        <v/>
      </c>
      <c r="C22508" s="12" t="str">
        <f ca="1">IFERROR(__xludf.DUMMYFUNCTION("""COMPUTED_VALUE"""),"")</f>
        <v/>
      </c>
      <c r="D22508" s="12" t="str">
        <f ca="1">IFERROR(__xludf.DUMMYFUNCTION("""COMPUTED_VALUE"""),"")</f>
        <v/>
      </c>
    </row>
    <row r="22509" spans="2:4" ht="13">
      <c r="B22509" s="12" t="str">
        <f ca="1">IFERROR(__xludf.DUMMYFUNCTION("""COMPUTED_VALUE"""),"")</f>
        <v/>
      </c>
      <c r="C22509" s="12" t="str">
        <f ca="1">IFERROR(__xludf.DUMMYFUNCTION("""COMPUTED_VALUE"""),"")</f>
        <v/>
      </c>
      <c r="D22509" s="12" t="str">
        <f ca="1">IFERROR(__xludf.DUMMYFUNCTION("""COMPUTED_VALUE"""),"")</f>
        <v/>
      </c>
    </row>
    <row r="22510" spans="2:4" ht="13">
      <c r="B22510" s="12" t="str">
        <f ca="1">IFERROR(__xludf.DUMMYFUNCTION("""COMPUTED_VALUE"""),"")</f>
        <v/>
      </c>
      <c r="C22510" s="12" t="str">
        <f ca="1">IFERROR(__xludf.DUMMYFUNCTION("""COMPUTED_VALUE"""),"")</f>
        <v/>
      </c>
      <c r="D22510" s="12" t="str">
        <f ca="1">IFERROR(__xludf.DUMMYFUNCTION("""COMPUTED_VALUE"""),"")</f>
        <v/>
      </c>
    </row>
    <row r="22511" spans="2:4" ht="13">
      <c r="B22511" s="12" t="str">
        <f ca="1">IFERROR(__xludf.DUMMYFUNCTION("""COMPUTED_VALUE"""),"")</f>
        <v/>
      </c>
      <c r="C22511" s="12" t="str">
        <f ca="1">IFERROR(__xludf.DUMMYFUNCTION("""COMPUTED_VALUE"""),"")</f>
        <v/>
      </c>
      <c r="D22511" s="12" t="str">
        <f ca="1">IFERROR(__xludf.DUMMYFUNCTION("""COMPUTED_VALUE"""),"")</f>
        <v/>
      </c>
    </row>
    <row r="22512" spans="2:4" ht="13">
      <c r="B22512" s="12" t="str">
        <f ca="1">IFERROR(__xludf.DUMMYFUNCTION("""COMPUTED_VALUE"""),"")</f>
        <v/>
      </c>
      <c r="C22512" s="12" t="str">
        <f ca="1">IFERROR(__xludf.DUMMYFUNCTION("""COMPUTED_VALUE"""),"")</f>
        <v/>
      </c>
      <c r="D22512" s="12" t="str">
        <f ca="1">IFERROR(__xludf.DUMMYFUNCTION("""COMPUTED_VALUE"""),"")</f>
        <v/>
      </c>
    </row>
    <row r="22513" spans="2:4" ht="13">
      <c r="B22513" s="12" t="str">
        <f ca="1">IFERROR(__xludf.DUMMYFUNCTION("""COMPUTED_VALUE"""),"")</f>
        <v/>
      </c>
      <c r="C22513" s="12" t="str">
        <f ca="1">IFERROR(__xludf.DUMMYFUNCTION("""COMPUTED_VALUE"""),"")</f>
        <v/>
      </c>
      <c r="D22513" s="12" t="str">
        <f ca="1">IFERROR(__xludf.DUMMYFUNCTION("""COMPUTED_VALUE"""),"")</f>
        <v/>
      </c>
    </row>
    <row r="22514" spans="2:4" ht="13">
      <c r="B22514" s="12" t="str">
        <f ca="1">IFERROR(__xludf.DUMMYFUNCTION("""COMPUTED_VALUE"""),"")</f>
        <v/>
      </c>
      <c r="C22514" s="12" t="str">
        <f ca="1">IFERROR(__xludf.DUMMYFUNCTION("""COMPUTED_VALUE"""),"")</f>
        <v/>
      </c>
      <c r="D22514" s="12" t="str">
        <f ca="1">IFERROR(__xludf.DUMMYFUNCTION("""COMPUTED_VALUE"""),"")</f>
        <v/>
      </c>
    </row>
    <row r="22515" spans="2:4" ht="13">
      <c r="B22515" s="12" t="str">
        <f ca="1">IFERROR(__xludf.DUMMYFUNCTION("""COMPUTED_VALUE"""),"")</f>
        <v/>
      </c>
      <c r="C22515" s="12" t="str">
        <f ca="1">IFERROR(__xludf.DUMMYFUNCTION("""COMPUTED_VALUE"""),"")</f>
        <v/>
      </c>
      <c r="D22515" s="12" t="str">
        <f ca="1">IFERROR(__xludf.DUMMYFUNCTION("""COMPUTED_VALUE"""),"")</f>
        <v/>
      </c>
    </row>
    <row r="22516" spans="2:4" ht="13">
      <c r="B22516" s="12" t="str">
        <f ca="1">IFERROR(__xludf.DUMMYFUNCTION("""COMPUTED_VALUE"""),"")</f>
        <v/>
      </c>
      <c r="C22516" s="12" t="str">
        <f ca="1">IFERROR(__xludf.DUMMYFUNCTION("""COMPUTED_VALUE"""),"")</f>
        <v/>
      </c>
      <c r="D22516" s="12" t="str">
        <f ca="1">IFERROR(__xludf.DUMMYFUNCTION("""COMPUTED_VALUE"""),"")</f>
        <v/>
      </c>
    </row>
    <row r="22517" spans="2:4" ht="13">
      <c r="B22517" s="12" t="str">
        <f ca="1">IFERROR(__xludf.DUMMYFUNCTION("""COMPUTED_VALUE"""),"")</f>
        <v/>
      </c>
      <c r="C22517" s="12" t="str">
        <f ca="1">IFERROR(__xludf.DUMMYFUNCTION("""COMPUTED_VALUE"""),"")</f>
        <v/>
      </c>
      <c r="D22517" s="12" t="str">
        <f ca="1">IFERROR(__xludf.DUMMYFUNCTION("""COMPUTED_VALUE"""),"")</f>
        <v/>
      </c>
    </row>
    <row r="22518" spans="2:4" ht="13">
      <c r="B22518" s="12" t="str">
        <f ca="1">IFERROR(__xludf.DUMMYFUNCTION("""COMPUTED_VALUE"""),"")</f>
        <v/>
      </c>
      <c r="C22518" s="12" t="str">
        <f ca="1">IFERROR(__xludf.DUMMYFUNCTION("""COMPUTED_VALUE"""),"")</f>
        <v/>
      </c>
      <c r="D22518" s="12" t="str">
        <f ca="1">IFERROR(__xludf.DUMMYFUNCTION("""COMPUTED_VALUE"""),"")</f>
        <v/>
      </c>
    </row>
    <row r="22519" spans="2:4" ht="13">
      <c r="B22519" s="12" t="str">
        <f ca="1">IFERROR(__xludf.DUMMYFUNCTION("""COMPUTED_VALUE"""),"")</f>
        <v/>
      </c>
      <c r="C22519" s="12" t="str">
        <f ca="1">IFERROR(__xludf.DUMMYFUNCTION("""COMPUTED_VALUE"""),"")</f>
        <v/>
      </c>
      <c r="D22519" s="12" t="str">
        <f ca="1">IFERROR(__xludf.DUMMYFUNCTION("""COMPUTED_VALUE"""),"")</f>
        <v/>
      </c>
    </row>
    <row r="22520" spans="2:4" ht="13">
      <c r="B22520" s="12" t="str">
        <f ca="1">IFERROR(__xludf.DUMMYFUNCTION("""COMPUTED_VALUE"""),"")</f>
        <v/>
      </c>
      <c r="C22520" s="12" t="str">
        <f ca="1">IFERROR(__xludf.DUMMYFUNCTION("""COMPUTED_VALUE"""),"")</f>
        <v/>
      </c>
      <c r="D22520" s="12" t="str">
        <f ca="1">IFERROR(__xludf.DUMMYFUNCTION("""COMPUTED_VALUE"""),"")</f>
        <v/>
      </c>
    </row>
    <row r="22521" spans="2:4" ht="13">
      <c r="B22521" s="12" t="str">
        <f ca="1">IFERROR(__xludf.DUMMYFUNCTION("""COMPUTED_VALUE"""),"")</f>
        <v/>
      </c>
      <c r="C22521" s="12" t="str">
        <f ca="1">IFERROR(__xludf.DUMMYFUNCTION("""COMPUTED_VALUE"""),"")</f>
        <v/>
      </c>
      <c r="D22521" s="12" t="str">
        <f ca="1">IFERROR(__xludf.DUMMYFUNCTION("""COMPUTED_VALUE"""),"")</f>
        <v/>
      </c>
    </row>
    <row r="22522" spans="2:4" ht="13">
      <c r="B22522" s="12" t="str">
        <f ca="1">IFERROR(__xludf.DUMMYFUNCTION("""COMPUTED_VALUE"""),"")</f>
        <v/>
      </c>
      <c r="C22522" s="12" t="str">
        <f ca="1">IFERROR(__xludf.DUMMYFUNCTION("""COMPUTED_VALUE"""),"")</f>
        <v/>
      </c>
      <c r="D22522" s="12" t="str">
        <f ca="1">IFERROR(__xludf.DUMMYFUNCTION("""COMPUTED_VALUE"""),"")</f>
        <v/>
      </c>
    </row>
    <row r="22523" spans="2:4" ht="13">
      <c r="B22523" s="12" t="str">
        <f ca="1">IFERROR(__xludf.DUMMYFUNCTION("""COMPUTED_VALUE"""),"")</f>
        <v/>
      </c>
      <c r="C22523" s="12" t="str">
        <f ca="1">IFERROR(__xludf.DUMMYFUNCTION("""COMPUTED_VALUE"""),"")</f>
        <v/>
      </c>
      <c r="D22523" s="12" t="str">
        <f ca="1">IFERROR(__xludf.DUMMYFUNCTION("""COMPUTED_VALUE"""),"")</f>
        <v/>
      </c>
    </row>
    <row r="22524" spans="2:4" ht="13">
      <c r="B22524" s="12" t="str">
        <f ca="1">IFERROR(__xludf.DUMMYFUNCTION("""COMPUTED_VALUE"""),"")</f>
        <v/>
      </c>
      <c r="C22524" s="12" t="str">
        <f ca="1">IFERROR(__xludf.DUMMYFUNCTION("""COMPUTED_VALUE"""),"")</f>
        <v/>
      </c>
      <c r="D22524" s="12" t="str">
        <f ca="1">IFERROR(__xludf.DUMMYFUNCTION("""COMPUTED_VALUE"""),"")</f>
        <v/>
      </c>
    </row>
    <row r="22525" spans="2:4" ht="13">
      <c r="B22525" s="12" t="str">
        <f ca="1">IFERROR(__xludf.DUMMYFUNCTION("""COMPUTED_VALUE"""),"")</f>
        <v/>
      </c>
      <c r="C22525" s="12" t="str">
        <f ca="1">IFERROR(__xludf.DUMMYFUNCTION("""COMPUTED_VALUE"""),"")</f>
        <v/>
      </c>
      <c r="D22525" s="12" t="str">
        <f ca="1">IFERROR(__xludf.DUMMYFUNCTION("""COMPUTED_VALUE"""),"")</f>
        <v/>
      </c>
    </row>
    <row r="22526" spans="2:4" ht="13">
      <c r="B22526" s="12" t="str">
        <f ca="1">IFERROR(__xludf.DUMMYFUNCTION("""COMPUTED_VALUE"""),"")</f>
        <v/>
      </c>
      <c r="C22526" s="12" t="str">
        <f ca="1">IFERROR(__xludf.DUMMYFUNCTION("""COMPUTED_VALUE"""),"")</f>
        <v/>
      </c>
      <c r="D22526" s="12" t="str">
        <f ca="1">IFERROR(__xludf.DUMMYFUNCTION("""COMPUTED_VALUE"""),"")</f>
        <v/>
      </c>
    </row>
    <row r="22527" spans="2:4" ht="13">
      <c r="B22527" s="12" t="str">
        <f ca="1">IFERROR(__xludf.DUMMYFUNCTION("""COMPUTED_VALUE"""),"")</f>
        <v/>
      </c>
      <c r="C22527" s="12" t="str">
        <f ca="1">IFERROR(__xludf.DUMMYFUNCTION("""COMPUTED_VALUE"""),"")</f>
        <v/>
      </c>
      <c r="D22527" s="12" t="str">
        <f ca="1">IFERROR(__xludf.DUMMYFUNCTION("""COMPUTED_VALUE"""),"")</f>
        <v/>
      </c>
    </row>
    <row r="22528" spans="2:4" ht="13">
      <c r="B22528" s="12" t="str">
        <f ca="1">IFERROR(__xludf.DUMMYFUNCTION("""COMPUTED_VALUE"""),"")</f>
        <v/>
      </c>
      <c r="C22528" s="12" t="str">
        <f ca="1">IFERROR(__xludf.DUMMYFUNCTION("""COMPUTED_VALUE"""),"")</f>
        <v/>
      </c>
      <c r="D22528" s="12" t="str">
        <f ca="1">IFERROR(__xludf.DUMMYFUNCTION("""COMPUTED_VALUE"""),"")</f>
        <v/>
      </c>
    </row>
    <row r="22529" spans="2:4" ht="13">
      <c r="B22529" s="12" t="str">
        <f ca="1">IFERROR(__xludf.DUMMYFUNCTION("""COMPUTED_VALUE"""),"")</f>
        <v/>
      </c>
      <c r="C22529" s="12" t="str">
        <f ca="1">IFERROR(__xludf.DUMMYFUNCTION("""COMPUTED_VALUE"""),"")</f>
        <v/>
      </c>
      <c r="D22529" s="12" t="str">
        <f ca="1">IFERROR(__xludf.DUMMYFUNCTION("""COMPUTED_VALUE"""),"")</f>
        <v/>
      </c>
    </row>
    <row r="22530" spans="2:4" ht="13">
      <c r="B22530" s="12" t="str">
        <f ca="1">IFERROR(__xludf.DUMMYFUNCTION("""COMPUTED_VALUE"""),"")</f>
        <v/>
      </c>
      <c r="C22530" s="12" t="str">
        <f ca="1">IFERROR(__xludf.DUMMYFUNCTION("""COMPUTED_VALUE"""),"")</f>
        <v/>
      </c>
      <c r="D22530" s="12" t="str">
        <f ca="1">IFERROR(__xludf.DUMMYFUNCTION("""COMPUTED_VALUE"""),"")</f>
        <v/>
      </c>
    </row>
    <row r="22531" spans="2:4" ht="13">
      <c r="B22531" s="12" t="str">
        <f ca="1">IFERROR(__xludf.DUMMYFUNCTION("""COMPUTED_VALUE"""),"")</f>
        <v/>
      </c>
      <c r="C22531" s="12" t="str">
        <f ca="1">IFERROR(__xludf.DUMMYFUNCTION("""COMPUTED_VALUE"""),"")</f>
        <v/>
      </c>
      <c r="D22531" s="12" t="str">
        <f ca="1">IFERROR(__xludf.DUMMYFUNCTION("""COMPUTED_VALUE"""),"")</f>
        <v/>
      </c>
    </row>
    <row r="22532" spans="2:4" ht="13">
      <c r="B22532" s="12" t="str">
        <f ca="1">IFERROR(__xludf.DUMMYFUNCTION("""COMPUTED_VALUE"""),"")</f>
        <v/>
      </c>
      <c r="C22532" s="12" t="str">
        <f ca="1">IFERROR(__xludf.DUMMYFUNCTION("""COMPUTED_VALUE"""),"")</f>
        <v/>
      </c>
      <c r="D22532" s="12" t="str">
        <f ca="1">IFERROR(__xludf.DUMMYFUNCTION("""COMPUTED_VALUE"""),"")</f>
        <v/>
      </c>
    </row>
    <row r="22533" spans="2:4" ht="13">
      <c r="B22533" s="12" t="str">
        <f ca="1">IFERROR(__xludf.DUMMYFUNCTION("""COMPUTED_VALUE"""),"")</f>
        <v/>
      </c>
      <c r="C22533" s="12" t="str">
        <f ca="1">IFERROR(__xludf.DUMMYFUNCTION("""COMPUTED_VALUE"""),"")</f>
        <v/>
      </c>
      <c r="D22533" s="12" t="str">
        <f ca="1">IFERROR(__xludf.DUMMYFUNCTION("""COMPUTED_VALUE"""),"")</f>
        <v/>
      </c>
    </row>
    <row r="22534" spans="2:4" ht="13">
      <c r="B22534" s="12" t="str">
        <f ca="1">IFERROR(__xludf.DUMMYFUNCTION("""COMPUTED_VALUE"""),"")</f>
        <v/>
      </c>
      <c r="C22534" s="12" t="str">
        <f ca="1">IFERROR(__xludf.DUMMYFUNCTION("""COMPUTED_VALUE"""),"")</f>
        <v/>
      </c>
      <c r="D22534" s="12" t="str">
        <f ca="1">IFERROR(__xludf.DUMMYFUNCTION("""COMPUTED_VALUE"""),"")</f>
        <v/>
      </c>
    </row>
    <row r="22535" spans="2:4" ht="13">
      <c r="B22535" s="12" t="str">
        <f ca="1">IFERROR(__xludf.DUMMYFUNCTION("""COMPUTED_VALUE"""),"")</f>
        <v/>
      </c>
      <c r="C22535" s="12" t="str">
        <f ca="1">IFERROR(__xludf.DUMMYFUNCTION("""COMPUTED_VALUE"""),"")</f>
        <v/>
      </c>
      <c r="D22535" s="12" t="str">
        <f ca="1">IFERROR(__xludf.DUMMYFUNCTION("""COMPUTED_VALUE"""),"")</f>
        <v/>
      </c>
    </row>
    <row r="22536" spans="2:4" ht="13">
      <c r="B22536" s="12" t="str">
        <f ca="1">IFERROR(__xludf.DUMMYFUNCTION("""COMPUTED_VALUE"""),"")</f>
        <v/>
      </c>
      <c r="C22536" s="12" t="str">
        <f ca="1">IFERROR(__xludf.DUMMYFUNCTION("""COMPUTED_VALUE"""),"")</f>
        <v/>
      </c>
      <c r="D22536" s="12" t="str">
        <f ca="1">IFERROR(__xludf.DUMMYFUNCTION("""COMPUTED_VALUE"""),"")</f>
        <v/>
      </c>
    </row>
    <row r="22537" spans="2:4" ht="13">
      <c r="B22537" s="12" t="str">
        <f ca="1">IFERROR(__xludf.DUMMYFUNCTION("""COMPUTED_VALUE"""),"")</f>
        <v/>
      </c>
      <c r="C22537" s="12" t="str">
        <f ca="1">IFERROR(__xludf.DUMMYFUNCTION("""COMPUTED_VALUE"""),"")</f>
        <v/>
      </c>
      <c r="D22537" s="12" t="str">
        <f ca="1">IFERROR(__xludf.DUMMYFUNCTION("""COMPUTED_VALUE"""),"")</f>
        <v/>
      </c>
    </row>
    <row r="22538" spans="2:4" ht="13">
      <c r="B22538" s="12" t="str">
        <f ca="1">IFERROR(__xludf.DUMMYFUNCTION("""COMPUTED_VALUE"""),"")</f>
        <v/>
      </c>
      <c r="C22538" s="12" t="str">
        <f ca="1">IFERROR(__xludf.DUMMYFUNCTION("""COMPUTED_VALUE"""),"")</f>
        <v/>
      </c>
      <c r="D22538" s="12" t="str">
        <f ca="1">IFERROR(__xludf.DUMMYFUNCTION("""COMPUTED_VALUE"""),"")</f>
        <v/>
      </c>
    </row>
    <row r="22539" spans="2:4" ht="13">
      <c r="B22539" s="12" t="str">
        <f ca="1">IFERROR(__xludf.DUMMYFUNCTION("""COMPUTED_VALUE"""),"")</f>
        <v/>
      </c>
      <c r="C22539" s="12" t="str">
        <f ca="1">IFERROR(__xludf.DUMMYFUNCTION("""COMPUTED_VALUE"""),"")</f>
        <v/>
      </c>
      <c r="D22539" s="12" t="str">
        <f ca="1">IFERROR(__xludf.DUMMYFUNCTION("""COMPUTED_VALUE"""),"")</f>
        <v/>
      </c>
    </row>
    <row r="22540" spans="2:4" ht="13">
      <c r="B22540" s="12" t="str">
        <f ca="1">IFERROR(__xludf.DUMMYFUNCTION("""COMPUTED_VALUE"""),"")</f>
        <v/>
      </c>
      <c r="C22540" s="12" t="str">
        <f ca="1">IFERROR(__xludf.DUMMYFUNCTION("""COMPUTED_VALUE"""),"")</f>
        <v/>
      </c>
      <c r="D22540" s="12" t="str">
        <f ca="1">IFERROR(__xludf.DUMMYFUNCTION("""COMPUTED_VALUE"""),"")</f>
        <v/>
      </c>
    </row>
    <row r="22541" spans="2:4" ht="13">
      <c r="B22541" s="12" t="str">
        <f ca="1">IFERROR(__xludf.DUMMYFUNCTION("""COMPUTED_VALUE"""),"")</f>
        <v/>
      </c>
      <c r="C22541" s="12" t="str">
        <f ca="1">IFERROR(__xludf.DUMMYFUNCTION("""COMPUTED_VALUE"""),"")</f>
        <v/>
      </c>
      <c r="D22541" s="12" t="str">
        <f ca="1">IFERROR(__xludf.DUMMYFUNCTION("""COMPUTED_VALUE"""),"")</f>
        <v/>
      </c>
    </row>
    <row r="22542" spans="2:4" ht="13">
      <c r="B22542" s="12" t="str">
        <f ca="1">IFERROR(__xludf.DUMMYFUNCTION("""COMPUTED_VALUE"""),"")</f>
        <v/>
      </c>
      <c r="C22542" s="12" t="str">
        <f ca="1">IFERROR(__xludf.DUMMYFUNCTION("""COMPUTED_VALUE"""),"")</f>
        <v/>
      </c>
      <c r="D22542" s="12" t="str">
        <f ca="1">IFERROR(__xludf.DUMMYFUNCTION("""COMPUTED_VALUE"""),"")</f>
        <v/>
      </c>
    </row>
    <row r="22543" spans="2:4" ht="13">
      <c r="B22543" s="12" t="str">
        <f ca="1">IFERROR(__xludf.DUMMYFUNCTION("""COMPUTED_VALUE"""),"")</f>
        <v/>
      </c>
      <c r="C22543" s="12" t="str">
        <f ca="1">IFERROR(__xludf.DUMMYFUNCTION("""COMPUTED_VALUE"""),"")</f>
        <v/>
      </c>
      <c r="D22543" s="12" t="str">
        <f ca="1">IFERROR(__xludf.DUMMYFUNCTION("""COMPUTED_VALUE"""),"")</f>
        <v/>
      </c>
    </row>
    <row r="22544" spans="2:4" ht="13">
      <c r="B22544" s="12" t="str">
        <f ca="1">IFERROR(__xludf.DUMMYFUNCTION("""COMPUTED_VALUE"""),"")</f>
        <v/>
      </c>
      <c r="C22544" s="12" t="str">
        <f ca="1">IFERROR(__xludf.DUMMYFUNCTION("""COMPUTED_VALUE"""),"")</f>
        <v/>
      </c>
      <c r="D22544" s="12" t="str">
        <f ca="1">IFERROR(__xludf.DUMMYFUNCTION("""COMPUTED_VALUE"""),"")</f>
        <v/>
      </c>
    </row>
    <row r="22545" spans="2:4" ht="13">
      <c r="B22545" s="12" t="str">
        <f ca="1">IFERROR(__xludf.DUMMYFUNCTION("""COMPUTED_VALUE"""),"")</f>
        <v/>
      </c>
      <c r="C22545" s="12" t="str">
        <f ca="1">IFERROR(__xludf.DUMMYFUNCTION("""COMPUTED_VALUE"""),"")</f>
        <v/>
      </c>
      <c r="D22545" s="12" t="str">
        <f ca="1">IFERROR(__xludf.DUMMYFUNCTION("""COMPUTED_VALUE"""),"")</f>
        <v/>
      </c>
    </row>
    <row r="22546" spans="2:4" ht="13">
      <c r="B22546" s="12" t="str">
        <f ca="1">IFERROR(__xludf.DUMMYFUNCTION("""COMPUTED_VALUE"""),"")</f>
        <v/>
      </c>
      <c r="C22546" s="12" t="str">
        <f ca="1">IFERROR(__xludf.DUMMYFUNCTION("""COMPUTED_VALUE"""),"")</f>
        <v/>
      </c>
      <c r="D22546" s="12" t="str">
        <f ca="1">IFERROR(__xludf.DUMMYFUNCTION("""COMPUTED_VALUE"""),"")</f>
        <v/>
      </c>
    </row>
    <row r="22547" spans="2:4" ht="13">
      <c r="B22547" s="12" t="str">
        <f ca="1">IFERROR(__xludf.DUMMYFUNCTION("""COMPUTED_VALUE"""),"")</f>
        <v/>
      </c>
      <c r="C22547" s="12" t="str">
        <f ca="1">IFERROR(__xludf.DUMMYFUNCTION("""COMPUTED_VALUE"""),"")</f>
        <v/>
      </c>
      <c r="D22547" s="12" t="str">
        <f ca="1">IFERROR(__xludf.DUMMYFUNCTION("""COMPUTED_VALUE"""),"")</f>
        <v/>
      </c>
    </row>
    <row r="22548" spans="2:4" ht="13">
      <c r="B22548" s="12" t="str">
        <f ca="1">IFERROR(__xludf.DUMMYFUNCTION("""COMPUTED_VALUE"""),"")</f>
        <v/>
      </c>
      <c r="C22548" s="12" t="str">
        <f ca="1">IFERROR(__xludf.DUMMYFUNCTION("""COMPUTED_VALUE"""),"")</f>
        <v/>
      </c>
      <c r="D22548" s="12" t="str">
        <f ca="1">IFERROR(__xludf.DUMMYFUNCTION("""COMPUTED_VALUE"""),"")</f>
        <v/>
      </c>
    </row>
    <row r="22549" spans="2:4" ht="13">
      <c r="B22549" s="12" t="str">
        <f ca="1">IFERROR(__xludf.DUMMYFUNCTION("""COMPUTED_VALUE"""),"")</f>
        <v/>
      </c>
      <c r="C22549" s="12" t="str">
        <f ca="1">IFERROR(__xludf.DUMMYFUNCTION("""COMPUTED_VALUE"""),"")</f>
        <v/>
      </c>
      <c r="D22549" s="12" t="str">
        <f ca="1">IFERROR(__xludf.DUMMYFUNCTION("""COMPUTED_VALUE"""),"")</f>
        <v/>
      </c>
    </row>
    <row r="22550" spans="2:4" ht="13">
      <c r="B22550" s="12" t="str">
        <f ca="1">IFERROR(__xludf.DUMMYFUNCTION("""COMPUTED_VALUE"""),"")</f>
        <v/>
      </c>
      <c r="C22550" s="12" t="str">
        <f ca="1">IFERROR(__xludf.DUMMYFUNCTION("""COMPUTED_VALUE"""),"")</f>
        <v/>
      </c>
      <c r="D22550" s="12" t="str">
        <f ca="1">IFERROR(__xludf.DUMMYFUNCTION("""COMPUTED_VALUE"""),"")</f>
        <v/>
      </c>
    </row>
    <row r="22551" spans="2:4" ht="13">
      <c r="B22551" s="12" t="str">
        <f ca="1">IFERROR(__xludf.DUMMYFUNCTION("""COMPUTED_VALUE"""),"")</f>
        <v/>
      </c>
      <c r="C22551" s="12" t="str">
        <f ca="1">IFERROR(__xludf.DUMMYFUNCTION("""COMPUTED_VALUE"""),"")</f>
        <v/>
      </c>
      <c r="D22551" s="12" t="str">
        <f ca="1">IFERROR(__xludf.DUMMYFUNCTION("""COMPUTED_VALUE"""),"")</f>
        <v/>
      </c>
    </row>
    <row r="22552" spans="2:4" ht="13">
      <c r="B22552" s="12" t="str">
        <f ca="1">IFERROR(__xludf.DUMMYFUNCTION("""COMPUTED_VALUE"""),"")</f>
        <v/>
      </c>
      <c r="C22552" s="12" t="str">
        <f ca="1">IFERROR(__xludf.DUMMYFUNCTION("""COMPUTED_VALUE"""),"")</f>
        <v/>
      </c>
      <c r="D22552" s="12" t="str">
        <f ca="1">IFERROR(__xludf.DUMMYFUNCTION("""COMPUTED_VALUE"""),"")</f>
        <v/>
      </c>
    </row>
    <row r="22553" spans="2:4" ht="13">
      <c r="B22553" s="12" t="str">
        <f ca="1">IFERROR(__xludf.DUMMYFUNCTION("""COMPUTED_VALUE"""),"")</f>
        <v/>
      </c>
      <c r="C22553" s="12" t="str">
        <f ca="1">IFERROR(__xludf.DUMMYFUNCTION("""COMPUTED_VALUE"""),"")</f>
        <v/>
      </c>
      <c r="D22553" s="12" t="str">
        <f ca="1">IFERROR(__xludf.DUMMYFUNCTION("""COMPUTED_VALUE"""),"")</f>
        <v/>
      </c>
    </row>
    <row r="22554" spans="2:4" ht="13">
      <c r="B22554" s="12" t="str">
        <f ca="1">IFERROR(__xludf.DUMMYFUNCTION("""COMPUTED_VALUE"""),"")</f>
        <v/>
      </c>
      <c r="C22554" s="12" t="str">
        <f ca="1">IFERROR(__xludf.DUMMYFUNCTION("""COMPUTED_VALUE"""),"")</f>
        <v/>
      </c>
      <c r="D22554" s="12" t="str">
        <f ca="1">IFERROR(__xludf.DUMMYFUNCTION("""COMPUTED_VALUE"""),"")</f>
        <v/>
      </c>
    </row>
    <row r="22555" spans="2:4" ht="13">
      <c r="B22555" s="12" t="str">
        <f ca="1">IFERROR(__xludf.DUMMYFUNCTION("""COMPUTED_VALUE"""),"")</f>
        <v/>
      </c>
      <c r="C22555" s="12" t="str">
        <f ca="1">IFERROR(__xludf.DUMMYFUNCTION("""COMPUTED_VALUE"""),"")</f>
        <v/>
      </c>
      <c r="D22555" s="12" t="str">
        <f ca="1">IFERROR(__xludf.DUMMYFUNCTION("""COMPUTED_VALUE"""),"")</f>
        <v/>
      </c>
    </row>
    <row r="22556" spans="2:4" ht="13">
      <c r="B22556" s="12" t="str">
        <f ca="1">IFERROR(__xludf.DUMMYFUNCTION("""COMPUTED_VALUE"""),"")</f>
        <v/>
      </c>
      <c r="C22556" s="12" t="str">
        <f ca="1">IFERROR(__xludf.DUMMYFUNCTION("""COMPUTED_VALUE"""),"")</f>
        <v/>
      </c>
      <c r="D22556" s="12" t="str">
        <f ca="1">IFERROR(__xludf.DUMMYFUNCTION("""COMPUTED_VALUE"""),"")</f>
        <v/>
      </c>
    </row>
    <row r="22557" spans="2:4" ht="13">
      <c r="B22557" s="12" t="str">
        <f ca="1">IFERROR(__xludf.DUMMYFUNCTION("""COMPUTED_VALUE"""),"")</f>
        <v/>
      </c>
      <c r="C22557" s="12" t="str">
        <f ca="1">IFERROR(__xludf.DUMMYFUNCTION("""COMPUTED_VALUE"""),"")</f>
        <v/>
      </c>
      <c r="D22557" s="12" t="str">
        <f ca="1">IFERROR(__xludf.DUMMYFUNCTION("""COMPUTED_VALUE"""),"")</f>
        <v/>
      </c>
    </row>
    <row r="22558" spans="2:4" ht="13">
      <c r="B22558" s="12" t="str">
        <f ca="1">IFERROR(__xludf.DUMMYFUNCTION("""COMPUTED_VALUE"""),"")</f>
        <v/>
      </c>
      <c r="C22558" s="12" t="str">
        <f ca="1">IFERROR(__xludf.DUMMYFUNCTION("""COMPUTED_VALUE"""),"")</f>
        <v/>
      </c>
      <c r="D22558" s="12" t="str">
        <f ca="1">IFERROR(__xludf.DUMMYFUNCTION("""COMPUTED_VALUE"""),"")</f>
        <v/>
      </c>
    </row>
    <row r="22559" spans="2:4" ht="13">
      <c r="B22559" s="12" t="str">
        <f ca="1">IFERROR(__xludf.DUMMYFUNCTION("""COMPUTED_VALUE"""),"")</f>
        <v/>
      </c>
      <c r="C22559" s="12" t="str">
        <f ca="1">IFERROR(__xludf.DUMMYFUNCTION("""COMPUTED_VALUE"""),"")</f>
        <v/>
      </c>
      <c r="D22559" s="12" t="str">
        <f ca="1">IFERROR(__xludf.DUMMYFUNCTION("""COMPUTED_VALUE"""),"")</f>
        <v/>
      </c>
    </row>
    <row r="22560" spans="2:4" ht="13">
      <c r="B22560" s="12" t="str">
        <f ca="1">IFERROR(__xludf.DUMMYFUNCTION("""COMPUTED_VALUE"""),"")</f>
        <v/>
      </c>
      <c r="C22560" s="12" t="str">
        <f ca="1">IFERROR(__xludf.DUMMYFUNCTION("""COMPUTED_VALUE"""),"")</f>
        <v/>
      </c>
      <c r="D22560" s="12" t="str">
        <f ca="1">IFERROR(__xludf.DUMMYFUNCTION("""COMPUTED_VALUE"""),"")</f>
        <v/>
      </c>
    </row>
    <row r="22561" spans="2:4" ht="13">
      <c r="B22561" s="12" t="str">
        <f ca="1">IFERROR(__xludf.DUMMYFUNCTION("""COMPUTED_VALUE"""),"")</f>
        <v/>
      </c>
      <c r="C22561" s="12" t="str">
        <f ca="1">IFERROR(__xludf.DUMMYFUNCTION("""COMPUTED_VALUE"""),"")</f>
        <v/>
      </c>
      <c r="D22561" s="12" t="str">
        <f ca="1">IFERROR(__xludf.DUMMYFUNCTION("""COMPUTED_VALUE"""),"")</f>
        <v/>
      </c>
    </row>
    <row r="22562" spans="2:4" ht="13">
      <c r="B22562" s="12" t="str">
        <f ca="1">IFERROR(__xludf.DUMMYFUNCTION("""COMPUTED_VALUE"""),"")</f>
        <v/>
      </c>
      <c r="C22562" s="12" t="str">
        <f ca="1">IFERROR(__xludf.DUMMYFUNCTION("""COMPUTED_VALUE"""),"")</f>
        <v/>
      </c>
      <c r="D22562" s="12" t="str">
        <f ca="1">IFERROR(__xludf.DUMMYFUNCTION("""COMPUTED_VALUE"""),"")</f>
        <v/>
      </c>
    </row>
    <row r="22563" spans="2:4" ht="13">
      <c r="B22563" s="12" t="str">
        <f ca="1">IFERROR(__xludf.DUMMYFUNCTION("""COMPUTED_VALUE"""),"")</f>
        <v/>
      </c>
      <c r="C22563" s="12" t="str">
        <f ca="1">IFERROR(__xludf.DUMMYFUNCTION("""COMPUTED_VALUE"""),"")</f>
        <v/>
      </c>
      <c r="D22563" s="12" t="str">
        <f ca="1">IFERROR(__xludf.DUMMYFUNCTION("""COMPUTED_VALUE"""),"")</f>
        <v/>
      </c>
    </row>
    <row r="22564" spans="2:4" ht="13">
      <c r="B22564" s="12" t="str">
        <f ca="1">IFERROR(__xludf.DUMMYFUNCTION("""COMPUTED_VALUE"""),"")</f>
        <v/>
      </c>
      <c r="C22564" s="12" t="str">
        <f ca="1">IFERROR(__xludf.DUMMYFUNCTION("""COMPUTED_VALUE"""),"")</f>
        <v/>
      </c>
      <c r="D22564" s="12" t="str">
        <f ca="1">IFERROR(__xludf.DUMMYFUNCTION("""COMPUTED_VALUE"""),"")</f>
        <v/>
      </c>
    </row>
    <row r="22565" spans="2:4" ht="13">
      <c r="B22565" s="12" t="str">
        <f ca="1">IFERROR(__xludf.DUMMYFUNCTION("""COMPUTED_VALUE"""),"")</f>
        <v/>
      </c>
      <c r="C22565" s="12" t="str">
        <f ca="1">IFERROR(__xludf.DUMMYFUNCTION("""COMPUTED_VALUE"""),"")</f>
        <v/>
      </c>
      <c r="D22565" s="12" t="str">
        <f ca="1">IFERROR(__xludf.DUMMYFUNCTION("""COMPUTED_VALUE"""),"")</f>
        <v/>
      </c>
    </row>
    <row r="22566" spans="2:4" ht="13">
      <c r="B22566" s="12" t="str">
        <f ca="1">IFERROR(__xludf.DUMMYFUNCTION("""COMPUTED_VALUE"""),"")</f>
        <v/>
      </c>
      <c r="C22566" s="12" t="str">
        <f ca="1">IFERROR(__xludf.DUMMYFUNCTION("""COMPUTED_VALUE"""),"")</f>
        <v/>
      </c>
      <c r="D22566" s="12" t="str">
        <f ca="1">IFERROR(__xludf.DUMMYFUNCTION("""COMPUTED_VALUE"""),"")</f>
        <v/>
      </c>
    </row>
    <row r="22567" spans="2:4" ht="13">
      <c r="B22567" s="12" t="str">
        <f ca="1">IFERROR(__xludf.DUMMYFUNCTION("""COMPUTED_VALUE"""),"")</f>
        <v/>
      </c>
      <c r="C22567" s="12" t="str">
        <f ca="1">IFERROR(__xludf.DUMMYFUNCTION("""COMPUTED_VALUE"""),"")</f>
        <v/>
      </c>
      <c r="D22567" s="12" t="str">
        <f ca="1">IFERROR(__xludf.DUMMYFUNCTION("""COMPUTED_VALUE"""),"")</f>
        <v/>
      </c>
    </row>
    <row r="22568" spans="2:4" ht="13">
      <c r="B22568" s="12" t="str">
        <f ca="1">IFERROR(__xludf.DUMMYFUNCTION("""COMPUTED_VALUE"""),"")</f>
        <v/>
      </c>
      <c r="C22568" s="12" t="str">
        <f ca="1">IFERROR(__xludf.DUMMYFUNCTION("""COMPUTED_VALUE"""),"")</f>
        <v/>
      </c>
      <c r="D22568" s="12" t="str">
        <f ca="1">IFERROR(__xludf.DUMMYFUNCTION("""COMPUTED_VALUE"""),"")</f>
        <v/>
      </c>
    </row>
    <row r="22569" spans="2:4" ht="13">
      <c r="B22569" s="12" t="str">
        <f ca="1">IFERROR(__xludf.DUMMYFUNCTION("""COMPUTED_VALUE"""),"")</f>
        <v/>
      </c>
      <c r="C22569" s="12" t="str">
        <f ca="1">IFERROR(__xludf.DUMMYFUNCTION("""COMPUTED_VALUE"""),"")</f>
        <v/>
      </c>
      <c r="D22569" s="12" t="str">
        <f ca="1">IFERROR(__xludf.DUMMYFUNCTION("""COMPUTED_VALUE"""),"")</f>
        <v/>
      </c>
    </row>
    <row r="22570" spans="2:4" ht="13">
      <c r="B22570" s="12" t="str">
        <f ca="1">IFERROR(__xludf.DUMMYFUNCTION("""COMPUTED_VALUE"""),"")</f>
        <v/>
      </c>
      <c r="C22570" s="12" t="str">
        <f ca="1">IFERROR(__xludf.DUMMYFUNCTION("""COMPUTED_VALUE"""),"")</f>
        <v/>
      </c>
      <c r="D22570" s="12" t="str">
        <f ca="1">IFERROR(__xludf.DUMMYFUNCTION("""COMPUTED_VALUE"""),"")</f>
        <v/>
      </c>
    </row>
    <row r="22571" spans="2:4" ht="13">
      <c r="B22571" s="12" t="str">
        <f ca="1">IFERROR(__xludf.DUMMYFUNCTION("""COMPUTED_VALUE"""),"")</f>
        <v/>
      </c>
      <c r="C22571" s="12" t="str">
        <f ca="1">IFERROR(__xludf.DUMMYFUNCTION("""COMPUTED_VALUE"""),"")</f>
        <v/>
      </c>
      <c r="D22571" s="12" t="str">
        <f ca="1">IFERROR(__xludf.DUMMYFUNCTION("""COMPUTED_VALUE"""),"")</f>
        <v/>
      </c>
    </row>
    <row r="22572" spans="2:4" ht="13">
      <c r="B22572" s="12" t="str">
        <f ca="1">IFERROR(__xludf.DUMMYFUNCTION("""COMPUTED_VALUE"""),"")</f>
        <v/>
      </c>
      <c r="C22572" s="12" t="str">
        <f ca="1">IFERROR(__xludf.DUMMYFUNCTION("""COMPUTED_VALUE"""),"")</f>
        <v/>
      </c>
      <c r="D22572" s="12" t="str">
        <f ca="1">IFERROR(__xludf.DUMMYFUNCTION("""COMPUTED_VALUE"""),"")</f>
        <v/>
      </c>
    </row>
    <row r="22573" spans="2:4" ht="13">
      <c r="B22573" s="12" t="str">
        <f ca="1">IFERROR(__xludf.DUMMYFUNCTION("""COMPUTED_VALUE"""),"")</f>
        <v/>
      </c>
      <c r="C22573" s="12" t="str">
        <f ca="1">IFERROR(__xludf.DUMMYFUNCTION("""COMPUTED_VALUE"""),"")</f>
        <v/>
      </c>
      <c r="D22573" s="12" t="str">
        <f ca="1">IFERROR(__xludf.DUMMYFUNCTION("""COMPUTED_VALUE"""),"")</f>
        <v/>
      </c>
    </row>
    <row r="22574" spans="2:4" ht="13">
      <c r="B22574" s="12" t="str">
        <f ca="1">IFERROR(__xludf.DUMMYFUNCTION("""COMPUTED_VALUE"""),"")</f>
        <v/>
      </c>
      <c r="C22574" s="12" t="str">
        <f ca="1">IFERROR(__xludf.DUMMYFUNCTION("""COMPUTED_VALUE"""),"")</f>
        <v/>
      </c>
      <c r="D22574" s="12" t="str">
        <f ca="1">IFERROR(__xludf.DUMMYFUNCTION("""COMPUTED_VALUE"""),"")</f>
        <v/>
      </c>
    </row>
    <row r="22575" spans="2:4" ht="13">
      <c r="B22575" s="12" t="str">
        <f ca="1">IFERROR(__xludf.DUMMYFUNCTION("""COMPUTED_VALUE"""),"")</f>
        <v/>
      </c>
      <c r="C22575" s="12" t="str">
        <f ca="1">IFERROR(__xludf.DUMMYFUNCTION("""COMPUTED_VALUE"""),"")</f>
        <v/>
      </c>
      <c r="D22575" s="12" t="str">
        <f ca="1">IFERROR(__xludf.DUMMYFUNCTION("""COMPUTED_VALUE"""),"")</f>
        <v/>
      </c>
    </row>
    <row r="22576" spans="2:4" ht="13">
      <c r="B22576" s="12" t="str">
        <f ca="1">IFERROR(__xludf.DUMMYFUNCTION("""COMPUTED_VALUE"""),"")</f>
        <v/>
      </c>
      <c r="C22576" s="12" t="str">
        <f ca="1">IFERROR(__xludf.DUMMYFUNCTION("""COMPUTED_VALUE"""),"")</f>
        <v/>
      </c>
      <c r="D22576" s="12" t="str">
        <f ca="1">IFERROR(__xludf.DUMMYFUNCTION("""COMPUTED_VALUE"""),"")</f>
        <v/>
      </c>
    </row>
    <row r="22577" spans="2:4" ht="13">
      <c r="B22577" s="12" t="str">
        <f ca="1">IFERROR(__xludf.DUMMYFUNCTION("""COMPUTED_VALUE"""),"")</f>
        <v/>
      </c>
      <c r="C22577" s="12" t="str">
        <f ca="1">IFERROR(__xludf.DUMMYFUNCTION("""COMPUTED_VALUE"""),"")</f>
        <v/>
      </c>
      <c r="D22577" s="12" t="str">
        <f ca="1">IFERROR(__xludf.DUMMYFUNCTION("""COMPUTED_VALUE"""),"")</f>
        <v/>
      </c>
    </row>
    <row r="22578" spans="2:4" ht="13">
      <c r="B22578" s="12" t="str">
        <f ca="1">IFERROR(__xludf.DUMMYFUNCTION("""COMPUTED_VALUE"""),"")</f>
        <v/>
      </c>
      <c r="C22578" s="12" t="str">
        <f ca="1">IFERROR(__xludf.DUMMYFUNCTION("""COMPUTED_VALUE"""),"")</f>
        <v/>
      </c>
      <c r="D22578" s="12" t="str">
        <f ca="1">IFERROR(__xludf.DUMMYFUNCTION("""COMPUTED_VALUE"""),"")</f>
        <v/>
      </c>
    </row>
    <row r="22579" spans="2:4" ht="13">
      <c r="B22579" s="12" t="str">
        <f ca="1">IFERROR(__xludf.DUMMYFUNCTION("""COMPUTED_VALUE"""),"")</f>
        <v/>
      </c>
      <c r="C22579" s="12" t="str">
        <f ca="1">IFERROR(__xludf.DUMMYFUNCTION("""COMPUTED_VALUE"""),"")</f>
        <v/>
      </c>
      <c r="D22579" s="12" t="str">
        <f ca="1">IFERROR(__xludf.DUMMYFUNCTION("""COMPUTED_VALUE"""),"")</f>
        <v/>
      </c>
    </row>
    <row r="22580" spans="2:4" ht="13">
      <c r="B22580" s="12" t="str">
        <f ca="1">IFERROR(__xludf.DUMMYFUNCTION("""COMPUTED_VALUE"""),"")</f>
        <v/>
      </c>
      <c r="C22580" s="12" t="str">
        <f ca="1">IFERROR(__xludf.DUMMYFUNCTION("""COMPUTED_VALUE"""),"")</f>
        <v/>
      </c>
      <c r="D22580" s="12" t="str">
        <f ca="1">IFERROR(__xludf.DUMMYFUNCTION("""COMPUTED_VALUE"""),"")</f>
        <v/>
      </c>
    </row>
    <row r="22581" spans="2:4" ht="13">
      <c r="B22581" s="12" t="str">
        <f ca="1">IFERROR(__xludf.DUMMYFUNCTION("""COMPUTED_VALUE"""),"")</f>
        <v/>
      </c>
      <c r="C22581" s="12" t="str">
        <f ca="1">IFERROR(__xludf.DUMMYFUNCTION("""COMPUTED_VALUE"""),"")</f>
        <v/>
      </c>
      <c r="D22581" s="12" t="str">
        <f ca="1">IFERROR(__xludf.DUMMYFUNCTION("""COMPUTED_VALUE"""),"")</f>
        <v/>
      </c>
    </row>
    <row r="22582" spans="2:4" ht="13">
      <c r="B22582" s="12" t="str">
        <f ca="1">IFERROR(__xludf.DUMMYFUNCTION("""COMPUTED_VALUE"""),"")</f>
        <v/>
      </c>
      <c r="C22582" s="12" t="str">
        <f ca="1">IFERROR(__xludf.DUMMYFUNCTION("""COMPUTED_VALUE"""),"")</f>
        <v/>
      </c>
      <c r="D22582" s="12" t="str">
        <f ca="1">IFERROR(__xludf.DUMMYFUNCTION("""COMPUTED_VALUE"""),"")</f>
        <v/>
      </c>
    </row>
    <row r="22583" spans="2:4" ht="13">
      <c r="B22583" s="12" t="str">
        <f ca="1">IFERROR(__xludf.DUMMYFUNCTION("""COMPUTED_VALUE"""),"")</f>
        <v/>
      </c>
      <c r="C22583" s="12" t="str">
        <f ca="1">IFERROR(__xludf.DUMMYFUNCTION("""COMPUTED_VALUE"""),"")</f>
        <v/>
      </c>
      <c r="D22583" s="12" t="str">
        <f ca="1">IFERROR(__xludf.DUMMYFUNCTION("""COMPUTED_VALUE"""),"")</f>
        <v/>
      </c>
    </row>
    <row r="22584" spans="2:4" ht="13">
      <c r="B22584" s="12" t="str">
        <f ca="1">IFERROR(__xludf.DUMMYFUNCTION("""COMPUTED_VALUE"""),"")</f>
        <v/>
      </c>
      <c r="C22584" s="12" t="str">
        <f ca="1">IFERROR(__xludf.DUMMYFUNCTION("""COMPUTED_VALUE"""),"")</f>
        <v/>
      </c>
      <c r="D22584" s="12" t="str">
        <f ca="1">IFERROR(__xludf.DUMMYFUNCTION("""COMPUTED_VALUE"""),"")</f>
        <v/>
      </c>
    </row>
    <row r="22585" spans="2:4" ht="13">
      <c r="B22585" s="12" t="str">
        <f ca="1">IFERROR(__xludf.DUMMYFUNCTION("""COMPUTED_VALUE"""),"")</f>
        <v/>
      </c>
      <c r="C22585" s="12" t="str">
        <f ca="1">IFERROR(__xludf.DUMMYFUNCTION("""COMPUTED_VALUE"""),"")</f>
        <v/>
      </c>
      <c r="D22585" s="12" t="str">
        <f ca="1">IFERROR(__xludf.DUMMYFUNCTION("""COMPUTED_VALUE"""),"")</f>
        <v/>
      </c>
    </row>
    <row r="22586" spans="2:4" ht="13">
      <c r="B22586" s="12" t="str">
        <f ca="1">IFERROR(__xludf.DUMMYFUNCTION("""COMPUTED_VALUE"""),"")</f>
        <v/>
      </c>
      <c r="C22586" s="12" t="str">
        <f ca="1">IFERROR(__xludf.DUMMYFUNCTION("""COMPUTED_VALUE"""),"")</f>
        <v/>
      </c>
      <c r="D22586" s="12" t="str">
        <f ca="1">IFERROR(__xludf.DUMMYFUNCTION("""COMPUTED_VALUE"""),"")</f>
        <v/>
      </c>
    </row>
    <row r="22587" spans="2:4" ht="13">
      <c r="B22587" s="12" t="str">
        <f ca="1">IFERROR(__xludf.DUMMYFUNCTION("""COMPUTED_VALUE"""),"")</f>
        <v/>
      </c>
      <c r="C22587" s="12" t="str">
        <f ca="1">IFERROR(__xludf.DUMMYFUNCTION("""COMPUTED_VALUE"""),"")</f>
        <v/>
      </c>
      <c r="D22587" s="12" t="str">
        <f ca="1">IFERROR(__xludf.DUMMYFUNCTION("""COMPUTED_VALUE"""),"")</f>
        <v/>
      </c>
    </row>
    <row r="22588" spans="2:4" ht="13">
      <c r="B22588" s="12" t="str">
        <f ca="1">IFERROR(__xludf.DUMMYFUNCTION("""COMPUTED_VALUE"""),"")</f>
        <v/>
      </c>
      <c r="C22588" s="12" t="str">
        <f ca="1">IFERROR(__xludf.DUMMYFUNCTION("""COMPUTED_VALUE"""),"")</f>
        <v/>
      </c>
      <c r="D22588" s="12" t="str">
        <f ca="1">IFERROR(__xludf.DUMMYFUNCTION("""COMPUTED_VALUE"""),"")</f>
        <v/>
      </c>
    </row>
    <row r="22589" spans="2:4" ht="13">
      <c r="B22589" s="12" t="str">
        <f ca="1">IFERROR(__xludf.DUMMYFUNCTION("""COMPUTED_VALUE"""),"")</f>
        <v/>
      </c>
      <c r="C22589" s="12" t="str">
        <f ca="1">IFERROR(__xludf.DUMMYFUNCTION("""COMPUTED_VALUE"""),"")</f>
        <v/>
      </c>
      <c r="D22589" s="12" t="str">
        <f ca="1">IFERROR(__xludf.DUMMYFUNCTION("""COMPUTED_VALUE"""),"")</f>
        <v/>
      </c>
    </row>
    <row r="22590" spans="2:4" ht="13">
      <c r="B22590" s="12" t="str">
        <f ca="1">IFERROR(__xludf.DUMMYFUNCTION("""COMPUTED_VALUE"""),"")</f>
        <v/>
      </c>
      <c r="C22590" s="12" t="str">
        <f ca="1">IFERROR(__xludf.DUMMYFUNCTION("""COMPUTED_VALUE"""),"")</f>
        <v/>
      </c>
      <c r="D22590" s="12" t="str">
        <f ca="1">IFERROR(__xludf.DUMMYFUNCTION("""COMPUTED_VALUE"""),"")</f>
        <v/>
      </c>
    </row>
    <row r="22591" spans="2:4" ht="13">
      <c r="B22591" s="12" t="str">
        <f ca="1">IFERROR(__xludf.DUMMYFUNCTION("""COMPUTED_VALUE"""),"")</f>
        <v/>
      </c>
      <c r="C22591" s="12" t="str">
        <f ca="1">IFERROR(__xludf.DUMMYFUNCTION("""COMPUTED_VALUE"""),"")</f>
        <v/>
      </c>
      <c r="D22591" s="12" t="str">
        <f ca="1">IFERROR(__xludf.DUMMYFUNCTION("""COMPUTED_VALUE"""),"")</f>
        <v/>
      </c>
    </row>
    <row r="22592" spans="2:4" ht="13">
      <c r="B22592" s="12" t="str">
        <f ca="1">IFERROR(__xludf.DUMMYFUNCTION("""COMPUTED_VALUE"""),"")</f>
        <v/>
      </c>
      <c r="C22592" s="12" t="str">
        <f ca="1">IFERROR(__xludf.DUMMYFUNCTION("""COMPUTED_VALUE"""),"")</f>
        <v/>
      </c>
      <c r="D22592" s="12" t="str">
        <f ca="1">IFERROR(__xludf.DUMMYFUNCTION("""COMPUTED_VALUE"""),"")</f>
        <v/>
      </c>
    </row>
    <row r="22593" spans="2:4" ht="13">
      <c r="B22593" s="12" t="str">
        <f ca="1">IFERROR(__xludf.DUMMYFUNCTION("""COMPUTED_VALUE"""),"")</f>
        <v/>
      </c>
      <c r="C22593" s="12" t="str">
        <f ca="1">IFERROR(__xludf.DUMMYFUNCTION("""COMPUTED_VALUE"""),"")</f>
        <v/>
      </c>
      <c r="D22593" s="12" t="str">
        <f ca="1">IFERROR(__xludf.DUMMYFUNCTION("""COMPUTED_VALUE"""),"")</f>
        <v/>
      </c>
    </row>
    <row r="22594" spans="2:4" ht="13">
      <c r="B22594" s="12" t="str">
        <f ca="1">IFERROR(__xludf.DUMMYFUNCTION("""COMPUTED_VALUE"""),"")</f>
        <v/>
      </c>
      <c r="C22594" s="12" t="str">
        <f ca="1">IFERROR(__xludf.DUMMYFUNCTION("""COMPUTED_VALUE"""),"")</f>
        <v/>
      </c>
      <c r="D22594" s="12" t="str">
        <f ca="1">IFERROR(__xludf.DUMMYFUNCTION("""COMPUTED_VALUE"""),"")</f>
        <v/>
      </c>
    </row>
    <row r="22595" spans="2:4" ht="13">
      <c r="B22595" s="12" t="str">
        <f ca="1">IFERROR(__xludf.DUMMYFUNCTION("""COMPUTED_VALUE"""),"")</f>
        <v/>
      </c>
      <c r="C22595" s="12" t="str">
        <f ca="1">IFERROR(__xludf.DUMMYFUNCTION("""COMPUTED_VALUE"""),"")</f>
        <v/>
      </c>
      <c r="D22595" s="12" t="str">
        <f ca="1">IFERROR(__xludf.DUMMYFUNCTION("""COMPUTED_VALUE"""),"")</f>
        <v/>
      </c>
    </row>
    <row r="22596" spans="2:4" ht="13">
      <c r="B22596" s="12" t="str">
        <f ca="1">IFERROR(__xludf.DUMMYFUNCTION("""COMPUTED_VALUE"""),"")</f>
        <v/>
      </c>
      <c r="C22596" s="12" t="str">
        <f ca="1">IFERROR(__xludf.DUMMYFUNCTION("""COMPUTED_VALUE"""),"")</f>
        <v/>
      </c>
      <c r="D22596" s="12" t="str">
        <f ca="1">IFERROR(__xludf.DUMMYFUNCTION("""COMPUTED_VALUE"""),"")</f>
        <v/>
      </c>
    </row>
    <row r="22597" spans="2:4" ht="13">
      <c r="B22597" s="12" t="str">
        <f ca="1">IFERROR(__xludf.DUMMYFUNCTION("""COMPUTED_VALUE"""),"")</f>
        <v/>
      </c>
      <c r="C22597" s="12" t="str">
        <f ca="1">IFERROR(__xludf.DUMMYFUNCTION("""COMPUTED_VALUE"""),"")</f>
        <v/>
      </c>
      <c r="D22597" s="12" t="str">
        <f ca="1">IFERROR(__xludf.DUMMYFUNCTION("""COMPUTED_VALUE"""),"")</f>
        <v/>
      </c>
    </row>
    <row r="22598" spans="2:4" ht="13">
      <c r="B22598" s="12" t="str">
        <f ca="1">IFERROR(__xludf.DUMMYFUNCTION("""COMPUTED_VALUE"""),"")</f>
        <v/>
      </c>
      <c r="C22598" s="12" t="str">
        <f ca="1">IFERROR(__xludf.DUMMYFUNCTION("""COMPUTED_VALUE"""),"")</f>
        <v/>
      </c>
      <c r="D22598" s="12" t="str">
        <f ca="1">IFERROR(__xludf.DUMMYFUNCTION("""COMPUTED_VALUE"""),"")</f>
        <v/>
      </c>
    </row>
    <row r="22599" spans="2:4" ht="13">
      <c r="B22599" s="12" t="str">
        <f ca="1">IFERROR(__xludf.DUMMYFUNCTION("""COMPUTED_VALUE"""),"")</f>
        <v/>
      </c>
      <c r="C22599" s="12" t="str">
        <f ca="1">IFERROR(__xludf.DUMMYFUNCTION("""COMPUTED_VALUE"""),"")</f>
        <v/>
      </c>
      <c r="D22599" s="12" t="str">
        <f ca="1">IFERROR(__xludf.DUMMYFUNCTION("""COMPUTED_VALUE"""),"")</f>
        <v/>
      </c>
    </row>
    <row r="22600" spans="2:4" ht="13">
      <c r="B22600" s="12" t="str">
        <f ca="1">IFERROR(__xludf.DUMMYFUNCTION("""COMPUTED_VALUE"""),"")</f>
        <v/>
      </c>
      <c r="C22600" s="12" t="str">
        <f ca="1">IFERROR(__xludf.DUMMYFUNCTION("""COMPUTED_VALUE"""),"")</f>
        <v/>
      </c>
      <c r="D22600" s="12" t="str">
        <f ca="1">IFERROR(__xludf.DUMMYFUNCTION("""COMPUTED_VALUE"""),"")</f>
        <v/>
      </c>
    </row>
    <row r="22601" spans="2:4" ht="13">
      <c r="B22601" s="12" t="str">
        <f ca="1">IFERROR(__xludf.DUMMYFUNCTION("""COMPUTED_VALUE"""),"")</f>
        <v/>
      </c>
      <c r="C22601" s="12" t="str">
        <f ca="1">IFERROR(__xludf.DUMMYFUNCTION("""COMPUTED_VALUE"""),"")</f>
        <v/>
      </c>
      <c r="D22601" s="12" t="str">
        <f ca="1">IFERROR(__xludf.DUMMYFUNCTION("""COMPUTED_VALUE"""),"")</f>
        <v/>
      </c>
    </row>
    <row r="22602" spans="2:4" ht="13">
      <c r="B22602" s="12" t="str">
        <f ca="1">IFERROR(__xludf.DUMMYFUNCTION("""COMPUTED_VALUE"""),"")</f>
        <v/>
      </c>
      <c r="C22602" s="12" t="str">
        <f ca="1">IFERROR(__xludf.DUMMYFUNCTION("""COMPUTED_VALUE"""),"")</f>
        <v/>
      </c>
      <c r="D22602" s="12" t="str">
        <f ca="1">IFERROR(__xludf.DUMMYFUNCTION("""COMPUTED_VALUE"""),"")</f>
        <v/>
      </c>
    </row>
    <row r="22603" spans="2:4" ht="13">
      <c r="B22603" s="12" t="str">
        <f ca="1">IFERROR(__xludf.DUMMYFUNCTION("""COMPUTED_VALUE"""),"")</f>
        <v/>
      </c>
      <c r="C22603" s="12" t="str">
        <f ca="1">IFERROR(__xludf.DUMMYFUNCTION("""COMPUTED_VALUE"""),"")</f>
        <v/>
      </c>
      <c r="D22603" s="12" t="str">
        <f ca="1">IFERROR(__xludf.DUMMYFUNCTION("""COMPUTED_VALUE"""),"")</f>
        <v/>
      </c>
    </row>
    <row r="22604" spans="2:4" ht="13">
      <c r="B22604" s="12" t="str">
        <f ca="1">IFERROR(__xludf.DUMMYFUNCTION("""COMPUTED_VALUE"""),"")</f>
        <v/>
      </c>
      <c r="C22604" s="12" t="str">
        <f ca="1">IFERROR(__xludf.DUMMYFUNCTION("""COMPUTED_VALUE"""),"")</f>
        <v/>
      </c>
      <c r="D22604" s="12" t="str">
        <f ca="1">IFERROR(__xludf.DUMMYFUNCTION("""COMPUTED_VALUE"""),"")</f>
        <v/>
      </c>
    </row>
    <row r="22605" spans="2:4" ht="13">
      <c r="B22605" s="12" t="str">
        <f ca="1">IFERROR(__xludf.DUMMYFUNCTION("""COMPUTED_VALUE"""),"")</f>
        <v/>
      </c>
      <c r="C22605" s="12" t="str">
        <f ca="1">IFERROR(__xludf.DUMMYFUNCTION("""COMPUTED_VALUE"""),"")</f>
        <v/>
      </c>
      <c r="D22605" s="12" t="str">
        <f ca="1">IFERROR(__xludf.DUMMYFUNCTION("""COMPUTED_VALUE"""),"")</f>
        <v/>
      </c>
    </row>
    <row r="22606" spans="2:4" ht="13">
      <c r="B22606" s="12" t="str">
        <f ca="1">IFERROR(__xludf.DUMMYFUNCTION("""COMPUTED_VALUE"""),"")</f>
        <v/>
      </c>
      <c r="C22606" s="12" t="str">
        <f ca="1">IFERROR(__xludf.DUMMYFUNCTION("""COMPUTED_VALUE"""),"")</f>
        <v/>
      </c>
      <c r="D22606" s="12" t="str">
        <f ca="1">IFERROR(__xludf.DUMMYFUNCTION("""COMPUTED_VALUE"""),"")</f>
        <v/>
      </c>
    </row>
    <row r="22607" spans="2:4" ht="13">
      <c r="B22607" s="12" t="str">
        <f ca="1">IFERROR(__xludf.DUMMYFUNCTION("""COMPUTED_VALUE"""),"")</f>
        <v/>
      </c>
      <c r="C22607" s="12" t="str">
        <f ca="1">IFERROR(__xludf.DUMMYFUNCTION("""COMPUTED_VALUE"""),"")</f>
        <v/>
      </c>
      <c r="D22607" s="12" t="str">
        <f ca="1">IFERROR(__xludf.DUMMYFUNCTION("""COMPUTED_VALUE"""),"")</f>
        <v/>
      </c>
    </row>
    <row r="22608" spans="2:4" ht="13">
      <c r="B22608" s="12" t="str">
        <f ca="1">IFERROR(__xludf.DUMMYFUNCTION("""COMPUTED_VALUE"""),"")</f>
        <v/>
      </c>
      <c r="C22608" s="12" t="str">
        <f ca="1">IFERROR(__xludf.DUMMYFUNCTION("""COMPUTED_VALUE"""),"")</f>
        <v/>
      </c>
      <c r="D22608" s="12" t="str">
        <f ca="1">IFERROR(__xludf.DUMMYFUNCTION("""COMPUTED_VALUE"""),"")</f>
        <v/>
      </c>
    </row>
    <row r="22609" spans="2:4" ht="13">
      <c r="B22609" s="12" t="str">
        <f ca="1">IFERROR(__xludf.DUMMYFUNCTION("""COMPUTED_VALUE"""),"")</f>
        <v/>
      </c>
      <c r="C22609" s="12" t="str">
        <f ca="1">IFERROR(__xludf.DUMMYFUNCTION("""COMPUTED_VALUE"""),"")</f>
        <v/>
      </c>
      <c r="D22609" s="12" t="str">
        <f ca="1">IFERROR(__xludf.DUMMYFUNCTION("""COMPUTED_VALUE"""),"")</f>
        <v/>
      </c>
    </row>
    <row r="22610" spans="2:4" ht="13">
      <c r="B22610" s="12" t="str">
        <f ca="1">IFERROR(__xludf.DUMMYFUNCTION("""COMPUTED_VALUE"""),"")</f>
        <v/>
      </c>
      <c r="C22610" s="12" t="str">
        <f ca="1">IFERROR(__xludf.DUMMYFUNCTION("""COMPUTED_VALUE"""),"")</f>
        <v/>
      </c>
      <c r="D22610" s="12" t="str">
        <f ca="1">IFERROR(__xludf.DUMMYFUNCTION("""COMPUTED_VALUE"""),"")</f>
        <v/>
      </c>
    </row>
    <row r="22611" spans="2:4" ht="13">
      <c r="B22611" s="12" t="str">
        <f ca="1">IFERROR(__xludf.DUMMYFUNCTION("""COMPUTED_VALUE"""),"")</f>
        <v/>
      </c>
      <c r="C22611" s="12" t="str">
        <f ca="1">IFERROR(__xludf.DUMMYFUNCTION("""COMPUTED_VALUE"""),"")</f>
        <v/>
      </c>
      <c r="D22611" s="12" t="str">
        <f ca="1">IFERROR(__xludf.DUMMYFUNCTION("""COMPUTED_VALUE"""),"")</f>
        <v/>
      </c>
    </row>
    <row r="22612" spans="2:4" ht="13">
      <c r="B22612" s="12" t="str">
        <f ca="1">IFERROR(__xludf.DUMMYFUNCTION("""COMPUTED_VALUE"""),"")</f>
        <v/>
      </c>
      <c r="C22612" s="12" t="str">
        <f ca="1">IFERROR(__xludf.DUMMYFUNCTION("""COMPUTED_VALUE"""),"")</f>
        <v/>
      </c>
      <c r="D22612" s="12" t="str">
        <f ca="1">IFERROR(__xludf.DUMMYFUNCTION("""COMPUTED_VALUE"""),"")</f>
        <v/>
      </c>
    </row>
    <row r="22613" spans="2:4" ht="13">
      <c r="B22613" s="12" t="str">
        <f ca="1">IFERROR(__xludf.DUMMYFUNCTION("""COMPUTED_VALUE"""),"")</f>
        <v/>
      </c>
      <c r="C22613" s="12" t="str">
        <f ca="1">IFERROR(__xludf.DUMMYFUNCTION("""COMPUTED_VALUE"""),"")</f>
        <v/>
      </c>
      <c r="D22613" s="12" t="str">
        <f ca="1">IFERROR(__xludf.DUMMYFUNCTION("""COMPUTED_VALUE"""),"")</f>
        <v/>
      </c>
    </row>
    <row r="22614" spans="2:4" ht="13">
      <c r="B22614" s="12" t="str">
        <f ca="1">IFERROR(__xludf.DUMMYFUNCTION("""COMPUTED_VALUE"""),"")</f>
        <v/>
      </c>
      <c r="C22614" s="12" t="str">
        <f ca="1">IFERROR(__xludf.DUMMYFUNCTION("""COMPUTED_VALUE"""),"")</f>
        <v/>
      </c>
      <c r="D22614" s="12" t="str">
        <f ca="1">IFERROR(__xludf.DUMMYFUNCTION("""COMPUTED_VALUE"""),"")</f>
        <v/>
      </c>
    </row>
    <row r="22615" spans="2:4" ht="13">
      <c r="B22615" s="12" t="str">
        <f ca="1">IFERROR(__xludf.DUMMYFUNCTION("""COMPUTED_VALUE"""),"")</f>
        <v/>
      </c>
      <c r="C22615" s="12" t="str">
        <f ca="1">IFERROR(__xludf.DUMMYFUNCTION("""COMPUTED_VALUE"""),"")</f>
        <v/>
      </c>
      <c r="D22615" s="12" t="str">
        <f ca="1">IFERROR(__xludf.DUMMYFUNCTION("""COMPUTED_VALUE"""),"")</f>
        <v/>
      </c>
    </row>
    <row r="22616" spans="2:4" ht="13">
      <c r="B22616" s="12" t="str">
        <f ca="1">IFERROR(__xludf.DUMMYFUNCTION("""COMPUTED_VALUE"""),"")</f>
        <v/>
      </c>
      <c r="C22616" s="12" t="str">
        <f ca="1">IFERROR(__xludf.DUMMYFUNCTION("""COMPUTED_VALUE"""),"")</f>
        <v/>
      </c>
      <c r="D22616" s="12" t="str">
        <f ca="1">IFERROR(__xludf.DUMMYFUNCTION("""COMPUTED_VALUE"""),"")</f>
        <v/>
      </c>
    </row>
    <row r="22617" spans="2:4" ht="13">
      <c r="B22617" s="12" t="str">
        <f ca="1">IFERROR(__xludf.DUMMYFUNCTION("""COMPUTED_VALUE"""),"")</f>
        <v/>
      </c>
      <c r="C22617" s="12" t="str">
        <f ca="1">IFERROR(__xludf.DUMMYFUNCTION("""COMPUTED_VALUE"""),"")</f>
        <v/>
      </c>
      <c r="D22617" s="12" t="str">
        <f ca="1">IFERROR(__xludf.DUMMYFUNCTION("""COMPUTED_VALUE"""),"")</f>
        <v/>
      </c>
    </row>
    <row r="22618" spans="2:4" ht="13">
      <c r="B22618" s="12" t="str">
        <f ca="1">IFERROR(__xludf.DUMMYFUNCTION("""COMPUTED_VALUE"""),"")</f>
        <v/>
      </c>
      <c r="C22618" s="12" t="str">
        <f ca="1">IFERROR(__xludf.DUMMYFUNCTION("""COMPUTED_VALUE"""),"")</f>
        <v/>
      </c>
      <c r="D22618" s="12" t="str">
        <f ca="1">IFERROR(__xludf.DUMMYFUNCTION("""COMPUTED_VALUE"""),"")</f>
        <v/>
      </c>
    </row>
    <row r="22619" spans="2:4" ht="13">
      <c r="B22619" s="12" t="str">
        <f ca="1">IFERROR(__xludf.DUMMYFUNCTION("""COMPUTED_VALUE"""),"")</f>
        <v/>
      </c>
      <c r="C22619" s="12" t="str">
        <f ca="1">IFERROR(__xludf.DUMMYFUNCTION("""COMPUTED_VALUE"""),"")</f>
        <v/>
      </c>
      <c r="D22619" s="12" t="str">
        <f ca="1">IFERROR(__xludf.DUMMYFUNCTION("""COMPUTED_VALUE"""),"")</f>
        <v/>
      </c>
    </row>
    <row r="22620" spans="2:4" ht="13">
      <c r="B22620" s="12" t="str">
        <f ca="1">IFERROR(__xludf.DUMMYFUNCTION("""COMPUTED_VALUE"""),"")</f>
        <v/>
      </c>
      <c r="C22620" s="12" t="str">
        <f ca="1">IFERROR(__xludf.DUMMYFUNCTION("""COMPUTED_VALUE"""),"")</f>
        <v/>
      </c>
      <c r="D22620" s="12" t="str">
        <f ca="1">IFERROR(__xludf.DUMMYFUNCTION("""COMPUTED_VALUE"""),"")</f>
        <v/>
      </c>
    </row>
    <row r="22621" spans="2:4" ht="13">
      <c r="B22621" s="12" t="str">
        <f ca="1">IFERROR(__xludf.DUMMYFUNCTION("""COMPUTED_VALUE"""),"")</f>
        <v/>
      </c>
      <c r="C22621" s="12" t="str">
        <f ca="1">IFERROR(__xludf.DUMMYFUNCTION("""COMPUTED_VALUE"""),"")</f>
        <v/>
      </c>
      <c r="D22621" s="12" t="str">
        <f ca="1">IFERROR(__xludf.DUMMYFUNCTION("""COMPUTED_VALUE"""),"")</f>
        <v/>
      </c>
    </row>
    <row r="22622" spans="2:4" ht="13">
      <c r="B22622" s="12" t="str">
        <f ca="1">IFERROR(__xludf.DUMMYFUNCTION("""COMPUTED_VALUE"""),"")</f>
        <v/>
      </c>
      <c r="C22622" s="12" t="str">
        <f ca="1">IFERROR(__xludf.DUMMYFUNCTION("""COMPUTED_VALUE"""),"")</f>
        <v/>
      </c>
      <c r="D22622" s="12" t="str">
        <f ca="1">IFERROR(__xludf.DUMMYFUNCTION("""COMPUTED_VALUE"""),"")</f>
        <v/>
      </c>
    </row>
    <row r="22623" spans="2:4" ht="13">
      <c r="B22623" s="12" t="str">
        <f ca="1">IFERROR(__xludf.DUMMYFUNCTION("""COMPUTED_VALUE"""),"")</f>
        <v/>
      </c>
      <c r="C22623" s="12" t="str">
        <f ca="1">IFERROR(__xludf.DUMMYFUNCTION("""COMPUTED_VALUE"""),"")</f>
        <v/>
      </c>
      <c r="D22623" s="12" t="str">
        <f ca="1">IFERROR(__xludf.DUMMYFUNCTION("""COMPUTED_VALUE"""),"")</f>
        <v/>
      </c>
    </row>
    <row r="22624" spans="2:4" ht="13">
      <c r="B22624" s="12" t="str">
        <f ca="1">IFERROR(__xludf.DUMMYFUNCTION("""COMPUTED_VALUE"""),"")</f>
        <v/>
      </c>
      <c r="C22624" s="12" t="str">
        <f ca="1">IFERROR(__xludf.DUMMYFUNCTION("""COMPUTED_VALUE"""),"")</f>
        <v/>
      </c>
      <c r="D22624" s="12" t="str">
        <f ca="1">IFERROR(__xludf.DUMMYFUNCTION("""COMPUTED_VALUE"""),"")</f>
        <v/>
      </c>
    </row>
    <row r="22625" spans="2:4" ht="13">
      <c r="B22625" s="12" t="str">
        <f ca="1">IFERROR(__xludf.DUMMYFUNCTION("""COMPUTED_VALUE"""),"")</f>
        <v/>
      </c>
      <c r="C22625" s="12" t="str">
        <f ca="1">IFERROR(__xludf.DUMMYFUNCTION("""COMPUTED_VALUE"""),"")</f>
        <v/>
      </c>
      <c r="D22625" s="12" t="str">
        <f ca="1">IFERROR(__xludf.DUMMYFUNCTION("""COMPUTED_VALUE"""),"")</f>
        <v/>
      </c>
    </row>
    <row r="22626" spans="2:4" ht="13">
      <c r="B22626" s="12" t="str">
        <f ca="1">IFERROR(__xludf.DUMMYFUNCTION("""COMPUTED_VALUE"""),"")</f>
        <v/>
      </c>
      <c r="C22626" s="12" t="str">
        <f ca="1">IFERROR(__xludf.DUMMYFUNCTION("""COMPUTED_VALUE"""),"")</f>
        <v/>
      </c>
      <c r="D22626" s="12" t="str">
        <f ca="1">IFERROR(__xludf.DUMMYFUNCTION("""COMPUTED_VALUE"""),"")</f>
        <v/>
      </c>
    </row>
    <row r="22627" spans="2:4" ht="13">
      <c r="B22627" s="12" t="str">
        <f ca="1">IFERROR(__xludf.DUMMYFUNCTION("""COMPUTED_VALUE"""),"")</f>
        <v/>
      </c>
      <c r="C22627" s="12" t="str">
        <f ca="1">IFERROR(__xludf.DUMMYFUNCTION("""COMPUTED_VALUE"""),"")</f>
        <v/>
      </c>
      <c r="D22627" s="12" t="str">
        <f ca="1">IFERROR(__xludf.DUMMYFUNCTION("""COMPUTED_VALUE"""),"")</f>
        <v/>
      </c>
    </row>
    <row r="22628" spans="2:4" ht="13">
      <c r="B22628" s="12" t="str">
        <f ca="1">IFERROR(__xludf.DUMMYFUNCTION("""COMPUTED_VALUE"""),"")</f>
        <v/>
      </c>
      <c r="C22628" s="12" t="str">
        <f ca="1">IFERROR(__xludf.DUMMYFUNCTION("""COMPUTED_VALUE"""),"")</f>
        <v/>
      </c>
      <c r="D22628" s="12" t="str">
        <f ca="1">IFERROR(__xludf.DUMMYFUNCTION("""COMPUTED_VALUE"""),"")</f>
        <v/>
      </c>
    </row>
    <row r="22629" spans="2:4" ht="13">
      <c r="B22629" s="12" t="str">
        <f ca="1">IFERROR(__xludf.DUMMYFUNCTION("""COMPUTED_VALUE"""),"")</f>
        <v/>
      </c>
      <c r="C22629" s="12" t="str">
        <f ca="1">IFERROR(__xludf.DUMMYFUNCTION("""COMPUTED_VALUE"""),"")</f>
        <v/>
      </c>
      <c r="D22629" s="12" t="str">
        <f ca="1">IFERROR(__xludf.DUMMYFUNCTION("""COMPUTED_VALUE"""),"")</f>
        <v/>
      </c>
    </row>
    <row r="22630" spans="2:4" ht="13">
      <c r="B22630" s="12" t="str">
        <f ca="1">IFERROR(__xludf.DUMMYFUNCTION("""COMPUTED_VALUE"""),"")</f>
        <v/>
      </c>
      <c r="C22630" s="12" t="str">
        <f ca="1">IFERROR(__xludf.DUMMYFUNCTION("""COMPUTED_VALUE"""),"")</f>
        <v/>
      </c>
      <c r="D22630" s="12" t="str">
        <f ca="1">IFERROR(__xludf.DUMMYFUNCTION("""COMPUTED_VALUE"""),"")</f>
        <v/>
      </c>
    </row>
    <row r="22631" spans="2:4" ht="13">
      <c r="B22631" s="12" t="str">
        <f ca="1">IFERROR(__xludf.DUMMYFUNCTION("""COMPUTED_VALUE"""),"")</f>
        <v/>
      </c>
      <c r="C22631" s="12" t="str">
        <f ca="1">IFERROR(__xludf.DUMMYFUNCTION("""COMPUTED_VALUE"""),"")</f>
        <v/>
      </c>
      <c r="D22631" s="12" t="str">
        <f ca="1">IFERROR(__xludf.DUMMYFUNCTION("""COMPUTED_VALUE"""),"")</f>
        <v/>
      </c>
    </row>
    <row r="22632" spans="2:4" ht="13">
      <c r="B22632" s="12" t="str">
        <f ca="1">IFERROR(__xludf.DUMMYFUNCTION("""COMPUTED_VALUE"""),"")</f>
        <v/>
      </c>
      <c r="C22632" s="12" t="str">
        <f ca="1">IFERROR(__xludf.DUMMYFUNCTION("""COMPUTED_VALUE"""),"")</f>
        <v/>
      </c>
      <c r="D22632" s="12" t="str">
        <f ca="1">IFERROR(__xludf.DUMMYFUNCTION("""COMPUTED_VALUE"""),"")</f>
        <v/>
      </c>
    </row>
    <row r="22633" spans="2:4" ht="13">
      <c r="B22633" s="12" t="str">
        <f ca="1">IFERROR(__xludf.DUMMYFUNCTION("""COMPUTED_VALUE"""),"")</f>
        <v/>
      </c>
      <c r="C22633" s="12" t="str">
        <f ca="1">IFERROR(__xludf.DUMMYFUNCTION("""COMPUTED_VALUE"""),"")</f>
        <v/>
      </c>
      <c r="D22633" s="12" t="str">
        <f ca="1">IFERROR(__xludf.DUMMYFUNCTION("""COMPUTED_VALUE"""),"")</f>
        <v/>
      </c>
    </row>
    <row r="22634" spans="2:4" ht="13">
      <c r="B22634" s="12" t="str">
        <f ca="1">IFERROR(__xludf.DUMMYFUNCTION("""COMPUTED_VALUE"""),"")</f>
        <v/>
      </c>
      <c r="C22634" s="12" t="str">
        <f ca="1">IFERROR(__xludf.DUMMYFUNCTION("""COMPUTED_VALUE"""),"")</f>
        <v/>
      </c>
      <c r="D22634" s="12" t="str">
        <f ca="1">IFERROR(__xludf.DUMMYFUNCTION("""COMPUTED_VALUE"""),"")</f>
        <v/>
      </c>
    </row>
    <row r="22635" spans="2:4" ht="13">
      <c r="B22635" s="12" t="str">
        <f ca="1">IFERROR(__xludf.DUMMYFUNCTION("""COMPUTED_VALUE"""),"")</f>
        <v/>
      </c>
      <c r="C22635" s="12" t="str">
        <f ca="1">IFERROR(__xludf.DUMMYFUNCTION("""COMPUTED_VALUE"""),"")</f>
        <v/>
      </c>
      <c r="D22635" s="12" t="str">
        <f ca="1">IFERROR(__xludf.DUMMYFUNCTION("""COMPUTED_VALUE"""),"")</f>
        <v/>
      </c>
    </row>
    <row r="22636" spans="2:4" ht="13">
      <c r="B22636" s="12" t="str">
        <f ca="1">IFERROR(__xludf.DUMMYFUNCTION("""COMPUTED_VALUE"""),"")</f>
        <v/>
      </c>
      <c r="C22636" s="12" t="str">
        <f ca="1">IFERROR(__xludf.DUMMYFUNCTION("""COMPUTED_VALUE"""),"")</f>
        <v/>
      </c>
      <c r="D22636" s="12" t="str">
        <f ca="1">IFERROR(__xludf.DUMMYFUNCTION("""COMPUTED_VALUE"""),"")</f>
        <v/>
      </c>
    </row>
    <row r="22637" spans="2:4" ht="13">
      <c r="B22637" s="12" t="str">
        <f ca="1">IFERROR(__xludf.DUMMYFUNCTION("""COMPUTED_VALUE"""),"")</f>
        <v/>
      </c>
      <c r="C22637" s="12" t="str">
        <f ca="1">IFERROR(__xludf.DUMMYFUNCTION("""COMPUTED_VALUE"""),"")</f>
        <v/>
      </c>
      <c r="D22637" s="12" t="str">
        <f ca="1">IFERROR(__xludf.DUMMYFUNCTION("""COMPUTED_VALUE"""),"")</f>
        <v/>
      </c>
    </row>
    <row r="22638" spans="2:4" ht="13">
      <c r="B22638" s="12" t="str">
        <f ca="1">IFERROR(__xludf.DUMMYFUNCTION("""COMPUTED_VALUE"""),"")</f>
        <v/>
      </c>
      <c r="C22638" s="12" t="str">
        <f ca="1">IFERROR(__xludf.DUMMYFUNCTION("""COMPUTED_VALUE"""),"")</f>
        <v/>
      </c>
      <c r="D22638" s="12" t="str">
        <f ca="1">IFERROR(__xludf.DUMMYFUNCTION("""COMPUTED_VALUE"""),"")</f>
        <v/>
      </c>
    </row>
    <row r="22639" spans="2:4" ht="13">
      <c r="B22639" s="12" t="str">
        <f ca="1">IFERROR(__xludf.DUMMYFUNCTION("""COMPUTED_VALUE"""),"")</f>
        <v/>
      </c>
      <c r="C22639" s="12" t="str">
        <f ca="1">IFERROR(__xludf.DUMMYFUNCTION("""COMPUTED_VALUE"""),"")</f>
        <v/>
      </c>
      <c r="D22639" s="12" t="str">
        <f ca="1">IFERROR(__xludf.DUMMYFUNCTION("""COMPUTED_VALUE"""),"")</f>
        <v/>
      </c>
    </row>
    <row r="22640" spans="2:4" ht="13">
      <c r="B22640" s="12" t="str">
        <f ca="1">IFERROR(__xludf.DUMMYFUNCTION("""COMPUTED_VALUE"""),"")</f>
        <v/>
      </c>
      <c r="C22640" s="12" t="str">
        <f ca="1">IFERROR(__xludf.DUMMYFUNCTION("""COMPUTED_VALUE"""),"")</f>
        <v/>
      </c>
      <c r="D22640" s="12" t="str">
        <f ca="1">IFERROR(__xludf.DUMMYFUNCTION("""COMPUTED_VALUE"""),"")</f>
        <v/>
      </c>
    </row>
    <row r="22641" spans="2:4" ht="13">
      <c r="B22641" s="12" t="str">
        <f ca="1">IFERROR(__xludf.DUMMYFUNCTION("""COMPUTED_VALUE"""),"")</f>
        <v/>
      </c>
      <c r="C22641" s="12" t="str">
        <f ca="1">IFERROR(__xludf.DUMMYFUNCTION("""COMPUTED_VALUE"""),"")</f>
        <v/>
      </c>
      <c r="D22641" s="12" t="str">
        <f ca="1">IFERROR(__xludf.DUMMYFUNCTION("""COMPUTED_VALUE"""),"")</f>
        <v/>
      </c>
    </row>
    <row r="22642" spans="2:4" ht="13">
      <c r="B22642" s="12" t="str">
        <f ca="1">IFERROR(__xludf.DUMMYFUNCTION("""COMPUTED_VALUE"""),"")</f>
        <v/>
      </c>
      <c r="C22642" s="12" t="str">
        <f ca="1">IFERROR(__xludf.DUMMYFUNCTION("""COMPUTED_VALUE"""),"")</f>
        <v/>
      </c>
      <c r="D22642" s="12" t="str">
        <f ca="1">IFERROR(__xludf.DUMMYFUNCTION("""COMPUTED_VALUE"""),"")</f>
        <v/>
      </c>
    </row>
    <row r="22643" spans="2:4" ht="13">
      <c r="B22643" s="12" t="str">
        <f ca="1">IFERROR(__xludf.DUMMYFUNCTION("""COMPUTED_VALUE"""),"")</f>
        <v/>
      </c>
      <c r="C22643" s="12" t="str">
        <f ca="1">IFERROR(__xludf.DUMMYFUNCTION("""COMPUTED_VALUE"""),"")</f>
        <v/>
      </c>
      <c r="D22643" s="12" t="str">
        <f ca="1">IFERROR(__xludf.DUMMYFUNCTION("""COMPUTED_VALUE"""),"")</f>
        <v/>
      </c>
    </row>
    <row r="22644" spans="2:4" ht="13">
      <c r="B22644" s="12" t="str">
        <f ca="1">IFERROR(__xludf.DUMMYFUNCTION("""COMPUTED_VALUE"""),"")</f>
        <v/>
      </c>
      <c r="C22644" s="12" t="str">
        <f ca="1">IFERROR(__xludf.DUMMYFUNCTION("""COMPUTED_VALUE"""),"")</f>
        <v/>
      </c>
      <c r="D22644" s="12" t="str">
        <f ca="1">IFERROR(__xludf.DUMMYFUNCTION("""COMPUTED_VALUE"""),"")</f>
        <v/>
      </c>
    </row>
    <row r="22645" spans="2:4" ht="13">
      <c r="B22645" s="12" t="str">
        <f ca="1">IFERROR(__xludf.DUMMYFUNCTION("""COMPUTED_VALUE"""),"")</f>
        <v/>
      </c>
      <c r="C22645" s="12" t="str">
        <f ca="1">IFERROR(__xludf.DUMMYFUNCTION("""COMPUTED_VALUE"""),"")</f>
        <v/>
      </c>
      <c r="D22645" s="12" t="str">
        <f ca="1">IFERROR(__xludf.DUMMYFUNCTION("""COMPUTED_VALUE"""),"")</f>
        <v/>
      </c>
    </row>
    <row r="22646" spans="2:4" ht="13">
      <c r="B22646" s="12" t="str">
        <f ca="1">IFERROR(__xludf.DUMMYFUNCTION("""COMPUTED_VALUE"""),"")</f>
        <v/>
      </c>
      <c r="C22646" s="12" t="str">
        <f ca="1">IFERROR(__xludf.DUMMYFUNCTION("""COMPUTED_VALUE"""),"")</f>
        <v/>
      </c>
      <c r="D22646" s="12" t="str">
        <f ca="1">IFERROR(__xludf.DUMMYFUNCTION("""COMPUTED_VALUE"""),"")</f>
        <v/>
      </c>
    </row>
    <row r="22647" spans="2:4" ht="13">
      <c r="B22647" s="12" t="str">
        <f ca="1">IFERROR(__xludf.DUMMYFUNCTION("""COMPUTED_VALUE"""),"")</f>
        <v/>
      </c>
      <c r="C22647" s="12" t="str">
        <f ca="1">IFERROR(__xludf.DUMMYFUNCTION("""COMPUTED_VALUE"""),"")</f>
        <v/>
      </c>
      <c r="D22647" s="12" t="str">
        <f ca="1">IFERROR(__xludf.DUMMYFUNCTION("""COMPUTED_VALUE"""),"")</f>
        <v/>
      </c>
    </row>
    <row r="22648" spans="2:4" ht="13">
      <c r="B22648" s="12" t="str">
        <f ca="1">IFERROR(__xludf.DUMMYFUNCTION("""COMPUTED_VALUE"""),"")</f>
        <v/>
      </c>
      <c r="C22648" s="12" t="str">
        <f ca="1">IFERROR(__xludf.DUMMYFUNCTION("""COMPUTED_VALUE"""),"")</f>
        <v/>
      </c>
      <c r="D22648" s="12" t="str">
        <f ca="1">IFERROR(__xludf.DUMMYFUNCTION("""COMPUTED_VALUE"""),"")</f>
        <v/>
      </c>
    </row>
    <row r="22649" spans="2:4" ht="13">
      <c r="B22649" s="12" t="str">
        <f ca="1">IFERROR(__xludf.DUMMYFUNCTION("""COMPUTED_VALUE"""),"")</f>
        <v/>
      </c>
      <c r="C22649" s="12" t="str">
        <f ca="1">IFERROR(__xludf.DUMMYFUNCTION("""COMPUTED_VALUE"""),"")</f>
        <v/>
      </c>
      <c r="D22649" s="12" t="str">
        <f ca="1">IFERROR(__xludf.DUMMYFUNCTION("""COMPUTED_VALUE"""),"")</f>
        <v/>
      </c>
    </row>
    <row r="22650" spans="2:4" ht="13">
      <c r="B22650" s="12" t="str">
        <f ca="1">IFERROR(__xludf.DUMMYFUNCTION("""COMPUTED_VALUE"""),"")</f>
        <v/>
      </c>
      <c r="C22650" s="12" t="str">
        <f ca="1">IFERROR(__xludf.DUMMYFUNCTION("""COMPUTED_VALUE"""),"")</f>
        <v/>
      </c>
      <c r="D22650" s="12" t="str">
        <f ca="1">IFERROR(__xludf.DUMMYFUNCTION("""COMPUTED_VALUE"""),"")</f>
        <v/>
      </c>
    </row>
    <row r="22651" spans="2:4" ht="13">
      <c r="B22651" s="12" t="str">
        <f ca="1">IFERROR(__xludf.DUMMYFUNCTION("""COMPUTED_VALUE"""),"")</f>
        <v/>
      </c>
      <c r="C22651" s="12" t="str">
        <f ca="1">IFERROR(__xludf.DUMMYFUNCTION("""COMPUTED_VALUE"""),"")</f>
        <v/>
      </c>
      <c r="D22651" s="12" t="str">
        <f ca="1">IFERROR(__xludf.DUMMYFUNCTION("""COMPUTED_VALUE"""),"")</f>
        <v/>
      </c>
    </row>
    <row r="22652" spans="2:4" ht="13">
      <c r="B22652" s="12" t="str">
        <f ca="1">IFERROR(__xludf.DUMMYFUNCTION("""COMPUTED_VALUE"""),"")</f>
        <v/>
      </c>
      <c r="C22652" s="12" t="str">
        <f ca="1">IFERROR(__xludf.DUMMYFUNCTION("""COMPUTED_VALUE"""),"")</f>
        <v/>
      </c>
      <c r="D22652" s="12" t="str">
        <f ca="1">IFERROR(__xludf.DUMMYFUNCTION("""COMPUTED_VALUE"""),"")</f>
        <v/>
      </c>
    </row>
    <row r="22653" spans="2:4" ht="13">
      <c r="B22653" s="12" t="str">
        <f ca="1">IFERROR(__xludf.DUMMYFUNCTION("""COMPUTED_VALUE"""),"")</f>
        <v/>
      </c>
      <c r="C22653" s="12" t="str">
        <f ca="1">IFERROR(__xludf.DUMMYFUNCTION("""COMPUTED_VALUE"""),"")</f>
        <v/>
      </c>
      <c r="D22653" s="12" t="str">
        <f ca="1">IFERROR(__xludf.DUMMYFUNCTION("""COMPUTED_VALUE"""),"")</f>
        <v/>
      </c>
    </row>
    <row r="22654" spans="2:4" ht="13">
      <c r="B22654" s="12" t="str">
        <f ca="1">IFERROR(__xludf.DUMMYFUNCTION("""COMPUTED_VALUE"""),"")</f>
        <v/>
      </c>
      <c r="C22654" s="12" t="str">
        <f ca="1">IFERROR(__xludf.DUMMYFUNCTION("""COMPUTED_VALUE"""),"")</f>
        <v/>
      </c>
      <c r="D22654" s="12" t="str">
        <f ca="1">IFERROR(__xludf.DUMMYFUNCTION("""COMPUTED_VALUE"""),"")</f>
        <v/>
      </c>
    </row>
    <row r="22655" spans="2:4" ht="13">
      <c r="B22655" s="12" t="str">
        <f ca="1">IFERROR(__xludf.DUMMYFUNCTION("""COMPUTED_VALUE"""),"")</f>
        <v/>
      </c>
      <c r="C22655" s="12" t="str">
        <f ca="1">IFERROR(__xludf.DUMMYFUNCTION("""COMPUTED_VALUE"""),"")</f>
        <v/>
      </c>
      <c r="D22655" s="12" t="str">
        <f ca="1">IFERROR(__xludf.DUMMYFUNCTION("""COMPUTED_VALUE"""),"")</f>
        <v/>
      </c>
    </row>
    <row r="22656" spans="2:4" ht="13">
      <c r="B22656" s="12" t="str">
        <f ca="1">IFERROR(__xludf.DUMMYFUNCTION("""COMPUTED_VALUE"""),"")</f>
        <v/>
      </c>
      <c r="C22656" s="12" t="str">
        <f ca="1">IFERROR(__xludf.DUMMYFUNCTION("""COMPUTED_VALUE"""),"")</f>
        <v/>
      </c>
      <c r="D22656" s="12" t="str">
        <f ca="1">IFERROR(__xludf.DUMMYFUNCTION("""COMPUTED_VALUE"""),"")</f>
        <v/>
      </c>
    </row>
    <row r="22657" spans="2:4" ht="13">
      <c r="B22657" s="12" t="str">
        <f ca="1">IFERROR(__xludf.DUMMYFUNCTION("""COMPUTED_VALUE"""),"")</f>
        <v/>
      </c>
      <c r="C22657" s="12" t="str">
        <f ca="1">IFERROR(__xludf.DUMMYFUNCTION("""COMPUTED_VALUE"""),"")</f>
        <v/>
      </c>
      <c r="D22657" s="12" t="str">
        <f ca="1">IFERROR(__xludf.DUMMYFUNCTION("""COMPUTED_VALUE"""),"")</f>
        <v/>
      </c>
    </row>
    <row r="22658" spans="2:4" ht="13">
      <c r="B22658" s="12" t="str">
        <f ca="1">IFERROR(__xludf.DUMMYFUNCTION("""COMPUTED_VALUE"""),"")</f>
        <v/>
      </c>
      <c r="C22658" s="12" t="str">
        <f ca="1">IFERROR(__xludf.DUMMYFUNCTION("""COMPUTED_VALUE"""),"")</f>
        <v/>
      </c>
      <c r="D22658" s="12" t="str">
        <f ca="1">IFERROR(__xludf.DUMMYFUNCTION("""COMPUTED_VALUE"""),"")</f>
        <v/>
      </c>
    </row>
    <row r="22659" spans="2:4" ht="13">
      <c r="B22659" s="12" t="str">
        <f ca="1">IFERROR(__xludf.DUMMYFUNCTION("""COMPUTED_VALUE"""),"")</f>
        <v/>
      </c>
      <c r="C22659" s="12" t="str">
        <f ca="1">IFERROR(__xludf.DUMMYFUNCTION("""COMPUTED_VALUE"""),"")</f>
        <v/>
      </c>
      <c r="D22659" s="12" t="str">
        <f ca="1">IFERROR(__xludf.DUMMYFUNCTION("""COMPUTED_VALUE"""),"")</f>
        <v/>
      </c>
    </row>
    <row r="22660" spans="2:4" ht="13">
      <c r="B22660" s="12" t="str">
        <f ca="1">IFERROR(__xludf.DUMMYFUNCTION("""COMPUTED_VALUE"""),"")</f>
        <v/>
      </c>
      <c r="C22660" s="12" t="str">
        <f ca="1">IFERROR(__xludf.DUMMYFUNCTION("""COMPUTED_VALUE"""),"")</f>
        <v/>
      </c>
      <c r="D22660" s="12" t="str">
        <f ca="1">IFERROR(__xludf.DUMMYFUNCTION("""COMPUTED_VALUE"""),"")</f>
        <v/>
      </c>
    </row>
    <row r="22661" spans="2:4" ht="13">
      <c r="B22661" s="12" t="str">
        <f ca="1">IFERROR(__xludf.DUMMYFUNCTION("""COMPUTED_VALUE"""),"")</f>
        <v/>
      </c>
      <c r="C22661" s="12" t="str">
        <f ca="1">IFERROR(__xludf.DUMMYFUNCTION("""COMPUTED_VALUE"""),"")</f>
        <v/>
      </c>
      <c r="D22661" s="12" t="str">
        <f ca="1">IFERROR(__xludf.DUMMYFUNCTION("""COMPUTED_VALUE"""),"")</f>
        <v/>
      </c>
    </row>
    <row r="22662" spans="2:4" ht="13">
      <c r="B22662" s="12" t="str">
        <f ca="1">IFERROR(__xludf.DUMMYFUNCTION("""COMPUTED_VALUE"""),"")</f>
        <v/>
      </c>
      <c r="C22662" s="12" t="str">
        <f ca="1">IFERROR(__xludf.DUMMYFUNCTION("""COMPUTED_VALUE"""),"")</f>
        <v/>
      </c>
      <c r="D22662" s="12" t="str">
        <f ca="1">IFERROR(__xludf.DUMMYFUNCTION("""COMPUTED_VALUE"""),"")</f>
        <v/>
      </c>
    </row>
    <row r="22663" spans="2:4" ht="13">
      <c r="B22663" s="12" t="str">
        <f ca="1">IFERROR(__xludf.DUMMYFUNCTION("""COMPUTED_VALUE"""),"")</f>
        <v/>
      </c>
      <c r="C22663" s="12" t="str">
        <f ca="1">IFERROR(__xludf.DUMMYFUNCTION("""COMPUTED_VALUE"""),"")</f>
        <v/>
      </c>
      <c r="D22663" s="12" t="str">
        <f ca="1">IFERROR(__xludf.DUMMYFUNCTION("""COMPUTED_VALUE"""),"")</f>
        <v/>
      </c>
    </row>
    <row r="22664" spans="2:4" ht="13">
      <c r="B22664" s="12" t="str">
        <f ca="1">IFERROR(__xludf.DUMMYFUNCTION("""COMPUTED_VALUE"""),"")</f>
        <v/>
      </c>
      <c r="C22664" s="12" t="str">
        <f ca="1">IFERROR(__xludf.DUMMYFUNCTION("""COMPUTED_VALUE"""),"")</f>
        <v/>
      </c>
      <c r="D22664" s="12" t="str">
        <f ca="1">IFERROR(__xludf.DUMMYFUNCTION("""COMPUTED_VALUE"""),"")</f>
        <v/>
      </c>
    </row>
    <row r="22665" spans="2:4" ht="13">
      <c r="B22665" s="12" t="str">
        <f ca="1">IFERROR(__xludf.DUMMYFUNCTION("""COMPUTED_VALUE"""),"")</f>
        <v/>
      </c>
      <c r="C22665" s="12" t="str">
        <f ca="1">IFERROR(__xludf.DUMMYFUNCTION("""COMPUTED_VALUE"""),"")</f>
        <v/>
      </c>
      <c r="D22665" s="12" t="str">
        <f ca="1">IFERROR(__xludf.DUMMYFUNCTION("""COMPUTED_VALUE"""),"")</f>
        <v/>
      </c>
    </row>
    <row r="22666" spans="2:4" ht="13">
      <c r="B22666" s="12" t="str">
        <f ca="1">IFERROR(__xludf.DUMMYFUNCTION("""COMPUTED_VALUE"""),"")</f>
        <v/>
      </c>
      <c r="C22666" s="12" t="str">
        <f ca="1">IFERROR(__xludf.DUMMYFUNCTION("""COMPUTED_VALUE"""),"")</f>
        <v/>
      </c>
      <c r="D22666" s="12" t="str">
        <f ca="1">IFERROR(__xludf.DUMMYFUNCTION("""COMPUTED_VALUE"""),"")</f>
        <v/>
      </c>
    </row>
    <row r="22667" spans="2:4" ht="13">
      <c r="B22667" s="12" t="str">
        <f ca="1">IFERROR(__xludf.DUMMYFUNCTION("""COMPUTED_VALUE"""),"")</f>
        <v/>
      </c>
      <c r="C22667" s="12" t="str">
        <f ca="1">IFERROR(__xludf.DUMMYFUNCTION("""COMPUTED_VALUE"""),"")</f>
        <v/>
      </c>
      <c r="D22667" s="12" t="str">
        <f ca="1">IFERROR(__xludf.DUMMYFUNCTION("""COMPUTED_VALUE"""),"")</f>
        <v/>
      </c>
    </row>
    <row r="22668" spans="2:4" ht="13">
      <c r="B22668" s="12" t="str">
        <f ca="1">IFERROR(__xludf.DUMMYFUNCTION("""COMPUTED_VALUE"""),"")</f>
        <v/>
      </c>
      <c r="C22668" s="12" t="str">
        <f ca="1">IFERROR(__xludf.DUMMYFUNCTION("""COMPUTED_VALUE"""),"")</f>
        <v/>
      </c>
      <c r="D22668" s="12" t="str">
        <f ca="1">IFERROR(__xludf.DUMMYFUNCTION("""COMPUTED_VALUE"""),"")</f>
        <v/>
      </c>
    </row>
    <row r="22669" spans="2:4" ht="13">
      <c r="B22669" s="12" t="str">
        <f ca="1">IFERROR(__xludf.DUMMYFUNCTION("""COMPUTED_VALUE"""),"")</f>
        <v/>
      </c>
      <c r="C22669" s="12" t="str">
        <f ca="1">IFERROR(__xludf.DUMMYFUNCTION("""COMPUTED_VALUE"""),"")</f>
        <v/>
      </c>
      <c r="D22669" s="12" t="str">
        <f ca="1">IFERROR(__xludf.DUMMYFUNCTION("""COMPUTED_VALUE"""),"")</f>
        <v/>
      </c>
    </row>
    <row r="22670" spans="2:4" ht="13">
      <c r="B22670" s="12" t="str">
        <f ca="1">IFERROR(__xludf.DUMMYFUNCTION("""COMPUTED_VALUE"""),"")</f>
        <v/>
      </c>
      <c r="C22670" s="12" t="str">
        <f ca="1">IFERROR(__xludf.DUMMYFUNCTION("""COMPUTED_VALUE"""),"")</f>
        <v/>
      </c>
      <c r="D22670" s="12" t="str">
        <f ca="1">IFERROR(__xludf.DUMMYFUNCTION("""COMPUTED_VALUE"""),"")</f>
        <v/>
      </c>
    </row>
    <row r="22671" spans="2:4" ht="13">
      <c r="B22671" s="12" t="str">
        <f ca="1">IFERROR(__xludf.DUMMYFUNCTION("""COMPUTED_VALUE"""),"")</f>
        <v/>
      </c>
      <c r="C22671" s="12" t="str">
        <f ca="1">IFERROR(__xludf.DUMMYFUNCTION("""COMPUTED_VALUE"""),"")</f>
        <v/>
      </c>
      <c r="D22671" s="12" t="str">
        <f ca="1">IFERROR(__xludf.DUMMYFUNCTION("""COMPUTED_VALUE"""),"")</f>
        <v/>
      </c>
    </row>
    <row r="22672" spans="2:4" ht="13">
      <c r="B22672" s="12" t="str">
        <f ca="1">IFERROR(__xludf.DUMMYFUNCTION("""COMPUTED_VALUE"""),"")</f>
        <v/>
      </c>
      <c r="C22672" s="12" t="str">
        <f ca="1">IFERROR(__xludf.DUMMYFUNCTION("""COMPUTED_VALUE"""),"")</f>
        <v/>
      </c>
      <c r="D22672" s="12" t="str">
        <f ca="1">IFERROR(__xludf.DUMMYFUNCTION("""COMPUTED_VALUE"""),"")</f>
        <v/>
      </c>
    </row>
    <row r="22673" spans="2:4" ht="13">
      <c r="B22673" s="12" t="str">
        <f ca="1">IFERROR(__xludf.DUMMYFUNCTION("""COMPUTED_VALUE"""),"")</f>
        <v/>
      </c>
      <c r="C22673" s="12" t="str">
        <f ca="1">IFERROR(__xludf.DUMMYFUNCTION("""COMPUTED_VALUE"""),"")</f>
        <v/>
      </c>
      <c r="D22673" s="12" t="str">
        <f ca="1">IFERROR(__xludf.DUMMYFUNCTION("""COMPUTED_VALUE"""),"")</f>
        <v/>
      </c>
    </row>
    <row r="22674" spans="2:4" ht="13">
      <c r="B22674" s="12" t="str">
        <f ca="1">IFERROR(__xludf.DUMMYFUNCTION("""COMPUTED_VALUE"""),"")</f>
        <v/>
      </c>
      <c r="C22674" s="12" t="str">
        <f ca="1">IFERROR(__xludf.DUMMYFUNCTION("""COMPUTED_VALUE"""),"")</f>
        <v/>
      </c>
      <c r="D22674" s="12" t="str">
        <f ca="1">IFERROR(__xludf.DUMMYFUNCTION("""COMPUTED_VALUE"""),"")</f>
        <v/>
      </c>
    </row>
    <row r="22675" spans="2:4" ht="13">
      <c r="B22675" s="12" t="str">
        <f ca="1">IFERROR(__xludf.DUMMYFUNCTION("""COMPUTED_VALUE"""),"")</f>
        <v/>
      </c>
      <c r="C22675" s="12" t="str">
        <f ca="1">IFERROR(__xludf.DUMMYFUNCTION("""COMPUTED_VALUE"""),"")</f>
        <v/>
      </c>
      <c r="D22675" s="12" t="str">
        <f ca="1">IFERROR(__xludf.DUMMYFUNCTION("""COMPUTED_VALUE"""),"")</f>
        <v/>
      </c>
    </row>
    <row r="22676" spans="2:4" ht="13">
      <c r="B22676" s="12" t="str">
        <f ca="1">IFERROR(__xludf.DUMMYFUNCTION("""COMPUTED_VALUE"""),"")</f>
        <v/>
      </c>
      <c r="C22676" s="12" t="str">
        <f ca="1">IFERROR(__xludf.DUMMYFUNCTION("""COMPUTED_VALUE"""),"")</f>
        <v/>
      </c>
      <c r="D22676" s="12" t="str">
        <f ca="1">IFERROR(__xludf.DUMMYFUNCTION("""COMPUTED_VALUE"""),"")</f>
        <v/>
      </c>
    </row>
    <row r="22677" spans="2:4" ht="13">
      <c r="B22677" s="12" t="str">
        <f ca="1">IFERROR(__xludf.DUMMYFUNCTION("""COMPUTED_VALUE"""),"")</f>
        <v/>
      </c>
      <c r="C22677" s="12" t="str">
        <f ca="1">IFERROR(__xludf.DUMMYFUNCTION("""COMPUTED_VALUE"""),"")</f>
        <v/>
      </c>
      <c r="D22677" s="12" t="str">
        <f ca="1">IFERROR(__xludf.DUMMYFUNCTION("""COMPUTED_VALUE"""),"")</f>
        <v/>
      </c>
    </row>
    <row r="22678" spans="2:4" ht="13">
      <c r="B22678" s="12" t="str">
        <f ca="1">IFERROR(__xludf.DUMMYFUNCTION("""COMPUTED_VALUE"""),"")</f>
        <v/>
      </c>
      <c r="C22678" s="12" t="str">
        <f ca="1">IFERROR(__xludf.DUMMYFUNCTION("""COMPUTED_VALUE"""),"")</f>
        <v/>
      </c>
      <c r="D22678" s="12" t="str">
        <f ca="1">IFERROR(__xludf.DUMMYFUNCTION("""COMPUTED_VALUE"""),"")</f>
        <v/>
      </c>
    </row>
    <row r="22679" spans="2:4" ht="13">
      <c r="B22679" s="12" t="str">
        <f ca="1">IFERROR(__xludf.DUMMYFUNCTION("""COMPUTED_VALUE"""),"")</f>
        <v/>
      </c>
      <c r="C22679" s="12" t="str">
        <f ca="1">IFERROR(__xludf.DUMMYFUNCTION("""COMPUTED_VALUE"""),"")</f>
        <v/>
      </c>
      <c r="D22679" s="12" t="str">
        <f ca="1">IFERROR(__xludf.DUMMYFUNCTION("""COMPUTED_VALUE"""),"")</f>
        <v/>
      </c>
    </row>
    <row r="22680" spans="2:4" ht="13">
      <c r="B22680" s="12" t="str">
        <f ca="1">IFERROR(__xludf.DUMMYFUNCTION("""COMPUTED_VALUE"""),"")</f>
        <v/>
      </c>
      <c r="C22680" s="12" t="str">
        <f ca="1">IFERROR(__xludf.DUMMYFUNCTION("""COMPUTED_VALUE"""),"")</f>
        <v/>
      </c>
      <c r="D22680" s="12" t="str">
        <f ca="1">IFERROR(__xludf.DUMMYFUNCTION("""COMPUTED_VALUE"""),"")</f>
        <v/>
      </c>
    </row>
    <row r="22681" spans="2:4" ht="13">
      <c r="B22681" s="12" t="str">
        <f ca="1">IFERROR(__xludf.DUMMYFUNCTION("""COMPUTED_VALUE"""),"")</f>
        <v/>
      </c>
      <c r="C22681" s="12" t="str">
        <f ca="1">IFERROR(__xludf.DUMMYFUNCTION("""COMPUTED_VALUE"""),"")</f>
        <v/>
      </c>
      <c r="D22681" s="12" t="str">
        <f ca="1">IFERROR(__xludf.DUMMYFUNCTION("""COMPUTED_VALUE"""),"")</f>
        <v/>
      </c>
    </row>
    <row r="22682" spans="2:4" ht="13">
      <c r="B22682" s="12" t="str">
        <f ca="1">IFERROR(__xludf.DUMMYFUNCTION("""COMPUTED_VALUE"""),"")</f>
        <v/>
      </c>
      <c r="C22682" s="12" t="str">
        <f ca="1">IFERROR(__xludf.DUMMYFUNCTION("""COMPUTED_VALUE"""),"")</f>
        <v/>
      </c>
      <c r="D22682" s="12" t="str">
        <f ca="1">IFERROR(__xludf.DUMMYFUNCTION("""COMPUTED_VALUE"""),"")</f>
        <v/>
      </c>
    </row>
    <row r="22683" spans="2:4" ht="13">
      <c r="B22683" s="12" t="str">
        <f ca="1">IFERROR(__xludf.DUMMYFUNCTION("""COMPUTED_VALUE"""),"")</f>
        <v/>
      </c>
      <c r="C22683" s="12" t="str">
        <f ca="1">IFERROR(__xludf.DUMMYFUNCTION("""COMPUTED_VALUE"""),"")</f>
        <v/>
      </c>
      <c r="D22683" s="12" t="str">
        <f ca="1">IFERROR(__xludf.DUMMYFUNCTION("""COMPUTED_VALUE"""),"")</f>
        <v/>
      </c>
    </row>
    <row r="22684" spans="2:4" ht="13">
      <c r="B22684" s="12" t="str">
        <f ca="1">IFERROR(__xludf.DUMMYFUNCTION("""COMPUTED_VALUE"""),"")</f>
        <v/>
      </c>
      <c r="C22684" s="12" t="str">
        <f ca="1">IFERROR(__xludf.DUMMYFUNCTION("""COMPUTED_VALUE"""),"")</f>
        <v/>
      </c>
      <c r="D22684" s="12" t="str">
        <f ca="1">IFERROR(__xludf.DUMMYFUNCTION("""COMPUTED_VALUE"""),"")</f>
        <v/>
      </c>
    </row>
    <row r="22685" spans="2:4" ht="13">
      <c r="B22685" s="12" t="str">
        <f ca="1">IFERROR(__xludf.DUMMYFUNCTION("""COMPUTED_VALUE"""),"")</f>
        <v/>
      </c>
      <c r="C22685" s="12" t="str">
        <f ca="1">IFERROR(__xludf.DUMMYFUNCTION("""COMPUTED_VALUE"""),"")</f>
        <v/>
      </c>
      <c r="D22685" s="12" t="str">
        <f ca="1">IFERROR(__xludf.DUMMYFUNCTION("""COMPUTED_VALUE"""),"")</f>
        <v/>
      </c>
    </row>
    <row r="22686" spans="2:4" ht="13">
      <c r="B22686" s="12" t="str">
        <f ca="1">IFERROR(__xludf.DUMMYFUNCTION("""COMPUTED_VALUE"""),"")</f>
        <v/>
      </c>
      <c r="C22686" s="12" t="str">
        <f ca="1">IFERROR(__xludf.DUMMYFUNCTION("""COMPUTED_VALUE"""),"")</f>
        <v/>
      </c>
      <c r="D22686" s="12" t="str">
        <f ca="1">IFERROR(__xludf.DUMMYFUNCTION("""COMPUTED_VALUE"""),"")</f>
        <v/>
      </c>
    </row>
    <row r="22687" spans="2:4" ht="13">
      <c r="B22687" s="12" t="str">
        <f ca="1">IFERROR(__xludf.DUMMYFUNCTION("""COMPUTED_VALUE"""),"")</f>
        <v/>
      </c>
      <c r="C22687" s="12" t="str">
        <f ca="1">IFERROR(__xludf.DUMMYFUNCTION("""COMPUTED_VALUE"""),"")</f>
        <v/>
      </c>
      <c r="D22687" s="12" t="str">
        <f ca="1">IFERROR(__xludf.DUMMYFUNCTION("""COMPUTED_VALUE"""),"")</f>
        <v/>
      </c>
    </row>
    <row r="22688" spans="2:4" ht="13">
      <c r="B22688" s="12" t="str">
        <f ca="1">IFERROR(__xludf.DUMMYFUNCTION("""COMPUTED_VALUE"""),"")</f>
        <v/>
      </c>
      <c r="C22688" s="12" t="str">
        <f ca="1">IFERROR(__xludf.DUMMYFUNCTION("""COMPUTED_VALUE"""),"")</f>
        <v/>
      </c>
      <c r="D22688" s="12" t="str">
        <f ca="1">IFERROR(__xludf.DUMMYFUNCTION("""COMPUTED_VALUE"""),"")</f>
        <v/>
      </c>
    </row>
    <row r="22689" spans="2:4" ht="13">
      <c r="B22689" s="12" t="str">
        <f ca="1">IFERROR(__xludf.DUMMYFUNCTION("""COMPUTED_VALUE"""),"")</f>
        <v/>
      </c>
      <c r="C22689" s="12" t="str">
        <f ca="1">IFERROR(__xludf.DUMMYFUNCTION("""COMPUTED_VALUE"""),"")</f>
        <v/>
      </c>
      <c r="D22689" s="12" t="str">
        <f ca="1">IFERROR(__xludf.DUMMYFUNCTION("""COMPUTED_VALUE"""),"")</f>
        <v/>
      </c>
    </row>
    <row r="22690" spans="2:4" ht="13">
      <c r="B22690" s="12" t="str">
        <f ca="1">IFERROR(__xludf.DUMMYFUNCTION("""COMPUTED_VALUE"""),"")</f>
        <v/>
      </c>
      <c r="C22690" s="12" t="str">
        <f ca="1">IFERROR(__xludf.DUMMYFUNCTION("""COMPUTED_VALUE"""),"")</f>
        <v/>
      </c>
      <c r="D22690" s="12" t="str">
        <f ca="1">IFERROR(__xludf.DUMMYFUNCTION("""COMPUTED_VALUE"""),"")</f>
        <v/>
      </c>
    </row>
    <row r="22691" spans="2:4" ht="13">
      <c r="B22691" s="12" t="str">
        <f ca="1">IFERROR(__xludf.DUMMYFUNCTION("""COMPUTED_VALUE"""),"")</f>
        <v/>
      </c>
      <c r="C22691" s="12" t="str">
        <f ca="1">IFERROR(__xludf.DUMMYFUNCTION("""COMPUTED_VALUE"""),"")</f>
        <v/>
      </c>
      <c r="D22691" s="12" t="str">
        <f ca="1">IFERROR(__xludf.DUMMYFUNCTION("""COMPUTED_VALUE"""),"")</f>
        <v/>
      </c>
    </row>
    <row r="22692" spans="2:4" ht="13">
      <c r="B22692" s="12" t="str">
        <f ca="1">IFERROR(__xludf.DUMMYFUNCTION("""COMPUTED_VALUE"""),"")</f>
        <v/>
      </c>
      <c r="C22692" s="12" t="str">
        <f ca="1">IFERROR(__xludf.DUMMYFUNCTION("""COMPUTED_VALUE"""),"")</f>
        <v/>
      </c>
      <c r="D22692" s="12" t="str">
        <f ca="1">IFERROR(__xludf.DUMMYFUNCTION("""COMPUTED_VALUE"""),"")</f>
        <v/>
      </c>
    </row>
    <row r="22693" spans="2:4" ht="13">
      <c r="B22693" s="12" t="str">
        <f ca="1">IFERROR(__xludf.DUMMYFUNCTION("""COMPUTED_VALUE"""),"")</f>
        <v/>
      </c>
      <c r="C22693" s="12" t="str">
        <f ca="1">IFERROR(__xludf.DUMMYFUNCTION("""COMPUTED_VALUE"""),"")</f>
        <v/>
      </c>
      <c r="D22693" s="12" t="str">
        <f ca="1">IFERROR(__xludf.DUMMYFUNCTION("""COMPUTED_VALUE"""),"")</f>
        <v/>
      </c>
    </row>
    <row r="22694" spans="2:4" ht="13">
      <c r="B22694" s="12" t="str">
        <f ca="1">IFERROR(__xludf.DUMMYFUNCTION("""COMPUTED_VALUE"""),"")</f>
        <v/>
      </c>
      <c r="C22694" s="12" t="str">
        <f ca="1">IFERROR(__xludf.DUMMYFUNCTION("""COMPUTED_VALUE"""),"")</f>
        <v/>
      </c>
      <c r="D22694" s="12" t="str">
        <f ca="1">IFERROR(__xludf.DUMMYFUNCTION("""COMPUTED_VALUE"""),"")</f>
        <v/>
      </c>
    </row>
    <row r="22695" spans="2:4" ht="13">
      <c r="B22695" s="12" t="str">
        <f ca="1">IFERROR(__xludf.DUMMYFUNCTION("""COMPUTED_VALUE"""),"")</f>
        <v/>
      </c>
      <c r="C22695" s="12" t="str">
        <f ca="1">IFERROR(__xludf.DUMMYFUNCTION("""COMPUTED_VALUE"""),"")</f>
        <v/>
      </c>
      <c r="D22695" s="12" t="str">
        <f ca="1">IFERROR(__xludf.DUMMYFUNCTION("""COMPUTED_VALUE"""),"")</f>
        <v/>
      </c>
    </row>
    <row r="22696" spans="2:4" ht="13">
      <c r="B22696" s="12" t="str">
        <f ca="1">IFERROR(__xludf.DUMMYFUNCTION("""COMPUTED_VALUE"""),"")</f>
        <v/>
      </c>
      <c r="C22696" s="12" t="str">
        <f ca="1">IFERROR(__xludf.DUMMYFUNCTION("""COMPUTED_VALUE"""),"")</f>
        <v/>
      </c>
      <c r="D22696" s="12" t="str">
        <f ca="1">IFERROR(__xludf.DUMMYFUNCTION("""COMPUTED_VALUE"""),"")</f>
        <v/>
      </c>
    </row>
    <row r="22697" spans="2:4" ht="13">
      <c r="B22697" s="12" t="str">
        <f ca="1">IFERROR(__xludf.DUMMYFUNCTION("""COMPUTED_VALUE"""),"")</f>
        <v/>
      </c>
      <c r="C22697" s="12" t="str">
        <f ca="1">IFERROR(__xludf.DUMMYFUNCTION("""COMPUTED_VALUE"""),"")</f>
        <v/>
      </c>
      <c r="D22697" s="12" t="str">
        <f ca="1">IFERROR(__xludf.DUMMYFUNCTION("""COMPUTED_VALUE"""),"")</f>
        <v/>
      </c>
    </row>
    <row r="22698" spans="2:4" ht="13">
      <c r="B22698" s="12" t="str">
        <f ca="1">IFERROR(__xludf.DUMMYFUNCTION("""COMPUTED_VALUE"""),"")</f>
        <v/>
      </c>
      <c r="C22698" s="12" t="str">
        <f ca="1">IFERROR(__xludf.DUMMYFUNCTION("""COMPUTED_VALUE"""),"")</f>
        <v/>
      </c>
      <c r="D22698" s="12" t="str">
        <f ca="1">IFERROR(__xludf.DUMMYFUNCTION("""COMPUTED_VALUE"""),"")</f>
        <v/>
      </c>
    </row>
    <row r="22699" spans="2:4" ht="13">
      <c r="B22699" s="12" t="str">
        <f ca="1">IFERROR(__xludf.DUMMYFUNCTION("""COMPUTED_VALUE"""),"")</f>
        <v/>
      </c>
      <c r="C22699" s="12" t="str">
        <f ca="1">IFERROR(__xludf.DUMMYFUNCTION("""COMPUTED_VALUE"""),"")</f>
        <v/>
      </c>
      <c r="D22699" s="12" t="str">
        <f ca="1">IFERROR(__xludf.DUMMYFUNCTION("""COMPUTED_VALUE"""),"")</f>
        <v/>
      </c>
    </row>
    <row r="22700" spans="2:4" ht="13">
      <c r="B22700" s="12" t="str">
        <f ca="1">IFERROR(__xludf.DUMMYFUNCTION("""COMPUTED_VALUE"""),"")</f>
        <v/>
      </c>
      <c r="C22700" s="12" t="str">
        <f ca="1">IFERROR(__xludf.DUMMYFUNCTION("""COMPUTED_VALUE"""),"")</f>
        <v/>
      </c>
      <c r="D22700" s="12" t="str">
        <f ca="1">IFERROR(__xludf.DUMMYFUNCTION("""COMPUTED_VALUE"""),"")</f>
        <v/>
      </c>
    </row>
    <row r="22701" spans="2:4" ht="13">
      <c r="B22701" s="12" t="str">
        <f ca="1">IFERROR(__xludf.DUMMYFUNCTION("""COMPUTED_VALUE"""),"")</f>
        <v/>
      </c>
      <c r="C22701" s="12" t="str">
        <f ca="1">IFERROR(__xludf.DUMMYFUNCTION("""COMPUTED_VALUE"""),"")</f>
        <v/>
      </c>
      <c r="D22701" s="12" t="str">
        <f ca="1">IFERROR(__xludf.DUMMYFUNCTION("""COMPUTED_VALUE"""),"")</f>
        <v/>
      </c>
    </row>
    <row r="22702" spans="2:4" ht="13">
      <c r="B22702" s="12" t="str">
        <f ca="1">IFERROR(__xludf.DUMMYFUNCTION("""COMPUTED_VALUE"""),"")</f>
        <v/>
      </c>
      <c r="C22702" s="12" t="str">
        <f ca="1">IFERROR(__xludf.DUMMYFUNCTION("""COMPUTED_VALUE"""),"")</f>
        <v/>
      </c>
      <c r="D22702" s="12" t="str">
        <f ca="1">IFERROR(__xludf.DUMMYFUNCTION("""COMPUTED_VALUE"""),"")</f>
        <v/>
      </c>
    </row>
    <row r="22703" spans="2:4" ht="13">
      <c r="B22703" s="12" t="str">
        <f ca="1">IFERROR(__xludf.DUMMYFUNCTION("""COMPUTED_VALUE"""),"")</f>
        <v/>
      </c>
      <c r="C22703" s="12" t="str">
        <f ca="1">IFERROR(__xludf.DUMMYFUNCTION("""COMPUTED_VALUE"""),"")</f>
        <v/>
      </c>
      <c r="D22703" s="12" t="str">
        <f ca="1">IFERROR(__xludf.DUMMYFUNCTION("""COMPUTED_VALUE"""),"")</f>
        <v/>
      </c>
    </row>
    <row r="22704" spans="2:4" ht="13">
      <c r="B22704" s="12" t="str">
        <f ca="1">IFERROR(__xludf.DUMMYFUNCTION("""COMPUTED_VALUE"""),"")</f>
        <v/>
      </c>
      <c r="C22704" s="12" t="str">
        <f ca="1">IFERROR(__xludf.DUMMYFUNCTION("""COMPUTED_VALUE"""),"")</f>
        <v/>
      </c>
      <c r="D22704" s="12" t="str">
        <f ca="1">IFERROR(__xludf.DUMMYFUNCTION("""COMPUTED_VALUE"""),"")</f>
        <v/>
      </c>
    </row>
    <row r="22705" spans="2:4" ht="13">
      <c r="B22705" s="12" t="str">
        <f ca="1">IFERROR(__xludf.DUMMYFUNCTION("""COMPUTED_VALUE"""),"")</f>
        <v/>
      </c>
      <c r="C22705" s="12" t="str">
        <f ca="1">IFERROR(__xludf.DUMMYFUNCTION("""COMPUTED_VALUE"""),"")</f>
        <v/>
      </c>
      <c r="D22705" s="12" t="str">
        <f ca="1">IFERROR(__xludf.DUMMYFUNCTION("""COMPUTED_VALUE"""),"")</f>
        <v/>
      </c>
    </row>
    <row r="22706" spans="2:4" ht="13">
      <c r="B22706" s="12" t="str">
        <f ca="1">IFERROR(__xludf.DUMMYFUNCTION("""COMPUTED_VALUE"""),"")</f>
        <v/>
      </c>
      <c r="C22706" s="12" t="str">
        <f ca="1">IFERROR(__xludf.DUMMYFUNCTION("""COMPUTED_VALUE"""),"")</f>
        <v/>
      </c>
      <c r="D22706" s="12" t="str">
        <f ca="1">IFERROR(__xludf.DUMMYFUNCTION("""COMPUTED_VALUE"""),"")</f>
        <v/>
      </c>
    </row>
    <row r="22707" spans="2:4" ht="13">
      <c r="B22707" s="12" t="str">
        <f ca="1">IFERROR(__xludf.DUMMYFUNCTION("""COMPUTED_VALUE"""),"")</f>
        <v/>
      </c>
      <c r="C22707" s="12" t="str">
        <f ca="1">IFERROR(__xludf.DUMMYFUNCTION("""COMPUTED_VALUE"""),"")</f>
        <v/>
      </c>
      <c r="D22707" s="12" t="str">
        <f ca="1">IFERROR(__xludf.DUMMYFUNCTION("""COMPUTED_VALUE"""),"")</f>
        <v/>
      </c>
    </row>
    <row r="22708" spans="2:4" ht="13">
      <c r="B22708" s="12" t="str">
        <f ca="1">IFERROR(__xludf.DUMMYFUNCTION("""COMPUTED_VALUE"""),"")</f>
        <v/>
      </c>
      <c r="C22708" s="12" t="str">
        <f ca="1">IFERROR(__xludf.DUMMYFUNCTION("""COMPUTED_VALUE"""),"")</f>
        <v/>
      </c>
      <c r="D22708" s="12" t="str">
        <f ca="1">IFERROR(__xludf.DUMMYFUNCTION("""COMPUTED_VALUE"""),"")</f>
        <v/>
      </c>
    </row>
    <row r="22709" spans="2:4" ht="13">
      <c r="B22709" s="12" t="str">
        <f ca="1">IFERROR(__xludf.DUMMYFUNCTION("""COMPUTED_VALUE"""),"")</f>
        <v/>
      </c>
      <c r="C22709" s="12" t="str">
        <f ca="1">IFERROR(__xludf.DUMMYFUNCTION("""COMPUTED_VALUE"""),"")</f>
        <v/>
      </c>
      <c r="D22709" s="12" t="str">
        <f ca="1">IFERROR(__xludf.DUMMYFUNCTION("""COMPUTED_VALUE"""),"")</f>
        <v/>
      </c>
    </row>
    <row r="22710" spans="2:4" ht="13">
      <c r="B22710" s="12" t="str">
        <f ca="1">IFERROR(__xludf.DUMMYFUNCTION("""COMPUTED_VALUE"""),"")</f>
        <v/>
      </c>
      <c r="C22710" s="12" t="str">
        <f ca="1">IFERROR(__xludf.DUMMYFUNCTION("""COMPUTED_VALUE"""),"")</f>
        <v/>
      </c>
      <c r="D22710" s="12" t="str">
        <f ca="1">IFERROR(__xludf.DUMMYFUNCTION("""COMPUTED_VALUE"""),"")</f>
        <v/>
      </c>
    </row>
    <row r="22711" spans="2:4" ht="13">
      <c r="B22711" s="12" t="str">
        <f ca="1">IFERROR(__xludf.DUMMYFUNCTION("""COMPUTED_VALUE"""),"")</f>
        <v/>
      </c>
      <c r="C22711" s="12" t="str">
        <f ca="1">IFERROR(__xludf.DUMMYFUNCTION("""COMPUTED_VALUE"""),"")</f>
        <v/>
      </c>
      <c r="D22711" s="12" t="str">
        <f ca="1">IFERROR(__xludf.DUMMYFUNCTION("""COMPUTED_VALUE"""),"")</f>
        <v/>
      </c>
    </row>
    <row r="22712" spans="2:4" ht="13">
      <c r="B22712" s="12" t="str">
        <f ca="1">IFERROR(__xludf.DUMMYFUNCTION("""COMPUTED_VALUE"""),"")</f>
        <v/>
      </c>
      <c r="C22712" s="12" t="str">
        <f ca="1">IFERROR(__xludf.DUMMYFUNCTION("""COMPUTED_VALUE"""),"")</f>
        <v/>
      </c>
      <c r="D22712" s="12" t="str">
        <f ca="1">IFERROR(__xludf.DUMMYFUNCTION("""COMPUTED_VALUE"""),"")</f>
        <v/>
      </c>
    </row>
    <row r="22713" spans="2:4" ht="13">
      <c r="B22713" s="12" t="str">
        <f ca="1">IFERROR(__xludf.DUMMYFUNCTION("""COMPUTED_VALUE"""),"")</f>
        <v/>
      </c>
      <c r="C22713" s="12" t="str">
        <f ca="1">IFERROR(__xludf.DUMMYFUNCTION("""COMPUTED_VALUE"""),"")</f>
        <v/>
      </c>
      <c r="D22713" s="12" t="str">
        <f ca="1">IFERROR(__xludf.DUMMYFUNCTION("""COMPUTED_VALUE"""),"")</f>
        <v/>
      </c>
    </row>
    <row r="22714" spans="2:4" ht="13">
      <c r="B22714" s="12" t="str">
        <f ca="1">IFERROR(__xludf.DUMMYFUNCTION("""COMPUTED_VALUE"""),"")</f>
        <v/>
      </c>
      <c r="C22714" s="12" t="str">
        <f ca="1">IFERROR(__xludf.DUMMYFUNCTION("""COMPUTED_VALUE"""),"")</f>
        <v/>
      </c>
      <c r="D22714" s="12" t="str">
        <f ca="1">IFERROR(__xludf.DUMMYFUNCTION("""COMPUTED_VALUE"""),"")</f>
        <v/>
      </c>
    </row>
    <row r="22715" spans="2:4" ht="13">
      <c r="B22715" s="12" t="str">
        <f ca="1">IFERROR(__xludf.DUMMYFUNCTION("""COMPUTED_VALUE"""),"")</f>
        <v/>
      </c>
      <c r="C22715" s="12" t="str">
        <f ca="1">IFERROR(__xludf.DUMMYFUNCTION("""COMPUTED_VALUE"""),"")</f>
        <v/>
      </c>
      <c r="D22715" s="12" t="str">
        <f ca="1">IFERROR(__xludf.DUMMYFUNCTION("""COMPUTED_VALUE"""),"")</f>
        <v/>
      </c>
    </row>
    <row r="22716" spans="2:4" ht="13">
      <c r="B22716" s="12" t="str">
        <f ca="1">IFERROR(__xludf.DUMMYFUNCTION("""COMPUTED_VALUE"""),"")</f>
        <v/>
      </c>
      <c r="C22716" s="12" t="str">
        <f ca="1">IFERROR(__xludf.DUMMYFUNCTION("""COMPUTED_VALUE"""),"")</f>
        <v/>
      </c>
      <c r="D22716" s="12" t="str">
        <f ca="1">IFERROR(__xludf.DUMMYFUNCTION("""COMPUTED_VALUE"""),"")</f>
        <v/>
      </c>
    </row>
    <row r="22717" spans="2:4" ht="13">
      <c r="B22717" s="12" t="str">
        <f ca="1">IFERROR(__xludf.DUMMYFUNCTION("""COMPUTED_VALUE"""),"")</f>
        <v/>
      </c>
      <c r="C22717" s="12" t="str">
        <f ca="1">IFERROR(__xludf.DUMMYFUNCTION("""COMPUTED_VALUE"""),"")</f>
        <v/>
      </c>
      <c r="D22717" s="12" t="str">
        <f ca="1">IFERROR(__xludf.DUMMYFUNCTION("""COMPUTED_VALUE"""),"")</f>
        <v/>
      </c>
    </row>
    <row r="22718" spans="2:4" ht="13">
      <c r="B22718" s="12" t="str">
        <f ca="1">IFERROR(__xludf.DUMMYFUNCTION("""COMPUTED_VALUE"""),"")</f>
        <v/>
      </c>
      <c r="C22718" s="12" t="str">
        <f ca="1">IFERROR(__xludf.DUMMYFUNCTION("""COMPUTED_VALUE"""),"")</f>
        <v/>
      </c>
      <c r="D22718" s="12" t="str">
        <f ca="1">IFERROR(__xludf.DUMMYFUNCTION("""COMPUTED_VALUE"""),"")</f>
        <v/>
      </c>
    </row>
    <row r="22719" spans="2:4" ht="13">
      <c r="B22719" s="12" t="str">
        <f ca="1">IFERROR(__xludf.DUMMYFUNCTION("""COMPUTED_VALUE"""),"")</f>
        <v/>
      </c>
      <c r="C22719" s="12" t="str">
        <f ca="1">IFERROR(__xludf.DUMMYFUNCTION("""COMPUTED_VALUE"""),"")</f>
        <v/>
      </c>
      <c r="D22719" s="12" t="str">
        <f ca="1">IFERROR(__xludf.DUMMYFUNCTION("""COMPUTED_VALUE"""),"")</f>
        <v/>
      </c>
    </row>
    <row r="22720" spans="2:4" ht="13">
      <c r="B22720" s="12" t="str">
        <f ca="1">IFERROR(__xludf.DUMMYFUNCTION("""COMPUTED_VALUE"""),"")</f>
        <v/>
      </c>
      <c r="C22720" s="12" t="str">
        <f ca="1">IFERROR(__xludf.DUMMYFUNCTION("""COMPUTED_VALUE"""),"")</f>
        <v/>
      </c>
      <c r="D22720" s="12" t="str">
        <f ca="1">IFERROR(__xludf.DUMMYFUNCTION("""COMPUTED_VALUE"""),"")</f>
        <v/>
      </c>
    </row>
    <row r="22721" spans="2:4" ht="13">
      <c r="B22721" s="12" t="str">
        <f ca="1">IFERROR(__xludf.DUMMYFUNCTION("""COMPUTED_VALUE"""),"")</f>
        <v/>
      </c>
      <c r="C22721" s="12" t="str">
        <f ca="1">IFERROR(__xludf.DUMMYFUNCTION("""COMPUTED_VALUE"""),"")</f>
        <v/>
      </c>
      <c r="D22721" s="12" t="str">
        <f ca="1">IFERROR(__xludf.DUMMYFUNCTION("""COMPUTED_VALUE"""),"")</f>
        <v/>
      </c>
    </row>
    <row r="22722" spans="2:4" ht="13">
      <c r="B22722" s="12" t="str">
        <f ca="1">IFERROR(__xludf.DUMMYFUNCTION("""COMPUTED_VALUE"""),"")</f>
        <v/>
      </c>
      <c r="C22722" s="12" t="str">
        <f ca="1">IFERROR(__xludf.DUMMYFUNCTION("""COMPUTED_VALUE"""),"")</f>
        <v/>
      </c>
      <c r="D22722" s="12" t="str">
        <f ca="1">IFERROR(__xludf.DUMMYFUNCTION("""COMPUTED_VALUE"""),"")</f>
        <v/>
      </c>
    </row>
    <row r="22723" spans="2:4" ht="13">
      <c r="B22723" s="12" t="str">
        <f ca="1">IFERROR(__xludf.DUMMYFUNCTION("""COMPUTED_VALUE"""),"")</f>
        <v/>
      </c>
      <c r="C22723" s="12" t="str">
        <f ca="1">IFERROR(__xludf.DUMMYFUNCTION("""COMPUTED_VALUE"""),"")</f>
        <v/>
      </c>
      <c r="D22723" s="12" t="str">
        <f ca="1">IFERROR(__xludf.DUMMYFUNCTION("""COMPUTED_VALUE"""),"")</f>
        <v/>
      </c>
    </row>
    <row r="22724" spans="2:4" ht="13">
      <c r="B22724" s="12" t="str">
        <f ca="1">IFERROR(__xludf.DUMMYFUNCTION("""COMPUTED_VALUE"""),"")</f>
        <v/>
      </c>
      <c r="C22724" s="12" t="str">
        <f ca="1">IFERROR(__xludf.DUMMYFUNCTION("""COMPUTED_VALUE"""),"")</f>
        <v/>
      </c>
      <c r="D22724" s="12" t="str">
        <f ca="1">IFERROR(__xludf.DUMMYFUNCTION("""COMPUTED_VALUE"""),"")</f>
        <v/>
      </c>
    </row>
    <row r="22725" spans="2:4" ht="13">
      <c r="B22725" s="12" t="str">
        <f ca="1">IFERROR(__xludf.DUMMYFUNCTION("""COMPUTED_VALUE"""),"")</f>
        <v/>
      </c>
      <c r="C22725" s="12" t="str">
        <f ca="1">IFERROR(__xludf.DUMMYFUNCTION("""COMPUTED_VALUE"""),"")</f>
        <v/>
      </c>
      <c r="D22725" s="12" t="str">
        <f ca="1">IFERROR(__xludf.DUMMYFUNCTION("""COMPUTED_VALUE"""),"")</f>
        <v/>
      </c>
    </row>
    <row r="22726" spans="2:4" ht="13">
      <c r="B22726" s="12" t="str">
        <f ca="1">IFERROR(__xludf.DUMMYFUNCTION("""COMPUTED_VALUE"""),"")</f>
        <v/>
      </c>
      <c r="C22726" s="12" t="str">
        <f ca="1">IFERROR(__xludf.DUMMYFUNCTION("""COMPUTED_VALUE"""),"")</f>
        <v/>
      </c>
      <c r="D22726" s="12" t="str">
        <f ca="1">IFERROR(__xludf.DUMMYFUNCTION("""COMPUTED_VALUE"""),"")</f>
        <v/>
      </c>
    </row>
    <row r="22727" spans="2:4" ht="13">
      <c r="B22727" s="12" t="str">
        <f ca="1">IFERROR(__xludf.DUMMYFUNCTION("""COMPUTED_VALUE"""),"")</f>
        <v/>
      </c>
      <c r="C22727" s="12" t="str">
        <f ca="1">IFERROR(__xludf.DUMMYFUNCTION("""COMPUTED_VALUE"""),"")</f>
        <v/>
      </c>
      <c r="D22727" s="12" t="str">
        <f ca="1">IFERROR(__xludf.DUMMYFUNCTION("""COMPUTED_VALUE"""),"")</f>
        <v/>
      </c>
    </row>
    <row r="22728" spans="2:4" ht="13">
      <c r="B22728" s="12" t="str">
        <f ca="1">IFERROR(__xludf.DUMMYFUNCTION("""COMPUTED_VALUE"""),"")</f>
        <v/>
      </c>
      <c r="C22728" s="12" t="str">
        <f ca="1">IFERROR(__xludf.DUMMYFUNCTION("""COMPUTED_VALUE"""),"")</f>
        <v/>
      </c>
      <c r="D22728" s="12" t="str">
        <f ca="1">IFERROR(__xludf.DUMMYFUNCTION("""COMPUTED_VALUE"""),"")</f>
        <v/>
      </c>
    </row>
    <row r="22729" spans="2:4" ht="13">
      <c r="B22729" s="12" t="str">
        <f ca="1">IFERROR(__xludf.DUMMYFUNCTION("""COMPUTED_VALUE"""),"")</f>
        <v/>
      </c>
      <c r="C22729" s="12" t="str">
        <f ca="1">IFERROR(__xludf.DUMMYFUNCTION("""COMPUTED_VALUE"""),"")</f>
        <v/>
      </c>
      <c r="D22729" s="12" t="str">
        <f ca="1">IFERROR(__xludf.DUMMYFUNCTION("""COMPUTED_VALUE"""),"")</f>
        <v/>
      </c>
    </row>
    <row r="22730" spans="2:4" ht="13">
      <c r="B22730" s="12" t="str">
        <f ca="1">IFERROR(__xludf.DUMMYFUNCTION("""COMPUTED_VALUE"""),"")</f>
        <v/>
      </c>
      <c r="C22730" s="12" t="str">
        <f ca="1">IFERROR(__xludf.DUMMYFUNCTION("""COMPUTED_VALUE"""),"")</f>
        <v/>
      </c>
      <c r="D22730" s="12" t="str">
        <f ca="1">IFERROR(__xludf.DUMMYFUNCTION("""COMPUTED_VALUE"""),"")</f>
        <v/>
      </c>
    </row>
    <row r="22731" spans="2:4" ht="13">
      <c r="B22731" s="12" t="str">
        <f ca="1">IFERROR(__xludf.DUMMYFUNCTION("""COMPUTED_VALUE"""),"")</f>
        <v/>
      </c>
      <c r="C22731" s="12" t="str">
        <f ca="1">IFERROR(__xludf.DUMMYFUNCTION("""COMPUTED_VALUE"""),"")</f>
        <v/>
      </c>
      <c r="D22731" s="12" t="str">
        <f ca="1">IFERROR(__xludf.DUMMYFUNCTION("""COMPUTED_VALUE"""),"")</f>
        <v/>
      </c>
    </row>
    <row r="22732" spans="2:4" ht="13">
      <c r="B22732" s="12" t="str">
        <f ca="1">IFERROR(__xludf.DUMMYFUNCTION("""COMPUTED_VALUE"""),"")</f>
        <v/>
      </c>
      <c r="C22732" s="12" t="str">
        <f ca="1">IFERROR(__xludf.DUMMYFUNCTION("""COMPUTED_VALUE"""),"")</f>
        <v/>
      </c>
      <c r="D22732" s="12" t="str">
        <f ca="1">IFERROR(__xludf.DUMMYFUNCTION("""COMPUTED_VALUE"""),"")</f>
        <v/>
      </c>
    </row>
    <row r="22733" spans="2:4" ht="13">
      <c r="B22733" s="12" t="str">
        <f ca="1">IFERROR(__xludf.DUMMYFUNCTION("""COMPUTED_VALUE"""),"")</f>
        <v/>
      </c>
      <c r="C22733" s="12" t="str">
        <f ca="1">IFERROR(__xludf.DUMMYFUNCTION("""COMPUTED_VALUE"""),"")</f>
        <v/>
      </c>
      <c r="D22733" s="12" t="str">
        <f ca="1">IFERROR(__xludf.DUMMYFUNCTION("""COMPUTED_VALUE"""),"")</f>
        <v/>
      </c>
    </row>
    <row r="22734" spans="2:4" ht="13">
      <c r="B22734" s="12" t="str">
        <f ca="1">IFERROR(__xludf.DUMMYFUNCTION("""COMPUTED_VALUE"""),"")</f>
        <v/>
      </c>
      <c r="C22734" s="12" t="str">
        <f ca="1">IFERROR(__xludf.DUMMYFUNCTION("""COMPUTED_VALUE"""),"")</f>
        <v/>
      </c>
      <c r="D22734" s="12" t="str">
        <f ca="1">IFERROR(__xludf.DUMMYFUNCTION("""COMPUTED_VALUE"""),"")</f>
        <v/>
      </c>
    </row>
    <row r="22735" spans="2:4" ht="13">
      <c r="B22735" s="12" t="str">
        <f ca="1">IFERROR(__xludf.DUMMYFUNCTION("""COMPUTED_VALUE"""),"")</f>
        <v/>
      </c>
      <c r="C22735" s="12" t="str">
        <f ca="1">IFERROR(__xludf.DUMMYFUNCTION("""COMPUTED_VALUE"""),"")</f>
        <v/>
      </c>
      <c r="D22735" s="12" t="str">
        <f ca="1">IFERROR(__xludf.DUMMYFUNCTION("""COMPUTED_VALUE"""),"")</f>
        <v/>
      </c>
    </row>
    <row r="22736" spans="2:4" ht="13">
      <c r="B22736" s="12" t="str">
        <f ca="1">IFERROR(__xludf.DUMMYFUNCTION("""COMPUTED_VALUE"""),"")</f>
        <v/>
      </c>
      <c r="C22736" s="12" t="str">
        <f ca="1">IFERROR(__xludf.DUMMYFUNCTION("""COMPUTED_VALUE"""),"")</f>
        <v/>
      </c>
      <c r="D22736" s="12" t="str">
        <f ca="1">IFERROR(__xludf.DUMMYFUNCTION("""COMPUTED_VALUE"""),"")</f>
        <v/>
      </c>
    </row>
    <row r="22737" spans="2:4" ht="13">
      <c r="B22737" s="12" t="str">
        <f ca="1">IFERROR(__xludf.DUMMYFUNCTION("""COMPUTED_VALUE"""),"")</f>
        <v/>
      </c>
      <c r="C22737" s="12" t="str">
        <f ca="1">IFERROR(__xludf.DUMMYFUNCTION("""COMPUTED_VALUE"""),"")</f>
        <v/>
      </c>
      <c r="D22737" s="12" t="str">
        <f ca="1">IFERROR(__xludf.DUMMYFUNCTION("""COMPUTED_VALUE"""),"")</f>
        <v/>
      </c>
    </row>
    <row r="22738" spans="2:4" ht="13">
      <c r="B22738" s="12" t="str">
        <f ca="1">IFERROR(__xludf.DUMMYFUNCTION("""COMPUTED_VALUE"""),"")</f>
        <v/>
      </c>
      <c r="C22738" s="12" t="str">
        <f ca="1">IFERROR(__xludf.DUMMYFUNCTION("""COMPUTED_VALUE"""),"")</f>
        <v/>
      </c>
      <c r="D22738" s="12" t="str">
        <f ca="1">IFERROR(__xludf.DUMMYFUNCTION("""COMPUTED_VALUE"""),"")</f>
        <v/>
      </c>
    </row>
    <row r="22739" spans="2:4" ht="13">
      <c r="B22739" s="12" t="str">
        <f ca="1">IFERROR(__xludf.DUMMYFUNCTION("""COMPUTED_VALUE"""),"")</f>
        <v/>
      </c>
      <c r="C22739" s="12" t="str">
        <f ca="1">IFERROR(__xludf.DUMMYFUNCTION("""COMPUTED_VALUE"""),"")</f>
        <v/>
      </c>
      <c r="D22739" s="12" t="str">
        <f ca="1">IFERROR(__xludf.DUMMYFUNCTION("""COMPUTED_VALUE"""),"")</f>
        <v/>
      </c>
    </row>
    <row r="22740" spans="2:4" ht="13">
      <c r="B22740" s="12" t="str">
        <f ca="1">IFERROR(__xludf.DUMMYFUNCTION("""COMPUTED_VALUE"""),"")</f>
        <v/>
      </c>
      <c r="C22740" s="12" t="str">
        <f ca="1">IFERROR(__xludf.DUMMYFUNCTION("""COMPUTED_VALUE"""),"")</f>
        <v/>
      </c>
      <c r="D22740" s="12" t="str">
        <f ca="1">IFERROR(__xludf.DUMMYFUNCTION("""COMPUTED_VALUE"""),"")</f>
        <v/>
      </c>
    </row>
    <row r="22741" spans="2:4" ht="13">
      <c r="B22741" s="12" t="str">
        <f ca="1">IFERROR(__xludf.DUMMYFUNCTION("""COMPUTED_VALUE"""),"")</f>
        <v/>
      </c>
      <c r="C22741" s="12" t="str">
        <f ca="1">IFERROR(__xludf.DUMMYFUNCTION("""COMPUTED_VALUE"""),"")</f>
        <v/>
      </c>
      <c r="D22741" s="12" t="str">
        <f ca="1">IFERROR(__xludf.DUMMYFUNCTION("""COMPUTED_VALUE"""),"")</f>
        <v/>
      </c>
    </row>
    <row r="22742" spans="2:4" ht="13">
      <c r="B22742" s="12" t="str">
        <f ca="1">IFERROR(__xludf.DUMMYFUNCTION("""COMPUTED_VALUE"""),"")</f>
        <v/>
      </c>
      <c r="C22742" s="12" t="str">
        <f ca="1">IFERROR(__xludf.DUMMYFUNCTION("""COMPUTED_VALUE"""),"")</f>
        <v/>
      </c>
      <c r="D22742" s="12" t="str">
        <f ca="1">IFERROR(__xludf.DUMMYFUNCTION("""COMPUTED_VALUE"""),"")</f>
        <v/>
      </c>
    </row>
    <row r="22743" spans="2:4" ht="13">
      <c r="B22743" s="12" t="str">
        <f ca="1">IFERROR(__xludf.DUMMYFUNCTION("""COMPUTED_VALUE"""),"")</f>
        <v/>
      </c>
      <c r="C22743" s="12" t="str">
        <f ca="1">IFERROR(__xludf.DUMMYFUNCTION("""COMPUTED_VALUE"""),"")</f>
        <v/>
      </c>
      <c r="D22743" s="12" t="str">
        <f ca="1">IFERROR(__xludf.DUMMYFUNCTION("""COMPUTED_VALUE"""),"")</f>
        <v/>
      </c>
    </row>
    <row r="22744" spans="2:4" ht="13">
      <c r="B22744" s="12" t="str">
        <f ca="1">IFERROR(__xludf.DUMMYFUNCTION("""COMPUTED_VALUE"""),"")</f>
        <v/>
      </c>
      <c r="C22744" s="12" t="str">
        <f ca="1">IFERROR(__xludf.DUMMYFUNCTION("""COMPUTED_VALUE"""),"")</f>
        <v/>
      </c>
      <c r="D22744" s="12" t="str">
        <f ca="1">IFERROR(__xludf.DUMMYFUNCTION("""COMPUTED_VALUE"""),"")</f>
        <v/>
      </c>
    </row>
    <row r="22745" spans="2:4" ht="13">
      <c r="B22745" s="12" t="str">
        <f ca="1">IFERROR(__xludf.DUMMYFUNCTION("""COMPUTED_VALUE"""),"")</f>
        <v/>
      </c>
      <c r="C22745" s="12" t="str">
        <f ca="1">IFERROR(__xludf.DUMMYFUNCTION("""COMPUTED_VALUE"""),"")</f>
        <v/>
      </c>
      <c r="D22745" s="12" t="str">
        <f ca="1">IFERROR(__xludf.DUMMYFUNCTION("""COMPUTED_VALUE"""),"")</f>
        <v/>
      </c>
    </row>
    <row r="22746" spans="2:4" ht="13">
      <c r="B22746" s="12" t="str">
        <f ca="1">IFERROR(__xludf.DUMMYFUNCTION("""COMPUTED_VALUE"""),"")</f>
        <v/>
      </c>
      <c r="C22746" s="12" t="str">
        <f ca="1">IFERROR(__xludf.DUMMYFUNCTION("""COMPUTED_VALUE"""),"")</f>
        <v/>
      </c>
      <c r="D22746" s="12" t="str">
        <f ca="1">IFERROR(__xludf.DUMMYFUNCTION("""COMPUTED_VALUE"""),"")</f>
        <v/>
      </c>
    </row>
    <row r="22747" spans="2:4" ht="13">
      <c r="B22747" s="12" t="str">
        <f ca="1">IFERROR(__xludf.DUMMYFUNCTION("""COMPUTED_VALUE"""),"")</f>
        <v/>
      </c>
      <c r="C22747" s="12" t="str">
        <f ca="1">IFERROR(__xludf.DUMMYFUNCTION("""COMPUTED_VALUE"""),"")</f>
        <v/>
      </c>
      <c r="D22747" s="12" t="str">
        <f ca="1">IFERROR(__xludf.DUMMYFUNCTION("""COMPUTED_VALUE"""),"")</f>
        <v/>
      </c>
    </row>
    <row r="22748" spans="2:4" ht="13">
      <c r="B22748" s="12" t="str">
        <f ca="1">IFERROR(__xludf.DUMMYFUNCTION("""COMPUTED_VALUE"""),"")</f>
        <v/>
      </c>
      <c r="C22748" s="12" t="str">
        <f ca="1">IFERROR(__xludf.DUMMYFUNCTION("""COMPUTED_VALUE"""),"")</f>
        <v/>
      </c>
      <c r="D22748" s="12" t="str">
        <f ca="1">IFERROR(__xludf.DUMMYFUNCTION("""COMPUTED_VALUE"""),"")</f>
        <v/>
      </c>
    </row>
    <row r="22749" spans="2:4" ht="13">
      <c r="B22749" s="12" t="str">
        <f ca="1">IFERROR(__xludf.DUMMYFUNCTION("""COMPUTED_VALUE"""),"")</f>
        <v/>
      </c>
      <c r="C22749" s="12" t="str">
        <f ca="1">IFERROR(__xludf.DUMMYFUNCTION("""COMPUTED_VALUE"""),"")</f>
        <v/>
      </c>
      <c r="D22749" s="12" t="str">
        <f ca="1">IFERROR(__xludf.DUMMYFUNCTION("""COMPUTED_VALUE"""),"")</f>
        <v/>
      </c>
    </row>
    <row r="22750" spans="2:4" ht="13">
      <c r="B22750" s="12" t="str">
        <f ca="1">IFERROR(__xludf.DUMMYFUNCTION("""COMPUTED_VALUE"""),"")</f>
        <v/>
      </c>
      <c r="C22750" s="12" t="str">
        <f ca="1">IFERROR(__xludf.DUMMYFUNCTION("""COMPUTED_VALUE"""),"")</f>
        <v/>
      </c>
      <c r="D22750" s="12" t="str">
        <f ca="1">IFERROR(__xludf.DUMMYFUNCTION("""COMPUTED_VALUE"""),"")</f>
        <v/>
      </c>
    </row>
    <row r="22751" spans="2:4" ht="13">
      <c r="B22751" s="12" t="str">
        <f ca="1">IFERROR(__xludf.DUMMYFUNCTION("""COMPUTED_VALUE"""),"")</f>
        <v/>
      </c>
      <c r="C22751" s="12" t="str">
        <f ca="1">IFERROR(__xludf.DUMMYFUNCTION("""COMPUTED_VALUE"""),"")</f>
        <v/>
      </c>
      <c r="D22751" s="12" t="str">
        <f ca="1">IFERROR(__xludf.DUMMYFUNCTION("""COMPUTED_VALUE"""),"")</f>
        <v/>
      </c>
    </row>
    <row r="22752" spans="2:4" ht="13">
      <c r="B22752" s="12" t="str">
        <f ca="1">IFERROR(__xludf.DUMMYFUNCTION("""COMPUTED_VALUE"""),"")</f>
        <v/>
      </c>
      <c r="C22752" s="12" t="str">
        <f ca="1">IFERROR(__xludf.DUMMYFUNCTION("""COMPUTED_VALUE"""),"")</f>
        <v/>
      </c>
      <c r="D22752" s="12" t="str">
        <f ca="1">IFERROR(__xludf.DUMMYFUNCTION("""COMPUTED_VALUE"""),"")</f>
        <v/>
      </c>
    </row>
    <row r="22753" spans="2:4" ht="13">
      <c r="B22753" s="12" t="str">
        <f ca="1">IFERROR(__xludf.DUMMYFUNCTION("""COMPUTED_VALUE"""),"")</f>
        <v/>
      </c>
      <c r="C22753" s="12" t="str">
        <f ca="1">IFERROR(__xludf.DUMMYFUNCTION("""COMPUTED_VALUE"""),"")</f>
        <v/>
      </c>
      <c r="D22753" s="12" t="str">
        <f ca="1">IFERROR(__xludf.DUMMYFUNCTION("""COMPUTED_VALUE"""),"")</f>
        <v/>
      </c>
    </row>
    <row r="22754" spans="2:4" ht="13">
      <c r="B22754" s="12" t="str">
        <f ca="1">IFERROR(__xludf.DUMMYFUNCTION("""COMPUTED_VALUE"""),"")</f>
        <v/>
      </c>
      <c r="C22754" s="12" t="str">
        <f ca="1">IFERROR(__xludf.DUMMYFUNCTION("""COMPUTED_VALUE"""),"")</f>
        <v/>
      </c>
      <c r="D22754" s="12" t="str">
        <f ca="1">IFERROR(__xludf.DUMMYFUNCTION("""COMPUTED_VALUE"""),"")</f>
        <v/>
      </c>
    </row>
    <row r="22755" spans="2:4" ht="13">
      <c r="B22755" s="12" t="str">
        <f ca="1">IFERROR(__xludf.DUMMYFUNCTION("""COMPUTED_VALUE"""),"")</f>
        <v/>
      </c>
      <c r="C22755" s="12" t="str">
        <f ca="1">IFERROR(__xludf.DUMMYFUNCTION("""COMPUTED_VALUE"""),"")</f>
        <v/>
      </c>
      <c r="D22755" s="12" t="str">
        <f ca="1">IFERROR(__xludf.DUMMYFUNCTION("""COMPUTED_VALUE"""),"")</f>
        <v/>
      </c>
    </row>
    <row r="22756" spans="2:4" ht="13">
      <c r="B22756" s="12" t="str">
        <f ca="1">IFERROR(__xludf.DUMMYFUNCTION("""COMPUTED_VALUE"""),"")</f>
        <v/>
      </c>
      <c r="C22756" s="12" t="str">
        <f ca="1">IFERROR(__xludf.DUMMYFUNCTION("""COMPUTED_VALUE"""),"")</f>
        <v/>
      </c>
      <c r="D22756" s="12" t="str">
        <f ca="1">IFERROR(__xludf.DUMMYFUNCTION("""COMPUTED_VALUE"""),"")</f>
        <v/>
      </c>
    </row>
    <row r="22757" spans="2:4" ht="13">
      <c r="B22757" s="12" t="str">
        <f ca="1">IFERROR(__xludf.DUMMYFUNCTION("""COMPUTED_VALUE"""),"")</f>
        <v/>
      </c>
      <c r="C22757" s="12" t="str">
        <f ca="1">IFERROR(__xludf.DUMMYFUNCTION("""COMPUTED_VALUE"""),"")</f>
        <v/>
      </c>
      <c r="D22757" s="12" t="str">
        <f ca="1">IFERROR(__xludf.DUMMYFUNCTION("""COMPUTED_VALUE"""),"")</f>
        <v/>
      </c>
    </row>
    <row r="22758" spans="2:4" ht="13">
      <c r="B22758" s="12" t="str">
        <f ca="1">IFERROR(__xludf.DUMMYFUNCTION("""COMPUTED_VALUE"""),"")</f>
        <v/>
      </c>
      <c r="C22758" s="12" t="str">
        <f ca="1">IFERROR(__xludf.DUMMYFUNCTION("""COMPUTED_VALUE"""),"")</f>
        <v/>
      </c>
      <c r="D22758" s="12" t="str">
        <f ca="1">IFERROR(__xludf.DUMMYFUNCTION("""COMPUTED_VALUE"""),"")</f>
        <v/>
      </c>
    </row>
    <row r="22759" spans="2:4" ht="13">
      <c r="B22759" s="12" t="str">
        <f ca="1">IFERROR(__xludf.DUMMYFUNCTION("""COMPUTED_VALUE"""),"")</f>
        <v/>
      </c>
      <c r="C22759" s="12" t="str">
        <f ca="1">IFERROR(__xludf.DUMMYFUNCTION("""COMPUTED_VALUE"""),"")</f>
        <v/>
      </c>
      <c r="D22759" s="12" t="str">
        <f ca="1">IFERROR(__xludf.DUMMYFUNCTION("""COMPUTED_VALUE"""),"")</f>
        <v/>
      </c>
    </row>
    <row r="22760" spans="2:4" ht="13">
      <c r="B22760" s="12" t="str">
        <f ca="1">IFERROR(__xludf.DUMMYFUNCTION("""COMPUTED_VALUE"""),"")</f>
        <v/>
      </c>
      <c r="C22760" s="12" t="str">
        <f ca="1">IFERROR(__xludf.DUMMYFUNCTION("""COMPUTED_VALUE"""),"")</f>
        <v/>
      </c>
      <c r="D22760" s="12" t="str">
        <f ca="1">IFERROR(__xludf.DUMMYFUNCTION("""COMPUTED_VALUE"""),"")</f>
        <v/>
      </c>
    </row>
    <row r="22761" spans="2:4" ht="13">
      <c r="B22761" s="12" t="str">
        <f ca="1">IFERROR(__xludf.DUMMYFUNCTION("""COMPUTED_VALUE"""),"")</f>
        <v/>
      </c>
      <c r="C22761" s="12" t="str">
        <f ca="1">IFERROR(__xludf.DUMMYFUNCTION("""COMPUTED_VALUE"""),"")</f>
        <v/>
      </c>
      <c r="D22761" s="12" t="str">
        <f ca="1">IFERROR(__xludf.DUMMYFUNCTION("""COMPUTED_VALUE"""),"")</f>
        <v/>
      </c>
    </row>
    <row r="22762" spans="2:4" ht="13">
      <c r="B22762" s="12" t="str">
        <f ca="1">IFERROR(__xludf.DUMMYFUNCTION("""COMPUTED_VALUE"""),"")</f>
        <v/>
      </c>
      <c r="C22762" s="12" t="str">
        <f ca="1">IFERROR(__xludf.DUMMYFUNCTION("""COMPUTED_VALUE"""),"")</f>
        <v/>
      </c>
      <c r="D22762" s="12" t="str">
        <f ca="1">IFERROR(__xludf.DUMMYFUNCTION("""COMPUTED_VALUE"""),"")</f>
        <v/>
      </c>
    </row>
    <row r="22763" spans="2:4" ht="13">
      <c r="B22763" s="12" t="str">
        <f ca="1">IFERROR(__xludf.DUMMYFUNCTION("""COMPUTED_VALUE"""),"")</f>
        <v/>
      </c>
      <c r="C22763" s="12" t="str">
        <f ca="1">IFERROR(__xludf.DUMMYFUNCTION("""COMPUTED_VALUE"""),"")</f>
        <v/>
      </c>
      <c r="D22763" s="12" t="str">
        <f ca="1">IFERROR(__xludf.DUMMYFUNCTION("""COMPUTED_VALUE"""),"")</f>
        <v/>
      </c>
    </row>
    <row r="22764" spans="2:4" ht="13">
      <c r="B22764" s="12" t="str">
        <f ca="1">IFERROR(__xludf.DUMMYFUNCTION("""COMPUTED_VALUE"""),"")</f>
        <v/>
      </c>
      <c r="C22764" s="12" t="str">
        <f ca="1">IFERROR(__xludf.DUMMYFUNCTION("""COMPUTED_VALUE"""),"")</f>
        <v/>
      </c>
      <c r="D22764" s="12" t="str">
        <f ca="1">IFERROR(__xludf.DUMMYFUNCTION("""COMPUTED_VALUE"""),"")</f>
        <v/>
      </c>
    </row>
    <row r="22765" spans="2:4" ht="13">
      <c r="B22765" s="12" t="str">
        <f ca="1">IFERROR(__xludf.DUMMYFUNCTION("""COMPUTED_VALUE"""),"")</f>
        <v/>
      </c>
      <c r="C22765" s="12" t="str">
        <f ca="1">IFERROR(__xludf.DUMMYFUNCTION("""COMPUTED_VALUE"""),"")</f>
        <v/>
      </c>
      <c r="D22765" s="12" t="str">
        <f ca="1">IFERROR(__xludf.DUMMYFUNCTION("""COMPUTED_VALUE"""),"")</f>
        <v/>
      </c>
    </row>
    <row r="22766" spans="2:4" ht="13">
      <c r="B22766" s="12" t="str">
        <f ca="1">IFERROR(__xludf.DUMMYFUNCTION("""COMPUTED_VALUE"""),"")</f>
        <v/>
      </c>
      <c r="C22766" s="12" t="str">
        <f ca="1">IFERROR(__xludf.DUMMYFUNCTION("""COMPUTED_VALUE"""),"")</f>
        <v/>
      </c>
      <c r="D22766" s="12" t="str">
        <f ca="1">IFERROR(__xludf.DUMMYFUNCTION("""COMPUTED_VALUE"""),"")</f>
        <v/>
      </c>
    </row>
    <row r="22767" spans="2:4" ht="13">
      <c r="B22767" s="12" t="str">
        <f ca="1">IFERROR(__xludf.DUMMYFUNCTION("""COMPUTED_VALUE"""),"")</f>
        <v/>
      </c>
      <c r="C22767" s="12" t="str">
        <f ca="1">IFERROR(__xludf.DUMMYFUNCTION("""COMPUTED_VALUE"""),"")</f>
        <v/>
      </c>
      <c r="D22767" s="12" t="str">
        <f ca="1">IFERROR(__xludf.DUMMYFUNCTION("""COMPUTED_VALUE"""),"")</f>
        <v/>
      </c>
    </row>
    <row r="22768" spans="2:4" ht="13">
      <c r="B22768" s="12" t="str">
        <f ca="1">IFERROR(__xludf.DUMMYFUNCTION("""COMPUTED_VALUE"""),"")</f>
        <v/>
      </c>
      <c r="C22768" s="12" t="str">
        <f ca="1">IFERROR(__xludf.DUMMYFUNCTION("""COMPUTED_VALUE"""),"")</f>
        <v/>
      </c>
      <c r="D22768" s="12" t="str">
        <f ca="1">IFERROR(__xludf.DUMMYFUNCTION("""COMPUTED_VALUE"""),"")</f>
        <v/>
      </c>
    </row>
    <row r="22769" spans="2:4" ht="13">
      <c r="B22769" s="12" t="str">
        <f ca="1">IFERROR(__xludf.DUMMYFUNCTION("""COMPUTED_VALUE"""),"")</f>
        <v/>
      </c>
      <c r="C22769" s="12" t="str">
        <f ca="1">IFERROR(__xludf.DUMMYFUNCTION("""COMPUTED_VALUE"""),"")</f>
        <v/>
      </c>
      <c r="D22769" s="12" t="str">
        <f ca="1">IFERROR(__xludf.DUMMYFUNCTION("""COMPUTED_VALUE"""),"")</f>
        <v/>
      </c>
    </row>
    <row r="22770" spans="2:4" ht="13">
      <c r="B22770" s="12" t="str">
        <f ca="1">IFERROR(__xludf.DUMMYFUNCTION("""COMPUTED_VALUE"""),"")</f>
        <v/>
      </c>
      <c r="C22770" s="12" t="str">
        <f ca="1">IFERROR(__xludf.DUMMYFUNCTION("""COMPUTED_VALUE"""),"")</f>
        <v/>
      </c>
      <c r="D22770" s="12" t="str">
        <f ca="1">IFERROR(__xludf.DUMMYFUNCTION("""COMPUTED_VALUE"""),"")</f>
        <v/>
      </c>
    </row>
    <row r="22771" spans="2:4" ht="13">
      <c r="B22771" s="12" t="str">
        <f ca="1">IFERROR(__xludf.DUMMYFUNCTION("""COMPUTED_VALUE"""),"")</f>
        <v/>
      </c>
      <c r="C22771" s="12" t="str">
        <f ca="1">IFERROR(__xludf.DUMMYFUNCTION("""COMPUTED_VALUE"""),"")</f>
        <v/>
      </c>
      <c r="D22771" s="12" t="str">
        <f ca="1">IFERROR(__xludf.DUMMYFUNCTION("""COMPUTED_VALUE"""),"")</f>
        <v/>
      </c>
    </row>
    <row r="22772" spans="2:4" ht="13">
      <c r="B22772" s="12" t="str">
        <f ca="1">IFERROR(__xludf.DUMMYFUNCTION("""COMPUTED_VALUE"""),"")</f>
        <v/>
      </c>
      <c r="C22772" s="12" t="str">
        <f ca="1">IFERROR(__xludf.DUMMYFUNCTION("""COMPUTED_VALUE"""),"")</f>
        <v/>
      </c>
      <c r="D22772" s="12" t="str">
        <f ca="1">IFERROR(__xludf.DUMMYFUNCTION("""COMPUTED_VALUE"""),"")</f>
        <v/>
      </c>
    </row>
    <row r="22773" spans="2:4" ht="13">
      <c r="B22773" s="12" t="str">
        <f ca="1">IFERROR(__xludf.DUMMYFUNCTION("""COMPUTED_VALUE"""),"")</f>
        <v/>
      </c>
      <c r="C22773" s="12" t="str">
        <f ca="1">IFERROR(__xludf.DUMMYFUNCTION("""COMPUTED_VALUE"""),"")</f>
        <v/>
      </c>
      <c r="D22773" s="12" t="str">
        <f ca="1">IFERROR(__xludf.DUMMYFUNCTION("""COMPUTED_VALUE"""),"")</f>
        <v/>
      </c>
    </row>
    <row r="22774" spans="2:4" ht="13">
      <c r="B22774" s="12" t="str">
        <f ca="1">IFERROR(__xludf.DUMMYFUNCTION("""COMPUTED_VALUE"""),"")</f>
        <v/>
      </c>
      <c r="C22774" s="12" t="str">
        <f ca="1">IFERROR(__xludf.DUMMYFUNCTION("""COMPUTED_VALUE"""),"")</f>
        <v/>
      </c>
      <c r="D22774" s="12" t="str">
        <f ca="1">IFERROR(__xludf.DUMMYFUNCTION("""COMPUTED_VALUE"""),"")</f>
        <v/>
      </c>
    </row>
    <row r="22775" spans="2:4" ht="13">
      <c r="B22775" s="12" t="str">
        <f ca="1">IFERROR(__xludf.DUMMYFUNCTION("""COMPUTED_VALUE"""),"")</f>
        <v/>
      </c>
      <c r="C22775" s="12" t="str">
        <f ca="1">IFERROR(__xludf.DUMMYFUNCTION("""COMPUTED_VALUE"""),"")</f>
        <v/>
      </c>
      <c r="D22775" s="12" t="str">
        <f ca="1">IFERROR(__xludf.DUMMYFUNCTION("""COMPUTED_VALUE"""),"")</f>
        <v/>
      </c>
    </row>
    <row r="22776" spans="2:4" ht="13">
      <c r="B22776" s="12" t="str">
        <f ca="1">IFERROR(__xludf.DUMMYFUNCTION("""COMPUTED_VALUE"""),"")</f>
        <v/>
      </c>
      <c r="C22776" s="12" t="str">
        <f ca="1">IFERROR(__xludf.DUMMYFUNCTION("""COMPUTED_VALUE"""),"")</f>
        <v/>
      </c>
      <c r="D22776" s="12" t="str">
        <f ca="1">IFERROR(__xludf.DUMMYFUNCTION("""COMPUTED_VALUE"""),"")</f>
        <v/>
      </c>
    </row>
    <row r="22777" spans="2:4" ht="13">
      <c r="B22777" s="12" t="str">
        <f ca="1">IFERROR(__xludf.DUMMYFUNCTION("""COMPUTED_VALUE"""),"")</f>
        <v/>
      </c>
      <c r="C22777" s="12" t="str">
        <f ca="1">IFERROR(__xludf.DUMMYFUNCTION("""COMPUTED_VALUE"""),"")</f>
        <v/>
      </c>
      <c r="D22777" s="12" t="str">
        <f ca="1">IFERROR(__xludf.DUMMYFUNCTION("""COMPUTED_VALUE"""),"")</f>
        <v/>
      </c>
    </row>
    <row r="22778" spans="2:4" ht="13">
      <c r="B22778" s="12" t="str">
        <f ca="1">IFERROR(__xludf.DUMMYFUNCTION("""COMPUTED_VALUE"""),"")</f>
        <v/>
      </c>
      <c r="C22778" s="12" t="str">
        <f ca="1">IFERROR(__xludf.DUMMYFUNCTION("""COMPUTED_VALUE"""),"")</f>
        <v/>
      </c>
      <c r="D22778" s="12" t="str">
        <f ca="1">IFERROR(__xludf.DUMMYFUNCTION("""COMPUTED_VALUE"""),"")</f>
        <v/>
      </c>
    </row>
    <row r="22779" spans="2:4" ht="13">
      <c r="B22779" s="12" t="str">
        <f ca="1">IFERROR(__xludf.DUMMYFUNCTION("""COMPUTED_VALUE"""),"")</f>
        <v/>
      </c>
      <c r="C22779" s="12" t="str">
        <f ca="1">IFERROR(__xludf.DUMMYFUNCTION("""COMPUTED_VALUE"""),"")</f>
        <v/>
      </c>
      <c r="D22779" s="12" t="str">
        <f ca="1">IFERROR(__xludf.DUMMYFUNCTION("""COMPUTED_VALUE"""),"")</f>
        <v/>
      </c>
    </row>
    <row r="22780" spans="2:4" ht="13">
      <c r="B22780" s="12" t="str">
        <f ca="1">IFERROR(__xludf.DUMMYFUNCTION("""COMPUTED_VALUE"""),"")</f>
        <v/>
      </c>
      <c r="C22780" s="12" t="str">
        <f ca="1">IFERROR(__xludf.DUMMYFUNCTION("""COMPUTED_VALUE"""),"")</f>
        <v/>
      </c>
      <c r="D22780" s="12" t="str">
        <f ca="1">IFERROR(__xludf.DUMMYFUNCTION("""COMPUTED_VALUE"""),"")</f>
        <v/>
      </c>
    </row>
    <row r="22781" spans="2:4" ht="13">
      <c r="B22781" s="12" t="str">
        <f ca="1">IFERROR(__xludf.DUMMYFUNCTION("""COMPUTED_VALUE"""),"")</f>
        <v/>
      </c>
      <c r="C22781" s="12" t="str">
        <f ca="1">IFERROR(__xludf.DUMMYFUNCTION("""COMPUTED_VALUE"""),"")</f>
        <v/>
      </c>
      <c r="D22781" s="12" t="str">
        <f ca="1">IFERROR(__xludf.DUMMYFUNCTION("""COMPUTED_VALUE"""),"")</f>
        <v/>
      </c>
    </row>
    <row r="22782" spans="2:4" ht="13">
      <c r="B22782" s="12" t="str">
        <f ca="1">IFERROR(__xludf.DUMMYFUNCTION("""COMPUTED_VALUE"""),"")</f>
        <v/>
      </c>
      <c r="C22782" s="12" t="str">
        <f ca="1">IFERROR(__xludf.DUMMYFUNCTION("""COMPUTED_VALUE"""),"")</f>
        <v/>
      </c>
      <c r="D22782" s="12" t="str">
        <f ca="1">IFERROR(__xludf.DUMMYFUNCTION("""COMPUTED_VALUE"""),"")</f>
        <v/>
      </c>
    </row>
    <row r="22783" spans="2:4" ht="13">
      <c r="B22783" s="12" t="str">
        <f ca="1">IFERROR(__xludf.DUMMYFUNCTION("""COMPUTED_VALUE"""),"")</f>
        <v/>
      </c>
      <c r="C22783" s="12" t="str">
        <f ca="1">IFERROR(__xludf.DUMMYFUNCTION("""COMPUTED_VALUE"""),"")</f>
        <v/>
      </c>
      <c r="D22783" s="12" t="str">
        <f ca="1">IFERROR(__xludf.DUMMYFUNCTION("""COMPUTED_VALUE"""),"")</f>
        <v/>
      </c>
    </row>
    <row r="22784" spans="2:4" ht="13">
      <c r="B22784" s="12" t="str">
        <f ca="1">IFERROR(__xludf.DUMMYFUNCTION("""COMPUTED_VALUE"""),"")</f>
        <v/>
      </c>
      <c r="C22784" s="12" t="str">
        <f ca="1">IFERROR(__xludf.DUMMYFUNCTION("""COMPUTED_VALUE"""),"")</f>
        <v/>
      </c>
      <c r="D22784" s="12" t="str">
        <f ca="1">IFERROR(__xludf.DUMMYFUNCTION("""COMPUTED_VALUE"""),"")</f>
        <v/>
      </c>
    </row>
    <row r="22785" spans="2:4" ht="13">
      <c r="B22785" s="12" t="str">
        <f ca="1">IFERROR(__xludf.DUMMYFUNCTION("""COMPUTED_VALUE"""),"")</f>
        <v/>
      </c>
      <c r="C22785" s="12" t="str">
        <f ca="1">IFERROR(__xludf.DUMMYFUNCTION("""COMPUTED_VALUE"""),"")</f>
        <v/>
      </c>
      <c r="D22785" s="12" t="str">
        <f ca="1">IFERROR(__xludf.DUMMYFUNCTION("""COMPUTED_VALUE"""),"")</f>
        <v/>
      </c>
    </row>
    <row r="22786" spans="2:4" ht="13">
      <c r="B22786" s="12" t="str">
        <f ca="1">IFERROR(__xludf.DUMMYFUNCTION("""COMPUTED_VALUE"""),"")</f>
        <v/>
      </c>
      <c r="C22786" s="12" t="str">
        <f ca="1">IFERROR(__xludf.DUMMYFUNCTION("""COMPUTED_VALUE"""),"")</f>
        <v/>
      </c>
      <c r="D22786" s="12" t="str">
        <f ca="1">IFERROR(__xludf.DUMMYFUNCTION("""COMPUTED_VALUE"""),"")</f>
        <v/>
      </c>
    </row>
    <row r="22787" spans="2:4" ht="13">
      <c r="B22787" s="12" t="str">
        <f ca="1">IFERROR(__xludf.DUMMYFUNCTION("""COMPUTED_VALUE"""),"")</f>
        <v/>
      </c>
      <c r="C22787" s="12" t="str">
        <f ca="1">IFERROR(__xludf.DUMMYFUNCTION("""COMPUTED_VALUE"""),"")</f>
        <v/>
      </c>
      <c r="D22787" s="12" t="str">
        <f ca="1">IFERROR(__xludf.DUMMYFUNCTION("""COMPUTED_VALUE"""),"")</f>
        <v/>
      </c>
    </row>
    <row r="22788" spans="2:4" ht="13">
      <c r="B22788" s="12" t="str">
        <f ca="1">IFERROR(__xludf.DUMMYFUNCTION("""COMPUTED_VALUE"""),"")</f>
        <v/>
      </c>
      <c r="C22788" s="12" t="str">
        <f ca="1">IFERROR(__xludf.DUMMYFUNCTION("""COMPUTED_VALUE"""),"")</f>
        <v/>
      </c>
      <c r="D22788" s="12" t="str">
        <f ca="1">IFERROR(__xludf.DUMMYFUNCTION("""COMPUTED_VALUE"""),"")</f>
        <v/>
      </c>
    </row>
    <row r="22789" spans="2:4" ht="13">
      <c r="B22789" s="12" t="str">
        <f ca="1">IFERROR(__xludf.DUMMYFUNCTION("""COMPUTED_VALUE"""),"")</f>
        <v/>
      </c>
      <c r="C22789" s="12" t="str">
        <f ca="1">IFERROR(__xludf.DUMMYFUNCTION("""COMPUTED_VALUE"""),"")</f>
        <v/>
      </c>
      <c r="D22789" s="12" t="str">
        <f ca="1">IFERROR(__xludf.DUMMYFUNCTION("""COMPUTED_VALUE"""),"")</f>
        <v/>
      </c>
    </row>
    <row r="22790" spans="2:4" ht="13">
      <c r="B22790" s="12" t="str">
        <f ca="1">IFERROR(__xludf.DUMMYFUNCTION("""COMPUTED_VALUE"""),"")</f>
        <v/>
      </c>
      <c r="C22790" s="12" t="str">
        <f ca="1">IFERROR(__xludf.DUMMYFUNCTION("""COMPUTED_VALUE"""),"")</f>
        <v/>
      </c>
      <c r="D22790" s="12" t="str">
        <f ca="1">IFERROR(__xludf.DUMMYFUNCTION("""COMPUTED_VALUE"""),"")</f>
        <v/>
      </c>
    </row>
    <row r="22791" spans="2:4" ht="13">
      <c r="B22791" s="12" t="str">
        <f ca="1">IFERROR(__xludf.DUMMYFUNCTION("""COMPUTED_VALUE"""),"")</f>
        <v/>
      </c>
      <c r="C22791" s="12" t="str">
        <f ca="1">IFERROR(__xludf.DUMMYFUNCTION("""COMPUTED_VALUE"""),"")</f>
        <v/>
      </c>
      <c r="D22791" s="12" t="str">
        <f ca="1">IFERROR(__xludf.DUMMYFUNCTION("""COMPUTED_VALUE"""),"")</f>
        <v/>
      </c>
    </row>
    <row r="22792" spans="2:4" ht="13">
      <c r="B22792" s="12" t="str">
        <f ca="1">IFERROR(__xludf.DUMMYFUNCTION("""COMPUTED_VALUE"""),"")</f>
        <v/>
      </c>
      <c r="C22792" s="12" t="str">
        <f ca="1">IFERROR(__xludf.DUMMYFUNCTION("""COMPUTED_VALUE"""),"")</f>
        <v/>
      </c>
      <c r="D22792" s="12" t="str">
        <f ca="1">IFERROR(__xludf.DUMMYFUNCTION("""COMPUTED_VALUE"""),"")</f>
        <v/>
      </c>
    </row>
    <row r="22793" spans="2:4" ht="13">
      <c r="B22793" s="12" t="str">
        <f ca="1">IFERROR(__xludf.DUMMYFUNCTION("""COMPUTED_VALUE"""),"")</f>
        <v/>
      </c>
      <c r="C22793" s="12" t="str">
        <f ca="1">IFERROR(__xludf.DUMMYFUNCTION("""COMPUTED_VALUE"""),"")</f>
        <v/>
      </c>
      <c r="D22793" s="12" t="str">
        <f ca="1">IFERROR(__xludf.DUMMYFUNCTION("""COMPUTED_VALUE"""),"")</f>
        <v/>
      </c>
    </row>
    <row r="22794" spans="2:4" ht="13">
      <c r="B22794" s="12" t="str">
        <f ca="1">IFERROR(__xludf.DUMMYFUNCTION("""COMPUTED_VALUE"""),"")</f>
        <v/>
      </c>
      <c r="C22794" s="12" t="str">
        <f ca="1">IFERROR(__xludf.DUMMYFUNCTION("""COMPUTED_VALUE"""),"")</f>
        <v/>
      </c>
      <c r="D22794" s="12" t="str">
        <f ca="1">IFERROR(__xludf.DUMMYFUNCTION("""COMPUTED_VALUE"""),"")</f>
        <v/>
      </c>
    </row>
    <row r="22795" spans="2:4" ht="13">
      <c r="B22795" s="12" t="str">
        <f ca="1">IFERROR(__xludf.DUMMYFUNCTION("""COMPUTED_VALUE"""),"")</f>
        <v/>
      </c>
      <c r="C22795" s="12" t="str">
        <f ca="1">IFERROR(__xludf.DUMMYFUNCTION("""COMPUTED_VALUE"""),"")</f>
        <v/>
      </c>
      <c r="D22795" s="12" t="str">
        <f ca="1">IFERROR(__xludf.DUMMYFUNCTION("""COMPUTED_VALUE"""),"")</f>
        <v/>
      </c>
    </row>
    <row r="22796" spans="2:4" ht="13">
      <c r="B22796" s="12" t="str">
        <f ca="1">IFERROR(__xludf.DUMMYFUNCTION("""COMPUTED_VALUE"""),"")</f>
        <v/>
      </c>
      <c r="C22796" s="12" t="str">
        <f ca="1">IFERROR(__xludf.DUMMYFUNCTION("""COMPUTED_VALUE"""),"")</f>
        <v/>
      </c>
      <c r="D22796" s="12" t="str">
        <f ca="1">IFERROR(__xludf.DUMMYFUNCTION("""COMPUTED_VALUE"""),"")</f>
        <v/>
      </c>
    </row>
    <row r="22797" spans="2:4" ht="13">
      <c r="B22797" s="12" t="str">
        <f ca="1">IFERROR(__xludf.DUMMYFUNCTION("""COMPUTED_VALUE"""),"")</f>
        <v/>
      </c>
      <c r="C22797" s="12" t="str">
        <f ca="1">IFERROR(__xludf.DUMMYFUNCTION("""COMPUTED_VALUE"""),"")</f>
        <v/>
      </c>
      <c r="D22797" s="12" t="str">
        <f ca="1">IFERROR(__xludf.DUMMYFUNCTION("""COMPUTED_VALUE"""),"")</f>
        <v/>
      </c>
    </row>
    <row r="22798" spans="2:4" ht="13">
      <c r="B22798" s="12" t="str">
        <f ca="1">IFERROR(__xludf.DUMMYFUNCTION("""COMPUTED_VALUE"""),"")</f>
        <v/>
      </c>
      <c r="C22798" s="12" t="str">
        <f ca="1">IFERROR(__xludf.DUMMYFUNCTION("""COMPUTED_VALUE"""),"")</f>
        <v/>
      </c>
      <c r="D22798" s="12" t="str">
        <f ca="1">IFERROR(__xludf.DUMMYFUNCTION("""COMPUTED_VALUE"""),"")</f>
        <v/>
      </c>
    </row>
    <row r="22799" spans="2:4" ht="13">
      <c r="B22799" s="12" t="str">
        <f ca="1">IFERROR(__xludf.DUMMYFUNCTION("""COMPUTED_VALUE"""),"")</f>
        <v/>
      </c>
      <c r="C22799" s="12" t="str">
        <f ca="1">IFERROR(__xludf.DUMMYFUNCTION("""COMPUTED_VALUE"""),"")</f>
        <v/>
      </c>
      <c r="D22799" s="12" t="str">
        <f ca="1">IFERROR(__xludf.DUMMYFUNCTION("""COMPUTED_VALUE"""),"")</f>
        <v/>
      </c>
    </row>
    <row r="22800" spans="2:4" ht="13">
      <c r="B22800" s="12" t="str">
        <f ca="1">IFERROR(__xludf.DUMMYFUNCTION("""COMPUTED_VALUE"""),"")</f>
        <v/>
      </c>
      <c r="C22800" s="12" t="str">
        <f ca="1">IFERROR(__xludf.DUMMYFUNCTION("""COMPUTED_VALUE"""),"")</f>
        <v/>
      </c>
      <c r="D22800" s="12" t="str">
        <f ca="1">IFERROR(__xludf.DUMMYFUNCTION("""COMPUTED_VALUE"""),"")</f>
        <v/>
      </c>
    </row>
    <row r="22801" spans="2:4" ht="13">
      <c r="B22801" s="12" t="str">
        <f ca="1">IFERROR(__xludf.DUMMYFUNCTION("""COMPUTED_VALUE"""),"")</f>
        <v/>
      </c>
      <c r="C22801" s="12" t="str">
        <f ca="1">IFERROR(__xludf.DUMMYFUNCTION("""COMPUTED_VALUE"""),"")</f>
        <v/>
      </c>
      <c r="D22801" s="12" t="str">
        <f ca="1">IFERROR(__xludf.DUMMYFUNCTION("""COMPUTED_VALUE"""),"")</f>
        <v/>
      </c>
    </row>
    <row r="22802" spans="2:4" ht="13">
      <c r="B22802" s="12" t="str">
        <f ca="1">IFERROR(__xludf.DUMMYFUNCTION("""COMPUTED_VALUE"""),"")</f>
        <v/>
      </c>
      <c r="C22802" s="12" t="str">
        <f ca="1">IFERROR(__xludf.DUMMYFUNCTION("""COMPUTED_VALUE"""),"")</f>
        <v/>
      </c>
      <c r="D22802" s="12" t="str">
        <f ca="1">IFERROR(__xludf.DUMMYFUNCTION("""COMPUTED_VALUE"""),"")</f>
        <v/>
      </c>
    </row>
    <row r="22803" spans="2:4" ht="13">
      <c r="B22803" s="12" t="str">
        <f ca="1">IFERROR(__xludf.DUMMYFUNCTION("""COMPUTED_VALUE"""),"")</f>
        <v/>
      </c>
      <c r="C22803" s="12" t="str">
        <f ca="1">IFERROR(__xludf.DUMMYFUNCTION("""COMPUTED_VALUE"""),"")</f>
        <v/>
      </c>
      <c r="D22803" s="12" t="str">
        <f ca="1">IFERROR(__xludf.DUMMYFUNCTION("""COMPUTED_VALUE"""),"")</f>
        <v/>
      </c>
    </row>
    <row r="22804" spans="2:4" ht="13">
      <c r="B22804" s="12" t="str">
        <f ca="1">IFERROR(__xludf.DUMMYFUNCTION("""COMPUTED_VALUE"""),"")</f>
        <v/>
      </c>
      <c r="C22804" s="12" t="str">
        <f ca="1">IFERROR(__xludf.DUMMYFUNCTION("""COMPUTED_VALUE"""),"")</f>
        <v/>
      </c>
      <c r="D22804" s="12" t="str">
        <f ca="1">IFERROR(__xludf.DUMMYFUNCTION("""COMPUTED_VALUE"""),"")</f>
        <v/>
      </c>
    </row>
    <row r="22805" spans="2:4" ht="13">
      <c r="B22805" s="12" t="str">
        <f ca="1">IFERROR(__xludf.DUMMYFUNCTION("""COMPUTED_VALUE"""),"")</f>
        <v/>
      </c>
      <c r="C22805" s="12" t="str">
        <f ca="1">IFERROR(__xludf.DUMMYFUNCTION("""COMPUTED_VALUE"""),"")</f>
        <v/>
      </c>
      <c r="D22805" s="12" t="str">
        <f ca="1">IFERROR(__xludf.DUMMYFUNCTION("""COMPUTED_VALUE"""),"")</f>
        <v/>
      </c>
    </row>
    <row r="22806" spans="2:4" ht="13">
      <c r="B22806" s="12" t="str">
        <f ca="1">IFERROR(__xludf.DUMMYFUNCTION("""COMPUTED_VALUE"""),"")</f>
        <v/>
      </c>
      <c r="C22806" s="12" t="str">
        <f ca="1">IFERROR(__xludf.DUMMYFUNCTION("""COMPUTED_VALUE"""),"")</f>
        <v/>
      </c>
      <c r="D22806" s="12" t="str">
        <f ca="1">IFERROR(__xludf.DUMMYFUNCTION("""COMPUTED_VALUE"""),"")</f>
        <v/>
      </c>
    </row>
    <row r="22807" spans="2:4" ht="13">
      <c r="B22807" s="12" t="str">
        <f ca="1">IFERROR(__xludf.DUMMYFUNCTION("""COMPUTED_VALUE"""),"")</f>
        <v/>
      </c>
      <c r="C22807" s="12" t="str">
        <f ca="1">IFERROR(__xludf.DUMMYFUNCTION("""COMPUTED_VALUE"""),"")</f>
        <v/>
      </c>
      <c r="D22807" s="12" t="str">
        <f ca="1">IFERROR(__xludf.DUMMYFUNCTION("""COMPUTED_VALUE"""),"")</f>
        <v/>
      </c>
    </row>
    <row r="22808" spans="2:4" ht="13">
      <c r="B22808" s="12" t="str">
        <f ca="1">IFERROR(__xludf.DUMMYFUNCTION("""COMPUTED_VALUE"""),"")</f>
        <v/>
      </c>
      <c r="C22808" s="12" t="str">
        <f ca="1">IFERROR(__xludf.DUMMYFUNCTION("""COMPUTED_VALUE"""),"")</f>
        <v/>
      </c>
      <c r="D22808" s="12" t="str">
        <f ca="1">IFERROR(__xludf.DUMMYFUNCTION("""COMPUTED_VALUE"""),"")</f>
        <v/>
      </c>
    </row>
    <row r="22809" spans="2:4" ht="13">
      <c r="B22809" s="12" t="str">
        <f ca="1">IFERROR(__xludf.DUMMYFUNCTION("""COMPUTED_VALUE"""),"")</f>
        <v/>
      </c>
      <c r="C22809" s="12" t="str">
        <f ca="1">IFERROR(__xludf.DUMMYFUNCTION("""COMPUTED_VALUE"""),"")</f>
        <v/>
      </c>
      <c r="D22809" s="12" t="str">
        <f ca="1">IFERROR(__xludf.DUMMYFUNCTION("""COMPUTED_VALUE"""),"")</f>
        <v/>
      </c>
    </row>
    <row r="22810" spans="2:4" ht="13">
      <c r="B22810" s="12" t="str">
        <f ca="1">IFERROR(__xludf.DUMMYFUNCTION("""COMPUTED_VALUE"""),"")</f>
        <v/>
      </c>
      <c r="C22810" s="12" t="str">
        <f ca="1">IFERROR(__xludf.DUMMYFUNCTION("""COMPUTED_VALUE"""),"")</f>
        <v/>
      </c>
      <c r="D22810" s="12" t="str">
        <f ca="1">IFERROR(__xludf.DUMMYFUNCTION("""COMPUTED_VALUE"""),"")</f>
        <v/>
      </c>
    </row>
    <row r="22811" spans="2:4" ht="13">
      <c r="B22811" s="12" t="str">
        <f ca="1">IFERROR(__xludf.DUMMYFUNCTION("""COMPUTED_VALUE"""),"")</f>
        <v/>
      </c>
      <c r="C22811" s="12" t="str">
        <f ca="1">IFERROR(__xludf.DUMMYFUNCTION("""COMPUTED_VALUE"""),"")</f>
        <v/>
      </c>
      <c r="D22811" s="12" t="str">
        <f ca="1">IFERROR(__xludf.DUMMYFUNCTION("""COMPUTED_VALUE"""),"")</f>
        <v/>
      </c>
    </row>
    <row r="22812" spans="2:4" ht="13">
      <c r="B22812" s="12" t="str">
        <f ca="1">IFERROR(__xludf.DUMMYFUNCTION("""COMPUTED_VALUE"""),"")</f>
        <v/>
      </c>
      <c r="C22812" s="12" t="str">
        <f ca="1">IFERROR(__xludf.DUMMYFUNCTION("""COMPUTED_VALUE"""),"")</f>
        <v/>
      </c>
      <c r="D22812" s="12" t="str">
        <f ca="1">IFERROR(__xludf.DUMMYFUNCTION("""COMPUTED_VALUE"""),"")</f>
        <v/>
      </c>
    </row>
    <row r="22813" spans="2:4" ht="13">
      <c r="B22813" s="12" t="str">
        <f ca="1">IFERROR(__xludf.DUMMYFUNCTION("""COMPUTED_VALUE"""),"")</f>
        <v/>
      </c>
      <c r="C22813" s="12" t="str">
        <f ca="1">IFERROR(__xludf.DUMMYFUNCTION("""COMPUTED_VALUE"""),"")</f>
        <v/>
      </c>
      <c r="D22813" s="12" t="str">
        <f ca="1">IFERROR(__xludf.DUMMYFUNCTION("""COMPUTED_VALUE"""),"")</f>
        <v/>
      </c>
    </row>
    <row r="22814" spans="2:4" ht="13">
      <c r="B22814" s="12" t="str">
        <f ca="1">IFERROR(__xludf.DUMMYFUNCTION("""COMPUTED_VALUE"""),"")</f>
        <v/>
      </c>
      <c r="C22814" s="12" t="str">
        <f ca="1">IFERROR(__xludf.DUMMYFUNCTION("""COMPUTED_VALUE"""),"")</f>
        <v/>
      </c>
      <c r="D22814" s="12" t="str">
        <f ca="1">IFERROR(__xludf.DUMMYFUNCTION("""COMPUTED_VALUE"""),"")</f>
        <v/>
      </c>
    </row>
    <row r="22815" spans="2:4" ht="13">
      <c r="B22815" s="12" t="str">
        <f ca="1">IFERROR(__xludf.DUMMYFUNCTION("""COMPUTED_VALUE"""),"")</f>
        <v/>
      </c>
      <c r="C22815" s="12" t="str">
        <f ca="1">IFERROR(__xludf.DUMMYFUNCTION("""COMPUTED_VALUE"""),"")</f>
        <v/>
      </c>
      <c r="D22815" s="12" t="str">
        <f ca="1">IFERROR(__xludf.DUMMYFUNCTION("""COMPUTED_VALUE"""),"")</f>
        <v/>
      </c>
    </row>
    <row r="22816" spans="2:4" ht="13">
      <c r="B22816" s="12" t="str">
        <f ca="1">IFERROR(__xludf.DUMMYFUNCTION("""COMPUTED_VALUE"""),"")</f>
        <v/>
      </c>
      <c r="C22816" s="12" t="str">
        <f ca="1">IFERROR(__xludf.DUMMYFUNCTION("""COMPUTED_VALUE"""),"")</f>
        <v/>
      </c>
      <c r="D22816" s="12" t="str">
        <f ca="1">IFERROR(__xludf.DUMMYFUNCTION("""COMPUTED_VALUE"""),"")</f>
        <v/>
      </c>
    </row>
    <row r="22817" spans="2:4" ht="13">
      <c r="B22817" s="12" t="str">
        <f ca="1">IFERROR(__xludf.DUMMYFUNCTION("""COMPUTED_VALUE"""),"")</f>
        <v/>
      </c>
      <c r="C22817" s="12" t="str">
        <f ca="1">IFERROR(__xludf.DUMMYFUNCTION("""COMPUTED_VALUE"""),"")</f>
        <v/>
      </c>
      <c r="D22817" s="12" t="str">
        <f ca="1">IFERROR(__xludf.DUMMYFUNCTION("""COMPUTED_VALUE"""),"")</f>
        <v/>
      </c>
    </row>
    <row r="22818" spans="2:4" ht="13">
      <c r="B22818" s="12" t="str">
        <f ca="1">IFERROR(__xludf.DUMMYFUNCTION("""COMPUTED_VALUE"""),"")</f>
        <v/>
      </c>
      <c r="C22818" s="12" t="str">
        <f ca="1">IFERROR(__xludf.DUMMYFUNCTION("""COMPUTED_VALUE"""),"")</f>
        <v/>
      </c>
      <c r="D22818" s="12" t="str">
        <f ca="1">IFERROR(__xludf.DUMMYFUNCTION("""COMPUTED_VALUE"""),"")</f>
        <v/>
      </c>
    </row>
    <row r="22819" spans="2:4" ht="13">
      <c r="B22819" s="12" t="str">
        <f ca="1">IFERROR(__xludf.DUMMYFUNCTION("""COMPUTED_VALUE"""),"")</f>
        <v/>
      </c>
      <c r="C22819" s="12" t="str">
        <f ca="1">IFERROR(__xludf.DUMMYFUNCTION("""COMPUTED_VALUE"""),"")</f>
        <v/>
      </c>
      <c r="D22819" s="12" t="str">
        <f ca="1">IFERROR(__xludf.DUMMYFUNCTION("""COMPUTED_VALUE"""),"")</f>
        <v/>
      </c>
    </row>
    <row r="22820" spans="2:4" ht="13">
      <c r="B22820" s="12" t="str">
        <f ca="1">IFERROR(__xludf.DUMMYFUNCTION("""COMPUTED_VALUE"""),"")</f>
        <v/>
      </c>
      <c r="C22820" s="12" t="str">
        <f ca="1">IFERROR(__xludf.DUMMYFUNCTION("""COMPUTED_VALUE"""),"")</f>
        <v/>
      </c>
      <c r="D22820" s="12" t="str">
        <f ca="1">IFERROR(__xludf.DUMMYFUNCTION("""COMPUTED_VALUE"""),"")</f>
        <v/>
      </c>
    </row>
    <row r="22821" spans="2:4" ht="13">
      <c r="B22821" s="12" t="str">
        <f ca="1">IFERROR(__xludf.DUMMYFUNCTION("""COMPUTED_VALUE"""),"")</f>
        <v/>
      </c>
      <c r="C22821" s="12" t="str">
        <f ca="1">IFERROR(__xludf.DUMMYFUNCTION("""COMPUTED_VALUE"""),"")</f>
        <v/>
      </c>
      <c r="D22821" s="12" t="str">
        <f ca="1">IFERROR(__xludf.DUMMYFUNCTION("""COMPUTED_VALUE"""),"")</f>
        <v/>
      </c>
    </row>
    <row r="22822" spans="2:4" ht="13">
      <c r="B22822" s="12" t="str">
        <f ca="1">IFERROR(__xludf.DUMMYFUNCTION("""COMPUTED_VALUE"""),"")</f>
        <v/>
      </c>
      <c r="C22822" s="12" t="str">
        <f ca="1">IFERROR(__xludf.DUMMYFUNCTION("""COMPUTED_VALUE"""),"")</f>
        <v/>
      </c>
      <c r="D22822" s="12" t="str">
        <f ca="1">IFERROR(__xludf.DUMMYFUNCTION("""COMPUTED_VALUE"""),"")</f>
        <v/>
      </c>
    </row>
    <row r="22823" spans="2:4" ht="13">
      <c r="B22823" s="12" t="str">
        <f ca="1">IFERROR(__xludf.DUMMYFUNCTION("""COMPUTED_VALUE"""),"")</f>
        <v/>
      </c>
      <c r="C22823" s="12" t="str">
        <f ca="1">IFERROR(__xludf.DUMMYFUNCTION("""COMPUTED_VALUE"""),"")</f>
        <v/>
      </c>
      <c r="D22823" s="12" t="str">
        <f ca="1">IFERROR(__xludf.DUMMYFUNCTION("""COMPUTED_VALUE"""),"")</f>
        <v/>
      </c>
    </row>
    <row r="22824" spans="2:4" ht="13">
      <c r="B22824" s="12" t="str">
        <f ca="1">IFERROR(__xludf.DUMMYFUNCTION("""COMPUTED_VALUE"""),"")</f>
        <v/>
      </c>
      <c r="C22824" s="12" t="str">
        <f ca="1">IFERROR(__xludf.DUMMYFUNCTION("""COMPUTED_VALUE"""),"")</f>
        <v/>
      </c>
      <c r="D22824" s="12" t="str">
        <f ca="1">IFERROR(__xludf.DUMMYFUNCTION("""COMPUTED_VALUE"""),"")</f>
        <v/>
      </c>
    </row>
    <row r="22825" spans="2:4" ht="13">
      <c r="B22825" s="12" t="str">
        <f ca="1">IFERROR(__xludf.DUMMYFUNCTION("""COMPUTED_VALUE"""),"")</f>
        <v/>
      </c>
      <c r="C22825" s="12" t="str">
        <f ca="1">IFERROR(__xludf.DUMMYFUNCTION("""COMPUTED_VALUE"""),"")</f>
        <v/>
      </c>
      <c r="D22825" s="12" t="str">
        <f ca="1">IFERROR(__xludf.DUMMYFUNCTION("""COMPUTED_VALUE"""),"")</f>
        <v/>
      </c>
    </row>
    <row r="22826" spans="2:4" ht="13">
      <c r="B22826" s="12" t="str">
        <f ca="1">IFERROR(__xludf.DUMMYFUNCTION("""COMPUTED_VALUE"""),"")</f>
        <v/>
      </c>
      <c r="C22826" s="12" t="str">
        <f ca="1">IFERROR(__xludf.DUMMYFUNCTION("""COMPUTED_VALUE"""),"")</f>
        <v/>
      </c>
      <c r="D22826" s="12" t="str">
        <f ca="1">IFERROR(__xludf.DUMMYFUNCTION("""COMPUTED_VALUE"""),"")</f>
        <v/>
      </c>
    </row>
    <row r="22827" spans="2:4" ht="13">
      <c r="B22827" s="12" t="str">
        <f ca="1">IFERROR(__xludf.DUMMYFUNCTION("""COMPUTED_VALUE"""),"")</f>
        <v/>
      </c>
      <c r="C22827" s="12" t="str">
        <f ca="1">IFERROR(__xludf.DUMMYFUNCTION("""COMPUTED_VALUE"""),"")</f>
        <v/>
      </c>
      <c r="D22827" s="12" t="str">
        <f ca="1">IFERROR(__xludf.DUMMYFUNCTION("""COMPUTED_VALUE"""),"")</f>
        <v/>
      </c>
    </row>
    <row r="22828" spans="2:4" ht="13">
      <c r="B22828" s="12" t="str">
        <f ca="1">IFERROR(__xludf.DUMMYFUNCTION("""COMPUTED_VALUE"""),"")</f>
        <v/>
      </c>
      <c r="C22828" s="12" t="str">
        <f ca="1">IFERROR(__xludf.DUMMYFUNCTION("""COMPUTED_VALUE"""),"")</f>
        <v/>
      </c>
      <c r="D22828" s="12" t="str">
        <f ca="1">IFERROR(__xludf.DUMMYFUNCTION("""COMPUTED_VALUE"""),"")</f>
        <v/>
      </c>
    </row>
    <row r="22829" spans="2:4" ht="13">
      <c r="B22829" s="12" t="str">
        <f ca="1">IFERROR(__xludf.DUMMYFUNCTION("""COMPUTED_VALUE"""),"")</f>
        <v/>
      </c>
      <c r="C22829" s="12" t="str">
        <f ca="1">IFERROR(__xludf.DUMMYFUNCTION("""COMPUTED_VALUE"""),"")</f>
        <v/>
      </c>
      <c r="D22829" s="12" t="str">
        <f ca="1">IFERROR(__xludf.DUMMYFUNCTION("""COMPUTED_VALUE"""),"")</f>
        <v/>
      </c>
    </row>
    <row r="22830" spans="2:4" ht="13">
      <c r="B22830" s="12" t="str">
        <f ca="1">IFERROR(__xludf.DUMMYFUNCTION("""COMPUTED_VALUE"""),"")</f>
        <v/>
      </c>
      <c r="C22830" s="12" t="str">
        <f ca="1">IFERROR(__xludf.DUMMYFUNCTION("""COMPUTED_VALUE"""),"")</f>
        <v/>
      </c>
      <c r="D22830" s="12" t="str">
        <f ca="1">IFERROR(__xludf.DUMMYFUNCTION("""COMPUTED_VALUE"""),"")</f>
        <v/>
      </c>
    </row>
    <row r="22831" spans="2:4" ht="13">
      <c r="B22831" s="12" t="str">
        <f ca="1">IFERROR(__xludf.DUMMYFUNCTION("""COMPUTED_VALUE"""),"")</f>
        <v/>
      </c>
      <c r="C22831" s="12" t="str">
        <f ca="1">IFERROR(__xludf.DUMMYFUNCTION("""COMPUTED_VALUE"""),"")</f>
        <v/>
      </c>
      <c r="D22831" s="12" t="str">
        <f ca="1">IFERROR(__xludf.DUMMYFUNCTION("""COMPUTED_VALUE"""),"")</f>
        <v/>
      </c>
    </row>
    <row r="22832" spans="2:4" ht="13">
      <c r="B22832" s="12" t="str">
        <f ca="1">IFERROR(__xludf.DUMMYFUNCTION("""COMPUTED_VALUE"""),"")</f>
        <v/>
      </c>
      <c r="C22832" s="12" t="str">
        <f ca="1">IFERROR(__xludf.DUMMYFUNCTION("""COMPUTED_VALUE"""),"")</f>
        <v/>
      </c>
      <c r="D22832" s="12" t="str">
        <f ca="1">IFERROR(__xludf.DUMMYFUNCTION("""COMPUTED_VALUE"""),"")</f>
        <v/>
      </c>
    </row>
    <row r="22833" spans="2:4" ht="13">
      <c r="B22833" s="12" t="str">
        <f ca="1">IFERROR(__xludf.DUMMYFUNCTION("""COMPUTED_VALUE"""),"")</f>
        <v/>
      </c>
      <c r="C22833" s="12" t="str">
        <f ca="1">IFERROR(__xludf.DUMMYFUNCTION("""COMPUTED_VALUE"""),"")</f>
        <v/>
      </c>
      <c r="D22833" s="12" t="str">
        <f ca="1">IFERROR(__xludf.DUMMYFUNCTION("""COMPUTED_VALUE"""),"")</f>
        <v/>
      </c>
    </row>
    <row r="22834" spans="2:4" ht="13">
      <c r="B22834" s="12" t="str">
        <f ca="1">IFERROR(__xludf.DUMMYFUNCTION("""COMPUTED_VALUE"""),"")</f>
        <v/>
      </c>
      <c r="C22834" s="12" t="str">
        <f ca="1">IFERROR(__xludf.DUMMYFUNCTION("""COMPUTED_VALUE"""),"")</f>
        <v/>
      </c>
      <c r="D22834" s="12" t="str">
        <f ca="1">IFERROR(__xludf.DUMMYFUNCTION("""COMPUTED_VALUE"""),"")</f>
        <v/>
      </c>
    </row>
    <row r="22835" spans="2:4" ht="13">
      <c r="B22835" s="12" t="str">
        <f ca="1">IFERROR(__xludf.DUMMYFUNCTION("""COMPUTED_VALUE"""),"")</f>
        <v/>
      </c>
      <c r="C22835" s="12" t="str">
        <f ca="1">IFERROR(__xludf.DUMMYFUNCTION("""COMPUTED_VALUE"""),"")</f>
        <v/>
      </c>
      <c r="D22835" s="12" t="str">
        <f ca="1">IFERROR(__xludf.DUMMYFUNCTION("""COMPUTED_VALUE"""),"")</f>
        <v/>
      </c>
    </row>
    <row r="22836" spans="2:4" ht="13">
      <c r="B22836" s="12" t="str">
        <f ca="1">IFERROR(__xludf.DUMMYFUNCTION("""COMPUTED_VALUE"""),"")</f>
        <v/>
      </c>
      <c r="C22836" s="12" t="str">
        <f ca="1">IFERROR(__xludf.DUMMYFUNCTION("""COMPUTED_VALUE"""),"")</f>
        <v/>
      </c>
      <c r="D22836" s="12" t="str">
        <f ca="1">IFERROR(__xludf.DUMMYFUNCTION("""COMPUTED_VALUE"""),"")</f>
        <v/>
      </c>
    </row>
    <row r="22837" spans="2:4" ht="13">
      <c r="B22837" s="12" t="str">
        <f ca="1">IFERROR(__xludf.DUMMYFUNCTION("""COMPUTED_VALUE"""),"")</f>
        <v/>
      </c>
      <c r="C22837" s="12" t="str">
        <f ca="1">IFERROR(__xludf.DUMMYFUNCTION("""COMPUTED_VALUE"""),"")</f>
        <v/>
      </c>
      <c r="D22837" s="12" t="str">
        <f ca="1">IFERROR(__xludf.DUMMYFUNCTION("""COMPUTED_VALUE"""),"")</f>
        <v/>
      </c>
    </row>
    <row r="22838" spans="2:4" ht="13">
      <c r="B22838" s="12" t="str">
        <f ca="1">IFERROR(__xludf.DUMMYFUNCTION("""COMPUTED_VALUE"""),"")</f>
        <v/>
      </c>
      <c r="C22838" s="12" t="str">
        <f ca="1">IFERROR(__xludf.DUMMYFUNCTION("""COMPUTED_VALUE"""),"")</f>
        <v/>
      </c>
      <c r="D22838" s="12" t="str">
        <f ca="1">IFERROR(__xludf.DUMMYFUNCTION("""COMPUTED_VALUE"""),"")</f>
        <v/>
      </c>
    </row>
    <row r="22839" spans="2:4" ht="13">
      <c r="B22839" s="12" t="str">
        <f ca="1">IFERROR(__xludf.DUMMYFUNCTION("""COMPUTED_VALUE"""),"")</f>
        <v/>
      </c>
      <c r="C22839" s="12" t="str">
        <f ca="1">IFERROR(__xludf.DUMMYFUNCTION("""COMPUTED_VALUE"""),"")</f>
        <v/>
      </c>
      <c r="D22839" s="12" t="str">
        <f ca="1">IFERROR(__xludf.DUMMYFUNCTION("""COMPUTED_VALUE"""),"")</f>
        <v/>
      </c>
    </row>
    <row r="22840" spans="2:4" ht="13">
      <c r="B22840" s="12" t="str">
        <f ca="1">IFERROR(__xludf.DUMMYFUNCTION("""COMPUTED_VALUE"""),"")</f>
        <v/>
      </c>
      <c r="C22840" s="12" t="str">
        <f ca="1">IFERROR(__xludf.DUMMYFUNCTION("""COMPUTED_VALUE"""),"")</f>
        <v/>
      </c>
      <c r="D22840" s="12" t="str">
        <f ca="1">IFERROR(__xludf.DUMMYFUNCTION("""COMPUTED_VALUE"""),"")</f>
        <v/>
      </c>
    </row>
    <row r="22841" spans="2:4" ht="13">
      <c r="B22841" s="12" t="str">
        <f ca="1">IFERROR(__xludf.DUMMYFUNCTION("""COMPUTED_VALUE"""),"")</f>
        <v/>
      </c>
      <c r="C22841" s="12" t="str">
        <f ca="1">IFERROR(__xludf.DUMMYFUNCTION("""COMPUTED_VALUE"""),"")</f>
        <v/>
      </c>
      <c r="D22841" s="12" t="str">
        <f ca="1">IFERROR(__xludf.DUMMYFUNCTION("""COMPUTED_VALUE"""),"")</f>
        <v/>
      </c>
    </row>
    <row r="22842" spans="2:4" ht="13">
      <c r="B22842" s="12" t="str">
        <f ca="1">IFERROR(__xludf.DUMMYFUNCTION("""COMPUTED_VALUE"""),"")</f>
        <v/>
      </c>
      <c r="C22842" s="12" t="str">
        <f ca="1">IFERROR(__xludf.DUMMYFUNCTION("""COMPUTED_VALUE"""),"")</f>
        <v/>
      </c>
      <c r="D22842" s="12" t="str">
        <f ca="1">IFERROR(__xludf.DUMMYFUNCTION("""COMPUTED_VALUE"""),"")</f>
        <v/>
      </c>
    </row>
    <row r="22843" spans="2:4" ht="13">
      <c r="B22843" s="12" t="str">
        <f ca="1">IFERROR(__xludf.DUMMYFUNCTION("""COMPUTED_VALUE"""),"")</f>
        <v/>
      </c>
      <c r="C22843" s="12" t="str">
        <f ca="1">IFERROR(__xludf.DUMMYFUNCTION("""COMPUTED_VALUE"""),"")</f>
        <v/>
      </c>
      <c r="D22843" s="12" t="str">
        <f ca="1">IFERROR(__xludf.DUMMYFUNCTION("""COMPUTED_VALUE"""),"")</f>
        <v/>
      </c>
    </row>
    <row r="22844" spans="2:4" ht="13">
      <c r="B22844" s="12" t="str">
        <f ca="1">IFERROR(__xludf.DUMMYFUNCTION("""COMPUTED_VALUE"""),"")</f>
        <v/>
      </c>
      <c r="C22844" s="12" t="str">
        <f ca="1">IFERROR(__xludf.DUMMYFUNCTION("""COMPUTED_VALUE"""),"")</f>
        <v/>
      </c>
      <c r="D22844" s="12" t="str">
        <f ca="1">IFERROR(__xludf.DUMMYFUNCTION("""COMPUTED_VALUE"""),"")</f>
        <v/>
      </c>
    </row>
    <row r="22845" spans="2:4" ht="13">
      <c r="B22845" s="12" t="str">
        <f ca="1">IFERROR(__xludf.DUMMYFUNCTION("""COMPUTED_VALUE"""),"")</f>
        <v/>
      </c>
      <c r="C22845" s="12" t="str">
        <f ca="1">IFERROR(__xludf.DUMMYFUNCTION("""COMPUTED_VALUE"""),"")</f>
        <v/>
      </c>
      <c r="D22845" s="12" t="str">
        <f ca="1">IFERROR(__xludf.DUMMYFUNCTION("""COMPUTED_VALUE"""),"")</f>
        <v/>
      </c>
    </row>
    <row r="22846" spans="2:4" ht="13">
      <c r="B22846" s="12" t="str">
        <f ca="1">IFERROR(__xludf.DUMMYFUNCTION("""COMPUTED_VALUE"""),"")</f>
        <v/>
      </c>
      <c r="C22846" s="12" t="str">
        <f ca="1">IFERROR(__xludf.DUMMYFUNCTION("""COMPUTED_VALUE"""),"")</f>
        <v/>
      </c>
      <c r="D22846" s="12" t="str">
        <f ca="1">IFERROR(__xludf.DUMMYFUNCTION("""COMPUTED_VALUE"""),"")</f>
        <v/>
      </c>
    </row>
    <row r="22847" spans="2:4" ht="13">
      <c r="B22847" s="12" t="str">
        <f ca="1">IFERROR(__xludf.DUMMYFUNCTION("""COMPUTED_VALUE"""),"")</f>
        <v/>
      </c>
      <c r="C22847" s="12" t="str">
        <f ca="1">IFERROR(__xludf.DUMMYFUNCTION("""COMPUTED_VALUE"""),"")</f>
        <v/>
      </c>
      <c r="D22847" s="12" t="str">
        <f ca="1">IFERROR(__xludf.DUMMYFUNCTION("""COMPUTED_VALUE"""),"")</f>
        <v/>
      </c>
    </row>
    <row r="22848" spans="2:4" ht="13">
      <c r="B22848" s="12" t="str">
        <f ca="1">IFERROR(__xludf.DUMMYFUNCTION("""COMPUTED_VALUE"""),"")</f>
        <v/>
      </c>
      <c r="C22848" s="12" t="str">
        <f ca="1">IFERROR(__xludf.DUMMYFUNCTION("""COMPUTED_VALUE"""),"")</f>
        <v/>
      </c>
      <c r="D22848" s="12" t="str">
        <f ca="1">IFERROR(__xludf.DUMMYFUNCTION("""COMPUTED_VALUE"""),"")</f>
        <v/>
      </c>
    </row>
    <row r="22849" spans="2:4" ht="13">
      <c r="B22849" s="12" t="str">
        <f ca="1">IFERROR(__xludf.DUMMYFUNCTION("""COMPUTED_VALUE"""),"")</f>
        <v/>
      </c>
      <c r="C22849" s="12" t="str">
        <f ca="1">IFERROR(__xludf.DUMMYFUNCTION("""COMPUTED_VALUE"""),"")</f>
        <v/>
      </c>
      <c r="D22849" s="12" t="str">
        <f ca="1">IFERROR(__xludf.DUMMYFUNCTION("""COMPUTED_VALUE"""),"")</f>
        <v/>
      </c>
    </row>
    <row r="22850" spans="2:4" ht="13">
      <c r="B22850" s="12" t="str">
        <f ca="1">IFERROR(__xludf.DUMMYFUNCTION("""COMPUTED_VALUE"""),"")</f>
        <v/>
      </c>
      <c r="C22850" s="12" t="str">
        <f ca="1">IFERROR(__xludf.DUMMYFUNCTION("""COMPUTED_VALUE"""),"")</f>
        <v/>
      </c>
      <c r="D22850" s="12" t="str">
        <f ca="1">IFERROR(__xludf.DUMMYFUNCTION("""COMPUTED_VALUE"""),"")</f>
        <v/>
      </c>
    </row>
    <row r="22851" spans="2:4" ht="13">
      <c r="B22851" s="12" t="str">
        <f ca="1">IFERROR(__xludf.DUMMYFUNCTION("""COMPUTED_VALUE"""),"")</f>
        <v/>
      </c>
      <c r="C22851" s="12" t="str">
        <f ca="1">IFERROR(__xludf.DUMMYFUNCTION("""COMPUTED_VALUE"""),"")</f>
        <v/>
      </c>
      <c r="D22851" s="12" t="str">
        <f ca="1">IFERROR(__xludf.DUMMYFUNCTION("""COMPUTED_VALUE"""),"")</f>
        <v/>
      </c>
    </row>
    <row r="22852" spans="2:4" ht="13">
      <c r="B22852" s="12" t="str">
        <f ca="1">IFERROR(__xludf.DUMMYFUNCTION("""COMPUTED_VALUE"""),"")</f>
        <v/>
      </c>
      <c r="C22852" s="12" t="str">
        <f ca="1">IFERROR(__xludf.DUMMYFUNCTION("""COMPUTED_VALUE"""),"")</f>
        <v/>
      </c>
      <c r="D22852" s="12" t="str">
        <f ca="1">IFERROR(__xludf.DUMMYFUNCTION("""COMPUTED_VALUE"""),"")</f>
        <v/>
      </c>
    </row>
    <row r="22853" spans="2:4" ht="13">
      <c r="B22853" s="12" t="str">
        <f ca="1">IFERROR(__xludf.DUMMYFUNCTION("""COMPUTED_VALUE"""),"")</f>
        <v/>
      </c>
      <c r="C22853" s="12" t="str">
        <f ca="1">IFERROR(__xludf.DUMMYFUNCTION("""COMPUTED_VALUE"""),"")</f>
        <v/>
      </c>
      <c r="D22853" s="12" t="str">
        <f ca="1">IFERROR(__xludf.DUMMYFUNCTION("""COMPUTED_VALUE"""),"")</f>
        <v/>
      </c>
    </row>
    <row r="22854" spans="2:4" ht="13">
      <c r="B22854" s="12" t="str">
        <f ca="1">IFERROR(__xludf.DUMMYFUNCTION("""COMPUTED_VALUE"""),"")</f>
        <v/>
      </c>
      <c r="C22854" s="12" t="str">
        <f ca="1">IFERROR(__xludf.DUMMYFUNCTION("""COMPUTED_VALUE"""),"")</f>
        <v/>
      </c>
      <c r="D22854" s="12" t="str">
        <f ca="1">IFERROR(__xludf.DUMMYFUNCTION("""COMPUTED_VALUE"""),"")</f>
        <v/>
      </c>
    </row>
    <row r="22855" spans="2:4" ht="13">
      <c r="B22855" s="12" t="str">
        <f ca="1">IFERROR(__xludf.DUMMYFUNCTION("""COMPUTED_VALUE"""),"")</f>
        <v/>
      </c>
      <c r="C22855" s="12" t="str">
        <f ca="1">IFERROR(__xludf.DUMMYFUNCTION("""COMPUTED_VALUE"""),"")</f>
        <v/>
      </c>
      <c r="D22855" s="12" t="str">
        <f ca="1">IFERROR(__xludf.DUMMYFUNCTION("""COMPUTED_VALUE"""),"")</f>
        <v/>
      </c>
    </row>
    <row r="22856" spans="2:4" ht="13">
      <c r="B22856" s="12" t="str">
        <f ca="1">IFERROR(__xludf.DUMMYFUNCTION("""COMPUTED_VALUE"""),"")</f>
        <v/>
      </c>
      <c r="C22856" s="12" t="str">
        <f ca="1">IFERROR(__xludf.DUMMYFUNCTION("""COMPUTED_VALUE"""),"")</f>
        <v/>
      </c>
      <c r="D22856" s="12" t="str">
        <f ca="1">IFERROR(__xludf.DUMMYFUNCTION("""COMPUTED_VALUE"""),"")</f>
        <v/>
      </c>
    </row>
    <row r="22857" spans="2:4" ht="13">
      <c r="B22857" s="12" t="str">
        <f ca="1">IFERROR(__xludf.DUMMYFUNCTION("""COMPUTED_VALUE"""),"")</f>
        <v/>
      </c>
      <c r="C22857" s="12" t="str">
        <f ca="1">IFERROR(__xludf.DUMMYFUNCTION("""COMPUTED_VALUE"""),"")</f>
        <v/>
      </c>
      <c r="D22857" s="12" t="str">
        <f ca="1">IFERROR(__xludf.DUMMYFUNCTION("""COMPUTED_VALUE"""),"")</f>
        <v/>
      </c>
    </row>
    <row r="22858" spans="2:4" ht="13">
      <c r="B22858" s="12" t="str">
        <f ca="1">IFERROR(__xludf.DUMMYFUNCTION("""COMPUTED_VALUE"""),"")</f>
        <v/>
      </c>
      <c r="C22858" s="12" t="str">
        <f ca="1">IFERROR(__xludf.DUMMYFUNCTION("""COMPUTED_VALUE"""),"")</f>
        <v/>
      </c>
      <c r="D22858" s="12" t="str">
        <f ca="1">IFERROR(__xludf.DUMMYFUNCTION("""COMPUTED_VALUE"""),"")</f>
        <v/>
      </c>
    </row>
    <row r="22859" spans="2:4" ht="13">
      <c r="B22859" s="12" t="str">
        <f ca="1">IFERROR(__xludf.DUMMYFUNCTION("""COMPUTED_VALUE"""),"")</f>
        <v/>
      </c>
      <c r="C22859" s="12" t="str">
        <f ca="1">IFERROR(__xludf.DUMMYFUNCTION("""COMPUTED_VALUE"""),"")</f>
        <v/>
      </c>
      <c r="D22859" s="12" t="str">
        <f ca="1">IFERROR(__xludf.DUMMYFUNCTION("""COMPUTED_VALUE"""),"")</f>
        <v/>
      </c>
    </row>
    <row r="22860" spans="2:4" ht="13">
      <c r="B22860" s="12" t="str">
        <f ca="1">IFERROR(__xludf.DUMMYFUNCTION("""COMPUTED_VALUE"""),"")</f>
        <v/>
      </c>
      <c r="C22860" s="12" t="str">
        <f ca="1">IFERROR(__xludf.DUMMYFUNCTION("""COMPUTED_VALUE"""),"")</f>
        <v/>
      </c>
      <c r="D22860" s="12" t="str">
        <f ca="1">IFERROR(__xludf.DUMMYFUNCTION("""COMPUTED_VALUE"""),"")</f>
        <v/>
      </c>
    </row>
    <row r="22861" spans="2:4" ht="13">
      <c r="B22861" s="12" t="str">
        <f ca="1">IFERROR(__xludf.DUMMYFUNCTION("""COMPUTED_VALUE"""),"")</f>
        <v/>
      </c>
      <c r="C22861" s="12" t="str">
        <f ca="1">IFERROR(__xludf.DUMMYFUNCTION("""COMPUTED_VALUE"""),"")</f>
        <v/>
      </c>
      <c r="D22861" s="12" t="str">
        <f ca="1">IFERROR(__xludf.DUMMYFUNCTION("""COMPUTED_VALUE"""),"")</f>
        <v/>
      </c>
    </row>
    <row r="22862" spans="2:4" ht="13">
      <c r="B22862" s="12" t="str">
        <f ca="1">IFERROR(__xludf.DUMMYFUNCTION("""COMPUTED_VALUE"""),"")</f>
        <v/>
      </c>
      <c r="C22862" s="12" t="str">
        <f ca="1">IFERROR(__xludf.DUMMYFUNCTION("""COMPUTED_VALUE"""),"")</f>
        <v/>
      </c>
      <c r="D22862" s="12" t="str">
        <f ca="1">IFERROR(__xludf.DUMMYFUNCTION("""COMPUTED_VALUE"""),"")</f>
        <v/>
      </c>
    </row>
    <row r="22863" spans="2:4" ht="13">
      <c r="B22863" s="12" t="str">
        <f ca="1">IFERROR(__xludf.DUMMYFUNCTION("""COMPUTED_VALUE"""),"")</f>
        <v/>
      </c>
      <c r="C22863" s="12" t="str">
        <f ca="1">IFERROR(__xludf.DUMMYFUNCTION("""COMPUTED_VALUE"""),"")</f>
        <v/>
      </c>
      <c r="D22863" s="12" t="str">
        <f ca="1">IFERROR(__xludf.DUMMYFUNCTION("""COMPUTED_VALUE"""),"")</f>
        <v/>
      </c>
    </row>
    <row r="22864" spans="2:4" ht="13">
      <c r="B22864" s="12" t="str">
        <f ca="1">IFERROR(__xludf.DUMMYFUNCTION("""COMPUTED_VALUE"""),"")</f>
        <v/>
      </c>
      <c r="C22864" s="12" t="str">
        <f ca="1">IFERROR(__xludf.DUMMYFUNCTION("""COMPUTED_VALUE"""),"")</f>
        <v/>
      </c>
      <c r="D22864" s="12" t="str">
        <f ca="1">IFERROR(__xludf.DUMMYFUNCTION("""COMPUTED_VALUE"""),"")</f>
        <v/>
      </c>
    </row>
    <row r="22865" spans="2:4" ht="13">
      <c r="B22865" s="12" t="str">
        <f ca="1">IFERROR(__xludf.DUMMYFUNCTION("""COMPUTED_VALUE"""),"")</f>
        <v/>
      </c>
      <c r="C22865" s="12" t="str">
        <f ca="1">IFERROR(__xludf.DUMMYFUNCTION("""COMPUTED_VALUE"""),"")</f>
        <v/>
      </c>
      <c r="D22865" s="12" t="str">
        <f ca="1">IFERROR(__xludf.DUMMYFUNCTION("""COMPUTED_VALUE"""),"")</f>
        <v/>
      </c>
    </row>
    <row r="22866" spans="2:4" ht="13">
      <c r="B22866" s="12" t="str">
        <f ca="1">IFERROR(__xludf.DUMMYFUNCTION("""COMPUTED_VALUE"""),"")</f>
        <v/>
      </c>
      <c r="C22866" s="12" t="str">
        <f ca="1">IFERROR(__xludf.DUMMYFUNCTION("""COMPUTED_VALUE"""),"")</f>
        <v/>
      </c>
      <c r="D22866" s="12" t="str">
        <f ca="1">IFERROR(__xludf.DUMMYFUNCTION("""COMPUTED_VALUE"""),"")</f>
        <v/>
      </c>
    </row>
    <row r="22867" spans="2:4" ht="13">
      <c r="B22867" s="12" t="str">
        <f ca="1">IFERROR(__xludf.DUMMYFUNCTION("""COMPUTED_VALUE"""),"")</f>
        <v/>
      </c>
      <c r="C22867" s="12" t="str">
        <f ca="1">IFERROR(__xludf.DUMMYFUNCTION("""COMPUTED_VALUE"""),"")</f>
        <v/>
      </c>
      <c r="D22867" s="12" t="str">
        <f ca="1">IFERROR(__xludf.DUMMYFUNCTION("""COMPUTED_VALUE"""),"")</f>
        <v/>
      </c>
    </row>
    <row r="22868" spans="2:4" ht="13">
      <c r="B22868" s="12" t="str">
        <f ca="1">IFERROR(__xludf.DUMMYFUNCTION("""COMPUTED_VALUE"""),"")</f>
        <v/>
      </c>
      <c r="C22868" s="12" t="str">
        <f ca="1">IFERROR(__xludf.DUMMYFUNCTION("""COMPUTED_VALUE"""),"")</f>
        <v/>
      </c>
      <c r="D22868" s="12" t="str">
        <f ca="1">IFERROR(__xludf.DUMMYFUNCTION("""COMPUTED_VALUE"""),"")</f>
        <v/>
      </c>
    </row>
    <row r="22869" spans="2:4" ht="13">
      <c r="B22869" s="12" t="str">
        <f ca="1">IFERROR(__xludf.DUMMYFUNCTION("""COMPUTED_VALUE"""),"")</f>
        <v/>
      </c>
      <c r="C22869" s="12" t="str">
        <f ca="1">IFERROR(__xludf.DUMMYFUNCTION("""COMPUTED_VALUE"""),"")</f>
        <v/>
      </c>
      <c r="D22869" s="12" t="str">
        <f ca="1">IFERROR(__xludf.DUMMYFUNCTION("""COMPUTED_VALUE"""),"")</f>
        <v/>
      </c>
    </row>
    <row r="22870" spans="2:4" ht="13">
      <c r="B22870" s="12" t="str">
        <f ca="1">IFERROR(__xludf.DUMMYFUNCTION("""COMPUTED_VALUE"""),"")</f>
        <v/>
      </c>
      <c r="C22870" s="12" t="str">
        <f ca="1">IFERROR(__xludf.DUMMYFUNCTION("""COMPUTED_VALUE"""),"")</f>
        <v/>
      </c>
      <c r="D22870" s="12" t="str">
        <f ca="1">IFERROR(__xludf.DUMMYFUNCTION("""COMPUTED_VALUE"""),"")</f>
        <v/>
      </c>
    </row>
    <row r="22871" spans="2:4" ht="13">
      <c r="B22871" s="12" t="str">
        <f ca="1">IFERROR(__xludf.DUMMYFUNCTION("""COMPUTED_VALUE"""),"")</f>
        <v/>
      </c>
      <c r="C22871" s="12" t="str">
        <f ca="1">IFERROR(__xludf.DUMMYFUNCTION("""COMPUTED_VALUE"""),"")</f>
        <v/>
      </c>
      <c r="D22871" s="12" t="str">
        <f ca="1">IFERROR(__xludf.DUMMYFUNCTION("""COMPUTED_VALUE"""),"")</f>
        <v/>
      </c>
    </row>
    <row r="22872" spans="2:4" ht="13">
      <c r="B22872" s="12" t="str">
        <f ca="1">IFERROR(__xludf.DUMMYFUNCTION("""COMPUTED_VALUE"""),"")</f>
        <v/>
      </c>
      <c r="C22872" s="12" t="str">
        <f ca="1">IFERROR(__xludf.DUMMYFUNCTION("""COMPUTED_VALUE"""),"")</f>
        <v/>
      </c>
      <c r="D22872" s="12" t="str">
        <f ca="1">IFERROR(__xludf.DUMMYFUNCTION("""COMPUTED_VALUE"""),"")</f>
        <v/>
      </c>
    </row>
    <row r="22873" spans="2:4" ht="13">
      <c r="B22873" s="12" t="str">
        <f ca="1">IFERROR(__xludf.DUMMYFUNCTION("""COMPUTED_VALUE"""),"")</f>
        <v/>
      </c>
      <c r="C22873" s="12" t="str">
        <f ca="1">IFERROR(__xludf.DUMMYFUNCTION("""COMPUTED_VALUE"""),"")</f>
        <v/>
      </c>
      <c r="D22873" s="12" t="str">
        <f ca="1">IFERROR(__xludf.DUMMYFUNCTION("""COMPUTED_VALUE"""),"")</f>
        <v/>
      </c>
    </row>
    <row r="22874" spans="2:4" ht="13">
      <c r="B22874" s="12" t="str">
        <f ca="1">IFERROR(__xludf.DUMMYFUNCTION("""COMPUTED_VALUE"""),"")</f>
        <v/>
      </c>
      <c r="C22874" s="12" t="str">
        <f ca="1">IFERROR(__xludf.DUMMYFUNCTION("""COMPUTED_VALUE"""),"")</f>
        <v/>
      </c>
      <c r="D22874" s="12" t="str">
        <f ca="1">IFERROR(__xludf.DUMMYFUNCTION("""COMPUTED_VALUE"""),"")</f>
        <v/>
      </c>
    </row>
    <row r="22875" spans="2:4" ht="13">
      <c r="B22875" s="12" t="str">
        <f ca="1">IFERROR(__xludf.DUMMYFUNCTION("""COMPUTED_VALUE"""),"")</f>
        <v/>
      </c>
      <c r="C22875" s="12" t="str">
        <f ca="1">IFERROR(__xludf.DUMMYFUNCTION("""COMPUTED_VALUE"""),"")</f>
        <v/>
      </c>
      <c r="D22875" s="12" t="str">
        <f ca="1">IFERROR(__xludf.DUMMYFUNCTION("""COMPUTED_VALUE"""),"")</f>
        <v/>
      </c>
    </row>
    <row r="22876" spans="2:4" ht="13">
      <c r="B22876" s="12" t="str">
        <f ca="1">IFERROR(__xludf.DUMMYFUNCTION("""COMPUTED_VALUE"""),"")</f>
        <v/>
      </c>
      <c r="C22876" s="12" t="str">
        <f ca="1">IFERROR(__xludf.DUMMYFUNCTION("""COMPUTED_VALUE"""),"")</f>
        <v/>
      </c>
      <c r="D22876" s="12" t="str">
        <f ca="1">IFERROR(__xludf.DUMMYFUNCTION("""COMPUTED_VALUE"""),"")</f>
        <v/>
      </c>
    </row>
    <row r="22877" spans="2:4" ht="13">
      <c r="B22877" s="12" t="str">
        <f ca="1">IFERROR(__xludf.DUMMYFUNCTION("""COMPUTED_VALUE"""),"")</f>
        <v/>
      </c>
      <c r="C22877" s="12" t="str">
        <f ca="1">IFERROR(__xludf.DUMMYFUNCTION("""COMPUTED_VALUE"""),"")</f>
        <v/>
      </c>
      <c r="D22877" s="12" t="str">
        <f ca="1">IFERROR(__xludf.DUMMYFUNCTION("""COMPUTED_VALUE"""),"")</f>
        <v/>
      </c>
    </row>
    <row r="22878" spans="2:4" ht="13">
      <c r="B22878" s="12" t="str">
        <f ca="1">IFERROR(__xludf.DUMMYFUNCTION("""COMPUTED_VALUE"""),"")</f>
        <v/>
      </c>
      <c r="C22878" s="12" t="str">
        <f ca="1">IFERROR(__xludf.DUMMYFUNCTION("""COMPUTED_VALUE"""),"")</f>
        <v/>
      </c>
      <c r="D22878" s="12" t="str">
        <f ca="1">IFERROR(__xludf.DUMMYFUNCTION("""COMPUTED_VALUE"""),"")</f>
        <v/>
      </c>
    </row>
    <row r="22879" spans="2:4" ht="13">
      <c r="B22879" s="12" t="str">
        <f ca="1">IFERROR(__xludf.DUMMYFUNCTION("""COMPUTED_VALUE"""),"")</f>
        <v/>
      </c>
      <c r="C22879" s="12" t="str">
        <f ca="1">IFERROR(__xludf.DUMMYFUNCTION("""COMPUTED_VALUE"""),"")</f>
        <v/>
      </c>
      <c r="D22879" s="12" t="str">
        <f ca="1">IFERROR(__xludf.DUMMYFUNCTION("""COMPUTED_VALUE"""),"")</f>
        <v/>
      </c>
    </row>
    <row r="22880" spans="2:4" ht="13">
      <c r="B22880" s="12" t="str">
        <f ca="1">IFERROR(__xludf.DUMMYFUNCTION("""COMPUTED_VALUE"""),"")</f>
        <v/>
      </c>
      <c r="C22880" s="12" t="str">
        <f ca="1">IFERROR(__xludf.DUMMYFUNCTION("""COMPUTED_VALUE"""),"")</f>
        <v/>
      </c>
      <c r="D22880" s="12" t="str">
        <f ca="1">IFERROR(__xludf.DUMMYFUNCTION("""COMPUTED_VALUE"""),"")</f>
        <v/>
      </c>
    </row>
    <row r="22881" spans="2:4" ht="13">
      <c r="B22881" s="12" t="str">
        <f ca="1">IFERROR(__xludf.DUMMYFUNCTION("""COMPUTED_VALUE"""),"")</f>
        <v/>
      </c>
      <c r="C22881" s="12" t="str">
        <f ca="1">IFERROR(__xludf.DUMMYFUNCTION("""COMPUTED_VALUE"""),"")</f>
        <v/>
      </c>
      <c r="D22881" s="12" t="str">
        <f ca="1">IFERROR(__xludf.DUMMYFUNCTION("""COMPUTED_VALUE"""),"")</f>
        <v/>
      </c>
    </row>
    <row r="22882" spans="2:4" ht="13">
      <c r="B22882" s="12" t="str">
        <f ca="1">IFERROR(__xludf.DUMMYFUNCTION("""COMPUTED_VALUE"""),"")</f>
        <v/>
      </c>
      <c r="C22882" s="12" t="str">
        <f ca="1">IFERROR(__xludf.DUMMYFUNCTION("""COMPUTED_VALUE"""),"")</f>
        <v/>
      </c>
      <c r="D22882" s="12" t="str">
        <f ca="1">IFERROR(__xludf.DUMMYFUNCTION("""COMPUTED_VALUE"""),"")</f>
        <v/>
      </c>
    </row>
    <row r="22883" spans="2:4" ht="13">
      <c r="B22883" s="12" t="str">
        <f ca="1">IFERROR(__xludf.DUMMYFUNCTION("""COMPUTED_VALUE"""),"")</f>
        <v/>
      </c>
      <c r="C22883" s="12" t="str">
        <f ca="1">IFERROR(__xludf.DUMMYFUNCTION("""COMPUTED_VALUE"""),"")</f>
        <v/>
      </c>
      <c r="D22883" s="12" t="str">
        <f ca="1">IFERROR(__xludf.DUMMYFUNCTION("""COMPUTED_VALUE"""),"")</f>
        <v/>
      </c>
    </row>
    <row r="22884" spans="2:4" ht="13">
      <c r="B22884" s="12" t="str">
        <f ca="1">IFERROR(__xludf.DUMMYFUNCTION("""COMPUTED_VALUE"""),"")</f>
        <v/>
      </c>
      <c r="C22884" s="12" t="str">
        <f ca="1">IFERROR(__xludf.DUMMYFUNCTION("""COMPUTED_VALUE"""),"")</f>
        <v/>
      </c>
      <c r="D22884" s="12" t="str">
        <f ca="1">IFERROR(__xludf.DUMMYFUNCTION("""COMPUTED_VALUE"""),"")</f>
        <v/>
      </c>
    </row>
    <row r="22885" spans="2:4" ht="13">
      <c r="B22885" s="12" t="str">
        <f ca="1">IFERROR(__xludf.DUMMYFUNCTION("""COMPUTED_VALUE"""),"")</f>
        <v/>
      </c>
      <c r="C22885" s="12" t="str">
        <f ca="1">IFERROR(__xludf.DUMMYFUNCTION("""COMPUTED_VALUE"""),"")</f>
        <v/>
      </c>
      <c r="D22885" s="12" t="str">
        <f ca="1">IFERROR(__xludf.DUMMYFUNCTION("""COMPUTED_VALUE"""),"")</f>
        <v/>
      </c>
    </row>
    <row r="22886" spans="2:4" ht="13">
      <c r="B22886" s="12" t="str">
        <f ca="1">IFERROR(__xludf.DUMMYFUNCTION("""COMPUTED_VALUE"""),"")</f>
        <v/>
      </c>
      <c r="C22886" s="12" t="str">
        <f ca="1">IFERROR(__xludf.DUMMYFUNCTION("""COMPUTED_VALUE"""),"")</f>
        <v/>
      </c>
      <c r="D22886" s="12" t="str">
        <f ca="1">IFERROR(__xludf.DUMMYFUNCTION("""COMPUTED_VALUE"""),"")</f>
        <v/>
      </c>
    </row>
    <row r="22887" spans="2:4" ht="13">
      <c r="B22887" s="12" t="str">
        <f ca="1">IFERROR(__xludf.DUMMYFUNCTION("""COMPUTED_VALUE"""),"")</f>
        <v/>
      </c>
      <c r="C22887" s="12" t="str">
        <f ca="1">IFERROR(__xludf.DUMMYFUNCTION("""COMPUTED_VALUE"""),"")</f>
        <v/>
      </c>
      <c r="D22887" s="12" t="str">
        <f ca="1">IFERROR(__xludf.DUMMYFUNCTION("""COMPUTED_VALUE"""),"")</f>
        <v/>
      </c>
    </row>
    <row r="22888" spans="2:4" ht="13">
      <c r="B22888" s="12" t="str">
        <f ca="1">IFERROR(__xludf.DUMMYFUNCTION("""COMPUTED_VALUE"""),"")</f>
        <v/>
      </c>
      <c r="C22888" s="12" t="str">
        <f ca="1">IFERROR(__xludf.DUMMYFUNCTION("""COMPUTED_VALUE"""),"")</f>
        <v/>
      </c>
      <c r="D22888" s="12" t="str">
        <f ca="1">IFERROR(__xludf.DUMMYFUNCTION("""COMPUTED_VALUE"""),"")</f>
        <v/>
      </c>
    </row>
    <row r="22889" spans="2:4" ht="13">
      <c r="B22889" s="12" t="str">
        <f ca="1">IFERROR(__xludf.DUMMYFUNCTION("""COMPUTED_VALUE"""),"")</f>
        <v/>
      </c>
      <c r="C22889" s="12" t="str">
        <f ca="1">IFERROR(__xludf.DUMMYFUNCTION("""COMPUTED_VALUE"""),"")</f>
        <v/>
      </c>
      <c r="D22889" s="12" t="str">
        <f ca="1">IFERROR(__xludf.DUMMYFUNCTION("""COMPUTED_VALUE"""),"")</f>
        <v/>
      </c>
    </row>
    <row r="22890" spans="2:4" ht="13">
      <c r="B22890" s="12" t="str">
        <f ca="1">IFERROR(__xludf.DUMMYFUNCTION("""COMPUTED_VALUE"""),"")</f>
        <v/>
      </c>
      <c r="C22890" s="12" t="str">
        <f ca="1">IFERROR(__xludf.DUMMYFUNCTION("""COMPUTED_VALUE"""),"")</f>
        <v/>
      </c>
      <c r="D22890" s="12" t="str">
        <f ca="1">IFERROR(__xludf.DUMMYFUNCTION("""COMPUTED_VALUE"""),"")</f>
        <v/>
      </c>
    </row>
    <row r="22891" spans="2:4" ht="13">
      <c r="B22891" s="12" t="str">
        <f ca="1">IFERROR(__xludf.DUMMYFUNCTION("""COMPUTED_VALUE"""),"")</f>
        <v/>
      </c>
      <c r="C22891" s="12" t="str">
        <f ca="1">IFERROR(__xludf.DUMMYFUNCTION("""COMPUTED_VALUE"""),"")</f>
        <v/>
      </c>
      <c r="D22891" s="12" t="str">
        <f ca="1">IFERROR(__xludf.DUMMYFUNCTION("""COMPUTED_VALUE"""),"")</f>
        <v/>
      </c>
    </row>
    <row r="22892" spans="2:4" ht="13">
      <c r="B22892" s="12" t="str">
        <f ca="1">IFERROR(__xludf.DUMMYFUNCTION("""COMPUTED_VALUE"""),"")</f>
        <v/>
      </c>
      <c r="C22892" s="12" t="str">
        <f ca="1">IFERROR(__xludf.DUMMYFUNCTION("""COMPUTED_VALUE"""),"")</f>
        <v/>
      </c>
      <c r="D22892" s="12" t="str">
        <f ca="1">IFERROR(__xludf.DUMMYFUNCTION("""COMPUTED_VALUE"""),"")</f>
        <v/>
      </c>
    </row>
    <row r="22893" spans="2:4" ht="13">
      <c r="B22893" s="12" t="str">
        <f ca="1">IFERROR(__xludf.DUMMYFUNCTION("""COMPUTED_VALUE"""),"")</f>
        <v/>
      </c>
      <c r="C22893" s="12" t="str">
        <f ca="1">IFERROR(__xludf.DUMMYFUNCTION("""COMPUTED_VALUE"""),"")</f>
        <v/>
      </c>
      <c r="D22893" s="12" t="str">
        <f ca="1">IFERROR(__xludf.DUMMYFUNCTION("""COMPUTED_VALUE"""),"")</f>
        <v/>
      </c>
    </row>
    <row r="22894" spans="2:4" ht="13">
      <c r="B22894" s="12" t="str">
        <f ca="1">IFERROR(__xludf.DUMMYFUNCTION("""COMPUTED_VALUE"""),"")</f>
        <v/>
      </c>
      <c r="C22894" s="12" t="str">
        <f ca="1">IFERROR(__xludf.DUMMYFUNCTION("""COMPUTED_VALUE"""),"")</f>
        <v/>
      </c>
      <c r="D22894" s="12" t="str">
        <f ca="1">IFERROR(__xludf.DUMMYFUNCTION("""COMPUTED_VALUE"""),"")</f>
        <v/>
      </c>
    </row>
    <row r="22895" spans="2:4" ht="13">
      <c r="B22895" s="12" t="str">
        <f ca="1">IFERROR(__xludf.DUMMYFUNCTION("""COMPUTED_VALUE"""),"")</f>
        <v/>
      </c>
      <c r="C22895" s="12" t="str">
        <f ca="1">IFERROR(__xludf.DUMMYFUNCTION("""COMPUTED_VALUE"""),"")</f>
        <v/>
      </c>
      <c r="D22895" s="12" t="str">
        <f ca="1">IFERROR(__xludf.DUMMYFUNCTION("""COMPUTED_VALUE"""),"")</f>
        <v/>
      </c>
    </row>
    <row r="22896" spans="2:4" ht="13">
      <c r="B22896" s="12" t="str">
        <f ca="1">IFERROR(__xludf.DUMMYFUNCTION("""COMPUTED_VALUE"""),"")</f>
        <v/>
      </c>
      <c r="C22896" s="12" t="str">
        <f ca="1">IFERROR(__xludf.DUMMYFUNCTION("""COMPUTED_VALUE"""),"")</f>
        <v/>
      </c>
      <c r="D22896" s="12" t="str">
        <f ca="1">IFERROR(__xludf.DUMMYFUNCTION("""COMPUTED_VALUE"""),"")</f>
        <v/>
      </c>
    </row>
    <row r="22897" spans="2:4" ht="13">
      <c r="B22897" s="12" t="str">
        <f ca="1">IFERROR(__xludf.DUMMYFUNCTION("""COMPUTED_VALUE"""),"")</f>
        <v/>
      </c>
      <c r="C22897" s="12" t="str">
        <f ca="1">IFERROR(__xludf.DUMMYFUNCTION("""COMPUTED_VALUE"""),"")</f>
        <v/>
      </c>
      <c r="D22897" s="12" t="str">
        <f ca="1">IFERROR(__xludf.DUMMYFUNCTION("""COMPUTED_VALUE"""),"")</f>
        <v/>
      </c>
    </row>
    <row r="22898" spans="2:4" ht="13">
      <c r="B22898" s="12" t="str">
        <f ca="1">IFERROR(__xludf.DUMMYFUNCTION("""COMPUTED_VALUE"""),"")</f>
        <v/>
      </c>
      <c r="C22898" s="12" t="str">
        <f ca="1">IFERROR(__xludf.DUMMYFUNCTION("""COMPUTED_VALUE"""),"")</f>
        <v/>
      </c>
      <c r="D22898" s="12" t="str">
        <f ca="1">IFERROR(__xludf.DUMMYFUNCTION("""COMPUTED_VALUE"""),"")</f>
        <v/>
      </c>
    </row>
    <row r="22899" spans="2:4" ht="13">
      <c r="B22899" s="12" t="str">
        <f ca="1">IFERROR(__xludf.DUMMYFUNCTION("""COMPUTED_VALUE"""),"")</f>
        <v/>
      </c>
      <c r="C22899" s="12" t="str">
        <f ca="1">IFERROR(__xludf.DUMMYFUNCTION("""COMPUTED_VALUE"""),"")</f>
        <v/>
      </c>
      <c r="D22899" s="12" t="str">
        <f ca="1">IFERROR(__xludf.DUMMYFUNCTION("""COMPUTED_VALUE"""),"")</f>
        <v/>
      </c>
    </row>
    <row r="22900" spans="2:4" ht="13">
      <c r="B22900" s="12" t="str">
        <f ca="1">IFERROR(__xludf.DUMMYFUNCTION("""COMPUTED_VALUE"""),"")</f>
        <v/>
      </c>
      <c r="C22900" s="12" t="str">
        <f ca="1">IFERROR(__xludf.DUMMYFUNCTION("""COMPUTED_VALUE"""),"")</f>
        <v/>
      </c>
      <c r="D22900" s="12" t="str">
        <f ca="1">IFERROR(__xludf.DUMMYFUNCTION("""COMPUTED_VALUE"""),"")</f>
        <v/>
      </c>
    </row>
    <row r="22901" spans="2:4" ht="13">
      <c r="B22901" s="12" t="str">
        <f ca="1">IFERROR(__xludf.DUMMYFUNCTION("""COMPUTED_VALUE"""),"")</f>
        <v/>
      </c>
      <c r="C22901" s="12" t="str">
        <f ca="1">IFERROR(__xludf.DUMMYFUNCTION("""COMPUTED_VALUE"""),"")</f>
        <v/>
      </c>
      <c r="D22901" s="12" t="str">
        <f ca="1">IFERROR(__xludf.DUMMYFUNCTION("""COMPUTED_VALUE"""),"")</f>
        <v/>
      </c>
    </row>
    <row r="22902" spans="2:4" ht="13">
      <c r="B22902" s="12" t="str">
        <f ca="1">IFERROR(__xludf.DUMMYFUNCTION("""COMPUTED_VALUE"""),"")</f>
        <v/>
      </c>
      <c r="C22902" s="12" t="str">
        <f ca="1">IFERROR(__xludf.DUMMYFUNCTION("""COMPUTED_VALUE"""),"")</f>
        <v/>
      </c>
      <c r="D22902" s="12" t="str">
        <f ca="1">IFERROR(__xludf.DUMMYFUNCTION("""COMPUTED_VALUE"""),"")</f>
        <v/>
      </c>
    </row>
    <row r="22903" spans="2:4" ht="13">
      <c r="B22903" s="12" t="str">
        <f ca="1">IFERROR(__xludf.DUMMYFUNCTION("""COMPUTED_VALUE"""),"")</f>
        <v/>
      </c>
      <c r="C22903" s="12" t="str">
        <f ca="1">IFERROR(__xludf.DUMMYFUNCTION("""COMPUTED_VALUE"""),"")</f>
        <v/>
      </c>
      <c r="D22903" s="12" t="str">
        <f ca="1">IFERROR(__xludf.DUMMYFUNCTION("""COMPUTED_VALUE"""),"")</f>
        <v/>
      </c>
    </row>
    <row r="22904" spans="2:4" ht="13">
      <c r="B22904" s="12" t="str">
        <f ca="1">IFERROR(__xludf.DUMMYFUNCTION("""COMPUTED_VALUE"""),"")</f>
        <v/>
      </c>
      <c r="C22904" s="12" t="str">
        <f ca="1">IFERROR(__xludf.DUMMYFUNCTION("""COMPUTED_VALUE"""),"")</f>
        <v/>
      </c>
      <c r="D22904" s="12" t="str">
        <f ca="1">IFERROR(__xludf.DUMMYFUNCTION("""COMPUTED_VALUE"""),"")</f>
        <v/>
      </c>
    </row>
    <row r="22905" spans="2:4" ht="13">
      <c r="B22905" s="12" t="str">
        <f ca="1">IFERROR(__xludf.DUMMYFUNCTION("""COMPUTED_VALUE"""),"")</f>
        <v/>
      </c>
      <c r="C22905" s="12" t="str">
        <f ca="1">IFERROR(__xludf.DUMMYFUNCTION("""COMPUTED_VALUE"""),"")</f>
        <v/>
      </c>
      <c r="D22905" s="12" t="str">
        <f ca="1">IFERROR(__xludf.DUMMYFUNCTION("""COMPUTED_VALUE"""),"")</f>
        <v/>
      </c>
    </row>
    <row r="22906" spans="2:4" ht="13">
      <c r="B22906" s="12" t="str">
        <f ca="1">IFERROR(__xludf.DUMMYFUNCTION("""COMPUTED_VALUE"""),"")</f>
        <v/>
      </c>
      <c r="C22906" s="12" t="str">
        <f ca="1">IFERROR(__xludf.DUMMYFUNCTION("""COMPUTED_VALUE"""),"")</f>
        <v/>
      </c>
      <c r="D22906" s="12" t="str">
        <f ca="1">IFERROR(__xludf.DUMMYFUNCTION("""COMPUTED_VALUE"""),"")</f>
        <v/>
      </c>
    </row>
    <row r="22907" spans="2:4" ht="13">
      <c r="B22907" s="12" t="str">
        <f ca="1">IFERROR(__xludf.DUMMYFUNCTION("""COMPUTED_VALUE"""),"")</f>
        <v/>
      </c>
      <c r="C22907" s="12" t="str">
        <f ca="1">IFERROR(__xludf.DUMMYFUNCTION("""COMPUTED_VALUE"""),"")</f>
        <v/>
      </c>
      <c r="D22907" s="12" t="str">
        <f ca="1">IFERROR(__xludf.DUMMYFUNCTION("""COMPUTED_VALUE"""),"")</f>
        <v/>
      </c>
    </row>
    <row r="22908" spans="2:4" ht="13">
      <c r="B22908" s="12" t="str">
        <f ca="1">IFERROR(__xludf.DUMMYFUNCTION("""COMPUTED_VALUE"""),"")</f>
        <v/>
      </c>
      <c r="C22908" s="12" t="str">
        <f ca="1">IFERROR(__xludf.DUMMYFUNCTION("""COMPUTED_VALUE"""),"")</f>
        <v/>
      </c>
      <c r="D22908" s="12" t="str">
        <f ca="1">IFERROR(__xludf.DUMMYFUNCTION("""COMPUTED_VALUE"""),"")</f>
        <v/>
      </c>
    </row>
    <row r="22909" spans="2:4" ht="13">
      <c r="B22909" s="12" t="str">
        <f ca="1">IFERROR(__xludf.DUMMYFUNCTION("""COMPUTED_VALUE"""),"")</f>
        <v/>
      </c>
      <c r="C22909" s="12" t="str">
        <f ca="1">IFERROR(__xludf.DUMMYFUNCTION("""COMPUTED_VALUE"""),"")</f>
        <v/>
      </c>
      <c r="D22909" s="12" t="str">
        <f ca="1">IFERROR(__xludf.DUMMYFUNCTION("""COMPUTED_VALUE"""),"")</f>
        <v/>
      </c>
    </row>
    <row r="22910" spans="2:4" ht="13">
      <c r="B22910" s="12" t="str">
        <f ca="1">IFERROR(__xludf.DUMMYFUNCTION("""COMPUTED_VALUE"""),"")</f>
        <v/>
      </c>
      <c r="C22910" s="12" t="str">
        <f ca="1">IFERROR(__xludf.DUMMYFUNCTION("""COMPUTED_VALUE"""),"")</f>
        <v/>
      </c>
      <c r="D22910" s="12" t="str">
        <f ca="1">IFERROR(__xludf.DUMMYFUNCTION("""COMPUTED_VALUE"""),"")</f>
        <v/>
      </c>
    </row>
    <row r="22911" spans="2:4" ht="13">
      <c r="B22911" s="12" t="str">
        <f ca="1">IFERROR(__xludf.DUMMYFUNCTION("""COMPUTED_VALUE"""),"")</f>
        <v/>
      </c>
      <c r="C22911" s="12" t="str">
        <f ca="1">IFERROR(__xludf.DUMMYFUNCTION("""COMPUTED_VALUE"""),"")</f>
        <v/>
      </c>
      <c r="D22911" s="12" t="str">
        <f ca="1">IFERROR(__xludf.DUMMYFUNCTION("""COMPUTED_VALUE"""),"")</f>
        <v/>
      </c>
    </row>
    <row r="22912" spans="2:4" ht="13">
      <c r="B22912" s="12" t="str">
        <f ca="1">IFERROR(__xludf.DUMMYFUNCTION("""COMPUTED_VALUE"""),"")</f>
        <v/>
      </c>
      <c r="C22912" s="12" t="str">
        <f ca="1">IFERROR(__xludf.DUMMYFUNCTION("""COMPUTED_VALUE"""),"")</f>
        <v/>
      </c>
      <c r="D22912" s="12" t="str">
        <f ca="1">IFERROR(__xludf.DUMMYFUNCTION("""COMPUTED_VALUE"""),"")</f>
        <v/>
      </c>
    </row>
    <row r="22913" spans="2:4" ht="13">
      <c r="B22913" s="12" t="str">
        <f ca="1">IFERROR(__xludf.DUMMYFUNCTION("""COMPUTED_VALUE"""),"")</f>
        <v/>
      </c>
      <c r="C22913" s="12" t="str">
        <f ca="1">IFERROR(__xludf.DUMMYFUNCTION("""COMPUTED_VALUE"""),"")</f>
        <v/>
      </c>
      <c r="D22913" s="12" t="str">
        <f ca="1">IFERROR(__xludf.DUMMYFUNCTION("""COMPUTED_VALUE"""),"")</f>
        <v/>
      </c>
    </row>
    <row r="22914" spans="2:4" ht="13">
      <c r="B22914" s="12" t="str">
        <f ca="1">IFERROR(__xludf.DUMMYFUNCTION("""COMPUTED_VALUE"""),"")</f>
        <v/>
      </c>
      <c r="C22914" s="12" t="str">
        <f ca="1">IFERROR(__xludf.DUMMYFUNCTION("""COMPUTED_VALUE"""),"")</f>
        <v/>
      </c>
      <c r="D22914" s="12" t="str">
        <f ca="1">IFERROR(__xludf.DUMMYFUNCTION("""COMPUTED_VALUE"""),"")</f>
        <v/>
      </c>
    </row>
    <row r="22915" spans="2:4" ht="13">
      <c r="B22915" s="12" t="str">
        <f ca="1">IFERROR(__xludf.DUMMYFUNCTION("""COMPUTED_VALUE"""),"")</f>
        <v/>
      </c>
      <c r="C22915" s="12" t="str">
        <f ca="1">IFERROR(__xludf.DUMMYFUNCTION("""COMPUTED_VALUE"""),"")</f>
        <v/>
      </c>
      <c r="D22915" s="12" t="str">
        <f ca="1">IFERROR(__xludf.DUMMYFUNCTION("""COMPUTED_VALUE"""),"")</f>
        <v/>
      </c>
    </row>
    <row r="22916" spans="2:4" ht="13">
      <c r="B22916" s="12" t="str">
        <f ca="1">IFERROR(__xludf.DUMMYFUNCTION("""COMPUTED_VALUE"""),"")</f>
        <v/>
      </c>
      <c r="C22916" s="12" t="str">
        <f ca="1">IFERROR(__xludf.DUMMYFUNCTION("""COMPUTED_VALUE"""),"")</f>
        <v/>
      </c>
      <c r="D22916" s="12" t="str">
        <f ca="1">IFERROR(__xludf.DUMMYFUNCTION("""COMPUTED_VALUE"""),"")</f>
        <v/>
      </c>
    </row>
    <row r="22917" spans="2:4" ht="13">
      <c r="B22917" s="12" t="str">
        <f ca="1">IFERROR(__xludf.DUMMYFUNCTION("""COMPUTED_VALUE"""),"")</f>
        <v/>
      </c>
      <c r="C22917" s="12" t="str">
        <f ca="1">IFERROR(__xludf.DUMMYFUNCTION("""COMPUTED_VALUE"""),"")</f>
        <v/>
      </c>
      <c r="D22917" s="12" t="str">
        <f ca="1">IFERROR(__xludf.DUMMYFUNCTION("""COMPUTED_VALUE"""),"")</f>
        <v/>
      </c>
    </row>
    <row r="22918" spans="2:4" ht="13">
      <c r="B22918" s="12" t="str">
        <f ca="1">IFERROR(__xludf.DUMMYFUNCTION("""COMPUTED_VALUE"""),"")</f>
        <v/>
      </c>
      <c r="C22918" s="12" t="str">
        <f ca="1">IFERROR(__xludf.DUMMYFUNCTION("""COMPUTED_VALUE"""),"")</f>
        <v/>
      </c>
      <c r="D22918" s="12" t="str">
        <f ca="1">IFERROR(__xludf.DUMMYFUNCTION("""COMPUTED_VALUE"""),"")</f>
        <v/>
      </c>
    </row>
    <row r="22919" spans="2:4" ht="13">
      <c r="B22919" s="12" t="str">
        <f ca="1">IFERROR(__xludf.DUMMYFUNCTION("""COMPUTED_VALUE"""),"")</f>
        <v/>
      </c>
      <c r="C22919" s="12" t="str">
        <f ca="1">IFERROR(__xludf.DUMMYFUNCTION("""COMPUTED_VALUE"""),"")</f>
        <v/>
      </c>
      <c r="D22919" s="12" t="str">
        <f ca="1">IFERROR(__xludf.DUMMYFUNCTION("""COMPUTED_VALUE"""),"")</f>
        <v/>
      </c>
    </row>
    <row r="22920" spans="2:4" ht="13">
      <c r="B22920" s="12" t="str">
        <f ca="1">IFERROR(__xludf.DUMMYFUNCTION("""COMPUTED_VALUE"""),"")</f>
        <v/>
      </c>
      <c r="C22920" s="12" t="str">
        <f ca="1">IFERROR(__xludf.DUMMYFUNCTION("""COMPUTED_VALUE"""),"")</f>
        <v/>
      </c>
      <c r="D22920" s="12" t="str">
        <f ca="1">IFERROR(__xludf.DUMMYFUNCTION("""COMPUTED_VALUE"""),"")</f>
        <v/>
      </c>
    </row>
    <row r="22921" spans="2:4" ht="13">
      <c r="B22921" s="12" t="str">
        <f ca="1">IFERROR(__xludf.DUMMYFUNCTION("""COMPUTED_VALUE"""),"")</f>
        <v/>
      </c>
      <c r="C22921" s="12" t="str">
        <f ca="1">IFERROR(__xludf.DUMMYFUNCTION("""COMPUTED_VALUE"""),"")</f>
        <v/>
      </c>
      <c r="D22921" s="12" t="str">
        <f ca="1">IFERROR(__xludf.DUMMYFUNCTION("""COMPUTED_VALUE"""),"")</f>
        <v/>
      </c>
    </row>
    <row r="22922" spans="2:4" ht="13">
      <c r="B22922" s="12" t="str">
        <f ca="1">IFERROR(__xludf.DUMMYFUNCTION("""COMPUTED_VALUE"""),"")</f>
        <v/>
      </c>
      <c r="C22922" s="12" t="str">
        <f ca="1">IFERROR(__xludf.DUMMYFUNCTION("""COMPUTED_VALUE"""),"")</f>
        <v/>
      </c>
      <c r="D22922" s="12" t="str">
        <f ca="1">IFERROR(__xludf.DUMMYFUNCTION("""COMPUTED_VALUE"""),"")</f>
        <v/>
      </c>
    </row>
    <row r="22923" spans="2:4" ht="13">
      <c r="B22923" s="12" t="str">
        <f ca="1">IFERROR(__xludf.DUMMYFUNCTION("""COMPUTED_VALUE"""),"")</f>
        <v/>
      </c>
      <c r="C22923" s="12" t="str">
        <f ca="1">IFERROR(__xludf.DUMMYFUNCTION("""COMPUTED_VALUE"""),"")</f>
        <v/>
      </c>
      <c r="D22923" s="12" t="str">
        <f ca="1">IFERROR(__xludf.DUMMYFUNCTION("""COMPUTED_VALUE"""),"")</f>
        <v/>
      </c>
    </row>
    <row r="22924" spans="2:4" ht="13">
      <c r="B22924" s="12" t="str">
        <f ca="1">IFERROR(__xludf.DUMMYFUNCTION("""COMPUTED_VALUE"""),"")</f>
        <v/>
      </c>
      <c r="C22924" s="12" t="str">
        <f ca="1">IFERROR(__xludf.DUMMYFUNCTION("""COMPUTED_VALUE"""),"")</f>
        <v/>
      </c>
      <c r="D22924" s="12" t="str">
        <f ca="1">IFERROR(__xludf.DUMMYFUNCTION("""COMPUTED_VALUE"""),"")</f>
        <v/>
      </c>
    </row>
    <row r="22925" spans="2:4" ht="13">
      <c r="B22925" s="12" t="str">
        <f ca="1">IFERROR(__xludf.DUMMYFUNCTION("""COMPUTED_VALUE"""),"")</f>
        <v/>
      </c>
      <c r="C22925" s="12" t="str">
        <f ca="1">IFERROR(__xludf.DUMMYFUNCTION("""COMPUTED_VALUE"""),"")</f>
        <v/>
      </c>
      <c r="D22925" s="12" t="str">
        <f ca="1">IFERROR(__xludf.DUMMYFUNCTION("""COMPUTED_VALUE"""),"")</f>
        <v/>
      </c>
    </row>
    <row r="22926" spans="2:4" ht="13">
      <c r="B22926" s="12" t="str">
        <f ca="1">IFERROR(__xludf.DUMMYFUNCTION("""COMPUTED_VALUE"""),"")</f>
        <v/>
      </c>
      <c r="C22926" s="12" t="str">
        <f ca="1">IFERROR(__xludf.DUMMYFUNCTION("""COMPUTED_VALUE"""),"")</f>
        <v/>
      </c>
      <c r="D22926" s="12" t="str">
        <f ca="1">IFERROR(__xludf.DUMMYFUNCTION("""COMPUTED_VALUE"""),"")</f>
        <v/>
      </c>
    </row>
    <row r="22927" spans="2:4" ht="13">
      <c r="B22927" s="12" t="str">
        <f ca="1">IFERROR(__xludf.DUMMYFUNCTION("""COMPUTED_VALUE"""),"")</f>
        <v/>
      </c>
      <c r="C22927" s="12" t="str">
        <f ca="1">IFERROR(__xludf.DUMMYFUNCTION("""COMPUTED_VALUE"""),"")</f>
        <v/>
      </c>
      <c r="D22927" s="12" t="str">
        <f ca="1">IFERROR(__xludf.DUMMYFUNCTION("""COMPUTED_VALUE"""),"")</f>
        <v/>
      </c>
    </row>
    <row r="22928" spans="2:4" ht="13">
      <c r="B22928" s="12" t="str">
        <f ca="1">IFERROR(__xludf.DUMMYFUNCTION("""COMPUTED_VALUE"""),"")</f>
        <v/>
      </c>
      <c r="C22928" s="12" t="str">
        <f ca="1">IFERROR(__xludf.DUMMYFUNCTION("""COMPUTED_VALUE"""),"")</f>
        <v/>
      </c>
      <c r="D22928" s="12" t="str">
        <f ca="1">IFERROR(__xludf.DUMMYFUNCTION("""COMPUTED_VALUE"""),"")</f>
        <v/>
      </c>
    </row>
    <row r="22929" spans="2:4" ht="13">
      <c r="B22929" s="12" t="str">
        <f ca="1">IFERROR(__xludf.DUMMYFUNCTION("""COMPUTED_VALUE"""),"")</f>
        <v/>
      </c>
      <c r="C22929" s="12" t="str">
        <f ca="1">IFERROR(__xludf.DUMMYFUNCTION("""COMPUTED_VALUE"""),"")</f>
        <v/>
      </c>
      <c r="D22929" s="12" t="str">
        <f ca="1">IFERROR(__xludf.DUMMYFUNCTION("""COMPUTED_VALUE"""),"")</f>
        <v/>
      </c>
    </row>
    <row r="22930" spans="2:4" ht="13">
      <c r="B22930" s="12" t="str">
        <f ca="1">IFERROR(__xludf.DUMMYFUNCTION("""COMPUTED_VALUE"""),"")</f>
        <v/>
      </c>
      <c r="C22930" s="12" t="str">
        <f ca="1">IFERROR(__xludf.DUMMYFUNCTION("""COMPUTED_VALUE"""),"")</f>
        <v/>
      </c>
      <c r="D22930" s="12" t="str">
        <f ca="1">IFERROR(__xludf.DUMMYFUNCTION("""COMPUTED_VALUE"""),"")</f>
        <v/>
      </c>
    </row>
    <row r="22931" spans="2:4" ht="13">
      <c r="B22931" s="12" t="str">
        <f ca="1">IFERROR(__xludf.DUMMYFUNCTION("""COMPUTED_VALUE"""),"")</f>
        <v/>
      </c>
      <c r="C22931" s="12" t="str">
        <f ca="1">IFERROR(__xludf.DUMMYFUNCTION("""COMPUTED_VALUE"""),"")</f>
        <v/>
      </c>
      <c r="D22931" s="12" t="str">
        <f ca="1">IFERROR(__xludf.DUMMYFUNCTION("""COMPUTED_VALUE"""),"")</f>
        <v/>
      </c>
    </row>
    <row r="22932" spans="2:4" ht="13">
      <c r="B22932" s="12" t="str">
        <f ca="1">IFERROR(__xludf.DUMMYFUNCTION("""COMPUTED_VALUE"""),"")</f>
        <v/>
      </c>
      <c r="C22932" s="12" t="str">
        <f ca="1">IFERROR(__xludf.DUMMYFUNCTION("""COMPUTED_VALUE"""),"")</f>
        <v/>
      </c>
      <c r="D22932" s="12" t="str">
        <f ca="1">IFERROR(__xludf.DUMMYFUNCTION("""COMPUTED_VALUE"""),"")</f>
        <v/>
      </c>
    </row>
    <row r="22933" spans="2:4" ht="13">
      <c r="B22933" s="12" t="str">
        <f ca="1">IFERROR(__xludf.DUMMYFUNCTION("""COMPUTED_VALUE"""),"")</f>
        <v/>
      </c>
      <c r="C22933" s="12" t="str">
        <f ca="1">IFERROR(__xludf.DUMMYFUNCTION("""COMPUTED_VALUE"""),"")</f>
        <v/>
      </c>
      <c r="D22933" s="12" t="str">
        <f ca="1">IFERROR(__xludf.DUMMYFUNCTION("""COMPUTED_VALUE"""),"")</f>
        <v/>
      </c>
    </row>
    <row r="22934" spans="2:4" ht="13">
      <c r="B22934" s="12" t="str">
        <f ca="1">IFERROR(__xludf.DUMMYFUNCTION("""COMPUTED_VALUE"""),"")</f>
        <v/>
      </c>
      <c r="C22934" s="12" t="str">
        <f ca="1">IFERROR(__xludf.DUMMYFUNCTION("""COMPUTED_VALUE"""),"")</f>
        <v/>
      </c>
      <c r="D22934" s="12" t="str">
        <f ca="1">IFERROR(__xludf.DUMMYFUNCTION("""COMPUTED_VALUE"""),"")</f>
        <v/>
      </c>
    </row>
    <row r="22935" spans="2:4" ht="13">
      <c r="B22935" s="12" t="str">
        <f ca="1">IFERROR(__xludf.DUMMYFUNCTION("""COMPUTED_VALUE"""),"")</f>
        <v/>
      </c>
      <c r="C22935" s="12" t="str">
        <f ca="1">IFERROR(__xludf.DUMMYFUNCTION("""COMPUTED_VALUE"""),"")</f>
        <v/>
      </c>
      <c r="D22935" s="12" t="str">
        <f ca="1">IFERROR(__xludf.DUMMYFUNCTION("""COMPUTED_VALUE"""),"")</f>
        <v/>
      </c>
    </row>
    <row r="22936" spans="2:4" ht="13">
      <c r="B22936" s="12" t="str">
        <f ca="1">IFERROR(__xludf.DUMMYFUNCTION("""COMPUTED_VALUE"""),"")</f>
        <v/>
      </c>
      <c r="C22936" s="12" t="str">
        <f ca="1">IFERROR(__xludf.DUMMYFUNCTION("""COMPUTED_VALUE"""),"")</f>
        <v/>
      </c>
      <c r="D22936" s="12" t="str">
        <f ca="1">IFERROR(__xludf.DUMMYFUNCTION("""COMPUTED_VALUE"""),"")</f>
        <v/>
      </c>
    </row>
    <row r="22937" spans="2:4" ht="13">
      <c r="B22937" s="12" t="str">
        <f ca="1">IFERROR(__xludf.DUMMYFUNCTION("""COMPUTED_VALUE"""),"")</f>
        <v/>
      </c>
      <c r="C22937" s="12" t="str">
        <f ca="1">IFERROR(__xludf.DUMMYFUNCTION("""COMPUTED_VALUE"""),"")</f>
        <v/>
      </c>
      <c r="D22937" s="12" t="str">
        <f ca="1">IFERROR(__xludf.DUMMYFUNCTION("""COMPUTED_VALUE"""),"")</f>
        <v/>
      </c>
    </row>
    <row r="22938" spans="2:4" ht="13">
      <c r="B22938" s="12" t="str">
        <f ca="1">IFERROR(__xludf.DUMMYFUNCTION("""COMPUTED_VALUE"""),"")</f>
        <v/>
      </c>
      <c r="C22938" s="12" t="str">
        <f ca="1">IFERROR(__xludf.DUMMYFUNCTION("""COMPUTED_VALUE"""),"")</f>
        <v/>
      </c>
      <c r="D22938" s="12" t="str">
        <f ca="1">IFERROR(__xludf.DUMMYFUNCTION("""COMPUTED_VALUE"""),"")</f>
        <v/>
      </c>
    </row>
    <row r="22939" spans="2:4" ht="13">
      <c r="B22939" s="12" t="str">
        <f ca="1">IFERROR(__xludf.DUMMYFUNCTION("""COMPUTED_VALUE"""),"")</f>
        <v/>
      </c>
      <c r="C22939" s="12" t="str">
        <f ca="1">IFERROR(__xludf.DUMMYFUNCTION("""COMPUTED_VALUE"""),"")</f>
        <v/>
      </c>
      <c r="D22939" s="12" t="str">
        <f ca="1">IFERROR(__xludf.DUMMYFUNCTION("""COMPUTED_VALUE"""),"")</f>
        <v/>
      </c>
    </row>
    <row r="22940" spans="2:4" ht="13">
      <c r="B22940" s="12" t="str">
        <f ca="1">IFERROR(__xludf.DUMMYFUNCTION("""COMPUTED_VALUE"""),"")</f>
        <v/>
      </c>
      <c r="C22940" s="12" t="str">
        <f ca="1">IFERROR(__xludf.DUMMYFUNCTION("""COMPUTED_VALUE"""),"")</f>
        <v/>
      </c>
      <c r="D22940" s="12" t="str">
        <f ca="1">IFERROR(__xludf.DUMMYFUNCTION("""COMPUTED_VALUE"""),"")</f>
        <v/>
      </c>
    </row>
    <row r="22941" spans="2:4" ht="13">
      <c r="B22941" s="12" t="str">
        <f ca="1">IFERROR(__xludf.DUMMYFUNCTION("""COMPUTED_VALUE"""),"")</f>
        <v/>
      </c>
      <c r="C22941" s="12" t="str">
        <f ca="1">IFERROR(__xludf.DUMMYFUNCTION("""COMPUTED_VALUE"""),"")</f>
        <v/>
      </c>
      <c r="D22941" s="12" t="str">
        <f ca="1">IFERROR(__xludf.DUMMYFUNCTION("""COMPUTED_VALUE"""),"")</f>
        <v/>
      </c>
    </row>
    <row r="22942" spans="2:4" ht="13">
      <c r="B22942" s="12" t="str">
        <f ca="1">IFERROR(__xludf.DUMMYFUNCTION("""COMPUTED_VALUE"""),"")</f>
        <v/>
      </c>
      <c r="C22942" s="12" t="str">
        <f ca="1">IFERROR(__xludf.DUMMYFUNCTION("""COMPUTED_VALUE"""),"")</f>
        <v/>
      </c>
      <c r="D22942" s="12" t="str">
        <f ca="1">IFERROR(__xludf.DUMMYFUNCTION("""COMPUTED_VALUE"""),"")</f>
        <v/>
      </c>
    </row>
    <row r="22943" spans="2:4" ht="13">
      <c r="B22943" s="12" t="str">
        <f ca="1">IFERROR(__xludf.DUMMYFUNCTION("""COMPUTED_VALUE"""),"")</f>
        <v/>
      </c>
      <c r="C22943" s="12" t="str">
        <f ca="1">IFERROR(__xludf.DUMMYFUNCTION("""COMPUTED_VALUE"""),"")</f>
        <v/>
      </c>
      <c r="D22943" s="12" t="str">
        <f ca="1">IFERROR(__xludf.DUMMYFUNCTION("""COMPUTED_VALUE"""),"")</f>
        <v/>
      </c>
    </row>
    <row r="22944" spans="2:4" ht="13">
      <c r="B22944" s="12" t="str">
        <f ca="1">IFERROR(__xludf.DUMMYFUNCTION("""COMPUTED_VALUE"""),"")</f>
        <v/>
      </c>
      <c r="C22944" s="12" t="str">
        <f ca="1">IFERROR(__xludf.DUMMYFUNCTION("""COMPUTED_VALUE"""),"")</f>
        <v/>
      </c>
      <c r="D22944" s="12" t="str">
        <f ca="1">IFERROR(__xludf.DUMMYFUNCTION("""COMPUTED_VALUE"""),"")</f>
        <v/>
      </c>
    </row>
    <row r="22945" spans="2:4" ht="13">
      <c r="B22945" s="12" t="str">
        <f ca="1">IFERROR(__xludf.DUMMYFUNCTION("""COMPUTED_VALUE"""),"")</f>
        <v/>
      </c>
      <c r="C22945" s="12" t="str">
        <f ca="1">IFERROR(__xludf.DUMMYFUNCTION("""COMPUTED_VALUE"""),"")</f>
        <v/>
      </c>
      <c r="D22945" s="12" t="str">
        <f ca="1">IFERROR(__xludf.DUMMYFUNCTION("""COMPUTED_VALUE"""),"")</f>
        <v/>
      </c>
    </row>
    <row r="22946" spans="2:4" ht="13">
      <c r="B22946" s="12" t="str">
        <f ca="1">IFERROR(__xludf.DUMMYFUNCTION("""COMPUTED_VALUE"""),"")</f>
        <v/>
      </c>
      <c r="C22946" s="12" t="str">
        <f ca="1">IFERROR(__xludf.DUMMYFUNCTION("""COMPUTED_VALUE"""),"")</f>
        <v/>
      </c>
      <c r="D22946" s="12" t="str">
        <f ca="1">IFERROR(__xludf.DUMMYFUNCTION("""COMPUTED_VALUE"""),"")</f>
        <v/>
      </c>
    </row>
    <row r="22947" spans="2:4" ht="13">
      <c r="B22947" s="12" t="str">
        <f ca="1">IFERROR(__xludf.DUMMYFUNCTION("""COMPUTED_VALUE"""),"")</f>
        <v/>
      </c>
      <c r="C22947" s="12" t="str">
        <f ca="1">IFERROR(__xludf.DUMMYFUNCTION("""COMPUTED_VALUE"""),"")</f>
        <v/>
      </c>
      <c r="D22947" s="12" t="str">
        <f ca="1">IFERROR(__xludf.DUMMYFUNCTION("""COMPUTED_VALUE"""),"")</f>
        <v/>
      </c>
    </row>
    <row r="22948" spans="2:4" ht="13">
      <c r="B22948" s="12" t="str">
        <f ca="1">IFERROR(__xludf.DUMMYFUNCTION("""COMPUTED_VALUE"""),"")</f>
        <v/>
      </c>
      <c r="C22948" s="12" t="str">
        <f ca="1">IFERROR(__xludf.DUMMYFUNCTION("""COMPUTED_VALUE"""),"")</f>
        <v/>
      </c>
      <c r="D22948" s="12" t="str">
        <f ca="1">IFERROR(__xludf.DUMMYFUNCTION("""COMPUTED_VALUE"""),"")</f>
        <v/>
      </c>
    </row>
    <row r="22949" spans="2:4" ht="13">
      <c r="B22949" s="12" t="str">
        <f ca="1">IFERROR(__xludf.DUMMYFUNCTION("""COMPUTED_VALUE"""),"")</f>
        <v/>
      </c>
      <c r="C22949" s="12" t="str">
        <f ca="1">IFERROR(__xludf.DUMMYFUNCTION("""COMPUTED_VALUE"""),"")</f>
        <v/>
      </c>
      <c r="D22949" s="12" t="str">
        <f ca="1">IFERROR(__xludf.DUMMYFUNCTION("""COMPUTED_VALUE"""),"")</f>
        <v/>
      </c>
    </row>
    <row r="22950" spans="2:4" ht="13">
      <c r="B22950" s="12" t="str">
        <f ca="1">IFERROR(__xludf.DUMMYFUNCTION("""COMPUTED_VALUE"""),"")</f>
        <v/>
      </c>
      <c r="C22950" s="12" t="str">
        <f ca="1">IFERROR(__xludf.DUMMYFUNCTION("""COMPUTED_VALUE"""),"")</f>
        <v/>
      </c>
      <c r="D22950" s="12" t="str">
        <f ca="1">IFERROR(__xludf.DUMMYFUNCTION("""COMPUTED_VALUE"""),"")</f>
        <v/>
      </c>
    </row>
    <row r="22951" spans="2:4" ht="13">
      <c r="B22951" s="12" t="str">
        <f ca="1">IFERROR(__xludf.DUMMYFUNCTION("""COMPUTED_VALUE"""),"")</f>
        <v/>
      </c>
      <c r="C22951" s="12" t="str">
        <f ca="1">IFERROR(__xludf.DUMMYFUNCTION("""COMPUTED_VALUE"""),"")</f>
        <v/>
      </c>
      <c r="D22951" s="12" t="str">
        <f ca="1">IFERROR(__xludf.DUMMYFUNCTION("""COMPUTED_VALUE"""),"")</f>
        <v/>
      </c>
    </row>
    <row r="22952" spans="2:4" ht="13">
      <c r="B22952" s="12" t="str">
        <f ca="1">IFERROR(__xludf.DUMMYFUNCTION("""COMPUTED_VALUE"""),"")</f>
        <v/>
      </c>
      <c r="C22952" s="12" t="str">
        <f ca="1">IFERROR(__xludf.DUMMYFUNCTION("""COMPUTED_VALUE"""),"")</f>
        <v/>
      </c>
      <c r="D22952" s="12" t="str">
        <f ca="1">IFERROR(__xludf.DUMMYFUNCTION("""COMPUTED_VALUE"""),"")</f>
        <v/>
      </c>
    </row>
    <row r="22953" spans="2:4" ht="13">
      <c r="B22953" s="12" t="str">
        <f ca="1">IFERROR(__xludf.DUMMYFUNCTION("""COMPUTED_VALUE"""),"")</f>
        <v/>
      </c>
      <c r="C22953" s="12" t="str">
        <f ca="1">IFERROR(__xludf.DUMMYFUNCTION("""COMPUTED_VALUE"""),"")</f>
        <v/>
      </c>
      <c r="D22953" s="12" t="str">
        <f ca="1">IFERROR(__xludf.DUMMYFUNCTION("""COMPUTED_VALUE"""),"")</f>
        <v/>
      </c>
    </row>
    <row r="22954" spans="2:4" ht="13">
      <c r="B22954" s="12" t="str">
        <f ca="1">IFERROR(__xludf.DUMMYFUNCTION("""COMPUTED_VALUE"""),"")</f>
        <v/>
      </c>
      <c r="C22954" s="12" t="str">
        <f ca="1">IFERROR(__xludf.DUMMYFUNCTION("""COMPUTED_VALUE"""),"")</f>
        <v/>
      </c>
      <c r="D22954" s="12" t="str">
        <f ca="1">IFERROR(__xludf.DUMMYFUNCTION("""COMPUTED_VALUE"""),"")</f>
        <v/>
      </c>
    </row>
    <row r="22955" spans="2:4" ht="13">
      <c r="B22955" s="12" t="str">
        <f ca="1">IFERROR(__xludf.DUMMYFUNCTION("""COMPUTED_VALUE"""),"")</f>
        <v/>
      </c>
      <c r="C22955" s="12" t="str">
        <f ca="1">IFERROR(__xludf.DUMMYFUNCTION("""COMPUTED_VALUE"""),"")</f>
        <v/>
      </c>
      <c r="D22955" s="12" t="str">
        <f ca="1">IFERROR(__xludf.DUMMYFUNCTION("""COMPUTED_VALUE"""),"")</f>
        <v/>
      </c>
    </row>
    <row r="22956" spans="2:4" ht="13">
      <c r="B22956" s="12" t="str">
        <f ca="1">IFERROR(__xludf.DUMMYFUNCTION("""COMPUTED_VALUE"""),"")</f>
        <v/>
      </c>
      <c r="C22956" s="12" t="str">
        <f ca="1">IFERROR(__xludf.DUMMYFUNCTION("""COMPUTED_VALUE"""),"")</f>
        <v/>
      </c>
      <c r="D22956" s="12" t="str">
        <f ca="1">IFERROR(__xludf.DUMMYFUNCTION("""COMPUTED_VALUE"""),"")</f>
        <v/>
      </c>
    </row>
    <row r="22957" spans="2:4" ht="13">
      <c r="B22957" s="12" t="str">
        <f ca="1">IFERROR(__xludf.DUMMYFUNCTION("""COMPUTED_VALUE"""),"")</f>
        <v/>
      </c>
      <c r="C22957" s="12" t="str">
        <f ca="1">IFERROR(__xludf.DUMMYFUNCTION("""COMPUTED_VALUE"""),"")</f>
        <v/>
      </c>
      <c r="D22957" s="12" t="str">
        <f ca="1">IFERROR(__xludf.DUMMYFUNCTION("""COMPUTED_VALUE"""),"")</f>
        <v/>
      </c>
    </row>
    <row r="22958" spans="2:4" ht="13">
      <c r="B22958" s="12" t="str">
        <f ca="1">IFERROR(__xludf.DUMMYFUNCTION("""COMPUTED_VALUE"""),"")</f>
        <v/>
      </c>
      <c r="C22958" s="12" t="str">
        <f ca="1">IFERROR(__xludf.DUMMYFUNCTION("""COMPUTED_VALUE"""),"")</f>
        <v/>
      </c>
      <c r="D22958" s="12" t="str">
        <f ca="1">IFERROR(__xludf.DUMMYFUNCTION("""COMPUTED_VALUE"""),"")</f>
        <v/>
      </c>
    </row>
    <row r="22959" spans="2:4" ht="13">
      <c r="B22959" s="12" t="str">
        <f ca="1">IFERROR(__xludf.DUMMYFUNCTION("""COMPUTED_VALUE"""),"")</f>
        <v/>
      </c>
      <c r="C22959" s="12" t="str">
        <f ca="1">IFERROR(__xludf.DUMMYFUNCTION("""COMPUTED_VALUE"""),"")</f>
        <v/>
      </c>
      <c r="D22959" s="12" t="str">
        <f ca="1">IFERROR(__xludf.DUMMYFUNCTION("""COMPUTED_VALUE"""),"")</f>
        <v/>
      </c>
    </row>
    <row r="22960" spans="2:4" ht="13">
      <c r="B22960" s="12" t="str">
        <f ca="1">IFERROR(__xludf.DUMMYFUNCTION("""COMPUTED_VALUE"""),"")</f>
        <v/>
      </c>
      <c r="C22960" s="12" t="str">
        <f ca="1">IFERROR(__xludf.DUMMYFUNCTION("""COMPUTED_VALUE"""),"")</f>
        <v/>
      </c>
      <c r="D22960" s="12" t="str">
        <f ca="1">IFERROR(__xludf.DUMMYFUNCTION("""COMPUTED_VALUE"""),"")</f>
        <v/>
      </c>
    </row>
    <row r="22961" spans="2:4" ht="13">
      <c r="B22961" s="12" t="str">
        <f ca="1">IFERROR(__xludf.DUMMYFUNCTION("""COMPUTED_VALUE"""),"")</f>
        <v/>
      </c>
      <c r="C22961" s="12" t="str">
        <f ca="1">IFERROR(__xludf.DUMMYFUNCTION("""COMPUTED_VALUE"""),"")</f>
        <v/>
      </c>
      <c r="D22961" s="12" t="str">
        <f ca="1">IFERROR(__xludf.DUMMYFUNCTION("""COMPUTED_VALUE"""),"")</f>
        <v/>
      </c>
    </row>
    <row r="22962" spans="2:4" ht="13">
      <c r="B22962" s="12" t="str">
        <f ca="1">IFERROR(__xludf.DUMMYFUNCTION("""COMPUTED_VALUE"""),"")</f>
        <v/>
      </c>
      <c r="C22962" s="12" t="str">
        <f ca="1">IFERROR(__xludf.DUMMYFUNCTION("""COMPUTED_VALUE"""),"")</f>
        <v/>
      </c>
      <c r="D22962" s="12" t="str">
        <f ca="1">IFERROR(__xludf.DUMMYFUNCTION("""COMPUTED_VALUE"""),"")</f>
        <v/>
      </c>
    </row>
    <row r="22963" spans="2:4" ht="13">
      <c r="B22963" s="12" t="str">
        <f ca="1">IFERROR(__xludf.DUMMYFUNCTION("""COMPUTED_VALUE"""),"")</f>
        <v/>
      </c>
      <c r="C22963" s="12" t="str">
        <f ca="1">IFERROR(__xludf.DUMMYFUNCTION("""COMPUTED_VALUE"""),"")</f>
        <v/>
      </c>
      <c r="D22963" s="12" t="str">
        <f ca="1">IFERROR(__xludf.DUMMYFUNCTION("""COMPUTED_VALUE"""),"")</f>
        <v/>
      </c>
    </row>
    <row r="22964" spans="2:4" ht="13">
      <c r="B22964" s="12" t="str">
        <f ca="1">IFERROR(__xludf.DUMMYFUNCTION("""COMPUTED_VALUE"""),"")</f>
        <v/>
      </c>
      <c r="C22964" s="12" t="str">
        <f ca="1">IFERROR(__xludf.DUMMYFUNCTION("""COMPUTED_VALUE"""),"")</f>
        <v/>
      </c>
      <c r="D22964" s="12" t="str">
        <f ca="1">IFERROR(__xludf.DUMMYFUNCTION("""COMPUTED_VALUE"""),"")</f>
        <v/>
      </c>
    </row>
    <row r="22965" spans="2:4" ht="13">
      <c r="B22965" s="12" t="str">
        <f ca="1">IFERROR(__xludf.DUMMYFUNCTION("""COMPUTED_VALUE"""),"")</f>
        <v/>
      </c>
      <c r="C22965" s="12" t="str">
        <f ca="1">IFERROR(__xludf.DUMMYFUNCTION("""COMPUTED_VALUE"""),"")</f>
        <v/>
      </c>
      <c r="D22965" s="12" t="str">
        <f ca="1">IFERROR(__xludf.DUMMYFUNCTION("""COMPUTED_VALUE"""),"")</f>
        <v/>
      </c>
    </row>
    <row r="22966" spans="2:4" ht="13">
      <c r="B22966" s="12" t="str">
        <f ca="1">IFERROR(__xludf.DUMMYFUNCTION("""COMPUTED_VALUE"""),"")</f>
        <v/>
      </c>
      <c r="C22966" s="12" t="str">
        <f ca="1">IFERROR(__xludf.DUMMYFUNCTION("""COMPUTED_VALUE"""),"")</f>
        <v/>
      </c>
      <c r="D22966" s="12" t="str">
        <f ca="1">IFERROR(__xludf.DUMMYFUNCTION("""COMPUTED_VALUE"""),"")</f>
        <v/>
      </c>
    </row>
    <row r="22967" spans="2:4" ht="13">
      <c r="B22967" s="12" t="str">
        <f ca="1">IFERROR(__xludf.DUMMYFUNCTION("""COMPUTED_VALUE"""),"")</f>
        <v/>
      </c>
      <c r="C22967" s="12" t="str">
        <f ca="1">IFERROR(__xludf.DUMMYFUNCTION("""COMPUTED_VALUE"""),"")</f>
        <v/>
      </c>
      <c r="D22967" s="12" t="str">
        <f ca="1">IFERROR(__xludf.DUMMYFUNCTION("""COMPUTED_VALUE"""),"")</f>
        <v/>
      </c>
    </row>
    <row r="22968" spans="2:4" ht="13">
      <c r="B22968" s="12" t="str">
        <f ca="1">IFERROR(__xludf.DUMMYFUNCTION("""COMPUTED_VALUE"""),"")</f>
        <v/>
      </c>
      <c r="C22968" s="12" t="str">
        <f ca="1">IFERROR(__xludf.DUMMYFUNCTION("""COMPUTED_VALUE"""),"")</f>
        <v/>
      </c>
      <c r="D22968" s="12" t="str">
        <f ca="1">IFERROR(__xludf.DUMMYFUNCTION("""COMPUTED_VALUE"""),"")</f>
        <v/>
      </c>
    </row>
    <row r="22969" spans="2:4" ht="13">
      <c r="B22969" s="12" t="str">
        <f ca="1">IFERROR(__xludf.DUMMYFUNCTION("""COMPUTED_VALUE"""),"")</f>
        <v/>
      </c>
      <c r="C22969" s="12" t="str">
        <f ca="1">IFERROR(__xludf.DUMMYFUNCTION("""COMPUTED_VALUE"""),"")</f>
        <v/>
      </c>
      <c r="D22969" s="12" t="str">
        <f ca="1">IFERROR(__xludf.DUMMYFUNCTION("""COMPUTED_VALUE"""),"")</f>
        <v/>
      </c>
    </row>
    <row r="22970" spans="2:4" ht="13">
      <c r="B22970" s="12" t="str">
        <f ca="1">IFERROR(__xludf.DUMMYFUNCTION("""COMPUTED_VALUE"""),"")</f>
        <v/>
      </c>
      <c r="C22970" s="12" t="str">
        <f ca="1">IFERROR(__xludf.DUMMYFUNCTION("""COMPUTED_VALUE"""),"")</f>
        <v/>
      </c>
      <c r="D22970" s="12" t="str">
        <f ca="1">IFERROR(__xludf.DUMMYFUNCTION("""COMPUTED_VALUE"""),"")</f>
        <v/>
      </c>
    </row>
    <row r="22971" spans="2:4" ht="13">
      <c r="B22971" s="12" t="str">
        <f ca="1">IFERROR(__xludf.DUMMYFUNCTION("""COMPUTED_VALUE"""),"")</f>
        <v/>
      </c>
      <c r="C22971" s="12" t="str">
        <f ca="1">IFERROR(__xludf.DUMMYFUNCTION("""COMPUTED_VALUE"""),"")</f>
        <v/>
      </c>
      <c r="D22971" s="12" t="str">
        <f ca="1">IFERROR(__xludf.DUMMYFUNCTION("""COMPUTED_VALUE"""),"")</f>
        <v/>
      </c>
    </row>
    <row r="22972" spans="2:4" ht="13">
      <c r="B22972" s="12" t="str">
        <f ca="1">IFERROR(__xludf.DUMMYFUNCTION("""COMPUTED_VALUE"""),"")</f>
        <v/>
      </c>
      <c r="C22972" s="12" t="str">
        <f ca="1">IFERROR(__xludf.DUMMYFUNCTION("""COMPUTED_VALUE"""),"")</f>
        <v/>
      </c>
      <c r="D22972" s="12" t="str">
        <f ca="1">IFERROR(__xludf.DUMMYFUNCTION("""COMPUTED_VALUE"""),"")</f>
        <v/>
      </c>
    </row>
    <row r="22973" spans="2:4" ht="13">
      <c r="B22973" s="12" t="str">
        <f ca="1">IFERROR(__xludf.DUMMYFUNCTION("""COMPUTED_VALUE"""),"")</f>
        <v/>
      </c>
      <c r="C22973" s="12" t="str">
        <f ca="1">IFERROR(__xludf.DUMMYFUNCTION("""COMPUTED_VALUE"""),"")</f>
        <v/>
      </c>
      <c r="D22973" s="12" t="str">
        <f ca="1">IFERROR(__xludf.DUMMYFUNCTION("""COMPUTED_VALUE"""),"")</f>
        <v/>
      </c>
    </row>
    <row r="22974" spans="2:4" ht="13">
      <c r="B22974" s="12" t="str">
        <f ca="1">IFERROR(__xludf.DUMMYFUNCTION("""COMPUTED_VALUE"""),"")</f>
        <v/>
      </c>
      <c r="C22974" s="12" t="str">
        <f ca="1">IFERROR(__xludf.DUMMYFUNCTION("""COMPUTED_VALUE"""),"")</f>
        <v/>
      </c>
      <c r="D22974" s="12" t="str">
        <f ca="1">IFERROR(__xludf.DUMMYFUNCTION("""COMPUTED_VALUE"""),"")</f>
        <v/>
      </c>
    </row>
    <row r="22975" spans="2:4" ht="13">
      <c r="B22975" s="12" t="str">
        <f ca="1">IFERROR(__xludf.DUMMYFUNCTION("""COMPUTED_VALUE"""),"")</f>
        <v/>
      </c>
      <c r="C22975" s="12" t="str">
        <f ca="1">IFERROR(__xludf.DUMMYFUNCTION("""COMPUTED_VALUE"""),"")</f>
        <v/>
      </c>
      <c r="D22975" s="12" t="str">
        <f ca="1">IFERROR(__xludf.DUMMYFUNCTION("""COMPUTED_VALUE"""),"")</f>
        <v/>
      </c>
    </row>
    <row r="22976" spans="2:4" ht="13">
      <c r="B22976" s="12" t="str">
        <f ca="1">IFERROR(__xludf.DUMMYFUNCTION("""COMPUTED_VALUE"""),"")</f>
        <v/>
      </c>
      <c r="C22976" s="12" t="str">
        <f ca="1">IFERROR(__xludf.DUMMYFUNCTION("""COMPUTED_VALUE"""),"")</f>
        <v/>
      </c>
      <c r="D22976" s="12" t="str">
        <f ca="1">IFERROR(__xludf.DUMMYFUNCTION("""COMPUTED_VALUE"""),"")</f>
        <v/>
      </c>
    </row>
    <row r="22977" spans="2:4" ht="13">
      <c r="B22977" s="12" t="str">
        <f ca="1">IFERROR(__xludf.DUMMYFUNCTION("""COMPUTED_VALUE"""),"")</f>
        <v/>
      </c>
      <c r="C22977" s="12" t="str">
        <f ca="1">IFERROR(__xludf.DUMMYFUNCTION("""COMPUTED_VALUE"""),"")</f>
        <v/>
      </c>
      <c r="D22977" s="12" t="str">
        <f ca="1">IFERROR(__xludf.DUMMYFUNCTION("""COMPUTED_VALUE"""),"")</f>
        <v/>
      </c>
    </row>
    <row r="22978" spans="2:4" ht="13">
      <c r="B22978" s="12" t="str">
        <f ca="1">IFERROR(__xludf.DUMMYFUNCTION("""COMPUTED_VALUE"""),"")</f>
        <v/>
      </c>
      <c r="C22978" s="12" t="str">
        <f ca="1">IFERROR(__xludf.DUMMYFUNCTION("""COMPUTED_VALUE"""),"")</f>
        <v/>
      </c>
      <c r="D22978" s="12" t="str">
        <f ca="1">IFERROR(__xludf.DUMMYFUNCTION("""COMPUTED_VALUE"""),"")</f>
        <v/>
      </c>
    </row>
    <row r="22979" spans="2:4" ht="13">
      <c r="B22979" s="12" t="str">
        <f ca="1">IFERROR(__xludf.DUMMYFUNCTION("""COMPUTED_VALUE"""),"")</f>
        <v/>
      </c>
      <c r="C22979" s="12" t="str">
        <f ca="1">IFERROR(__xludf.DUMMYFUNCTION("""COMPUTED_VALUE"""),"")</f>
        <v/>
      </c>
      <c r="D22979" s="12" t="str">
        <f ca="1">IFERROR(__xludf.DUMMYFUNCTION("""COMPUTED_VALUE"""),"")</f>
        <v/>
      </c>
    </row>
    <row r="22980" spans="2:4" ht="13">
      <c r="B22980" s="12" t="str">
        <f ca="1">IFERROR(__xludf.DUMMYFUNCTION("""COMPUTED_VALUE"""),"")</f>
        <v/>
      </c>
      <c r="C22980" s="12" t="str">
        <f ca="1">IFERROR(__xludf.DUMMYFUNCTION("""COMPUTED_VALUE"""),"")</f>
        <v/>
      </c>
      <c r="D22980" s="12" t="str">
        <f ca="1">IFERROR(__xludf.DUMMYFUNCTION("""COMPUTED_VALUE"""),"")</f>
        <v/>
      </c>
    </row>
    <row r="22981" spans="2:4" ht="13">
      <c r="B22981" s="12" t="str">
        <f ca="1">IFERROR(__xludf.DUMMYFUNCTION("""COMPUTED_VALUE"""),"")</f>
        <v/>
      </c>
      <c r="C22981" s="12" t="str">
        <f ca="1">IFERROR(__xludf.DUMMYFUNCTION("""COMPUTED_VALUE"""),"")</f>
        <v/>
      </c>
      <c r="D22981" s="12" t="str">
        <f ca="1">IFERROR(__xludf.DUMMYFUNCTION("""COMPUTED_VALUE"""),"")</f>
        <v/>
      </c>
    </row>
    <row r="22982" spans="2:4" ht="13">
      <c r="B22982" s="12" t="str">
        <f ca="1">IFERROR(__xludf.DUMMYFUNCTION("""COMPUTED_VALUE"""),"")</f>
        <v/>
      </c>
      <c r="C22982" s="12" t="str">
        <f ca="1">IFERROR(__xludf.DUMMYFUNCTION("""COMPUTED_VALUE"""),"")</f>
        <v/>
      </c>
      <c r="D22982" s="12" t="str">
        <f ca="1">IFERROR(__xludf.DUMMYFUNCTION("""COMPUTED_VALUE"""),"")</f>
        <v/>
      </c>
    </row>
    <row r="22983" spans="2:4" ht="13">
      <c r="B22983" s="12" t="str">
        <f ca="1">IFERROR(__xludf.DUMMYFUNCTION("""COMPUTED_VALUE"""),"")</f>
        <v/>
      </c>
      <c r="C22983" s="12" t="str">
        <f ca="1">IFERROR(__xludf.DUMMYFUNCTION("""COMPUTED_VALUE"""),"")</f>
        <v/>
      </c>
      <c r="D22983" s="12" t="str">
        <f ca="1">IFERROR(__xludf.DUMMYFUNCTION("""COMPUTED_VALUE"""),"")</f>
        <v/>
      </c>
    </row>
    <row r="22984" spans="2:4" ht="13">
      <c r="B22984" s="12" t="str">
        <f ca="1">IFERROR(__xludf.DUMMYFUNCTION("""COMPUTED_VALUE"""),"")</f>
        <v/>
      </c>
      <c r="C22984" s="12" t="str">
        <f ca="1">IFERROR(__xludf.DUMMYFUNCTION("""COMPUTED_VALUE"""),"")</f>
        <v/>
      </c>
      <c r="D22984" s="12" t="str">
        <f ca="1">IFERROR(__xludf.DUMMYFUNCTION("""COMPUTED_VALUE"""),"")</f>
        <v/>
      </c>
    </row>
    <row r="22985" spans="2:4" ht="13">
      <c r="B22985" s="12" t="str">
        <f ca="1">IFERROR(__xludf.DUMMYFUNCTION("""COMPUTED_VALUE"""),"")</f>
        <v/>
      </c>
      <c r="C22985" s="12" t="str">
        <f ca="1">IFERROR(__xludf.DUMMYFUNCTION("""COMPUTED_VALUE"""),"")</f>
        <v/>
      </c>
      <c r="D22985" s="12" t="str">
        <f ca="1">IFERROR(__xludf.DUMMYFUNCTION("""COMPUTED_VALUE"""),"")</f>
        <v/>
      </c>
    </row>
    <row r="22986" spans="2:4" ht="13">
      <c r="B22986" s="12" t="str">
        <f ca="1">IFERROR(__xludf.DUMMYFUNCTION("""COMPUTED_VALUE"""),"")</f>
        <v/>
      </c>
      <c r="C22986" s="12" t="str">
        <f ca="1">IFERROR(__xludf.DUMMYFUNCTION("""COMPUTED_VALUE"""),"")</f>
        <v/>
      </c>
      <c r="D22986" s="12" t="str">
        <f ca="1">IFERROR(__xludf.DUMMYFUNCTION("""COMPUTED_VALUE"""),"")</f>
        <v/>
      </c>
    </row>
    <row r="22987" spans="2:4" ht="13">
      <c r="B22987" s="12" t="str">
        <f ca="1">IFERROR(__xludf.DUMMYFUNCTION("""COMPUTED_VALUE"""),"")</f>
        <v/>
      </c>
      <c r="C22987" s="12" t="str">
        <f ca="1">IFERROR(__xludf.DUMMYFUNCTION("""COMPUTED_VALUE"""),"")</f>
        <v/>
      </c>
      <c r="D22987" s="12" t="str">
        <f ca="1">IFERROR(__xludf.DUMMYFUNCTION("""COMPUTED_VALUE"""),"")</f>
        <v/>
      </c>
    </row>
    <row r="22988" spans="2:4" ht="13">
      <c r="B22988" s="12" t="str">
        <f ca="1">IFERROR(__xludf.DUMMYFUNCTION("""COMPUTED_VALUE"""),"")</f>
        <v/>
      </c>
      <c r="C22988" s="12" t="str">
        <f ca="1">IFERROR(__xludf.DUMMYFUNCTION("""COMPUTED_VALUE"""),"")</f>
        <v/>
      </c>
      <c r="D22988" s="12" t="str">
        <f ca="1">IFERROR(__xludf.DUMMYFUNCTION("""COMPUTED_VALUE"""),"")</f>
        <v/>
      </c>
    </row>
    <row r="22989" spans="2:4" ht="13">
      <c r="B22989" s="12" t="str">
        <f ca="1">IFERROR(__xludf.DUMMYFUNCTION("""COMPUTED_VALUE"""),"")</f>
        <v/>
      </c>
      <c r="C22989" s="12" t="str">
        <f ca="1">IFERROR(__xludf.DUMMYFUNCTION("""COMPUTED_VALUE"""),"")</f>
        <v/>
      </c>
      <c r="D22989" s="12" t="str">
        <f ca="1">IFERROR(__xludf.DUMMYFUNCTION("""COMPUTED_VALUE"""),"")</f>
        <v/>
      </c>
    </row>
    <row r="22990" spans="2:4" ht="13">
      <c r="B22990" s="12" t="str">
        <f ca="1">IFERROR(__xludf.DUMMYFUNCTION("""COMPUTED_VALUE"""),"")</f>
        <v/>
      </c>
      <c r="C22990" s="12" t="str">
        <f ca="1">IFERROR(__xludf.DUMMYFUNCTION("""COMPUTED_VALUE"""),"")</f>
        <v/>
      </c>
      <c r="D22990" s="12" t="str">
        <f ca="1">IFERROR(__xludf.DUMMYFUNCTION("""COMPUTED_VALUE"""),"")</f>
        <v/>
      </c>
    </row>
    <row r="22991" spans="2:4" ht="13">
      <c r="B22991" s="12" t="str">
        <f ca="1">IFERROR(__xludf.DUMMYFUNCTION("""COMPUTED_VALUE"""),"")</f>
        <v/>
      </c>
      <c r="C22991" s="12" t="str">
        <f ca="1">IFERROR(__xludf.DUMMYFUNCTION("""COMPUTED_VALUE"""),"")</f>
        <v/>
      </c>
      <c r="D22991" s="12" t="str">
        <f ca="1">IFERROR(__xludf.DUMMYFUNCTION("""COMPUTED_VALUE"""),"")</f>
        <v/>
      </c>
    </row>
    <row r="22992" spans="2:4" ht="13">
      <c r="B22992" s="12" t="str">
        <f ca="1">IFERROR(__xludf.DUMMYFUNCTION("""COMPUTED_VALUE"""),"")</f>
        <v/>
      </c>
      <c r="C22992" s="12" t="str">
        <f ca="1">IFERROR(__xludf.DUMMYFUNCTION("""COMPUTED_VALUE"""),"")</f>
        <v/>
      </c>
      <c r="D22992" s="12" t="str">
        <f ca="1">IFERROR(__xludf.DUMMYFUNCTION("""COMPUTED_VALUE"""),"")</f>
        <v/>
      </c>
    </row>
    <row r="22993" spans="2:4" ht="13">
      <c r="B22993" s="12" t="str">
        <f ca="1">IFERROR(__xludf.DUMMYFUNCTION("""COMPUTED_VALUE"""),"")</f>
        <v/>
      </c>
      <c r="C22993" s="12" t="str">
        <f ca="1">IFERROR(__xludf.DUMMYFUNCTION("""COMPUTED_VALUE"""),"")</f>
        <v/>
      </c>
      <c r="D22993" s="12" t="str">
        <f ca="1">IFERROR(__xludf.DUMMYFUNCTION("""COMPUTED_VALUE"""),"")</f>
        <v/>
      </c>
    </row>
    <row r="22994" spans="2:4" ht="13">
      <c r="B22994" s="12" t="str">
        <f ca="1">IFERROR(__xludf.DUMMYFUNCTION("""COMPUTED_VALUE"""),"")</f>
        <v/>
      </c>
      <c r="C22994" s="12" t="str">
        <f ca="1">IFERROR(__xludf.DUMMYFUNCTION("""COMPUTED_VALUE"""),"")</f>
        <v/>
      </c>
      <c r="D22994" s="12" t="str">
        <f ca="1">IFERROR(__xludf.DUMMYFUNCTION("""COMPUTED_VALUE"""),"")</f>
        <v/>
      </c>
    </row>
    <row r="22995" spans="2:4" ht="13">
      <c r="B22995" s="12" t="str">
        <f ca="1">IFERROR(__xludf.DUMMYFUNCTION("""COMPUTED_VALUE"""),"")</f>
        <v/>
      </c>
      <c r="C22995" s="12" t="str">
        <f ca="1">IFERROR(__xludf.DUMMYFUNCTION("""COMPUTED_VALUE"""),"")</f>
        <v/>
      </c>
      <c r="D22995" s="12" t="str">
        <f ca="1">IFERROR(__xludf.DUMMYFUNCTION("""COMPUTED_VALUE"""),"")</f>
        <v/>
      </c>
    </row>
    <row r="22996" spans="2:4" ht="13">
      <c r="B22996" s="12" t="str">
        <f ca="1">IFERROR(__xludf.DUMMYFUNCTION("""COMPUTED_VALUE"""),"")</f>
        <v/>
      </c>
      <c r="C22996" s="12" t="str">
        <f ca="1">IFERROR(__xludf.DUMMYFUNCTION("""COMPUTED_VALUE"""),"")</f>
        <v/>
      </c>
      <c r="D22996" s="12" t="str">
        <f ca="1">IFERROR(__xludf.DUMMYFUNCTION("""COMPUTED_VALUE"""),"")</f>
        <v/>
      </c>
    </row>
    <row r="22997" spans="2:4" ht="13">
      <c r="B22997" s="12" t="str">
        <f ca="1">IFERROR(__xludf.DUMMYFUNCTION("""COMPUTED_VALUE"""),"")</f>
        <v/>
      </c>
      <c r="C22997" s="12" t="str">
        <f ca="1">IFERROR(__xludf.DUMMYFUNCTION("""COMPUTED_VALUE"""),"")</f>
        <v/>
      </c>
      <c r="D22997" s="12" t="str">
        <f ca="1">IFERROR(__xludf.DUMMYFUNCTION("""COMPUTED_VALUE"""),"")</f>
        <v/>
      </c>
    </row>
    <row r="22998" spans="2:4" ht="13">
      <c r="B22998" s="12" t="str">
        <f ca="1">IFERROR(__xludf.DUMMYFUNCTION("""COMPUTED_VALUE"""),"")</f>
        <v/>
      </c>
      <c r="C22998" s="12" t="str">
        <f ca="1">IFERROR(__xludf.DUMMYFUNCTION("""COMPUTED_VALUE"""),"")</f>
        <v/>
      </c>
      <c r="D22998" s="12" t="str">
        <f ca="1">IFERROR(__xludf.DUMMYFUNCTION("""COMPUTED_VALUE"""),"")</f>
        <v/>
      </c>
    </row>
    <row r="22999" spans="2:4" ht="13">
      <c r="B22999" s="12" t="str">
        <f ca="1">IFERROR(__xludf.DUMMYFUNCTION("""COMPUTED_VALUE"""),"")</f>
        <v/>
      </c>
      <c r="C22999" s="12" t="str">
        <f ca="1">IFERROR(__xludf.DUMMYFUNCTION("""COMPUTED_VALUE"""),"")</f>
        <v/>
      </c>
      <c r="D22999" s="12" t="str">
        <f ca="1">IFERROR(__xludf.DUMMYFUNCTION("""COMPUTED_VALUE"""),"")</f>
        <v/>
      </c>
    </row>
    <row r="23000" spans="2:4" ht="13">
      <c r="B23000" s="12" t="str">
        <f ca="1">IFERROR(__xludf.DUMMYFUNCTION("""COMPUTED_VALUE"""),"")</f>
        <v/>
      </c>
      <c r="C23000" s="12" t="str">
        <f ca="1">IFERROR(__xludf.DUMMYFUNCTION("""COMPUTED_VALUE"""),"")</f>
        <v/>
      </c>
      <c r="D23000" s="12" t="str">
        <f ca="1">IFERROR(__xludf.DUMMYFUNCTION("""COMPUTED_VALUE"""),"")</f>
        <v/>
      </c>
    </row>
    <row r="23001" spans="2:4" ht="13">
      <c r="B23001" s="12" t="str">
        <f ca="1">IFERROR(__xludf.DUMMYFUNCTION("""COMPUTED_VALUE"""),"")</f>
        <v/>
      </c>
      <c r="C23001" s="12" t="str">
        <f ca="1">IFERROR(__xludf.DUMMYFUNCTION("""COMPUTED_VALUE"""),"")</f>
        <v/>
      </c>
      <c r="D23001" s="12" t="str">
        <f ca="1">IFERROR(__xludf.DUMMYFUNCTION("""COMPUTED_VALUE"""),"")</f>
        <v/>
      </c>
    </row>
    <row r="23002" spans="2:4" ht="13">
      <c r="B23002" s="12" t="str">
        <f ca="1">IFERROR(__xludf.DUMMYFUNCTION("""COMPUTED_VALUE"""),"")</f>
        <v/>
      </c>
      <c r="C23002" s="12" t="str">
        <f ca="1">IFERROR(__xludf.DUMMYFUNCTION("""COMPUTED_VALUE"""),"")</f>
        <v/>
      </c>
      <c r="D23002" s="12" t="str">
        <f ca="1">IFERROR(__xludf.DUMMYFUNCTION("""COMPUTED_VALUE"""),"")</f>
        <v/>
      </c>
    </row>
    <row r="23003" spans="2:4" ht="13">
      <c r="B23003" s="12" t="str">
        <f ca="1">IFERROR(__xludf.DUMMYFUNCTION("""COMPUTED_VALUE"""),"")</f>
        <v/>
      </c>
      <c r="C23003" s="12" t="str">
        <f ca="1">IFERROR(__xludf.DUMMYFUNCTION("""COMPUTED_VALUE"""),"")</f>
        <v/>
      </c>
      <c r="D23003" s="12" t="str">
        <f ca="1">IFERROR(__xludf.DUMMYFUNCTION("""COMPUTED_VALUE"""),"")</f>
        <v/>
      </c>
    </row>
    <row r="23004" spans="2:4" ht="13">
      <c r="B23004" s="12" t="str">
        <f ca="1">IFERROR(__xludf.DUMMYFUNCTION("""COMPUTED_VALUE"""),"")</f>
        <v/>
      </c>
      <c r="C23004" s="12" t="str">
        <f ca="1">IFERROR(__xludf.DUMMYFUNCTION("""COMPUTED_VALUE"""),"")</f>
        <v/>
      </c>
      <c r="D23004" s="12" t="str">
        <f ca="1">IFERROR(__xludf.DUMMYFUNCTION("""COMPUTED_VALUE"""),"")</f>
        <v/>
      </c>
    </row>
    <row r="23005" spans="2:4" ht="13">
      <c r="B23005" s="12" t="str">
        <f ca="1">IFERROR(__xludf.DUMMYFUNCTION("""COMPUTED_VALUE"""),"")</f>
        <v/>
      </c>
      <c r="C23005" s="12" t="str">
        <f ca="1">IFERROR(__xludf.DUMMYFUNCTION("""COMPUTED_VALUE"""),"")</f>
        <v/>
      </c>
      <c r="D23005" s="12" t="str">
        <f ca="1">IFERROR(__xludf.DUMMYFUNCTION("""COMPUTED_VALUE"""),"")</f>
        <v/>
      </c>
    </row>
    <row r="23006" spans="2:4" ht="13">
      <c r="B23006" s="12" t="str">
        <f ca="1">IFERROR(__xludf.DUMMYFUNCTION("""COMPUTED_VALUE"""),"")</f>
        <v/>
      </c>
      <c r="C23006" s="12" t="str">
        <f ca="1">IFERROR(__xludf.DUMMYFUNCTION("""COMPUTED_VALUE"""),"")</f>
        <v/>
      </c>
      <c r="D23006" s="12" t="str">
        <f ca="1">IFERROR(__xludf.DUMMYFUNCTION("""COMPUTED_VALUE"""),"")</f>
        <v/>
      </c>
    </row>
    <row r="23007" spans="2:4" ht="13">
      <c r="B23007" s="12" t="str">
        <f ca="1">IFERROR(__xludf.DUMMYFUNCTION("""COMPUTED_VALUE"""),"")</f>
        <v/>
      </c>
      <c r="C23007" s="12" t="str">
        <f ca="1">IFERROR(__xludf.DUMMYFUNCTION("""COMPUTED_VALUE"""),"")</f>
        <v/>
      </c>
      <c r="D23007" s="12" t="str">
        <f ca="1">IFERROR(__xludf.DUMMYFUNCTION("""COMPUTED_VALUE"""),"")</f>
        <v/>
      </c>
    </row>
    <row r="23008" spans="2:4" ht="13">
      <c r="B23008" s="12" t="str">
        <f ca="1">IFERROR(__xludf.DUMMYFUNCTION("""COMPUTED_VALUE"""),"")</f>
        <v/>
      </c>
      <c r="C23008" s="12" t="str">
        <f ca="1">IFERROR(__xludf.DUMMYFUNCTION("""COMPUTED_VALUE"""),"")</f>
        <v/>
      </c>
      <c r="D23008" s="12" t="str">
        <f ca="1">IFERROR(__xludf.DUMMYFUNCTION("""COMPUTED_VALUE"""),"")</f>
        <v/>
      </c>
    </row>
    <row r="23009" spans="2:4" ht="13">
      <c r="B23009" s="12" t="str">
        <f ca="1">IFERROR(__xludf.DUMMYFUNCTION("""COMPUTED_VALUE"""),"")</f>
        <v/>
      </c>
      <c r="C23009" s="12" t="str">
        <f ca="1">IFERROR(__xludf.DUMMYFUNCTION("""COMPUTED_VALUE"""),"")</f>
        <v/>
      </c>
      <c r="D23009" s="12" t="str">
        <f ca="1">IFERROR(__xludf.DUMMYFUNCTION("""COMPUTED_VALUE"""),"")</f>
        <v/>
      </c>
    </row>
    <row r="23010" spans="2:4" ht="13">
      <c r="B23010" s="12" t="str">
        <f ca="1">IFERROR(__xludf.DUMMYFUNCTION("""COMPUTED_VALUE"""),"")</f>
        <v/>
      </c>
      <c r="C23010" s="12" t="str">
        <f ca="1">IFERROR(__xludf.DUMMYFUNCTION("""COMPUTED_VALUE"""),"")</f>
        <v/>
      </c>
      <c r="D23010" s="12" t="str">
        <f ca="1">IFERROR(__xludf.DUMMYFUNCTION("""COMPUTED_VALUE"""),"")</f>
        <v/>
      </c>
    </row>
    <row r="23011" spans="2:4" ht="13">
      <c r="B23011" s="12" t="str">
        <f ca="1">IFERROR(__xludf.DUMMYFUNCTION("""COMPUTED_VALUE"""),"")</f>
        <v/>
      </c>
      <c r="C23011" s="12" t="str">
        <f ca="1">IFERROR(__xludf.DUMMYFUNCTION("""COMPUTED_VALUE"""),"")</f>
        <v/>
      </c>
      <c r="D23011" s="12" t="str">
        <f ca="1">IFERROR(__xludf.DUMMYFUNCTION("""COMPUTED_VALUE"""),"")</f>
        <v/>
      </c>
    </row>
    <row r="23012" spans="2:4" ht="13">
      <c r="B23012" s="12" t="str">
        <f ca="1">IFERROR(__xludf.DUMMYFUNCTION("""COMPUTED_VALUE"""),"")</f>
        <v/>
      </c>
      <c r="C23012" s="12" t="str">
        <f ca="1">IFERROR(__xludf.DUMMYFUNCTION("""COMPUTED_VALUE"""),"")</f>
        <v/>
      </c>
      <c r="D23012" s="12" t="str">
        <f ca="1">IFERROR(__xludf.DUMMYFUNCTION("""COMPUTED_VALUE"""),"")</f>
        <v/>
      </c>
    </row>
    <row r="23013" spans="2:4" ht="13">
      <c r="B23013" s="12" t="str">
        <f ca="1">IFERROR(__xludf.DUMMYFUNCTION("""COMPUTED_VALUE"""),"")</f>
        <v/>
      </c>
      <c r="C23013" s="12" t="str">
        <f ca="1">IFERROR(__xludf.DUMMYFUNCTION("""COMPUTED_VALUE"""),"")</f>
        <v/>
      </c>
      <c r="D23013" s="12" t="str">
        <f ca="1">IFERROR(__xludf.DUMMYFUNCTION("""COMPUTED_VALUE"""),"")</f>
        <v/>
      </c>
    </row>
    <row r="23014" spans="2:4" ht="13">
      <c r="B23014" s="12" t="str">
        <f ca="1">IFERROR(__xludf.DUMMYFUNCTION("""COMPUTED_VALUE"""),"")</f>
        <v/>
      </c>
      <c r="C23014" s="12" t="str">
        <f ca="1">IFERROR(__xludf.DUMMYFUNCTION("""COMPUTED_VALUE"""),"")</f>
        <v/>
      </c>
      <c r="D23014" s="12" t="str">
        <f ca="1">IFERROR(__xludf.DUMMYFUNCTION("""COMPUTED_VALUE"""),"")</f>
        <v/>
      </c>
    </row>
    <row r="23015" spans="2:4" ht="13">
      <c r="B23015" s="12" t="str">
        <f ca="1">IFERROR(__xludf.DUMMYFUNCTION("""COMPUTED_VALUE"""),"")</f>
        <v/>
      </c>
      <c r="C23015" s="12" t="str">
        <f ca="1">IFERROR(__xludf.DUMMYFUNCTION("""COMPUTED_VALUE"""),"")</f>
        <v/>
      </c>
      <c r="D23015" s="12" t="str">
        <f ca="1">IFERROR(__xludf.DUMMYFUNCTION("""COMPUTED_VALUE"""),"")</f>
        <v/>
      </c>
    </row>
    <row r="23016" spans="2:4" ht="13">
      <c r="B23016" s="12" t="str">
        <f ca="1">IFERROR(__xludf.DUMMYFUNCTION("""COMPUTED_VALUE"""),"")</f>
        <v/>
      </c>
      <c r="C23016" s="12" t="str">
        <f ca="1">IFERROR(__xludf.DUMMYFUNCTION("""COMPUTED_VALUE"""),"")</f>
        <v/>
      </c>
      <c r="D23016" s="12" t="str">
        <f ca="1">IFERROR(__xludf.DUMMYFUNCTION("""COMPUTED_VALUE"""),"")</f>
        <v/>
      </c>
    </row>
    <row r="23017" spans="2:4" ht="13">
      <c r="B23017" s="12" t="str">
        <f ca="1">IFERROR(__xludf.DUMMYFUNCTION("""COMPUTED_VALUE"""),"")</f>
        <v/>
      </c>
      <c r="C23017" s="12" t="str">
        <f ca="1">IFERROR(__xludf.DUMMYFUNCTION("""COMPUTED_VALUE"""),"")</f>
        <v/>
      </c>
      <c r="D23017" s="12" t="str">
        <f ca="1">IFERROR(__xludf.DUMMYFUNCTION("""COMPUTED_VALUE"""),"")</f>
        <v/>
      </c>
    </row>
    <row r="23018" spans="2:4" ht="13">
      <c r="B23018" s="12" t="str">
        <f ca="1">IFERROR(__xludf.DUMMYFUNCTION("""COMPUTED_VALUE"""),"")</f>
        <v/>
      </c>
      <c r="C23018" s="12" t="str">
        <f ca="1">IFERROR(__xludf.DUMMYFUNCTION("""COMPUTED_VALUE"""),"")</f>
        <v/>
      </c>
      <c r="D23018" s="12" t="str">
        <f ca="1">IFERROR(__xludf.DUMMYFUNCTION("""COMPUTED_VALUE"""),"")</f>
        <v/>
      </c>
    </row>
    <row r="23019" spans="2:4" ht="13">
      <c r="B23019" s="12" t="str">
        <f ca="1">IFERROR(__xludf.DUMMYFUNCTION("""COMPUTED_VALUE"""),"")</f>
        <v/>
      </c>
      <c r="C23019" s="12" t="str">
        <f ca="1">IFERROR(__xludf.DUMMYFUNCTION("""COMPUTED_VALUE"""),"")</f>
        <v/>
      </c>
      <c r="D23019" s="12" t="str">
        <f ca="1">IFERROR(__xludf.DUMMYFUNCTION("""COMPUTED_VALUE"""),"")</f>
        <v/>
      </c>
    </row>
    <row r="23020" spans="2:4" ht="13">
      <c r="B23020" s="12" t="str">
        <f ca="1">IFERROR(__xludf.DUMMYFUNCTION("""COMPUTED_VALUE"""),"")</f>
        <v/>
      </c>
      <c r="C23020" s="12" t="str">
        <f ca="1">IFERROR(__xludf.DUMMYFUNCTION("""COMPUTED_VALUE"""),"")</f>
        <v/>
      </c>
      <c r="D23020" s="12" t="str">
        <f ca="1">IFERROR(__xludf.DUMMYFUNCTION("""COMPUTED_VALUE"""),"")</f>
        <v/>
      </c>
    </row>
    <row r="23021" spans="2:4" ht="13">
      <c r="B23021" s="12" t="str">
        <f ca="1">IFERROR(__xludf.DUMMYFUNCTION("""COMPUTED_VALUE"""),"")</f>
        <v/>
      </c>
      <c r="C23021" s="12" t="str">
        <f ca="1">IFERROR(__xludf.DUMMYFUNCTION("""COMPUTED_VALUE"""),"")</f>
        <v/>
      </c>
      <c r="D23021" s="12" t="str">
        <f ca="1">IFERROR(__xludf.DUMMYFUNCTION("""COMPUTED_VALUE"""),"")</f>
        <v/>
      </c>
    </row>
    <row r="23022" spans="2:4" ht="13">
      <c r="B23022" s="12" t="str">
        <f ca="1">IFERROR(__xludf.DUMMYFUNCTION("""COMPUTED_VALUE"""),"")</f>
        <v/>
      </c>
      <c r="C23022" s="12" t="str">
        <f ca="1">IFERROR(__xludf.DUMMYFUNCTION("""COMPUTED_VALUE"""),"")</f>
        <v/>
      </c>
      <c r="D23022" s="12" t="str">
        <f ca="1">IFERROR(__xludf.DUMMYFUNCTION("""COMPUTED_VALUE"""),"")</f>
        <v/>
      </c>
    </row>
    <row r="23023" spans="2:4" ht="13">
      <c r="B23023" s="12" t="str">
        <f ca="1">IFERROR(__xludf.DUMMYFUNCTION("""COMPUTED_VALUE"""),"")</f>
        <v/>
      </c>
      <c r="C23023" s="12" t="str">
        <f ca="1">IFERROR(__xludf.DUMMYFUNCTION("""COMPUTED_VALUE"""),"")</f>
        <v/>
      </c>
      <c r="D23023" s="12" t="str">
        <f ca="1">IFERROR(__xludf.DUMMYFUNCTION("""COMPUTED_VALUE"""),"")</f>
        <v/>
      </c>
    </row>
    <row r="23024" spans="2:4" ht="13">
      <c r="B23024" s="12" t="str">
        <f ca="1">IFERROR(__xludf.DUMMYFUNCTION("""COMPUTED_VALUE"""),"")</f>
        <v/>
      </c>
      <c r="C23024" s="12" t="str">
        <f ca="1">IFERROR(__xludf.DUMMYFUNCTION("""COMPUTED_VALUE"""),"")</f>
        <v/>
      </c>
      <c r="D23024" s="12" t="str">
        <f ca="1">IFERROR(__xludf.DUMMYFUNCTION("""COMPUTED_VALUE"""),"")</f>
        <v/>
      </c>
    </row>
    <row r="23025" spans="2:4" ht="13">
      <c r="B23025" s="12" t="str">
        <f ca="1">IFERROR(__xludf.DUMMYFUNCTION("""COMPUTED_VALUE"""),"")</f>
        <v/>
      </c>
      <c r="C23025" s="12" t="str">
        <f ca="1">IFERROR(__xludf.DUMMYFUNCTION("""COMPUTED_VALUE"""),"")</f>
        <v/>
      </c>
      <c r="D23025" s="12" t="str">
        <f ca="1">IFERROR(__xludf.DUMMYFUNCTION("""COMPUTED_VALUE"""),"")</f>
        <v/>
      </c>
    </row>
    <row r="23026" spans="2:4" ht="13">
      <c r="B23026" s="12" t="str">
        <f ca="1">IFERROR(__xludf.DUMMYFUNCTION("""COMPUTED_VALUE"""),"")</f>
        <v/>
      </c>
      <c r="C23026" s="12" t="str">
        <f ca="1">IFERROR(__xludf.DUMMYFUNCTION("""COMPUTED_VALUE"""),"")</f>
        <v/>
      </c>
      <c r="D23026" s="12" t="str">
        <f ca="1">IFERROR(__xludf.DUMMYFUNCTION("""COMPUTED_VALUE"""),"")</f>
        <v/>
      </c>
    </row>
    <row r="23027" spans="2:4" ht="13">
      <c r="B23027" s="12" t="str">
        <f ca="1">IFERROR(__xludf.DUMMYFUNCTION("""COMPUTED_VALUE"""),"")</f>
        <v/>
      </c>
      <c r="C23027" s="12" t="str">
        <f ca="1">IFERROR(__xludf.DUMMYFUNCTION("""COMPUTED_VALUE"""),"")</f>
        <v/>
      </c>
      <c r="D23027" s="12" t="str">
        <f ca="1">IFERROR(__xludf.DUMMYFUNCTION("""COMPUTED_VALUE"""),"")</f>
        <v/>
      </c>
    </row>
    <row r="23028" spans="2:4" ht="13">
      <c r="B23028" s="12" t="str">
        <f ca="1">IFERROR(__xludf.DUMMYFUNCTION("""COMPUTED_VALUE"""),"")</f>
        <v/>
      </c>
      <c r="C23028" s="12" t="str">
        <f ca="1">IFERROR(__xludf.DUMMYFUNCTION("""COMPUTED_VALUE"""),"")</f>
        <v/>
      </c>
      <c r="D23028" s="12" t="str">
        <f ca="1">IFERROR(__xludf.DUMMYFUNCTION("""COMPUTED_VALUE"""),"")</f>
        <v/>
      </c>
    </row>
    <row r="23029" spans="2:4" ht="13">
      <c r="B23029" s="12" t="str">
        <f ca="1">IFERROR(__xludf.DUMMYFUNCTION("""COMPUTED_VALUE"""),"")</f>
        <v/>
      </c>
      <c r="C23029" s="12" t="str">
        <f ca="1">IFERROR(__xludf.DUMMYFUNCTION("""COMPUTED_VALUE"""),"")</f>
        <v/>
      </c>
      <c r="D23029" s="12" t="str">
        <f ca="1">IFERROR(__xludf.DUMMYFUNCTION("""COMPUTED_VALUE"""),"")</f>
        <v/>
      </c>
    </row>
    <row r="23030" spans="2:4" ht="13">
      <c r="B23030" s="12" t="str">
        <f ca="1">IFERROR(__xludf.DUMMYFUNCTION("""COMPUTED_VALUE"""),"")</f>
        <v/>
      </c>
      <c r="C23030" s="12" t="str">
        <f ca="1">IFERROR(__xludf.DUMMYFUNCTION("""COMPUTED_VALUE"""),"")</f>
        <v/>
      </c>
      <c r="D23030" s="12" t="str">
        <f ca="1">IFERROR(__xludf.DUMMYFUNCTION("""COMPUTED_VALUE"""),"")</f>
        <v/>
      </c>
    </row>
    <row r="23031" spans="2:4" ht="13">
      <c r="B23031" s="12" t="str">
        <f ca="1">IFERROR(__xludf.DUMMYFUNCTION("""COMPUTED_VALUE"""),"")</f>
        <v/>
      </c>
      <c r="C23031" s="12" t="str">
        <f ca="1">IFERROR(__xludf.DUMMYFUNCTION("""COMPUTED_VALUE"""),"")</f>
        <v/>
      </c>
      <c r="D23031" s="12" t="str">
        <f ca="1">IFERROR(__xludf.DUMMYFUNCTION("""COMPUTED_VALUE"""),"")</f>
        <v/>
      </c>
    </row>
    <row r="23032" spans="2:4" ht="13">
      <c r="B23032" s="12" t="str">
        <f ca="1">IFERROR(__xludf.DUMMYFUNCTION("""COMPUTED_VALUE"""),"")</f>
        <v/>
      </c>
      <c r="C23032" s="12" t="str">
        <f ca="1">IFERROR(__xludf.DUMMYFUNCTION("""COMPUTED_VALUE"""),"")</f>
        <v/>
      </c>
      <c r="D23032" s="12" t="str">
        <f ca="1">IFERROR(__xludf.DUMMYFUNCTION("""COMPUTED_VALUE"""),"")</f>
        <v/>
      </c>
    </row>
    <row r="23033" spans="2:4" ht="13">
      <c r="B23033" s="12" t="str">
        <f ca="1">IFERROR(__xludf.DUMMYFUNCTION("""COMPUTED_VALUE"""),"")</f>
        <v/>
      </c>
      <c r="C23033" s="12" t="str">
        <f ca="1">IFERROR(__xludf.DUMMYFUNCTION("""COMPUTED_VALUE"""),"")</f>
        <v/>
      </c>
      <c r="D23033" s="12" t="str">
        <f ca="1">IFERROR(__xludf.DUMMYFUNCTION("""COMPUTED_VALUE"""),"")</f>
        <v/>
      </c>
    </row>
    <row r="23034" spans="2:4" ht="13">
      <c r="B23034" s="12" t="str">
        <f ca="1">IFERROR(__xludf.DUMMYFUNCTION("""COMPUTED_VALUE"""),"")</f>
        <v/>
      </c>
      <c r="C23034" s="12" t="str">
        <f ca="1">IFERROR(__xludf.DUMMYFUNCTION("""COMPUTED_VALUE"""),"")</f>
        <v/>
      </c>
      <c r="D23034" s="12" t="str">
        <f ca="1">IFERROR(__xludf.DUMMYFUNCTION("""COMPUTED_VALUE"""),"")</f>
        <v/>
      </c>
    </row>
    <row r="23035" spans="2:4" ht="13">
      <c r="B23035" s="12" t="str">
        <f ca="1">IFERROR(__xludf.DUMMYFUNCTION("""COMPUTED_VALUE"""),"")</f>
        <v/>
      </c>
      <c r="C23035" s="12" t="str">
        <f ca="1">IFERROR(__xludf.DUMMYFUNCTION("""COMPUTED_VALUE"""),"")</f>
        <v/>
      </c>
      <c r="D23035" s="12" t="str">
        <f ca="1">IFERROR(__xludf.DUMMYFUNCTION("""COMPUTED_VALUE"""),"")</f>
        <v/>
      </c>
    </row>
    <row r="23036" spans="2:4" ht="13">
      <c r="B23036" s="12" t="str">
        <f ca="1">IFERROR(__xludf.DUMMYFUNCTION("""COMPUTED_VALUE"""),"")</f>
        <v/>
      </c>
      <c r="C23036" s="12" t="str">
        <f ca="1">IFERROR(__xludf.DUMMYFUNCTION("""COMPUTED_VALUE"""),"")</f>
        <v/>
      </c>
      <c r="D23036" s="12" t="str">
        <f ca="1">IFERROR(__xludf.DUMMYFUNCTION("""COMPUTED_VALUE"""),"")</f>
        <v/>
      </c>
    </row>
    <row r="23037" spans="2:4" ht="13">
      <c r="B23037" s="12" t="str">
        <f ca="1">IFERROR(__xludf.DUMMYFUNCTION("""COMPUTED_VALUE"""),"")</f>
        <v/>
      </c>
      <c r="C23037" s="12" t="str">
        <f ca="1">IFERROR(__xludf.DUMMYFUNCTION("""COMPUTED_VALUE"""),"")</f>
        <v/>
      </c>
      <c r="D23037" s="12" t="str">
        <f ca="1">IFERROR(__xludf.DUMMYFUNCTION("""COMPUTED_VALUE"""),"")</f>
        <v/>
      </c>
    </row>
    <row r="23038" spans="2:4" ht="13">
      <c r="B23038" s="12" t="str">
        <f ca="1">IFERROR(__xludf.DUMMYFUNCTION("""COMPUTED_VALUE"""),"")</f>
        <v/>
      </c>
      <c r="C23038" s="12" t="str">
        <f ca="1">IFERROR(__xludf.DUMMYFUNCTION("""COMPUTED_VALUE"""),"")</f>
        <v/>
      </c>
      <c r="D23038" s="12" t="str">
        <f ca="1">IFERROR(__xludf.DUMMYFUNCTION("""COMPUTED_VALUE"""),"")</f>
        <v/>
      </c>
    </row>
    <row r="23039" spans="2:4" ht="13">
      <c r="B23039" s="12" t="str">
        <f ca="1">IFERROR(__xludf.DUMMYFUNCTION("""COMPUTED_VALUE"""),"")</f>
        <v/>
      </c>
      <c r="C23039" s="12" t="str">
        <f ca="1">IFERROR(__xludf.DUMMYFUNCTION("""COMPUTED_VALUE"""),"")</f>
        <v/>
      </c>
      <c r="D23039" s="12" t="str">
        <f ca="1">IFERROR(__xludf.DUMMYFUNCTION("""COMPUTED_VALUE"""),"")</f>
        <v/>
      </c>
    </row>
    <row r="23040" spans="2:4" ht="13">
      <c r="B23040" s="12" t="str">
        <f ca="1">IFERROR(__xludf.DUMMYFUNCTION("""COMPUTED_VALUE"""),"")</f>
        <v/>
      </c>
      <c r="C23040" s="12" t="str">
        <f ca="1">IFERROR(__xludf.DUMMYFUNCTION("""COMPUTED_VALUE"""),"")</f>
        <v/>
      </c>
      <c r="D23040" s="12" t="str">
        <f ca="1">IFERROR(__xludf.DUMMYFUNCTION("""COMPUTED_VALUE"""),"")</f>
        <v/>
      </c>
    </row>
    <row r="23041" spans="2:4" ht="13">
      <c r="B23041" s="12" t="str">
        <f ca="1">IFERROR(__xludf.DUMMYFUNCTION("""COMPUTED_VALUE"""),"")</f>
        <v/>
      </c>
      <c r="C23041" s="12" t="str">
        <f ca="1">IFERROR(__xludf.DUMMYFUNCTION("""COMPUTED_VALUE"""),"")</f>
        <v/>
      </c>
      <c r="D23041" s="12" t="str">
        <f ca="1">IFERROR(__xludf.DUMMYFUNCTION("""COMPUTED_VALUE"""),"")</f>
        <v/>
      </c>
    </row>
    <row r="23042" spans="2:4" ht="13">
      <c r="B23042" s="12" t="str">
        <f ca="1">IFERROR(__xludf.DUMMYFUNCTION("""COMPUTED_VALUE"""),"")</f>
        <v/>
      </c>
      <c r="C23042" s="12" t="str">
        <f ca="1">IFERROR(__xludf.DUMMYFUNCTION("""COMPUTED_VALUE"""),"")</f>
        <v/>
      </c>
      <c r="D23042" s="12" t="str">
        <f ca="1">IFERROR(__xludf.DUMMYFUNCTION("""COMPUTED_VALUE"""),"")</f>
        <v/>
      </c>
    </row>
    <row r="23043" spans="2:4" ht="13">
      <c r="B23043" s="12" t="str">
        <f ca="1">IFERROR(__xludf.DUMMYFUNCTION("""COMPUTED_VALUE"""),"")</f>
        <v/>
      </c>
      <c r="C23043" s="12" t="str">
        <f ca="1">IFERROR(__xludf.DUMMYFUNCTION("""COMPUTED_VALUE"""),"")</f>
        <v/>
      </c>
      <c r="D23043" s="12" t="str">
        <f ca="1">IFERROR(__xludf.DUMMYFUNCTION("""COMPUTED_VALUE"""),"")</f>
        <v/>
      </c>
    </row>
    <row r="23044" spans="2:4" ht="13">
      <c r="B23044" s="12" t="str">
        <f ca="1">IFERROR(__xludf.DUMMYFUNCTION("""COMPUTED_VALUE"""),"")</f>
        <v/>
      </c>
      <c r="C23044" s="12" t="str">
        <f ca="1">IFERROR(__xludf.DUMMYFUNCTION("""COMPUTED_VALUE"""),"")</f>
        <v/>
      </c>
      <c r="D23044" s="12" t="str">
        <f ca="1">IFERROR(__xludf.DUMMYFUNCTION("""COMPUTED_VALUE"""),"")</f>
        <v/>
      </c>
    </row>
    <row r="23045" spans="2:4" ht="13">
      <c r="B23045" s="12" t="str">
        <f ca="1">IFERROR(__xludf.DUMMYFUNCTION("""COMPUTED_VALUE"""),"")</f>
        <v/>
      </c>
      <c r="C23045" s="12" t="str">
        <f ca="1">IFERROR(__xludf.DUMMYFUNCTION("""COMPUTED_VALUE"""),"")</f>
        <v/>
      </c>
      <c r="D23045" s="12" t="str">
        <f ca="1">IFERROR(__xludf.DUMMYFUNCTION("""COMPUTED_VALUE"""),"")</f>
        <v/>
      </c>
    </row>
    <row r="23046" spans="2:4" ht="13">
      <c r="B23046" s="12" t="str">
        <f ca="1">IFERROR(__xludf.DUMMYFUNCTION("""COMPUTED_VALUE"""),"")</f>
        <v/>
      </c>
      <c r="C23046" s="12" t="str">
        <f ca="1">IFERROR(__xludf.DUMMYFUNCTION("""COMPUTED_VALUE"""),"")</f>
        <v/>
      </c>
      <c r="D23046" s="12" t="str">
        <f ca="1">IFERROR(__xludf.DUMMYFUNCTION("""COMPUTED_VALUE"""),"")</f>
        <v/>
      </c>
    </row>
    <row r="23047" spans="2:4" ht="13">
      <c r="B23047" s="12" t="str">
        <f ca="1">IFERROR(__xludf.DUMMYFUNCTION("""COMPUTED_VALUE"""),"")</f>
        <v/>
      </c>
      <c r="C23047" s="12" t="str">
        <f ca="1">IFERROR(__xludf.DUMMYFUNCTION("""COMPUTED_VALUE"""),"")</f>
        <v/>
      </c>
      <c r="D23047" s="12" t="str">
        <f ca="1">IFERROR(__xludf.DUMMYFUNCTION("""COMPUTED_VALUE"""),"")</f>
        <v/>
      </c>
    </row>
    <row r="23048" spans="2:4" ht="13">
      <c r="B23048" s="12" t="str">
        <f ca="1">IFERROR(__xludf.DUMMYFUNCTION("""COMPUTED_VALUE"""),"")</f>
        <v/>
      </c>
      <c r="C23048" s="12" t="str">
        <f ca="1">IFERROR(__xludf.DUMMYFUNCTION("""COMPUTED_VALUE"""),"")</f>
        <v/>
      </c>
      <c r="D23048" s="12" t="str">
        <f ca="1">IFERROR(__xludf.DUMMYFUNCTION("""COMPUTED_VALUE"""),"")</f>
        <v/>
      </c>
    </row>
    <row r="23049" spans="2:4" ht="13">
      <c r="B23049" s="12" t="str">
        <f ca="1">IFERROR(__xludf.DUMMYFUNCTION("""COMPUTED_VALUE"""),"")</f>
        <v/>
      </c>
      <c r="C23049" s="12" t="str">
        <f ca="1">IFERROR(__xludf.DUMMYFUNCTION("""COMPUTED_VALUE"""),"")</f>
        <v/>
      </c>
      <c r="D23049" s="12" t="str">
        <f ca="1">IFERROR(__xludf.DUMMYFUNCTION("""COMPUTED_VALUE"""),"")</f>
        <v/>
      </c>
    </row>
    <row r="23050" spans="2:4" ht="13">
      <c r="B23050" s="12" t="str">
        <f ca="1">IFERROR(__xludf.DUMMYFUNCTION("""COMPUTED_VALUE"""),"")</f>
        <v/>
      </c>
      <c r="C23050" s="12" t="str">
        <f ca="1">IFERROR(__xludf.DUMMYFUNCTION("""COMPUTED_VALUE"""),"")</f>
        <v/>
      </c>
      <c r="D23050" s="12" t="str">
        <f ca="1">IFERROR(__xludf.DUMMYFUNCTION("""COMPUTED_VALUE"""),"")</f>
        <v/>
      </c>
    </row>
    <row r="23051" spans="2:4" ht="13">
      <c r="B23051" s="12" t="str">
        <f ca="1">IFERROR(__xludf.DUMMYFUNCTION("""COMPUTED_VALUE"""),"")</f>
        <v/>
      </c>
      <c r="C23051" s="12" t="str">
        <f ca="1">IFERROR(__xludf.DUMMYFUNCTION("""COMPUTED_VALUE"""),"")</f>
        <v/>
      </c>
      <c r="D23051" s="12" t="str">
        <f ca="1">IFERROR(__xludf.DUMMYFUNCTION("""COMPUTED_VALUE"""),"")</f>
        <v/>
      </c>
    </row>
    <row r="23052" spans="2:4" ht="13">
      <c r="B23052" s="12" t="str">
        <f ca="1">IFERROR(__xludf.DUMMYFUNCTION("""COMPUTED_VALUE"""),"")</f>
        <v/>
      </c>
      <c r="C23052" s="12" t="str">
        <f ca="1">IFERROR(__xludf.DUMMYFUNCTION("""COMPUTED_VALUE"""),"")</f>
        <v/>
      </c>
      <c r="D23052" s="12" t="str">
        <f ca="1">IFERROR(__xludf.DUMMYFUNCTION("""COMPUTED_VALUE"""),"")</f>
        <v/>
      </c>
    </row>
    <row r="23053" spans="2:4" ht="13">
      <c r="B23053" s="12" t="str">
        <f ca="1">IFERROR(__xludf.DUMMYFUNCTION("""COMPUTED_VALUE"""),"")</f>
        <v/>
      </c>
      <c r="C23053" s="12" t="str">
        <f ca="1">IFERROR(__xludf.DUMMYFUNCTION("""COMPUTED_VALUE"""),"")</f>
        <v/>
      </c>
      <c r="D23053" s="12" t="str">
        <f ca="1">IFERROR(__xludf.DUMMYFUNCTION("""COMPUTED_VALUE"""),"")</f>
        <v/>
      </c>
    </row>
    <row r="23054" spans="2:4" ht="13">
      <c r="B23054" s="12" t="str">
        <f ca="1">IFERROR(__xludf.DUMMYFUNCTION("""COMPUTED_VALUE"""),"")</f>
        <v/>
      </c>
      <c r="C23054" s="12" t="str">
        <f ca="1">IFERROR(__xludf.DUMMYFUNCTION("""COMPUTED_VALUE"""),"")</f>
        <v/>
      </c>
      <c r="D23054" s="12" t="str">
        <f ca="1">IFERROR(__xludf.DUMMYFUNCTION("""COMPUTED_VALUE"""),"")</f>
        <v/>
      </c>
    </row>
    <row r="23055" spans="2:4" ht="13">
      <c r="B23055" s="12" t="str">
        <f ca="1">IFERROR(__xludf.DUMMYFUNCTION("""COMPUTED_VALUE"""),"")</f>
        <v/>
      </c>
      <c r="C23055" s="12" t="str">
        <f ca="1">IFERROR(__xludf.DUMMYFUNCTION("""COMPUTED_VALUE"""),"")</f>
        <v/>
      </c>
      <c r="D23055" s="12" t="str">
        <f ca="1">IFERROR(__xludf.DUMMYFUNCTION("""COMPUTED_VALUE"""),"")</f>
        <v/>
      </c>
    </row>
    <row r="23056" spans="2:4" ht="13">
      <c r="B23056" s="12" t="str">
        <f ca="1">IFERROR(__xludf.DUMMYFUNCTION("""COMPUTED_VALUE"""),"")</f>
        <v/>
      </c>
      <c r="C23056" s="12" t="str">
        <f ca="1">IFERROR(__xludf.DUMMYFUNCTION("""COMPUTED_VALUE"""),"")</f>
        <v/>
      </c>
      <c r="D23056" s="12" t="str">
        <f ca="1">IFERROR(__xludf.DUMMYFUNCTION("""COMPUTED_VALUE"""),"")</f>
        <v/>
      </c>
    </row>
    <row r="23057" spans="2:4" ht="13">
      <c r="B23057" s="12" t="str">
        <f ca="1">IFERROR(__xludf.DUMMYFUNCTION("""COMPUTED_VALUE"""),"")</f>
        <v/>
      </c>
      <c r="C23057" s="12" t="str">
        <f ca="1">IFERROR(__xludf.DUMMYFUNCTION("""COMPUTED_VALUE"""),"")</f>
        <v/>
      </c>
      <c r="D23057" s="12" t="str">
        <f ca="1">IFERROR(__xludf.DUMMYFUNCTION("""COMPUTED_VALUE"""),"")</f>
        <v/>
      </c>
    </row>
    <row r="23058" spans="2:4" ht="13">
      <c r="B23058" s="12" t="str">
        <f ca="1">IFERROR(__xludf.DUMMYFUNCTION("""COMPUTED_VALUE"""),"")</f>
        <v/>
      </c>
      <c r="C23058" s="12" t="str">
        <f ca="1">IFERROR(__xludf.DUMMYFUNCTION("""COMPUTED_VALUE"""),"")</f>
        <v/>
      </c>
      <c r="D23058" s="12" t="str">
        <f ca="1">IFERROR(__xludf.DUMMYFUNCTION("""COMPUTED_VALUE"""),"")</f>
        <v/>
      </c>
    </row>
    <row r="23059" spans="2:4" ht="13">
      <c r="B23059" s="12" t="str">
        <f ca="1">IFERROR(__xludf.DUMMYFUNCTION("""COMPUTED_VALUE"""),"")</f>
        <v/>
      </c>
      <c r="C23059" s="12" t="str">
        <f ca="1">IFERROR(__xludf.DUMMYFUNCTION("""COMPUTED_VALUE"""),"")</f>
        <v/>
      </c>
      <c r="D23059" s="12" t="str">
        <f ca="1">IFERROR(__xludf.DUMMYFUNCTION("""COMPUTED_VALUE"""),"")</f>
        <v/>
      </c>
    </row>
    <row r="23060" spans="2:4" ht="13">
      <c r="B23060" s="12" t="str">
        <f ca="1">IFERROR(__xludf.DUMMYFUNCTION("""COMPUTED_VALUE"""),"")</f>
        <v/>
      </c>
      <c r="C23060" s="12" t="str">
        <f ca="1">IFERROR(__xludf.DUMMYFUNCTION("""COMPUTED_VALUE"""),"")</f>
        <v/>
      </c>
      <c r="D23060" s="12" t="str">
        <f ca="1">IFERROR(__xludf.DUMMYFUNCTION("""COMPUTED_VALUE"""),"")</f>
        <v/>
      </c>
    </row>
    <row r="23061" spans="2:4" ht="13">
      <c r="B23061" s="12" t="str">
        <f ca="1">IFERROR(__xludf.DUMMYFUNCTION("""COMPUTED_VALUE"""),"")</f>
        <v/>
      </c>
      <c r="C23061" s="12" t="str">
        <f ca="1">IFERROR(__xludf.DUMMYFUNCTION("""COMPUTED_VALUE"""),"")</f>
        <v/>
      </c>
      <c r="D23061" s="12" t="str">
        <f ca="1">IFERROR(__xludf.DUMMYFUNCTION("""COMPUTED_VALUE"""),"")</f>
        <v/>
      </c>
    </row>
    <row r="23062" spans="2:4" ht="13">
      <c r="B23062" s="12" t="str">
        <f ca="1">IFERROR(__xludf.DUMMYFUNCTION("""COMPUTED_VALUE"""),"")</f>
        <v/>
      </c>
      <c r="C23062" s="12" t="str">
        <f ca="1">IFERROR(__xludf.DUMMYFUNCTION("""COMPUTED_VALUE"""),"")</f>
        <v/>
      </c>
      <c r="D23062" s="12" t="str">
        <f ca="1">IFERROR(__xludf.DUMMYFUNCTION("""COMPUTED_VALUE"""),"")</f>
        <v/>
      </c>
    </row>
    <row r="23063" spans="2:4" ht="13">
      <c r="B23063" s="12" t="str">
        <f ca="1">IFERROR(__xludf.DUMMYFUNCTION("""COMPUTED_VALUE"""),"")</f>
        <v/>
      </c>
      <c r="C23063" s="12" t="str">
        <f ca="1">IFERROR(__xludf.DUMMYFUNCTION("""COMPUTED_VALUE"""),"")</f>
        <v/>
      </c>
      <c r="D23063" s="12" t="str">
        <f ca="1">IFERROR(__xludf.DUMMYFUNCTION("""COMPUTED_VALUE"""),"")</f>
        <v/>
      </c>
    </row>
    <row r="23064" spans="2:4" ht="13">
      <c r="B23064" s="12" t="str">
        <f ca="1">IFERROR(__xludf.DUMMYFUNCTION("""COMPUTED_VALUE"""),"")</f>
        <v/>
      </c>
      <c r="C23064" s="12" t="str">
        <f ca="1">IFERROR(__xludf.DUMMYFUNCTION("""COMPUTED_VALUE"""),"")</f>
        <v/>
      </c>
      <c r="D23064" s="12" t="str">
        <f ca="1">IFERROR(__xludf.DUMMYFUNCTION("""COMPUTED_VALUE"""),"")</f>
        <v/>
      </c>
    </row>
    <row r="23065" spans="2:4" ht="13">
      <c r="B23065" s="12" t="str">
        <f ca="1">IFERROR(__xludf.DUMMYFUNCTION("""COMPUTED_VALUE"""),"")</f>
        <v/>
      </c>
      <c r="C23065" s="12" t="str">
        <f ca="1">IFERROR(__xludf.DUMMYFUNCTION("""COMPUTED_VALUE"""),"")</f>
        <v/>
      </c>
      <c r="D23065" s="12" t="str">
        <f ca="1">IFERROR(__xludf.DUMMYFUNCTION("""COMPUTED_VALUE"""),"")</f>
        <v/>
      </c>
    </row>
    <row r="23066" spans="2:4" ht="13">
      <c r="B23066" s="12" t="str">
        <f ca="1">IFERROR(__xludf.DUMMYFUNCTION("""COMPUTED_VALUE"""),"")</f>
        <v/>
      </c>
      <c r="C23066" s="12" t="str">
        <f ca="1">IFERROR(__xludf.DUMMYFUNCTION("""COMPUTED_VALUE"""),"")</f>
        <v/>
      </c>
      <c r="D23066" s="12" t="str">
        <f ca="1">IFERROR(__xludf.DUMMYFUNCTION("""COMPUTED_VALUE"""),"")</f>
        <v/>
      </c>
    </row>
    <row r="23067" spans="2:4" ht="13">
      <c r="B23067" s="12" t="str">
        <f ca="1">IFERROR(__xludf.DUMMYFUNCTION("""COMPUTED_VALUE"""),"")</f>
        <v/>
      </c>
      <c r="C23067" s="12" t="str">
        <f ca="1">IFERROR(__xludf.DUMMYFUNCTION("""COMPUTED_VALUE"""),"")</f>
        <v/>
      </c>
      <c r="D23067" s="12" t="str">
        <f ca="1">IFERROR(__xludf.DUMMYFUNCTION("""COMPUTED_VALUE"""),"")</f>
        <v/>
      </c>
    </row>
    <row r="23068" spans="2:4" ht="13">
      <c r="B23068" s="12" t="str">
        <f ca="1">IFERROR(__xludf.DUMMYFUNCTION("""COMPUTED_VALUE"""),"")</f>
        <v/>
      </c>
      <c r="C23068" s="12" t="str">
        <f ca="1">IFERROR(__xludf.DUMMYFUNCTION("""COMPUTED_VALUE"""),"")</f>
        <v/>
      </c>
      <c r="D23068" s="12" t="str">
        <f ca="1">IFERROR(__xludf.DUMMYFUNCTION("""COMPUTED_VALUE"""),"")</f>
        <v/>
      </c>
    </row>
    <row r="23069" spans="2:4" ht="13">
      <c r="B23069" s="12" t="str">
        <f ca="1">IFERROR(__xludf.DUMMYFUNCTION("""COMPUTED_VALUE"""),"")</f>
        <v/>
      </c>
      <c r="C23069" s="12" t="str">
        <f ca="1">IFERROR(__xludf.DUMMYFUNCTION("""COMPUTED_VALUE"""),"")</f>
        <v/>
      </c>
      <c r="D23069" s="12" t="str">
        <f ca="1">IFERROR(__xludf.DUMMYFUNCTION("""COMPUTED_VALUE"""),"")</f>
        <v/>
      </c>
    </row>
    <row r="23070" spans="2:4" ht="13">
      <c r="B23070" s="12" t="str">
        <f ca="1">IFERROR(__xludf.DUMMYFUNCTION("""COMPUTED_VALUE"""),"")</f>
        <v/>
      </c>
      <c r="C23070" s="12" t="str">
        <f ca="1">IFERROR(__xludf.DUMMYFUNCTION("""COMPUTED_VALUE"""),"")</f>
        <v/>
      </c>
      <c r="D23070" s="12" t="str">
        <f ca="1">IFERROR(__xludf.DUMMYFUNCTION("""COMPUTED_VALUE"""),"")</f>
        <v/>
      </c>
    </row>
    <row r="23071" spans="2:4" ht="13">
      <c r="B23071" s="12" t="str">
        <f ca="1">IFERROR(__xludf.DUMMYFUNCTION("""COMPUTED_VALUE"""),"")</f>
        <v/>
      </c>
      <c r="C23071" s="12" t="str">
        <f ca="1">IFERROR(__xludf.DUMMYFUNCTION("""COMPUTED_VALUE"""),"")</f>
        <v/>
      </c>
      <c r="D23071" s="12" t="str">
        <f ca="1">IFERROR(__xludf.DUMMYFUNCTION("""COMPUTED_VALUE"""),"")</f>
        <v/>
      </c>
    </row>
    <row r="23072" spans="2:4" ht="13">
      <c r="B23072" s="12" t="str">
        <f ca="1">IFERROR(__xludf.DUMMYFUNCTION("""COMPUTED_VALUE"""),"")</f>
        <v/>
      </c>
      <c r="C23072" s="12" t="str">
        <f ca="1">IFERROR(__xludf.DUMMYFUNCTION("""COMPUTED_VALUE"""),"")</f>
        <v/>
      </c>
      <c r="D23072" s="12" t="str">
        <f ca="1">IFERROR(__xludf.DUMMYFUNCTION("""COMPUTED_VALUE"""),"")</f>
        <v/>
      </c>
    </row>
    <row r="23073" spans="2:4" ht="13">
      <c r="B23073" s="12" t="str">
        <f ca="1">IFERROR(__xludf.DUMMYFUNCTION("""COMPUTED_VALUE"""),"")</f>
        <v/>
      </c>
      <c r="C23073" s="12" t="str">
        <f ca="1">IFERROR(__xludf.DUMMYFUNCTION("""COMPUTED_VALUE"""),"")</f>
        <v/>
      </c>
      <c r="D23073" s="12" t="str">
        <f ca="1">IFERROR(__xludf.DUMMYFUNCTION("""COMPUTED_VALUE"""),"")</f>
        <v/>
      </c>
    </row>
    <row r="23074" spans="2:4" ht="13">
      <c r="B23074" s="12" t="str">
        <f ca="1">IFERROR(__xludf.DUMMYFUNCTION("""COMPUTED_VALUE"""),"")</f>
        <v/>
      </c>
      <c r="C23074" s="12" t="str">
        <f ca="1">IFERROR(__xludf.DUMMYFUNCTION("""COMPUTED_VALUE"""),"")</f>
        <v/>
      </c>
      <c r="D23074" s="12" t="str">
        <f ca="1">IFERROR(__xludf.DUMMYFUNCTION("""COMPUTED_VALUE"""),"")</f>
        <v/>
      </c>
    </row>
    <row r="23075" spans="2:4" ht="13">
      <c r="B23075" s="12" t="str">
        <f ca="1">IFERROR(__xludf.DUMMYFUNCTION("""COMPUTED_VALUE"""),"")</f>
        <v/>
      </c>
      <c r="C23075" s="12" t="str">
        <f ca="1">IFERROR(__xludf.DUMMYFUNCTION("""COMPUTED_VALUE"""),"")</f>
        <v/>
      </c>
      <c r="D23075" s="12" t="str">
        <f ca="1">IFERROR(__xludf.DUMMYFUNCTION("""COMPUTED_VALUE"""),"")</f>
        <v/>
      </c>
    </row>
    <row r="23076" spans="2:4" ht="13">
      <c r="B23076" s="12" t="str">
        <f ca="1">IFERROR(__xludf.DUMMYFUNCTION("""COMPUTED_VALUE"""),"")</f>
        <v/>
      </c>
      <c r="C23076" s="12" t="str">
        <f ca="1">IFERROR(__xludf.DUMMYFUNCTION("""COMPUTED_VALUE"""),"")</f>
        <v/>
      </c>
      <c r="D23076" s="12" t="str">
        <f ca="1">IFERROR(__xludf.DUMMYFUNCTION("""COMPUTED_VALUE"""),"")</f>
        <v/>
      </c>
    </row>
    <row r="23077" spans="2:4" ht="13">
      <c r="B23077" s="12" t="str">
        <f ca="1">IFERROR(__xludf.DUMMYFUNCTION("""COMPUTED_VALUE"""),"")</f>
        <v/>
      </c>
      <c r="C23077" s="12" t="str">
        <f ca="1">IFERROR(__xludf.DUMMYFUNCTION("""COMPUTED_VALUE"""),"")</f>
        <v/>
      </c>
      <c r="D23077" s="12" t="str">
        <f ca="1">IFERROR(__xludf.DUMMYFUNCTION("""COMPUTED_VALUE"""),"")</f>
        <v/>
      </c>
    </row>
    <row r="23078" spans="2:4" ht="13">
      <c r="B23078" s="12" t="str">
        <f ca="1">IFERROR(__xludf.DUMMYFUNCTION("""COMPUTED_VALUE"""),"")</f>
        <v/>
      </c>
      <c r="C23078" s="12" t="str">
        <f ca="1">IFERROR(__xludf.DUMMYFUNCTION("""COMPUTED_VALUE"""),"")</f>
        <v/>
      </c>
      <c r="D23078" s="12" t="str">
        <f ca="1">IFERROR(__xludf.DUMMYFUNCTION("""COMPUTED_VALUE"""),"")</f>
        <v/>
      </c>
    </row>
    <row r="23079" spans="2:4" ht="13">
      <c r="B23079" s="12" t="str">
        <f ca="1">IFERROR(__xludf.DUMMYFUNCTION("""COMPUTED_VALUE"""),"")</f>
        <v/>
      </c>
      <c r="C23079" s="12" t="str">
        <f ca="1">IFERROR(__xludf.DUMMYFUNCTION("""COMPUTED_VALUE"""),"")</f>
        <v/>
      </c>
      <c r="D23079" s="12" t="str">
        <f ca="1">IFERROR(__xludf.DUMMYFUNCTION("""COMPUTED_VALUE"""),"")</f>
        <v/>
      </c>
    </row>
    <row r="23080" spans="2:4" ht="13">
      <c r="B23080" s="12" t="str">
        <f ca="1">IFERROR(__xludf.DUMMYFUNCTION("""COMPUTED_VALUE"""),"")</f>
        <v/>
      </c>
      <c r="C23080" s="12" t="str">
        <f ca="1">IFERROR(__xludf.DUMMYFUNCTION("""COMPUTED_VALUE"""),"")</f>
        <v/>
      </c>
      <c r="D23080" s="12" t="str">
        <f ca="1">IFERROR(__xludf.DUMMYFUNCTION("""COMPUTED_VALUE"""),"")</f>
        <v/>
      </c>
    </row>
    <row r="23081" spans="2:4" ht="13">
      <c r="B23081" s="12" t="str">
        <f ca="1">IFERROR(__xludf.DUMMYFUNCTION("""COMPUTED_VALUE"""),"")</f>
        <v/>
      </c>
      <c r="C23081" s="12" t="str">
        <f ca="1">IFERROR(__xludf.DUMMYFUNCTION("""COMPUTED_VALUE"""),"")</f>
        <v/>
      </c>
      <c r="D23081" s="12" t="str">
        <f ca="1">IFERROR(__xludf.DUMMYFUNCTION("""COMPUTED_VALUE"""),"")</f>
        <v/>
      </c>
    </row>
    <row r="23082" spans="2:4" ht="13">
      <c r="B23082" s="12" t="str">
        <f ca="1">IFERROR(__xludf.DUMMYFUNCTION("""COMPUTED_VALUE"""),"")</f>
        <v/>
      </c>
      <c r="C23082" s="12" t="str">
        <f ca="1">IFERROR(__xludf.DUMMYFUNCTION("""COMPUTED_VALUE"""),"")</f>
        <v/>
      </c>
      <c r="D23082" s="12" t="str">
        <f ca="1">IFERROR(__xludf.DUMMYFUNCTION("""COMPUTED_VALUE"""),"")</f>
        <v/>
      </c>
    </row>
    <row r="23083" spans="2:4" ht="13">
      <c r="B23083" s="12" t="str">
        <f ca="1">IFERROR(__xludf.DUMMYFUNCTION("""COMPUTED_VALUE"""),"")</f>
        <v/>
      </c>
      <c r="C23083" s="12" t="str">
        <f ca="1">IFERROR(__xludf.DUMMYFUNCTION("""COMPUTED_VALUE"""),"")</f>
        <v/>
      </c>
      <c r="D23083" s="12" t="str">
        <f ca="1">IFERROR(__xludf.DUMMYFUNCTION("""COMPUTED_VALUE"""),"")</f>
        <v/>
      </c>
    </row>
    <row r="23084" spans="2:4" ht="13">
      <c r="B23084" s="12" t="str">
        <f ca="1">IFERROR(__xludf.DUMMYFUNCTION("""COMPUTED_VALUE"""),"")</f>
        <v/>
      </c>
      <c r="C23084" s="12" t="str">
        <f ca="1">IFERROR(__xludf.DUMMYFUNCTION("""COMPUTED_VALUE"""),"")</f>
        <v/>
      </c>
      <c r="D23084" s="12" t="str">
        <f ca="1">IFERROR(__xludf.DUMMYFUNCTION("""COMPUTED_VALUE"""),"")</f>
        <v/>
      </c>
    </row>
    <row r="23085" spans="2:4" ht="13">
      <c r="B23085" s="12" t="str">
        <f ca="1">IFERROR(__xludf.DUMMYFUNCTION("""COMPUTED_VALUE"""),"")</f>
        <v/>
      </c>
      <c r="C23085" s="12" t="str">
        <f ca="1">IFERROR(__xludf.DUMMYFUNCTION("""COMPUTED_VALUE"""),"")</f>
        <v/>
      </c>
      <c r="D23085" s="12" t="str">
        <f ca="1">IFERROR(__xludf.DUMMYFUNCTION("""COMPUTED_VALUE"""),"")</f>
        <v/>
      </c>
    </row>
    <row r="23086" spans="2:4" ht="13">
      <c r="B23086" s="12" t="str">
        <f ca="1">IFERROR(__xludf.DUMMYFUNCTION("""COMPUTED_VALUE"""),"")</f>
        <v/>
      </c>
      <c r="C23086" s="12" t="str">
        <f ca="1">IFERROR(__xludf.DUMMYFUNCTION("""COMPUTED_VALUE"""),"")</f>
        <v/>
      </c>
      <c r="D23086" s="12" t="str">
        <f ca="1">IFERROR(__xludf.DUMMYFUNCTION("""COMPUTED_VALUE"""),"")</f>
        <v/>
      </c>
    </row>
    <row r="23087" spans="2:4" ht="13">
      <c r="B23087" s="12" t="str">
        <f ca="1">IFERROR(__xludf.DUMMYFUNCTION("""COMPUTED_VALUE"""),"")</f>
        <v/>
      </c>
      <c r="C23087" s="12" t="str">
        <f ca="1">IFERROR(__xludf.DUMMYFUNCTION("""COMPUTED_VALUE"""),"")</f>
        <v/>
      </c>
      <c r="D23087" s="12" t="str">
        <f ca="1">IFERROR(__xludf.DUMMYFUNCTION("""COMPUTED_VALUE"""),"")</f>
        <v/>
      </c>
    </row>
    <row r="23088" spans="2:4" ht="13">
      <c r="B23088" s="12" t="str">
        <f ca="1">IFERROR(__xludf.DUMMYFUNCTION("""COMPUTED_VALUE"""),"")</f>
        <v/>
      </c>
      <c r="C23088" s="12" t="str">
        <f ca="1">IFERROR(__xludf.DUMMYFUNCTION("""COMPUTED_VALUE"""),"")</f>
        <v/>
      </c>
      <c r="D23088" s="12" t="str">
        <f ca="1">IFERROR(__xludf.DUMMYFUNCTION("""COMPUTED_VALUE"""),"")</f>
        <v/>
      </c>
    </row>
    <row r="23089" spans="2:4" ht="13">
      <c r="B23089" s="12" t="str">
        <f ca="1">IFERROR(__xludf.DUMMYFUNCTION("""COMPUTED_VALUE"""),"")</f>
        <v/>
      </c>
      <c r="C23089" s="12" t="str">
        <f ca="1">IFERROR(__xludf.DUMMYFUNCTION("""COMPUTED_VALUE"""),"")</f>
        <v/>
      </c>
      <c r="D23089" s="12" t="str">
        <f ca="1">IFERROR(__xludf.DUMMYFUNCTION("""COMPUTED_VALUE"""),"")</f>
        <v/>
      </c>
    </row>
    <row r="23090" spans="2:4" ht="13">
      <c r="B23090" s="12" t="str">
        <f ca="1">IFERROR(__xludf.DUMMYFUNCTION("""COMPUTED_VALUE"""),"")</f>
        <v/>
      </c>
      <c r="C23090" s="12" t="str">
        <f ca="1">IFERROR(__xludf.DUMMYFUNCTION("""COMPUTED_VALUE"""),"")</f>
        <v/>
      </c>
      <c r="D23090" s="12" t="str">
        <f ca="1">IFERROR(__xludf.DUMMYFUNCTION("""COMPUTED_VALUE"""),"")</f>
        <v/>
      </c>
    </row>
    <row r="23091" spans="2:4" ht="13">
      <c r="B23091" s="12" t="str">
        <f ca="1">IFERROR(__xludf.DUMMYFUNCTION("""COMPUTED_VALUE"""),"")</f>
        <v/>
      </c>
      <c r="C23091" s="12" t="str">
        <f ca="1">IFERROR(__xludf.DUMMYFUNCTION("""COMPUTED_VALUE"""),"")</f>
        <v/>
      </c>
      <c r="D23091" s="12" t="str">
        <f ca="1">IFERROR(__xludf.DUMMYFUNCTION("""COMPUTED_VALUE"""),"")</f>
        <v/>
      </c>
    </row>
    <row r="23092" spans="2:4" ht="13">
      <c r="B23092" s="12" t="str">
        <f ca="1">IFERROR(__xludf.DUMMYFUNCTION("""COMPUTED_VALUE"""),"")</f>
        <v/>
      </c>
      <c r="C23092" s="12" t="str">
        <f ca="1">IFERROR(__xludf.DUMMYFUNCTION("""COMPUTED_VALUE"""),"")</f>
        <v/>
      </c>
      <c r="D23092" s="12" t="str">
        <f ca="1">IFERROR(__xludf.DUMMYFUNCTION("""COMPUTED_VALUE"""),"")</f>
        <v/>
      </c>
    </row>
    <row r="23093" spans="2:4" ht="13">
      <c r="B23093" s="12" t="str">
        <f ca="1">IFERROR(__xludf.DUMMYFUNCTION("""COMPUTED_VALUE"""),"")</f>
        <v/>
      </c>
      <c r="C23093" s="12" t="str">
        <f ca="1">IFERROR(__xludf.DUMMYFUNCTION("""COMPUTED_VALUE"""),"")</f>
        <v/>
      </c>
      <c r="D23093" s="12" t="str">
        <f ca="1">IFERROR(__xludf.DUMMYFUNCTION("""COMPUTED_VALUE"""),"")</f>
        <v/>
      </c>
    </row>
    <row r="23094" spans="2:4" ht="13">
      <c r="B23094" s="12" t="str">
        <f ca="1">IFERROR(__xludf.DUMMYFUNCTION("""COMPUTED_VALUE"""),"")</f>
        <v/>
      </c>
      <c r="C23094" s="12" t="str">
        <f ca="1">IFERROR(__xludf.DUMMYFUNCTION("""COMPUTED_VALUE"""),"")</f>
        <v/>
      </c>
      <c r="D23094" s="12" t="str">
        <f ca="1">IFERROR(__xludf.DUMMYFUNCTION("""COMPUTED_VALUE"""),"")</f>
        <v/>
      </c>
    </row>
    <row r="23095" spans="2:4" ht="13">
      <c r="B23095" s="12" t="str">
        <f ca="1">IFERROR(__xludf.DUMMYFUNCTION("""COMPUTED_VALUE"""),"")</f>
        <v/>
      </c>
      <c r="C23095" s="12" t="str">
        <f ca="1">IFERROR(__xludf.DUMMYFUNCTION("""COMPUTED_VALUE"""),"")</f>
        <v/>
      </c>
      <c r="D23095" s="12" t="str">
        <f ca="1">IFERROR(__xludf.DUMMYFUNCTION("""COMPUTED_VALUE"""),"")</f>
        <v/>
      </c>
    </row>
    <row r="23096" spans="2:4" ht="13">
      <c r="B23096" s="12" t="str">
        <f ca="1">IFERROR(__xludf.DUMMYFUNCTION("""COMPUTED_VALUE"""),"")</f>
        <v/>
      </c>
      <c r="C23096" s="12" t="str">
        <f ca="1">IFERROR(__xludf.DUMMYFUNCTION("""COMPUTED_VALUE"""),"")</f>
        <v/>
      </c>
      <c r="D23096" s="12" t="str">
        <f ca="1">IFERROR(__xludf.DUMMYFUNCTION("""COMPUTED_VALUE"""),"")</f>
        <v/>
      </c>
    </row>
    <row r="23097" spans="2:4" ht="13">
      <c r="B23097" s="12" t="str">
        <f ca="1">IFERROR(__xludf.DUMMYFUNCTION("""COMPUTED_VALUE"""),"")</f>
        <v/>
      </c>
      <c r="C23097" s="12" t="str">
        <f ca="1">IFERROR(__xludf.DUMMYFUNCTION("""COMPUTED_VALUE"""),"")</f>
        <v/>
      </c>
      <c r="D23097" s="12" t="str">
        <f ca="1">IFERROR(__xludf.DUMMYFUNCTION("""COMPUTED_VALUE"""),"")</f>
        <v/>
      </c>
    </row>
    <row r="23098" spans="2:4" ht="13">
      <c r="B23098" s="12" t="str">
        <f ca="1">IFERROR(__xludf.DUMMYFUNCTION("""COMPUTED_VALUE"""),"")</f>
        <v/>
      </c>
      <c r="C23098" s="12" t="str">
        <f ca="1">IFERROR(__xludf.DUMMYFUNCTION("""COMPUTED_VALUE"""),"")</f>
        <v/>
      </c>
      <c r="D23098" s="12" t="str">
        <f ca="1">IFERROR(__xludf.DUMMYFUNCTION("""COMPUTED_VALUE"""),"")</f>
        <v/>
      </c>
    </row>
    <row r="23099" spans="2:4" ht="13">
      <c r="B23099" s="12" t="str">
        <f ca="1">IFERROR(__xludf.DUMMYFUNCTION("""COMPUTED_VALUE"""),"")</f>
        <v/>
      </c>
      <c r="C23099" s="12" t="str">
        <f ca="1">IFERROR(__xludf.DUMMYFUNCTION("""COMPUTED_VALUE"""),"")</f>
        <v/>
      </c>
      <c r="D23099" s="12" t="str">
        <f ca="1">IFERROR(__xludf.DUMMYFUNCTION("""COMPUTED_VALUE"""),"")</f>
        <v/>
      </c>
    </row>
    <row r="23100" spans="2:4" ht="13">
      <c r="B23100" s="12" t="str">
        <f ca="1">IFERROR(__xludf.DUMMYFUNCTION("""COMPUTED_VALUE"""),"")</f>
        <v/>
      </c>
      <c r="C23100" s="12" t="str">
        <f ca="1">IFERROR(__xludf.DUMMYFUNCTION("""COMPUTED_VALUE"""),"")</f>
        <v/>
      </c>
      <c r="D23100" s="12" t="str">
        <f ca="1">IFERROR(__xludf.DUMMYFUNCTION("""COMPUTED_VALUE"""),"")</f>
        <v/>
      </c>
    </row>
    <row r="23101" spans="2:4" ht="13">
      <c r="B23101" s="12" t="str">
        <f ca="1">IFERROR(__xludf.DUMMYFUNCTION("""COMPUTED_VALUE"""),"")</f>
        <v/>
      </c>
      <c r="C23101" s="12" t="str">
        <f ca="1">IFERROR(__xludf.DUMMYFUNCTION("""COMPUTED_VALUE"""),"")</f>
        <v/>
      </c>
      <c r="D23101" s="12" t="str">
        <f ca="1">IFERROR(__xludf.DUMMYFUNCTION("""COMPUTED_VALUE"""),"")</f>
        <v/>
      </c>
    </row>
    <row r="23102" spans="2:4" ht="13">
      <c r="B23102" s="12" t="str">
        <f ca="1">IFERROR(__xludf.DUMMYFUNCTION("""COMPUTED_VALUE"""),"")</f>
        <v/>
      </c>
      <c r="C23102" s="12" t="str">
        <f ca="1">IFERROR(__xludf.DUMMYFUNCTION("""COMPUTED_VALUE"""),"")</f>
        <v/>
      </c>
      <c r="D23102" s="12" t="str">
        <f ca="1">IFERROR(__xludf.DUMMYFUNCTION("""COMPUTED_VALUE"""),"")</f>
        <v/>
      </c>
    </row>
    <row r="23103" spans="2:4" ht="13">
      <c r="B23103" s="12" t="str">
        <f ca="1">IFERROR(__xludf.DUMMYFUNCTION("""COMPUTED_VALUE"""),"")</f>
        <v/>
      </c>
      <c r="C23103" s="12" t="str">
        <f ca="1">IFERROR(__xludf.DUMMYFUNCTION("""COMPUTED_VALUE"""),"")</f>
        <v/>
      </c>
      <c r="D23103" s="12" t="str">
        <f ca="1">IFERROR(__xludf.DUMMYFUNCTION("""COMPUTED_VALUE"""),"")</f>
        <v/>
      </c>
    </row>
    <row r="23104" spans="2:4" ht="13">
      <c r="B23104" s="12" t="str">
        <f ca="1">IFERROR(__xludf.DUMMYFUNCTION("""COMPUTED_VALUE"""),"")</f>
        <v/>
      </c>
      <c r="C23104" s="12" t="str">
        <f ca="1">IFERROR(__xludf.DUMMYFUNCTION("""COMPUTED_VALUE"""),"")</f>
        <v/>
      </c>
      <c r="D23104" s="12" t="str">
        <f ca="1">IFERROR(__xludf.DUMMYFUNCTION("""COMPUTED_VALUE"""),"")</f>
        <v/>
      </c>
    </row>
    <row r="23105" spans="2:4" ht="13">
      <c r="B23105" s="12" t="str">
        <f ca="1">IFERROR(__xludf.DUMMYFUNCTION("""COMPUTED_VALUE"""),"")</f>
        <v/>
      </c>
      <c r="C23105" s="12" t="str">
        <f ca="1">IFERROR(__xludf.DUMMYFUNCTION("""COMPUTED_VALUE"""),"")</f>
        <v/>
      </c>
      <c r="D23105" s="12" t="str">
        <f ca="1">IFERROR(__xludf.DUMMYFUNCTION("""COMPUTED_VALUE"""),"")</f>
        <v/>
      </c>
    </row>
    <row r="23106" spans="2:4" ht="13">
      <c r="B23106" s="12" t="str">
        <f ca="1">IFERROR(__xludf.DUMMYFUNCTION("""COMPUTED_VALUE"""),"")</f>
        <v/>
      </c>
      <c r="C23106" s="12" t="str">
        <f ca="1">IFERROR(__xludf.DUMMYFUNCTION("""COMPUTED_VALUE"""),"")</f>
        <v/>
      </c>
      <c r="D23106" s="12" t="str">
        <f ca="1">IFERROR(__xludf.DUMMYFUNCTION("""COMPUTED_VALUE"""),"")</f>
        <v/>
      </c>
    </row>
    <row r="23107" spans="2:4" ht="13">
      <c r="B23107" s="12" t="str">
        <f ca="1">IFERROR(__xludf.DUMMYFUNCTION("""COMPUTED_VALUE"""),"")</f>
        <v/>
      </c>
      <c r="C23107" s="12" t="str">
        <f ca="1">IFERROR(__xludf.DUMMYFUNCTION("""COMPUTED_VALUE"""),"")</f>
        <v/>
      </c>
      <c r="D23107" s="12" t="str">
        <f ca="1">IFERROR(__xludf.DUMMYFUNCTION("""COMPUTED_VALUE"""),"")</f>
        <v/>
      </c>
    </row>
    <row r="23108" spans="2:4" ht="13">
      <c r="B23108" s="12" t="str">
        <f ca="1">IFERROR(__xludf.DUMMYFUNCTION("""COMPUTED_VALUE"""),"")</f>
        <v/>
      </c>
      <c r="C23108" s="12" t="str">
        <f ca="1">IFERROR(__xludf.DUMMYFUNCTION("""COMPUTED_VALUE"""),"")</f>
        <v/>
      </c>
      <c r="D23108" s="12" t="str">
        <f ca="1">IFERROR(__xludf.DUMMYFUNCTION("""COMPUTED_VALUE"""),"")</f>
        <v/>
      </c>
    </row>
    <row r="23109" spans="2:4" ht="13">
      <c r="B23109" s="12" t="str">
        <f ca="1">IFERROR(__xludf.DUMMYFUNCTION("""COMPUTED_VALUE"""),"")</f>
        <v/>
      </c>
      <c r="C23109" s="12" t="str">
        <f ca="1">IFERROR(__xludf.DUMMYFUNCTION("""COMPUTED_VALUE"""),"")</f>
        <v/>
      </c>
      <c r="D23109" s="12" t="str">
        <f ca="1">IFERROR(__xludf.DUMMYFUNCTION("""COMPUTED_VALUE"""),"")</f>
        <v/>
      </c>
    </row>
    <row r="23110" spans="2:4" ht="13">
      <c r="B23110" s="12" t="str">
        <f ca="1">IFERROR(__xludf.DUMMYFUNCTION("""COMPUTED_VALUE"""),"")</f>
        <v/>
      </c>
      <c r="C23110" s="12" t="str">
        <f ca="1">IFERROR(__xludf.DUMMYFUNCTION("""COMPUTED_VALUE"""),"")</f>
        <v/>
      </c>
      <c r="D23110" s="12" t="str">
        <f ca="1">IFERROR(__xludf.DUMMYFUNCTION("""COMPUTED_VALUE"""),"")</f>
        <v/>
      </c>
    </row>
    <row r="23111" spans="2:4" ht="13">
      <c r="B23111" s="12" t="str">
        <f ca="1">IFERROR(__xludf.DUMMYFUNCTION("""COMPUTED_VALUE"""),"")</f>
        <v/>
      </c>
      <c r="C23111" s="12" t="str">
        <f ca="1">IFERROR(__xludf.DUMMYFUNCTION("""COMPUTED_VALUE"""),"")</f>
        <v/>
      </c>
      <c r="D23111" s="12" t="str">
        <f ca="1">IFERROR(__xludf.DUMMYFUNCTION("""COMPUTED_VALUE"""),"")</f>
        <v/>
      </c>
    </row>
    <row r="23112" spans="2:4" ht="13">
      <c r="B23112" s="12" t="str">
        <f ca="1">IFERROR(__xludf.DUMMYFUNCTION("""COMPUTED_VALUE"""),"")</f>
        <v/>
      </c>
      <c r="C23112" s="12" t="str">
        <f ca="1">IFERROR(__xludf.DUMMYFUNCTION("""COMPUTED_VALUE"""),"")</f>
        <v/>
      </c>
      <c r="D23112" s="12" t="str">
        <f ca="1">IFERROR(__xludf.DUMMYFUNCTION("""COMPUTED_VALUE"""),"")</f>
        <v/>
      </c>
    </row>
    <row r="23113" spans="2:4" ht="13">
      <c r="B23113" s="12" t="str">
        <f ca="1">IFERROR(__xludf.DUMMYFUNCTION("""COMPUTED_VALUE"""),"")</f>
        <v/>
      </c>
      <c r="C23113" s="12" t="str">
        <f ca="1">IFERROR(__xludf.DUMMYFUNCTION("""COMPUTED_VALUE"""),"")</f>
        <v/>
      </c>
      <c r="D23113" s="12" t="str">
        <f ca="1">IFERROR(__xludf.DUMMYFUNCTION("""COMPUTED_VALUE"""),"")</f>
        <v/>
      </c>
    </row>
    <row r="23114" spans="2:4" ht="13">
      <c r="B23114" s="12" t="str">
        <f ca="1">IFERROR(__xludf.DUMMYFUNCTION("""COMPUTED_VALUE"""),"")</f>
        <v/>
      </c>
      <c r="C23114" s="12" t="str">
        <f ca="1">IFERROR(__xludf.DUMMYFUNCTION("""COMPUTED_VALUE"""),"")</f>
        <v/>
      </c>
      <c r="D23114" s="12" t="str">
        <f ca="1">IFERROR(__xludf.DUMMYFUNCTION("""COMPUTED_VALUE"""),"")</f>
        <v/>
      </c>
    </row>
    <row r="23115" spans="2:4" ht="13">
      <c r="B23115" s="12" t="str">
        <f ca="1">IFERROR(__xludf.DUMMYFUNCTION("""COMPUTED_VALUE"""),"")</f>
        <v/>
      </c>
      <c r="C23115" s="12" t="str">
        <f ca="1">IFERROR(__xludf.DUMMYFUNCTION("""COMPUTED_VALUE"""),"")</f>
        <v/>
      </c>
      <c r="D23115" s="12" t="str">
        <f ca="1">IFERROR(__xludf.DUMMYFUNCTION("""COMPUTED_VALUE"""),"")</f>
        <v/>
      </c>
    </row>
    <row r="23116" spans="2:4" ht="13">
      <c r="B23116" s="12" t="str">
        <f ca="1">IFERROR(__xludf.DUMMYFUNCTION("""COMPUTED_VALUE"""),"")</f>
        <v/>
      </c>
      <c r="C23116" s="12" t="str">
        <f ca="1">IFERROR(__xludf.DUMMYFUNCTION("""COMPUTED_VALUE"""),"")</f>
        <v/>
      </c>
      <c r="D23116" s="12" t="str">
        <f ca="1">IFERROR(__xludf.DUMMYFUNCTION("""COMPUTED_VALUE"""),"")</f>
        <v/>
      </c>
    </row>
    <row r="23117" spans="2:4" ht="13">
      <c r="B23117" s="12" t="str">
        <f ca="1">IFERROR(__xludf.DUMMYFUNCTION("""COMPUTED_VALUE"""),"")</f>
        <v/>
      </c>
      <c r="C23117" s="12" t="str">
        <f ca="1">IFERROR(__xludf.DUMMYFUNCTION("""COMPUTED_VALUE"""),"")</f>
        <v/>
      </c>
      <c r="D23117" s="12" t="str">
        <f ca="1">IFERROR(__xludf.DUMMYFUNCTION("""COMPUTED_VALUE"""),"")</f>
        <v/>
      </c>
    </row>
    <row r="23118" spans="2:4" ht="13">
      <c r="B23118" s="12" t="str">
        <f ca="1">IFERROR(__xludf.DUMMYFUNCTION("""COMPUTED_VALUE"""),"")</f>
        <v/>
      </c>
      <c r="C23118" s="12" t="str">
        <f ca="1">IFERROR(__xludf.DUMMYFUNCTION("""COMPUTED_VALUE"""),"")</f>
        <v/>
      </c>
      <c r="D23118" s="12" t="str">
        <f ca="1">IFERROR(__xludf.DUMMYFUNCTION("""COMPUTED_VALUE"""),"")</f>
        <v/>
      </c>
    </row>
    <row r="23119" spans="2:4" ht="13">
      <c r="B23119" s="12" t="str">
        <f ca="1">IFERROR(__xludf.DUMMYFUNCTION("""COMPUTED_VALUE"""),"")</f>
        <v/>
      </c>
      <c r="C23119" s="12" t="str">
        <f ca="1">IFERROR(__xludf.DUMMYFUNCTION("""COMPUTED_VALUE"""),"")</f>
        <v/>
      </c>
      <c r="D23119" s="12" t="str">
        <f ca="1">IFERROR(__xludf.DUMMYFUNCTION("""COMPUTED_VALUE"""),"")</f>
        <v/>
      </c>
    </row>
    <row r="23120" spans="2:4" ht="13">
      <c r="B23120" s="12" t="str">
        <f ca="1">IFERROR(__xludf.DUMMYFUNCTION("""COMPUTED_VALUE"""),"")</f>
        <v/>
      </c>
      <c r="C23120" s="12" t="str">
        <f ca="1">IFERROR(__xludf.DUMMYFUNCTION("""COMPUTED_VALUE"""),"")</f>
        <v/>
      </c>
      <c r="D23120" s="12" t="str">
        <f ca="1">IFERROR(__xludf.DUMMYFUNCTION("""COMPUTED_VALUE"""),"")</f>
        <v/>
      </c>
    </row>
    <row r="23121" spans="2:4" ht="13">
      <c r="B23121" s="12" t="str">
        <f ca="1">IFERROR(__xludf.DUMMYFUNCTION("""COMPUTED_VALUE"""),"")</f>
        <v/>
      </c>
      <c r="C23121" s="12" t="str">
        <f ca="1">IFERROR(__xludf.DUMMYFUNCTION("""COMPUTED_VALUE"""),"")</f>
        <v/>
      </c>
      <c r="D23121" s="12" t="str">
        <f ca="1">IFERROR(__xludf.DUMMYFUNCTION("""COMPUTED_VALUE"""),"")</f>
        <v/>
      </c>
    </row>
    <row r="23122" spans="2:4" ht="13">
      <c r="B23122" s="12" t="str">
        <f ca="1">IFERROR(__xludf.DUMMYFUNCTION("""COMPUTED_VALUE"""),"")</f>
        <v/>
      </c>
      <c r="C23122" s="12" t="str">
        <f ca="1">IFERROR(__xludf.DUMMYFUNCTION("""COMPUTED_VALUE"""),"")</f>
        <v/>
      </c>
      <c r="D23122" s="12" t="str">
        <f ca="1">IFERROR(__xludf.DUMMYFUNCTION("""COMPUTED_VALUE"""),"")</f>
        <v/>
      </c>
    </row>
    <row r="23123" spans="2:4" ht="13">
      <c r="B23123" s="12" t="str">
        <f ca="1">IFERROR(__xludf.DUMMYFUNCTION("""COMPUTED_VALUE"""),"")</f>
        <v/>
      </c>
      <c r="C23123" s="12" t="str">
        <f ca="1">IFERROR(__xludf.DUMMYFUNCTION("""COMPUTED_VALUE"""),"")</f>
        <v/>
      </c>
      <c r="D23123" s="12" t="str">
        <f ca="1">IFERROR(__xludf.DUMMYFUNCTION("""COMPUTED_VALUE"""),"")</f>
        <v/>
      </c>
    </row>
    <row r="23124" spans="2:4" ht="13">
      <c r="B23124" s="12" t="str">
        <f ca="1">IFERROR(__xludf.DUMMYFUNCTION("""COMPUTED_VALUE"""),"")</f>
        <v/>
      </c>
      <c r="C23124" s="12" t="str">
        <f ca="1">IFERROR(__xludf.DUMMYFUNCTION("""COMPUTED_VALUE"""),"")</f>
        <v/>
      </c>
      <c r="D23124" s="12" t="str">
        <f ca="1">IFERROR(__xludf.DUMMYFUNCTION("""COMPUTED_VALUE"""),"")</f>
        <v/>
      </c>
    </row>
    <row r="23125" spans="2:4" ht="13">
      <c r="B23125" s="12" t="str">
        <f ca="1">IFERROR(__xludf.DUMMYFUNCTION("""COMPUTED_VALUE"""),"")</f>
        <v/>
      </c>
      <c r="C23125" s="12" t="str">
        <f ca="1">IFERROR(__xludf.DUMMYFUNCTION("""COMPUTED_VALUE"""),"")</f>
        <v/>
      </c>
      <c r="D23125" s="12" t="str">
        <f ca="1">IFERROR(__xludf.DUMMYFUNCTION("""COMPUTED_VALUE"""),"")</f>
        <v/>
      </c>
    </row>
    <row r="23126" spans="2:4" ht="13">
      <c r="B23126" s="12" t="str">
        <f ca="1">IFERROR(__xludf.DUMMYFUNCTION("""COMPUTED_VALUE"""),"")</f>
        <v/>
      </c>
      <c r="C23126" s="12" t="str">
        <f ca="1">IFERROR(__xludf.DUMMYFUNCTION("""COMPUTED_VALUE"""),"")</f>
        <v/>
      </c>
      <c r="D23126" s="12" t="str">
        <f ca="1">IFERROR(__xludf.DUMMYFUNCTION("""COMPUTED_VALUE"""),"")</f>
        <v/>
      </c>
    </row>
    <row r="23127" spans="2:4" ht="13">
      <c r="B23127" s="12" t="str">
        <f ca="1">IFERROR(__xludf.DUMMYFUNCTION("""COMPUTED_VALUE"""),"")</f>
        <v/>
      </c>
      <c r="C23127" s="12" t="str">
        <f ca="1">IFERROR(__xludf.DUMMYFUNCTION("""COMPUTED_VALUE"""),"")</f>
        <v/>
      </c>
      <c r="D23127" s="12" t="str">
        <f ca="1">IFERROR(__xludf.DUMMYFUNCTION("""COMPUTED_VALUE"""),"")</f>
        <v/>
      </c>
    </row>
    <row r="23128" spans="2:4" ht="13">
      <c r="B23128" s="12" t="str">
        <f ca="1">IFERROR(__xludf.DUMMYFUNCTION("""COMPUTED_VALUE"""),"")</f>
        <v/>
      </c>
      <c r="C23128" s="12" t="str">
        <f ca="1">IFERROR(__xludf.DUMMYFUNCTION("""COMPUTED_VALUE"""),"")</f>
        <v/>
      </c>
      <c r="D23128" s="12" t="str">
        <f ca="1">IFERROR(__xludf.DUMMYFUNCTION("""COMPUTED_VALUE"""),"")</f>
        <v/>
      </c>
    </row>
    <row r="23129" spans="2:4" ht="13">
      <c r="B23129" s="12" t="str">
        <f ca="1">IFERROR(__xludf.DUMMYFUNCTION("""COMPUTED_VALUE"""),"")</f>
        <v/>
      </c>
      <c r="C23129" s="12" t="str">
        <f ca="1">IFERROR(__xludf.DUMMYFUNCTION("""COMPUTED_VALUE"""),"")</f>
        <v/>
      </c>
      <c r="D23129" s="12" t="str">
        <f ca="1">IFERROR(__xludf.DUMMYFUNCTION("""COMPUTED_VALUE"""),"")</f>
        <v/>
      </c>
    </row>
    <row r="23130" spans="2:4" ht="13">
      <c r="B23130" s="12" t="str">
        <f ca="1">IFERROR(__xludf.DUMMYFUNCTION("""COMPUTED_VALUE"""),"")</f>
        <v/>
      </c>
      <c r="C23130" s="12" t="str">
        <f ca="1">IFERROR(__xludf.DUMMYFUNCTION("""COMPUTED_VALUE"""),"")</f>
        <v/>
      </c>
      <c r="D23130" s="12" t="str">
        <f ca="1">IFERROR(__xludf.DUMMYFUNCTION("""COMPUTED_VALUE"""),"")</f>
        <v/>
      </c>
    </row>
    <row r="23131" spans="2:4" ht="13">
      <c r="B23131" s="12" t="str">
        <f ca="1">IFERROR(__xludf.DUMMYFUNCTION("""COMPUTED_VALUE"""),"")</f>
        <v/>
      </c>
      <c r="C23131" s="12" t="str">
        <f ca="1">IFERROR(__xludf.DUMMYFUNCTION("""COMPUTED_VALUE"""),"")</f>
        <v/>
      </c>
      <c r="D23131" s="12" t="str">
        <f ca="1">IFERROR(__xludf.DUMMYFUNCTION("""COMPUTED_VALUE"""),"")</f>
        <v/>
      </c>
    </row>
    <row r="23132" spans="2:4" ht="13">
      <c r="B23132" s="12" t="str">
        <f ca="1">IFERROR(__xludf.DUMMYFUNCTION("""COMPUTED_VALUE"""),"")</f>
        <v/>
      </c>
      <c r="C23132" s="12" t="str">
        <f ca="1">IFERROR(__xludf.DUMMYFUNCTION("""COMPUTED_VALUE"""),"")</f>
        <v/>
      </c>
      <c r="D23132" s="12" t="str">
        <f ca="1">IFERROR(__xludf.DUMMYFUNCTION("""COMPUTED_VALUE"""),"")</f>
        <v/>
      </c>
    </row>
    <row r="23133" spans="2:4" ht="13">
      <c r="B23133" s="12" t="str">
        <f ca="1">IFERROR(__xludf.DUMMYFUNCTION("""COMPUTED_VALUE"""),"")</f>
        <v/>
      </c>
      <c r="C23133" s="12" t="str">
        <f ca="1">IFERROR(__xludf.DUMMYFUNCTION("""COMPUTED_VALUE"""),"")</f>
        <v/>
      </c>
      <c r="D23133" s="12" t="str">
        <f ca="1">IFERROR(__xludf.DUMMYFUNCTION("""COMPUTED_VALUE"""),"")</f>
        <v/>
      </c>
    </row>
    <row r="23134" spans="2:4" ht="13">
      <c r="B23134" s="12" t="str">
        <f ca="1">IFERROR(__xludf.DUMMYFUNCTION("""COMPUTED_VALUE"""),"")</f>
        <v/>
      </c>
      <c r="C23134" s="12" t="str">
        <f ca="1">IFERROR(__xludf.DUMMYFUNCTION("""COMPUTED_VALUE"""),"")</f>
        <v/>
      </c>
      <c r="D23134" s="12" t="str">
        <f ca="1">IFERROR(__xludf.DUMMYFUNCTION("""COMPUTED_VALUE"""),"")</f>
        <v/>
      </c>
    </row>
    <row r="23135" spans="2:4" ht="13">
      <c r="B23135" s="12" t="str">
        <f ca="1">IFERROR(__xludf.DUMMYFUNCTION("""COMPUTED_VALUE"""),"")</f>
        <v/>
      </c>
      <c r="C23135" s="12" t="str">
        <f ca="1">IFERROR(__xludf.DUMMYFUNCTION("""COMPUTED_VALUE"""),"")</f>
        <v/>
      </c>
      <c r="D23135" s="12" t="str">
        <f ca="1">IFERROR(__xludf.DUMMYFUNCTION("""COMPUTED_VALUE"""),"")</f>
        <v/>
      </c>
    </row>
    <row r="23136" spans="2:4" ht="13">
      <c r="B23136" s="12" t="str">
        <f ca="1">IFERROR(__xludf.DUMMYFUNCTION("""COMPUTED_VALUE"""),"")</f>
        <v/>
      </c>
      <c r="C23136" s="12" t="str">
        <f ca="1">IFERROR(__xludf.DUMMYFUNCTION("""COMPUTED_VALUE"""),"")</f>
        <v/>
      </c>
      <c r="D23136" s="12" t="str">
        <f ca="1">IFERROR(__xludf.DUMMYFUNCTION("""COMPUTED_VALUE"""),"")</f>
        <v/>
      </c>
    </row>
    <row r="23137" spans="2:4" ht="13">
      <c r="B23137" s="12" t="str">
        <f ca="1">IFERROR(__xludf.DUMMYFUNCTION("""COMPUTED_VALUE"""),"")</f>
        <v/>
      </c>
      <c r="C23137" s="12" t="str">
        <f ca="1">IFERROR(__xludf.DUMMYFUNCTION("""COMPUTED_VALUE"""),"")</f>
        <v/>
      </c>
      <c r="D23137" s="12" t="str">
        <f ca="1">IFERROR(__xludf.DUMMYFUNCTION("""COMPUTED_VALUE"""),"")</f>
        <v/>
      </c>
    </row>
    <row r="23138" spans="2:4" ht="13">
      <c r="B23138" s="12" t="str">
        <f ca="1">IFERROR(__xludf.DUMMYFUNCTION("""COMPUTED_VALUE"""),"")</f>
        <v/>
      </c>
      <c r="C23138" s="12" t="str">
        <f ca="1">IFERROR(__xludf.DUMMYFUNCTION("""COMPUTED_VALUE"""),"")</f>
        <v/>
      </c>
      <c r="D23138" s="12" t="str">
        <f ca="1">IFERROR(__xludf.DUMMYFUNCTION("""COMPUTED_VALUE"""),"")</f>
        <v/>
      </c>
    </row>
    <row r="23139" spans="2:4" ht="13">
      <c r="B23139" s="12" t="str">
        <f ca="1">IFERROR(__xludf.DUMMYFUNCTION("""COMPUTED_VALUE"""),"")</f>
        <v/>
      </c>
      <c r="C23139" s="12" t="str">
        <f ca="1">IFERROR(__xludf.DUMMYFUNCTION("""COMPUTED_VALUE"""),"")</f>
        <v/>
      </c>
      <c r="D23139" s="12" t="str">
        <f ca="1">IFERROR(__xludf.DUMMYFUNCTION("""COMPUTED_VALUE"""),"")</f>
        <v/>
      </c>
    </row>
    <row r="23140" spans="2:4" ht="13">
      <c r="B23140" s="12" t="str">
        <f ca="1">IFERROR(__xludf.DUMMYFUNCTION("""COMPUTED_VALUE"""),"")</f>
        <v/>
      </c>
      <c r="C23140" s="12" t="str">
        <f ca="1">IFERROR(__xludf.DUMMYFUNCTION("""COMPUTED_VALUE"""),"")</f>
        <v/>
      </c>
      <c r="D23140" s="12" t="str">
        <f ca="1">IFERROR(__xludf.DUMMYFUNCTION("""COMPUTED_VALUE"""),"")</f>
        <v/>
      </c>
    </row>
    <row r="23141" spans="2:4" ht="13">
      <c r="B23141" s="12" t="str">
        <f ca="1">IFERROR(__xludf.DUMMYFUNCTION("""COMPUTED_VALUE"""),"")</f>
        <v/>
      </c>
      <c r="C23141" s="12" t="str">
        <f ca="1">IFERROR(__xludf.DUMMYFUNCTION("""COMPUTED_VALUE"""),"")</f>
        <v/>
      </c>
      <c r="D23141" s="12" t="str">
        <f ca="1">IFERROR(__xludf.DUMMYFUNCTION("""COMPUTED_VALUE"""),"")</f>
        <v/>
      </c>
    </row>
    <row r="23142" spans="2:4" ht="13">
      <c r="B23142" s="12" t="str">
        <f ca="1">IFERROR(__xludf.DUMMYFUNCTION("""COMPUTED_VALUE"""),"")</f>
        <v/>
      </c>
      <c r="C23142" s="12" t="str">
        <f ca="1">IFERROR(__xludf.DUMMYFUNCTION("""COMPUTED_VALUE"""),"")</f>
        <v/>
      </c>
      <c r="D23142" s="12" t="str">
        <f ca="1">IFERROR(__xludf.DUMMYFUNCTION("""COMPUTED_VALUE"""),"")</f>
        <v/>
      </c>
    </row>
    <row r="23143" spans="2:4" ht="13">
      <c r="B23143" s="12" t="str">
        <f ca="1">IFERROR(__xludf.DUMMYFUNCTION("""COMPUTED_VALUE"""),"")</f>
        <v/>
      </c>
      <c r="C23143" s="12" t="str">
        <f ca="1">IFERROR(__xludf.DUMMYFUNCTION("""COMPUTED_VALUE"""),"")</f>
        <v/>
      </c>
      <c r="D23143" s="12" t="str">
        <f ca="1">IFERROR(__xludf.DUMMYFUNCTION("""COMPUTED_VALUE"""),"")</f>
        <v/>
      </c>
    </row>
    <row r="23144" spans="2:4" ht="13">
      <c r="B23144" s="12" t="str">
        <f ca="1">IFERROR(__xludf.DUMMYFUNCTION("""COMPUTED_VALUE"""),"")</f>
        <v/>
      </c>
      <c r="C23144" s="12" t="str">
        <f ca="1">IFERROR(__xludf.DUMMYFUNCTION("""COMPUTED_VALUE"""),"")</f>
        <v/>
      </c>
      <c r="D23144" s="12" t="str">
        <f ca="1">IFERROR(__xludf.DUMMYFUNCTION("""COMPUTED_VALUE"""),"")</f>
        <v/>
      </c>
    </row>
    <row r="23145" spans="2:4" ht="13">
      <c r="B23145" s="12" t="str">
        <f ca="1">IFERROR(__xludf.DUMMYFUNCTION("""COMPUTED_VALUE"""),"")</f>
        <v/>
      </c>
      <c r="C23145" s="12" t="str">
        <f ca="1">IFERROR(__xludf.DUMMYFUNCTION("""COMPUTED_VALUE"""),"")</f>
        <v/>
      </c>
      <c r="D23145" s="12" t="str">
        <f ca="1">IFERROR(__xludf.DUMMYFUNCTION("""COMPUTED_VALUE"""),"")</f>
        <v/>
      </c>
    </row>
    <row r="23146" spans="2:4" ht="13">
      <c r="B23146" s="12" t="str">
        <f ca="1">IFERROR(__xludf.DUMMYFUNCTION("""COMPUTED_VALUE"""),"")</f>
        <v/>
      </c>
      <c r="C23146" s="12" t="str">
        <f ca="1">IFERROR(__xludf.DUMMYFUNCTION("""COMPUTED_VALUE"""),"")</f>
        <v/>
      </c>
      <c r="D23146" s="12" t="str">
        <f ca="1">IFERROR(__xludf.DUMMYFUNCTION("""COMPUTED_VALUE"""),"")</f>
        <v/>
      </c>
    </row>
    <row r="23147" spans="2:4" ht="13">
      <c r="B23147" s="12" t="str">
        <f ca="1">IFERROR(__xludf.DUMMYFUNCTION("""COMPUTED_VALUE"""),"")</f>
        <v/>
      </c>
      <c r="C23147" s="12" t="str">
        <f ca="1">IFERROR(__xludf.DUMMYFUNCTION("""COMPUTED_VALUE"""),"")</f>
        <v/>
      </c>
      <c r="D23147" s="12" t="str">
        <f ca="1">IFERROR(__xludf.DUMMYFUNCTION("""COMPUTED_VALUE"""),"")</f>
        <v/>
      </c>
    </row>
    <row r="23148" spans="2:4" ht="13">
      <c r="B23148" s="12" t="str">
        <f ca="1">IFERROR(__xludf.DUMMYFUNCTION("""COMPUTED_VALUE"""),"")</f>
        <v/>
      </c>
      <c r="C23148" s="12" t="str">
        <f ca="1">IFERROR(__xludf.DUMMYFUNCTION("""COMPUTED_VALUE"""),"")</f>
        <v/>
      </c>
      <c r="D23148" s="12" t="str">
        <f ca="1">IFERROR(__xludf.DUMMYFUNCTION("""COMPUTED_VALUE"""),"")</f>
        <v/>
      </c>
    </row>
    <row r="23149" spans="2:4" ht="13">
      <c r="B23149" s="12" t="str">
        <f ca="1">IFERROR(__xludf.DUMMYFUNCTION("""COMPUTED_VALUE"""),"")</f>
        <v/>
      </c>
      <c r="C23149" s="12" t="str">
        <f ca="1">IFERROR(__xludf.DUMMYFUNCTION("""COMPUTED_VALUE"""),"")</f>
        <v/>
      </c>
      <c r="D23149" s="12" t="str">
        <f ca="1">IFERROR(__xludf.DUMMYFUNCTION("""COMPUTED_VALUE"""),"")</f>
        <v/>
      </c>
    </row>
    <row r="23150" spans="2:4" ht="13">
      <c r="B23150" s="12" t="str">
        <f ca="1">IFERROR(__xludf.DUMMYFUNCTION("""COMPUTED_VALUE"""),"")</f>
        <v/>
      </c>
      <c r="C23150" s="12" t="str">
        <f ca="1">IFERROR(__xludf.DUMMYFUNCTION("""COMPUTED_VALUE"""),"")</f>
        <v/>
      </c>
      <c r="D23150" s="12" t="str">
        <f ca="1">IFERROR(__xludf.DUMMYFUNCTION("""COMPUTED_VALUE"""),"")</f>
        <v/>
      </c>
    </row>
    <row r="23151" spans="2:4" ht="13">
      <c r="B23151" s="12" t="str">
        <f ca="1">IFERROR(__xludf.DUMMYFUNCTION("""COMPUTED_VALUE"""),"")</f>
        <v/>
      </c>
      <c r="C23151" s="12" t="str">
        <f ca="1">IFERROR(__xludf.DUMMYFUNCTION("""COMPUTED_VALUE"""),"")</f>
        <v/>
      </c>
      <c r="D23151" s="12" t="str">
        <f ca="1">IFERROR(__xludf.DUMMYFUNCTION("""COMPUTED_VALUE"""),"")</f>
        <v/>
      </c>
    </row>
    <row r="23152" spans="2:4" ht="13">
      <c r="B23152" s="12" t="str">
        <f ca="1">IFERROR(__xludf.DUMMYFUNCTION("""COMPUTED_VALUE"""),"")</f>
        <v/>
      </c>
      <c r="C23152" s="12" t="str">
        <f ca="1">IFERROR(__xludf.DUMMYFUNCTION("""COMPUTED_VALUE"""),"")</f>
        <v/>
      </c>
      <c r="D23152" s="12" t="str">
        <f ca="1">IFERROR(__xludf.DUMMYFUNCTION("""COMPUTED_VALUE"""),"")</f>
        <v/>
      </c>
    </row>
    <row r="23153" spans="2:4" ht="13">
      <c r="B23153" s="12" t="str">
        <f ca="1">IFERROR(__xludf.DUMMYFUNCTION("""COMPUTED_VALUE"""),"")</f>
        <v/>
      </c>
      <c r="C23153" s="12" t="str">
        <f ca="1">IFERROR(__xludf.DUMMYFUNCTION("""COMPUTED_VALUE"""),"")</f>
        <v/>
      </c>
      <c r="D23153" s="12" t="str">
        <f ca="1">IFERROR(__xludf.DUMMYFUNCTION("""COMPUTED_VALUE"""),"")</f>
        <v/>
      </c>
    </row>
    <row r="23154" spans="2:4" ht="13">
      <c r="B23154" s="12" t="str">
        <f ca="1">IFERROR(__xludf.DUMMYFUNCTION("""COMPUTED_VALUE"""),"")</f>
        <v/>
      </c>
      <c r="C23154" s="12" t="str">
        <f ca="1">IFERROR(__xludf.DUMMYFUNCTION("""COMPUTED_VALUE"""),"")</f>
        <v/>
      </c>
      <c r="D23154" s="12" t="str">
        <f ca="1">IFERROR(__xludf.DUMMYFUNCTION("""COMPUTED_VALUE"""),"")</f>
        <v/>
      </c>
    </row>
    <row r="23155" spans="2:4" ht="13">
      <c r="B23155" s="12" t="str">
        <f ca="1">IFERROR(__xludf.DUMMYFUNCTION("""COMPUTED_VALUE"""),"")</f>
        <v/>
      </c>
      <c r="C23155" s="12" t="str">
        <f ca="1">IFERROR(__xludf.DUMMYFUNCTION("""COMPUTED_VALUE"""),"")</f>
        <v/>
      </c>
      <c r="D23155" s="12" t="str">
        <f ca="1">IFERROR(__xludf.DUMMYFUNCTION("""COMPUTED_VALUE"""),"")</f>
        <v/>
      </c>
    </row>
    <row r="23156" spans="2:4" ht="13">
      <c r="B23156" s="12" t="str">
        <f ca="1">IFERROR(__xludf.DUMMYFUNCTION("""COMPUTED_VALUE"""),"")</f>
        <v/>
      </c>
      <c r="C23156" s="12" t="str">
        <f ca="1">IFERROR(__xludf.DUMMYFUNCTION("""COMPUTED_VALUE"""),"")</f>
        <v/>
      </c>
      <c r="D23156" s="12" t="str">
        <f ca="1">IFERROR(__xludf.DUMMYFUNCTION("""COMPUTED_VALUE"""),"")</f>
        <v/>
      </c>
    </row>
    <row r="23157" spans="2:4" ht="13">
      <c r="B23157" s="12" t="str">
        <f ca="1">IFERROR(__xludf.DUMMYFUNCTION("""COMPUTED_VALUE"""),"")</f>
        <v/>
      </c>
      <c r="C23157" s="12" t="str">
        <f ca="1">IFERROR(__xludf.DUMMYFUNCTION("""COMPUTED_VALUE"""),"")</f>
        <v/>
      </c>
      <c r="D23157" s="12" t="str">
        <f ca="1">IFERROR(__xludf.DUMMYFUNCTION("""COMPUTED_VALUE"""),"")</f>
        <v/>
      </c>
    </row>
    <row r="23158" spans="2:4" ht="13">
      <c r="B23158" s="12" t="str">
        <f ca="1">IFERROR(__xludf.DUMMYFUNCTION("""COMPUTED_VALUE"""),"")</f>
        <v/>
      </c>
      <c r="C23158" s="12" t="str">
        <f ca="1">IFERROR(__xludf.DUMMYFUNCTION("""COMPUTED_VALUE"""),"")</f>
        <v/>
      </c>
      <c r="D23158" s="12" t="str">
        <f ca="1">IFERROR(__xludf.DUMMYFUNCTION("""COMPUTED_VALUE"""),"")</f>
        <v/>
      </c>
    </row>
    <row r="23159" spans="2:4" ht="13">
      <c r="B23159" s="12" t="str">
        <f ca="1">IFERROR(__xludf.DUMMYFUNCTION("""COMPUTED_VALUE"""),"")</f>
        <v/>
      </c>
      <c r="C23159" s="12" t="str">
        <f ca="1">IFERROR(__xludf.DUMMYFUNCTION("""COMPUTED_VALUE"""),"")</f>
        <v/>
      </c>
      <c r="D23159" s="12" t="str">
        <f ca="1">IFERROR(__xludf.DUMMYFUNCTION("""COMPUTED_VALUE"""),"")</f>
        <v/>
      </c>
    </row>
    <row r="23160" spans="2:4" ht="13">
      <c r="B23160" s="12" t="str">
        <f ca="1">IFERROR(__xludf.DUMMYFUNCTION("""COMPUTED_VALUE"""),"")</f>
        <v/>
      </c>
      <c r="C23160" s="12" t="str">
        <f ca="1">IFERROR(__xludf.DUMMYFUNCTION("""COMPUTED_VALUE"""),"")</f>
        <v/>
      </c>
      <c r="D23160" s="12" t="str">
        <f ca="1">IFERROR(__xludf.DUMMYFUNCTION("""COMPUTED_VALUE"""),"")</f>
        <v/>
      </c>
    </row>
    <row r="23161" spans="2:4" ht="13">
      <c r="B23161" s="12" t="str">
        <f ca="1">IFERROR(__xludf.DUMMYFUNCTION("""COMPUTED_VALUE"""),"")</f>
        <v/>
      </c>
      <c r="C23161" s="12" t="str">
        <f ca="1">IFERROR(__xludf.DUMMYFUNCTION("""COMPUTED_VALUE"""),"")</f>
        <v/>
      </c>
      <c r="D23161" s="12" t="str">
        <f ca="1">IFERROR(__xludf.DUMMYFUNCTION("""COMPUTED_VALUE"""),"")</f>
        <v/>
      </c>
    </row>
    <row r="23162" spans="2:4" ht="13">
      <c r="B23162" s="12" t="str">
        <f ca="1">IFERROR(__xludf.DUMMYFUNCTION("""COMPUTED_VALUE"""),"")</f>
        <v/>
      </c>
      <c r="C23162" s="12" t="str">
        <f ca="1">IFERROR(__xludf.DUMMYFUNCTION("""COMPUTED_VALUE"""),"")</f>
        <v/>
      </c>
      <c r="D23162" s="12" t="str">
        <f ca="1">IFERROR(__xludf.DUMMYFUNCTION("""COMPUTED_VALUE"""),"")</f>
        <v/>
      </c>
    </row>
    <row r="23163" spans="2:4" ht="13">
      <c r="B23163" s="12" t="str">
        <f ca="1">IFERROR(__xludf.DUMMYFUNCTION("""COMPUTED_VALUE"""),"")</f>
        <v/>
      </c>
      <c r="C23163" s="12" t="str">
        <f ca="1">IFERROR(__xludf.DUMMYFUNCTION("""COMPUTED_VALUE"""),"")</f>
        <v/>
      </c>
      <c r="D23163" s="12" t="str">
        <f ca="1">IFERROR(__xludf.DUMMYFUNCTION("""COMPUTED_VALUE"""),"")</f>
        <v/>
      </c>
    </row>
    <row r="23164" spans="2:4" ht="13">
      <c r="B23164" s="12" t="str">
        <f ca="1">IFERROR(__xludf.DUMMYFUNCTION("""COMPUTED_VALUE"""),"")</f>
        <v/>
      </c>
      <c r="C23164" s="12" t="str">
        <f ca="1">IFERROR(__xludf.DUMMYFUNCTION("""COMPUTED_VALUE"""),"")</f>
        <v/>
      </c>
      <c r="D23164" s="12" t="str">
        <f ca="1">IFERROR(__xludf.DUMMYFUNCTION("""COMPUTED_VALUE"""),"")</f>
        <v/>
      </c>
    </row>
    <row r="23165" spans="2:4" ht="13">
      <c r="B23165" s="12" t="str">
        <f ca="1">IFERROR(__xludf.DUMMYFUNCTION("""COMPUTED_VALUE"""),"")</f>
        <v/>
      </c>
      <c r="C23165" s="12" t="str">
        <f ca="1">IFERROR(__xludf.DUMMYFUNCTION("""COMPUTED_VALUE"""),"")</f>
        <v/>
      </c>
      <c r="D23165" s="12" t="str">
        <f ca="1">IFERROR(__xludf.DUMMYFUNCTION("""COMPUTED_VALUE"""),"")</f>
        <v/>
      </c>
    </row>
    <row r="23166" spans="2:4" ht="13">
      <c r="B23166" s="12" t="str">
        <f ca="1">IFERROR(__xludf.DUMMYFUNCTION("""COMPUTED_VALUE"""),"")</f>
        <v/>
      </c>
      <c r="C23166" s="12" t="str">
        <f ca="1">IFERROR(__xludf.DUMMYFUNCTION("""COMPUTED_VALUE"""),"")</f>
        <v/>
      </c>
      <c r="D23166" s="12" t="str">
        <f ca="1">IFERROR(__xludf.DUMMYFUNCTION("""COMPUTED_VALUE"""),"")</f>
        <v/>
      </c>
    </row>
    <row r="23167" spans="2:4" ht="13">
      <c r="B23167" s="12" t="str">
        <f ca="1">IFERROR(__xludf.DUMMYFUNCTION("""COMPUTED_VALUE"""),"")</f>
        <v/>
      </c>
      <c r="C23167" s="12" t="str">
        <f ca="1">IFERROR(__xludf.DUMMYFUNCTION("""COMPUTED_VALUE"""),"")</f>
        <v/>
      </c>
      <c r="D23167" s="12" t="str">
        <f ca="1">IFERROR(__xludf.DUMMYFUNCTION("""COMPUTED_VALUE"""),"")</f>
        <v/>
      </c>
    </row>
    <row r="23168" spans="2:4" ht="13">
      <c r="B23168" s="12" t="str">
        <f ca="1">IFERROR(__xludf.DUMMYFUNCTION("""COMPUTED_VALUE"""),"")</f>
        <v/>
      </c>
      <c r="C23168" s="12" t="str">
        <f ca="1">IFERROR(__xludf.DUMMYFUNCTION("""COMPUTED_VALUE"""),"")</f>
        <v/>
      </c>
      <c r="D23168" s="12" t="str">
        <f ca="1">IFERROR(__xludf.DUMMYFUNCTION("""COMPUTED_VALUE"""),"")</f>
        <v/>
      </c>
    </row>
    <row r="23169" spans="2:4" ht="13">
      <c r="B23169" s="12" t="str">
        <f ca="1">IFERROR(__xludf.DUMMYFUNCTION("""COMPUTED_VALUE"""),"")</f>
        <v/>
      </c>
      <c r="C23169" s="12" t="str">
        <f ca="1">IFERROR(__xludf.DUMMYFUNCTION("""COMPUTED_VALUE"""),"")</f>
        <v/>
      </c>
      <c r="D23169" s="12" t="str">
        <f ca="1">IFERROR(__xludf.DUMMYFUNCTION("""COMPUTED_VALUE"""),"")</f>
        <v/>
      </c>
    </row>
    <row r="23170" spans="2:4" ht="13">
      <c r="B23170" s="12" t="str">
        <f ca="1">IFERROR(__xludf.DUMMYFUNCTION("""COMPUTED_VALUE"""),"")</f>
        <v/>
      </c>
      <c r="C23170" s="12" t="str">
        <f ca="1">IFERROR(__xludf.DUMMYFUNCTION("""COMPUTED_VALUE"""),"")</f>
        <v/>
      </c>
      <c r="D23170" s="12" t="str">
        <f ca="1">IFERROR(__xludf.DUMMYFUNCTION("""COMPUTED_VALUE"""),"")</f>
        <v/>
      </c>
    </row>
    <row r="23171" spans="2:4" ht="13">
      <c r="B23171" s="12" t="str">
        <f ca="1">IFERROR(__xludf.DUMMYFUNCTION("""COMPUTED_VALUE"""),"")</f>
        <v/>
      </c>
      <c r="C23171" s="12" t="str">
        <f ca="1">IFERROR(__xludf.DUMMYFUNCTION("""COMPUTED_VALUE"""),"")</f>
        <v/>
      </c>
      <c r="D23171" s="12" t="str">
        <f ca="1">IFERROR(__xludf.DUMMYFUNCTION("""COMPUTED_VALUE"""),"")</f>
        <v/>
      </c>
    </row>
    <row r="23172" spans="2:4" ht="13">
      <c r="B23172" s="12" t="str">
        <f ca="1">IFERROR(__xludf.DUMMYFUNCTION("""COMPUTED_VALUE"""),"")</f>
        <v/>
      </c>
      <c r="C23172" s="12" t="str">
        <f ca="1">IFERROR(__xludf.DUMMYFUNCTION("""COMPUTED_VALUE"""),"")</f>
        <v/>
      </c>
      <c r="D23172" s="12" t="str">
        <f ca="1">IFERROR(__xludf.DUMMYFUNCTION("""COMPUTED_VALUE"""),"")</f>
        <v/>
      </c>
    </row>
    <row r="23173" spans="2:4" ht="13">
      <c r="B23173" s="12" t="str">
        <f ca="1">IFERROR(__xludf.DUMMYFUNCTION("""COMPUTED_VALUE"""),"")</f>
        <v/>
      </c>
      <c r="C23173" s="12" t="str">
        <f ca="1">IFERROR(__xludf.DUMMYFUNCTION("""COMPUTED_VALUE"""),"")</f>
        <v/>
      </c>
      <c r="D23173" s="12" t="str">
        <f ca="1">IFERROR(__xludf.DUMMYFUNCTION("""COMPUTED_VALUE"""),"")</f>
        <v/>
      </c>
    </row>
    <row r="23174" spans="2:4" ht="13">
      <c r="B23174" s="12" t="str">
        <f ca="1">IFERROR(__xludf.DUMMYFUNCTION("""COMPUTED_VALUE"""),"")</f>
        <v/>
      </c>
      <c r="C23174" s="12" t="str">
        <f ca="1">IFERROR(__xludf.DUMMYFUNCTION("""COMPUTED_VALUE"""),"")</f>
        <v/>
      </c>
      <c r="D23174" s="12" t="str">
        <f ca="1">IFERROR(__xludf.DUMMYFUNCTION("""COMPUTED_VALUE"""),"")</f>
        <v/>
      </c>
    </row>
    <row r="23175" spans="2:4" ht="13">
      <c r="B23175" s="12" t="str">
        <f ca="1">IFERROR(__xludf.DUMMYFUNCTION("""COMPUTED_VALUE"""),"")</f>
        <v/>
      </c>
      <c r="C23175" s="12" t="str">
        <f ca="1">IFERROR(__xludf.DUMMYFUNCTION("""COMPUTED_VALUE"""),"")</f>
        <v/>
      </c>
      <c r="D23175" s="12" t="str">
        <f ca="1">IFERROR(__xludf.DUMMYFUNCTION("""COMPUTED_VALUE"""),"")</f>
        <v/>
      </c>
    </row>
    <row r="23176" spans="2:4" ht="13">
      <c r="B23176" s="12" t="str">
        <f ca="1">IFERROR(__xludf.DUMMYFUNCTION("""COMPUTED_VALUE"""),"")</f>
        <v/>
      </c>
      <c r="C23176" s="12" t="str">
        <f ca="1">IFERROR(__xludf.DUMMYFUNCTION("""COMPUTED_VALUE"""),"")</f>
        <v/>
      </c>
      <c r="D23176" s="12" t="str">
        <f ca="1">IFERROR(__xludf.DUMMYFUNCTION("""COMPUTED_VALUE"""),"")</f>
        <v/>
      </c>
    </row>
    <row r="23177" spans="2:4" ht="13">
      <c r="B23177" s="12" t="str">
        <f ca="1">IFERROR(__xludf.DUMMYFUNCTION("""COMPUTED_VALUE"""),"")</f>
        <v/>
      </c>
      <c r="C23177" s="12" t="str">
        <f ca="1">IFERROR(__xludf.DUMMYFUNCTION("""COMPUTED_VALUE"""),"")</f>
        <v/>
      </c>
      <c r="D23177" s="12" t="str">
        <f ca="1">IFERROR(__xludf.DUMMYFUNCTION("""COMPUTED_VALUE"""),"")</f>
        <v/>
      </c>
    </row>
    <row r="23178" spans="2:4" ht="13">
      <c r="B23178" s="12" t="str">
        <f ca="1">IFERROR(__xludf.DUMMYFUNCTION("""COMPUTED_VALUE"""),"")</f>
        <v/>
      </c>
      <c r="C23178" s="12" t="str">
        <f ca="1">IFERROR(__xludf.DUMMYFUNCTION("""COMPUTED_VALUE"""),"")</f>
        <v/>
      </c>
      <c r="D23178" s="12" t="str">
        <f ca="1">IFERROR(__xludf.DUMMYFUNCTION("""COMPUTED_VALUE"""),"")</f>
        <v/>
      </c>
    </row>
    <row r="23179" spans="2:4" ht="13">
      <c r="B23179" s="12" t="str">
        <f ca="1">IFERROR(__xludf.DUMMYFUNCTION("""COMPUTED_VALUE"""),"")</f>
        <v/>
      </c>
      <c r="C23179" s="12" t="str">
        <f ca="1">IFERROR(__xludf.DUMMYFUNCTION("""COMPUTED_VALUE"""),"")</f>
        <v/>
      </c>
      <c r="D23179" s="12" t="str">
        <f ca="1">IFERROR(__xludf.DUMMYFUNCTION("""COMPUTED_VALUE"""),"")</f>
        <v/>
      </c>
    </row>
    <row r="23180" spans="2:4" ht="13">
      <c r="B23180" s="12" t="str">
        <f ca="1">IFERROR(__xludf.DUMMYFUNCTION("""COMPUTED_VALUE"""),"")</f>
        <v/>
      </c>
      <c r="C23180" s="12" t="str">
        <f ca="1">IFERROR(__xludf.DUMMYFUNCTION("""COMPUTED_VALUE"""),"")</f>
        <v/>
      </c>
      <c r="D23180" s="12" t="str">
        <f ca="1">IFERROR(__xludf.DUMMYFUNCTION("""COMPUTED_VALUE"""),"")</f>
        <v/>
      </c>
    </row>
    <row r="23181" spans="2:4" ht="13">
      <c r="B23181" s="12" t="str">
        <f ca="1">IFERROR(__xludf.DUMMYFUNCTION("""COMPUTED_VALUE"""),"")</f>
        <v/>
      </c>
      <c r="C23181" s="12" t="str">
        <f ca="1">IFERROR(__xludf.DUMMYFUNCTION("""COMPUTED_VALUE"""),"")</f>
        <v/>
      </c>
      <c r="D23181" s="12" t="str">
        <f ca="1">IFERROR(__xludf.DUMMYFUNCTION("""COMPUTED_VALUE"""),"")</f>
        <v/>
      </c>
    </row>
    <row r="23182" spans="2:4" ht="13">
      <c r="B23182" s="12" t="str">
        <f ca="1">IFERROR(__xludf.DUMMYFUNCTION("""COMPUTED_VALUE"""),"")</f>
        <v/>
      </c>
      <c r="C23182" s="12" t="str">
        <f ca="1">IFERROR(__xludf.DUMMYFUNCTION("""COMPUTED_VALUE"""),"")</f>
        <v/>
      </c>
      <c r="D23182" s="12" t="str">
        <f ca="1">IFERROR(__xludf.DUMMYFUNCTION("""COMPUTED_VALUE"""),"")</f>
        <v/>
      </c>
    </row>
    <row r="23183" spans="2:4" ht="13">
      <c r="B23183" s="12" t="str">
        <f ca="1">IFERROR(__xludf.DUMMYFUNCTION("""COMPUTED_VALUE"""),"")</f>
        <v/>
      </c>
      <c r="C23183" s="12" t="str">
        <f ca="1">IFERROR(__xludf.DUMMYFUNCTION("""COMPUTED_VALUE"""),"")</f>
        <v/>
      </c>
      <c r="D23183" s="12" t="str">
        <f ca="1">IFERROR(__xludf.DUMMYFUNCTION("""COMPUTED_VALUE"""),"")</f>
        <v/>
      </c>
    </row>
    <row r="23184" spans="2:4" ht="13">
      <c r="B23184" s="12" t="str">
        <f ca="1">IFERROR(__xludf.DUMMYFUNCTION("""COMPUTED_VALUE"""),"")</f>
        <v/>
      </c>
      <c r="C23184" s="12" t="str">
        <f ca="1">IFERROR(__xludf.DUMMYFUNCTION("""COMPUTED_VALUE"""),"")</f>
        <v/>
      </c>
      <c r="D23184" s="12" t="str">
        <f ca="1">IFERROR(__xludf.DUMMYFUNCTION("""COMPUTED_VALUE"""),"")</f>
        <v/>
      </c>
    </row>
    <row r="23185" spans="2:4" ht="13">
      <c r="B23185" s="12" t="str">
        <f ca="1">IFERROR(__xludf.DUMMYFUNCTION("""COMPUTED_VALUE"""),"")</f>
        <v/>
      </c>
      <c r="C23185" s="12" t="str">
        <f ca="1">IFERROR(__xludf.DUMMYFUNCTION("""COMPUTED_VALUE"""),"")</f>
        <v/>
      </c>
      <c r="D23185" s="12" t="str">
        <f ca="1">IFERROR(__xludf.DUMMYFUNCTION("""COMPUTED_VALUE"""),"")</f>
        <v/>
      </c>
    </row>
    <row r="23186" spans="2:4" ht="13">
      <c r="B23186" s="12" t="str">
        <f ca="1">IFERROR(__xludf.DUMMYFUNCTION("""COMPUTED_VALUE"""),"")</f>
        <v/>
      </c>
      <c r="C23186" s="12" t="str">
        <f ca="1">IFERROR(__xludf.DUMMYFUNCTION("""COMPUTED_VALUE"""),"")</f>
        <v/>
      </c>
      <c r="D23186" s="12" t="str">
        <f ca="1">IFERROR(__xludf.DUMMYFUNCTION("""COMPUTED_VALUE"""),"")</f>
        <v/>
      </c>
    </row>
    <row r="23187" spans="2:4" ht="13">
      <c r="B23187" s="12" t="str">
        <f ca="1">IFERROR(__xludf.DUMMYFUNCTION("""COMPUTED_VALUE"""),"")</f>
        <v/>
      </c>
      <c r="C23187" s="12" t="str">
        <f ca="1">IFERROR(__xludf.DUMMYFUNCTION("""COMPUTED_VALUE"""),"")</f>
        <v/>
      </c>
      <c r="D23187" s="12" t="str">
        <f ca="1">IFERROR(__xludf.DUMMYFUNCTION("""COMPUTED_VALUE"""),"")</f>
        <v/>
      </c>
    </row>
    <row r="23188" spans="2:4" ht="13">
      <c r="B23188" s="12" t="str">
        <f ca="1">IFERROR(__xludf.DUMMYFUNCTION("""COMPUTED_VALUE"""),"")</f>
        <v/>
      </c>
      <c r="C23188" s="12" t="str">
        <f ca="1">IFERROR(__xludf.DUMMYFUNCTION("""COMPUTED_VALUE"""),"")</f>
        <v/>
      </c>
      <c r="D23188" s="12" t="str">
        <f ca="1">IFERROR(__xludf.DUMMYFUNCTION("""COMPUTED_VALUE"""),"")</f>
        <v/>
      </c>
    </row>
    <row r="23189" spans="2:4" ht="13">
      <c r="B23189" s="12" t="str">
        <f ca="1">IFERROR(__xludf.DUMMYFUNCTION("""COMPUTED_VALUE"""),"")</f>
        <v/>
      </c>
      <c r="C23189" s="12" t="str">
        <f ca="1">IFERROR(__xludf.DUMMYFUNCTION("""COMPUTED_VALUE"""),"")</f>
        <v/>
      </c>
      <c r="D23189" s="12" t="str">
        <f ca="1">IFERROR(__xludf.DUMMYFUNCTION("""COMPUTED_VALUE"""),"")</f>
        <v/>
      </c>
    </row>
    <row r="23190" spans="2:4" ht="13">
      <c r="B23190" s="12" t="str">
        <f ca="1">IFERROR(__xludf.DUMMYFUNCTION("""COMPUTED_VALUE"""),"")</f>
        <v/>
      </c>
      <c r="C23190" s="12" t="str">
        <f ca="1">IFERROR(__xludf.DUMMYFUNCTION("""COMPUTED_VALUE"""),"")</f>
        <v/>
      </c>
      <c r="D23190" s="12" t="str">
        <f ca="1">IFERROR(__xludf.DUMMYFUNCTION("""COMPUTED_VALUE"""),"")</f>
        <v/>
      </c>
    </row>
    <row r="23191" spans="2:4" ht="13">
      <c r="B23191" s="12" t="str">
        <f ca="1">IFERROR(__xludf.DUMMYFUNCTION("""COMPUTED_VALUE"""),"")</f>
        <v/>
      </c>
      <c r="C23191" s="12" t="str">
        <f ca="1">IFERROR(__xludf.DUMMYFUNCTION("""COMPUTED_VALUE"""),"")</f>
        <v/>
      </c>
      <c r="D23191" s="12" t="str">
        <f ca="1">IFERROR(__xludf.DUMMYFUNCTION("""COMPUTED_VALUE"""),"")</f>
        <v/>
      </c>
    </row>
    <row r="23192" spans="2:4" ht="13">
      <c r="B23192" s="12" t="str">
        <f ca="1">IFERROR(__xludf.DUMMYFUNCTION("""COMPUTED_VALUE"""),"")</f>
        <v/>
      </c>
      <c r="C23192" s="12" t="str">
        <f ca="1">IFERROR(__xludf.DUMMYFUNCTION("""COMPUTED_VALUE"""),"")</f>
        <v/>
      </c>
      <c r="D23192" s="12" t="str">
        <f ca="1">IFERROR(__xludf.DUMMYFUNCTION("""COMPUTED_VALUE"""),"")</f>
        <v/>
      </c>
    </row>
    <row r="23193" spans="2:4" ht="13">
      <c r="B23193" s="12" t="str">
        <f ca="1">IFERROR(__xludf.DUMMYFUNCTION("""COMPUTED_VALUE"""),"")</f>
        <v/>
      </c>
      <c r="C23193" s="12" t="str">
        <f ca="1">IFERROR(__xludf.DUMMYFUNCTION("""COMPUTED_VALUE"""),"")</f>
        <v/>
      </c>
      <c r="D23193" s="12" t="str">
        <f ca="1">IFERROR(__xludf.DUMMYFUNCTION("""COMPUTED_VALUE"""),"")</f>
        <v/>
      </c>
    </row>
    <row r="23194" spans="2:4" ht="13">
      <c r="B23194" s="12" t="str">
        <f ca="1">IFERROR(__xludf.DUMMYFUNCTION("""COMPUTED_VALUE"""),"")</f>
        <v/>
      </c>
      <c r="C23194" s="12" t="str">
        <f ca="1">IFERROR(__xludf.DUMMYFUNCTION("""COMPUTED_VALUE"""),"")</f>
        <v/>
      </c>
      <c r="D23194" s="12" t="str">
        <f ca="1">IFERROR(__xludf.DUMMYFUNCTION("""COMPUTED_VALUE"""),"")</f>
        <v/>
      </c>
    </row>
    <row r="23195" spans="2:4" ht="13">
      <c r="B23195" s="12" t="str">
        <f ca="1">IFERROR(__xludf.DUMMYFUNCTION("""COMPUTED_VALUE"""),"")</f>
        <v/>
      </c>
      <c r="C23195" s="12" t="str">
        <f ca="1">IFERROR(__xludf.DUMMYFUNCTION("""COMPUTED_VALUE"""),"")</f>
        <v/>
      </c>
      <c r="D23195" s="12" t="str">
        <f ca="1">IFERROR(__xludf.DUMMYFUNCTION("""COMPUTED_VALUE"""),"")</f>
        <v/>
      </c>
    </row>
    <row r="23196" spans="2:4" ht="13">
      <c r="B23196" s="12" t="str">
        <f ca="1">IFERROR(__xludf.DUMMYFUNCTION("""COMPUTED_VALUE"""),"")</f>
        <v/>
      </c>
      <c r="C23196" s="12" t="str">
        <f ca="1">IFERROR(__xludf.DUMMYFUNCTION("""COMPUTED_VALUE"""),"")</f>
        <v/>
      </c>
      <c r="D23196" s="12" t="str">
        <f ca="1">IFERROR(__xludf.DUMMYFUNCTION("""COMPUTED_VALUE"""),"")</f>
        <v/>
      </c>
    </row>
    <row r="23197" spans="2:4" ht="13">
      <c r="B23197" s="12" t="str">
        <f ca="1">IFERROR(__xludf.DUMMYFUNCTION("""COMPUTED_VALUE"""),"")</f>
        <v/>
      </c>
      <c r="C23197" s="12" t="str">
        <f ca="1">IFERROR(__xludf.DUMMYFUNCTION("""COMPUTED_VALUE"""),"")</f>
        <v/>
      </c>
      <c r="D23197" s="12" t="str">
        <f ca="1">IFERROR(__xludf.DUMMYFUNCTION("""COMPUTED_VALUE"""),"")</f>
        <v/>
      </c>
    </row>
    <row r="23198" spans="2:4" ht="13">
      <c r="B23198" s="12" t="str">
        <f ca="1">IFERROR(__xludf.DUMMYFUNCTION("""COMPUTED_VALUE"""),"")</f>
        <v/>
      </c>
      <c r="C23198" s="12" t="str">
        <f ca="1">IFERROR(__xludf.DUMMYFUNCTION("""COMPUTED_VALUE"""),"")</f>
        <v/>
      </c>
      <c r="D23198" s="12" t="str">
        <f ca="1">IFERROR(__xludf.DUMMYFUNCTION("""COMPUTED_VALUE"""),"")</f>
        <v/>
      </c>
    </row>
    <row r="23199" spans="2:4" ht="13">
      <c r="B23199" s="12" t="str">
        <f ca="1">IFERROR(__xludf.DUMMYFUNCTION("""COMPUTED_VALUE"""),"")</f>
        <v/>
      </c>
      <c r="C23199" s="12" t="str">
        <f ca="1">IFERROR(__xludf.DUMMYFUNCTION("""COMPUTED_VALUE"""),"")</f>
        <v/>
      </c>
      <c r="D23199" s="12" t="str">
        <f ca="1">IFERROR(__xludf.DUMMYFUNCTION("""COMPUTED_VALUE"""),"")</f>
        <v/>
      </c>
    </row>
    <row r="23200" spans="2:4" ht="13">
      <c r="B23200" s="12" t="str">
        <f ca="1">IFERROR(__xludf.DUMMYFUNCTION("""COMPUTED_VALUE"""),"")</f>
        <v/>
      </c>
      <c r="C23200" s="12" t="str">
        <f ca="1">IFERROR(__xludf.DUMMYFUNCTION("""COMPUTED_VALUE"""),"")</f>
        <v/>
      </c>
      <c r="D23200" s="12" t="str">
        <f ca="1">IFERROR(__xludf.DUMMYFUNCTION("""COMPUTED_VALUE"""),"")</f>
        <v/>
      </c>
    </row>
    <row r="23201" spans="2:4" ht="13">
      <c r="B23201" s="12" t="str">
        <f ca="1">IFERROR(__xludf.DUMMYFUNCTION("""COMPUTED_VALUE"""),"")</f>
        <v/>
      </c>
      <c r="C23201" s="12" t="str">
        <f ca="1">IFERROR(__xludf.DUMMYFUNCTION("""COMPUTED_VALUE"""),"")</f>
        <v/>
      </c>
      <c r="D23201" s="12" t="str">
        <f ca="1">IFERROR(__xludf.DUMMYFUNCTION("""COMPUTED_VALUE"""),"")</f>
        <v/>
      </c>
    </row>
    <row r="23202" spans="2:4" ht="13">
      <c r="B23202" s="12" t="str">
        <f ca="1">IFERROR(__xludf.DUMMYFUNCTION("""COMPUTED_VALUE"""),"")</f>
        <v/>
      </c>
      <c r="C23202" s="12" t="str">
        <f ca="1">IFERROR(__xludf.DUMMYFUNCTION("""COMPUTED_VALUE"""),"")</f>
        <v/>
      </c>
      <c r="D23202" s="12" t="str">
        <f ca="1">IFERROR(__xludf.DUMMYFUNCTION("""COMPUTED_VALUE"""),"")</f>
        <v/>
      </c>
    </row>
    <row r="23203" spans="2:4" ht="13">
      <c r="B23203" s="12" t="str">
        <f ca="1">IFERROR(__xludf.DUMMYFUNCTION("""COMPUTED_VALUE"""),"")</f>
        <v/>
      </c>
      <c r="C23203" s="12" t="str">
        <f ca="1">IFERROR(__xludf.DUMMYFUNCTION("""COMPUTED_VALUE"""),"")</f>
        <v/>
      </c>
      <c r="D23203" s="12" t="str">
        <f ca="1">IFERROR(__xludf.DUMMYFUNCTION("""COMPUTED_VALUE"""),"")</f>
        <v/>
      </c>
    </row>
    <row r="23204" spans="2:4" ht="13">
      <c r="B23204" s="12" t="str">
        <f ca="1">IFERROR(__xludf.DUMMYFUNCTION("""COMPUTED_VALUE"""),"")</f>
        <v/>
      </c>
      <c r="C23204" s="12" t="str">
        <f ca="1">IFERROR(__xludf.DUMMYFUNCTION("""COMPUTED_VALUE"""),"")</f>
        <v/>
      </c>
      <c r="D23204" s="12" t="str">
        <f ca="1">IFERROR(__xludf.DUMMYFUNCTION("""COMPUTED_VALUE"""),"")</f>
        <v/>
      </c>
    </row>
    <row r="23205" spans="2:4" ht="13">
      <c r="B23205" s="12" t="str">
        <f ca="1">IFERROR(__xludf.DUMMYFUNCTION("""COMPUTED_VALUE"""),"")</f>
        <v/>
      </c>
      <c r="C23205" s="12" t="str">
        <f ca="1">IFERROR(__xludf.DUMMYFUNCTION("""COMPUTED_VALUE"""),"")</f>
        <v/>
      </c>
      <c r="D23205" s="12" t="str">
        <f ca="1">IFERROR(__xludf.DUMMYFUNCTION("""COMPUTED_VALUE"""),"")</f>
        <v/>
      </c>
    </row>
    <row r="23206" spans="2:4" ht="13">
      <c r="B23206" s="12" t="str">
        <f ca="1">IFERROR(__xludf.DUMMYFUNCTION("""COMPUTED_VALUE"""),"")</f>
        <v/>
      </c>
      <c r="C23206" s="12" t="str">
        <f ca="1">IFERROR(__xludf.DUMMYFUNCTION("""COMPUTED_VALUE"""),"")</f>
        <v/>
      </c>
      <c r="D23206" s="12" t="str">
        <f ca="1">IFERROR(__xludf.DUMMYFUNCTION("""COMPUTED_VALUE"""),"")</f>
        <v/>
      </c>
    </row>
    <row r="23207" spans="2:4" ht="13">
      <c r="B23207" s="12" t="str">
        <f ca="1">IFERROR(__xludf.DUMMYFUNCTION("""COMPUTED_VALUE"""),"")</f>
        <v/>
      </c>
      <c r="C23207" s="12" t="str">
        <f ca="1">IFERROR(__xludf.DUMMYFUNCTION("""COMPUTED_VALUE"""),"")</f>
        <v/>
      </c>
      <c r="D23207" s="12" t="str">
        <f ca="1">IFERROR(__xludf.DUMMYFUNCTION("""COMPUTED_VALUE"""),"")</f>
        <v/>
      </c>
    </row>
    <row r="23208" spans="2:4" ht="13">
      <c r="B23208" s="12" t="str">
        <f ca="1">IFERROR(__xludf.DUMMYFUNCTION("""COMPUTED_VALUE"""),"")</f>
        <v/>
      </c>
      <c r="C23208" s="12" t="str">
        <f ca="1">IFERROR(__xludf.DUMMYFUNCTION("""COMPUTED_VALUE"""),"")</f>
        <v/>
      </c>
      <c r="D23208" s="12" t="str">
        <f ca="1">IFERROR(__xludf.DUMMYFUNCTION("""COMPUTED_VALUE"""),"")</f>
        <v/>
      </c>
    </row>
    <row r="23209" spans="2:4" ht="13">
      <c r="B23209" s="12" t="str">
        <f ca="1">IFERROR(__xludf.DUMMYFUNCTION("""COMPUTED_VALUE"""),"")</f>
        <v/>
      </c>
      <c r="C23209" s="12" t="str">
        <f ca="1">IFERROR(__xludf.DUMMYFUNCTION("""COMPUTED_VALUE"""),"")</f>
        <v/>
      </c>
      <c r="D23209" s="12" t="str">
        <f ca="1">IFERROR(__xludf.DUMMYFUNCTION("""COMPUTED_VALUE"""),"")</f>
        <v/>
      </c>
    </row>
    <row r="23210" spans="2:4" ht="13">
      <c r="B23210" s="12" t="str">
        <f ca="1">IFERROR(__xludf.DUMMYFUNCTION("""COMPUTED_VALUE"""),"")</f>
        <v/>
      </c>
      <c r="C23210" s="12" t="str">
        <f ca="1">IFERROR(__xludf.DUMMYFUNCTION("""COMPUTED_VALUE"""),"")</f>
        <v/>
      </c>
      <c r="D23210" s="12" t="str">
        <f ca="1">IFERROR(__xludf.DUMMYFUNCTION("""COMPUTED_VALUE"""),"")</f>
        <v/>
      </c>
    </row>
    <row r="23211" spans="2:4" ht="13">
      <c r="B23211" s="12" t="str">
        <f ca="1">IFERROR(__xludf.DUMMYFUNCTION("""COMPUTED_VALUE"""),"")</f>
        <v/>
      </c>
      <c r="C23211" s="12" t="str">
        <f ca="1">IFERROR(__xludf.DUMMYFUNCTION("""COMPUTED_VALUE"""),"")</f>
        <v/>
      </c>
      <c r="D23211" s="12" t="str">
        <f ca="1">IFERROR(__xludf.DUMMYFUNCTION("""COMPUTED_VALUE"""),"")</f>
        <v/>
      </c>
    </row>
    <row r="23212" spans="2:4" ht="13">
      <c r="B23212" s="12" t="str">
        <f ca="1">IFERROR(__xludf.DUMMYFUNCTION("""COMPUTED_VALUE"""),"")</f>
        <v/>
      </c>
      <c r="C23212" s="12" t="str">
        <f ca="1">IFERROR(__xludf.DUMMYFUNCTION("""COMPUTED_VALUE"""),"")</f>
        <v/>
      </c>
      <c r="D23212" s="12" t="str">
        <f ca="1">IFERROR(__xludf.DUMMYFUNCTION("""COMPUTED_VALUE"""),"")</f>
        <v/>
      </c>
    </row>
    <row r="23213" spans="2:4" ht="13">
      <c r="B23213" s="12" t="str">
        <f ca="1">IFERROR(__xludf.DUMMYFUNCTION("""COMPUTED_VALUE"""),"")</f>
        <v/>
      </c>
      <c r="C23213" s="12" t="str">
        <f ca="1">IFERROR(__xludf.DUMMYFUNCTION("""COMPUTED_VALUE"""),"")</f>
        <v/>
      </c>
      <c r="D23213" s="12" t="str">
        <f ca="1">IFERROR(__xludf.DUMMYFUNCTION("""COMPUTED_VALUE"""),"")</f>
        <v/>
      </c>
    </row>
    <row r="23214" spans="2:4" ht="13">
      <c r="B23214" s="12" t="str">
        <f ca="1">IFERROR(__xludf.DUMMYFUNCTION("""COMPUTED_VALUE"""),"")</f>
        <v/>
      </c>
      <c r="C23214" s="12" t="str">
        <f ca="1">IFERROR(__xludf.DUMMYFUNCTION("""COMPUTED_VALUE"""),"")</f>
        <v/>
      </c>
      <c r="D23214" s="12" t="str">
        <f ca="1">IFERROR(__xludf.DUMMYFUNCTION("""COMPUTED_VALUE"""),"")</f>
        <v/>
      </c>
    </row>
    <row r="23215" spans="2:4" ht="13">
      <c r="B23215" s="12" t="str">
        <f ca="1">IFERROR(__xludf.DUMMYFUNCTION("""COMPUTED_VALUE"""),"")</f>
        <v/>
      </c>
      <c r="C23215" s="12" t="str">
        <f ca="1">IFERROR(__xludf.DUMMYFUNCTION("""COMPUTED_VALUE"""),"")</f>
        <v/>
      </c>
      <c r="D23215" s="12" t="str">
        <f ca="1">IFERROR(__xludf.DUMMYFUNCTION("""COMPUTED_VALUE"""),"")</f>
        <v/>
      </c>
    </row>
    <row r="23216" spans="2:4" ht="13">
      <c r="B23216" s="12" t="str">
        <f ca="1">IFERROR(__xludf.DUMMYFUNCTION("""COMPUTED_VALUE"""),"")</f>
        <v/>
      </c>
      <c r="C23216" s="12" t="str">
        <f ca="1">IFERROR(__xludf.DUMMYFUNCTION("""COMPUTED_VALUE"""),"")</f>
        <v/>
      </c>
      <c r="D23216" s="12" t="str">
        <f ca="1">IFERROR(__xludf.DUMMYFUNCTION("""COMPUTED_VALUE"""),"")</f>
        <v/>
      </c>
    </row>
    <row r="23217" spans="2:4" ht="13">
      <c r="B23217" s="12" t="str">
        <f ca="1">IFERROR(__xludf.DUMMYFUNCTION("""COMPUTED_VALUE"""),"")</f>
        <v/>
      </c>
      <c r="C23217" s="12" t="str">
        <f ca="1">IFERROR(__xludf.DUMMYFUNCTION("""COMPUTED_VALUE"""),"")</f>
        <v/>
      </c>
      <c r="D23217" s="12" t="str">
        <f ca="1">IFERROR(__xludf.DUMMYFUNCTION("""COMPUTED_VALUE"""),"")</f>
        <v/>
      </c>
    </row>
    <row r="23218" spans="2:4" ht="13">
      <c r="B23218" s="12" t="str">
        <f ca="1">IFERROR(__xludf.DUMMYFUNCTION("""COMPUTED_VALUE"""),"")</f>
        <v/>
      </c>
      <c r="C23218" s="12" t="str">
        <f ca="1">IFERROR(__xludf.DUMMYFUNCTION("""COMPUTED_VALUE"""),"")</f>
        <v/>
      </c>
      <c r="D23218" s="12" t="str">
        <f ca="1">IFERROR(__xludf.DUMMYFUNCTION("""COMPUTED_VALUE"""),"")</f>
        <v/>
      </c>
    </row>
    <row r="23219" spans="2:4" ht="13">
      <c r="B23219" s="12" t="str">
        <f ca="1">IFERROR(__xludf.DUMMYFUNCTION("""COMPUTED_VALUE"""),"")</f>
        <v/>
      </c>
      <c r="C23219" s="12" t="str">
        <f ca="1">IFERROR(__xludf.DUMMYFUNCTION("""COMPUTED_VALUE"""),"")</f>
        <v/>
      </c>
      <c r="D23219" s="12" t="str">
        <f ca="1">IFERROR(__xludf.DUMMYFUNCTION("""COMPUTED_VALUE"""),"")</f>
        <v/>
      </c>
    </row>
    <row r="23220" spans="2:4" ht="13">
      <c r="B23220" s="12" t="str">
        <f ca="1">IFERROR(__xludf.DUMMYFUNCTION("""COMPUTED_VALUE"""),"")</f>
        <v/>
      </c>
      <c r="C23220" s="12" t="str">
        <f ca="1">IFERROR(__xludf.DUMMYFUNCTION("""COMPUTED_VALUE"""),"")</f>
        <v/>
      </c>
      <c r="D23220" s="12" t="str">
        <f ca="1">IFERROR(__xludf.DUMMYFUNCTION("""COMPUTED_VALUE"""),"")</f>
        <v/>
      </c>
    </row>
    <row r="23221" spans="2:4" ht="13">
      <c r="B23221" s="12" t="str">
        <f ca="1">IFERROR(__xludf.DUMMYFUNCTION("""COMPUTED_VALUE"""),"")</f>
        <v/>
      </c>
      <c r="C23221" s="12" t="str">
        <f ca="1">IFERROR(__xludf.DUMMYFUNCTION("""COMPUTED_VALUE"""),"")</f>
        <v/>
      </c>
      <c r="D23221" s="12" t="str">
        <f ca="1">IFERROR(__xludf.DUMMYFUNCTION("""COMPUTED_VALUE"""),"")</f>
        <v/>
      </c>
    </row>
    <row r="23222" spans="2:4" ht="13">
      <c r="B23222" s="12" t="str">
        <f ca="1">IFERROR(__xludf.DUMMYFUNCTION("""COMPUTED_VALUE"""),"")</f>
        <v/>
      </c>
      <c r="C23222" s="12" t="str">
        <f ca="1">IFERROR(__xludf.DUMMYFUNCTION("""COMPUTED_VALUE"""),"")</f>
        <v/>
      </c>
      <c r="D23222" s="12" t="str">
        <f ca="1">IFERROR(__xludf.DUMMYFUNCTION("""COMPUTED_VALUE"""),"")</f>
        <v/>
      </c>
    </row>
    <row r="23223" spans="2:4" ht="13">
      <c r="B23223" s="12" t="str">
        <f ca="1">IFERROR(__xludf.DUMMYFUNCTION("""COMPUTED_VALUE"""),"")</f>
        <v/>
      </c>
      <c r="C23223" s="12" t="str">
        <f ca="1">IFERROR(__xludf.DUMMYFUNCTION("""COMPUTED_VALUE"""),"")</f>
        <v/>
      </c>
      <c r="D23223" s="12" t="str">
        <f ca="1">IFERROR(__xludf.DUMMYFUNCTION("""COMPUTED_VALUE"""),"")</f>
        <v/>
      </c>
    </row>
    <row r="23224" spans="2:4" ht="13">
      <c r="B23224" s="12" t="str">
        <f ca="1">IFERROR(__xludf.DUMMYFUNCTION("""COMPUTED_VALUE"""),"")</f>
        <v/>
      </c>
      <c r="C23224" s="12" t="str">
        <f ca="1">IFERROR(__xludf.DUMMYFUNCTION("""COMPUTED_VALUE"""),"")</f>
        <v/>
      </c>
      <c r="D23224" s="12" t="str">
        <f ca="1">IFERROR(__xludf.DUMMYFUNCTION("""COMPUTED_VALUE"""),"")</f>
        <v/>
      </c>
    </row>
    <row r="23225" spans="2:4" ht="13">
      <c r="B23225" s="12" t="str">
        <f ca="1">IFERROR(__xludf.DUMMYFUNCTION("""COMPUTED_VALUE"""),"")</f>
        <v/>
      </c>
      <c r="C23225" s="12" t="str">
        <f ca="1">IFERROR(__xludf.DUMMYFUNCTION("""COMPUTED_VALUE"""),"")</f>
        <v/>
      </c>
      <c r="D23225" s="12" t="str">
        <f ca="1">IFERROR(__xludf.DUMMYFUNCTION("""COMPUTED_VALUE"""),"")</f>
        <v/>
      </c>
    </row>
    <row r="23226" spans="2:4" ht="13">
      <c r="B23226" s="12" t="str">
        <f ca="1">IFERROR(__xludf.DUMMYFUNCTION("""COMPUTED_VALUE"""),"")</f>
        <v/>
      </c>
      <c r="C23226" s="12" t="str">
        <f ca="1">IFERROR(__xludf.DUMMYFUNCTION("""COMPUTED_VALUE"""),"")</f>
        <v/>
      </c>
      <c r="D23226" s="12" t="str">
        <f ca="1">IFERROR(__xludf.DUMMYFUNCTION("""COMPUTED_VALUE"""),"")</f>
        <v/>
      </c>
    </row>
    <row r="23227" spans="2:4" ht="13">
      <c r="B23227" s="12" t="str">
        <f ca="1">IFERROR(__xludf.DUMMYFUNCTION("""COMPUTED_VALUE"""),"")</f>
        <v/>
      </c>
      <c r="C23227" s="12" t="str">
        <f ca="1">IFERROR(__xludf.DUMMYFUNCTION("""COMPUTED_VALUE"""),"")</f>
        <v/>
      </c>
      <c r="D23227" s="12" t="str">
        <f ca="1">IFERROR(__xludf.DUMMYFUNCTION("""COMPUTED_VALUE"""),"")</f>
        <v/>
      </c>
    </row>
    <row r="23228" spans="2:4" ht="13">
      <c r="B23228" s="12" t="str">
        <f ca="1">IFERROR(__xludf.DUMMYFUNCTION("""COMPUTED_VALUE"""),"")</f>
        <v/>
      </c>
      <c r="C23228" s="12" t="str">
        <f ca="1">IFERROR(__xludf.DUMMYFUNCTION("""COMPUTED_VALUE"""),"")</f>
        <v/>
      </c>
      <c r="D23228" s="12" t="str">
        <f ca="1">IFERROR(__xludf.DUMMYFUNCTION("""COMPUTED_VALUE"""),"")</f>
        <v/>
      </c>
    </row>
    <row r="23229" spans="2:4" ht="13">
      <c r="B23229" s="12" t="str">
        <f ca="1">IFERROR(__xludf.DUMMYFUNCTION("""COMPUTED_VALUE"""),"")</f>
        <v/>
      </c>
      <c r="C23229" s="12" t="str">
        <f ca="1">IFERROR(__xludf.DUMMYFUNCTION("""COMPUTED_VALUE"""),"")</f>
        <v/>
      </c>
      <c r="D23229" s="12" t="str">
        <f ca="1">IFERROR(__xludf.DUMMYFUNCTION("""COMPUTED_VALUE"""),"")</f>
        <v/>
      </c>
    </row>
    <row r="23230" spans="2:4" ht="13">
      <c r="B23230" s="12" t="str">
        <f ca="1">IFERROR(__xludf.DUMMYFUNCTION("""COMPUTED_VALUE"""),"")</f>
        <v/>
      </c>
      <c r="C23230" s="12" t="str">
        <f ca="1">IFERROR(__xludf.DUMMYFUNCTION("""COMPUTED_VALUE"""),"")</f>
        <v/>
      </c>
      <c r="D23230" s="12" t="str">
        <f ca="1">IFERROR(__xludf.DUMMYFUNCTION("""COMPUTED_VALUE"""),"")</f>
        <v/>
      </c>
    </row>
    <row r="23231" spans="2:4" ht="13">
      <c r="B23231" s="12" t="str">
        <f ca="1">IFERROR(__xludf.DUMMYFUNCTION("""COMPUTED_VALUE"""),"")</f>
        <v/>
      </c>
      <c r="C23231" s="12" t="str">
        <f ca="1">IFERROR(__xludf.DUMMYFUNCTION("""COMPUTED_VALUE"""),"")</f>
        <v/>
      </c>
      <c r="D23231" s="12" t="str">
        <f ca="1">IFERROR(__xludf.DUMMYFUNCTION("""COMPUTED_VALUE"""),"")</f>
        <v/>
      </c>
    </row>
    <row r="23232" spans="2:4" ht="13">
      <c r="B23232" s="12" t="str">
        <f ca="1">IFERROR(__xludf.DUMMYFUNCTION("""COMPUTED_VALUE"""),"")</f>
        <v/>
      </c>
      <c r="C23232" s="12" t="str">
        <f ca="1">IFERROR(__xludf.DUMMYFUNCTION("""COMPUTED_VALUE"""),"")</f>
        <v/>
      </c>
      <c r="D23232" s="12" t="str">
        <f ca="1">IFERROR(__xludf.DUMMYFUNCTION("""COMPUTED_VALUE"""),"")</f>
        <v/>
      </c>
    </row>
    <row r="23233" spans="2:4" ht="13">
      <c r="B23233" s="12" t="str">
        <f ca="1">IFERROR(__xludf.DUMMYFUNCTION("""COMPUTED_VALUE"""),"")</f>
        <v/>
      </c>
      <c r="C23233" s="12" t="str">
        <f ca="1">IFERROR(__xludf.DUMMYFUNCTION("""COMPUTED_VALUE"""),"")</f>
        <v/>
      </c>
      <c r="D23233" s="12" t="str">
        <f ca="1">IFERROR(__xludf.DUMMYFUNCTION("""COMPUTED_VALUE"""),"")</f>
        <v/>
      </c>
    </row>
    <row r="23234" spans="2:4" ht="13">
      <c r="B23234" s="12" t="str">
        <f ca="1">IFERROR(__xludf.DUMMYFUNCTION("""COMPUTED_VALUE"""),"")</f>
        <v/>
      </c>
      <c r="C23234" s="12" t="str">
        <f ca="1">IFERROR(__xludf.DUMMYFUNCTION("""COMPUTED_VALUE"""),"")</f>
        <v/>
      </c>
      <c r="D23234" s="12" t="str">
        <f ca="1">IFERROR(__xludf.DUMMYFUNCTION("""COMPUTED_VALUE"""),"")</f>
        <v/>
      </c>
    </row>
    <row r="23235" spans="2:4" ht="13">
      <c r="B23235" s="12" t="str">
        <f ca="1">IFERROR(__xludf.DUMMYFUNCTION("""COMPUTED_VALUE"""),"")</f>
        <v/>
      </c>
      <c r="C23235" s="12" t="str">
        <f ca="1">IFERROR(__xludf.DUMMYFUNCTION("""COMPUTED_VALUE"""),"")</f>
        <v/>
      </c>
      <c r="D23235" s="12" t="str">
        <f ca="1">IFERROR(__xludf.DUMMYFUNCTION("""COMPUTED_VALUE"""),"")</f>
        <v/>
      </c>
    </row>
    <row r="23236" spans="2:4" ht="13">
      <c r="B23236" s="12" t="str">
        <f ca="1">IFERROR(__xludf.DUMMYFUNCTION("""COMPUTED_VALUE"""),"")</f>
        <v/>
      </c>
      <c r="C23236" s="12" t="str">
        <f ca="1">IFERROR(__xludf.DUMMYFUNCTION("""COMPUTED_VALUE"""),"")</f>
        <v/>
      </c>
      <c r="D23236" s="12" t="str">
        <f ca="1">IFERROR(__xludf.DUMMYFUNCTION("""COMPUTED_VALUE"""),"")</f>
        <v/>
      </c>
    </row>
    <row r="23237" spans="2:4" ht="13">
      <c r="B23237" s="12" t="str">
        <f ca="1">IFERROR(__xludf.DUMMYFUNCTION("""COMPUTED_VALUE"""),"")</f>
        <v/>
      </c>
      <c r="C23237" s="12" t="str">
        <f ca="1">IFERROR(__xludf.DUMMYFUNCTION("""COMPUTED_VALUE"""),"")</f>
        <v/>
      </c>
      <c r="D23237" s="12" t="str">
        <f ca="1">IFERROR(__xludf.DUMMYFUNCTION("""COMPUTED_VALUE"""),"")</f>
        <v/>
      </c>
    </row>
    <row r="23238" spans="2:4" ht="13">
      <c r="B23238" s="12" t="str">
        <f ca="1">IFERROR(__xludf.DUMMYFUNCTION("""COMPUTED_VALUE"""),"")</f>
        <v/>
      </c>
      <c r="C23238" s="12" t="str">
        <f ca="1">IFERROR(__xludf.DUMMYFUNCTION("""COMPUTED_VALUE"""),"")</f>
        <v/>
      </c>
      <c r="D23238" s="12" t="str">
        <f ca="1">IFERROR(__xludf.DUMMYFUNCTION("""COMPUTED_VALUE"""),"")</f>
        <v/>
      </c>
    </row>
    <row r="23239" spans="2:4" ht="13">
      <c r="B23239" s="12" t="str">
        <f ca="1">IFERROR(__xludf.DUMMYFUNCTION("""COMPUTED_VALUE"""),"")</f>
        <v/>
      </c>
      <c r="C23239" s="12" t="str">
        <f ca="1">IFERROR(__xludf.DUMMYFUNCTION("""COMPUTED_VALUE"""),"")</f>
        <v/>
      </c>
      <c r="D23239" s="12" t="str">
        <f ca="1">IFERROR(__xludf.DUMMYFUNCTION("""COMPUTED_VALUE"""),"")</f>
        <v/>
      </c>
    </row>
    <row r="23240" spans="2:4" ht="13">
      <c r="B23240" s="12" t="str">
        <f ca="1">IFERROR(__xludf.DUMMYFUNCTION("""COMPUTED_VALUE"""),"")</f>
        <v/>
      </c>
      <c r="C23240" s="12" t="str">
        <f ca="1">IFERROR(__xludf.DUMMYFUNCTION("""COMPUTED_VALUE"""),"")</f>
        <v/>
      </c>
      <c r="D23240" s="12" t="str">
        <f ca="1">IFERROR(__xludf.DUMMYFUNCTION("""COMPUTED_VALUE"""),"")</f>
        <v/>
      </c>
    </row>
    <row r="23241" spans="2:4" ht="13">
      <c r="B23241" s="12" t="str">
        <f ca="1">IFERROR(__xludf.DUMMYFUNCTION("""COMPUTED_VALUE"""),"")</f>
        <v/>
      </c>
      <c r="C23241" s="12" t="str">
        <f ca="1">IFERROR(__xludf.DUMMYFUNCTION("""COMPUTED_VALUE"""),"")</f>
        <v/>
      </c>
      <c r="D23241" s="12" t="str">
        <f ca="1">IFERROR(__xludf.DUMMYFUNCTION("""COMPUTED_VALUE"""),"")</f>
        <v/>
      </c>
    </row>
    <row r="23242" spans="2:4" ht="13">
      <c r="B23242" s="12" t="str">
        <f ca="1">IFERROR(__xludf.DUMMYFUNCTION("""COMPUTED_VALUE"""),"")</f>
        <v/>
      </c>
      <c r="C23242" s="12" t="str">
        <f ca="1">IFERROR(__xludf.DUMMYFUNCTION("""COMPUTED_VALUE"""),"")</f>
        <v/>
      </c>
      <c r="D23242" s="12" t="str">
        <f ca="1">IFERROR(__xludf.DUMMYFUNCTION("""COMPUTED_VALUE"""),"")</f>
        <v/>
      </c>
    </row>
    <row r="23243" spans="2:4" ht="13">
      <c r="B23243" s="12" t="str">
        <f ca="1">IFERROR(__xludf.DUMMYFUNCTION("""COMPUTED_VALUE"""),"")</f>
        <v/>
      </c>
      <c r="C23243" s="12" t="str">
        <f ca="1">IFERROR(__xludf.DUMMYFUNCTION("""COMPUTED_VALUE"""),"")</f>
        <v/>
      </c>
      <c r="D23243" s="12" t="str">
        <f ca="1">IFERROR(__xludf.DUMMYFUNCTION("""COMPUTED_VALUE"""),"")</f>
        <v/>
      </c>
    </row>
    <row r="23244" spans="2:4" ht="13">
      <c r="B23244" s="12" t="str">
        <f ca="1">IFERROR(__xludf.DUMMYFUNCTION("""COMPUTED_VALUE"""),"")</f>
        <v/>
      </c>
      <c r="C23244" s="12" t="str">
        <f ca="1">IFERROR(__xludf.DUMMYFUNCTION("""COMPUTED_VALUE"""),"")</f>
        <v/>
      </c>
      <c r="D23244" s="12" t="str">
        <f ca="1">IFERROR(__xludf.DUMMYFUNCTION("""COMPUTED_VALUE"""),"")</f>
        <v/>
      </c>
    </row>
    <row r="23245" spans="2:4" ht="13">
      <c r="B23245" s="12" t="str">
        <f ca="1">IFERROR(__xludf.DUMMYFUNCTION("""COMPUTED_VALUE"""),"")</f>
        <v/>
      </c>
      <c r="C23245" s="12" t="str">
        <f ca="1">IFERROR(__xludf.DUMMYFUNCTION("""COMPUTED_VALUE"""),"")</f>
        <v/>
      </c>
      <c r="D23245" s="12" t="str">
        <f ca="1">IFERROR(__xludf.DUMMYFUNCTION("""COMPUTED_VALUE"""),"")</f>
        <v/>
      </c>
    </row>
    <row r="23246" spans="2:4" ht="13">
      <c r="B23246" s="12" t="str">
        <f ca="1">IFERROR(__xludf.DUMMYFUNCTION("""COMPUTED_VALUE"""),"")</f>
        <v/>
      </c>
      <c r="C23246" s="12" t="str">
        <f ca="1">IFERROR(__xludf.DUMMYFUNCTION("""COMPUTED_VALUE"""),"")</f>
        <v/>
      </c>
      <c r="D23246" s="12" t="str">
        <f ca="1">IFERROR(__xludf.DUMMYFUNCTION("""COMPUTED_VALUE"""),"")</f>
        <v/>
      </c>
    </row>
    <row r="23247" spans="2:4" ht="13">
      <c r="B23247" s="12" t="str">
        <f ca="1">IFERROR(__xludf.DUMMYFUNCTION("""COMPUTED_VALUE"""),"")</f>
        <v/>
      </c>
      <c r="C23247" s="12" t="str">
        <f ca="1">IFERROR(__xludf.DUMMYFUNCTION("""COMPUTED_VALUE"""),"")</f>
        <v/>
      </c>
      <c r="D23247" s="12" t="str">
        <f ca="1">IFERROR(__xludf.DUMMYFUNCTION("""COMPUTED_VALUE"""),"")</f>
        <v/>
      </c>
    </row>
    <row r="23248" spans="2:4" ht="13">
      <c r="B23248" s="12" t="str">
        <f ca="1">IFERROR(__xludf.DUMMYFUNCTION("""COMPUTED_VALUE"""),"")</f>
        <v/>
      </c>
      <c r="C23248" s="12" t="str">
        <f ca="1">IFERROR(__xludf.DUMMYFUNCTION("""COMPUTED_VALUE"""),"")</f>
        <v/>
      </c>
      <c r="D23248" s="12" t="str">
        <f ca="1">IFERROR(__xludf.DUMMYFUNCTION("""COMPUTED_VALUE"""),"")</f>
        <v/>
      </c>
    </row>
    <row r="23249" spans="2:4" ht="13">
      <c r="B23249" s="12" t="str">
        <f ca="1">IFERROR(__xludf.DUMMYFUNCTION("""COMPUTED_VALUE"""),"")</f>
        <v/>
      </c>
      <c r="C23249" s="12" t="str">
        <f ca="1">IFERROR(__xludf.DUMMYFUNCTION("""COMPUTED_VALUE"""),"")</f>
        <v/>
      </c>
      <c r="D23249" s="12" t="str">
        <f ca="1">IFERROR(__xludf.DUMMYFUNCTION("""COMPUTED_VALUE"""),"")</f>
        <v/>
      </c>
    </row>
    <row r="23250" spans="2:4" ht="13">
      <c r="B23250" s="12" t="str">
        <f ca="1">IFERROR(__xludf.DUMMYFUNCTION("""COMPUTED_VALUE"""),"")</f>
        <v/>
      </c>
      <c r="C23250" s="12" t="str">
        <f ca="1">IFERROR(__xludf.DUMMYFUNCTION("""COMPUTED_VALUE"""),"")</f>
        <v/>
      </c>
      <c r="D23250" s="12" t="str">
        <f ca="1">IFERROR(__xludf.DUMMYFUNCTION("""COMPUTED_VALUE"""),"")</f>
        <v/>
      </c>
    </row>
    <row r="23251" spans="2:4" ht="13">
      <c r="B23251" s="12" t="str">
        <f ca="1">IFERROR(__xludf.DUMMYFUNCTION("""COMPUTED_VALUE"""),"")</f>
        <v/>
      </c>
      <c r="C23251" s="12" t="str">
        <f ca="1">IFERROR(__xludf.DUMMYFUNCTION("""COMPUTED_VALUE"""),"")</f>
        <v/>
      </c>
      <c r="D23251" s="12" t="str">
        <f ca="1">IFERROR(__xludf.DUMMYFUNCTION("""COMPUTED_VALUE"""),"")</f>
        <v/>
      </c>
    </row>
    <row r="23252" spans="2:4" ht="13">
      <c r="B23252" s="12" t="str">
        <f ca="1">IFERROR(__xludf.DUMMYFUNCTION("""COMPUTED_VALUE"""),"")</f>
        <v/>
      </c>
      <c r="C23252" s="12" t="str">
        <f ca="1">IFERROR(__xludf.DUMMYFUNCTION("""COMPUTED_VALUE"""),"")</f>
        <v/>
      </c>
      <c r="D23252" s="12" t="str">
        <f ca="1">IFERROR(__xludf.DUMMYFUNCTION("""COMPUTED_VALUE"""),"")</f>
        <v/>
      </c>
    </row>
    <row r="23253" spans="2:4" ht="13">
      <c r="B23253" s="12" t="str">
        <f ca="1">IFERROR(__xludf.DUMMYFUNCTION("""COMPUTED_VALUE"""),"")</f>
        <v/>
      </c>
      <c r="C23253" s="12" t="str">
        <f ca="1">IFERROR(__xludf.DUMMYFUNCTION("""COMPUTED_VALUE"""),"")</f>
        <v/>
      </c>
      <c r="D23253" s="12" t="str">
        <f ca="1">IFERROR(__xludf.DUMMYFUNCTION("""COMPUTED_VALUE"""),"")</f>
        <v/>
      </c>
    </row>
    <row r="23254" spans="2:4" ht="13">
      <c r="B23254" s="12" t="str">
        <f ca="1">IFERROR(__xludf.DUMMYFUNCTION("""COMPUTED_VALUE"""),"")</f>
        <v/>
      </c>
      <c r="C23254" s="12" t="str">
        <f ca="1">IFERROR(__xludf.DUMMYFUNCTION("""COMPUTED_VALUE"""),"")</f>
        <v/>
      </c>
      <c r="D23254" s="12" t="str">
        <f ca="1">IFERROR(__xludf.DUMMYFUNCTION("""COMPUTED_VALUE"""),"")</f>
        <v/>
      </c>
    </row>
    <row r="23255" spans="2:4" ht="13">
      <c r="B23255" s="12" t="str">
        <f ca="1">IFERROR(__xludf.DUMMYFUNCTION("""COMPUTED_VALUE"""),"")</f>
        <v/>
      </c>
      <c r="C23255" s="12" t="str">
        <f ca="1">IFERROR(__xludf.DUMMYFUNCTION("""COMPUTED_VALUE"""),"")</f>
        <v/>
      </c>
      <c r="D23255" s="12" t="str">
        <f ca="1">IFERROR(__xludf.DUMMYFUNCTION("""COMPUTED_VALUE"""),"")</f>
        <v/>
      </c>
    </row>
    <row r="23256" spans="2:4" ht="13">
      <c r="B23256" s="12" t="str">
        <f ca="1">IFERROR(__xludf.DUMMYFUNCTION("""COMPUTED_VALUE"""),"")</f>
        <v/>
      </c>
      <c r="C23256" s="12" t="str">
        <f ca="1">IFERROR(__xludf.DUMMYFUNCTION("""COMPUTED_VALUE"""),"")</f>
        <v/>
      </c>
      <c r="D23256" s="12" t="str">
        <f ca="1">IFERROR(__xludf.DUMMYFUNCTION("""COMPUTED_VALUE"""),"")</f>
        <v/>
      </c>
    </row>
    <row r="23257" spans="2:4" ht="13">
      <c r="B23257" s="12" t="str">
        <f ca="1">IFERROR(__xludf.DUMMYFUNCTION("""COMPUTED_VALUE"""),"")</f>
        <v/>
      </c>
      <c r="C23257" s="12" t="str">
        <f ca="1">IFERROR(__xludf.DUMMYFUNCTION("""COMPUTED_VALUE"""),"")</f>
        <v/>
      </c>
      <c r="D23257" s="12" t="str">
        <f ca="1">IFERROR(__xludf.DUMMYFUNCTION("""COMPUTED_VALUE"""),"")</f>
        <v/>
      </c>
    </row>
    <row r="23258" spans="2:4" ht="13">
      <c r="B23258" s="12" t="str">
        <f ca="1">IFERROR(__xludf.DUMMYFUNCTION("""COMPUTED_VALUE"""),"")</f>
        <v/>
      </c>
      <c r="C23258" s="12" t="str">
        <f ca="1">IFERROR(__xludf.DUMMYFUNCTION("""COMPUTED_VALUE"""),"")</f>
        <v/>
      </c>
      <c r="D23258" s="12" t="str">
        <f ca="1">IFERROR(__xludf.DUMMYFUNCTION("""COMPUTED_VALUE"""),"")</f>
        <v/>
      </c>
    </row>
    <row r="23259" spans="2:4" ht="13">
      <c r="B23259" s="12" t="str">
        <f ca="1">IFERROR(__xludf.DUMMYFUNCTION("""COMPUTED_VALUE"""),"")</f>
        <v/>
      </c>
      <c r="C23259" s="12" t="str">
        <f ca="1">IFERROR(__xludf.DUMMYFUNCTION("""COMPUTED_VALUE"""),"")</f>
        <v/>
      </c>
      <c r="D23259" s="12" t="str">
        <f ca="1">IFERROR(__xludf.DUMMYFUNCTION("""COMPUTED_VALUE"""),"")</f>
        <v/>
      </c>
    </row>
    <row r="23260" spans="2:4" ht="13">
      <c r="B23260" s="12" t="str">
        <f ca="1">IFERROR(__xludf.DUMMYFUNCTION("""COMPUTED_VALUE"""),"")</f>
        <v/>
      </c>
      <c r="C23260" s="12" t="str">
        <f ca="1">IFERROR(__xludf.DUMMYFUNCTION("""COMPUTED_VALUE"""),"")</f>
        <v/>
      </c>
      <c r="D23260" s="12" t="str">
        <f ca="1">IFERROR(__xludf.DUMMYFUNCTION("""COMPUTED_VALUE"""),"")</f>
        <v/>
      </c>
    </row>
    <row r="23261" spans="2:4" ht="13">
      <c r="B23261" s="12" t="str">
        <f ca="1">IFERROR(__xludf.DUMMYFUNCTION("""COMPUTED_VALUE"""),"")</f>
        <v/>
      </c>
      <c r="C23261" s="12" t="str">
        <f ca="1">IFERROR(__xludf.DUMMYFUNCTION("""COMPUTED_VALUE"""),"")</f>
        <v/>
      </c>
      <c r="D23261" s="12" t="str">
        <f ca="1">IFERROR(__xludf.DUMMYFUNCTION("""COMPUTED_VALUE"""),"")</f>
        <v/>
      </c>
    </row>
    <row r="23262" spans="2:4" ht="13">
      <c r="B23262" s="12" t="str">
        <f ca="1">IFERROR(__xludf.DUMMYFUNCTION("""COMPUTED_VALUE"""),"")</f>
        <v/>
      </c>
      <c r="C23262" s="12" t="str">
        <f ca="1">IFERROR(__xludf.DUMMYFUNCTION("""COMPUTED_VALUE"""),"")</f>
        <v/>
      </c>
      <c r="D23262" s="12" t="str">
        <f ca="1">IFERROR(__xludf.DUMMYFUNCTION("""COMPUTED_VALUE"""),"")</f>
        <v/>
      </c>
    </row>
    <row r="23263" spans="2:4" ht="13">
      <c r="B23263" s="12" t="str">
        <f ca="1">IFERROR(__xludf.DUMMYFUNCTION("""COMPUTED_VALUE"""),"")</f>
        <v/>
      </c>
      <c r="C23263" s="12" t="str">
        <f ca="1">IFERROR(__xludf.DUMMYFUNCTION("""COMPUTED_VALUE"""),"")</f>
        <v/>
      </c>
      <c r="D23263" s="12" t="str">
        <f ca="1">IFERROR(__xludf.DUMMYFUNCTION("""COMPUTED_VALUE"""),"")</f>
        <v/>
      </c>
    </row>
    <row r="23264" spans="2:4" ht="13">
      <c r="B23264" s="12" t="str">
        <f ca="1">IFERROR(__xludf.DUMMYFUNCTION("""COMPUTED_VALUE"""),"")</f>
        <v/>
      </c>
      <c r="C23264" s="12" t="str">
        <f ca="1">IFERROR(__xludf.DUMMYFUNCTION("""COMPUTED_VALUE"""),"")</f>
        <v/>
      </c>
      <c r="D23264" s="12" t="str">
        <f ca="1">IFERROR(__xludf.DUMMYFUNCTION("""COMPUTED_VALUE"""),"")</f>
        <v/>
      </c>
    </row>
    <row r="23265" spans="2:4" ht="13">
      <c r="B23265" s="12" t="str">
        <f ca="1">IFERROR(__xludf.DUMMYFUNCTION("""COMPUTED_VALUE"""),"")</f>
        <v/>
      </c>
      <c r="C23265" s="12" t="str">
        <f ca="1">IFERROR(__xludf.DUMMYFUNCTION("""COMPUTED_VALUE"""),"")</f>
        <v/>
      </c>
      <c r="D23265" s="12" t="str">
        <f ca="1">IFERROR(__xludf.DUMMYFUNCTION("""COMPUTED_VALUE"""),"")</f>
        <v/>
      </c>
    </row>
    <row r="23266" spans="2:4" ht="13">
      <c r="B23266" s="12" t="str">
        <f ca="1">IFERROR(__xludf.DUMMYFUNCTION("""COMPUTED_VALUE"""),"")</f>
        <v/>
      </c>
      <c r="C23266" s="12" t="str">
        <f ca="1">IFERROR(__xludf.DUMMYFUNCTION("""COMPUTED_VALUE"""),"")</f>
        <v/>
      </c>
      <c r="D23266" s="12" t="str">
        <f ca="1">IFERROR(__xludf.DUMMYFUNCTION("""COMPUTED_VALUE"""),"")</f>
        <v/>
      </c>
    </row>
    <row r="23267" spans="2:4" ht="13">
      <c r="B23267" s="12" t="str">
        <f ca="1">IFERROR(__xludf.DUMMYFUNCTION("""COMPUTED_VALUE"""),"")</f>
        <v/>
      </c>
      <c r="C23267" s="12" t="str">
        <f ca="1">IFERROR(__xludf.DUMMYFUNCTION("""COMPUTED_VALUE"""),"")</f>
        <v/>
      </c>
      <c r="D23267" s="12" t="str">
        <f ca="1">IFERROR(__xludf.DUMMYFUNCTION("""COMPUTED_VALUE"""),"")</f>
        <v/>
      </c>
    </row>
    <row r="23268" spans="2:4" ht="13">
      <c r="B23268" s="12" t="str">
        <f ca="1">IFERROR(__xludf.DUMMYFUNCTION("""COMPUTED_VALUE"""),"")</f>
        <v/>
      </c>
      <c r="C23268" s="12" t="str">
        <f ca="1">IFERROR(__xludf.DUMMYFUNCTION("""COMPUTED_VALUE"""),"")</f>
        <v/>
      </c>
      <c r="D23268" s="12" t="str">
        <f ca="1">IFERROR(__xludf.DUMMYFUNCTION("""COMPUTED_VALUE"""),"")</f>
        <v/>
      </c>
    </row>
    <row r="23269" spans="2:4" ht="13">
      <c r="B23269" s="12" t="str">
        <f ca="1">IFERROR(__xludf.DUMMYFUNCTION("""COMPUTED_VALUE"""),"")</f>
        <v/>
      </c>
      <c r="C23269" s="12" t="str">
        <f ca="1">IFERROR(__xludf.DUMMYFUNCTION("""COMPUTED_VALUE"""),"")</f>
        <v/>
      </c>
      <c r="D23269" s="12" t="str">
        <f ca="1">IFERROR(__xludf.DUMMYFUNCTION("""COMPUTED_VALUE"""),"")</f>
        <v/>
      </c>
    </row>
    <row r="23270" spans="2:4" ht="13">
      <c r="B23270" s="12" t="str">
        <f ca="1">IFERROR(__xludf.DUMMYFUNCTION("""COMPUTED_VALUE"""),"")</f>
        <v/>
      </c>
      <c r="C23270" s="12" t="str">
        <f ca="1">IFERROR(__xludf.DUMMYFUNCTION("""COMPUTED_VALUE"""),"")</f>
        <v/>
      </c>
      <c r="D23270" s="12" t="str">
        <f ca="1">IFERROR(__xludf.DUMMYFUNCTION("""COMPUTED_VALUE"""),"")</f>
        <v/>
      </c>
    </row>
    <row r="23271" spans="2:4" ht="13">
      <c r="B23271" s="12" t="str">
        <f ca="1">IFERROR(__xludf.DUMMYFUNCTION("""COMPUTED_VALUE"""),"")</f>
        <v/>
      </c>
      <c r="C23271" s="12" t="str">
        <f ca="1">IFERROR(__xludf.DUMMYFUNCTION("""COMPUTED_VALUE"""),"")</f>
        <v/>
      </c>
      <c r="D23271" s="12" t="str">
        <f ca="1">IFERROR(__xludf.DUMMYFUNCTION("""COMPUTED_VALUE"""),"")</f>
        <v/>
      </c>
    </row>
    <row r="23272" spans="2:4" ht="13">
      <c r="B23272" s="12" t="str">
        <f ca="1">IFERROR(__xludf.DUMMYFUNCTION("""COMPUTED_VALUE"""),"")</f>
        <v/>
      </c>
      <c r="C23272" s="12" t="str">
        <f ca="1">IFERROR(__xludf.DUMMYFUNCTION("""COMPUTED_VALUE"""),"")</f>
        <v/>
      </c>
      <c r="D23272" s="12" t="str">
        <f ca="1">IFERROR(__xludf.DUMMYFUNCTION("""COMPUTED_VALUE"""),"")</f>
        <v/>
      </c>
    </row>
    <row r="23273" spans="2:4" ht="13">
      <c r="B23273" s="12" t="str">
        <f ca="1">IFERROR(__xludf.DUMMYFUNCTION("""COMPUTED_VALUE"""),"")</f>
        <v/>
      </c>
      <c r="C23273" s="12" t="str">
        <f ca="1">IFERROR(__xludf.DUMMYFUNCTION("""COMPUTED_VALUE"""),"")</f>
        <v/>
      </c>
      <c r="D23273" s="12" t="str">
        <f ca="1">IFERROR(__xludf.DUMMYFUNCTION("""COMPUTED_VALUE"""),"")</f>
        <v/>
      </c>
    </row>
    <row r="23274" spans="2:4" ht="13">
      <c r="B23274" s="12" t="str">
        <f ca="1">IFERROR(__xludf.DUMMYFUNCTION("""COMPUTED_VALUE"""),"")</f>
        <v/>
      </c>
      <c r="C23274" s="12" t="str">
        <f ca="1">IFERROR(__xludf.DUMMYFUNCTION("""COMPUTED_VALUE"""),"")</f>
        <v/>
      </c>
      <c r="D23274" s="12" t="str">
        <f ca="1">IFERROR(__xludf.DUMMYFUNCTION("""COMPUTED_VALUE"""),"")</f>
        <v/>
      </c>
    </row>
    <row r="23275" spans="2:4" ht="13">
      <c r="B23275" s="12" t="str">
        <f ca="1">IFERROR(__xludf.DUMMYFUNCTION("""COMPUTED_VALUE"""),"")</f>
        <v/>
      </c>
      <c r="C23275" s="12" t="str">
        <f ca="1">IFERROR(__xludf.DUMMYFUNCTION("""COMPUTED_VALUE"""),"")</f>
        <v/>
      </c>
      <c r="D23275" s="12" t="str">
        <f ca="1">IFERROR(__xludf.DUMMYFUNCTION("""COMPUTED_VALUE"""),"")</f>
        <v/>
      </c>
    </row>
    <row r="23276" spans="2:4" ht="13">
      <c r="B23276" s="12" t="str">
        <f ca="1">IFERROR(__xludf.DUMMYFUNCTION("""COMPUTED_VALUE"""),"")</f>
        <v/>
      </c>
      <c r="C23276" s="12" t="str">
        <f ca="1">IFERROR(__xludf.DUMMYFUNCTION("""COMPUTED_VALUE"""),"")</f>
        <v/>
      </c>
      <c r="D23276" s="12" t="str">
        <f ca="1">IFERROR(__xludf.DUMMYFUNCTION("""COMPUTED_VALUE"""),"")</f>
        <v/>
      </c>
    </row>
    <row r="23277" spans="2:4" ht="13">
      <c r="B23277" s="12" t="str">
        <f ca="1">IFERROR(__xludf.DUMMYFUNCTION("""COMPUTED_VALUE"""),"")</f>
        <v/>
      </c>
      <c r="C23277" s="12" t="str">
        <f ca="1">IFERROR(__xludf.DUMMYFUNCTION("""COMPUTED_VALUE"""),"")</f>
        <v/>
      </c>
      <c r="D23277" s="12" t="str">
        <f ca="1">IFERROR(__xludf.DUMMYFUNCTION("""COMPUTED_VALUE"""),"")</f>
        <v/>
      </c>
    </row>
    <row r="23278" spans="2:4" ht="13">
      <c r="B23278" s="12" t="str">
        <f ca="1">IFERROR(__xludf.DUMMYFUNCTION("""COMPUTED_VALUE"""),"")</f>
        <v/>
      </c>
      <c r="C23278" s="12" t="str">
        <f ca="1">IFERROR(__xludf.DUMMYFUNCTION("""COMPUTED_VALUE"""),"")</f>
        <v/>
      </c>
      <c r="D23278" s="12" t="str">
        <f ca="1">IFERROR(__xludf.DUMMYFUNCTION("""COMPUTED_VALUE"""),"")</f>
        <v/>
      </c>
    </row>
    <row r="23279" spans="2:4" ht="13">
      <c r="B23279" s="12" t="str">
        <f ca="1">IFERROR(__xludf.DUMMYFUNCTION("""COMPUTED_VALUE"""),"")</f>
        <v/>
      </c>
      <c r="C23279" s="12" t="str">
        <f ca="1">IFERROR(__xludf.DUMMYFUNCTION("""COMPUTED_VALUE"""),"")</f>
        <v/>
      </c>
      <c r="D23279" s="12" t="str">
        <f ca="1">IFERROR(__xludf.DUMMYFUNCTION("""COMPUTED_VALUE"""),"")</f>
        <v/>
      </c>
    </row>
    <row r="23280" spans="2:4" ht="13">
      <c r="B23280" s="12" t="str">
        <f ca="1">IFERROR(__xludf.DUMMYFUNCTION("""COMPUTED_VALUE"""),"")</f>
        <v/>
      </c>
      <c r="C23280" s="12" t="str">
        <f ca="1">IFERROR(__xludf.DUMMYFUNCTION("""COMPUTED_VALUE"""),"")</f>
        <v/>
      </c>
      <c r="D23280" s="12" t="str">
        <f ca="1">IFERROR(__xludf.DUMMYFUNCTION("""COMPUTED_VALUE"""),"")</f>
        <v/>
      </c>
    </row>
    <row r="23281" spans="2:4" ht="13">
      <c r="B23281" s="12" t="str">
        <f ca="1">IFERROR(__xludf.DUMMYFUNCTION("""COMPUTED_VALUE"""),"")</f>
        <v/>
      </c>
      <c r="C23281" s="12" t="str">
        <f ca="1">IFERROR(__xludf.DUMMYFUNCTION("""COMPUTED_VALUE"""),"")</f>
        <v/>
      </c>
      <c r="D23281" s="12" t="str">
        <f ca="1">IFERROR(__xludf.DUMMYFUNCTION("""COMPUTED_VALUE"""),"")</f>
        <v/>
      </c>
    </row>
    <row r="23282" spans="2:4" ht="13">
      <c r="B23282" s="12" t="str">
        <f ca="1">IFERROR(__xludf.DUMMYFUNCTION("""COMPUTED_VALUE"""),"")</f>
        <v/>
      </c>
      <c r="C23282" s="12" t="str">
        <f ca="1">IFERROR(__xludf.DUMMYFUNCTION("""COMPUTED_VALUE"""),"")</f>
        <v/>
      </c>
      <c r="D23282" s="12" t="str">
        <f ca="1">IFERROR(__xludf.DUMMYFUNCTION("""COMPUTED_VALUE"""),"")</f>
        <v/>
      </c>
    </row>
    <row r="23283" spans="2:4" ht="13">
      <c r="B23283" s="12" t="str">
        <f ca="1">IFERROR(__xludf.DUMMYFUNCTION("""COMPUTED_VALUE"""),"")</f>
        <v/>
      </c>
      <c r="C23283" s="12" t="str">
        <f ca="1">IFERROR(__xludf.DUMMYFUNCTION("""COMPUTED_VALUE"""),"")</f>
        <v/>
      </c>
      <c r="D23283" s="12" t="str">
        <f ca="1">IFERROR(__xludf.DUMMYFUNCTION("""COMPUTED_VALUE"""),"")</f>
        <v/>
      </c>
    </row>
    <row r="23284" spans="2:4" ht="13">
      <c r="B23284" s="12" t="str">
        <f ca="1">IFERROR(__xludf.DUMMYFUNCTION("""COMPUTED_VALUE"""),"")</f>
        <v/>
      </c>
      <c r="C23284" s="12" t="str">
        <f ca="1">IFERROR(__xludf.DUMMYFUNCTION("""COMPUTED_VALUE"""),"")</f>
        <v/>
      </c>
      <c r="D23284" s="12" t="str">
        <f ca="1">IFERROR(__xludf.DUMMYFUNCTION("""COMPUTED_VALUE"""),"")</f>
        <v/>
      </c>
    </row>
    <row r="23285" spans="2:4" ht="13">
      <c r="B23285" s="12" t="str">
        <f ca="1">IFERROR(__xludf.DUMMYFUNCTION("""COMPUTED_VALUE"""),"")</f>
        <v/>
      </c>
      <c r="C23285" s="12" t="str">
        <f ca="1">IFERROR(__xludf.DUMMYFUNCTION("""COMPUTED_VALUE"""),"")</f>
        <v/>
      </c>
      <c r="D23285" s="12" t="str">
        <f ca="1">IFERROR(__xludf.DUMMYFUNCTION("""COMPUTED_VALUE"""),"")</f>
        <v/>
      </c>
    </row>
    <row r="23286" spans="2:4" ht="13">
      <c r="B23286" s="12" t="str">
        <f ca="1">IFERROR(__xludf.DUMMYFUNCTION("""COMPUTED_VALUE"""),"")</f>
        <v/>
      </c>
      <c r="C23286" s="12" t="str">
        <f ca="1">IFERROR(__xludf.DUMMYFUNCTION("""COMPUTED_VALUE"""),"")</f>
        <v/>
      </c>
      <c r="D23286" s="12" t="str">
        <f ca="1">IFERROR(__xludf.DUMMYFUNCTION("""COMPUTED_VALUE"""),"")</f>
        <v/>
      </c>
    </row>
    <row r="23287" spans="2:4" ht="13">
      <c r="B23287" s="12" t="str">
        <f ca="1">IFERROR(__xludf.DUMMYFUNCTION("""COMPUTED_VALUE"""),"")</f>
        <v/>
      </c>
      <c r="C23287" s="12" t="str">
        <f ca="1">IFERROR(__xludf.DUMMYFUNCTION("""COMPUTED_VALUE"""),"")</f>
        <v/>
      </c>
      <c r="D23287" s="12" t="str">
        <f ca="1">IFERROR(__xludf.DUMMYFUNCTION("""COMPUTED_VALUE"""),"")</f>
        <v/>
      </c>
    </row>
    <row r="23288" spans="2:4" ht="13">
      <c r="B23288" s="12" t="str">
        <f ca="1">IFERROR(__xludf.DUMMYFUNCTION("""COMPUTED_VALUE"""),"")</f>
        <v/>
      </c>
      <c r="C23288" s="12" t="str">
        <f ca="1">IFERROR(__xludf.DUMMYFUNCTION("""COMPUTED_VALUE"""),"")</f>
        <v/>
      </c>
      <c r="D23288" s="12" t="str">
        <f ca="1">IFERROR(__xludf.DUMMYFUNCTION("""COMPUTED_VALUE"""),"")</f>
        <v/>
      </c>
    </row>
    <row r="23289" spans="2:4" ht="13">
      <c r="B23289" s="12" t="str">
        <f ca="1">IFERROR(__xludf.DUMMYFUNCTION("""COMPUTED_VALUE"""),"")</f>
        <v/>
      </c>
      <c r="C23289" s="12" t="str">
        <f ca="1">IFERROR(__xludf.DUMMYFUNCTION("""COMPUTED_VALUE"""),"")</f>
        <v/>
      </c>
      <c r="D23289" s="12" t="str">
        <f ca="1">IFERROR(__xludf.DUMMYFUNCTION("""COMPUTED_VALUE"""),"")</f>
        <v/>
      </c>
    </row>
    <row r="23290" spans="2:4" ht="13">
      <c r="B23290" s="12" t="str">
        <f ca="1">IFERROR(__xludf.DUMMYFUNCTION("""COMPUTED_VALUE"""),"")</f>
        <v/>
      </c>
      <c r="C23290" s="12" t="str">
        <f ca="1">IFERROR(__xludf.DUMMYFUNCTION("""COMPUTED_VALUE"""),"")</f>
        <v/>
      </c>
      <c r="D23290" s="12" t="str">
        <f ca="1">IFERROR(__xludf.DUMMYFUNCTION("""COMPUTED_VALUE"""),"")</f>
        <v/>
      </c>
    </row>
    <row r="23291" spans="2:4" ht="13">
      <c r="B23291" s="12" t="str">
        <f ca="1">IFERROR(__xludf.DUMMYFUNCTION("""COMPUTED_VALUE"""),"")</f>
        <v/>
      </c>
      <c r="C23291" s="12" t="str">
        <f ca="1">IFERROR(__xludf.DUMMYFUNCTION("""COMPUTED_VALUE"""),"")</f>
        <v/>
      </c>
      <c r="D23291" s="12" t="str">
        <f ca="1">IFERROR(__xludf.DUMMYFUNCTION("""COMPUTED_VALUE"""),"")</f>
        <v/>
      </c>
    </row>
    <row r="23292" spans="2:4" ht="13">
      <c r="B23292" s="12" t="str">
        <f ca="1">IFERROR(__xludf.DUMMYFUNCTION("""COMPUTED_VALUE"""),"")</f>
        <v/>
      </c>
      <c r="C23292" s="12" t="str">
        <f ca="1">IFERROR(__xludf.DUMMYFUNCTION("""COMPUTED_VALUE"""),"")</f>
        <v/>
      </c>
      <c r="D23292" s="12" t="str">
        <f ca="1">IFERROR(__xludf.DUMMYFUNCTION("""COMPUTED_VALUE"""),"")</f>
        <v/>
      </c>
    </row>
    <row r="23293" spans="2:4" ht="13">
      <c r="B23293" s="12" t="str">
        <f ca="1">IFERROR(__xludf.DUMMYFUNCTION("""COMPUTED_VALUE"""),"")</f>
        <v/>
      </c>
      <c r="C23293" s="12" t="str">
        <f ca="1">IFERROR(__xludf.DUMMYFUNCTION("""COMPUTED_VALUE"""),"")</f>
        <v/>
      </c>
      <c r="D23293" s="12" t="str">
        <f ca="1">IFERROR(__xludf.DUMMYFUNCTION("""COMPUTED_VALUE"""),"")</f>
        <v/>
      </c>
    </row>
    <row r="23294" spans="2:4" ht="13">
      <c r="B23294" s="12" t="str">
        <f ca="1">IFERROR(__xludf.DUMMYFUNCTION("""COMPUTED_VALUE"""),"")</f>
        <v/>
      </c>
      <c r="C23294" s="12" t="str">
        <f ca="1">IFERROR(__xludf.DUMMYFUNCTION("""COMPUTED_VALUE"""),"")</f>
        <v/>
      </c>
      <c r="D23294" s="12" t="str">
        <f ca="1">IFERROR(__xludf.DUMMYFUNCTION("""COMPUTED_VALUE"""),"")</f>
        <v/>
      </c>
    </row>
    <row r="23295" spans="2:4" ht="13">
      <c r="B23295" s="12" t="str">
        <f ca="1">IFERROR(__xludf.DUMMYFUNCTION("""COMPUTED_VALUE"""),"")</f>
        <v/>
      </c>
      <c r="C23295" s="12" t="str">
        <f ca="1">IFERROR(__xludf.DUMMYFUNCTION("""COMPUTED_VALUE"""),"")</f>
        <v/>
      </c>
      <c r="D23295" s="12" t="str">
        <f ca="1">IFERROR(__xludf.DUMMYFUNCTION("""COMPUTED_VALUE"""),"")</f>
        <v/>
      </c>
    </row>
    <row r="23296" spans="2:4" ht="13">
      <c r="B23296" s="12" t="str">
        <f ca="1">IFERROR(__xludf.DUMMYFUNCTION("""COMPUTED_VALUE"""),"")</f>
        <v/>
      </c>
      <c r="C23296" s="12" t="str">
        <f ca="1">IFERROR(__xludf.DUMMYFUNCTION("""COMPUTED_VALUE"""),"")</f>
        <v/>
      </c>
      <c r="D23296" s="12" t="str">
        <f ca="1">IFERROR(__xludf.DUMMYFUNCTION("""COMPUTED_VALUE"""),"")</f>
        <v/>
      </c>
    </row>
    <row r="23297" spans="2:4" ht="13">
      <c r="B23297" s="12" t="str">
        <f ca="1">IFERROR(__xludf.DUMMYFUNCTION("""COMPUTED_VALUE"""),"")</f>
        <v/>
      </c>
      <c r="C23297" s="12" t="str">
        <f ca="1">IFERROR(__xludf.DUMMYFUNCTION("""COMPUTED_VALUE"""),"")</f>
        <v/>
      </c>
      <c r="D23297" s="12" t="str">
        <f ca="1">IFERROR(__xludf.DUMMYFUNCTION("""COMPUTED_VALUE"""),"")</f>
        <v/>
      </c>
    </row>
    <row r="23298" spans="2:4" ht="13">
      <c r="B23298" s="12" t="str">
        <f ca="1">IFERROR(__xludf.DUMMYFUNCTION("""COMPUTED_VALUE"""),"")</f>
        <v/>
      </c>
      <c r="C23298" s="12" t="str">
        <f ca="1">IFERROR(__xludf.DUMMYFUNCTION("""COMPUTED_VALUE"""),"")</f>
        <v/>
      </c>
      <c r="D23298" s="12" t="str">
        <f ca="1">IFERROR(__xludf.DUMMYFUNCTION("""COMPUTED_VALUE"""),"")</f>
        <v/>
      </c>
    </row>
    <row r="23299" spans="2:4" ht="13">
      <c r="B23299" s="12" t="str">
        <f ca="1">IFERROR(__xludf.DUMMYFUNCTION("""COMPUTED_VALUE"""),"")</f>
        <v/>
      </c>
      <c r="C23299" s="12" t="str">
        <f ca="1">IFERROR(__xludf.DUMMYFUNCTION("""COMPUTED_VALUE"""),"")</f>
        <v/>
      </c>
      <c r="D23299" s="12" t="str">
        <f ca="1">IFERROR(__xludf.DUMMYFUNCTION("""COMPUTED_VALUE"""),"")</f>
        <v/>
      </c>
    </row>
    <row r="23300" spans="2:4" ht="13">
      <c r="B23300" s="12" t="str">
        <f ca="1">IFERROR(__xludf.DUMMYFUNCTION("""COMPUTED_VALUE"""),"")</f>
        <v/>
      </c>
      <c r="C23300" s="12" t="str">
        <f ca="1">IFERROR(__xludf.DUMMYFUNCTION("""COMPUTED_VALUE"""),"")</f>
        <v/>
      </c>
      <c r="D23300" s="12" t="str">
        <f ca="1">IFERROR(__xludf.DUMMYFUNCTION("""COMPUTED_VALUE"""),"")</f>
        <v/>
      </c>
    </row>
    <row r="23301" spans="2:4" ht="13">
      <c r="B23301" s="12" t="str">
        <f ca="1">IFERROR(__xludf.DUMMYFUNCTION("""COMPUTED_VALUE"""),"")</f>
        <v/>
      </c>
      <c r="C23301" s="12" t="str">
        <f ca="1">IFERROR(__xludf.DUMMYFUNCTION("""COMPUTED_VALUE"""),"")</f>
        <v/>
      </c>
      <c r="D23301" s="12" t="str">
        <f ca="1">IFERROR(__xludf.DUMMYFUNCTION("""COMPUTED_VALUE"""),"")</f>
        <v/>
      </c>
    </row>
    <row r="23302" spans="2:4" ht="13">
      <c r="B23302" s="12" t="str">
        <f ca="1">IFERROR(__xludf.DUMMYFUNCTION("""COMPUTED_VALUE"""),"")</f>
        <v/>
      </c>
      <c r="C23302" s="12" t="str">
        <f ca="1">IFERROR(__xludf.DUMMYFUNCTION("""COMPUTED_VALUE"""),"")</f>
        <v/>
      </c>
      <c r="D23302" s="12" t="str">
        <f ca="1">IFERROR(__xludf.DUMMYFUNCTION("""COMPUTED_VALUE"""),"")</f>
        <v/>
      </c>
    </row>
    <row r="23303" spans="2:4" ht="13">
      <c r="B23303" s="12" t="str">
        <f ca="1">IFERROR(__xludf.DUMMYFUNCTION("""COMPUTED_VALUE"""),"")</f>
        <v/>
      </c>
      <c r="C23303" s="12" t="str">
        <f ca="1">IFERROR(__xludf.DUMMYFUNCTION("""COMPUTED_VALUE"""),"")</f>
        <v/>
      </c>
      <c r="D23303" s="12" t="str">
        <f ca="1">IFERROR(__xludf.DUMMYFUNCTION("""COMPUTED_VALUE"""),"")</f>
        <v/>
      </c>
    </row>
    <row r="23304" spans="2:4" ht="13">
      <c r="B23304" s="12" t="str">
        <f ca="1">IFERROR(__xludf.DUMMYFUNCTION("""COMPUTED_VALUE"""),"")</f>
        <v/>
      </c>
      <c r="C23304" s="12" t="str">
        <f ca="1">IFERROR(__xludf.DUMMYFUNCTION("""COMPUTED_VALUE"""),"")</f>
        <v/>
      </c>
      <c r="D23304" s="12" t="str">
        <f ca="1">IFERROR(__xludf.DUMMYFUNCTION("""COMPUTED_VALUE"""),"")</f>
        <v/>
      </c>
    </row>
    <row r="23305" spans="2:4" ht="13">
      <c r="B23305" s="12" t="str">
        <f ca="1">IFERROR(__xludf.DUMMYFUNCTION("""COMPUTED_VALUE"""),"")</f>
        <v/>
      </c>
      <c r="C23305" s="12" t="str">
        <f ca="1">IFERROR(__xludf.DUMMYFUNCTION("""COMPUTED_VALUE"""),"")</f>
        <v/>
      </c>
      <c r="D23305" s="12" t="str">
        <f ca="1">IFERROR(__xludf.DUMMYFUNCTION("""COMPUTED_VALUE"""),"")</f>
        <v/>
      </c>
    </row>
    <row r="23306" spans="2:4" ht="13">
      <c r="B23306" s="12" t="str">
        <f ca="1">IFERROR(__xludf.DUMMYFUNCTION("""COMPUTED_VALUE"""),"")</f>
        <v/>
      </c>
      <c r="C23306" s="12" t="str">
        <f ca="1">IFERROR(__xludf.DUMMYFUNCTION("""COMPUTED_VALUE"""),"")</f>
        <v/>
      </c>
      <c r="D23306" s="12" t="str">
        <f ca="1">IFERROR(__xludf.DUMMYFUNCTION("""COMPUTED_VALUE"""),"")</f>
        <v/>
      </c>
    </row>
    <row r="23307" spans="2:4" ht="13">
      <c r="B23307" s="12" t="str">
        <f ca="1">IFERROR(__xludf.DUMMYFUNCTION("""COMPUTED_VALUE"""),"")</f>
        <v/>
      </c>
      <c r="C23307" s="12" t="str">
        <f ca="1">IFERROR(__xludf.DUMMYFUNCTION("""COMPUTED_VALUE"""),"")</f>
        <v/>
      </c>
      <c r="D23307" s="12" t="str">
        <f ca="1">IFERROR(__xludf.DUMMYFUNCTION("""COMPUTED_VALUE"""),"")</f>
        <v/>
      </c>
    </row>
    <row r="23308" spans="2:4" ht="13">
      <c r="B23308" s="12" t="str">
        <f ca="1">IFERROR(__xludf.DUMMYFUNCTION("""COMPUTED_VALUE"""),"")</f>
        <v/>
      </c>
      <c r="C23308" s="12" t="str">
        <f ca="1">IFERROR(__xludf.DUMMYFUNCTION("""COMPUTED_VALUE"""),"")</f>
        <v/>
      </c>
      <c r="D23308" s="12" t="str">
        <f ca="1">IFERROR(__xludf.DUMMYFUNCTION("""COMPUTED_VALUE"""),"")</f>
        <v/>
      </c>
    </row>
    <row r="23309" spans="2:4" ht="13">
      <c r="B23309" s="12" t="str">
        <f ca="1">IFERROR(__xludf.DUMMYFUNCTION("""COMPUTED_VALUE"""),"")</f>
        <v/>
      </c>
      <c r="C23309" s="12" t="str">
        <f ca="1">IFERROR(__xludf.DUMMYFUNCTION("""COMPUTED_VALUE"""),"")</f>
        <v/>
      </c>
      <c r="D23309" s="12" t="str">
        <f ca="1">IFERROR(__xludf.DUMMYFUNCTION("""COMPUTED_VALUE"""),"")</f>
        <v/>
      </c>
    </row>
    <row r="23310" spans="2:4" ht="13">
      <c r="B23310" s="12" t="str">
        <f ca="1">IFERROR(__xludf.DUMMYFUNCTION("""COMPUTED_VALUE"""),"")</f>
        <v/>
      </c>
      <c r="C23310" s="12" t="str">
        <f ca="1">IFERROR(__xludf.DUMMYFUNCTION("""COMPUTED_VALUE"""),"")</f>
        <v/>
      </c>
      <c r="D23310" s="12" t="str">
        <f ca="1">IFERROR(__xludf.DUMMYFUNCTION("""COMPUTED_VALUE"""),"")</f>
        <v/>
      </c>
    </row>
    <row r="23311" spans="2:4" ht="13">
      <c r="B23311" s="12" t="str">
        <f ca="1">IFERROR(__xludf.DUMMYFUNCTION("""COMPUTED_VALUE"""),"")</f>
        <v/>
      </c>
      <c r="C23311" s="12" t="str">
        <f ca="1">IFERROR(__xludf.DUMMYFUNCTION("""COMPUTED_VALUE"""),"")</f>
        <v/>
      </c>
      <c r="D23311" s="12" t="str">
        <f ca="1">IFERROR(__xludf.DUMMYFUNCTION("""COMPUTED_VALUE"""),"")</f>
        <v/>
      </c>
    </row>
    <row r="23312" spans="2:4" ht="13">
      <c r="B23312" s="12" t="str">
        <f ca="1">IFERROR(__xludf.DUMMYFUNCTION("""COMPUTED_VALUE"""),"")</f>
        <v/>
      </c>
      <c r="C23312" s="12" t="str">
        <f ca="1">IFERROR(__xludf.DUMMYFUNCTION("""COMPUTED_VALUE"""),"")</f>
        <v/>
      </c>
      <c r="D23312" s="12" t="str">
        <f ca="1">IFERROR(__xludf.DUMMYFUNCTION("""COMPUTED_VALUE"""),"")</f>
        <v/>
      </c>
    </row>
    <row r="23313" spans="2:4" ht="13">
      <c r="B23313" s="12" t="str">
        <f ca="1">IFERROR(__xludf.DUMMYFUNCTION("""COMPUTED_VALUE"""),"")</f>
        <v/>
      </c>
      <c r="C23313" s="12" t="str">
        <f ca="1">IFERROR(__xludf.DUMMYFUNCTION("""COMPUTED_VALUE"""),"")</f>
        <v/>
      </c>
      <c r="D23313" s="12" t="str">
        <f ca="1">IFERROR(__xludf.DUMMYFUNCTION("""COMPUTED_VALUE"""),"")</f>
        <v/>
      </c>
    </row>
    <row r="23314" spans="2:4" ht="13">
      <c r="B23314" s="12" t="str">
        <f ca="1">IFERROR(__xludf.DUMMYFUNCTION("""COMPUTED_VALUE"""),"")</f>
        <v/>
      </c>
      <c r="C23314" s="12" t="str">
        <f ca="1">IFERROR(__xludf.DUMMYFUNCTION("""COMPUTED_VALUE"""),"")</f>
        <v/>
      </c>
      <c r="D23314" s="12" t="str">
        <f ca="1">IFERROR(__xludf.DUMMYFUNCTION("""COMPUTED_VALUE"""),"")</f>
        <v/>
      </c>
    </row>
    <row r="23315" spans="2:4" ht="13">
      <c r="B23315" s="12" t="str">
        <f ca="1">IFERROR(__xludf.DUMMYFUNCTION("""COMPUTED_VALUE"""),"")</f>
        <v/>
      </c>
      <c r="C23315" s="12" t="str">
        <f ca="1">IFERROR(__xludf.DUMMYFUNCTION("""COMPUTED_VALUE"""),"")</f>
        <v/>
      </c>
      <c r="D23315" s="12" t="str">
        <f ca="1">IFERROR(__xludf.DUMMYFUNCTION("""COMPUTED_VALUE"""),"")</f>
        <v/>
      </c>
    </row>
    <row r="23316" spans="2:4" ht="13">
      <c r="B23316" s="12" t="str">
        <f ca="1">IFERROR(__xludf.DUMMYFUNCTION("""COMPUTED_VALUE"""),"")</f>
        <v/>
      </c>
      <c r="C23316" s="12" t="str">
        <f ca="1">IFERROR(__xludf.DUMMYFUNCTION("""COMPUTED_VALUE"""),"")</f>
        <v/>
      </c>
      <c r="D23316" s="12" t="str">
        <f ca="1">IFERROR(__xludf.DUMMYFUNCTION("""COMPUTED_VALUE"""),"")</f>
        <v/>
      </c>
    </row>
    <row r="23317" spans="2:4" ht="13">
      <c r="B23317" s="12" t="str">
        <f ca="1">IFERROR(__xludf.DUMMYFUNCTION("""COMPUTED_VALUE"""),"")</f>
        <v/>
      </c>
      <c r="C23317" s="12" t="str">
        <f ca="1">IFERROR(__xludf.DUMMYFUNCTION("""COMPUTED_VALUE"""),"")</f>
        <v/>
      </c>
      <c r="D23317" s="12" t="str">
        <f ca="1">IFERROR(__xludf.DUMMYFUNCTION("""COMPUTED_VALUE"""),"")</f>
        <v/>
      </c>
    </row>
    <row r="23318" spans="2:4" ht="13">
      <c r="B23318" s="12" t="str">
        <f ca="1">IFERROR(__xludf.DUMMYFUNCTION("""COMPUTED_VALUE"""),"")</f>
        <v/>
      </c>
      <c r="C23318" s="12" t="str">
        <f ca="1">IFERROR(__xludf.DUMMYFUNCTION("""COMPUTED_VALUE"""),"")</f>
        <v/>
      </c>
      <c r="D23318" s="12" t="str">
        <f ca="1">IFERROR(__xludf.DUMMYFUNCTION("""COMPUTED_VALUE"""),"")</f>
        <v/>
      </c>
    </row>
    <row r="23319" spans="2:4" ht="13">
      <c r="B23319" s="12" t="str">
        <f ca="1">IFERROR(__xludf.DUMMYFUNCTION("""COMPUTED_VALUE"""),"")</f>
        <v/>
      </c>
      <c r="C23319" s="12" t="str">
        <f ca="1">IFERROR(__xludf.DUMMYFUNCTION("""COMPUTED_VALUE"""),"")</f>
        <v/>
      </c>
      <c r="D23319" s="12" t="str">
        <f ca="1">IFERROR(__xludf.DUMMYFUNCTION("""COMPUTED_VALUE"""),"")</f>
        <v/>
      </c>
    </row>
    <row r="23320" spans="2:4" ht="13">
      <c r="B23320" s="12" t="str">
        <f ca="1">IFERROR(__xludf.DUMMYFUNCTION("""COMPUTED_VALUE"""),"")</f>
        <v/>
      </c>
      <c r="C23320" s="12" t="str">
        <f ca="1">IFERROR(__xludf.DUMMYFUNCTION("""COMPUTED_VALUE"""),"")</f>
        <v/>
      </c>
      <c r="D23320" s="12" t="str">
        <f ca="1">IFERROR(__xludf.DUMMYFUNCTION("""COMPUTED_VALUE"""),"")</f>
        <v/>
      </c>
    </row>
    <row r="23321" spans="2:4" ht="13">
      <c r="B23321" s="12" t="str">
        <f ca="1">IFERROR(__xludf.DUMMYFUNCTION("""COMPUTED_VALUE"""),"")</f>
        <v/>
      </c>
      <c r="C23321" s="12" t="str">
        <f ca="1">IFERROR(__xludf.DUMMYFUNCTION("""COMPUTED_VALUE"""),"")</f>
        <v/>
      </c>
      <c r="D23321" s="12" t="str">
        <f ca="1">IFERROR(__xludf.DUMMYFUNCTION("""COMPUTED_VALUE"""),"")</f>
        <v/>
      </c>
    </row>
    <row r="23322" spans="2:4" ht="13">
      <c r="B23322" s="12" t="str">
        <f ca="1">IFERROR(__xludf.DUMMYFUNCTION("""COMPUTED_VALUE"""),"")</f>
        <v/>
      </c>
      <c r="C23322" s="12" t="str">
        <f ca="1">IFERROR(__xludf.DUMMYFUNCTION("""COMPUTED_VALUE"""),"")</f>
        <v/>
      </c>
      <c r="D23322" s="12" t="str">
        <f ca="1">IFERROR(__xludf.DUMMYFUNCTION("""COMPUTED_VALUE"""),"")</f>
        <v/>
      </c>
    </row>
    <row r="23323" spans="2:4" ht="13">
      <c r="B23323" s="12" t="str">
        <f ca="1">IFERROR(__xludf.DUMMYFUNCTION("""COMPUTED_VALUE"""),"")</f>
        <v/>
      </c>
      <c r="C23323" s="12" t="str">
        <f ca="1">IFERROR(__xludf.DUMMYFUNCTION("""COMPUTED_VALUE"""),"")</f>
        <v/>
      </c>
      <c r="D23323" s="12" t="str">
        <f ca="1">IFERROR(__xludf.DUMMYFUNCTION("""COMPUTED_VALUE"""),"")</f>
        <v/>
      </c>
    </row>
    <row r="23324" spans="2:4" ht="13">
      <c r="B23324" s="12" t="str">
        <f ca="1">IFERROR(__xludf.DUMMYFUNCTION("""COMPUTED_VALUE"""),"")</f>
        <v/>
      </c>
      <c r="C23324" s="12" t="str">
        <f ca="1">IFERROR(__xludf.DUMMYFUNCTION("""COMPUTED_VALUE"""),"")</f>
        <v/>
      </c>
      <c r="D23324" s="12" t="str">
        <f ca="1">IFERROR(__xludf.DUMMYFUNCTION("""COMPUTED_VALUE"""),"")</f>
        <v/>
      </c>
    </row>
    <row r="23325" spans="2:4" ht="13">
      <c r="B23325" s="12" t="str">
        <f ca="1">IFERROR(__xludf.DUMMYFUNCTION("""COMPUTED_VALUE"""),"")</f>
        <v/>
      </c>
      <c r="C23325" s="12" t="str">
        <f ca="1">IFERROR(__xludf.DUMMYFUNCTION("""COMPUTED_VALUE"""),"")</f>
        <v/>
      </c>
      <c r="D23325" s="12" t="str">
        <f ca="1">IFERROR(__xludf.DUMMYFUNCTION("""COMPUTED_VALUE"""),"")</f>
        <v/>
      </c>
    </row>
    <row r="23326" spans="2:4" ht="13">
      <c r="B23326" s="12" t="str">
        <f ca="1">IFERROR(__xludf.DUMMYFUNCTION("""COMPUTED_VALUE"""),"")</f>
        <v/>
      </c>
      <c r="C23326" s="12" t="str">
        <f ca="1">IFERROR(__xludf.DUMMYFUNCTION("""COMPUTED_VALUE"""),"")</f>
        <v/>
      </c>
      <c r="D23326" s="12" t="str">
        <f ca="1">IFERROR(__xludf.DUMMYFUNCTION("""COMPUTED_VALUE"""),"")</f>
        <v/>
      </c>
    </row>
    <row r="23327" spans="2:4" ht="13">
      <c r="B23327" s="12" t="str">
        <f ca="1">IFERROR(__xludf.DUMMYFUNCTION("""COMPUTED_VALUE"""),"")</f>
        <v/>
      </c>
      <c r="C23327" s="12" t="str">
        <f ca="1">IFERROR(__xludf.DUMMYFUNCTION("""COMPUTED_VALUE"""),"")</f>
        <v/>
      </c>
      <c r="D23327" s="12" t="str">
        <f ca="1">IFERROR(__xludf.DUMMYFUNCTION("""COMPUTED_VALUE"""),"")</f>
        <v/>
      </c>
    </row>
    <row r="23328" spans="2:4" ht="13">
      <c r="B23328" s="12" t="str">
        <f ca="1">IFERROR(__xludf.DUMMYFUNCTION("""COMPUTED_VALUE"""),"")</f>
        <v/>
      </c>
      <c r="C23328" s="12" t="str">
        <f ca="1">IFERROR(__xludf.DUMMYFUNCTION("""COMPUTED_VALUE"""),"")</f>
        <v/>
      </c>
      <c r="D23328" s="12" t="str">
        <f ca="1">IFERROR(__xludf.DUMMYFUNCTION("""COMPUTED_VALUE"""),"")</f>
        <v/>
      </c>
    </row>
    <row r="23329" spans="2:4" ht="13">
      <c r="B23329" s="12" t="str">
        <f ca="1">IFERROR(__xludf.DUMMYFUNCTION("""COMPUTED_VALUE"""),"")</f>
        <v/>
      </c>
      <c r="C23329" s="12" t="str">
        <f ca="1">IFERROR(__xludf.DUMMYFUNCTION("""COMPUTED_VALUE"""),"")</f>
        <v/>
      </c>
      <c r="D23329" s="12" t="str">
        <f ca="1">IFERROR(__xludf.DUMMYFUNCTION("""COMPUTED_VALUE"""),"")</f>
        <v/>
      </c>
    </row>
    <row r="23330" spans="2:4" ht="13">
      <c r="B23330" s="12" t="str">
        <f ca="1">IFERROR(__xludf.DUMMYFUNCTION("""COMPUTED_VALUE"""),"")</f>
        <v/>
      </c>
      <c r="C23330" s="12" t="str">
        <f ca="1">IFERROR(__xludf.DUMMYFUNCTION("""COMPUTED_VALUE"""),"")</f>
        <v/>
      </c>
      <c r="D23330" s="12" t="str">
        <f ca="1">IFERROR(__xludf.DUMMYFUNCTION("""COMPUTED_VALUE"""),"")</f>
        <v/>
      </c>
    </row>
    <row r="23331" spans="2:4" ht="13">
      <c r="B23331" s="12" t="str">
        <f ca="1">IFERROR(__xludf.DUMMYFUNCTION("""COMPUTED_VALUE"""),"")</f>
        <v/>
      </c>
      <c r="C23331" s="12" t="str">
        <f ca="1">IFERROR(__xludf.DUMMYFUNCTION("""COMPUTED_VALUE"""),"")</f>
        <v/>
      </c>
      <c r="D23331" s="12" t="str">
        <f ca="1">IFERROR(__xludf.DUMMYFUNCTION("""COMPUTED_VALUE"""),"")</f>
        <v/>
      </c>
    </row>
    <row r="23332" spans="2:4" ht="13">
      <c r="B23332" s="12" t="str">
        <f ca="1">IFERROR(__xludf.DUMMYFUNCTION("""COMPUTED_VALUE"""),"")</f>
        <v/>
      </c>
      <c r="C23332" s="12" t="str">
        <f ca="1">IFERROR(__xludf.DUMMYFUNCTION("""COMPUTED_VALUE"""),"")</f>
        <v/>
      </c>
      <c r="D23332" s="12" t="str">
        <f ca="1">IFERROR(__xludf.DUMMYFUNCTION("""COMPUTED_VALUE"""),"")</f>
        <v/>
      </c>
    </row>
    <row r="23333" spans="2:4" ht="13">
      <c r="B23333" s="12" t="str">
        <f ca="1">IFERROR(__xludf.DUMMYFUNCTION("""COMPUTED_VALUE"""),"")</f>
        <v/>
      </c>
      <c r="C23333" s="12" t="str">
        <f ca="1">IFERROR(__xludf.DUMMYFUNCTION("""COMPUTED_VALUE"""),"")</f>
        <v/>
      </c>
      <c r="D23333" s="12" t="str">
        <f ca="1">IFERROR(__xludf.DUMMYFUNCTION("""COMPUTED_VALUE"""),"")</f>
        <v/>
      </c>
    </row>
    <row r="23334" spans="2:4" ht="13">
      <c r="B23334" s="12" t="str">
        <f ca="1">IFERROR(__xludf.DUMMYFUNCTION("""COMPUTED_VALUE"""),"")</f>
        <v/>
      </c>
      <c r="C23334" s="12" t="str">
        <f ca="1">IFERROR(__xludf.DUMMYFUNCTION("""COMPUTED_VALUE"""),"")</f>
        <v/>
      </c>
      <c r="D23334" s="12" t="str">
        <f ca="1">IFERROR(__xludf.DUMMYFUNCTION("""COMPUTED_VALUE"""),"")</f>
        <v/>
      </c>
    </row>
    <row r="23335" spans="2:4" ht="13">
      <c r="B23335" s="12" t="str">
        <f ca="1">IFERROR(__xludf.DUMMYFUNCTION("""COMPUTED_VALUE"""),"")</f>
        <v/>
      </c>
      <c r="C23335" s="12" t="str">
        <f ca="1">IFERROR(__xludf.DUMMYFUNCTION("""COMPUTED_VALUE"""),"")</f>
        <v/>
      </c>
      <c r="D23335" s="12" t="str">
        <f ca="1">IFERROR(__xludf.DUMMYFUNCTION("""COMPUTED_VALUE"""),"")</f>
        <v/>
      </c>
    </row>
    <row r="23336" spans="2:4" ht="13">
      <c r="B23336" s="12" t="str">
        <f ca="1">IFERROR(__xludf.DUMMYFUNCTION("""COMPUTED_VALUE"""),"")</f>
        <v/>
      </c>
      <c r="C23336" s="12" t="str">
        <f ca="1">IFERROR(__xludf.DUMMYFUNCTION("""COMPUTED_VALUE"""),"")</f>
        <v/>
      </c>
      <c r="D23336" s="12" t="str">
        <f ca="1">IFERROR(__xludf.DUMMYFUNCTION("""COMPUTED_VALUE"""),"")</f>
        <v/>
      </c>
    </row>
    <row r="23337" spans="2:4" ht="13">
      <c r="B23337" s="12" t="str">
        <f ca="1">IFERROR(__xludf.DUMMYFUNCTION("""COMPUTED_VALUE"""),"")</f>
        <v/>
      </c>
      <c r="C23337" s="12" t="str">
        <f ca="1">IFERROR(__xludf.DUMMYFUNCTION("""COMPUTED_VALUE"""),"")</f>
        <v/>
      </c>
      <c r="D23337" s="12" t="str">
        <f ca="1">IFERROR(__xludf.DUMMYFUNCTION("""COMPUTED_VALUE"""),"")</f>
        <v/>
      </c>
    </row>
    <row r="23338" spans="2:4" ht="13">
      <c r="B23338" s="12" t="str">
        <f ca="1">IFERROR(__xludf.DUMMYFUNCTION("""COMPUTED_VALUE"""),"")</f>
        <v/>
      </c>
      <c r="C23338" s="12" t="str">
        <f ca="1">IFERROR(__xludf.DUMMYFUNCTION("""COMPUTED_VALUE"""),"")</f>
        <v/>
      </c>
      <c r="D23338" s="12" t="str">
        <f ca="1">IFERROR(__xludf.DUMMYFUNCTION("""COMPUTED_VALUE"""),"")</f>
        <v/>
      </c>
    </row>
    <row r="23339" spans="2:4" ht="13">
      <c r="B23339" s="12" t="str">
        <f ca="1">IFERROR(__xludf.DUMMYFUNCTION("""COMPUTED_VALUE"""),"")</f>
        <v/>
      </c>
      <c r="C23339" s="12" t="str">
        <f ca="1">IFERROR(__xludf.DUMMYFUNCTION("""COMPUTED_VALUE"""),"")</f>
        <v/>
      </c>
      <c r="D23339" s="12" t="str">
        <f ca="1">IFERROR(__xludf.DUMMYFUNCTION("""COMPUTED_VALUE"""),"")</f>
        <v/>
      </c>
    </row>
    <row r="23340" spans="2:4" ht="13">
      <c r="B23340" s="12" t="str">
        <f ca="1">IFERROR(__xludf.DUMMYFUNCTION("""COMPUTED_VALUE"""),"")</f>
        <v/>
      </c>
      <c r="C23340" s="12" t="str">
        <f ca="1">IFERROR(__xludf.DUMMYFUNCTION("""COMPUTED_VALUE"""),"")</f>
        <v/>
      </c>
      <c r="D23340" s="12" t="str">
        <f ca="1">IFERROR(__xludf.DUMMYFUNCTION("""COMPUTED_VALUE"""),"")</f>
        <v/>
      </c>
    </row>
    <row r="23341" spans="2:4" ht="13">
      <c r="B23341" s="12" t="str">
        <f ca="1">IFERROR(__xludf.DUMMYFUNCTION("""COMPUTED_VALUE"""),"")</f>
        <v/>
      </c>
      <c r="C23341" s="12" t="str">
        <f ca="1">IFERROR(__xludf.DUMMYFUNCTION("""COMPUTED_VALUE"""),"")</f>
        <v/>
      </c>
      <c r="D23341" s="12" t="str">
        <f ca="1">IFERROR(__xludf.DUMMYFUNCTION("""COMPUTED_VALUE"""),"")</f>
        <v/>
      </c>
    </row>
    <row r="23342" spans="2:4" ht="13">
      <c r="B23342" s="12" t="str">
        <f ca="1">IFERROR(__xludf.DUMMYFUNCTION("""COMPUTED_VALUE"""),"")</f>
        <v/>
      </c>
      <c r="C23342" s="12" t="str">
        <f ca="1">IFERROR(__xludf.DUMMYFUNCTION("""COMPUTED_VALUE"""),"")</f>
        <v/>
      </c>
      <c r="D23342" s="12" t="str">
        <f ca="1">IFERROR(__xludf.DUMMYFUNCTION("""COMPUTED_VALUE"""),"")</f>
        <v/>
      </c>
    </row>
    <row r="23343" spans="2:4" ht="13">
      <c r="B23343" s="12" t="str">
        <f ca="1">IFERROR(__xludf.DUMMYFUNCTION("""COMPUTED_VALUE"""),"")</f>
        <v/>
      </c>
      <c r="C23343" s="12" t="str">
        <f ca="1">IFERROR(__xludf.DUMMYFUNCTION("""COMPUTED_VALUE"""),"")</f>
        <v/>
      </c>
      <c r="D23343" s="12" t="str">
        <f ca="1">IFERROR(__xludf.DUMMYFUNCTION("""COMPUTED_VALUE"""),"")</f>
        <v/>
      </c>
    </row>
    <row r="23344" spans="2:4" ht="13">
      <c r="B23344" s="12" t="str">
        <f ca="1">IFERROR(__xludf.DUMMYFUNCTION("""COMPUTED_VALUE"""),"")</f>
        <v/>
      </c>
      <c r="C23344" s="12" t="str">
        <f ca="1">IFERROR(__xludf.DUMMYFUNCTION("""COMPUTED_VALUE"""),"")</f>
        <v/>
      </c>
      <c r="D23344" s="12" t="str">
        <f ca="1">IFERROR(__xludf.DUMMYFUNCTION("""COMPUTED_VALUE"""),"")</f>
        <v/>
      </c>
    </row>
    <row r="23345" spans="2:4" ht="13">
      <c r="B23345" s="12" t="str">
        <f ca="1">IFERROR(__xludf.DUMMYFUNCTION("""COMPUTED_VALUE"""),"")</f>
        <v/>
      </c>
      <c r="C23345" s="12" t="str">
        <f ca="1">IFERROR(__xludf.DUMMYFUNCTION("""COMPUTED_VALUE"""),"")</f>
        <v/>
      </c>
      <c r="D23345" s="12" t="str">
        <f ca="1">IFERROR(__xludf.DUMMYFUNCTION("""COMPUTED_VALUE"""),"")</f>
        <v/>
      </c>
    </row>
    <row r="23346" spans="2:4" ht="13">
      <c r="B23346" s="12" t="str">
        <f ca="1">IFERROR(__xludf.DUMMYFUNCTION("""COMPUTED_VALUE"""),"")</f>
        <v/>
      </c>
      <c r="C23346" s="12" t="str">
        <f ca="1">IFERROR(__xludf.DUMMYFUNCTION("""COMPUTED_VALUE"""),"")</f>
        <v/>
      </c>
      <c r="D23346" s="12" t="str">
        <f ca="1">IFERROR(__xludf.DUMMYFUNCTION("""COMPUTED_VALUE"""),"")</f>
        <v/>
      </c>
    </row>
    <row r="23347" spans="2:4" ht="13">
      <c r="B23347" s="12" t="str">
        <f ca="1">IFERROR(__xludf.DUMMYFUNCTION("""COMPUTED_VALUE"""),"")</f>
        <v/>
      </c>
      <c r="C23347" s="12" t="str">
        <f ca="1">IFERROR(__xludf.DUMMYFUNCTION("""COMPUTED_VALUE"""),"")</f>
        <v/>
      </c>
      <c r="D23347" s="12" t="str">
        <f ca="1">IFERROR(__xludf.DUMMYFUNCTION("""COMPUTED_VALUE"""),"")</f>
        <v/>
      </c>
    </row>
    <row r="23348" spans="2:4" ht="13">
      <c r="B23348" s="12" t="str">
        <f ca="1">IFERROR(__xludf.DUMMYFUNCTION("""COMPUTED_VALUE"""),"")</f>
        <v/>
      </c>
      <c r="C23348" s="12" t="str">
        <f ca="1">IFERROR(__xludf.DUMMYFUNCTION("""COMPUTED_VALUE"""),"")</f>
        <v/>
      </c>
      <c r="D23348" s="12" t="str">
        <f ca="1">IFERROR(__xludf.DUMMYFUNCTION("""COMPUTED_VALUE"""),"")</f>
        <v/>
      </c>
    </row>
    <row r="23349" spans="2:4" ht="13">
      <c r="B23349" s="12" t="str">
        <f ca="1">IFERROR(__xludf.DUMMYFUNCTION("""COMPUTED_VALUE"""),"")</f>
        <v/>
      </c>
      <c r="C23349" s="12" t="str">
        <f ca="1">IFERROR(__xludf.DUMMYFUNCTION("""COMPUTED_VALUE"""),"")</f>
        <v/>
      </c>
      <c r="D23349" s="12" t="str">
        <f ca="1">IFERROR(__xludf.DUMMYFUNCTION("""COMPUTED_VALUE"""),"")</f>
        <v/>
      </c>
    </row>
    <row r="23350" spans="2:4" ht="13">
      <c r="B23350" s="12" t="str">
        <f ca="1">IFERROR(__xludf.DUMMYFUNCTION("""COMPUTED_VALUE"""),"")</f>
        <v/>
      </c>
      <c r="C23350" s="12" t="str">
        <f ca="1">IFERROR(__xludf.DUMMYFUNCTION("""COMPUTED_VALUE"""),"")</f>
        <v/>
      </c>
      <c r="D23350" s="12" t="str">
        <f ca="1">IFERROR(__xludf.DUMMYFUNCTION("""COMPUTED_VALUE"""),"")</f>
        <v/>
      </c>
    </row>
    <row r="23351" spans="2:4" ht="13">
      <c r="B23351" s="12" t="str">
        <f ca="1">IFERROR(__xludf.DUMMYFUNCTION("""COMPUTED_VALUE"""),"")</f>
        <v/>
      </c>
      <c r="C23351" s="12" t="str">
        <f ca="1">IFERROR(__xludf.DUMMYFUNCTION("""COMPUTED_VALUE"""),"")</f>
        <v/>
      </c>
      <c r="D23351" s="12" t="str">
        <f ca="1">IFERROR(__xludf.DUMMYFUNCTION("""COMPUTED_VALUE"""),"")</f>
        <v/>
      </c>
    </row>
    <row r="23352" spans="2:4" ht="13">
      <c r="B23352" s="12" t="str">
        <f ca="1">IFERROR(__xludf.DUMMYFUNCTION("""COMPUTED_VALUE"""),"")</f>
        <v/>
      </c>
      <c r="C23352" s="12" t="str">
        <f ca="1">IFERROR(__xludf.DUMMYFUNCTION("""COMPUTED_VALUE"""),"")</f>
        <v/>
      </c>
      <c r="D23352" s="12" t="str">
        <f ca="1">IFERROR(__xludf.DUMMYFUNCTION("""COMPUTED_VALUE"""),"")</f>
        <v/>
      </c>
    </row>
    <row r="23353" spans="2:4" ht="13">
      <c r="B23353" s="12" t="str">
        <f ca="1">IFERROR(__xludf.DUMMYFUNCTION("""COMPUTED_VALUE"""),"")</f>
        <v/>
      </c>
      <c r="C23353" s="12" t="str">
        <f ca="1">IFERROR(__xludf.DUMMYFUNCTION("""COMPUTED_VALUE"""),"")</f>
        <v/>
      </c>
      <c r="D23353" s="12" t="str">
        <f ca="1">IFERROR(__xludf.DUMMYFUNCTION("""COMPUTED_VALUE"""),"")</f>
        <v/>
      </c>
    </row>
    <row r="23354" spans="2:4" ht="13">
      <c r="B23354" s="12" t="str">
        <f ca="1">IFERROR(__xludf.DUMMYFUNCTION("""COMPUTED_VALUE"""),"")</f>
        <v/>
      </c>
      <c r="C23354" s="12" t="str">
        <f ca="1">IFERROR(__xludf.DUMMYFUNCTION("""COMPUTED_VALUE"""),"")</f>
        <v/>
      </c>
      <c r="D23354" s="12" t="str">
        <f ca="1">IFERROR(__xludf.DUMMYFUNCTION("""COMPUTED_VALUE"""),"")</f>
        <v/>
      </c>
    </row>
    <row r="23355" spans="2:4" ht="13">
      <c r="B23355" s="12" t="str">
        <f ca="1">IFERROR(__xludf.DUMMYFUNCTION("""COMPUTED_VALUE"""),"")</f>
        <v/>
      </c>
      <c r="C23355" s="12" t="str">
        <f ca="1">IFERROR(__xludf.DUMMYFUNCTION("""COMPUTED_VALUE"""),"")</f>
        <v/>
      </c>
      <c r="D23355" s="12" t="str">
        <f ca="1">IFERROR(__xludf.DUMMYFUNCTION("""COMPUTED_VALUE"""),"")</f>
        <v/>
      </c>
    </row>
    <row r="23356" spans="2:4" ht="13">
      <c r="B23356" s="12" t="str">
        <f ca="1">IFERROR(__xludf.DUMMYFUNCTION("""COMPUTED_VALUE"""),"")</f>
        <v/>
      </c>
      <c r="C23356" s="12" t="str">
        <f ca="1">IFERROR(__xludf.DUMMYFUNCTION("""COMPUTED_VALUE"""),"")</f>
        <v/>
      </c>
      <c r="D23356" s="12" t="str">
        <f ca="1">IFERROR(__xludf.DUMMYFUNCTION("""COMPUTED_VALUE"""),"")</f>
        <v/>
      </c>
    </row>
    <row r="23357" spans="2:4" ht="13">
      <c r="B23357" s="12" t="str">
        <f ca="1">IFERROR(__xludf.DUMMYFUNCTION("""COMPUTED_VALUE"""),"")</f>
        <v/>
      </c>
      <c r="C23357" s="12" t="str">
        <f ca="1">IFERROR(__xludf.DUMMYFUNCTION("""COMPUTED_VALUE"""),"")</f>
        <v/>
      </c>
      <c r="D23357" s="12" t="str">
        <f ca="1">IFERROR(__xludf.DUMMYFUNCTION("""COMPUTED_VALUE"""),"")</f>
        <v/>
      </c>
    </row>
    <row r="23358" spans="2:4" ht="13">
      <c r="B23358" s="12" t="str">
        <f ca="1">IFERROR(__xludf.DUMMYFUNCTION("""COMPUTED_VALUE"""),"")</f>
        <v/>
      </c>
      <c r="C23358" s="12" t="str">
        <f ca="1">IFERROR(__xludf.DUMMYFUNCTION("""COMPUTED_VALUE"""),"")</f>
        <v/>
      </c>
      <c r="D23358" s="12" t="str">
        <f ca="1">IFERROR(__xludf.DUMMYFUNCTION("""COMPUTED_VALUE"""),"")</f>
        <v/>
      </c>
    </row>
    <row r="23359" spans="2:4" ht="13">
      <c r="B23359" s="12" t="str">
        <f ca="1">IFERROR(__xludf.DUMMYFUNCTION("""COMPUTED_VALUE"""),"")</f>
        <v/>
      </c>
      <c r="C23359" s="12" t="str">
        <f ca="1">IFERROR(__xludf.DUMMYFUNCTION("""COMPUTED_VALUE"""),"")</f>
        <v/>
      </c>
      <c r="D23359" s="12" t="str">
        <f ca="1">IFERROR(__xludf.DUMMYFUNCTION("""COMPUTED_VALUE"""),"")</f>
        <v/>
      </c>
    </row>
    <row r="23360" spans="2:4" ht="13">
      <c r="B23360" s="12" t="str">
        <f ca="1">IFERROR(__xludf.DUMMYFUNCTION("""COMPUTED_VALUE"""),"")</f>
        <v/>
      </c>
      <c r="C23360" s="12" t="str">
        <f ca="1">IFERROR(__xludf.DUMMYFUNCTION("""COMPUTED_VALUE"""),"")</f>
        <v/>
      </c>
      <c r="D23360" s="12" t="str">
        <f ca="1">IFERROR(__xludf.DUMMYFUNCTION("""COMPUTED_VALUE"""),"")</f>
        <v/>
      </c>
    </row>
    <row r="23361" spans="2:4" ht="13">
      <c r="B23361" s="12" t="str">
        <f ca="1">IFERROR(__xludf.DUMMYFUNCTION("""COMPUTED_VALUE"""),"")</f>
        <v/>
      </c>
      <c r="C23361" s="12" t="str">
        <f ca="1">IFERROR(__xludf.DUMMYFUNCTION("""COMPUTED_VALUE"""),"")</f>
        <v/>
      </c>
      <c r="D23361" s="12" t="str">
        <f ca="1">IFERROR(__xludf.DUMMYFUNCTION("""COMPUTED_VALUE"""),"")</f>
        <v/>
      </c>
    </row>
    <row r="23362" spans="2:4" ht="13">
      <c r="B23362" s="12" t="str">
        <f ca="1">IFERROR(__xludf.DUMMYFUNCTION("""COMPUTED_VALUE"""),"")</f>
        <v/>
      </c>
      <c r="C23362" s="12" t="str">
        <f ca="1">IFERROR(__xludf.DUMMYFUNCTION("""COMPUTED_VALUE"""),"")</f>
        <v/>
      </c>
      <c r="D23362" s="12" t="str">
        <f ca="1">IFERROR(__xludf.DUMMYFUNCTION("""COMPUTED_VALUE"""),"")</f>
        <v/>
      </c>
    </row>
    <row r="23363" spans="2:4" ht="13">
      <c r="B23363" s="12" t="str">
        <f ca="1">IFERROR(__xludf.DUMMYFUNCTION("""COMPUTED_VALUE"""),"")</f>
        <v/>
      </c>
      <c r="C23363" s="12" t="str">
        <f ca="1">IFERROR(__xludf.DUMMYFUNCTION("""COMPUTED_VALUE"""),"")</f>
        <v/>
      </c>
      <c r="D23363" s="12" t="str">
        <f ca="1">IFERROR(__xludf.DUMMYFUNCTION("""COMPUTED_VALUE"""),"")</f>
        <v/>
      </c>
    </row>
    <row r="23364" spans="2:4" ht="13">
      <c r="B23364" s="12" t="str">
        <f ca="1">IFERROR(__xludf.DUMMYFUNCTION("""COMPUTED_VALUE"""),"")</f>
        <v/>
      </c>
      <c r="C23364" s="12" t="str">
        <f ca="1">IFERROR(__xludf.DUMMYFUNCTION("""COMPUTED_VALUE"""),"")</f>
        <v/>
      </c>
      <c r="D23364" s="12" t="str">
        <f ca="1">IFERROR(__xludf.DUMMYFUNCTION("""COMPUTED_VALUE"""),"")</f>
        <v/>
      </c>
    </row>
    <row r="23365" spans="2:4" ht="13">
      <c r="B23365" s="12" t="str">
        <f ca="1">IFERROR(__xludf.DUMMYFUNCTION("""COMPUTED_VALUE"""),"")</f>
        <v/>
      </c>
      <c r="C23365" s="12" t="str">
        <f ca="1">IFERROR(__xludf.DUMMYFUNCTION("""COMPUTED_VALUE"""),"")</f>
        <v/>
      </c>
      <c r="D23365" s="12" t="str">
        <f ca="1">IFERROR(__xludf.DUMMYFUNCTION("""COMPUTED_VALUE"""),"")</f>
        <v/>
      </c>
    </row>
    <row r="23366" spans="2:4" ht="13">
      <c r="B23366" s="12" t="str">
        <f ca="1">IFERROR(__xludf.DUMMYFUNCTION("""COMPUTED_VALUE"""),"")</f>
        <v/>
      </c>
      <c r="C23366" s="12" t="str">
        <f ca="1">IFERROR(__xludf.DUMMYFUNCTION("""COMPUTED_VALUE"""),"")</f>
        <v/>
      </c>
      <c r="D23366" s="12" t="str">
        <f ca="1">IFERROR(__xludf.DUMMYFUNCTION("""COMPUTED_VALUE"""),"")</f>
        <v/>
      </c>
    </row>
    <row r="23367" spans="2:4" ht="13">
      <c r="B23367" s="12" t="str">
        <f ca="1">IFERROR(__xludf.DUMMYFUNCTION("""COMPUTED_VALUE"""),"")</f>
        <v/>
      </c>
      <c r="C23367" s="12" t="str">
        <f ca="1">IFERROR(__xludf.DUMMYFUNCTION("""COMPUTED_VALUE"""),"")</f>
        <v/>
      </c>
      <c r="D23367" s="12" t="str">
        <f ca="1">IFERROR(__xludf.DUMMYFUNCTION("""COMPUTED_VALUE"""),"")</f>
        <v/>
      </c>
    </row>
    <row r="23368" spans="2:4" ht="13">
      <c r="B23368" s="12" t="str">
        <f ca="1">IFERROR(__xludf.DUMMYFUNCTION("""COMPUTED_VALUE"""),"")</f>
        <v/>
      </c>
      <c r="C23368" s="12" t="str">
        <f ca="1">IFERROR(__xludf.DUMMYFUNCTION("""COMPUTED_VALUE"""),"")</f>
        <v/>
      </c>
      <c r="D23368" s="12" t="str">
        <f ca="1">IFERROR(__xludf.DUMMYFUNCTION("""COMPUTED_VALUE"""),"")</f>
        <v/>
      </c>
    </row>
    <row r="23369" spans="2:4" ht="13">
      <c r="B23369" s="12" t="str">
        <f ca="1">IFERROR(__xludf.DUMMYFUNCTION("""COMPUTED_VALUE"""),"")</f>
        <v/>
      </c>
      <c r="C23369" s="12" t="str">
        <f ca="1">IFERROR(__xludf.DUMMYFUNCTION("""COMPUTED_VALUE"""),"")</f>
        <v/>
      </c>
      <c r="D23369" s="12" t="str">
        <f ca="1">IFERROR(__xludf.DUMMYFUNCTION("""COMPUTED_VALUE"""),"")</f>
        <v/>
      </c>
    </row>
    <row r="23370" spans="2:4" ht="13">
      <c r="B23370" s="12" t="str">
        <f ca="1">IFERROR(__xludf.DUMMYFUNCTION("""COMPUTED_VALUE"""),"")</f>
        <v/>
      </c>
      <c r="C23370" s="12" t="str">
        <f ca="1">IFERROR(__xludf.DUMMYFUNCTION("""COMPUTED_VALUE"""),"")</f>
        <v/>
      </c>
      <c r="D23370" s="12" t="str">
        <f ca="1">IFERROR(__xludf.DUMMYFUNCTION("""COMPUTED_VALUE"""),"")</f>
        <v/>
      </c>
    </row>
    <row r="23371" spans="2:4" ht="13">
      <c r="B23371" s="12" t="str">
        <f ca="1">IFERROR(__xludf.DUMMYFUNCTION("""COMPUTED_VALUE"""),"")</f>
        <v/>
      </c>
      <c r="C23371" s="12" t="str">
        <f ca="1">IFERROR(__xludf.DUMMYFUNCTION("""COMPUTED_VALUE"""),"")</f>
        <v/>
      </c>
      <c r="D23371" s="12" t="str">
        <f ca="1">IFERROR(__xludf.DUMMYFUNCTION("""COMPUTED_VALUE"""),"")</f>
        <v/>
      </c>
    </row>
    <row r="23372" spans="2:4" ht="13">
      <c r="B23372" s="12" t="str">
        <f ca="1">IFERROR(__xludf.DUMMYFUNCTION("""COMPUTED_VALUE"""),"")</f>
        <v/>
      </c>
      <c r="C23372" s="12" t="str">
        <f ca="1">IFERROR(__xludf.DUMMYFUNCTION("""COMPUTED_VALUE"""),"")</f>
        <v/>
      </c>
      <c r="D23372" s="12" t="str">
        <f ca="1">IFERROR(__xludf.DUMMYFUNCTION("""COMPUTED_VALUE"""),"")</f>
        <v/>
      </c>
    </row>
    <row r="23373" spans="2:4" ht="13">
      <c r="B23373" s="12" t="str">
        <f ca="1">IFERROR(__xludf.DUMMYFUNCTION("""COMPUTED_VALUE"""),"")</f>
        <v/>
      </c>
      <c r="C23373" s="12" t="str">
        <f ca="1">IFERROR(__xludf.DUMMYFUNCTION("""COMPUTED_VALUE"""),"")</f>
        <v/>
      </c>
      <c r="D23373" s="12" t="str">
        <f ca="1">IFERROR(__xludf.DUMMYFUNCTION("""COMPUTED_VALUE"""),"")</f>
        <v/>
      </c>
    </row>
    <row r="23374" spans="2:4" ht="13">
      <c r="B23374" s="12" t="str">
        <f ca="1">IFERROR(__xludf.DUMMYFUNCTION("""COMPUTED_VALUE"""),"")</f>
        <v/>
      </c>
      <c r="C23374" s="12" t="str">
        <f ca="1">IFERROR(__xludf.DUMMYFUNCTION("""COMPUTED_VALUE"""),"")</f>
        <v/>
      </c>
      <c r="D23374" s="12" t="str">
        <f ca="1">IFERROR(__xludf.DUMMYFUNCTION("""COMPUTED_VALUE"""),"")</f>
        <v/>
      </c>
    </row>
    <row r="23375" spans="2:4" ht="13">
      <c r="B23375" s="12" t="str">
        <f ca="1">IFERROR(__xludf.DUMMYFUNCTION("""COMPUTED_VALUE"""),"")</f>
        <v/>
      </c>
      <c r="C23375" s="12" t="str">
        <f ca="1">IFERROR(__xludf.DUMMYFUNCTION("""COMPUTED_VALUE"""),"")</f>
        <v/>
      </c>
      <c r="D23375" s="12" t="str">
        <f ca="1">IFERROR(__xludf.DUMMYFUNCTION("""COMPUTED_VALUE"""),"")</f>
        <v/>
      </c>
    </row>
    <row r="23376" spans="2:4" ht="13">
      <c r="B23376" s="12" t="str">
        <f ca="1">IFERROR(__xludf.DUMMYFUNCTION("""COMPUTED_VALUE"""),"")</f>
        <v/>
      </c>
      <c r="C23376" s="12" t="str">
        <f ca="1">IFERROR(__xludf.DUMMYFUNCTION("""COMPUTED_VALUE"""),"")</f>
        <v/>
      </c>
      <c r="D23376" s="12" t="str">
        <f ca="1">IFERROR(__xludf.DUMMYFUNCTION("""COMPUTED_VALUE"""),"")</f>
        <v/>
      </c>
    </row>
    <row r="23377" spans="2:4" ht="13">
      <c r="B23377" s="12" t="str">
        <f ca="1">IFERROR(__xludf.DUMMYFUNCTION("""COMPUTED_VALUE"""),"")</f>
        <v/>
      </c>
      <c r="C23377" s="12" t="str">
        <f ca="1">IFERROR(__xludf.DUMMYFUNCTION("""COMPUTED_VALUE"""),"")</f>
        <v/>
      </c>
      <c r="D23377" s="12" t="str">
        <f ca="1">IFERROR(__xludf.DUMMYFUNCTION("""COMPUTED_VALUE"""),"")</f>
        <v/>
      </c>
    </row>
    <row r="23378" spans="2:4" ht="13">
      <c r="B23378" s="12" t="str">
        <f ca="1">IFERROR(__xludf.DUMMYFUNCTION("""COMPUTED_VALUE"""),"")</f>
        <v/>
      </c>
      <c r="C23378" s="12" t="str">
        <f ca="1">IFERROR(__xludf.DUMMYFUNCTION("""COMPUTED_VALUE"""),"")</f>
        <v/>
      </c>
      <c r="D23378" s="12" t="str">
        <f ca="1">IFERROR(__xludf.DUMMYFUNCTION("""COMPUTED_VALUE"""),"")</f>
        <v/>
      </c>
    </row>
    <row r="23379" spans="2:4" ht="13">
      <c r="B23379" s="12" t="str">
        <f ca="1">IFERROR(__xludf.DUMMYFUNCTION("""COMPUTED_VALUE"""),"")</f>
        <v/>
      </c>
      <c r="C23379" s="12" t="str">
        <f ca="1">IFERROR(__xludf.DUMMYFUNCTION("""COMPUTED_VALUE"""),"")</f>
        <v/>
      </c>
      <c r="D23379" s="12" t="str">
        <f ca="1">IFERROR(__xludf.DUMMYFUNCTION("""COMPUTED_VALUE"""),"")</f>
        <v/>
      </c>
    </row>
    <row r="23380" spans="2:4" ht="13">
      <c r="B23380" s="12" t="str">
        <f ca="1">IFERROR(__xludf.DUMMYFUNCTION("""COMPUTED_VALUE"""),"")</f>
        <v/>
      </c>
      <c r="C23380" s="12" t="str">
        <f ca="1">IFERROR(__xludf.DUMMYFUNCTION("""COMPUTED_VALUE"""),"")</f>
        <v/>
      </c>
      <c r="D23380" s="12" t="str">
        <f ca="1">IFERROR(__xludf.DUMMYFUNCTION("""COMPUTED_VALUE"""),"")</f>
        <v/>
      </c>
    </row>
    <row r="23381" spans="2:4" ht="13">
      <c r="B23381" s="12" t="str">
        <f ca="1">IFERROR(__xludf.DUMMYFUNCTION("""COMPUTED_VALUE"""),"")</f>
        <v/>
      </c>
      <c r="C23381" s="12" t="str">
        <f ca="1">IFERROR(__xludf.DUMMYFUNCTION("""COMPUTED_VALUE"""),"")</f>
        <v/>
      </c>
      <c r="D23381" s="12" t="str">
        <f ca="1">IFERROR(__xludf.DUMMYFUNCTION("""COMPUTED_VALUE"""),"")</f>
        <v/>
      </c>
    </row>
    <row r="23382" spans="2:4" ht="13">
      <c r="B23382" s="12" t="str">
        <f ca="1">IFERROR(__xludf.DUMMYFUNCTION("""COMPUTED_VALUE"""),"")</f>
        <v/>
      </c>
      <c r="C23382" s="12" t="str">
        <f ca="1">IFERROR(__xludf.DUMMYFUNCTION("""COMPUTED_VALUE"""),"")</f>
        <v/>
      </c>
      <c r="D23382" s="12" t="str">
        <f ca="1">IFERROR(__xludf.DUMMYFUNCTION("""COMPUTED_VALUE"""),"")</f>
        <v/>
      </c>
    </row>
    <row r="23383" spans="2:4" ht="13">
      <c r="B23383" s="12" t="str">
        <f ca="1">IFERROR(__xludf.DUMMYFUNCTION("""COMPUTED_VALUE"""),"")</f>
        <v/>
      </c>
      <c r="C23383" s="12" t="str">
        <f ca="1">IFERROR(__xludf.DUMMYFUNCTION("""COMPUTED_VALUE"""),"")</f>
        <v/>
      </c>
      <c r="D23383" s="12" t="str">
        <f ca="1">IFERROR(__xludf.DUMMYFUNCTION("""COMPUTED_VALUE"""),"")</f>
        <v/>
      </c>
    </row>
    <row r="23384" spans="2:4" ht="13">
      <c r="B23384" s="12" t="str">
        <f ca="1">IFERROR(__xludf.DUMMYFUNCTION("""COMPUTED_VALUE"""),"")</f>
        <v/>
      </c>
      <c r="C23384" s="12" t="str">
        <f ca="1">IFERROR(__xludf.DUMMYFUNCTION("""COMPUTED_VALUE"""),"")</f>
        <v/>
      </c>
      <c r="D23384" s="12" t="str">
        <f ca="1">IFERROR(__xludf.DUMMYFUNCTION("""COMPUTED_VALUE"""),"")</f>
        <v/>
      </c>
    </row>
    <row r="23385" spans="2:4" ht="13">
      <c r="B23385" s="12" t="str">
        <f ca="1">IFERROR(__xludf.DUMMYFUNCTION("""COMPUTED_VALUE"""),"")</f>
        <v/>
      </c>
      <c r="C23385" s="12" t="str">
        <f ca="1">IFERROR(__xludf.DUMMYFUNCTION("""COMPUTED_VALUE"""),"")</f>
        <v/>
      </c>
      <c r="D23385" s="12" t="str">
        <f ca="1">IFERROR(__xludf.DUMMYFUNCTION("""COMPUTED_VALUE"""),"")</f>
        <v/>
      </c>
    </row>
    <row r="23386" spans="2:4" ht="13">
      <c r="B23386" s="12" t="str">
        <f ca="1">IFERROR(__xludf.DUMMYFUNCTION("""COMPUTED_VALUE"""),"")</f>
        <v/>
      </c>
      <c r="C23386" s="12" t="str">
        <f ca="1">IFERROR(__xludf.DUMMYFUNCTION("""COMPUTED_VALUE"""),"")</f>
        <v/>
      </c>
      <c r="D23386" s="12" t="str">
        <f ca="1">IFERROR(__xludf.DUMMYFUNCTION("""COMPUTED_VALUE"""),"")</f>
        <v/>
      </c>
    </row>
    <row r="23387" spans="2:4" ht="13">
      <c r="B23387" s="12" t="str">
        <f ca="1">IFERROR(__xludf.DUMMYFUNCTION("""COMPUTED_VALUE"""),"")</f>
        <v/>
      </c>
      <c r="C23387" s="12" t="str">
        <f ca="1">IFERROR(__xludf.DUMMYFUNCTION("""COMPUTED_VALUE"""),"")</f>
        <v/>
      </c>
      <c r="D23387" s="12" t="str">
        <f ca="1">IFERROR(__xludf.DUMMYFUNCTION("""COMPUTED_VALUE"""),"")</f>
        <v/>
      </c>
    </row>
    <row r="23388" spans="2:4" ht="13">
      <c r="B23388" s="12" t="str">
        <f ca="1">IFERROR(__xludf.DUMMYFUNCTION("""COMPUTED_VALUE"""),"")</f>
        <v/>
      </c>
      <c r="C23388" s="12" t="str">
        <f ca="1">IFERROR(__xludf.DUMMYFUNCTION("""COMPUTED_VALUE"""),"")</f>
        <v/>
      </c>
      <c r="D23388" s="12" t="str">
        <f ca="1">IFERROR(__xludf.DUMMYFUNCTION("""COMPUTED_VALUE"""),"")</f>
        <v/>
      </c>
    </row>
    <row r="23389" spans="2:4" ht="13">
      <c r="B23389" s="12" t="str">
        <f ca="1">IFERROR(__xludf.DUMMYFUNCTION("""COMPUTED_VALUE"""),"")</f>
        <v/>
      </c>
      <c r="C23389" s="12" t="str">
        <f ca="1">IFERROR(__xludf.DUMMYFUNCTION("""COMPUTED_VALUE"""),"")</f>
        <v/>
      </c>
      <c r="D23389" s="12" t="str">
        <f ca="1">IFERROR(__xludf.DUMMYFUNCTION("""COMPUTED_VALUE"""),"")</f>
        <v/>
      </c>
    </row>
    <row r="23390" spans="2:4" ht="13">
      <c r="B23390" s="12" t="str">
        <f ca="1">IFERROR(__xludf.DUMMYFUNCTION("""COMPUTED_VALUE"""),"")</f>
        <v/>
      </c>
      <c r="C23390" s="12" t="str">
        <f ca="1">IFERROR(__xludf.DUMMYFUNCTION("""COMPUTED_VALUE"""),"")</f>
        <v/>
      </c>
      <c r="D23390" s="12" t="str">
        <f ca="1">IFERROR(__xludf.DUMMYFUNCTION("""COMPUTED_VALUE"""),"")</f>
        <v/>
      </c>
    </row>
    <row r="23391" spans="2:4" ht="13">
      <c r="B23391" s="12" t="str">
        <f ca="1">IFERROR(__xludf.DUMMYFUNCTION("""COMPUTED_VALUE"""),"")</f>
        <v/>
      </c>
      <c r="C23391" s="12" t="str">
        <f ca="1">IFERROR(__xludf.DUMMYFUNCTION("""COMPUTED_VALUE"""),"")</f>
        <v/>
      </c>
      <c r="D23391" s="12" t="str">
        <f ca="1">IFERROR(__xludf.DUMMYFUNCTION("""COMPUTED_VALUE"""),"")</f>
        <v/>
      </c>
    </row>
    <row r="23392" spans="2:4" ht="13">
      <c r="B23392" s="12" t="str">
        <f ca="1">IFERROR(__xludf.DUMMYFUNCTION("""COMPUTED_VALUE"""),"")</f>
        <v/>
      </c>
      <c r="C23392" s="12" t="str">
        <f ca="1">IFERROR(__xludf.DUMMYFUNCTION("""COMPUTED_VALUE"""),"")</f>
        <v/>
      </c>
      <c r="D23392" s="12" t="str">
        <f ca="1">IFERROR(__xludf.DUMMYFUNCTION("""COMPUTED_VALUE"""),"")</f>
        <v/>
      </c>
    </row>
    <row r="23393" spans="2:4" ht="13">
      <c r="B23393" s="12" t="str">
        <f ca="1">IFERROR(__xludf.DUMMYFUNCTION("""COMPUTED_VALUE"""),"")</f>
        <v/>
      </c>
      <c r="C23393" s="12" t="str">
        <f ca="1">IFERROR(__xludf.DUMMYFUNCTION("""COMPUTED_VALUE"""),"")</f>
        <v/>
      </c>
      <c r="D23393" s="12" t="str">
        <f ca="1">IFERROR(__xludf.DUMMYFUNCTION("""COMPUTED_VALUE"""),"")</f>
        <v/>
      </c>
    </row>
    <row r="23394" spans="2:4" ht="13">
      <c r="B23394" s="12" t="str">
        <f ca="1">IFERROR(__xludf.DUMMYFUNCTION("""COMPUTED_VALUE"""),"")</f>
        <v/>
      </c>
      <c r="C23394" s="12" t="str">
        <f ca="1">IFERROR(__xludf.DUMMYFUNCTION("""COMPUTED_VALUE"""),"")</f>
        <v/>
      </c>
      <c r="D23394" s="12" t="str">
        <f ca="1">IFERROR(__xludf.DUMMYFUNCTION("""COMPUTED_VALUE"""),"")</f>
        <v/>
      </c>
    </row>
    <row r="23395" spans="2:4" ht="13">
      <c r="B23395" s="12" t="str">
        <f ca="1">IFERROR(__xludf.DUMMYFUNCTION("""COMPUTED_VALUE"""),"")</f>
        <v/>
      </c>
      <c r="C23395" s="12" t="str">
        <f ca="1">IFERROR(__xludf.DUMMYFUNCTION("""COMPUTED_VALUE"""),"")</f>
        <v/>
      </c>
      <c r="D23395" s="12" t="str">
        <f ca="1">IFERROR(__xludf.DUMMYFUNCTION("""COMPUTED_VALUE"""),"")</f>
        <v/>
      </c>
    </row>
    <row r="23396" spans="2:4" ht="13">
      <c r="B23396" s="12" t="str">
        <f ca="1">IFERROR(__xludf.DUMMYFUNCTION("""COMPUTED_VALUE"""),"")</f>
        <v/>
      </c>
      <c r="C23396" s="12" t="str">
        <f ca="1">IFERROR(__xludf.DUMMYFUNCTION("""COMPUTED_VALUE"""),"")</f>
        <v/>
      </c>
      <c r="D23396" s="12" t="str">
        <f ca="1">IFERROR(__xludf.DUMMYFUNCTION("""COMPUTED_VALUE"""),"")</f>
        <v/>
      </c>
    </row>
    <row r="23397" spans="2:4" ht="13">
      <c r="B23397" s="12" t="str">
        <f ca="1">IFERROR(__xludf.DUMMYFUNCTION("""COMPUTED_VALUE"""),"")</f>
        <v/>
      </c>
      <c r="C23397" s="12" t="str">
        <f ca="1">IFERROR(__xludf.DUMMYFUNCTION("""COMPUTED_VALUE"""),"")</f>
        <v/>
      </c>
      <c r="D23397" s="12" t="str">
        <f ca="1">IFERROR(__xludf.DUMMYFUNCTION("""COMPUTED_VALUE"""),"")</f>
        <v/>
      </c>
    </row>
    <row r="23398" spans="2:4" ht="13">
      <c r="B23398" s="12" t="str">
        <f ca="1">IFERROR(__xludf.DUMMYFUNCTION("""COMPUTED_VALUE"""),"")</f>
        <v/>
      </c>
      <c r="C23398" s="12" t="str">
        <f ca="1">IFERROR(__xludf.DUMMYFUNCTION("""COMPUTED_VALUE"""),"")</f>
        <v/>
      </c>
      <c r="D23398" s="12" t="str">
        <f ca="1">IFERROR(__xludf.DUMMYFUNCTION("""COMPUTED_VALUE"""),"")</f>
        <v/>
      </c>
    </row>
    <row r="23399" spans="2:4" ht="13">
      <c r="B23399" s="12" t="str">
        <f ca="1">IFERROR(__xludf.DUMMYFUNCTION("""COMPUTED_VALUE"""),"")</f>
        <v/>
      </c>
      <c r="C23399" s="12" t="str">
        <f ca="1">IFERROR(__xludf.DUMMYFUNCTION("""COMPUTED_VALUE"""),"")</f>
        <v/>
      </c>
      <c r="D23399" s="12" t="str">
        <f ca="1">IFERROR(__xludf.DUMMYFUNCTION("""COMPUTED_VALUE"""),"")</f>
        <v/>
      </c>
    </row>
    <row r="23400" spans="2:4" ht="13">
      <c r="B23400" s="12" t="str">
        <f ca="1">IFERROR(__xludf.DUMMYFUNCTION("""COMPUTED_VALUE"""),"")</f>
        <v/>
      </c>
      <c r="C23400" s="12" t="str">
        <f ca="1">IFERROR(__xludf.DUMMYFUNCTION("""COMPUTED_VALUE"""),"")</f>
        <v/>
      </c>
      <c r="D23400" s="12" t="str">
        <f ca="1">IFERROR(__xludf.DUMMYFUNCTION("""COMPUTED_VALUE"""),"")</f>
        <v/>
      </c>
    </row>
    <row r="23401" spans="2:4" ht="13">
      <c r="B23401" s="12" t="str">
        <f ca="1">IFERROR(__xludf.DUMMYFUNCTION("""COMPUTED_VALUE"""),"")</f>
        <v/>
      </c>
      <c r="C23401" s="12" t="str">
        <f ca="1">IFERROR(__xludf.DUMMYFUNCTION("""COMPUTED_VALUE"""),"")</f>
        <v/>
      </c>
      <c r="D23401" s="12" t="str">
        <f ca="1">IFERROR(__xludf.DUMMYFUNCTION("""COMPUTED_VALUE"""),"")</f>
        <v/>
      </c>
    </row>
    <row r="23402" spans="2:4" ht="13">
      <c r="B23402" s="12" t="str">
        <f ca="1">IFERROR(__xludf.DUMMYFUNCTION("""COMPUTED_VALUE"""),"")</f>
        <v/>
      </c>
      <c r="C23402" s="12" t="str">
        <f ca="1">IFERROR(__xludf.DUMMYFUNCTION("""COMPUTED_VALUE"""),"")</f>
        <v/>
      </c>
      <c r="D23402" s="12" t="str">
        <f ca="1">IFERROR(__xludf.DUMMYFUNCTION("""COMPUTED_VALUE"""),"")</f>
        <v/>
      </c>
    </row>
    <row r="23403" spans="2:4" ht="13">
      <c r="B23403" s="12" t="str">
        <f ca="1">IFERROR(__xludf.DUMMYFUNCTION("""COMPUTED_VALUE"""),"")</f>
        <v/>
      </c>
      <c r="C23403" s="12" t="str">
        <f ca="1">IFERROR(__xludf.DUMMYFUNCTION("""COMPUTED_VALUE"""),"")</f>
        <v/>
      </c>
      <c r="D23403" s="12" t="str">
        <f ca="1">IFERROR(__xludf.DUMMYFUNCTION("""COMPUTED_VALUE"""),"")</f>
        <v/>
      </c>
    </row>
    <row r="23404" spans="2:4" ht="13">
      <c r="B23404" s="12" t="str">
        <f ca="1">IFERROR(__xludf.DUMMYFUNCTION("""COMPUTED_VALUE"""),"")</f>
        <v/>
      </c>
      <c r="C23404" s="12" t="str">
        <f ca="1">IFERROR(__xludf.DUMMYFUNCTION("""COMPUTED_VALUE"""),"")</f>
        <v/>
      </c>
      <c r="D23404" s="12" t="str">
        <f ca="1">IFERROR(__xludf.DUMMYFUNCTION("""COMPUTED_VALUE"""),"")</f>
        <v/>
      </c>
    </row>
    <row r="23405" spans="2:4" ht="13">
      <c r="B23405" s="12" t="str">
        <f ca="1">IFERROR(__xludf.DUMMYFUNCTION("""COMPUTED_VALUE"""),"")</f>
        <v/>
      </c>
      <c r="C23405" s="12" t="str">
        <f ca="1">IFERROR(__xludf.DUMMYFUNCTION("""COMPUTED_VALUE"""),"")</f>
        <v/>
      </c>
      <c r="D23405" s="12" t="str">
        <f ca="1">IFERROR(__xludf.DUMMYFUNCTION("""COMPUTED_VALUE"""),"")</f>
        <v/>
      </c>
    </row>
    <row r="23406" spans="2:4" ht="13">
      <c r="B23406" s="12" t="str">
        <f ca="1">IFERROR(__xludf.DUMMYFUNCTION("""COMPUTED_VALUE"""),"")</f>
        <v/>
      </c>
      <c r="C23406" s="12" t="str">
        <f ca="1">IFERROR(__xludf.DUMMYFUNCTION("""COMPUTED_VALUE"""),"")</f>
        <v/>
      </c>
      <c r="D23406" s="12" t="str">
        <f ca="1">IFERROR(__xludf.DUMMYFUNCTION("""COMPUTED_VALUE"""),"")</f>
        <v/>
      </c>
    </row>
    <row r="23407" spans="2:4" ht="13">
      <c r="B23407" s="12" t="str">
        <f ca="1">IFERROR(__xludf.DUMMYFUNCTION("""COMPUTED_VALUE"""),"")</f>
        <v/>
      </c>
      <c r="C23407" s="12" t="str">
        <f ca="1">IFERROR(__xludf.DUMMYFUNCTION("""COMPUTED_VALUE"""),"")</f>
        <v/>
      </c>
      <c r="D23407" s="12" t="str">
        <f ca="1">IFERROR(__xludf.DUMMYFUNCTION("""COMPUTED_VALUE"""),"")</f>
        <v/>
      </c>
    </row>
    <row r="23408" spans="2:4" ht="13">
      <c r="B23408" s="12" t="str">
        <f ca="1">IFERROR(__xludf.DUMMYFUNCTION("""COMPUTED_VALUE"""),"")</f>
        <v/>
      </c>
      <c r="C23408" s="12" t="str">
        <f ca="1">IFERROR(__xludf.DUMMYFUNCTION("""COMPUTED_VALUE"""),"")</f>
        <v/>
      </c>
      <c r="D23408" s="12" t="str">
        <f ca="1">IFERROR(__xludf.DUMMYFUNCTION("""COMPUTED_VALUE"""),"")</f>
        <v/>
      </c>
    </row>
    <row r="23409" spans="2:4" ht="13">
      <c r="B23409" s="12" t="str">
        <f ca="1">IFERROR(__xludf.DUMMYFUNCTION("""COMPUTED_VALUE"""),"")</f>
        <v/>
      </c>
      <c r="C23409" s="12" t="str">
        <f ca="1">IFERROR(__xludf.DUMMYFUNCTION("""COMPUTED_VALUE"""),"")</f>
        <v/>
      </c>
      <c r="D23409" s="12" t="str">
        <f ca="1">IFERROR(__xludf.DUMMYFUNCTION("""COMPUTED_VALUE"""),"")</f>
        <v/>
      </c>
    </row>
    <row r="23410" spans="2:4" ht="13">
      <c r="B23410" s="12" t="str">
        <f ca="1">IFERROR(__xludf.DUMMYFUNCTION("""COMPUTED_VALUE"""),"")</f>
        <v/>
      </c>
      <c r="C23410" s="12" t="str">
        <f ca="1">IFERROR(__xludf.DUMMYFUNCTION("""COMPUTED_VALUE"""),"")</f>
        <v/>
      </c>
      <c r="D23410" s="12" t="str">
        <f ca="1">IFERROR(__xludf.DUMMYFUNCTION("""COMPUTED_VALUE"""),"")</f>
        <v/>
      </c>
    </row>
    <row r="23411" spans="2:4" ht="13">
      <c r="B23411" s="12" t="str">
        <f ca="1">IFERROR(__xludf.DUMMYFUNCTION("""COMPUTED_VALUE"""),"")</f>
        <v/>
      </c>
      <c r="C23411" s="12" t="str">
        <f ca="1">IFERROR(__xludf.DUMMYFUNCTION("""COMPUTED_VALUE"""),"")</f>
        <v/>
      </c>
      <c r="D23411" s="12" t="str">
        <f ca="1">IFERROR(__xludf.DUMMYFUNCTION("""COMPUTED_VALUE"""),"")</f>
        <v/>
      </c>
    </row>
    <row r="23412" spans="2:4" ht="13">
      <c r="B23412" s="12" t="str">
        <f ca="1">IFERROR(__xludf.DUMMYFUNCTION("""COMPUTED_VALUE"""),"")</f>
        <v/>
      </c>
      <c r="C23412" s="12" t="str">
        <f ca="1">IFERROR(__xludf.DUMMYFUNCTION("""COMPUTED_VALUE"""),"")</f>
        <v/>
      </c>
      <c r="D23412" s="12" t="str">
        <f ca="1">IFERROR(__xludf.DUMMYFUNCTION("""COMPUTED_VALUE"""),"")</f>
        <v/>
      </c>
    </row>
    <row r="23413" spans="2:4" ht="13">
      <c r="B23413" s="12" t="str">
        <f ca="1">IFERROR(__xludf.DUMMYFUNCTION("""COMPUTED_VALUE"""),"")</f>
        <v/>
      </c>
      <c r="C23413" s="12" t="str">
        <f ca="1">IFERROR(__xludf.DUMMYFUNCTION("""COMPUTED_VALUE"""),"")</f>
        <v/>
      </c>
      <c r="D23413" s="12" t="str">
        <f ca="1">IFERROR(__xludf.DUMMYFUNCTION("""COMPUTED_VALUE"""),"")</f>
        <v/>
      </c>
    </row>
    <row r="23414" spans="2:4" ht="13">
      <c r="B23414" s="12" t="str">
        <f ca="1">IFERROR(__xludf.DUMMYFUNCTION("""COMPUTED_VALUE"""),"")</f>
        <v/>
      </c>
      <c r="C23414" s="12" t="str">
        <f ca="1">IFERROR(__xludf.DUMMYFUNCTION("""COMPUTED_VALUE"""),"")</f>
        <v/>
      </c>
      <c r="D23414" s="12" t="str">
        <f ca="1">IFERROR(__xludf.DUMMYFUNCTION("""COMPUTED_VALUE"""),"")</f>
        <v/>
      </c>
    </row>
    <row r="23415" spans="2:4" ht="13">
      <c r="B23415" s="12" t="str">
        <f ca="1">IFERROR(__xludf.DUMMYFUNCTION("""COMPUTED_VALUE"""),"")</f>
        <v/>
      </c>
      <c r="C23415" s="12" t="str">
        <f ca="1">IFERROR(__xludf.DUMMYFUNCTION("""COMPUTED_VALUE"""),"")</f>
        <v/>
      </c>
      <c r="D23415" s="12" t="str">
        <f ca="1">IFERROR(__xludf.DUMMYFUNCTION("""COMPUTED_VALUE"""),"")</f>
        <v/>
      </c>
    </row>
    <row r="23416" spans="2:4" ht="13">
      <c r="B23416" s="12" t="str">
        <f ca="1">IFERROR(__xludf.DUMMYFUNCTION("""COMPUTED_VALUE"""),"")</f>
        <v/>
      </c>
      <c r="C23416" s="12" t="str">
        <f ca="1">IFERROR(__xludf.DUMMYFUNCTION("""COMPUTED_VALUE"""),"")</f>
        <v/>
      </c>
      <c r="D23416" s="12" t="str">
        <f ca="1">IFERROR(__xludf.DUMMYFUNCTION("""COMPUTED_VALUE"""),"")</f>
        <v/>
      </c>
    </row>
    <row r="23417" spans="2:4" ht="13">
      <c r="B23417" s="12" t="str">
        <f ca="1">IFERROR(__xludf.DUMMYFUNCTION("""COMPUTED_VALUE"""),"")</f>
        <v/>
      </c>
      <c r="C23417" s="12" t="str">
        <f ca="1">IFERROR(__xludf.DUMMYFUNCTION("""COMPUTED_VALUE"""),"")</f>
        <v/>
      </c>
      <c r="D23417" s="12" t="str">
        <f ca="1">IFERROR(__xludf.DUMMYFUNCTION("""COMPUTED_VALUE"""),"")</f>
        <v/>
      </c>
    </row>
    <row r="23418" spans="2:4" ht="13">
      <c r="B23418" s="12" t="str">
        <f ca="1">IFERROR(__xludf.DUMMYFUNCTION("""COMPUTED_VALUE"""),"")</f>
        <v/>
      </c>
      <c r="C23418" s="12" t="str">
        <f ca="1">IFERROR(__xludf.DUMMYFUNCTION("""COMPUTED_VALUE"""),"")</f>
        <v/>
      </c>
      <c r="D23418" s="12" t="str">
        <f ca="1">IFERROR(__xludf.DUMMYFUNCTION("""COMPUTED_VALUE"""),"")</f>
        <v/>
      </c>
    </row>
    <row r="23419" spans="2:4" ht="13">
      <c r="B23419" s="12" t="str">
        <f ca="1">IFERROR(__xludf.DUMMYFUNCTION("""COMPUTED_VALUE"""),"")</f>
        <v/>
      </c>
      <c r="C23419" s="12" t="str">
        <f ca="1">IFERROR(__xludf.DUMMYFUNCTION("""COMPUTED_VALUE"""),"")</f>
        <v/>
      </c>
      <c r="D23419" s="12" t="str">
        <f ca="1">IFERROR(__xludf.DUMMYFUNCTION("""COMPUTED_VALUE"""),"")</f>
        <v/>
      </c>
    </row>
    <row r="23420" spans="2:4" ht="13">
      <c r="B23420" s="12" t="str">
        <f ca="1">IFERROR(__xludf.DUMMYFUNCTION("""COMPUTED_VALUE"""),"")</f>
        <v/>
      </c>
      <c r="C23420" s="12" t="str">
        <f ca="1">IFERROR(__xludf.DUMMYFUNCTION("""COMPUTED_VALUE"""),"")</f>
        <v/>
      </c>
      <c r="D23420" s="12" t="str">
        <f ca="1">IFERROR(__xludf.DUMMYFUNCTION("""COMPUTED_VALUE"""),"")</f>
        <v/>
      </c>
    </row>
    <row r="23421" spans="2:4" ht="13">
      <c r="B23421" s="12" t="str">
        <f ca="1">IFERROR(__xludf.DUMMYFUNCTION("""COMPUTED_VALUE"""),"")</f>
        <v/>
      </c>
      <c r="C23421" s="12" t="str">
        <f ca="1">IFERROR(__xludf.DUMMYFUNCTION("""COMPUTED_VALUE"""),"")</f>
        <v/>
      </c>
      <c r="D23421" s="12" t="str">
        <f ca="1">IFERROR(__xludf.DUMMYFUNCTION("""COMPUTED_VALUE"""),"")</f>
        <v/>
      </c>
    </row>
    <row r="23422" spans="2:4" ht="13">
      <c r="B23422" s="12" t="str">
        <f ca="1">IFERROR(__xludf.DUMMYFUNCTION("""COMPUTED_VALUE"""),"")</f>
        <v/>
      </c>
      <c r="C23422" s="12" t="str">
        <f ca="1">IFERROR(__xludf.DUMMYFUNCTION("""COMPUTED_VALUE"""),"")</f>
        <v/>
      </c>
      <c r="D23422" s="12" t="str">
        <f ca="1">IFERROR(__xludf.DUMMYFUNCTION("""COMPUTED_VALUE"""),"")</f>
        <v/>
      </c>
    </row>
    <row r="23423" spans="2:4" ht="13">
      <c r="B23423" s="12" t="str">
        <f ca="1">IFERROR(__xludf.DUMMYFUNCTION("""COMPUTED_VALUE"""),"")</f>
        <v/>
      </c>
      <c r="C23423" s="12" t="str">
        <f ca="1">IFERROR(__xludf.DUMMYFUNCTION("""COMPUTED_VALUE"""),"")</f>
        <v/>
      </c>
      <c r="D23423" s="12" t="str">
        <f ca="1">IFERROR(__xludf.DUMMYFUNCTION("""COMPUTED_VALUE"""),"")</f>
        <v/>
      </c>
    </row>
    <row r="23424" spans="2:4" ht="13">
      <c r="B23424" s="12" t="str">
        <f ca="1">IFERROR(__xludf.DUMMYFUNCTION("""COMPUTED_VALUE"""),"")</f>
        <v/>
      </c>
      <c r="C23424" s="12" t="str">
        <f ca="1">IFERROR(__xludf.DUMMYFUNCTION("""COMPUTED_VALUE"""),"")</f>
        <v/>
      </c>
      <c r="D23424" s="12" t="str">
        <f ca="1">IFERROR(__xludf.DUMMYFUNCTION("""COMPUTED_VALUE"""),"")</f>
        <v/>
      </c>
    </row>
    <row r="23425" spans="2:4" ht="13">
      <c r="B23425" s="12" t="str">
        <f ca="1">IFERROR(__xludf.DUMMYFUNCTION("""COMPUTED_VALUE"""),"")</f>
        <v/>
      </c>
      <c r="C23425" s="12" t="str">
        <f ca="1">IFERROR(__xludf.DUMMYFUNCTION("""COMPUTED_VALUE"""),"")</f>
        <v/>
      </c>
      <c r="D23425" s="12" t="str">
        <f ca="1">IFERROR(__xludf.DUMMYFUNCTION("""COMPUTED_VALUE"""),"")</f>
        <v/>
      </c>
    </row>
    <row r="23426" spans="2:4" ht="13">
      <c r="B23426" s="12" t="str">
        <f ca="1">IFERROR(__xludf.DUMMYFUNCTION("""COMPUTED_VALUE"""),"")</f>
        <v/>
      </c>
      <c r="C23426" s="12" t="str">
        <f ca="1">IFERROR(__xludf.DUMMYFUNCTION("""COMPUTED_VALUE"""),"")</f>
        <v/>
      </c>
      <c r="D23426" s="12" t="str">
        <f ca="1">IFERROR(__xludf.DUMMYFUNCTION("""COMPUTED_VALUE"""),"")</f>
        <v/>
      </c>
    </row>
    <row r="23427" spans="2:4" ht="13">
      <c r="B23427" s="12" t="str">
        <f ca="1">IFERROR(__xludf.DUMMYFUNCTION("""COMPUTED_VALUE"""),"")</f>
        <v/>
      </c>
      <c r="C23427" s="12" t="str">
        <f ca="1">IFERROR(__xludf.DUMMYFUNCTION("""COMPUTED_VALUE"""),"")</f>
        <v/>
      </c>
      <c r="D23427" s="12" t="str">
        <f ca="1">IFERROR(__xludf.DUMMYFUNCTION("""COMPUTED_VALUE"""),"")</f>
        <v/>
      </c>
    </row>
    <row r="23428" spans="2:4" ht="13">
      <c r="B23428" s="12" t="str">
        <f ca="1">IFERROR(__xludf.DUMMYFUNCTION("""COMPUTED_VALUE"""),"")</f>
        <v/>
      </c>
      <c r="C23428" s="12" t="str">
        <f ca="1">IFERROR(__xludf.DUMMYFUNCTION("""COMPUTED_VALUE"""),"")</f>
        <v/>
      </c>
      <c r="D23428" s="12" t="str">
        <f ca="1">IFERROR(__xludf.DUMMYFUNCTION("""COMPUTED_VALUE"""),"")</f>
        <v/>
      </c>
    </row>
    <row r="23429" spans="2:4" ht="13">
      <c r="B23429" s="12" t="str">
        <f ca="1">IFERROR(__xludf.DUMMYFUNCTION("""COMPUTED_VALUE"""),"")</f>
        <v/>
      </c>
      <c r="C23429" s="12" t="str">
        <f ca="1">IFERROR(__xludf.DUMMYFUNCTION("""COMPUTED_VALUE"""),"")</f>
        <v/>
      </c>
      <c r="D23429" s="12" t="str">
        <f ca="1">IFERROR(__xludf.DUMMYFUNCTION("""COMPUTED_VALUE"""),"")</f>
        <v/>
      </c>
    </row>
    <row r="23430" spans="2:4" ht="13">
      <c r="B23430" s="12" t="str">
        <f ca="1">IFERROR(__xludf.DUMMYFUNCTION("""COMPUTED_VALUE"""),"")</f>
        <v/>
      </c>
      <c r="C23430" s="12" t="str">
        <f ca="1">IFERROR(__xludf.DUMMYFUNCTION("""COMPUTED_VALUE"""),"")</f>
        <v/>
      </c>
      <c r="D23430" s="12" t="str">
        <f ca="1">IFERROR(__xludf.DUMMYFUNCTION("""COMPUTED_VALUE"""),"")</f>
        <v/>
      </c>
    </row>
    <row r="23431" spans="2:4" ht="13">
      <c r="B23431" s="12" t="str">
        <f ca="1">IFERROR(__xludf.DUMMYFUNCTION("""COMPUTED_VALUE"""),"")</f>
        <v/>
      </c>
      <c r="C23431" s="12" t="str">
        <f ca="1">IFERROR(__xludf.DUMMYFUNCTION("""COMPUTED_VALUE"""),"")</f>
        <v/>
      </c>
      <c r="D23431" s="12" t="str">
        <f ca="1">IFERROR(__xludf.DUMMYFUNCTION("""COMPUTED_VALUE"""),"")</f>
        <v/>
      </c>
    </row>
    <row r="23432" spans="2:4" ht="13">
      <c r="B23432" s="12" t="str">
        <f ca="1">IFERROR(__xludf.DUMMYFUNCTION("""COMPUTED_VALUE"""),"")</f>
        <v/>
      </c>
      <c r="C23432" s="12" t="str">
        <f ca="1">IFERROR(__xludf.DUMMYFUNCTION("""COMPUTED_VALUE"""),"")</f>
        <v/>
      </c>
      <c r="D23432" s="12" t="str">
        <f ca="1">IFERROR(__xludf.DUMMYFUNCTION("""COMPUTED_VALUE"""),"")</f>
        <v/>
      </c>
    </row>
    <row r="23433" spans="2:4" ht="13">
      <c r="B23433" s="12" t="str">
        <f ca="1">IFERROR(__xludf.DUMMYFUNCTION("""COMPUTED_VALUE"""),"")</f>
        <v/>
      </c>
      <c r="C23433" s="12" t="str">
        <f ca="1">IFERROR(__xludf.DUMMYFUNCTION("""COMPUTED_VALUE"""),"")</f>
        <v/>
      </c>
      <c r="D23433" s="12" t="str">
        <f ca="1">IFERROR(__xludf.DUMMYFUNCTION("""COMPUTED_VALUE"""),"")</f>
        <v/>
      </c>
    </row>
    <row r="23434" spans="2:4" ht="13">
      <c r="B23434" s="12" t="str">
        <f ca="1">IFERROR(__xludf.DUMMYFUNCTION("""COMPUTED_VALUE"""),"")</f>
        <v/>
      </c>
      <c r="C23434" s="12" t="str">
        <f ca="1">IFERROR(__xludf.DUMMYFUNCTION("""COMPUTED_VALUE"""),"")</f>
        <v/>
      </c>
      <c r="D23434" s="12" t="str">
        <f ca="1">IFERROR(__xludf.DUMMYFUNCTION("""COMPUTED_VALUE"""),"")</f>
        <v/>
      </c>
    </row>
    <row r="23435" spans="2:4" ht="13">
      <c r="B23435" s="12" t="str">
        <f ca="1">IFERROR(__xludf.DUMMYFUNCTION("""COMPUTED_VALUE"""),"")</f>
        <v/>
      </c>
      <c r="C23435" s="12" t="str">
        <f ca="1">IFERROR(__xludf.DUMMYFUNCTION("""COMPUTED_VALUE"""),"")</f>
        <v/>
      </c>
      <c r="D23435" s="12" t="str">
        <f ca="1">IFERROR(__xludf.DUMMYFUNCTION("""COMPUTED_VALUE"""),"")</f>
        <v/>
      </c>
    </row>
    <row r="23436" spans="2:4" ht="13">
      <c r="B23436" s="12" t="str">
        <f ca="1">IFERROR(__xludf.DUMMYFUNCTION("""COMPUTED_VALUE"""),"")</f>
        <v/>
      </c>
      <c r="C23436" s="12" t="str">
        <f ca="1">IFERROR(__xludf.DUMMYFUNCTION("""COMPUTED_VALUE"""),"")</f>
        <v/>
      </c>
      <c r="D23436" s="12" t="str">
        <f ca="1">IFERROR(__xludf.DUMMYFUNCTION("""COMPUTED_VALUE"""),"")</f>
        <v/>
      </c>
    </row>
    <row r="23437" spans="2:4" ht="13">
      <c r="B23437" s="12" t="str">
        <f ca="1">IFERROR(__xludf.DUMMYFUNCTION("""COMPUTED_VALUE"""),"")</f>
        <v/>
      </c>
      <c r="C23437" s="12" t="str">
        <f ca="1">IFERROR(__xludf.DUMMYFUNCTION("""COMPUTED_VALUE"""),"")</f>
        <v/>
      </c>
      <c r="D23437" s="12" t="str">
        <f ca="1">IFERROR(__xludf.DUMMYFUNCTION("""COMPUTED_VALUE"""),"")</f>
        <v/>
      </c>
    </row>
    <row r="23438" spans="2:4" ht="13">
      <c r="B23438" s="12" t="str">
        <f ca="1">IFERROR(__xludf.DUMMYFUNCTION("""COMPUTED_VALUE"""),"")</f>
        <v/>
      </c>
      <c r="C23438" s="12" t="str">
        <f ca="1">IFERROR(__xludf.DUMMYFUNCTION("""COMPUTED_VALUE"""),"")</f>
        <v/>
      </c>
      <c r="D23438" s="12" t="str">
        <f ca="1">IFERROR(__xludf.DUMMYFUNCTION("""COMPUTED_VALUE"""),"")</f>
        <v/>
      </c>
    </row>
    <row r="23439" spans="2:4" ht="13">
      <c r="B23439" s="12" t="str">
        <f ca="1">IFERROR(__xludf.DUMMYFUNCTION("""COMPUTED_VALUE"""),"")</f>
        <v/>
      </c>
      <c r="C23439" s="12" t="str">
        <f ca="1">IFERROR(__xludf.DUMMYFUNCTION("""COMPUTED_VALUE"""),"")</f>
        <v/>
      </c>
      <c r="D23439" s="12" t="str">
        <f ca="1">IFERROR(__xludf.DUMMYFUNCTION("""COMPUTED_VALUE"""),"")</f>
        <v/>
      </c>
    </row>
    <row r="23440" spans="2:4" ht="13">
      <c r="B23440" s="12" t="str">
        <f ca="1">IFERROR(__xludf.DUMMYFUNCTION("""COMPUTED_VALUE"""),"")</f>
        <v/>
      </c>
      <c r="C23440" s="12" t="str">
        <f ca="1">IFERROR(__xludf.DUMMYFUNCTION("""COMPUTED_VALUE"""),"")</f>
        <v/>
      </c>
      <c r="D23440" s="12" t="str">
        <f ca="1">IFERROR(__xludf.DUMMYFUNCTION("""COMPUTED_VALUE"""),"")</f>
        <v/>
      </c>
    </row>
    <row r="23441" spans="2:4" ht="13">
      <c r="B23441" s="12" t="str">
        <f ca="1">IFERROR(__xludf.DUMMYFUNCTION("""COMPUTED_VALUE"""),"")</f>
        <v/>
      </c>
      <c r="C23441" s="12" t="str">
        <f ca="1">IFERROR(__xludf.DUMMYFUNCTION("""COMPUTED_VALUE"""),"")</f>
        <v/>
      </c>
      <c r="D23441" s="12" t="str">
        <f ca="1">IFERROR(__xludf.DUMMYFUNCTION("""COMPUTED_VALUE"""),"")</f>
        <v/>
      </c>
    </row>
    <row r="23442" spans="2:4" ht="13">
      <c r="B23442" s="12" t="str">
        <f ca="1">IFERROR(__xludf.DUMMYFUNCTION("""COMPUTED_VALUE"""),"")</f>
        <v/>
      </c>
      <c r="C23442" s="12" t="str">
        <f ca="1">IFERROR(__xludf.DUMMYFUNCTION("""COMPUTED_VALUE"""),"")</f>
        <v/>
      </c>
      <c r="D23442" s="12" t="str">
        <f ca="1">IFERROR(__xludf.DUMMYFUNCTION("""COMPUTED_VALUE"""),"")</f>
        <v/>
      </c>
    </row>
    <row r="23443" spans="2:4" ht="13">
      <c r="B23443" s="12" t="str">
        <f ca="1">IFERROR(__xludf.DUMMYFUNCTION("""COMPUTED_VALUE"""),"")</f>
        <v/>
      </c>
      <c r="C23443" s="12" t="str">
        <f ca="1">IFERROR(__xludf.DUMMYFUNCTION("""COMPUTED_VALUE"""),"")</f>
        <v/>
      </c>
      <c r="D23443" s="12" t="str">
        <f ca="1">IFERROR(__xludf.DUMMYFUNCTION("""COMPUTED_VALUE"""),"")</f>
        <v/>
      </c>
    </row>
    <row r="23444" spans="2:4" ht="13">
      <c r="B23444" s="12" t="str">
        <f ca="1">IFERROR(__xludf.DUMMYFUNCTION("""COMPUTED_VALUE"""),"")</f>
        <v/>
      </c>
      <c r="C23444" s="12" t="str">
        <f ca="1">IFERROR(__xludf.DUMMYFUNCTION("""COMPUTED_VALUE"""),"")</f>
        <v/>
      </c>
      <c r="D23444" s="12" t="str">
        <f ca="1">IFERROR(__xludf.DUMMYFUNCTION("""COMPUTED_VALUE"""),"")</f>
        <v/>
      </c>
    </row>
    <row r="23445" spans="2:4" ht="13">
      <c r="B23445" s="12" t="str">
        <f ca="1">IFERROR(__xludf.DUMMYFUNCTION("""COMPUTED_VALUE"""),"")</f>
        <v/>
      </c>
      <c r="C23445" s="12" t="str">
        <f ca="1">IFERROR(__xludf.DUMMYFUNCTION("""COMPUTED_VALUE"""),"")</f>
        <v/>
      </c>
      <c r="D23445" s="12" t="str">
        <f ca="1">IFERROR(__xludf.DUMMYFUNCTION("""COMPUTED_VALUE"""),"")</f>
        <v/>
      </c>
    </row>
    <row r="23446" spans="2:4" ht="13">
      <c r="B23446" s="12" t="str">
        <f ca="1">IFERROR(__xludf.DUMMYFUNCTION("""COMPUTED_VALUE"""),"")</f>
        <v/>
      </c>
      <c r="C23446" s="12" t="str">
        <f ca="1">IFERROR(__xludf.DUMMYFUNCTION("""COMPUTED_VALUE"""),"")</f>
        <v/>
      </c>
      <c r="D23446" s="12" t="str">
        <f ca="1">IFERROR(__xludf.DUMMYFUNCTION("""COMPUTED_VALUE"""),"")</f>
        <v/>
      </c>
    </row>
    <row r="23447" spans="2:4" ht="13">
      <c r="B23447" s="12" t="str">
        <f ca="1">IFERROR(__xludf.DUMMYFUNCTION("""COMPUTED_VALUE"""),"")</f>
        <v/>
      </c>
      <c r="C23447" s="12" t="str">
        <f ca="1">IFERROR(__xludf.DUMMYFUNCTION("""COMPUTED_VALUE"""),"")</f>
        <v/>
      </c>
      <c r="D23447" s="12" t="str">
        <f ca="1">IFERROR(__xludf.DUMMYFUNCTION("""COMPUTED_VALUE"""),"")</f>
        <v/>
      </c>
    </row>
    <row r="23448" spans="2:4" ht="13">
      <c r="B23448" s="12" t="str">
        <f ca="1">IFERROR(__xludf.DUMMYFUNCTION("""COMPUTED_VALUE"""),"")</f>
        <v/>
      </c>
      <c r="C23448" s="12" t="str">
        <f ca="1">IFERROR(__xludf.DUMMYFUNCTION("""COMPUTED_VALUE"""),"")</f>
        <v/>
      </c>
      <c r="D23448" s="12" t="str">
        <f ca="1">IFERROR(__xludf.DUMMYFUNCTION("""COMPUTED_VALUE"""),"")</f>
        <v/>
      </c>
    </row>
    <row r="23449" spans="2:4" ht="13">
      <c r="B23449" s="12" t="str">
        <f ca="1">IFERROR(__xludf.DUMMYFUNCTION("""COMPUTED_VALUE"""),"")</f>
        <v/>
      </c>
      <c r="C23449" s="12" t="str">
        <f ca="1">IFERROR(__xludf.DUMMYFUNCTION("""COMPUTED_VALUE"""),"")</f>
        <v/>
      </c>
      <c r="D23449" s="12" t="str">
        <f ca="1">IFERROR(__xludf.DUMMYFUNCTION("""COMPUTED_VALUE"""),"")</f>
        <v/>
      </c>
    </row>
    <row r="23450" spans="2:4" ht="13">
      <c r="B23450" s="12" t="str">
        <f ca="1">IFERROR(__xludf.DUMMYFUNCTION("""COMPUTED_VALUE"""),"")</f>
        <v/>
      </c>
      <c r="C23450" s="12" t="str">
        <f ca="1">IFERROR(__xludf.DUMMYFUNCTION("""COMPUTED_VALUE"""),"")</f>
        <v/>
      </c>
      <c r="D23450" s="12" t="str">
        <f ca="1">IFERROR(__xludf.DUMMYFUNCTION("""COMPUTED_VALUE"""),"")</f>
        <v/>
      </c>
    </row>
    <row r="23451" spans="2:4" ht="13">
      <c r="B23451" s="12" t="str">
        <f ca="1">IFERROR(__xludf.DUMMYFUNCTION("""COMPUTED_VALUE"""),"")</f>
        <v/>
      </c>
      <c r="C23451" s="12" t="str">
        <f ca="1">IFERROR(__xludf.DUMMYFUNCTION("""COMPUTED_VALUE"""),"")</f>
        <v/>
      </c>
      <c r="D23451" s="12" t="str">
        <f ca="1">IFERROR(__xludf.DUMMYFUNCTION("""COMPUTED_VALUE"""),"")</f>
        <v/>
      </c>
    </row>
    <row r="23452" spans="2:4" ht="13">
      <c r="B23452" s="12" t="str">
        <f ca="1">IFERROR(__xludf.DUMMYFUNCTION("""COMPUTED_VALUE"""),"")</f>
        <v/>
      </c>
      <c r="C23452" s="12" t="str">
        <f ca="1">IFERROR(__xludf.DUMMYFUNCTION("""COMPUTED_VALUE"""),"")</f>
        <v/>
      </c>
      <c r="D23452" s="12" t="str">
        <f ca="1">IFERROR(__xludf.DUMMYFUNCTION("""COMPUTED_VALUE"""),"")</f>
        <v/>
      </c>
    </row>
    <row r="23453" spans="2:4" ht="13">
      <c r="B23453" s="12" t="str">
        <f ca="1">IFERROR(__xludf.DUMMYFUNCTION("""COMPUTED_VALUE"""),"")</f>
        <v/>
      </c>
      <c r="C23453" s="12" t="str">
        <f ca="1">IFERROR(__xludf.DUMMYFUNCTION("""COMPUTED_VALUE"""),"")</f>
        <v/>
      </c>
      <c r="D23453" s="12" t="str">
        <f ca="1">IFERROR(__xludf.DUMMYFUNCTION("""COMPUTED_VALUE"""),"")</f>
        <v/>
      </c>
    </row>
    <row r="23454" spans="2:4" ht="13">
      <c r="B23454" s="12" t="str">
        <f ca="1">IFERROR(__xludf.DUMMYFUNCTION("""COMPUTED_VALUE"""),"")</f>
        <v/>
      </c>
      <c r="C23454" s="12" t="str">
        <f ca="1">IFERROR(__xludf.DUMMYFUNCTION("""COMPUTED_VALUE"""),"")</f>
        <v/>
      </c>
      <c r="D23454" s="12" t="str">
        <f ca="1">IFERROR(__xludf.DUMMYFUNCTION("""COMPUTED_VALUE"""),"")</f>
        <v/>
      </c>
    </row>
    <row r="23455" spans="2:4" ht="13">
      <c r="B23455" s="12" t="str">
        <f ca="1">IFERROR(__xludf.DUMMYFUNCTION("""COMPUTED_VALUE"""),"")</f>
        <v/>
      </c>
      <c r="C23455" s="12" t="str">
        <f ca="1">IFERROR(__xludf.DUMMYFUNCTION("""COMPUTED_VALUE"""),"")</f>
        <v/>
      </c>
      <c r="D23455" s="12" t="str">
        <f ca="1">IFERROR(__xludf.DUMMYFUNCTION("""COMPUTED_VALUE"""),"")</f>
        <v/>
      </c>
    </row>
    <row r="23456" spans="2:4" ht="13">
      <c r="B23456" s="12" t="str">
        <f ca="1">IFERROR(__xludf.DUMMYFUNCTION("""COMPUTED_VALUE"""),"")</f>
        <v/>
      </c>
      <c r="C23456" s="12" t="str">
        <f ca="1">IFERROR(__xludf.DUMMYFUNCTION("""COMPUTED_VALUE"""),"")</f>
        <v/>
      </c>
      <c r="D23456" s="12" t="str">
        <f ca="1">IFERROR(__xludf.DUMMYFUNCTION("""COMPUTED_VALUE"""),"")</f>
        <v/>
      </c>
    </row>
    <row r="23457" spans="2:4" ht="13">
      <c r="B23457" s="12" t="str">
        <f ca="1">IFERROR(__xludf.DUMMYFUNCTION("""COMPUTED_VALUE"""),"")</f>
        <v/>
      </c>
      <c r="C23457" s="12" t="str">
        <f ca="1">IFERROR(__xludf.DUMMYFUNCTION("""COMPUTED_VALUE"""),"")</f>
        <v/>
      </c>
      <c r="D23457" s="12" t="str">
        <f ca="1">IFERROR(__xludf.DUMMYFUNCTION("""COMPUTED_VALUE"""),"")</f>
        <v/>
      </c>
    </row>
    <row r="23458" spans="2:4" ht="13">
      <c r="B23458" s="12" t="str">
        <f ca="1">IFERROR(__xludf.DUMMYFUNCTION("""COMPUTED_VALUE"""),"")</f>
        <v/>
      </c>
      <c r="C23458" s="12" t="str">
        <f ca="1">IFERROR(__xludf.DUMMYFUNCTION("""COMPUTED_VALUE"""),"")</f>
        <v/>
      </c>
      <c r="D23458" s="12" t="str">
        <f ca="1">IFERROR(__xludf.DUMMYFUNCTION("""COMPUTED_VALUE"""),"")</f>
        <v/>
      </c>
    </row>
    <row r="23459" spans="2:4" ht="13">
      <c r="B23459" s="12" t="str">
        <f ca="1">IFERROR(__xludf.DUMMYFUNCTION("""COMPUTED_VALUE"""),"")</f>
        <v/>
      </c>
      <c r="C23459" s="12" t="str">
        <f ca="1">IFERROR(__xludf.DUMMYFUNCTION("""COMPUTED_VALUE"""),"")</f>
        <v/>
      </c>
      <c r="D23459" s="12" t="str">
        <f ca="1">IFERROR(__xludf.DUMMYFUNCTION("""COMPUTED_VALUE"""),"")</f>
        <v/>
      </c>
    </row>
    <row r="23460" spans="2:4" ht="13">
      <c r="B23460" s="12" t="str">
        <f ca="1">IFERROR(__xludf.DUMMYFUNCTION("""COMPUTED_VALUE"""),"")</f>
        <v/>
      </c>
      <c r="C23460" s="12" t="str">
        <f ca="1">IFERROR(__xludf.DUMMYFUNCTION("""COMPUTED_VALUE"""),"")</f>
        <v/>
      </c>
      <c r="D23460" s="12" t="str">
        <f ca="1">IFERROR(__xludf.DUMMYFUNCTION("""COMPUTED_VALUE"""),"")</f>
        <v/>
      </c>
    </row>
    <row r="23461" spans="2:4" ht="13">
      <c r="B23461" s="12" t="str">
        <f ca="1">IFERROR(__xludf.DUMMYFUNCTION("""COMPUTED_VALUE"""),"")</f>
        <v/>
      </c>
      <c r="C23461" s="12" t="str">
        <f ca="1">IFERROR(__xludf.DUMMYFUNCTION("""COMPUTED_VALUE"""),"")</f>
        <v/>
      </c>
      <c r="D23461" s="12" t="str">
        <f ca="1">IFERROR(__xludf.DUMMYFUNCTION("""COMPUTED_VALUE"""),"")</f>
        <v/>
      </c>
    </row>
    <row r="23462" spans="2:4" ht="13">
      <c r="B23462" s="12" t="str">
        <f ca="1">IFERROR(__xludf.DUMMYFUNCTION("""COMPUTED_VALUE"""),"")</f>
        <v/>
      </c>
      <c r="C23462" s="12" t="str">
        <f ca="1">IFERROR(__xludf.DUMMYFUNCTION("""COMPUTED_VALUE"""),"")</f>
        <v/>
      </c>
      <c r="D23462" s="12" t="str">
        <f ca="1">IFERROR(__xludf.DUMMYFUNCTION("""COMPUTED_VALUE"""),"")</f>
        <v/>
      </c>
    </row>
    <row r="23463" spans="2:4" ht="13">
      <c r="B23463" s="12" t="str">
        <f ca="1">IFERROR(__xludf.DUMMYFUNCTION("""COMPUTED_VALUE"""),"")</f>
        <v/>
      </c>
      <c r="C23463" s="12" t="str">
        <f ca="1">IFERROR(__xludf.DUMMYFUNCTION("""COMPUTED_VALUE"""),"")</f>
        <v/>
      </c>
      <c r="D23463" s="12" t="str">
        <f ca="1">IFERROR(__xludf.DUMMYFUNCTION("""COMPUTED_VALUE"""),"")</f>
        <v/>
      </c>
    </row>
    <row r="23464" spans="2:4" ht="13">
      <c r="B23464" s="12" t="str">
        <f ca="1">IFERROR(__xludf.DUMMYFUNCTION("""COMPUTED_VALUE"""),"")</f>
        <v/>
      </c>
      <c r="C23464" s="12" t="str">
        <f ca="1">IFERROR(__xludf.DUMMYFUNCTION("""COMPUTED_VALUE"""),"")</f>
        <v/>
      </c>
      <c r="D23464" s="12" t="str">
        <f ca="1">IFERROR(__xludf.DUMMYFUNCTION("""COMPUTED_VALUE"""),"")</f>
        <v/>
      </c>
    </row>
    <row r="23465" spans="2:4" ht="13">
      <c r="B23465" s="12" t="str">
        <f ca="1">IFERROR(__xludf.DUMMYFUNCTION("""COMPUTED_VALUE"""),"")</f>
        <v/>
      </c>
      <c r="C23465" s="12" t="str">
        <f ca="1">IFERROR(__xludf.DUMMYFUNCTION("""COMPUTED_VALUE"""),"")</f>
        <v/>
      </c>
      <c r="D23465" s="12" t="str">
        <f ca="1">IFERROR(__xludf.DUMMYFUNCTION("""COMPUTED_VALUE"""),"")</f>
        <v/>
      </c>
    </row>
    <row r="23466" spans="2:4" ht="13">
      <c r="B23466" s="12" t="str">
        <f ca="1">IFERROR(__xludf.DUMMYFUNCTION("""COMPUTED_VALUE"""),"")</f>
        <v/>
      </c>
      <c r="C23466" s="12" t="str">
        <f ca="1">IFERROR(__xludf.DUMMYFUNCTION("""COMPUTED_VALUE"""),"")</f>
        <v/>
      </c>
      <c r="D23466" s="12" t="str">
        <f ca="1">IFERROR(__xludf.DUMMYFUNCTION("""COMPUTED_VALUE"""),"")</f>
        <v/>
      </c>
    </row>
    <row r="23467" spans="2:4" ht="13">
      <c r="B23467" s="12" t="str">
        <f ca="1">IFERROR(__xludf.DUMMYFUNCTION("""COMPUTED_VALUE"""),"")</f>
        <v/>
      </c>
      <c r="C23467" s="12" t="str">
        <f ca="1">IFERROR(__xludf.DUMMYFUNCTION("""COMPUTED_VALUE"""),"")</f>
        <v/>
      </c>
      <c r="D23467" s="12" t="str">
        <f ca="1">IFERROR(__xludf.DUMMYFUNCTION("""COMPUTED_VALUE"""),"")</f>
        <v/>
      </c>
    </row>
    <row r="23468" spans="2:4" ht="13">
      <c r="B23468" s="12" t="str">
        <f ca="1">IFERROR(__xludf.DUMMYFUNCTION("""COMPUTED_VALUE"""),"")</f>
        <v/>
      </c>
      <c r="C23468" s="12" t="str">
        <f ca="1">IFERROR(__xludf.DUMMYFUNCTION("""COMPUTED_VALUE"""),"")</f>
        <v/>
      </c>
      <c r="D23468" s="12" t="str">
        <f ca="1">IFERROR(__xludf.DUMMYFUNCTION("""COMPUTED_VALUE"""),"")</f>
        <v/>
      </c>
    </row>
    <row r="23469" spans="2:4" ht="13">
      <c r="B23469" s="12" t="str">
        <f ca="1">IFERROR(__xludf.DUMMYFUNCTION("""COMPUTED_VALUE"""),"")</f>
        <v/>
      </c>
      <c r="C23469" s="12" t="str">
        <f ca="1">IFERROR(__xludf.DUMMYFUNCTION("""COMPUTED_VALUE"""),"")</f>
        <v/>
      </c>
      <c r="D23469" s="12" t="str">
        <f ca="1">IFERROR(__xludf.DUMMYFUNCTION("""COMPUTED_VALUE"""),"")</f>
        <v/>
      </c>
    </row>
    <row r="23470" spans="2:4" ht="13">
      <c r="B23470" s="12" t="str">
        <f ca="1">IFERROR(__xludf.DUMMYFUNCTION("""COMPUTED_VALUE"""),"")</f>
        <v/>
      </c>
      <c r="C23470" s="12" t="str">
        <f ca="1">IFERROR(__xludf.DUMMYFUNCTION("""COMPUTED_VALUE"""),"")</f>
        <v/>
      </c>
      <c r="D23470" s="12" t="str">
        <f ca="1">IFERROR(__xludf.DUMMYFUNCTION("""COMPUTED_VALUE"""),"")</f>
        <v/>
      </c>
    </row>
    <row r="23471" spans="2:4" ht="13">
      <c r="B23471" s="12" t="str">
        <f ca="1">IFERROR(__xludf.DUMMYFUNCTION("""COMPUTED_VALUE"""),"")</f>
        <v/>
      </c>
      <c r="C23471" s="12" t="str">
        <f ca="1">IFERROR(__xludf.DUMMYFUNCTION("""COMPUTED_VALUE"""),"")</f>
        <v/>
      </c>
      <c r="D23471" s="12" t="str">
        <f ca="1">IFERROR(__xludf.DUMMYFUNCTION("""COMPUTED_VALUE"""),"")</f>
        <v/>
      </c>
    </row>
    <row r="23472" spans="2:4" ht="13">
      <c r="B23472" s="12" t="str">
        <f ca="1">IFERROR(__xludf.DUMMYFUNCTION("""COMPUTED_VALUE"""),"")</f>
        <v/>
      </c>
      <c r="C23472" s="12" t="str">
        <f ca="1">IFERROR(__xludf.DUMMYFUNCTION("""COMPUTED_VALUE"""),"")</f>
        <v/>
      </c>
      <c r="D23472" s="12" t="str">
        <f ca="1">IFERROR(__xludf.DUMMYFUNCTION("""COMPUTED_VALUE"""),"")</f>
        <v/>
      </c>
    </row>
    <row r="23473" spans="2:4" ht="13">
      <c r="B23473" s="12" t="str">
        <f ca="1">IFERROR(__xludf.DUMMYFUNCTION("""COMPUTED_VALUE"""),"")</f>
        <v/>
      </c>
      <c r="C23473" s="12" t="str">
        <f ca="1">IFERROR(__xludf.DUMMYFUNCTION("""COMPUTED_VALUE"""),"")</f>
        <v/>
      </c>
      <c r="D23473" s="12" t="str">
        <f ca="1">IFERROR(__xludf.DUMMYFUNCTION("""COMPUTED_VALUE"""),"")</f>
        <v/>
      </c>
    </row>
    <row r="23474" spans="2:4" ht="13">
      <c r="B23474" s="12" t="str">
        <f ca="1">IFERROR(__xludf.DUMMYFUNCTION("""COMPUTED_VALUE"""),"")</f>
        <v/>
      </c>
      <c r="C23474" s="12" t="str">
        <f ca="1">IFERROR(__xludf.DUMMYFUNCTION("""COMPUTED_VALUE"""),"")</f>
        <v/>
      </c>
      <c r="D23474" s="12" t="str">
        <f ca="1">IFERROR(__xludf.DUMMYFUNCTION("""COMPUTED_VALUE"""),"")</f>
        <v/>
      </c>
    </row>
    <row r="23475" spans="2:4" ht="13">
      <c r="B23475" s="12" t="str">
        <f ca="1">IFERROR(__xludf.DUMMYFUNCTION("""COMPUTED_VALUE"""),"")</f>
        <v/>
      </c>
      <c r="C23475" s="12" t="str">
        <f ca="1">IFERROR(__xludf.DUMMYFUNCTION("""COMPUTED_VALUE"""),"")</f>
        <v/>
      </c>
      <c r="D23475" s="12" t="str">
        <f ca="1">IFERROR(__xludf.DUMMYFUNCTION("""COMPUTED_VALUE"""),"")</f>
        <v/>
      </c>
    </row>
    <row r="23476" spans="2:4" ht="13">
      <c r="B23476" s="12" t="str">
        <f ca="1">IFERROR(__xludf.DUMMYFUNCTION("""COMPUTED_VALUE"""),"")</f>
        <v/>
      </c>
      <c r="C23476" s="12" t="str">
        <f ca="1">IFERROR(__xludf.DUMMYFUNCTION("""COMPUTED_VALUE"""),"")</f>
        <v/>
      </c>
      <c r="D23476" s="12" t="str">
        <f ca="1">IFERROR(__xludf.DUMMYFUNCTION("""COMPUTED_VALUE"""),"")</f>
        <v/>
      </c>
    </row>
    <row r="23477" spans="2:4" ht="13">
      <c r="B23477" s="12" t="str">
        <f ca="1">IFERROR(__xludf.DUMMYFUNCTION("""COMPUTED_VALUE"""),"")</f>
        <v/>
      </c>
      <c r="C23477" s="12" t="str">
        <f ca="1">IFERROR(__xludf.DUMMYFUNCTION("""COMPUTED_VALUE"""),"")</f>
        <v/>
      </c>
      <c r="D23477" s="12" t="str">
        <f ca="1">IFERROR(__xludf.DUMMYFUNCTION("""COMPUTED_VALUE"""),"")</f>
        <v/>
      </c>
    </row>
    <row r="23478" spans="2:4" ht="13">
      <c r="B23478" s="12" t="str">
        <f ca="1">IFERROR(__xludf.DUMMYFUNCTION("""COMPUTED_VALUE"""),"")</f>
        <v/>
      </c>
      <c r="C23478" s="12" t="str">
        <f ca="1">IFERROR(__xludf.DUMMYFUNCTION("""COMPUTED_VALUE"""),"")</f>
        <v/>
      </c>
      <c r="D23478" s="12" t="str">
        <f ca="1">IFERROR(__xludf.DUMMYFUNCTION("""COMPUTED_VALUE"""),"")</f>
        <v/>
      </c>
    </row>
    <row r="23479" spans="2:4" ht="13">
      <c r="B23479" s="12" t="str">
        <f ca="1">IFERROR(__xludf.DUMMYFUNCTION("""COMPUTED_VALUE"""),"")</f>
        <v/>
      </c>
      <c r="C23479" s="12" t="str">
        <f ca="1">IFERROR(__xludf.DUMMYFUNCTION("""COMPUTED_VALUE"""),"")</f>
        <v/>
      </c>
      <c r="D23479" s="12" t="str">
        <f ca="1">IFERROR(__xludf.DUMMYFUNCTION("""COMPUTED_VALUE"""),"")</f>
        <v/>
      </c>
    </row>
    <row r="23480" spans="2:4" ht="13">
      <c r="B23480" s="12" t="str">
        <f ca="1">IFERROR(__xludf.DUMMYFUNCTION("""COMPUTED_VALUE"""),"")</f>
        <v/>
      </c>
      <c r="C23480" s="12" t="str">
        <f ca="1">IFERROR(__xludf.DUMMYFUNCTION("""COMPUTED_VALUE"""),"")</f>
        <v/>
      </c>
      <c r="D23480" s="12" t="str">
        <f ca="1">IFERROR(__xludf.DUMMYFUNCTION("""COMPUTED_VALUE"""),"")</f>
        <v/>
      </c>
    </row>
    <row r="23481" spans="2:4" ht="13">
      <c r="B23481" s="12" t="str">
        <f ca="1">IFERROR(__xludf.DUMMYFUNCTION("""COMPUTED_VALUE"""),"")</f>
        <v/>
      </c>
      <c r="C23481" s="12" t="str">
        <f ca="1">IFERROR(__xludf.DUMMYFUNCTION("""COMPUTED_VALUE"""),"")</f>
        <v/>
      </c>
      <c r="D23481" s="12" t="str">
        <f ca="1">IFERROR(__xludf.DUMMYFUNCTION("""COMPUTED_VALUE"""),"")</f>
        <v/>
      </c>
    </row>
    <row r="23482" spans="2:4" ht="13">
      <c r="B23482" s="12" t="str">
        <f ca="1">IFERROR(__xludf.DUMMYFUNCTION("""COMPUTED_VALUE"""),"")</f>
        <v/>
      </c>
      <c r="C23482" s="12" t="str">
        <f ca="1">IFERROR(__xludf.DUMMYFUNCTION("""COMPUTED_VALUE"""),"")</f>
        <v/>
      </c>
      <c r="D23482" s="12" t="str">
        <f ca="1">IFERROR(__xludf.DUMMYFUNCTION("""COMPUTED_VALUE"""),"")</f>
        <v/>
      </c>
    </row>
    <row r="23483" spans="2:4" ht="13">
      <c r="B23483" s="12" t="str">
        <f ca="1">IFERROR(__xludf.DUMMYFUNCTION("""COMPUTED_VALUE"""),"")</f>
        <v/>
      </c>
      <c r="C23483" s="12" t="str">
        <f ca="1">IFERROR(__xludf.DUMMYFUNCTION("""COMPUTED_VALUE"""),"")</f>
        <v/>
      </c>
      <c r="D23483" s="12" t="str">
        <f ca="1">IFERROR(__xludf.DUMMYFUNCTION("""COMPUTED_VALUE"""),"")</f>
        <v/>
      </c>
    </row>
    <row r="23484" spans="2:4" ht="13">
      <c r="B23484" s="12" t="str">
        <f ca="1">IFERROR(__xludf.DUMMYFUNCTION("""COMPUTED_VALUE"""),"")</f>
        <v/>
      </c>
      <c r="C23484" s="12" t="str">
        <f ca="1">IFERROR(__xludf.DUMMYFUNCTION("""COMPUTED_VALUE"""),"")</f>
        <v/>
      </c>
      <c r="D23484" s="12" t="str">
        <f ca="1">IFERROR(__xludf.DUMMYFUNCTION("""COMPUTED_VALUE"""),"")</f>
        <v/>
      </c>
    </row>
    <row r="23485" spans="2:4" ht="13">
      <c r="B23485" s="12" t="str">
        <f ca="1">IFERROR(__xludf.DUMMYFUNCTION("""COMPUTED_VALUE"""),"")</f>
        <v/>
      </c>
      <c r="C23485" s="12" t="str">
        <f ca="1">IFERROR(__xludf.DUMMYFUNCTION("""COMPUTED_VALUE"""),"")</f>
        <v/>
      </c>
      <c r="D23485" s="12" t="str">
        <f ca="1">IFERROR(__xludf.DUMMYFUNCTION("""COMPUTED_VALUE"""),"")</f>
        <v/>
      </c>
    </row>
    <row r="23486" spans="2:4" ht="13">
      <c r="B23486" s="12" t="str">
        <f ca="1">IFERROR(__xludf.DUMMYFUNCTION("""COMPUTED_VALUE"""),"")</f>
        <v/>
      </c>
      <c r="C23486" s="12" t="str">
        <f ca="1">IFERROR(__xludf.DUMMYFUNCTION("""COMPUTED_VALUE"""),"")</f>
        <v/>
      </c>
      <c r="D23486" s="12" t="str">
        <f ca="1">IFERROR(__xludf.DUMMYFUNCTION("""COMPUTED_VALUE"""),"")</f>
        <v/>
      </c>
    </row>
    <row r="23487" spans="2:4" ht="13">
      <c r="B23487" s="12" t="str">
        <f ca="1">IFERROR(__xludf.DUMMYFUNCTION("""COMPUTED_VALUE"""),"")</f>
        <v/>
      </c>
      <c r="C23487" s="12" t="str">
        <f ca="1">IFERROR(__xludf.DUMMYFUNCTION("""COMPUTED_VALUE"""),"")</f>
        <v/>
      </c>
      <c r="D23487" s="12" t="str">
        <f ca="1">IFERROR(__xludf.DUMMYFUNCTION("""COMPUTED_VALUE"""),"")</f>
        <v/>
      </c>
    </row>
    <row r="23488" spans="2:4" ht="13">
      <c r="B23488" s="12" t="str">
        <f ca="1">IFERROR(__xludf.DUMMYFUNCTION("""COMPUTED_VALUE"""),"")</f>
        <v/>
      </c>
      <c r="C23488" s="12" t="str">
        <f ca="1">IFERROR(__xludf.DUMMYFUNCTION("""COMPUTED_VALUE"""),"")</f>
        <v/>
      </c>
      <c r="D23488" s="12" t="str">
        <f ca="1">IFERROR(__xludf.DUMMYFUNCTION("""COMPUTED_VALUE"""),"")</f>
        <v/>
      </c>
    </row>
    <row r="23489" spans="2:4" ht="13">
      <c r="B23489" s="12" t="str">
        <f ca="1">IFERROR(__xludf.DUMMYFUNCTION("""COMPUTED_VALUE"""),"")</f>
        <v/>
      </c>
      <c r="C23489" s="12" t="str">
        <f ca="1">IFERROR(__xludf.DUMMYFUNCTION("""COMPUTED_VALUE"""),"")</f>
        <v/>
      </c>
      <c r="D23489" s="12" t="str">
        <f ca="1">IFERROR(__xludf.DUMMYFUNCTION("""COMPUTED_VALUE"""),"")</f>
        <v/>
      </c>
    </row>
    <row r="23490" spans="2:4" ht="13">
      <c r="B23490" s="12" t="str">
        <f ca="1">IFERROR(__xludf.DUMMYFUNCTION("""COMPUTED_VALUE"""),"")</f>
        <v/>
      </c>
      <c r="C23490" s="12" t="str">
        <f ca="1">IFERROR(__xludf.DUMMYFUNCTION("""COMPUTED_VALUE"""),"")</f>
        <v/>
      </c>
      <c r="D23490" s="12" t="str">
        <f ca="1">IFERROR(__xludf.DUMMYFUNCTION("""COMPUTED_VALUE"""),"")</f>
        <v/>
      </c>
    </row>
    <row r="23491" spans="2:4" ht="13">
      <c r="B23491" s="12" t="str">
        <f ca="1">IFERROR(__xludf.DUMMYFUNCTION("""COMPUTED_VALUE"""),"")</f>
        <v/>
      </c>
      <c r="C23491" s="12" t="str">
        <f ca="1">IFERROR(__xludf.DUMMYFUNCTION("""COMPUTED_VALUE"""),"")</f>
        <v/>
      </c>
      <c r="D23491" s="12" t="str">
        <f ca="1">IFERROR(__xludf.DUMMYFUNCTION("""COMPUTED_VALUE"""),"")</f>
        <v/>
      </c>
    </row>
    <row r="23492" spans="2:4" ht="13">
      <c r="B23492" s="12" t="str">
        <f ca="1">IFERROR(__xludf.DUMMYFUNCTION("""COMPUTED_VALUE"""),"")</f>
        <v/>
      </c>
      <c r="C23492" s="12" t="str">
        <f ca="1">IFERROR(__xludf.DUMMYFUNCTION("""COMPUTED_VALUE"""),"")</f>
        <v/>
      </c>
      <c r="D23492" s="12" t="str">
        <f ca="1">IFERROR(__xludf.DUMMYFUNCTION("""COMPUTED_VALUE"""),"")</f>
        <v/>
      </c>
    </row>
    <row r="23493" spans="2:4" ht="13">
      <c r="B23493" s="12" t="str">
        <f ca="1">IFERROR(__xludf.DUMMYFUNCTION("""COMPUTED_VALUE"""),"")</f>
        <v/>
      </c>
      <c r="C23493" s="12" t="str">
        <f ca="1">IFERROR(__xludf.DUMMYFUNCTION("""COMPUTED_VALUE"""),"")</f>
        <v/>
      </c>
      <c r="D23493" s="12" t="str">
        <f ca="1">IFERROR(__xludf.DUMMYFUNCTION("""COMPUTED_VALUE"""),"")</f>
        <v/>
      </c>
    </row>
    <row r="23494" spans="2:4" ht="13">
      <c r="B23494" s="12" t="str">
        <f ca="1">IFERROR(__xludf.DUMMYFUNCTION("""COMPUTED_VALUE"""),"")</f>
        <v/>
      </c>
      <c r="C23494" s="12" t="str">
        <f ca="1">IFERROR(__xludf.DUMMYFUNCTION("""COMPUTED_VALUE"""),"")</f>
        <v/>
      </c>
      <c r="D23494" s="12" t="str">
        <f ca="1">IFERROR(__xludf.DUMMYFUNCTION("""COMPUTED_VALUE"""),"")</f>
        <v/>
      </c>
    </row>
    <row r="23495" spans="2:4" ht="13">
      <c r="B23495" s="12" t="str">
        <f ca="1">IFERROR(__xludf.DUMMYFUNCTION("""COMPUTED_VALUE"""),"")</f>
        <v/>
      </c>
      <c r="C23495" s="12" t="str">
        <f ca="1">IFERROR(__xludf.DUMMYFUNCTION("""COMPUTED_VALUE"""),"")</f>
        <v/>
      </c>
      <c r="D23495" s="12" t="str">
        <f ca="1">IFERROR(__xludf.DUMMYFUNCTION("""COMPUTED_VALUE"""),"")</f>
        <v/>
      </c>
    </row>
    <row r="23496" spans="2:4" ht="13">
      <c r="B23496" s="12" t="str">
        <f ca="1">IFERROR(__xludf.DUMMYFUNCTION("""COMPUTED_VALUE"""),"")</f>
        <v/>
      </c>
      <c r="C23496" s="12" t="str">
        <f ca="1">IFERROR(__xludf.DUMMYFUNCTION("""COMPUTED_VALUE"""),"")</f>
        <v/>
      </c>
      <c r="D23496" s="12" t="str">
        <f ca="1">IFERROR(__xludf.DUMMYFUNCTION("""COMPUTED_VALUE"""),"")</f>
        <v/>
      </c>
    </row>
    <row r="23497" spans="2:4" ht="13">
      <c r="B23497" s="12" t="str">
        <f ca="1">IFERROR(__xludf.DUMMYFUNCTION("""COMPUTED_VALUE"""),"")</f>
        <v/>
      </c>
      <c r="C23497" s="12" t="str">
        <f ca="1">IFERROR(__xludf.DUMMYFUNCTION("""COMPUTED_VALUE"""),"")</f>
        <v/>
      </c>
      <c r="D23497" s="12" t="str">
        <f ca="1">IFERROR(__xludf.DUMMYFUNCTION("""COMPUTED_VALUE"""),"")</f>
        <v/>
      </c>
    </row>
    <row r="23498" spans="2:4" ht="13">
      <c r="B23498" s="12" t="str">
        <f ca="1">IFERROR(__xludf.DUMMYFUNCTION("""COMPUTED_VALUE"""),"")</f>
        <v/>
      </c>
      <c r="C23498" s="12" t="str">
        <f ca="1">IFERROR(__xludf.DUMMYFUNCTION("""COMPUTED_VALUE"""),"")</f>
        <v/>
      </c>
      <c r="D23498" s="12" t="str">
        <f ca="1">IFERROR(__xludf.DUMMYFUNCTION("""COMPUTED_VALUE"""),"")</f>
        <v/>
      </c>
    </row>
    <row r="23499" spans="2:4" ht="13">
      <c r="B23499" s="12" t="str">
        <f ca="1">IFERROR(__xludf.DUMMYFUNCTION("""COMPUTED_VALUE"""),"")</f>
        <v/>
      </c>
      <c r="C23499" s="12" t="str">
        <f ca="1">IFERROR(__xludf.DUMMYFUNCTION("""COMPUTED_VALUE"""),"")</f>
        <v/>
      </c>
      <c r="D23499" s="12" t="str">
        <f ca="1">IFERROR(__xludf.DUMMYFUNCTION("""COMPUTED_VALUE"""),"")</f>
        <v/>
      </c>
    </row>
    <row r="23500" spans="2:4" ht="13">
      <c r="B23500" s="12" t="str">
        <f ca="1">IFERROR(__xludf.DUMMYFUNCTION("""COMPUTED_VALUE"""),"")</f>
        <v/>
      </c>
      <c r="C23500" s="12" t="str">
        <f ca="1">IFERROR(__xludf.DUMMYFUNCTION("""COMPUTED_VALUE"""),"")</f>
        <v/>
      </c>
      <c r="D23500" s="12" t="str">
        <f ca="1">IFERROR(__xludf.DUMMYFUNCTION("""COMPUTED_VALUE"""),"")</f>
        <v/>
      </c>
    </row>
    <row r="23501" spans="2:4" ht="13">
      <c r="B23501" s="12" t="str">
        <f ca="1">IFERROR(__xludf.DUMMYFUNCTION("""COMPUTED_VALUE"""),"")</f>
        <v/>
      </c>
      <c r="C23501" s="12" t="str">
        <f ca="1">IFERROR(__xludf.DUMMYFUNCTION("""COMPUTED_VALUE"""),"")</f>
        <v/>
      </c>
      <c r="D23501" s="12" t="str">
        <f ca="1">IFERROR(__xludf.DUMMYFUNCTION("""COMPUTED_VALUE"""),"")</f>
        <v/>
      </c>
    </row>
    <row r="23502" spans="2:4" ht="13">
      <c r="B23502" s="12" t="str">
        <f ca="1">IFERROR(__xludf.DUMMYFUNCTION("""COMPUTED_VALUE"""),"")</f>
        <v/>
      </c>
      <c r="C23502" s="12" t="str">
        <f ca="1">IFERROR(__xludf.DUMMYFUNCTION("""COMPUTED_VALUE"""),"")</f>
        <v/>
      </c>
      <c r="D23502" s="12" t="str">
        <f ca="1">IFERROR(__xludf.DUMMYFUNCTION("""COMPUTED_VALUE"""),"")</f>
        <v/>
      </c>
    </row>
    <row r="23503" spans="2:4" ht="13">
      <c r="B23503" s="12" t="str">
        <f ca="1">IFERROR(__xludf.DUMMYFUNCTION("""COMPUTED_VALUE"""),"")</f>
        <v/>
      </c>
      <c r="C23503" s="12" t="str">
        <f ca="1">IFERROR(__xludf.DUMMYFUNCTION("""COMPUTED_VALUE"""),"")</f>
        <v/>
      </c>
      <c r="D23503" s="12" t="str">
        <f ca="1">IFERROR(__xludf.DUMMYFUNCTION("""COMPUTED_VALUE"""),"")</f>
        <v/>
      </c>
    </row>
    <row r="23504" spans="2:4" ht="13">
      <c r="B23504" s="12" t="str">
        <f ca="1">IFERROR(__xludf.DUMMYFUNCTION("""COMPUTED_VALUE"""),"")</f>
        <v/>
      </c>
      <c r="C23504" s="12" t="str">
        <f ca="1">IFERROR(__xludf.DUMMYFUNCTION("""COMPUTED_VALUE"""),"")</f>
        <v/>
      </c>
      <c r="D23504" s="12" t="str">
        <f ca="1">IFERROR(__xludf.DUMMYFUNCTION("""COMPUTED_VALUE"""),"")</f>
        <v/>
      </c>
    </row>
    <row r="23505" spans="2:4" ht="13">
      <c r="B23505" s="12" t="str">
        <f ca="1">IFERROR(__xludf.DUMMYFUNCTION("""COMPUTED_VALUE"""),"")</f>
        <v/>
      </c>
      <c r="C23505" s="12" t="str">
        <f ca="1">IFERROR(__xludf.DUMMYFUNCTION("""COMPUTED_VALUE"""),"")</f>
        <v/>
      </c>
      <c r="D23505" s="12" t="str">
        <f ca="1">IFERROR(__xludf.DUMMYFUNCTION("""COMPUTED_VALUE"""),"")</f>
        <v/>
      </c>
    </row>
    <row r="23506" spans="2:4" ht="13">
      <c r="B23506" s="12" t="str">
        <f ca="1">IFERROR(__xludf.DUMMYFUNCTION("""COMPUTED_VALUE"""),"")</f>
        <v/>
      </c>
      <c r="C23506" s="12" t="str">
        <f ca="1">IFERROR(__xludf.DUMMYFUNCTION("""COMPUTED_VALUE"""),"")</f>
        <v/>
      </c>
      <c r="D23506" s="12" t="str">
        <f ca="1">IFERROR(__xludf.DUMMYFUNCTION("""COMPUTED_VALUE"""),"")</f>
        <v/>
      </c>
    </row>
    <row r="23507" spans="2:4" ht="13">
      <c r="B23507" s="12" t="str">
        <f ca="1">IFERROR(__xludf.DUMMYFUNCTION("""COMPUTED_VALUE"""),"")</f>
        <v/>
      </c>
      <c r="C23507" s="12" t="str">
        <f ca="1">IFERROR(__xludf.DUMMYFUNCTION("""COMPUTED_VALUE"""),"")</f>
        <v/>
      </c>
      <c r="D23507" s="12" t="str">
        <f ca="1">IFERROR(__xludf.DUMMYFUNCTION("""COMPUTED_VALUE"""),"")</f>
        <v/>
      </c>
    </row>
    <row r="23508" spans="2:4" ht="13">
      <c r="B23508" s="12" t="str">
        <f ca="1">IFERROR(__xludf.DUMMYFUNCTION("""COMPUTED_VALUE"""),"")</f>
        <v/>
      </c>
      <c r="C23508" s="12" t="str">
        <f ca="1">IFERROR(__xludf.DUMMYFUNCTION("""COMPUTED_VALUE"""),"")</f>
        <v/>
      </c>
      <c r="D23508" s="12" t="str">
        <f ca="1">IFERROR(__xludf.DUMMYFUNCTION("""COMPUTED_VALUE"""),"")</f>
        <v/>
      </c>
    </row>
    <row r="23509" spans="2:4" ht="13">
      <c r="B23509" s="12" t="str">
        <f ca="1">IFERROR(__xludf.DUMMYFUNCTION("""COMPUTED_VALUE"""),"")</f>
        <v/>
      </c>
      <c r="C23509" s="12" t="str">
        <f ca="1">IFERROR(__xludf.DUMMYFUNCTION("""COMPUTED_VALUE"""),"")</f>
        <v/>
      </c>
      <c r="D23509" s="12" t="str">
        <f ca="1">IFERROR(__xludf.DUMMYFUNCTION("""COMPUTED_VALUE"""),"")</f>
        <v/>
      </c>
    </row>
    <row r="23510" spans="2:4" ht="13">
      <c r="B23510" s="12" t="str">
        <f ca="1">IFERROR(__xludf.DUMMYFUNCTION("""COMPUTED_VALUE"""),"")</f>
        <v/>
      </c>
      <c r="C23510" s="12" t="str">
        <f ca="1">IFERROR(__xludf.DUMMYFUNCTION("""COMPUTED_VALUE"""),"")</f>
        <v/>
      </c>
      <c r="D23510" s="12" t="str">
        <f ca="1">IFERROR(__xludf.DUMMYFUNCTION("""COMPUTED_VALUE"""),"")</f>
        <v/>
      </c>
    </row>
    <row r="23511" spans="2:4" ht="13">
      <c r="B23511" s="12" t="str">
        <f ca="1">IFERROR(__xludf.DUMMYFUNCTION("""COMPUTED_VALUE"""),"")</f>
        <v/>
      </c>
      <c r="C23511" s="12" t="str">
        <f ca="1">IFERROR(__xludf.DUMMYFUNCTION("""COMPUTED_VALUE"""),"")</f>
        <v/>
      </c>
      <c r="D23511" s="12" t="str">
        <f ca="1">IFERROR(__xludf.DUMMYFUNCTION("""COMPUTED_VALUE"""),"")</f>
        <v/>
      </c>
    </row>
    <row r="23512" spans="2:4" ht="13">
      <c r="B23512" s="12" t="str">
        <f ca="1">IFERROR(__xludf.DUMMYFUNCTION("""COMPUTED_VALUE"""),"")</f>
        <v/>
      </c>
      <c r="C23512" s="12" t="str">
        <f ca="1">IFERROR(__xludf.DUMMYFUNCTION("""COMPUTED_VALUE"""),"")</f>
        <v/>
      </c>
      <c r="D23512" s="12" t="str">
        <f ca="1">IFERROR(__xludf.DUMMYFUNCTION("""COMPUTED_VALUE"""),"")</f>
        <v/>
      </c>
    </row>
    <row r="23513" spans="2:4" ht="13">
      <c r="B23513" s="12" t="str">
        <f ca="1">IFERROR(__xludf.DUMMYFUNCTION("""COMPUTED_VALUE"""),"")</f>
        <v/>
      </c>
      <c r="C23513" s="12" t="str">
        <f ca="1">IFERROR(__xludf.DUMMYFUNCTION("""COMPUTED_VALUE"""),"")</f>
        <v/>
      </c>
      <c r="D23513" s="12" t="str">
        <f ca="1">IFERROR(__xludf.DUMMYFUNCTION("""COMPUTED_VALUE"""),"")</f>
        <v/>
      </c>
    </row>
    <row r="23514" spans="2:4" ht="13">
      <c r="B23514" s="12" t="str">
        <f ca="1">IFERROR(__xludf.DUMMYFUNCTION("""COMPUTED_VALUE"""),"")</f>
        <v/>
      </c>
      <c r="C23514" s="12" t="str">
        <f ca="1">IFERROR(__xludf.DUMMYFUNCTION("""COMPUTED_VALUE"""),"")</f>
        <v/>
      </c>
      <c r="D23514" s="12" t="str">
        <f ca="1">IFERROR(__xludf.DUMMYFUNCTION("""COMPUTED_VALUE"""),"")</f>
        <v/>
      </c>
    </row>
    <row r="23515" spans="2:4" ht="13">
      <c r="B23515" s="12" t="str">
        <f ca="1">IFERROR(__xludf.DUMMYFUNCTION("""COMPUTED_VALUE"""),"")</f>
        <v/>
      </c>
      <c r="C23515" s="12" t="str">
        <f ca="1">IFERROR(__xludf.DUMMYFUNCTION("""COMPUTED_VALUE"""),"")</f>
        <v/>
      </c>
      <c r="D23515" s="12" t="str">
        <f ca="1">IFERROR(__xludf.DUMMYFUNCTION("""COMPUTED_VALUE"""),"")</f>
        <v/>
      </c>
    </row>
    <row r="23516" spans="2:4" ht="13">
      <c r="B23516" s="12" t="str">
        <f ca="1">IFERROR(__xludf.DUMMYFUNCTION("""COMPUTED_VALUE"""),"")</f>
        <v/>
      </c>
      <c r="C23516" s="12" t="str">
        <f ca="1">IFERROR(__xludf.DUMMYFUNCTION("""COMPUTED_VALUE"""),"")</f>
        <v/>
      </c>
      <c r="D23516" s="12" t="str">
        <f ca="1">IFERROR(__xludf.DUMMYFUNCTION("""COMPUTED_VALUE"""),"")</f>
        <v/>
      </c>
    </row>
    <row r="23517" spans="2:4" ht="13">
      <c r="B23517" s="12" t="str">
        <f ca="1">IFERROR(__xludf.DUMMYFUNCTION("""COMPUTED_VALUE"""),"")</f>
        <v/>
      </c>
      <c r="C23517" s="12" t="str">
        <f ca="1">IFERROR(__xludf.DUMMYFUNCTION("""COMPUTED_VALUE"""),"")</f>
        <v/>
      </c>
      <c r="D23517" s="12" t="str">
        <f ca="1">IFERROR(__xludf.DUMMYFUNCTION("""COMPUTED_VALUE"""),"")</f>
        <v/>
      </c>
    </row>
    <row r="23518" spans="2:4" ht="13">
      <c r="B23518" s="12" t="str">
        <f ca="1">IFERROR(__xludf.DUMMYFUNCTION("""COMPUTED_VALUE"""),"")</f>
        <v/>
      </c>
      <c r="C23518" s="12" t="str">
        <f ca="1">IFERROR(__xludf.DUMMYFUNCTION("""COMPUTED_VALUE"""),"")</f>
        <v/>
      </c>
      <c r="D23518" s="12" t="str">
        <f ca="1">IFERROR(__xludf.DUMMYFUNCTION("""COMPUTED_VALUE"""),"")</f>
        <v/>
      </c>
    </row>
    <row r="23519" spans="2:4" ht="13">
      <c r="B23519" s="12" t="str">
        <f ca="1">IFERROR(__xludf.DUMMYFUNCTION("""COMPUTED_VALUE"""),"")</f>
        <v/>
      </c>
      <c r="C23519" s="12" t="str">
        <f ca="1">IFERROR(__xludf.DUMMYFUNCTION("""COMPUTED_VALUE"""),"")</f>
        <v/>
      </c>
      <c r="D23519" s="12" t="str">
        <f ca="1">IFERROR(__xludf.DUMMYFUNCTION("""COMPUTED_VALUE"""),"")</f>
        <v/>
      </c>
    </row>
    <row r="23520" spans="2:4" ht="13">
      <c r="B23520" s="12" t="str">
        <f ca="1">IFERROR(__xludf.DUMMYFUNCTION("""COMPUTED_VALUE"""),"")</f>
        <v/>
      </c>
      <c r="C23520" s="12" t="str">
        <f ca="1">IFERROR(__xludf.DUMMYFUNCTION("""COMPUTED_VALUE"""),"")</f>
        <v/>
      </c>
      <c r="D23520" s="12" t="str">
        <f ca="1">IFERROR(__xludf.DUMMYFUNCTION("""COMPUTED_VALUE"""),"")</f>
        <v/>
      </c>
    </row>
    <row r="23521" spans="2:4" ht="13">
      <c r="B23521" s="12" t="str">
        <f ca="1">IFERROR(__xludf.DUMMYFUNCTION("""COMPUTED_VALUE"""),"")</f>
        <v/>
      </c>
      <c r="C23521" s="12" t="str">
        <f ca="1">IFERROR(__xludf.DUMMYFUNCTION("""COMPUTED_VALUE"""),"")</f>
        <v/>
      </c>
      <c r="D23521" s="12" t="str">
        <f ca="1">IFERROR(__xludf.DUMMYFUNCTION("""COMPUTED_VALUE"""),"")</f>
        <v/>
      </c>
    </row>
    <row r="23522" spans="2:4" ht="13">
      <c r="B23522" s="12" t="str">
        <f ca="1">IFERROR(__xludf.DUMMYFUNCTION("""COMPUTED_VALUE"""),"")</f>
        <v/>
      </c>
      <c r="C23522" s="12" t="str">
        <f ca="1">IFERROR(__xludf.DUMMYFUNCTION("""COMPUTED_VALUE"""),"")</f>
        <v/>
      </c>
      <c r="D23522" s="12" t="str">
        <f ca="1">IFERROR(__xludf.DUMMYFUNCTION("""COMPUTED_VALUE"""),"")</f>
        <v/>
      </c>
    </row>
    <row r="23523" spans="2:4" ht="13">
      <c r="B23523" s="12" t="str">
        <f ca="1">IFERROR(__xludf.DUMMYFUNCTION("""COMPUTED_VALUE"""),"")</f>
        <v/>
      </c>
      <c r="C23523" s="12" t="str">
        <f ca="1">IFERROR(__xludf.DUMMYFUNCTION("""COMPUTED_VALUE"""),"")</f>
        <v/>
      </c>
      <c r="D23523" s="12" t="str">
        <f ca="1">IFERROR(__xludf.DUMMYFUNCTION("""COMPUTED_VALUE"""),"")</f>
        <v/>
      </c>
    </row>
    <row r="23524" spans="2:4" ht="13">
      <c r="B23524" s="12" t="str">
        <f ca="1">IFERROR(__xludf.DUMMYFUNCTION("""COMPUTED_VALUE"""),"")</f>
        <v/>
      </c>
      <c r="C23524" s="12" t="str">
        <f ca="1">IFERROR(__xludf.DUMMYFUNCTION("""COMPUTED_VALUE"""),"")</f>
        <v/>
      </c>
      <c r="D23524" s="12" t="str">
        <f ca="1">IFERROR(__xludf.DUMMYFUNCTION("""COMPUTED_VALUE"""),"")</f>
        <v/>
      </c>
    </row>
    <row r="23525" spans="2:4" ht="13">
      <c r="B23525" s="12" t="str">
        <f ca="1">IFERROR(__xludf.DUMMYFUNCTION("""COMPUTED_VALUE"""),"")</f>
        <v/>
      </c>
      <c r="C23525" s="12" t="str">
        <f ca="1">IFERROR(__xludf.DUMMYFUNCTION("""COMPUTED_VALUE"""),"")</f>
        <v/>
      </c>
      <c r="D23525" s="12" t="str">
        <f ca="1">IFERROR(__xludf.DUMMYFUNCTION("""COMPUTED_VALUE"""),"")</f>
        <v/>
      </c>
    </row>
    <row r="23526" spans="2:4" ht="13">
      <c r="B23526" s="12" t="str">
        <f ca="1">IFERROR(__xludf.DUMMYFUNCTION("""COMPUTED_VALUE"""),"")</f>
        <v/>
      </c>
      <c r="C23526" s="12" t="str">
        <f ca="1">IFERROR(__xludf.DUMMYFUNCTION("""COMPUTED_VALUE"""),"")</f>
        <v/>
      </c>
      <c r="D23526" s="12" t="str">
        <f ca="1">IFERROR(__xludf.DUMMYFUNCTION("""COMPUTED_VALUE"""),"")</f>
        <v/>
      </c>
    </row>
    <row r="23527" spans="2:4" ht="13">
      <c r="B23527" s="12" t="str">
        <f ca="1">IFERROR(__xludf.DUMMYFUNCTION("""COMPUTED_VALUE"""),"")</f>
        <v/>
      </c>
      <c r="C23527" s="12" t="str">
        <f ca="1">IFERROR(__xludf.DUMMYFUNCTION("""COMPUTED_VALUE"""),"")</f>
        <v/>
      </c>
      <c r="D23527" s="12" t="str">
        <f ca="1">IFERROR(__xludf.DUMMYFUNCTION("""COMPUTED_VALUE"""),"")</f>
        <v/>
      </c>
    </row>
    <row r="23528" spans="2:4" ht="13">
      <c r="B23528" s="12" t="str">
        <f ca="1">IFERROR(__xludf.DUMMYFUNCTION("""COMPUTED_VALUE"""),"")</f>
        <v/>
      </c>
      <c r="C23528" s="12" t="str">
        <f ca="1">IFERROR(__xludf.DUMMYFUNCTION("""COMPUTED_VALUE"""),"")</f>
        <v/>
      </c>
      <c r="D23528" s="12" t="str">
        <f ca="1">IFERROR(__xludf.DUMMYFUNCTION("""COMPUTED_VALUE"""),"")</f>
        <v/>
      </c>
    </row>
    <row r="23529" spans="2:4" ht="13">
      <c r="B23529" s="12" t="str">
        <f ca="1">IFERROR(__xludf.DUMMYFUNCTION("""COMPUTED_VALUE"""),"")</f>
        <v/>
      </c>
      <c r="C23529" s="12" t="str">
        <f ca="1">IFERROR(__xludf.DUMMYFUNCTION("""COMPUTED_VALUE"""),"")</f>
        <v/>
      </c>
      <c r="D23529" s="12" t="str">
        <f ca="1">IFERROR(__xludf.DUMMYFUNCTION("""COMPUTED_VALUE"""),"")</f>
        <v/>
      </c>
    </row>
    <row r="23530" spans="2:4" ht="13">
      <c r="B23530" s="12" t="str">
        <f ca="1">IFERROR(__xludf.DUMMYFUNCTION("""COMPUTED_VALUE"""),"")</f>
        <v/>
      </c>
      <c r="C23530" s="12" t="str">
        <f ca="1">IFERROR(__xludf.DUMMYFUNCTION("""COMPUTED_VALUE"""),"")</f>
        <v/>
      </c>
      <c r="D23530" s="12" t="str">
        <f ca="1">IFERROR(__xludf.DUMMYFUNCTION("""COMPUTED_VALUE"""),"")</f>
        <v/>
      </c>
    </row>
    <row r="23531" spans="2:4" ht="13">
      <c r="B23531" s="12" t="str">
        <f ca="1">IFERROR(__xludf.DUMMYFUNCTION("""COMPUTED_VALUE"""),"")</f>
        <v/>
      </c>
      <c r="C23531" s="12" t="str">
        <f ca="1">IFERROR(__xludf.DUMMYFUNCTION("""COMPUTED_VALUE"""),"")</f>
        <v/>
      </c>
      <c r="D23531" s="12" t="str">
        <f ca="1">IFERROR(__xludf.DUMMYFUNCTION("""COMPUTED_VALUE"""),"")</f>
        <v/>
      </c>
    </row>
    <row r="23532" spans="2:4" ht="13">
      <c r="B23532" s="12" t="str">
        <f ca="1">IFERROR(__xludf.DUMMYFUNCTION("""COMPUTED_VALUE"""),"")</f>
        <v/>
      </c>
      <c r="C23532" s="12" t="str">
        <f ca="1">IFERROR(__xludf.DUMMYFUNCTION("""COMPUTED_VALUE"""),"")</f>
        <v/>
      </c>
      <c r="D23532" s="12" t="str">
        <f ca="1">IFERROR(__xludf.DUMMYFUNCTION("""COMPUTED_VALUE"""),"")</f>
        <v/>
      </c>
    </row>
    <row r="23533" spans="2:4" ht="13">
      <c r="B23533" s="12" t="str">
        <f ca="1">IFERROR(__xludf.DUMMYFUNCTION("""COMPUTED_VALUE"""),"")</f>
        <v/>
      </c>
      <c r="C23533" s="12" t="str">
        <f ca="1">IFERROR(__xludf.DUMMYFUNCTION("""COMPUTED_VALUE"""),"")</f>
        <v/>
      </c>
      <c r="D23533" s="12" t="str">
        <f ca="1">IFERROR(__xludf.DUMMYFUNCTION("""COMPUTED_VALUE"""),"")</f>
        <v/>
      </c>
    </row>
    <row r="23534" spans="2:4" ht="13">
      <c r="B23534" s="12" t="str">
        <f ca="1">IFERROR(__xludf.DUMMYFUNCTION("""COMPUTED_VALUE"""),"")</f>
        <v/>
      </c>
      <c r="C23534" s="12" t="str">
        <f ca="1">IFERROR(__xludf.DUMMYFUNCTION("""COMPUTED_VALUE"""),"")</f>
        <v/>
      </c>
      <c r="D23534" s="12" t="str">
        <f ca="1">IFERROR(__xludf.DUMMYFUNCTION("""COMPUTED_VALUE"""),"")</f>
        <v/>
      </c>
    </row>
    <row r="23535" spans="2:4" ht="13">
      <c r="B23535" s="12" t="str">
        <f ca="1">IFERROR(__xludf.DUMMYFUNCTION("""COMPUTED_VALUE"""),"")</f>
        <v/>
      </c>
      <c r="C23535" s="12" t="str">
        <f ca="1">IFERROR(__xludf.DUMMYFUNCTION("""COMPUTED_VALUE"""),"")</f>
        <v/>
      </c>
      <c r="D23535" s="12" t="str">
        <f ca="1">IFERROR(__xludf.DUMMYFUNCTION("""COMPUTED_VALUE"""),"")</f>
        <v/>
      </c>
    </row>
    <row r="23536" spans="2:4" ht="13">
      <c r="B23536" s="12" t="str">
        <f ca="1">IFERROR(__xludf.DUMMYFUNCTION("""COMPUTED_VALUE"""),"")</f>
        <v/>
      </c>
      <c r="C23536" s="12" t="str">
        <f ca="1">IFERROR(__xludf.DUMMYFUNCTION("""COMPUTED_VALUE"""),"")</f>
        <v/>
      </c>
      <c r="D23536" s="12" t="str">
        <f ca="1">IFERROR(__xludf.DUMMYFUNCTION("""COMPUTED_VALUE"""),"")</f>
        <v/>
      </c>
    </row>
    <row r="23537" spans="2:4" ht="13">
      <c r="B23537" s="12" t="str">
        <f ca="1">IFERROR(__xludf.DUMMYFUNCTION("""COMPUTED_VALUE"""),"")</f>
        <v/>
      </c>
      <c r="C23537" s="12" t="str">
        <f ca="1">IFERROR(__xludf.DUMMYFUNCTION("""COMPUTED_VALUE"""),"")</f>
        <v/>
      </c>
      <c r="D23537" s="12" t="str">
        <f ca="1">IFERROR(__xludf.DUMMYFUNCTION("""COMPUTED_VALUE"""),"")</f>
        <v/>
      </c>
    </row>
    <row r="23538" spans="2:4" ht="13">
      <c r="B23538" s="12" t="str">
        <f ca="1">IFERROR(__xludf.DUMMYFUNCTION("""COMPUTED_VALUE"""),"")</f>
        <v/>
      </c>
      <c r="C23538" s="12" t="str">
        <f ca="1">IFERROR(__xludf.DUMMYFUNCTION("""COMPUTED_VALUE"""),"")</f>
        <v/>
      </c>
      <c r="D23538" s="12" t="str">
        <f ca="1">IFERROR(__xludf.DUMMYFUNCTION("""COMPUTED_VALUE"""),"")</f>
        <v/>
      </c>
    </row>
    <row r="23539" spans="2:4" ht="13">
      <c r="B23539" s="12" t="str">
        <f ca="1">IFERROR(__xludf.DUMMYFUNCTION("""COMPUTED_VALUE"""),"")</f>
        <v/>
      </c>
      <c r="C23539" s="12" t="str">
        <f ca="1">IFERROR(__xludf.DUMMYFUNCTION("""COMPUTED_VALUE"""),"")</f>
        <v/>
      </c>
      <c r="D23539" s="12" t="str">
        <f ca="1">IFERROR(__xludf.DUMMYFUNCTION("""COMPUTED_VALUE"""),"")</f>
        <v/>
      </c>
    </row>
    <row r="23540" spans="2:4" ht="13">
      <c r="B23540" s="12" t="str">
        <f ca="1">IFERROR(__xludf.DUMMYFUNCTION("""COMPUTED_VALUE"""),"")</f>
        <v/>
      </c>
      <c r="C23540" s="12" t="str">
        <f ca="1">IFERROR(__xludf.DUMMYFUNCTION("""COMPUTED_VALUE"""),"")</f>
        <v/>
      </c>
      <c r="D23540" s="12" t="str">
        <f ca="1">IFERROR(__xludf.DUMMYFUNCTION("""COMPUTED_VALUE"""),"")</f>
        <v/>
      </c>
    </row>
    <row r="23541" spans="2:4" ht="13">
      <c r="B23541" s="12" t="str">
        <f ca="1">IFERROR(__xludf.DUMMYFUNCTION("""COMPUTED_VALUE"""),"")</f>
        <v/>
      </c>
      <c r="C23541" s="12" t="str">
        <f ca="1">IFERROR(__xludf.DUMMYFUNCTION("""COMPUTED_VALUE"""),"")</f>
        <v/>
      </c>
      <c r="D23541" s="12" t="str">
        <f ca="1">IFERROR(__xludf.DUMMYFUNCTION("""COMPUTED_VALUE"""),"")</f>
        <v/>
      </c>
    </row>
    <row r="23542" spans="2:4" ht="13">
      <c r="B23542" s="12" t="str">
        <f ca="1">IFERROR(__xludf.DUMMYFUNCTION("""COMPUTED_VALUE"""),"")</f>
        <v/>
      </c>
      <c r="C23542" s="12" t="str">
        <f ca="1">IFERROR(__xludf.DUMMYFUNCTION("""COMPUTED_VALUE"""),"")</f>
        <v/>
      </c>
      <c r="D23542" s="12" t="str">
        <f ca="1">IFERROR(__xludf.DUMMYFUNCTION("""COMPUTED_VALUE"""),"")</f>
        <v/>
      </c>
    </row>
    <row r="23543" spans="2:4" ht="13">
      <c r="B23543" s="12" t="str">
        <f ca="1">IFERROR(__xludf.DUMMYFUNCTION("""COMPUTED_VALUE"""),"")</f>
        <v/>
      </c>
      <c r="C23543" s="12" t="str">
        <f ca="1">IFERROR(__xludf.DUMMYFUNCTION("""COMPUTED_VALUE"""),"")</f>
        <v/>
      </c>
      <c r="D23543" s="12" t="str">
        <f ca="1">IFERROR(__xludf.DUMMYFUNCTION("""COMPUTED_VALUE"""),"")</f>
        <v/>
      </c>
    </row>
    <row r="23544" spans="2:4" ht="13">
      <c r="B23544" s="12" t="str">
        <f ca="1">IFERROR(__xludf.DUMMYFUNCTION("""COMPUTED_VALUE"""),"")</f>
        <v/>
      </c>
      <c r="C23544" s="12" t="str">
        <f ca="1">IFERROR(__xludf.DUMMYFUNCTION("""COMPUTED_VALUE"""),"")</f>
        <v/>
      </c>
      <c r="D23544" s="12" t="str">
        <f ca="1">IFERROR(__xludf.DUMMYFUNCTION("""COMPUTED_VALUE"""),"")</f>
        <v/>
      </c>
    </row>
    <row r="23545" spans="2:4" ht="13">
      <c r="B23545" s="12" t="str">
        <f ca="1">IFERROR(__xludf.DUMMYFUNCTION("""COMPUTED_VALUE"""),"")</f>
        <v/>
      </c>
      <c r="C23545" s="12" t="str">
        <f ca="1">IFERROR(__xludf.DUMMYFUNCTION("""COMPUTED_VALUE"""),"")</f>
        <v/>
      </c>
      <c r="D23545" s="12" t="str">
        <f ca="1">IFERROR(__xludf.DUMMYFUNCTION("""COMPUTED_VALUE"""),"")</f>
        <v/>
      </c>
    </row>
    <row r="23546" spans="2:4" ht="13">
      <c r="B23546" s="12" t="str">
        <f ca="1">IFERROR(__xludf.DUMMYFUNCTION("""COMPUTED_VALUE"""),"")</f>
        <v/>
      </c>
      <c r="C23546" s="12" t="str">
        <f ca="1">IFERROR(__xludf.DUMMYFUNCTION("""COMPUTED_VALUE"""),"")</f>
        <v/>
      </c>
      <c r="D23546" s="12" t="str">
        <f ca="1">IFERROR(__xludf.DUMMYFUNCTION("""COMPUTED_VALUE"""),"")</f>
        <v/>
      </c>
    </row>
    <row r="23547" spans="2:4" ht="13">
      <c r="B23547" s="12" t="str">
        <f ca="1">IFERROR(__xludf.DUMMYFUNCTION("""COMPUTED_VALUE"""),"")</f>
        <v/>
      </c>
      <c r="C23547" s="12" t="str">
        <f ca="1">IFERROR(__xludf.DUMMYFUNCTION("""COMPUTED_VALUE"""),"")</f>
        <v/>
      </c>
      <c r="D23547" s="12" t="str">
        <f ca="1">IFERROR(__xludf.DUMMYFUNCTION("""COMPUTED_VALUE"""),"")</f>
        <v/>
      </c>
    </row>
    <row r="23548" spans="2:4" ht="13">
      <c r="B23548" s="12" t="str">
        <f ca="1">IFERROR(__xludf.DUMMYFUNCTION("""COMPUTED_VALUE"""),"")</f>
        <v/>
      </c>
      <c r="C23548" s="12" t="str">
        <f ca="1">IFERROR(__xludf.DUMMYFUNCTION("""COMPUTED_VALUE"""),"")</f>
        <v/>
      </c>
      <c r="D23548" s="12" t="str">
        <f ca="1">IFERROR(__xludf.DUMMYFUNCTION("""COMPUTED_VALUE"""),"")</f>
        <v/>
      </c>
    </row>
    <row r="23549" spans="2:4" ht="13">
      <c r="B23549" s="12" t="str">
        <f ca="1">IFERROR(__xludf.DUMMYFUNCTION("""COMPUTED_VALUE"""),"")</f>
        <v/>
      </c>
      <c r="C23549" s="12" t="str">
        <f ca="1">IFERROR(__xludf.DUMMYFUNCTION("""COMPUTED_VALUE"""),"")</f>
        <v/>
      </c>
      <c r="D23549" s="12" t="str">
        <f ca="1">IFERROR(__xludf.DUMMYFUNCTION("""COMPUTED_VALUE"""),"")</f>
        <v/>
      </c>
    </row>
    <row r="23550" spans="2:4" ht="13">
      <c r="B23550" s="12" t="str">
        <f ca="1">IFERROR(__xludf.DUMMYFUNCTION("""COMPUTED_VALUE"""),"")</f>
        <v/>
      </c>
      <c r="C23550" s="12" t="str">
        <f ca="1">IFERROR(__xludf.DUMMYFUNCTION("""COMPUTED_VALUE"""),"")</f>
        <v/>
      </c>
      <c r="D23550" s="12" t="str">
        <f ca="1">IFERROR(__xludf.DUMMYFUNCTION("""COMPUTED_VALUE"""),"")</f>
        <v/>
      </c>
    </row>
    <row r="23551" spans="2:4" ht="13">
      <c r="B23551" s="12" t="str">
        <f ca="1">IFERROR(__xludf.DUMMYFUNCTION("""COMPUTED_VALUE"""),"")</f>
        <v/>
      </c>
      <c r="C23551" s="12" t="str">
        <f ca="1">IFERROR(__xludf.DUMMYFUNCTION("""COMPUTED_VALUE"""),"")</f>
        <v/>
      </c>
      <c r="D23551" s="12" t="str">
        <f ca="1">IFERROR(__xludf.DUMMYFUNCTION("""COMPUTED_VALUE"""),"")</f>
        <v/>
      </c>
    </row>
    <row r="23552" spans="2:4" ht="13">
      <c r="B23552" s="12" t="str">
        <f ca="1">IFERROR(__xludf.DUMMYFUNCTION("""COMPUTED_VALUE"""),"")</f>
        <v/>
      </c>
      <c r="C23552" s="12" t="str">
        <f ca="1">IFERROR(__xludf.DUMMYFUNCTION("""COMPUTED_VALUE"""),"")</f>
        <v/>
      </c>
      <c r="D23552" s="12" t="str">
        <f ca="1">IFERROR(__xludf.DUMMYFUNCTION("""COMPUTED_VALUE"""),"")</f>
        <v/>
      </c>
    </row>
    <row r="23553" spans="2:4" ht="13">
      <c r="B23553" s="12" t="str">
        <f ca="1">IFERROR(__xludf.DUMMYFUNCTION("""COMPUTED_VALUE"""),"")</f>
        <v/>
      </c>
      <c r="C23553" s="12" t="str">
        <f ca="1">IFERROR(__xludf.DUMMYFUNCTION("""COMPUTED_VALUE"""),"")</f>
        <v/>
      </c>
      <c r="D23553" s="12" t="str">
        <f ca="1">IFERROR(__xludf.DUMMYFUNCTION("""COMPUTED_VALUE"""),"")</f>
        <v/>
      </c>
    </row>
    <row r="23554" spans="2:4" ht="13">
      <c r="B23554" s="12" t="str">
        <f ca="1">IFERROR(__xludf.DUMMYFUNCTION("""COMPUTED_VALUE"""),"")</f>
        <v/>
      </c>
      <c r="C23554" s="12" t="str">
        <f ca="1">IFERROR(__xludf.DUMMYFUNCTION("""COMPUTED_VALUE"""),"")</f>
        <v/>
      </c>
      <c r="D23554" s="12" t="str">
        <f ca="1">IFERROR(__xludf.DUMMYFUNCTION("""COMPUTED_VALUE"""),"")</f>
        <v/>
      </c>
    </row>
    <row r="23555" spans="2:4" ht="13">
      <c r="B23555" s="12" t="str">
        <f ca="1">IFERROR(__xludf.DUMMYFUNCTION("""COMPUTED_VALUE"""),"")</f>
        <v/>
      </c>
      <c r="C23555" s="12" t="str">
        <f ca="1">IFERROR(__xludf.DUMMYFUNCTION("""COMPUTED_VALUE"""),"")</f>
        <v/>
      </c>
      <c r="D23555" s="12" t="str">
        <f ca="1">IFERROR(__xludf.DUMMYFUNCTION("""COMPUTED_VALUE"""),"")</f>
        <v/>
      </c>
    </row>
    <row r="23556" spans="2:4" ht="13">
      <c r="B23556" s="12" t="str">
        <f ca="1">IFERROR(__xludf.DUMMYFUNCTION("""COMPUTED_VALUE"""),"")</f>
        <v/>
      </c>
      <c r="C23556" s="12" t="str">
        <f ca="1">IFERROR(__xludf.DUMMYFUNCTION("""COMPUTED_VALUE"""),"")</f>
        <v/>
      </c>
      <c r="D23556" s="12" t="str">
        <f ca="1">IFERROR(__xludf.DUMMYFUNCTION("""COMPUTED_VALUE"""),"")</f>
        <v/>
      </c>
    </row>
    <row r="23557" spans="2:4" ht="13">
      <c r="B23557" s="12" t="str">
        <f ca="1">IFERROR(__xludf.DUMMYFUNCTION("""COMPUTED_VALUE"""),"")</f>
        <v/>
      </c>
      <c r="C23557" s="12" t="str">
        <f ca="1">IFERROR(__xludf.DUMMYFUNCTION("""COMPUTED_VALUE"""),"")</f>
        <v/>
      </c>
      <c r="D23557" s="12" t="str">
        <f ca="1">IFERROR(__xludf.DUMMYFUNCTION("""COMPUTED_VALUE"""),"")</f>
        <v/>
      </c>
    </row>
    <row r="23558" spans="2:4" ht="13">
      <c r="B23558" s="12" t="str">
        <f ca="1">IFERROR(__xludf.DUMMYFUNCTION("""COMPUTED_VALUE"""),"")</f>
        <v/>
      </c>
      <c r="C23558" s="12" t="str">
        <f ca="1">IFERROR(__xludf.DUMMYFUNCTION("""COMPUTED_VALUE"""),"")</f>
        <v/>
      </c>
      <c r="D23558" s="12" t="str">
        <f ca="1">IFERROR(__xludf.DUMMYFUNCTION("""COMPUTED_VALUE"""),"")</f>
        <v/>
      </c>
    </row>
    <row r="23559" spans="2:4" ht="13">
      <c r="B23559" s="12" t="str">
        <f ca="1">IFERROR(__xludf.DUMMYFUNCTION("""COMPUTED_VALUE"""),"")</f>
        <v/>
      </c>
      <c r="C23559" s="12" t="str">
        <f ca="1">IFERROR(__xludf.DUMMYFUNCTION("""COMPUTED_VALUE"""),"")</f>
        <v/>
      </c>
      <c r="D23559" s="12" t="str">
        <f ca="1">IFERROR(__xludf.DUMMYFUNCTION("""COMPUTED_VALUE"""),"")</f>
        <v/>
      </c>
    </row>
    <row r="23560" spans="2:4" ht="13">
      <c r="B23560" s="12" t="str">
        <f ca="1">IFERROR(__xludf.DUMMYFUNCTION("""COMPUTED_VALUE"""),"")</f>
        <v/>
      </c>
      <c r="C23560" s="12" t="str">
        <f ca="1">IFERROR(__xludf.DUMMYFUNCTION("""COMPUTED_VALUE"""),"")</f>
        <v/>
      </c>
      <c r="D23560" s="12" t="str">
        <f ca="1">IFERROR(__xludf.DUMMYFUNCTION("""COMPUTED_VALUE"""),"")</f>
        <v/>
      </c>
    </row>
    <row r="23561" spans="2:4" ht="13">
      <c r="B23561" s="12" t="str">
        <f ca="1">IFERROR(__xludf.DUMMYFUNCTION("""COMPUTED_VALUE"""),"")</f>
        <v/>
      </c>
      <c r="C23561" s="12" t="str">
        <f ca="1">IFERROR(__xludf.DUMMYFUNCTION("""COMPUTED_VALUE"""),"")</f>
        <v/>
      </c>
      <c r="D23561" s="12" t="str">
        <f ca="1">IFERROR(__xludf.DUMMYFUNCTION("""COMPUTED_VALUE"""),"")</f>
        <v/>
      </c>
    </row>
    <row r="23562" spans="2:4" ht="13">
      <c r="B23562" s="12" t="str">
        <f ca="1">IFERROR(__xludf.DUMMYFUNCTION("""COMPUTED_VALUE"""),"")</f>
        <v/>
      </c>
      <c r="C23562" s="12" t="str">
        <f ca="1">IFERROR(__xludf.DUMMYFUNCTION("""COMPUTED_VALUE"""),"")</f>
        <v/>
      </c>
      <c r="D23562" s="12" t="str">
        <f ca="1">IFERROR(__xludf.DUMMYFUNCTION("""COMPUTED_VALUE"""),"")</f>
        <v/>
      </c>
    </row>
    <row r="23563" spans="2:4" ht="13">
      <c r="B23563" s="12" t="str">
        <f ca="1">IFERROR(__xludf.DUMMYFUNCTION("""COMPUTED_VALUE"""),"")</f>
        <v/>
      </c>
      <c r="C23563" s="12" t="str">
        <f ca="1">IFERROR(__xludf.DUMMYFUNCTION("""COMPUTED_VALUE"""),"")</f>
        <v/>
      </c>
      <c r="D23563" s="12" t="str">
        <f ca="1">IFERROR(__xludf.DUMMYFUNCTION("""COMPUTED_VALUE"""),"")</f>
        <v/>
      </c>
    </row>
    <row r="23564" spans="2:4" ht="13">
      <c r="B23564" s="12" t="str">
        <f ca="1">IFERROR(__xludf.DUMMYFUNCTION("""COMPUTED_VALUE"""),"")</f>
        <v/>
      </c>
      <c r="C23564" s="12" t="str">
        <f ca="1">IFERROR(__xludf.DUMMYFUNCTION("""COMPUTED_VALUE"""),"")</f>
        <v/>
      </c>
      <c r="D23564" s="12" t="str">
        <f ca="1">IFERROR(__xludf.DUMMYFUNCTION("""COMPUTED_VALUE"""),"")</f>
        <v/>
      </c>
    </row>
    <row r="23565" spans="2:4" ht="13">
      <c r="B23565" s="12" t="str">
        <f ca="1">IFERROR(__xludf.DUMMYFUNCTION("""COMPUTED_VALUE"""),"")</f>
        <v/>
      </c>
      <c r="C23565" s="12" t="str">
        <f ca="1">IFERROR(__xludf.DUMMYFUNCTION("""COMPUTED_VALUE"""),"")</f>
        <v/>
      </c>
      <c r="D23565" s="12" t="str">
        <f ca="1">IFERROR(__xludf.DUMMYFUNCTION("""COMPUTED_VALUE"""),"")</f>
        <v/>
      </c>
    </row>
    <row r="23566" spans="2:4" ht="13">
      <c r="B23566" s="12" t="str">
        <f ca="1">IFERROR(__xludf.DUMMYFUNCTION("""COMPUTED_VALUE"""),"")</f>
        <v/>
      </c>
      <c r="C23566" s="12" t="str">
        <f ca="1">IFERROR(__xludf.DUMMYFUNCTION("""COMPUTED_VALUE"""),"")</f>
        <v/>
      </c>
      <c r="D23566" s="12" t="str">
        <f ca="1">IFERROR(__xludf.DUMMYFUNCTION("""COMPUTED_VALUE"""),"")</f>
        <v/>
      </c>
    </row>
    <row r="23567" spans="2:4" ht="13">
      <c r="B23567" s="12" t="str">
        <f ca="1">IFERROR(__xludf.DUMMYFUNCTION("""COMPUTED_VALUE"""),"")</f>
        <v/>
      </c>
      <c r="C23567" s="12" t="str">
        <f ca="1">IFERROR(__xludf.DUMMYFUNCTION("""COMPUTED_VALUE"""),"")</f>
        <v/>
      </c>
      <c r="D23567" s="12" t="str">
        <f ca="1">IFERROR(__xludf.DUMMYFUNCTION("""COMPUTED_VALUE"""),"")</f>
        <v/>
      </c>
    </row>
    <row r="23568" spans="2:4" ht="13">
      <c r="B23568" s="12" t="str">
        <f ca="1">IFERROR(__xludf.DUMMYFUNCTION("""COMPUTED_VALUE"""),"")</f>
        <v/>
      </c>
      <c r="C23568" s="12" t="str">
        <f ca="1">IFERROR(__xludf.DUMMYFUNCTION("""COMPUTED_VALUE"""),"")</f>
        <v/>
      </c>
      <c r="D23568" s="12" t="str">
        <f ca="1">IFERROR(__xludf.DUMMYFUNCTION("""COMPUTED_VALUE"""),"")</f>
        <v/>
      </c>
    </row>
    <row r="23569" spans="2:4" ht="13">
      <c r="B23569" s="12" t="str">
        <f ca="1">IFERROR(__xludf.DUMMYFUNCTION("""COMPUTED_VALUE"""),"")</f>
        <v/>
      </c>
      <c r="C23569" s="12" t="str">
        <f ca="1">IFERROR(__xludf.DUMMYFUNCTION("""COMPUTED_VALUE"""),"")</f>
        <v/>
      </c>
      <c r="D23569" s="12" t="str">
        <f ca="1">IFERROR(__xludf.DUMMYFUNCTION("""COMPUTED_VALUE"""),"")</f>
        <v/>
      </c>
    </row>
    <row r="23570" spans="2:4" ht="13">
      <c r="B23570" s="12" t="str">
        <f ca="1">IFERROR(__xludf.DUMMYFUNCTION("""COMPUTED_VALUE"""),"")</f>
        <v/>
      </c>
      <c r="C23570" s="12" t="str">
        <f ca="1">IFERROR(__xludf.DUMMYFUNCTION("""COMPUTED_VALUE"""),"")</f>
        <v/>
      </c>
      <c r="D23570" s="12" t="str">
        <f ca="1">IFERROR(__xludf.DUMMYFUNCTION("""COMPUTED_VALUE"""),"")</f>
        <v/>
      </c>
    </row>
    <row r="23571" spans="2:4" ht="13">
      <c r="B23571" s="12" t="str">
        <f ca="1">IFERROR(__xludf.DUMMYFUNCTION("""COMPUTED_VALUE"""),"")</f>
        <v/>
      </c>
      <c r="C23571" s="12" t="str">
        <f ca="1">IFERROR(__xludf.DUMMYFUNCTION("""COMPUTED_VALUE"""),"")</f>
        <v/>
      </c>
      <c r="D23571" s="12" t="str">
        <f ca="1">IFERROR(__xludf.DUMMYFUNCTION("""COMPUTED_VALUE"""),"")</f>
        <v/>
      </c>
    </row>
    <row r="23572" spans="2:4" ht="13">
      <c r="B23572" s="12" t="str">
        <f ca="1">IFERROR(__xludf.DUMMYFUNCTION("""COMPUTED_VALUE"""),"")</f>
        <v/>
      </c>
      <c r="C23572" s="12" t="str">
        <f ca="1">IFERROR(__xludf.DUMMYFUNCTION("""COMPUTED_VALUE"""),"")</f>
        <v/>
      </c>
      <c r="D23572" s="12" t="str">
        <f ca="1">IFERROR(__xludf.DUMMYFUNCTION("""COMPUTED_VALUE"""),"")</f>
        <v/>
      </c>
    </row>
    <row r="23573" spans="2:4" ht="13">
      <c r="B23573" s="12" t="str">
        <f ca="1">IFERROR(__xludf.DUMMYFUNCTION("""COMPUTED_VALUE"""),"")</f>
        <v/>
      </c>
      <c r="C23573" s="12" t="str">
        <f ca="1">IFERROR(__xludf.DUMMYFUNCTION("""COMPUTED_VALUE"""),"")</f>
        <v/>
      </c>
      <c r="D23573" s="12" t="str">
        <f ca="1">IFERROR(__xludf.DUMMYFUNCTION("""COMPUTED_VALUE"""),"")</f>
        <v/>
      </c>
    </row>
    <row r="23574" spans="2:4" ht="13">
      <c r="B23574" s="12" t="str">
        <f ca="1">IFERROR(__xludf.DUMMYFUNCTION("""COMPUTED_VALUE"""),"")</f>
        <v/>
      </c>
      <c r="C23574" s="12" t="str">
        <f ca="1">IFERROR(__xludf.DUMMYFUNCTION("""COMPUTED_VALUE"""),"")</f>
        <v/>
      </c>
      <c r="D23574" s="12" t="str">
        <f ca="1">IFERROR(__xludf.DUMMYFUNCTION("""COMPUTED_VALUE"""),"")</f>
        <v/>
      </c>
    </row>
    <row r="23575" spans="2:4" ht="13">
      <c r="B23575" s="12" t="str">
        <f ca="1">IFERROR(__xludf.DUMMYFUNCTION("""COMPUTED_VALUE"""),"")</f>
        <v/>
      </c>
      <c r="C23575" s="12" t="str">
        <f ca="1">IFERROR(__xludf.DUMMYFUNCTION("""COMPUTED_VALUE"""),"")</f>
        <v/>
      </c>
      <c r="D23575" s="12" t="str">
        <f ca="1">IFERROR(__xludf.DUMMYFUNCTION("""COMPUTED_VALUE"""),"")</f>
        <v/>
      </c>
    </row>
    <row r="23576" spans="2:4" ht="13">
      <c r="B23576" s="12" t="str">
        <f ca="1">IFERROR(__xludf.DUMMYFUNCTION("""COMPUTED_VALUE"""),"")</f>
        <v/>
      </c>
      <c r="C23576" s="12" t="str">
        <f ca="1">IFERROR(__xludf.DUMMYFUNCTION("""COMPUTED_VALUE"""),"")</f>
        <v/>
      </c>
      <c r="D23576" s="12" t="str">
        <f ca="1">IFERROR(__xludf.DUMMYFUNCTION("""COMPUTED_VALUE"""),"")</f>
        <v/>
      </c>
    </row>
    <row r="23577" spans="2:4" ht="13">
      <c r="B23577" s="12" t="str">
        <f ca="1">IFERROR(__xludf.DUMMYFUNCTION("""COMPUTED_VALUE"""),"")</f>
        <v/>
      </c>
      <c r="C23577" s="12" t="str">
        <f ca="1">IFERROR(__xludf.DUMMYFUNCTION("""COMPUTED_VALUE"""),"")</f>
        <v/>
      </c>
      <c r="D23577" s="12" t="str">
        <f ca="1">IFERROR(__xludf.DUMMYFUNCTION("""COMPUTED_VALUE"""),"")</f>
        <v/>
      </c>
    </row>
    <row r="23578" spans="2:4" ht="13">
      <c r="B23578" s="12" t="str">
        <f ca="1">IFERROR(__xludf.DUMMYFUNCTION("""COMPUTED_VALUE"""),"")</f>
        <v/>
      </c>
      <c r="C23578" s="12" t="str">
        <f ca="1">IFERROR(__xludf.DUMMYFUNCTION("""COMPUTED_VALUE"""),"")</f>
        <v/>
      </c>
      <c r="D23578" s="12" t="str">
        <f ca="1">IFERROR(__xludf.DUMMYFUNCTION("""COMPUTED_VALUE"""),"")</f>
        <v/>
      </c>
    </row>
    <row r="23579" spans="2:4" ht="13">
      <c r="B23579" s="12" t="str">
        <f ca="1">IFERROR(__xludf.DUMMYFUNCTION("""COMPUTED_VALUE"""),"")</f>
        <v/>
      </c>
      <c r="C23579" s="12" t="str">
        <f ca="1">IFERROR(__xludf.DUMMYFUNCTION("""COMPUTED_VALUE"""),"")</f>
        <v/>
      </c>
      <c r="D23579" s="12" t="str">
        <f ca="1">IFERROR(__xludf.DUMMYFUNCTION("""COMPUTED_VALUE"""),"")</f>
        <v/>
      </c>
    </row>
    <row r="23580" spans="2:4" ht="13">
      <c r="B23580" s="12" t="str">
        <f ca="1">IFERROR(__xludf.DUMMYFUNCTION("""COMPUTED_VALUE"""),"")</f>
        <v/>
      </c>
      <c r="C23580" s="12" t="str">
        <f ca="1">IFERROR(__xludf.DUMMYFUNCTION("""COMPUTED_VALUE"""),"")</f>
        <v/>
      </c>
      <c r="D23580" s="12" t="str">
        <f ca="1">IFERROR(__xludf.DUMMYFUNCTION("""COMPUTED_VALUE"""),"")</f>
        <v/>
      </c>
    </row>
    <row r="23581" spans="2:4" ht="13">
      <c r="B23581" s="12" t="str">
        <f ca="1">IFERROR(__xludf.DUMMYFUNCTION("""COMPUTED_VALUE"""),"")</f>
        <v/>
      </c>
      <c r="C23581" s="12" t="str">
        <f ca="1">IFERROR(__xludf.DUMMYFUNCTION("""COMPUTED_VALUE"""),"")</f>
        <v/>
      </c>
      <c r="D23581" s="12" t="str">
        <f ca="1">IFERROR(__xludf.DUMMYFUNCTION("""COMPUTED_VALUE"""),"")</f>
        <v/>
      </c>
    </row>
    <row r="23582" spans="2:4" ht="13">
      <c r="B23582" s="12" t="str">
        <f ca="1">IFERROR(__xludf.DUMMYFUNCTION("""COMPUTED_VALUE"""),"")</f>
        <v/>
      </c>
      <c r="C23582" s="12" t="str">
        <f ca="1">IFERROR(__xludf.DUMMYFUNCTION("""COMPUTED_VALUE"""),"")</f>
        <v/>
      </c>
      <c r="D23582" s="12" t="str">
        <f ca="1">IFERROR(__xludf.DUMMYFUNCTION("""COMPUTED_VALUE"""),"")</f>
        <v/>
      </c>
    </row>
    <row r="23583" spans="2:4" ht="13">
      <c r="B23583" s="12" t="str">
        <f ca="1">IFERROR(__xludf.DUMMYFUNCTION("""COMPUTED_VALUE"""),"")</f>
        <v/>
      </c>
      <c r="C23583" s="12" t="str">
        <f ca="1">IFERROR(__xludf.DUMMYFUNCTION("""COMPUTED_VALUE"""),"")</f>
        <v/>
      </c>
      <c r="D23583" s="12" t="str">
        <f ca="1">IFERROR(__xludf.DUMMYFUNCTION("""COMPUTED_VALUE"""),"")</f>
        <v/>
      </c>
    </row>
    <row r="23584" spans="2:4" ht="13">
      <c r="B23584" s="12" t="str">
        <f ca="1">IFERROR(__xludf.DUMMYFUNCTION("""COMPUTED_VALUE"""),"")</f>
        <v/>
      </c>
      <c r="C23584" s="12" t="str">
        <f ca="1">IFERROR(__xludf.DUMMYFUNCTION("""COMPUTED_VALUE"""),"")</f>
        <v/>
      </c>
      <c r="D23584" s="12" t="str">
        <f ca="1">IFERROR(__xludf.DUMMYFUNCTION("""COMPUTED_VALUE"""),"")</f>
        <v/>
      </c>
    </row>
    <row r="23585" spans="2:4" ht="13">
      <c r="B23585" s="12" t="str">
        <f ca="1">IFERROR(__xludf.DUMMYFUNCTION("""COMPUTED_VALUE"""),"")</f>
        <v/>
      </c>
      <c r="C23585" s="12" t="str">
        <f ca="1">IFERROR(__xludf.DUMMYFUNCTION("""COMPUTED_VALUE"""),"")</f>
        <v/>
      </c>
      <c r="D23585" s="12" t="str">
        <f ca="1">IFERROR(__xludf.DUMMYFUNCTION("""COMPUTED_VALUE"""),"")</f>
        <v/>
      </c>
    </row>
    <row r="23586" spans="2:4" ht="13">
      <c r="B23586" s="12" t="str">
        <f ca="1">IFERROR(__xludf.DUMMYFUNCTION("""COMPUTED_VALUE"""),"")</f>
        <v/>
      </c>
      <c r="C23586" s="12" t="str">
        <f ca="1">IFERROR(__xludf.DUMMYFUNCTION("""COMPUTED_VALUE"""),"")</f>
        <v/>
      </c>
      <c r="D23586" s="12" t="str">
        <f ca="1">IFERROR(__xludf.DUMMYFUNCTION("""COMPUTED_VALUE"""),"")</f>
        <v/>
      </c>
    </row>
    <row r="23587" spans="2:4" ht="13">
      <c r="B23587" s="12" t="str">
        <f ca="1">IFERROR(__xludf.DUMMYFUNCTION("""COMPUTED_VALUE"""),"")</f>
        <v/>
      </c>
      <c r="C23587" s="12" t="str">
        <f ca="1">IFERROR(__xludf.DUMMYFUNCTION("""COMPUTED_VALUE"""),"")</f>
        <v/>
      </c>
      <c r="D23587" s="12" t="str">
        <f ca="1">IFERROR(__xludf.DUMMYFUNCTION("""COMPUTED_VALUE"""),"")</f>
        <v/>
      </c>
    </row>
    <row r="23588" spans="2:4" ht="13">
      <c r="B23588" s="12" t="str">
        <f ca="1">IFERROR(__xludf.DUMMYFUNCTION("""COMPUTED_VALUE"""),"")</f>
        <v/>
      </c>
      <c r="C23588" s="12" t="str">
        <f ca="1">IFERROR(__xludf.DUMMYFUNCTION("""COMPUTED_VALUE"""),"")</f>
        <v/>
      </c>
      <c r="D23588" s="12" t="str">
        <f ca="1">IFERROR(__xludf.DUMMYFUNCTION("""COMPUTED_VALUE"""),"")</f>
        <v/>
      </c>
    </row>
    <row r="23589" spans="2:4" ht="13">
      <c r="B23589" s="12" t="str">
        <f ca="1">IFERROR(__xludf.DUMMYFUNCTION("""COMPUTED_VALUE"""),"")</f>
        <v/>
      </c>
      <c r="C23589" s="12" t="str">
        <f ca="1">IFERROR(__xludf.DUMMYFUNCTION("""COMPUTED_VALUE"""),"")</f>
        <v/>
      </c>
      <c r="D23589" s="12" t="str">
        <f ca="1">IFERROR(__xludf.DUMMYFUNCTION("""COMPUTED_VALUE"""),"")</f>
        <v/>
      </c>
    </row>
    <row r="23590" spans="2:4" ht="13">
      <c r="B23590" s="12" t="str">
        <f ca="1">IFERROR(__xludf.DUMMYFUNCTION("""COMPUTED_VALUE"""),"")</f>
        <v/>
      </c>
      <c r="C23590" s="12" t="str">
        <f ca="1">IFERROR(__xludf.DUMMYFUNCTION("""COMPUTED_VALUE"""),"")</f>
        <v/>
      </c>
      <c r="D23590" s="12" t="str">
        <f ca="1">IFERROR(__xludf.DUMMYFUNCTION("""COMPUTED_VALUE"""),"")</f>
        <v/>
      </c>
    </row>
    <row r="23591" spans="2:4" ht="13">
      <c r="B23591" s="12" t="str">
        <f ca="1">IFERROR(__xludf.DUMMYFUNCTION("""COMPUTED_VALUE"""),"")</f>
        <v/>
      </c>
      <c r="C23591" s="12" t="str">
        <f ca="1">IFERROR(__xludf.DUMMYFUNCTION("""COMPUTED_VALUE"""),"")</f>
        <v/>
      </c>
      <c r="D23591" s="12" t="str">
        <f ca="1">IFERROR(__xludf.DUMMYFUNCTION("""COMPUTED_VALUE"""),"")</f>
        <v/>
      </c>
    </row>
    <row r="23592" spans="2:4" ht="13">
      <c r="B23592" s="12" t="str">
        <f ca="1">IFERROR(__xludf.DUMMYFUNCTION("""COMPUTED_VALUE"""),"")</f>
        <v/>
      </c>
      <c r="C23592" s="12" t="str">
        <f ca="1">IFERROR(__xludf.DUMMYFUNCTION("""COMPUTED_VALUE"""),"")</f>
        <v/>
      </c>
      <c r="D23592" s="12" t="str">
        <f ca="1">IFERROR(__xludf.DUMMYFUNCTION("""COMPUTED_VALUE"""),"")</f>
        <v/>
      </c>
    </row>
    <row r="23593" spans="2:4" ht="13">
      <c r="B23593" s="12" t="str">
        <f ca="1">IFERROR(__xludf.DUMMYFUNCTION("""COMPUTED_VALUE"""),"")</f>
        <v/>
      </c>
      <c r="C23593" s="12" t="str">
        <f ca="1">IFERROR(__xludf.DUMMYFUNCTION("""COMPUTED_VALUE"""),"")</f>
        <v/>
      </c>
      <c r="D23593" s="12" t="str">
        <f ca="1">IFERROR(__xludf.DUMMYFUNCTION("""COMPUTED_VALUE"""),"")</f>
        <v/>
      </c>
    </row>
    <row r="23594" spans="2:4" ht="13">
      <c r="B23594" s="12" t="str">
        <f ca="1">IFERROR(__xludf.DUMMYFUNCTION("""COMPUTED_VALUE"""),"")</f>
        <v/>
      </c>
      <c r="C23594" s="12" t="str">
        <f ca="1">IFERROR(__xludf.DUMMYFUNCTION("""COMPUTED_VALUE"""),"")</f>
        <v/>
      </c>
      <c r="D23594" s="12" t="str">
        <f ca="1">IFERROR(__xludf.DUMMYFUNCTION("""COMPUTED_VALUE"""),"")</f>
        <v/>
      </c>
    </row>
    <row r="23595" spans="2:4" ht="13">
      <c r="B23595" s="12" t="str">
        <f ca="1">IFERROR(__xludf.DUMMYFUNCTION("""COMPUTED_VALUE"""),"")</f>
        <v/>
      </c>
      <c r="C23595" s="12" t="str">
        <f ca="1">IFERROR(__xludf.DUMMYFUNCTION("""COMPUTED_VALUE"""),"")</f>
        <v/>
      </c>
      <c r="D23595" s="12" t="str">
        <f ca="1">IFERROR(__xludf.DUMMYFUNCTION("""COMPUTED_VALUE"""),"")</f>
        <v/>
      </c>
    </row>
    <row r="23596" spans="2:4" ht="13">
      <c r="B23596" s="12" t="str">
        <f ca="1">IFERROR(__xludf.DUMMYFUNCTION("""COMPUTED_VALUE"""),"")</f>
        <v/>
      </c>
      <c r="C23596" s="12" t="str">
        <f ca="1">IFERROR(__xludf.DUMMYFUNCTION("""COMPUTED_VALUE"""),"")</f>
        <v/>
      </c>
      <c r="D23596" s="12" t="str">
        <f ca="1">IFERROR(__xludf.DUMMYFUNCTION("""COMPUTED_VALUE"""),"")</f>
        <v/>
      </c>
    </row>
    <row r="23597" spans="2:4" ht="13">
      <c r="B23597" s="12" t="str">
        <f ca="1">IFERROR(__xludf.DUMMYFUNCTION("""COMPUTED_VALUE"""),"")</f>
        <v/>
      </c>
      <c r="C23597" s="12" t="str">
        <f ca="1">IFERROR(__xludf.DUMMYFUNCTION("""COMPUTED_VALUE"""),"")</f>
        <v/>
      </c>
      <c r="D23597" s="12" t="str">
        <f ca="1">IFERROR(__xludf.DUMMYFUNCTION("""COMPUTED_VALUE"""),"")</f>
        <v/>
      </c>
    </row>
    <row r="23598" spans="2:4" ht="13">
      <c r="B23598" s="12" t="str">
        <f ca="1">IFERROR(__xludf.DUMMYFUNCTION("""COMPUTED_VALUE"""),"")</f>
        <v/>
      </c>
      <c r="C23598" s="12" t="str">
        <f ca="1">IFERROR(__xludf.DUMMYFUNCTION("""COMPUTED_VALUE"""),"")</f>
        <v/>
      </c>
      <c r="D23598" s="12" t="str">
        <f ca="1">IFERROR(__xludf.DUMMYFUNCTION("""COMPUTED_VALUE"""),"")</f>
        <v/>
      </c>
    </row>
    <row r="23599" spans="2:4" ht="13">
      <c r="B23599" s="12" t="str">
        <f ca="1">IFERROR(__xludf.DUMMYFUNCTION("""COMPUTED_VALUE"""),"")</f>
        <v/>
      </c>
      <c r="C23599" s="12" t="str">
        <f ca="1">IFERROR(__xludf.DUMMYFUNCTION("""COMPUTED_VALUE"""),"")</f>
        <v/>
      </c>
      <c r="D23599" s="12" t="str">
        <f ca="1">IFERROR(__xludf.DUMMYFUNCTION("""COMPUTED_VALUE"""),"")</f>
        <v/>
      </c>
    </row>
    <row r="23600" spans="2:4" ht="13">
      <c r="B23600" s="12" t="str">
        <f ca="1">IFERROR(__xludf.DUMMYFUNCTION("""COMPUTED_VALUE"""),"")</f>
        <v/>
      </c>
      <c r="C23600" s="12" t="str">
        <f ca="1">IFERROR(__xludf.DUMMYFUNCTION("""COMPUTED_VALUE"""),"")</f>
        <v/>
      </c>
      <c r="D23600" s="12" t="str">
        <f ca="1">IFERROR(__xludf.DUMMYFUNCTION("""COMPUTED_VALUE"""),"")</f>
        <v/>
      </c>
    </row>
    <row r="23601" spans="2:4" ht="13">
      <c r="B23601" s="12" t="str">
        <f ca="1">IFERROR(__xludf.DUMMYFUNCTION("""COMPUTED_VALUE"""),"")</f>
        <v/>
      </c>
      <c r="C23601" s="12" t="str">
        <f ca="1">IFERROR(__xludf.DUMMYFUNCTION("""COMPUTED_VALUE"""),"")</f>
        <v/>
      </c>
      <c r="D23601" s="12" t="str">
        <f ca="1">IFERROR(__xludf.DUMMYFUNCTION("""COMPUTED_VALUE"""),"")</f>
        <v/>
      </c>
    </row>
    <row r="23602" spans="2:4" ht="13">
      <c r="B23602" s="12" t="str">
        <f ca="1">IFERROR(__xludf.DUMMYFUNCTION("""COMPUTED_VALUE"""),"")</f>
        <v/>
      </c>
      <c r="C23602" s="12" t="str">
        <f ca="1">IFERROR(__xludf.DUMMYFUNCTION("""COMPUTED_VALUE"""),"")</f>
        <v/>
      </c>
      <c r="D23602" s="12" t="str">
        <f ca="1">IFERROR(__xludf.DUMMYFUNCTION("""COMPUTED_VALUE"""),"")</f>
        <v/>
      </c>
    </row>
    <row r="23603" spans="2:4" ht="13">
      <c r="B23603" s="12" t="str">
        <f ca="1">IFERROR(__xludf.DUMMYFUNCTION("""COMPUTED_VALUE"""),"")</f>
        <v/>
      </c>
      <c r="C23603" s="12" t="str">
        <f ca="1">IFERROR(__xludf.DUMMYFUNCTION("""COMPUTED_VALUE"""),"")</f>
        <v/>
      </c>
      <c r="D23603" s="12" t="str">
        <f ca="1">IFERROR(__xludf.DUMMYFUNCTION("""COMPUTED_VALUE"""),"")</f>
        <v/>
      </c>
    </row>
    <row r="23604" spans="2:4" ht="13">
      <c r="B23604" s="12" t="str">
        <f ca="1">IFERROR(__xludf.DUMMYFUNCTION("""COMPUTED_VALUE"""),"")</f>
        <v/>
      </c>
      <c r="C23604" s="12" t="str">
        <f ca="1">IFERROR(__xludf.DUMMYFUNCTION("""COMPUTED_VALUE"""),"")</f>
        <v/>
      </c>
      <c r="D23604" s="12" t="str">
        <f ca="1">IFERROR(__xludf.DUMMYFUNCTION("""COMPUTED_VALUE"""),"")</f>
        <v/>
      </c>
    </row>
    <row r="23605" spans="2:4" ht="13">
      <c r="B23605" s="12" t="str">
        <f ca="1">IFERROR(__xludf.DUMMYFUNCTION("""COMPUTED_VALUE"""),"")</f>
        <v/>
      </c>
      <c r="C23605" s="12" t="str">
        <f ca="1">IFERROR(__xludf.DUMMYFUNCTION("""COMPUTED_VALUE"""),"")</f>
        <v/>
      </c>
      <c r="D23605" s="12" t="str">
        <f ca="1">IFERROR(__xludf.DUMMYFUNCTION("""COMPUTED_VALUE"""),"")</f>
        <v/>
      </c>
    </row>
    <row r="23606" spans="2:4" ht="13">
      <c r="B23606" s="12" t="str">
        <f ca="1">IFERROR(__xludf.DUMMYFUNCTION("""COMPUTED_VALUE"""),"")</f>
        <v/>
      </c>
      <c r="C23606" s="12" t="str">
        <f ca="1">IFERROR(__xludf.DUMMYFUNCTION("""COMPUTED_VALUE"""),"")</f>
        <v/>
      </c>
      <c r="D23606" s="12" t="str">
        <f ca="1">IFERROR(__xludf.DUMMYFUNCTION("""COMPUTED_VALUE"""),"")</f>
        <v/>
      </c>
    </row>
    <row r="23607" spans="2:4" ht="13">
      <c r="B23607" s="12" t="str">
        <f ca="1">IFERROR(__xludf.DUMMYFUNCTION("""COMPUTED_VALUE"""),"")</f>
        <v/>
      </c>
      <c r="C23607" s="12" t="str">
        <f ca="1">IFERROR(__xludf.DUMMYFUNCTION("""COMPUTED_VALUE"""),"")</f>
        <v/>
      </c>
      <c r="D23607" s="12" t="str">
        <f ca="1">IFERROR(__xludf.DUMMYFUNCTION("""COMPUTED_VALUE"""),"")</f>
        <v/>
      </c>
    </row>
    <row r="23608" spans="2:4" ht="13">
      <c r="B23608" s="12" t="str">
        <f ca="1">IFERROR(__xludf.DUMMYFUNCTION("""COMPUTED_VALUE"""),"")</f>
        <v/>
      </c>
      <c r="C23608" s="12" t="str">
        <f ca="1">IFERROR(__xludf.DUMMYFUNCTION("""COMPUTED_VALUE"""),"")</f>
        <v/>
      </c>
      <c r="D23608" s="12" t="str">
        <f ca="1">IFERROR(__xludf.DUMMYFUNCTION("""COMPUTED_VALUE"""),"")</f>
        <v/>
      </c>
    </row>
    <row r="23609" spans="2:4" ht="13">
      <c r="B23609" s="12" t="str">
        <f ca="1">IFERROR(__xludf.DUMMYFUNCTION("""COMPUTED_VALUE"""),"")</f>
        <v/>
      </c>
      <c r="C23609" s="12" t="str">
        <f ca="1">IFERROR(__xludf.DUMMYFUNCTION("""COMPUTED_VALUE"""),"")</f>
        <v/>
      </c>
      <c r="D23609" s="12" t="str">
        <f ca="1">IFERROR(__xludf.DUMMYFUNCTION("""COMPUTED_VALUE"""),"")</f>
        <v/>
      </c>
    </row>
    <row r="23610" spans="2:4" ht="13">
      <c r="B23610" s="12" t="str">
        <f ca="1">IFERROR(__xludf.DUMMYFUNCTION("""COMPUTED_VALUE"""),"")</f>
        <v/>
      </c>
      <c r="C23610" s="12" t="str">
        <f ca="1">IFERROR(__xludf.DUMMYFUNCTION("""COMPUTED_VALUE"""),"")</f>
        <v/>
      </c>
      <c r="D23610" s="12" t="str">
        <f ca="1">IFERROR(__xludf.DUMMYFUNCTION("""COMPUTED_VALUE"""),"")</f>
        <v/>
      </c>
    </row>
    <row r="23611" spans="2:4" ht="13">
      <c r="B23611" s="12" t="str">
        <f ca="1">IFERROR(__xludf.DUMMYFUNCTION("""COMPUTED_VALUE"""),"")</f>
        <v/>
      </c>
      <c r="C23611" s="12" t="str">
        <f ca="1">IFERROR(__xludf.DUMMYFUNCTION("""COMPUTED_VALUE"""),"")</f>
        <v/>
      </c>
      <c r="D23611" s="12" t="str">
        <f ca="1">IFERROR(__xludf.DUMMYFUNCTION("""COMPUTED_VALUE"""),"")</f>
        <v/>
      </c>
    </row>
    <row r="23612" spans="2:4" ht="13">
      <c r="B23612" s="12" t="str">
        <f ca="1">IFERROR(__xludf.DUMMYFUNCTION("""COMPUTED_VALUE"""),"")</f>
        <v/>
      </c>
      <c r="C23612" s="12" t="str">
        <f ca="1">IFERROR(__xludf.DUMMYFUNCTION("""COMPUTED_VALUE"""),"")</f>
        <v/>
      </c>
      <c r="D23612" s="12" t="str">
        <f ca="1">IFERROR(__xludf.DUMMYFUNCTION("""COMPUTED_VALUE"""),"")</f>
        <v/>
      </c>
    </row>
    <row r="23613" spans="2:4" ht="13">
      <c r="B23613" s="12" t="str">
        <f ca="1">IFERROR(__xludf.DUMMYFUNCTION("""COMPUTED_VALUE"""),"")</f>
        <v/>
      </c>
      <c r="C23613" s="12" t="str">
        <f ca="1">IFERROR(__xludf.DUMMYFUNCTION("""COMPUTED_VALUE"""),"")</f>
        <v/>
      </c>
      <c r="D23613" s="12" t="str">
        <f ca="1">IFERROR(__xludf.DUMMYFUNCTION("""COMPUTED_VALUE"""),"")</f>
        <v/>
      </c>
    </row>
    <row r="23614" spans="2:4" ht="13">
      <c r="B23614" s="12" t="str">
        <f ca="1">IFERROR(__xludf.DUMMYFUNCTION("""COMPUTED_VALUE"""),"")</f>
        <v/>
      </c>
      <c r="C23614" s="12" t="str">
        <f ca="1">IFERROR(__xludf.DUMMYFUNCTION("""COMPUTED_VALUE"""),"")</f>
        <v/>
      </c>
      <c r="D23614" s="12" t="str">
        <f ca="1">IFERROR(__xludf.DUMMYFUNCTION("""COMPUTED_VALUE"""),"")</f>
        <v/>
      </c>
    </row>
    <row r="23615" spans="2:4" ht="13">
      <c r="B23615" s="12" t="str">
        <f ca="1">IFERROR(__xludf.DUMMYFUNCTION("""COMPUTED_VALUE"""),"")</f>
        <v/>
      </c>
      <c r="C23615" s="12" t="str">
        <f ca="1">IFERROR(__xludf.DUMMYFUNCTION("""COMPUTED_VALUE"""),"")</f>
        <v/>
      </c>
      <c r="D23615" s="12" t="str">
        <f ca="1">IFERROR(__xludf.DUMMYFUNCTION("""COMPUTED_VALUE"""),"")</f>
        <v/>
      </c>
    </row>
    <row r="23616" spans="2:4" ht="13">
      <c r="B23616" s="12" t="str">
        <f ca="1">IFERROR(__xludf.DUMMYFUNCTION("""COMPUTED_VALUE"""),"")</f>
        <v/>
      </c>
      <c r="C23616" s="12" t="str">
        <f ca="1">IFERROR(__xludf.DUMMYFUNCTION("""COMPUTED_VALUE"""),"")</f>
        <v/>
      </c>
      <c r="D23616" s="12" t="str">
        <f ca="1">IFERROR(__xludf.DUMMYFUNCTION("""COMPUTED_VALUE"""),"")</f>
        <v/>
      </c>
    </row>
    <row r="23617" spans="2:4" ht="13">
      <c r="B23617" s="12" t="str">
        <f ca="1">IFERROR(__xludf.DUMMYFUNCTION("""COMPUTED_VALUE"""),"")</f>
        <v/>
      </c>
      <c r="C23617" s="12" t="str">
        <f ca="1">IFERROR(__xludf.DUMMYFUNCTION("""COMPUTED_VALUE"""),"")</f>
        <v/>
      </c>
      <c r="D23617" s="12" t="str">
        <f ca="1">IFERROR(__xludf.DUMMYFUNCTION("""COMPUTED_VALUE"""),"")</f>
        <v/>
      </c>
    </row>
    <row r="23618" spans="2:4" ht="13">
      <c r="B23618" s="12" t="str">
        <f ca="1">IFERROR(__xludf.DUMMYFUNCTION("""COMPUTED_VALUE"""),"")</f>
        <v/>
      </c>
      <c r="C23618" s="12" t="str">
        <f ca="1">IFERROR(__xludf.DUMMYFUNCTION("""COMPUTED_VALUE"""),"")</f>
        <v/>
      </c>
      <c r="D23618" s="12" t="str">
        <f ca="1">IFERROR(__xludf.DUMMYFUNCTION("""COMPUTED_VALUE"""),"")</f>
        <v/>
      </c>
    </row>
    <row r="23619" spans="2:4" ht="13">
      <c r="B23619" s="12" t="str">
        <f ca="1">IFERROR(__xludf.DUMMYFUNCTION("""COMPUTED_VALUE"""),"")</f>
        <v/>
      </c>
      <c r="C23619" s="12" t="str">
        <f ca="1">IFERROR(__xludf.DUMMYFUNCTION("""COMPUTED_VALUE"""),"")</f>
        <v/>
      </c>
      <c r="D23619" s="12" t="str">
        <f ca="1">IFERROR(__xludf.DUMMYFUNCTION("""COMPUTED_VALUE"""),"")</f>
        <v/>
      </c>
    </row>
    <row r="23620" spans="2:4" ht="13">
      <c r="B23620" s="12" t="str">
        <f ca="1">IFERROR(__xludf.DUMMYFUNCTION("""COMPUTED_VALUE"""),"")</f>
        <v/>
      </c>
      <c r="C23620" s="12" t="str">
        <f ca="1">IFERROR(__xludf.DUMMYFUNCTION("""COMPUTED_VALUE"""),"")</f>
        <v/>
      </c>
      <c r="D23620" s="12" t="str">
        <f ca="1">IFERROR(__xludf.DUMMYFUNCTION("""COMPUTED_VALUE"""),"")</f>
        <v/>
      </c>
    </row>
    <row r="23621" spans="2:4" ht="13">
      <c r="B23621" s="12" t="str">
        <f ca="1">IFERROR(__xludf.DUMMYFUNCTION("""COMPUTED_VALUE"""),"")</f>
        <v/>
      </c>
      <c r="C23621" s="12" t="str">
        <f ca="1">IFERROR(__xludf.DUMMYFUNCTION("""COMPUTED_VALUE"""),"")</f>
        <v/>
      </c>
      <c r="D23621" s="12" t="str">
        <f ca="1">IFERROR(__xludf.DUMMYFUNCTION("""COMPUTED_VALUE"""),"")</f>
        <v/>
      </c>
    </row>
    <row r="23622" spans="2:4" ht="13">
      <c r="B23622" s="12" t="str">
        <f ca="1">IFERROR(__xludf.DUMMYFUNCTION("""COMPUTED_VALUE"""),"")</f>
        <v/>
      </c>
      <c r="C23622" s="12" t="str">
        <f ca="1">IFERROR(__xludf.DUMMYFUNCTION("""COMPUTED_VALUE"""),"")</f>
        <v/>
      </c>
      <c r="D23622" s="12" t="str">
        <f ca="1">IFERROR(__xludf.DUMMYFUNCTION("""COMPUTED_VALUE"""),"")</f>
        <v/>
      </c>
    </row>
    <row r="23623" spans="2:4" ht="13">
      <c r="B23623" s="12" t="str">
        <f ca="1">IFERROR(__xludf.DUMMYFUNCTION("""COMPUTED_VALUE"""),"")</f>
        <v/>
      </c>
      <c r="C23623" s="12" t="str">
        <f ca="1">IFERROR(__xludf.DUMMYFUNCTION("""COMPUTED_VALUE"""),"")</f>
        <v/>
      </c>
      <c r="D23623" s="12" t="str">
        <f ca="1">IFERROR(__xludf.DUMMYFUNCTION("""COMPUTED_VALUE"""),"")</f>
        <v/>
      </c>
    </row>
    <row r="23624" spans="2:4" ht="13">
      <c r="B23624" s="12" t="str">
        <f ca="1">IFERROR(__xludf.DUMMYFUNCTION("""COMPUTED_VALUE"""),"")</f>
        <v/>
      </c>
      <c r="C23624" s="12" t="str">
        <f ca="1">IFERROR(__xludf.DUMMYFUNCTION("""COMPUTED_VALUE"""),"")</f>
        <v/>
      </c>
      <c r="D23624" s="12" t="str">
        <f ca="1">IFERROR(__xludf.DUMMYFUNCTION("""COMPUTED_VALUE"""),"")</f>
        <v/>
      </c>
    </row>
    <row r="23625" spans="2:4" ht="13">
      <c r="B23625" s="12" t="str">
        <f ca="1">IFERROR(__xludf.DUMMYFUNCTION("""COMPUTED_VALUE"""),"")</f>
        <v/>
      </c>
      <c r="C23625" s="12" t="str">
        <f ca="1">IFERROR(__xludf.DUMMYFUNCTION("""COMPUTED_VALUE"""),"")</f>
        <v/>
      </c>
      <c r="D23625" s="12" t="str">
        <f ca="1">IFERROR(__xludf.DUMMYFUNCTION("""COMPUTED_VALUE"""),"")</f>
        <v/>
      </c>
    </row>
    <row r="23626" spans="2:4" ht="13">
      <c r="B23626" s="12" t="str">
        <f ca="1">IFERROR(__xludf.DUMMYFUNCTION("""COMPUTED_VALUE"""),"")</f>
        <v/>
      </c>
      <c r="C23626" s="12" t="str">
        <f ca="1">IFERROR(__xludf.DUMMYFUNCTION("""COMPUTED_VALUE"""),"")</f>
        <v/>
      </c>
      <c r="D23626" s="12" t="str">
        <f ca="1">IFERROR(__xludf.DUMMYFUNCTION("""COMPUTED_VALUE"""),"")</f>
        <v/>
      </c>
    </row>
    <row r="23627" spans="2:4" ht="13">
      <c r="B23627" s="12" t="str">
        <f ca="1">IFERROR(__xludf.DUMMYFUNCTION("""COMPUTED_VALUE"""),"")</f>
        <v/>
      </c>
      <c r="C23627" s="12" t="str">
        <f ca="1">IFERROR(__xludf.DUMMYFUNCTION("""COMPUTED_VALUE"""),"")</f>
        <v/>
      </c>
      <c r="D23627" s="12" t="str">
        <f ca="1">IFERROR(__xludf.DUMMYFUNCTION("""COMPUTED_VALUE"""),"")</f>
        <v/>
      </c>
    </row>
    <row r="23628" spans="2:4" ht="13">
      <c r="B23628" s="12" t="str">
        <f ca="1">IFERROR(__xludf.DUMMYFUNCTION("""COMPUTED_VALUE"""),"")</f>
        <v/>
      </c>
      <c r="C23628" s="12" t="str">
        <f ca="1">IFERROR(__xludf.DUMMYFUNCTION("""COMPUTED_VALUE"""),"")</f>
        <v/>
      </c>
      <c r="D23628" s="12" t="str">
        <f ca="1">IFERROR(__xludf.DUMMYFUNCTION("""COMPUTED_VALUE"""),"")</f>
        <v/>
      </c>
    </row>
    <row r="23629" spans="2:4" ht="13">
      <c r="B23629" s="12" t="str">
        <f ca="1">IFERROR(__xludf.DUMMYFUNCTION("""COMPUTED_VALUE"""),"")</f>
        <v/>
      </c>
      <c r="C23629" s="12" t="str">
        <f ca="1">IFERROR(__xludf.DUMMYFUNCTION("""COMPUTED_VALUE"""),"")</f>
        <v/>
      </c>
      <c r="D23629" s="12" t="str">
        <f ca="1">IFERROR(__xludf.DUMMYFUNCTION("""COMPUTED_VALUE"""),"")</f>
        <v/>
      </c>
    </row>
    <row r="23630" spans="2:4" ht="13">
      <c r="B23630" s="12" t="str">
        <f ca="1">IFERROR(__xludf.DUMMYFUNCTION("""COMPUTED_VALUE"""),"")</f>
        <v/>
      </c>
      <c r="C23630" s="12" t="str">
        <f ca="1">IFERROR(__xludf.DUMMYFUNCTION("""COMPUTED_VALUE"""),"")</f>
        <v/>
      </c>
      <c r="D23630" s="12" t="str">
        <f ca="1">IFERROR(__xludf.DUMMYFUNCTION("""COMPUTED_VALUE"""),"")</f>
        <v/>
      </c>
    </row>
    <row r="23631" spans="2:4" ht="13">
      <c r="B23631" s="12" t="str">
        <f ca="1">IFERROR(__xludf.DUMMYFUNCTION("""COMPUTED_VALUE"""),"")</f>
        <v/>
      </c>
      <c r="C23631" s="12" t="str">
        <f ca="1">IFERROR(__xludf.DUMMYFUNCTION("""COMPUTED_VALUE"""),"")</f>
        <v/>
      </c>
      <c r="D23631" s="12" t="str">
        <f ca="1">IFERROR(__xludf.DUMMYFUNCTION("""COMPUTED_VALUE"""),"")</f>
        <v/>
      </c>
    </row>
    <row r="23632" spans="2:4" ht="13">
      <c r="B23632" s="12" t="str">
        <f ca="1">IFERROR(__xludf.DUMMYFUNCTION("""COMPUTED_VALUE"""),"")</f>
        <v/>
      </c>
      <c r="C23632" s="12" t="str">
        <f ca="1">IFERROR(__xludf.DUMMYFUNCTION("""COMPUTED_VALUE"""),"")</f>
        <v/>
      </c>
      <c r="D23632" s="12" t="str">
        <f ca="1">IFERROR(__xludf.DUMMYFUNCTION("""COMPUTED_VALUE"""),"")</f>
        <v/>
      </c>
    </row>
    <row r="23633" spans="2:4" ht="13">
      <c r="B23633" s="12" t="str">
        <f ca="1">IFERROR(__xludf.DUMMYFUNCTION("""COMPUTED_VALUE"""),"")</f>
        <v/>
      </c>
      <c r="C23633" s="12" t="str">
        <f ca="1">IFERROR(__xludf.DUMMYFUNCTION("""COMPUTED_VALUE"""),"")</f>
        <v/>
      </c>
      <c r="D23633" s="12" t="str">
        <f ca="1">IFERROR(__xludf.DUMMYFUNCTION("""COMPUTED_VALUE"""),"")</f>
        <v/>
      </c>
    </row>
    <row r="23634" spans="2:4" ht="13">
      <c r="B23634" s="12" t="str">
        <f ca="1">IFERROR(__xludf.DUMMYFUNCTION("""COMPUTED_VALUE"""),"")</f>
        <v/>
      </c>
      <c r="C23634" s="12" t="str">
        <f ca="1">IFERROR(__xludf.DUMMYFUNCTION("""COMPUTED_VALUE"""),"")</f>
        <v/>
      </c>
      <c r="D23634" s="12" t="str">
        <f ca="1">IFERROR(__xludf.DUMMYFUNCTION("""COMPUTED_VALUE"""),"")</f>
        <v/>
      </c>
    </row>
    <row r="23635" spans="2:4" ht="13">
      <c r="B23635" s="12" t="str">
        <f ca="1">IFERROR(__xludf.DUMMYFUNCTION("""COMPUTED_VALUE"""),"")</f>
        <v/>
      </c>
      <c r="C23635" s="12" t="str">
        <f ca="1">IFERROR(__xludf.DUMMYFUNCTION("""COMPUTED_VALUE"""),"")</f>
        <v/>
      </c>
      <c r="D23635" s="12" t="str">
        <f ca="1">IFERROR(__xludf.DUMMYFUNCTION("""COMPUTED_VALUE"""),"")</f>
        <v/>
      </c>
    </row>
    <row r="23636" spans="2:4" ht="13">
      <c r="B23636" s="12" t="str">
        <f ca="1">IFERROR(__xludf.DUMMYFUNCTION("""COMPUTED_VALUE"""),"")</f>
        <v/>
      </c>
      <c r="C23636" s="12" t="str">
        <f ca="1">IFERROR(__xludf.DUMMYFUNCTION("""COMPUTED_VALUE"""),"")</f>
        <v/>
      </c>
      <c r="D23636" s="12" t="str">
        <f ca="1">IFERROR(__xludf.DUMMYFUNCTION("""COMPUTED_VALUE"""),"")</f>
        <v/>
      </c>
    </row>
    <row r="23637" spans="2:4" ht="13">
      <c r="B23637" s="12" t="str">
        <f ca="1">IFERROR(__xludf.DUMMYFUNCTION("""COMPUTED_VALUE"""),"")</f>
        <v/>
      </c>
      <c r="C23637" s="12" t="str">
        <f ca="1">IFERROR(__xludf.DUMMYFUNCTION("""COMPUTED_VALUE"""),"")</f>
        <v/>
      </c>
      <c r="D23637" s="12" t="str">
        <f ca="1">IFERROR(__xludf.DUMMYFUNCTION("""COMPUTED_VALUE"""),"")</f>
        <v/>
      </c>
    </row>
    <row r="23638" spans="2:4" ht="13">
      <c r="B23638" s="12" t="str">
        <f ca="1">IFERROR(__xludf.DUMMYFUNCTION("""COMPUTED_VALUE"""),"")</f>
        <v/>
      </c>
      <c r="C23638" s="12" t="str">
        <f ca="1">IFERROR(__xludf.DUMMYFUNCTION("""COMPUTED_VALUE"""),"")</f>
        <v/>
      </c>
      <c r="D23638" s="12" t="str">
        <f ca="1">IFERROR(__xludf.DUMMYFUNCTION("""COMPUTED_VALUE"""),"")</f>
        <v/>
      </c>
    </row>
    <row r="23639" spans="2:4" ht="13">
      <c r="B23639" s="12" t="str">
        <f ca="1">IFERROR(__xludf.DUMMYFUNCTION("""COMPUTED_VALUE"""),"")</f>
        <v/>
      </c>
      <c r="C23639" s="12" t="str">
        <f ca="1">IFERROR(__xludf.DUMMYFUNCTION("""COMPUTED_VALUE"""),"")</f>
        <v/>
      </c>
      <c r="D23639" s="12" t="str">
        <f ca="1">IFERROR(__xludf.DUMMYFUNCTION("""COMPUTED_VALUE"""),"")</f>
        <v/>
      </c>
    </row>
    <row r="23640" spans="2:4" ht="13">
      <c r="B23640" s="12" t="str">
        <f ca="1">IFERROR(__xludf.DUMMYFUNCTION("""COMPUTED_VALUE"""),"")</f>
        <v/>
      </c>
      <c r="C23640" s="12" t="str">
        <f ca="1">IFERROR(__xludf.DUMMYFUNCTION("""COMPUTED_VALUE"""),"")</f>
        <v/>
      </c>
      <c r="D23640" s="12" t="str">
        <f ca="1">IFERROR(__xludf.DUMMYFUNCTION("""COMPUTED_VALUE"""),"")</f>
        <v/>
      </c>
    </row>
    <row r="23641" spans="2:4" ht="13">
      <c r="B23641" s="12" t="str">
        <f ca="1">IFERROR(__xludf.DUMMYFUNCTION("""COMPUTED_VALUE"""),"")</f>
        <v/>
      </c>
      <c r="C23641" s="12" t="str">
        <f ca="1">IFERROR(__xludf.DUMMYFUNCTION("""COMPUTED_VALUE"""),"")</f>
        <v/>
      </c>
      <c r="D23641" s="12" t="str">
        <f ca="1">IFERROR(__xludf.DUMMYFUNCTION("""COMPUTED_VALUE"""),"")</f>
        <v/>
      </c>
    </row>
    <row r="23642" spans="2:4" ht="13">
      <c r="B23642" s="12" t="str">
        <f ca="1">IFERROR(__xludf.DUMMYFUNCTION("""COMPUTED_VALUE"""),"")</f>
        <v/>
      </c>
      <c r="C23642" s="12" t="str">
        <f ca="1">IFERROR(__xludf.DUMMYFUNCTION("""COMPUTED_VALUE"""),"")</f>
        <v/>
      </c>
      <c r="D23642" s="12" t="str">
        <f ca="1">IFERROR(__xludf.DUMMYFUNCTION("""COMPUTED_VALUE"""),"")</f>
        <v/>
      </c>
    </row>
    <row r="23643" spans="2:4" ht="13">
      <c r="B23643" s="12" t="str">
        <f ca="1">IFERROR(__xludf.DUMMYFUNCTION("""COMPUTED_VALUE"""),"")</f>
        <v/>
      </c>
      <c r="C23643" s="12" t="str">
        <f ca="1">IFERROR(__xludf.DUMMYFUNCTION("""COMPUTED_VALUE"""),"")</f>
        <v/>
      </c>
      <c r="D23643" s="12" t="str">
        <f ca="1">IFERROR(__xludf.DUMMYFUNCTION("""COMPUTED_VALUE"""),"")</f>
        <v/>
      </c>
    </row>
    <row r="23644" spans="2:4" ht="13">
      <c r="B23644" s="12" t="str">
        <f ca="1">IFERROR(__xludf.DUMMYFUNCTION("""COMPUTED_VALUE"""),"")</f>
        <v/>
      </c>
      <c r="C23644" s="12" t="str">
        <f ca="1">IFERROR(__xludf.DUMMYFUNCTION("""COMPUTED_VALUE"""),"")</f>
        <v/>
      </c>
      <c r="D23644" s="12" t="str">
        <f ca="1">IFERROR(__xludf.DUMMYFUNCTION("""COMPUTED_VALUE"""),"")</f>
        <v/>
      </c>
    </row>
    <row r="23645" spans="2:4" ht="13">
      <c r="B23645" s="12" t="str">
        <f ca="1">IFERROR(__xludf.DUMMYFUNCTION("""COMPUTED_VALUE"""),"")</f>
        <v/>
      </c>
      <c r="C23645" s="12" t="str">
        <f ca="1">IFERROR(__xludf.DUMMYFUNCTION("""COMPUTED_VALUE"""),"")</f>
        <v/>
      </c>
      <c r="D23645" s="12" t="str">
        <f ca="1">IFERROR(__xludf.DUMMYFUNCTION("""COMPUTED_VALUE"""),"")</f>
        <v/>
      </c>
    </row>
    <row r="23646" spans="2:4" ht="13">
      <c r="B23646" s="12" t="str">
        <f ca="1">IFERROR(__xludf.DUMMYFUNCTION("""COMPUTED_VALUE"""),"")</f>
        <v/>
      </c>
      <c r="C23646" s="12" t="str">
        <f ca="1">IFERROR(__xludf.DUMMYFUNCTION("""COMPUTED_VALUE"""),"")</f>
        <v/>
      </c>
      <c r="D23646" s="12" t="str">
        <f ca="1">IFERROR(__xludf.DUMMYFUNCTION("""COMPUTED_VALUE"""),"")</f>
        <v/>
      </c>
    </row>
    <row r="23647" spans="2:4" ht="13">
      <c r="B23647" s="12" t="str">
        <f ca="1">IFERROR(__xludf.DUMMYFUNCTION("""COMPUTED_VALUE"""),"")</f>
        <v/>
      </c>
      <c r="C23647" s="12" t="str">
        <f ca="1">IFERROR(__xludf.DUMMYFUNCTION("""COMPUTED_VALUE"""),"")</f>
        <v/>
      </c>
      <c r="D23647" s="12" t="str">
        <f ca="1">IFERROR(__xludf.DUMMYFUNCTION("""COMPUTED_VALUE"""),"")</f>
        <v/>
      </c>
    </row>
    <row r="23648" spans="2:4" ht="13">
      <c r="B23648" s="12" t="str">
        <f ca="1">IFERROR(__xludf.DUMMYFUNCTION("""COMPUTED_VALUE"""),"")</f>
        <v/>
      </c>
      <c r="C23648" s="12" t="str">
        <f ca="1">IFERROR(__xludf.DUMMYFUNCTION("""COMPUTED_VALUE"""),"")</f>
        <v/>
      </c>
      <c r="D23648" s="12" t="str">
        <f ca="1">IFERROR(__xludf.DUMMYFUNCTION("""COMPUTED_VALUE"""),"")</f>
        <v/>
      </c>
    </row>
    <row r="23649" spans="2:4" ht="13">
      <c r="B23649" s="12" t="str">
        <f ca="1">IFERROR(__xludf.DUMMYFUNCTION("""COMPUTED_VALUE"""),"")</f>
        <v/>
      </c>
      <c r="C23649" s="12" t="str">
        <f ca="1">IFERROR(__xludf.DUMMYFUNCTION("""COMPUTED_VALUE"""),"")</f>
        <v/>
      </c>
      <c r="D23649" s="12" t="str">
        <f ca="1">IFERROR(__xludf.DUMMYFUNCTION("""COMPUTED_VALUE"""),"")</f>
        <v/>
      </c>
    </row>
    <row r="23650" spans="2:4" ht="13">
      <c r="B23650" s="12" t="str">
        <f ca="1">IFERROR(__xludf.DUMMYFUNCTION("""COMPUTED_VALUE"""),"")</f>
        <v/>
      </c>
      <c r="C23650" s="12" t="str">
        <f ca="1">IFERROR(__xludf.DUMMYFUNCTION("""COMPUTED_VALUE"""),"")</f>
        <v/>
      </c>
      <c r="D23650" s="12" t="str">
        <f ca="1">IFERROR(__xludf.DUMMYFUNCTION("""COMPUTED_VALUE"""),"")</f>
        <v/>
      </c>
    </row>
    <row r="23651" spans="2:4" ht="13">
      <c r="B23651" s="12" t="str">
        <f ca="1">IFERROR(__xludf.DUMMYFUNCTION("""COMPUTED_VALUE"""),"")</f>
        <v/>
      </c>
      <c r="C23651" s="12" t="str">
        <f ca="1">IFERROR(__xludf.DUMMYFUNCTION("""COMPUTED_VALUE"""),"")</f>
        <v/>
      </c>
      <c r="D23651" s="12" t="str">
        <f ca="1">IFERROR(__xludf.DUMMYFUNCTION("""COMPUTED_VALUE"""),"")</f>
        <v/>
      </c>
    </row>
    <row r="23652" spans="2:4" ht="13">
      <c r="B23652" s="12" t="str">
        <f ca="1">IFERROR(__xludf.DUMMYFUNCTION("""COMPUTED_VALUE"""),"")</f>
        <v/>
      </c>
      <c r="C23652" s="12" t="str">
        <f ca="1">IFERROR(__xludf.DUMMYFUNCTION("""COMPUTED_VALUE"""),"")</f>
        <v/>
      </c>
      <c r="D23652" s="12" t="str">
        <f ca="1">IFERROR(__xludf.DUMMYFUNCTION("""COMPUTED_VALUE"""),"")</f>
        <v/>
      </c>
    </row>
    <row r="23653" spans="2:4" ht="13">
      <c r="B23653" s="12" t="str">
        <f ca="1">IFERROR(__xludf.DUMMYFUNCTION("""COMPUTED_VALUE"""),"")</f>
        <v/>
      </c>
      <c r="C23653" s="12" t="str">
        <f ca="1">IFERROR(__xludf.DUMMYFUNCTION("""COMPUTED_VALUE"""),"")</f>
        <v/>
      </c>
      <c r="D23653" s="12" t="str">
        <f ca="1">IFERROR(__xludf.DUMMYFUNCTION("""COMPUTED_VALUE"""),"")</f>
        <v/>
      </c>
    </row>
    <row r="23654" spans="2:4" ht="13">
      <c r="B23654" s="12" t="str">
        <f ca="1">IFERROR(__xludf.DUMMYFUNCTION("""COMPUTED_VALUE"""),"")</f>
        <v/>
      </c>
      <c r="C23654" s="12" t="str">
        <f ca="1">IFERROR(__xludf.DUMMYFUNCTION("""COMPUTED_VALUE"""),"")</f>
        <v/>
      </c>
      <c r="D23654" s="12" t="str">
        <f ca="1">IFERROR(__xludf.DUMMYFUNCTION("""COMPUTED_VALUE"""),"")</f>
        <v/>
      </c>
    </row>
    <row r="23655" spans="2:4" ht="13">
      <c r="B23655" s="12" t="str">
        <f ca="1">IFERROR(__xludf.DUMMYFUNCTION("""COMPUTED_VALUE"""),"")</f>
        <v/>
      </c>
      <c r="C23655" s="12" t="str">
        <f ca="1">IFERROR(__xludf.DUMMYFUNCTION("""COMPUTED_VALUE"""),"")</f>
        <v/>
      </c>
      <c r="D23655" s="12" t="str">
        <f ca="1">IFERROR(__xludf.DUMMYFUNCTION("""COMPUTED_VALUE"""),"")</f>
        <v/>
      </c>
    </row>
    <row r="23656" spans="2:4" ht="13">
      <c r="B23656" s="12" t="str">
        <f ca="1">IFERROR(__xludf.DUMMYFUNCTION("""COMPUTED_VALUE"""),"")</f>
        <v/>
      </c>
      <c r="C23656" s="12" t="str">
        <f ca="1">IFERROR(__xludf.DUMMYFUNCTION("""COMPUTED_VALUE"""),"")</f>
        <v/>
      </c>
      <c r="D23656" s="12" t="str">
        <f ca="1">IFERROR(__xludf.DUMMYFUNCTION("""COMPUTED_VALUE"""),"")</f>
        <v/>
      </c>
    </row>
    <row r="23657" spans="2:4" ht="13">
      <c r="B23657" s="12" t="str">
        <f ca="1">IFERROR(__xludf.DUMMYFUNCTION("""COMPUTED_VALUE"""),"")</f>
        <v/>
      </c>
      <c r="C23657" s="12" t="str">
        <f ca="1">IFERROR(__xludf.DUMMYFUNCTION("""COMPUTED_VALUE"""),"")</f>
        <v/>
      </c>
      <c r="D23657" s="12" t="str">
        <f ca="1">IFERROR(__xludf.DUMMYFUNCTION("""COMPUTED_VALUE"""),"")</f>
        <v/>
      </c>
    </row>
    <row r="23658" spans="2:4" ht="13">
      <c r="B23658" s="12" t="str">
        <f ca="1">IFERROR(__xludf.DUMMYFUNCTION("""COMPUTED_VALUE"""),"")</f>
        <v/>
      </c>
      <c r="C23658" s="12" t="str">
        <f ca="1">IFERROR(__xludf.DUMMYFUNCTION("""COMPUTED_VALUE"""),"")</f>
        <v/>
      </c>
      <c r="D23658" s="12" t="str">
        <f ca="1">IFERROR(__xludf.DUMMYFUNCTION("""COMPUTED_VALUE"""),"")</f>
        <v/>
      </c>
    </row>
    <row r="23659" spans="2:4" ht="13">
      <c r="B23659" s="12" t="str">
        <f ca="1">IFERROR(__xludf.DUMMYFUNCTION("""COMPUTED_VALUE"""),"")</f>
        <v/>
      </c>
      <c r="C23659" s="12" t="str">
        <f ca="1">IFERROR(__xludf.DUMMYFUNCTION("""COMPUTED_VALUE"""),"")</f>
        <v/>
      </c>
      <c r="D23659" s="12" t="str">
        <f ca="1">IFERROR(__xludf.DUMMYFUNCTION("""COMPUTED_VALUE"""),"")</f>
        <v/>
      </c>
    </row>
    <row r="23660" spans="2:4" ht="13">
      <c r="B23660" s="12" t="str">
        <f ca="1">IFERROR(__xludf.DUMMYFUNCTION("""COMPUTED_VALUE"""),"")</f>
        <v/>
      </c>
      <c r="C23660" s="12" t="str">
        <f ca="1">IFERROR(__xludf.DUMMYFUNCTION("""COMPUTED_VALUE"""),"")</f>
        <v/>
      </c>
      <c r="D23660" s="12" t="str">
        <f ca="1">IFERROR(__xludf.DUMMYFUNCTION("""COMPUTED_VALUE"""),"")</f>
        <v/>
      </c>
    </row>
    <row r="23661" spans="2:4" ht="13">
      <c r="B23661" s="12" t="str">
        <f ca="1">IFERROR(__xludf.DUMMYFUNCTION("""COMPUTED_VALUE"""),"")</f>
        <v/>
      </c>
      <c r="C23661" s="12" t="str">
        <f ca="1">IFERROR(__xludf.DUMMYFUNCTION("""COMPUTED_VALUE"""),"")</f>
        <v/>
      </c>
      <c r="D23661" s="12" t="str">
        <f ca="1">IFERROR(__xludf.DUMMYFUNCTION("""COMPUTED_VALUE"""),"")</f>
        <v/>
      </c>
    </row>
    <row r="23662" spans="2:4" ht="13">
      <c r="B23662" s="12" t="str">
        <f ca="1">IFERROR(__xludf.DUMMYFUNCTION("""COMPUTED_VALUE"""),"")</f>
        <v/>
      </c>
      <c r="C23662" s="12" t="str">
        <f ca="1">IFERROR(__xludf.DUMMYFUNCTION("""COMPUTED_VALUE"""),"")</f>
        <v/>
      </c>
      <c r="D23662" s="12" t="str">
        <f ca="1">IFERROR(__xludf.DUMMYFUNCTION("""COMPUTED_VALUE"""),"")</f>
        <v/>
      </c>
    </row>
    <row r="23663" spans="2:4" ht="13">
      <c r="B23663" s="12" t="str">
        <f ca="1">IFERROR(__xludf.DUMMYFUNCTION("""COMPUTED_VALUE"""),"")</f>
        <v/>
      </c>
      <c r="C23663" s="12" t="str">
        <f ca="1">IFERROR(__xludf.DUMMYFUNCTION("""COMPUTED_VALUE"""),"")</f>
        <v/>
      </c>
      <c r="D23663" s="12" t="str">
        <f ca="1">IFERROR(__xludf.DUMMYFUNCTION("""COMPUTED_VALUE"""),"")</f>
        <v/>
      </c>
    </row>
    <row r="23664" spans="2:4" ht="13">
      <c r="B23664" s="12" t="str">
        <f ca="1">IFERROR(__xludf.DUMMYFUNCTION("""COMPUTED_VALUE"""),"")</f>
        <v/>
      </c>
      <c r="C23664" s="12" t="str">
        <f ca="1">IFERROR(__xludf.DUMMYFUNCTION("""COMPUTED_VALUE"""),"")</f>
        <v/>
      </c>
      <c r="D23664" s="12" t="str">
        <f ca="1">IFERROR(__xludf.DUMMYFUNCTION("""COMPUTED_VALUE"""),"")</f>
        <v/>
      </c>
    </row>
    <row r="23665" spans="2:4" ht="13">
      <c r="B23665" s="12" t="str">
        <f ca="1">IFERROR(__xludf.DUMMYFUNCTION("""COMPUTED_VALUE"""),"")</f>
        <v/>
      </c>
      <c r="C23665" s="12" t="str">
        <f ca="1">IFERROR(__xludf.DUMMYFUNCTION("""COMPUTED_VALUE"""),"")</f>
        <v/>
      </c>
      <c r="D23665" s="12" t="str">
        <f ca="1">IFERROR(__xludf.DUMMYFUNCTION("""COMPUTED_VALUE"""),"")</f>
        <v/>
      </c>
    </row>
    <row r="23666" spans="2:4" ht="13">
      <c r="B23666" s="12" t="str">
        <f ca="1">IFERROR(__xludf.DUMMYFUNCTION("""COMPUTED_VALUE"""),"")</f>
        <v/>
      </c>
      <c r="C23666" s="12" t="str">
        <f ca="1">IFERROR(__xludf.DUMMYFUNCTION("""COMPUTED_VALUE"""),"")</f>
        <v/>
      </c>
      <c r="D23666" s="12" t="str">
        <f ca="1">IFERROR(__xludf.DUMMYFUNCTION("""COMPUTED_VALUE"""),"")</f>
        <v/>
      </c>
    </row>
    <row r="23667" spans="2:4" ht="13">
      <c r="B23667" s="12" t="str">
        <f ca="1">IFERROR(__xludf.DUMMYFUNCTION("""COMPUTED_VALUE"""),"")</f>
        <v/>
      </c>
      <c r="C23667" s="12" t="str">
        <f ca="1">IFERROR(__xludf.DUMMYFUNCTION("""COMPUTED_VALUE"""),"")</f>
        <v/>
      </c>
      <c r="D23667" s="12" t="str">
        <f ca="1">IFERROR(__xludf.DUMMYFUNCTION("""COMPUTED_VALUE"""),"")</f>
        <v/>
      </c>
    </row>
    <row r="23668" spans="2:4" ht="13">
      <c r="B23668" s="12" t="str">
        <f ca="1">IFERROR(__xludf.DUMMYFUNCTION("""COMPUTED_VALUE"""),"")</f>
        <v/>
      </c>
      <c r="C23668" s="12" t="str">
        <f ca="1">IFERROR(__xludf.DUMMYFUNCTION("""COMPUTED_VALUE"""),"")</f>
        <v/>
      </c>
      <c r="D23668" s="12" t="str">
        <f ca="1">IFERROR(__xludf.DUMMYFUNCTION("""COMPUTED_VALUE"""),"")</f>
        <v/>
      </c>
    </row>
    <row r="23669" spans="2:4" ht="13">
      <c r="B23669" s="12" t="str">
        <f ca="1">IFERROR(__xludf.DUMMYFUNCTION("""COMPUTED_VALUE"""),"")</f>
        <v/>
      </c>
      <c r="C23669" s="12" t="str">
        <f ca="1">IFERROR(__xludf.DUMMYFUNCTION("""COMPUTED_VALUE"""),"")</f>
        <v/>
      </c>
      <c r="D23669" s="12" t="str">
        <f ca="1">IFERROR(__xludf.DUMMYFUNCTION("""COMPUTED_VALUE"""),"")</f>
        <v/>
      </c>
    </row>
    <row r="23670" spans="2:4" ht="13">
      <c r="B23670" s="12" t="str">
        <f ca="1">IFERROR(__xludf.DUMMYFUNCTION("""COMPUTED_VALUE"""),"")</f>
        <v/>
      </c>
      <c r="C23670" s="12" t="str">
        <f ca="1">IFERROR(__xludf.DUMMYFUNCTION("""COMPUTED_VALUE"""),"")</f>
        <v/>
      </c>
      <c r="D23670" s="12" t="str">
        <f ca="1">IFERROR(__xludf.DUMMYFUNCTION("""COMPUTED_VALUE"""),"")</f>
        <v/>
      </c>
    </row>
    <row r="23671" spans="2:4" ht="13">
      <c r="B23671" s="12" t="str">
        <f ca="1">IFERROR(__xludf.DUMMYFUNCTION("""COMPUTED_VALUE"""),"")</f>
        <v/>
      </c>
      <c r="C23671" s="12" t="str">
        <f ca="1">IFERROR(__xludf.DUMMYFUNCTION("""COMPUTED_VALUE"""),"")</f>
        <v/>
      </c>
      <c r="D23671" s="12" t="str">
        <f ca="1">IFERROR(__xludf.DUMMYFUNCTION("""COMPUTED_VALUE"""),"")</f>
        <v/>
      </c>
    </row>
    <row r="23672" spans="2:4" ht="13">
      <c r="B23672" s="12" t="str">
        <f ca="1">IFERROR(__xludf.DUMMYFUNCTION("""COMPUTED_VALUE"""),"")</f>
        <v/>
      </c>
      <c r="C23672" s="12" t="str">
        <f ca="1">IFERROR(__xludf.DUMMYFUNCTION("""COMPUTED_VALUE"""),"")</f>
        <v/>
      </c>
      <c r="D23672" s="12" t="str">
        <f ca="1">IFERROR(__xludf.DUMMYFUNCTION("""COMPUTED_VALUE"""),"")</f>
        <v/>
      </c>
    </row>
    <row r="23673" spans="2:4" ht="13">
      <c r="B23673" s="12" t="str">
        <f ca="1">IFERROR(__xludf.DUMMYFUNCTION("""COMPUTED_VALUE"""),"")</f>
        <v/>
      </c>
      <c r="C23673" s="12" t="str">
        <f ca="1">IFERROR(__xludf.DUMMYFUNCTION("""COMPUTED_VALUE"""),"")</f>
        <v/>
      </c>
      <c r="D23673" s="12" t="str">
        <f ca="1">IFERROR(__xludf.DUMMYFUNCTION("""COMPUTED_VALUE"""),"")</f>
        <v/>
      </c>
    </row>
    <row r="23674" spans="2:4" ht="13">
      <c r="B23674" s="12" t="str">
        <f ca="1">IFERROR(__xludf.DUMMYFUNCTION("""COMPUTED_VALUE"""),"")</f>
        <v/>
      </c>
      <c r="C23674" s="12" t="str">
        <f ca="1">IFERROR(__xludf.DUMMYFUNCTION("""COMPUTED_VALUE"""),"")</f>
        <v/>
      </c>
      <c r="D23674" s="12" t="str">
        <f ca="1">IFERROR(__xludf.DUMMYFUNCTION("""COMPUTED_VALUE"""),"")</f>
        <v/>
      </c>
    </row>
    <row r="23675" spans="2:4" ht="13">
      <c r="B23675" s="12" t="str">
        <f ca="1">IFERROR(__xludf.DUMMYFUNCTION("""COMPUTED_VALUE"""),"")</f>
        <v/>
      </c>
      <c r="C23675" s="12" t="str">
        <f ca="1">IFERROR(__xludf.DUMMYFUNCTION("""COMPUTED_VALUE"""),"")</f>
        <v/>
      </c>
      <c r="D23675" s="12" t="str">
        <f ca="1">IFERROR(__xludf.DUMMYFUNCTION("""COMPUTED_VALUE"""),"")</f>
        <v/>
      </c>
    </row>
    <row r="23676" spans="2:4" ht="13">
      <c r="B23676" s="12" t="str">
        <f ca="1">IFERROR(__xludf.DUMMYFUNCTION("""COMPUTED_VALUE"""),"")</f>
        <v/>
      </c>
      <c r="C23676" s="12" t="str">
        <f ca="1">IFERROR(__xludf.DUMMYFUNCTION("""COMPUTED_VALUE"""),"")</f>
        <v/>
      </c>
      <c r="D23676" s="12" t="str">
        <f ca="1">IFERROR(__xludf.DUMMYFUNCTION("""COMPUTED_VALUE"""),"")</f>
        <v/>
      </c>
    </row>
    <row r="23677" spans="2:4" ht="13">
      <c r="B23677" s="12" t="str">
        <f ca="1">IFERROR(__xludf.DUMMYFUNCTION("""COMPUTED_VALUE"""),"")</f>
        <v/>
      </c>
      <c r="C23677" s="12" t="str">
        <f ca="1">IFERROR(__xludf.DUMMYFUNCTION("""COMPUTED_VALUE"""),"")</f>
        <v/>
      </c>
      <c r="D23677" s="12" t="str">
        <f ca="1">IFERROR(__xludf.DUMMYFUNCTION("""COMPUTED_VALUE"""),"")</f>
        <v/>
      </c>
    </row>
    <row r="23678" spans="2:4" ht="13">
      <c r="B23678" s="12" t="str">
        <f ca="1">IFERROR(__xludf.DUMMYFUNCTION("""COMPUTED_VALUE"""),"")</f>
        <v/>
      </c>
      <c r="C23678" s="12" t="str">
        <f ca="1">IFERROR(__xludf.DUMMYFUNCTION("""COMPUTED_VALUE"""),"")</f>
        <v/>
      </c>
      <c r="D23678" s="12" t="str">
        <f ca="1">IFERROR(__xludf.DUMMYFUNCTION("""COMPUTED_VALUE"""),"")</f>
        <v/>
      </c>
    </row>
    <row r="23679" spans="2:4" ht="13">
      <c r="B23679" s="12" t="str">
        <f ca="1">IFERROR(__xludf.DUMMYFUNCTION("""COMPUTED_VALUE"""),"")</f>
        <v/>
      </c>
      <c r="C23679" s="12" t="str">
        <f ca="1">IFERROR(__xludf.DUMMYFUNCTION("""COMPUTED_VALUE"""),"")</f>
        <v/>
      </c>
      <c r="D23679" s="12" t="str">
        <f ca="1">IFERROR(__xludf.DUMMYFUNCTION("""COMPUTED_VALUE"""),"")</f>
        <v/>
      </c>
    </row>
    <row r="23680" spans="2:4" ht="13">
      <c r="B23680" s="12" t="str">
        <f ca="1">IFERROR(__xludf.DUMMYFUNCTION("""COMPUTED_VALUE"""),"")</f>
        <v/>
      </c>
      <c r="C23680" s="12" t="str">
        <f ca="1">IFERROR(__xludf.DUMMYFUNCTION("""COMPUTED_VALUE"""),"")</f>
        <v/>
      </c>
      <c r="D23680" s="12" t="str">
        <f ca="1">IFERROR(__xludf.DUMMYFUNCTION("""COMPUTED_VALUE"""),"")</f>
        <v/>
      </c>
    </row>
    <row r="23681" spans="2:4" ht="13">
      <c r="B23681" s="12" t="str">
        <f ca="1">IFERROR(__xludf.DUMMYFUNCTION("""COMPUTED_VALUE"""),"")</f>
        <v/>
      </c>
      <c r="C23681" s="12" t="str">
        <f ca="1">IFERROR(__xludf.DUMMYFUNCTION("""COMPUTED_VALUE"""),"")</f>
        <v/>
      </c>
      <c r="D23681" s="12" t="str">
        <f ca="1">IFERROR(__xludf.DUMMYFUNCTION("""COMPUTED_VALUE"""),"")</f>
        <v/>
      </c>
    </row>
    <row r="23682" spans="2:4" ht="13">
      <c r="B23682" s="12" t="str">
        <f ca="1">IFERROR(__xludf.DUMMYFUNCTION("""COMPUTED_VALUE"""),"")</f>
        <v/>
      </c>
      <c r="C23682" s="12" t="str">
        <f ca="1">IFERROR(__xludf.DUMMYFUNCTION("""COMPUTED_VALUE"""),"")</f>
        <v/>
      </c>
      <c r="D23682" s="12" t="str">
        <f ca="1">IFERROR(__xludf.DUMMYFUNCTION("""COMPUTED_VALUE"""),"")</f>
        <v/>
      </c>
    </row>
    <row r="23683" spans="2:4" ht="13">
      <c r="B23683" s="12" t="str">
        <f ca="1">IFERROR(__xludf.DUMMYFUNCTION("""COMPUTED_VALUE"""),"")</f>
        <v/>
      </c>
      <c r="C23683" s="12" t="str">
        <f ca="1">IFERROR(__xludf.DUMMYFUNCTION("""COMPUTED_VALUE"""),"")</f>
        <v/>
      </c>
      <c r="D23683" s="12" t="str">
        <f ca="1">IFERROR(__xludf.DUMMYFUNCTION("""COMPUTED_VALUE"""),"")</f>
        <v/>
      </c>
    </row>
    <row r="23684" spans="2:4" ht="13">
      <c r="B23684" s="12" t="str">
        <f ca="1">IFERROR(__xludf.DUMMYFUNCTION("""COMPUTED_VALUE"""),"")</f>
        <v/>
      </c>
      <c r="C23684" s="12" t="str">
        <f ca="1">IFERROR(__xludf.DUMMYFUNCTION("""COMPUTED_VALUE"""),"")</f>
        <v/>
      </c>
      <c r="D23684" s="12" t="str">
        <f ca="1">IFERROR(__xludf.DUMMYFUNCTION("""COMPUTED_VALUE"""),"")</f>
        <v/>
      </c>
    </row>
    <row r="23685" spans="2:4" ht="13">
      <c r="B23685" s="12" t="str">
        <f ca="1">IFERROR(__xludf.DUMMYFUNCTION("""COMPUTED_VALUE"""),"")</f>
        <v/>
      </c>
      <c r="C23685" s="12" t="str">
        <f ca="1">IFERROR(__xludf.DUMMYFUNCTION("""COMPUTED_VALUE"""),"")</f>
        <v/>
      </c>
      <c r="D23685" s="12" t="str">
        <f ca="1">IFERROR(__xludf.DUMMYFUNCTION("""COMPUTED_VALUE"""),"")</f>
        <v/>
      </c>
    </row>
    <row r="23686" spans="2:4" ht="13">
      <c r="B23686" s="12" t="str">
        <f ca="1">IFERROR(__xludf.DUMMYFUNCTION("""COMPUTED_VALUE"""),"")</f>
        <v/>
      </c>
      <c r="C23686" s="12" t="str">
        <f ca="1">IFERROR(__xludf.DUMMYFUNCTION("""COMPUTED_VALUE"""),"")</f>
        <v/>
      </c>
      <c r="D23686" s="12" t="str">
        <f ca="1">IFERROR(__xludf.DUMMYFUNCTION("""COMPUTED_VALUE"""),"")</f>
        <v/>
      </c>
    </row>
    <row r="23687" spans="2:4" ht="13">
      <c r="B23687" s="12" t="str">
        <f ca="1">IFERROR(__xludf.DUMMYFUNCTION("""COMPUTED_VALUE"""),"")</f>
        <v/>
      </c>
      <c r="C23687" s="12" t="str">
        <f ca="1">IFERROR(__xludf.DUMMYFUNCTION("""COMPUTED_VALUE"""),"")</f>
        <v/>
      </c>
      <c r="D23687" s="12" t="str">
        <f ca="1">IFERROR(__xludf.DUMMYFUNCTION("""COMPUTED_VALUE"""),"")</f>
        <v/>
      </c>
    </row>
    <row r="23688" spans="2:4" ht="13">
      <c r="B23688" s="12" t="str">
        <f ca="1">IFERROR(__xludf.DUMMYFUNCTION("""COMPUTED_VALUE"""),"")</f>
        <v/>
      </c>
      <c r="C23688" s="12" t="str">
        <f ca="1">IFERROR(__xludf.DUMMYFUNCTION("""COMPUTED_VALUE"""),"")</f>
        <v/>
      </c>
      <c r="D23688" s="12" t="str">
        <f ca="1">IFERROR(__xludf.DUMMYFUNCTION("""COMPUTED_VALUE"""),"")</f>
        <v/>
      </c>
    </row>
    <row r="23689" spans="2:4" ht="13">
      <c r="B23689" s="12" t="str">
        <f ca="1">IFERROR(__xludf.DUMMYFUNCTION("""COMPUTED_VALUE"""),"")</f>
        <v/>
      </c>
      <c r="C23689" s="12" t="str">
        <f ca="1">IFERROR(__xludf.DUMMYFUNCTION("""COMPUTED_VALUE"""),"")</f>
        <v/>
      </c>
      <c r="D23689" s="12" t="str">
        <f ca="1">IFERROR(__xludf.DUMMYFUNCTION("""COMPUTED_VALUE"""),"")</f>
        <v/>
      </c>
    </row>
    <row r="23690" spans="2:4" ht="13">
      <c r="B23690" s="12" t="str">
        <f ca="1">IFERROR(__xludf.DUMMYFUNCTION("""COMPUTED_VALUE"""),"")</f>
        <v/>
      </c>
      <c r="C23690" s="12" t="str">
        <f ca="1">IFERROR(__xludf.DUMMYFUNCTION("""COMPUTED_VALUE"""),"")</f>
        <v/>
      </c>
      <c r="D23690" s="12" t="str">
        <f ca="1">IFERROR(__xludf.DUMMYFUNCTION("""COMPUTED_VALUE"""),"")</f>
        <v/>
      </c>
    </row>
    <row r="23691" spans="2:4" ht="13">
      <c r="B23691" s="12" t="str">
        <f ca="1">IFERROR(__xludf.DUMMYFUNCTION("""COMPUTED_VALUE"""),"")</f>
        <v/>
      </c>
      <c r="C23691" s="12" t="str">
        <f ca="1">IFERROR(__xludf.DUMMYFUNCTION("""COMPUTED_VALUE"""),"")</f>
        <v/>
      </c>
      <c r="D23691" s="12" t="str">
        <f ca="1">IFERROR(__xludf.DUMMYFUNCTION("""COMPUTED_VALUE"""),"")</f>
        <v/>
      </c>
    </row>
    <row r="23692" spans="2:4" ht="13">
      <c r="B23692" s="12" t="str">
        <f ca="1">IFERROR(__xludf.DUMMYFUNCTION("""COMPUTED_VALUE"""),"")</f>
        <v/>
      </c>
      <c r="C23692" s="12" t="str">
        <f ca="1">IFERROR(__xludf.DUMMYFUNCTION("""COMPUTED_VALUE"""),"")</f>
        <v/>
      </c>
      <c r="D23692" s="12" t="str">
        <f ca="1">IFERROR(__xludf.DUMMYFUNCTION("""COMPUTED_VALUE"""),"")</f>
        <v/>
      </c>
    </row>
    <row r="23693" spans="2:4" ht="13">
      <c r="B23693" s="12" t="str">
        <f ca="1">IFERROR(__xludf.DUMMYFUNCTION("""COMPUTED_VALUE"""),"")</f>
        <v/>
      </c>
      <c r="C23693" s="12" t="str">
        <f ca="1">IFERROR(__xludf.DUMMYFUNCTION("""COMPUTED_VALUE"""),"")</f>
        <v/>
      </c>
      <c r="D23693" s="12" t="str">
        <f ca="1">IFERROR(__xludf.DUMMYFUNCTION("""COMPUTED_VALUE"""),"")</f>
        <v/>
      </c>
    </row>
    <row r="23694" spans="2:4" ht="13">
      <c r="B23694" s="12" t="str">
        <f ca="1">IFERROR(__xludf.DUMMYFUNCTION("""COMPUTED_VALUE"""),"")</f>
        <v/>
      </c>
      <c r="C23694" s="12" t="str">
        <f ca="1">IFERROR(__xludf.DUMMYFUNCTION("""COMPUTED_VALUE"""),"")</f>
        <v/>
      </c>
      <c r="D23694" s="12" t="str">
        <f ca="1">IFERROR(__xludf.DUMMYFUNCTION("""COMPUTED_VALUE"""),"")</f>
        <v/>
      </c>
    </row>
    <row r="23695" spans="2:4" ht="13">
      <c r="B23695" s="12" t="str">
        <f ca="1">IFERROR(__xludf.DUMMYFUNCTION("""COMPUTED_VALUE"""),"")</f>
        <v/>
      </c>
      <c r="C23695" s="12" t="str">
        <f ca="1">IFERROR(__xludf.DUMMYFUNCTION("""COMPUTED_VALUE"""),"")</f>
        <v/>
      </c>
      <c r="D23695" s="12" t="str">
        <f ca="1">IFERROR(__xludf.DUMMYFUNCTION("""COMPUTED_VALUE"""),"")</f>
        <v/>
      </c>
    </row>
    <row r="23696" spans="2:4" ht="13">
      <c r="B23696" s="12" t="str">
        <f ca="1">IFERROR(__xludf.DUMMYFUNCTION("""COMPUTED_VALUE"""),"")</f>
        <v/>
      </c>
      <c r="C23696" s="12" t="str">
        <f ca="1">IFERROR(__xludf.DUMMYFUNCTION("""COMPUTED_VALUE"""),"")</f>
        <v/>
      </c>
      <c r="D23696" s="12" t="str">
        <f ca="1">IFERROR(__xludf.DUMMYFUNCTION("""COMPUTED_VALUE"""),"")</f>
        <v/>
      </c>
    </row>
    <row r="23697" spans="2:4" ht="13">
      <c r="B23697" s="12" t="str">
        <f ca="1">IFERROR(__xludf.DUMMYFUNCTION("""COMPUTED_VALUE"""),"")</f>
        <v/>
      </c>
      <c r="C23697" s="12" t="str">
        <f ca="1">IFERROR(__xludf.DUMMYFUNCTION("""COMPUTED_VALUE"""),"")</f>
        <v/>
      </c>
      <c r="D23697" s="12" t="str">
        <f ca="1">IFERROR(__xludf.DUMMYFUNCTION("""COMPUTED_VALUE"""),"")</f>
        <v/>
      </c>
    </row>
    <row r="23698" spans="2:4" ht="13">
      <c r="B23698" s="12" t="str">
        <f ca="1">IFERROR(__xludf.DUMMYFUNCTION("""COMPUTED_VALUE"""),"")</f>
        <v/>
      </c>
      <c r="C23698" s="12" t="str">
        <f ca="1">IFERROR(__xludf.DUMMYFUNCTION("""COMPUTED_VALUE"""),"")</f>
        <v/>
      </c>
      <c r="D23698" s="12" t="str">
        <f ca="1">IFERROR(__xludf.DUMMYFUNCTION("""COMPUTED_VALUE"""),"")</f>
        <v/>
      </c>
    </row>
    <row r="23699" spans="2:4" ht="13">
      <c r="B23699" s="12" t="str">
        <f ca="1">IFERROR(__xludf.DUMMYFUNCTION("""COMPUTED_VALUE"""),"")</f>
        <v/>
      </c>
      <c r="C23699" s="12" t="str">
        <f ca="1">IFERROR(__xludf.DUMMYFUNCTION("""COMPUTED_VALUE"""),"")</f>
        <v/>
      </c>
      <c r="D23699" s="12" t="str">
        <f ca="1">IFERROR(__xludf.DUMMYFUNCTION("""COMPUTED_VALUE"""),"")</f>
        <v/>
      </c>
    </row>
    <row r="23700" spans="2:4" ht="13">
      <c r="B23700" s="12" t="str">
        <f ca="1">IFERROR(__xludf.DUMMYFUNCTION("""COMPUTED_VALUE"""),"")</f>
        <v/>
      </c>
      <c r="C23700" s="12" t="str">
        <f ca="1">IFERROR(__xludf.DUMMYFUNCTION("""COMPUTED_VALUE"""),"")</f>
        <v/>
      </c>
      <c r="D23700" s="12" t="str">
        <f ca="1">IFERROR(__xludf.DUMMYFUNCTION("""COMPUTED_VALUE"""),"")</f>
        <v/>
      </c>
    </row>
    <row r="23701" spans="2:4" ht="13">
      <c r="B23701" s="12" t="str">
        <f ca="1">IFERROR(__xludf.DUMMYFUNCTION("""COMPUTED_VALUE"""),"")</f>
        <v/>
      </c>
      <c r="C23701" s="12" t="str">
        <f ca="1">IFERROR(__xludf.DUMMYFUNCTION("""COMPUTED_VALUE"""),"")</f>
        <v/>
      </c>
      <c r="D23701" s="12" t="str">
        <f ca="1">IFERROR(__xludf.DUMMYFUNCTION("""COMPUTED_VALUE"""),"")</f>
        <v/>
      </c>
    </row>
    <row r="23702" spans="2:4" ht="13">
      <c r="B23702" s="12" t="str">
        <f ca="1">IFERROR(__xludf.DUMMYFUNCTION("""COMPUTED_VALUE"""),"")</f>
        <v/>
      </c>
      <c r="C23702" s="12" t="str">
        <f ca="1">IFERROR(__xludf.DUMMYFUNCTION("""COMPUTED_VALUE"""),"")</f>
        <v/>
      </c>
      <c r="D23702" s="12" t="str">
        <f ca="1">IFERROR(__xludf.DUMMYFUNCTION("""COMPUTED_VALUE"""),"")</f>
        <v/>
      </c>
    </row>
    <row r="23703" spans="2:4" ht="13">
      <c r="B23703" s="12" t="str">
        <f ca="1">IFERROR(__xludf.DUMMYFUNCTION("""COMPUTED_VALUE"""),"")</f>
        <v/>
      </c>
      <c r="C23703" s="12" t="str">
        <f ca="1">IFERROR(__xludf.DUMMYFUNCTION("""COMPUTED_VALUE"""),"")</f>
        <v/>
      </c>
      <c r="D23703" s="12" t="str">
        <f ca="1">IFERROR(__xludf.DUMMYFUNCTION("""COMPUTED_VALUE"""),"")</f>
        <v/>
      </c>
    </row>
    <row r="23704" spans="2:4" ht="13">
      <c r="B23704" s="12" t="str">
        <f ca="1">IFERROR(__xludf.DUMMYFUNCTION("""COMPUTED_VALUE"""),"")</f>
        <v/>
      </c>
      <c r="C23704" s="12" t="str">
        <f ca="1">IFERROR(__xludf.DUMMYFUNCTION("""COMPUTED_VALUE"""),"")</f>
        <v/>
      </c>
      <c r="D23704" s="12" t="str">
        <f ca="1">IFERROR(__xludf.DUMMYFUNCTION("""COMPUTED_VALUE"""),"")</f>
        <v/>
      </c>
    </row>
    <row r="23705" spans="2:4" ht="13">
      <c r="B23705" s="12" t="str">
        <f ca="1">IFERROR(__xludf.DUMMYFUNCTION("""COMPUTED_VALUE"""),"")</f>
        <v/>
      </c>
      <c r="C23705" s="12" t="str">
        <f ca="1">IFERROR(__xludf.DUMMYFUNCTION("""COMPUTED_VALUE"""),"")</f>
        <v/>
      </c>
      <c r="D23705" s="12" t="str">
        <f ca="1">IFERROR(__xludf.DUMMYFUNCTION("""COMPUTED_VALUE"""),"")</f>
        <v/>
      </c>
    </row>
    <row r="23706" spans="2:4" ht="13">
      <c r="B23706" s="12" t="str">
        <f ca="1">IFERROR(__xludf.DUMMYFUNCTION("""COMPUTED_VALUE"""),"")</f>
        <v/>
      </c>
      <c r="C23706" s="12" t="str">
        <f ca="1">IFERROR(__xludf.DUMMYFUNCTION("""COMPUTED_VALUE"""),"")</f>
        <v/>
      </c>
      <c r="D23706" s="12" t="str">
        <f ca="1">IFERROR(__xludf.DUMMYFUNCTION("""COMPUTED_VALUE"""),"")</f>
        <v/>
      </c>
    </row>
    <row r="23707" spans="2:4" ht="13">
      <c r="B23707" s="12" t="str">
        <f ca="1">IFERROR(__xludf.DUMMYFUNCTION("""COMPUTED_VALUE"""),"")</f>
        <v/>
      </c>
      <c r="C23707" s="12" t="str">
        <f ca="1">IFERROR(__xludf.DUMMYFUNCTION("""COMPUTED_VALUE"""),"")</f>
        <v/>
      </c>
      <c r="D23707" s="12" t="str">
        <f ca="1">IFERROR(__xludf.DUMMYFUNCTION("""COMPUTED_VALUE"""),"")</f>
        <v/>
      </c>
    </row>
    <row r="23708" spans="2:4" ht="13">
      <c r="B23708" s="12" t="str">
        <f ca="1">IFERROR(__xludf.DUMMYFUNCTION("""COMPUTED_VALUE"""),"")</f>
        <v/>
      </c>
      <c r="C23708" s="12" t="str">
        <f ca="1">IFERROR(__xludf.DUMMYFUNCTION("""COMPUTED_VALUE"""),"")</f>
        <v/>
      </c>
      <c r="D23708" s="12" t="str">
        <f ca="1">IFERROR(__xludf.DUMMYFUNCTION("""COMPUTED_VALUE"""),"")</f>
        <v/>
      </c>
    </row>
    <row r="23709" spans="2:4" ht="13">
      <c r="B23709" s="12" t="str">
        <f ca="1">IFERROR(__xludf.DUMMYFUNCTION("""COMPUTED_VALUE"""),"")</f>
        <v/>
      </c>
      <c r="C23709" s="12" t="str">
        <f ca="1">IFERROR(__xludf.DUMMYFUNCTION("""COMPUTED_VALUE"""),"")</f>
        <v/>
      </c>
      <c r="D23709" s="12" t="str">
        <f ca="1">IFERROR(__xludf.DUMMYFUNCTION("""COMPUTED_VALUE"""),"")</f>
        <v/>
      </c>
    </row>
    <row r="23710" spans="2:4" ht="13">
      <c r="B23710" s="12" t="str">
        <f ca="1">IFERROR(__xludf.DUMMYFUNCTION("""COMPUTED_VALUE"""),"")</f>
        <v/>
      </c>
      <c r="C23710" s="12" t="str">
        <f ca="1">IFERROR(__xludf.DUMMYFUNCTION("""COMPUTED_VALUE"""),"")</f>
        <v/>
      </c>
      <c r="D23710" s="12" t="str">
        <f ca="1">IFERROR(__xludf.DUMMYFUNCTION("""COMPUTED_VALUE"""),"")</f>
        <v/>
      </c>
    </row>
    <row r="23711" spans="2:4" ht="13">
      <c r="B23711" s="12" t="str">
        <f ca="1">IFERROR(__xludf.DUMMYFUNCTION("""COMPUTED_VALUE"""),"")</f>
        <v/>
      </c>
      <c r="C23711" s="12" t="str">
        <f ca="1">IFERROR(__xludf.DUMMYFUNCTION("""COMPUTED_VALUE"""),"")</f>
        <v/>
      </c>
      <c r="D23711" s="12" t="str">
        <f ca="1">IFERROR(__xludf.DUMMYFUNCTION("""COMPUTED_VALUE"""),"")</f>
        <v/>
      </c>
    </row>
    <row r="23712" spans="2:4" ht="13">
      <c r="B23712" s="12" t="str">
        <f ca="1">IFERROR(__xludf.DUMMYFUNCTION("""COMPUTED_VALUE"""),"")</f>
        <v/>
      </c>
      <c r="C23712" s="12" t="str">
        <f ca="1">IFERROR(__xludf.DUMMYFUNCTION("""COMPUTED_VALUE"""),"")</f>
        <v/>
      </c>
      <c r="D23712" s="12" t="str">
        <f ca="1">IFERROR(__xludf.DUMMYFUNCTION("""COMPUTED_VALUE"""),"")</f>
        <v/>
      </c>
    </row>
    <row r="23713" spans="2:4" ht="13">
      <c r="B23713" s="12" t="str">
        <f ca="1">IFERROR(__xludf.DUMMYFUNCTION("""COMPUTED_VALUE"""),"")</f>
        <v/>
      </c>
      <c r="C23713" s="12" t="str">
        <f ca="1">IFERROR(__xludf.DUMMYFUNCTION("""COMPUTED_VALUE"""),"")</f>
        <v/>
      </c>
      <c r="D23713" s="12" t="str">
        <f ca="1">IFERROR(__xludf.DUMMYFUNCTION("""COMPUTED_VALUE"""),"")</f>
        <v/>
      </c>
    </row>
    <row r="23714" spans="2:4" ht="13">
      <c r="B23714" s="12" t="str">
        <f ca="1">IFERROR(__xludf.DUMMYFUNCTION("""COMPUTED_VALUE"""),"")</f>
        <v/>
      </c>
      <c r="C23714" s="12" t="str">
        <f ca="1">IFERROR(__xludf.DUMMYFUNCTION("""COMPUTED_VALUE"""),"")</f>
        <v/>
      </c>
      <c r="D23714" s="12" t="str">
        <f ca="1">IFERROR(__xludf.DUMMYFUNCTION("""COMPUTED_VALUE"""),"")</f>
        <v/>
      </c>
    </row>
    <row r="23715" spans="2:4" ht="13">
      <c r="B23715" s="12" t="str">
        <f ca="1">IFERROR(__xludf.DUMMYFUNCTION("""COMPUTED_VALUE"""),"")</f>
        <v/>
      </c>
      <c r="C23715" s="12" t="str">
        <f ca="1">IFERROR(__xludf.DUMMYFUNCTION("""COMPUTED_VALUE"""),"")</f>
        <v/>
      </c>
      <c r="D23715" s="12" t="str">
        <f ca="1">IFERROR(__xludf.DUMMYFUNCTION("""COMPUTED_VALUE"""),"")</f>
        <v/>
      </c>
    </row>
    <row r="23716" spans="2:4" ht="13">
      <c r="B23716" s="12" t="str">
        <f ca="1">IFERROR(__xludf.DUMMYFUNCTION("""COMPUTED_VALUE"""),"")</f>
        <v/>
      </c>
      <c r="C23716" s="12" t="str">
        <f ca="1">IFERROR(__xludf.DUMMYFUNCTION("""COMPUTED_VALUE"""),"")</f>
        <v/>
      </c>
      <c r="D23716" s="12" t="str">
        <f ca="1">IFERROR(__xludf.DUMMYFUNCTION("""COMPUTED_VALUE"""),"")</f>
        <v/>
      </c>
    </row>
    <row r="23717" spans="2:4" ht="13">
      <c r="B23717" s="12" t="str">
        <f ca="1">IFERROR(__xludf.DUMMYFUNCTION("""COMPUTED_VALUE"""),"")</f>
        <v/>
      </c>
      <c r="C23717" s="12" t="str">
        <f ca="1">IFERROR(__xludf.DUMMYFUNCTION("""COMPUTED_VALUE"""),"")</f>
        <v/>
      </c>
      <c r="D23717" s="12" t="str">
        <f ca="1">IFERROR(__xludf.DUMMYFUNCTION("""COMPUTED_VALUE"""),"")</f>
        <v/>
      </c>
    </row>
    <row r="23718" spans="2:4" ht="13">
      <c r="B23718" s="12" t="str">
        <f ca="1">IFERROR(__xludf.DUMMYFUNCTION("""COMPUTED_VALUE"""),"")</f>
        <v/>
      </c>
      <c r="C23718" s="12" t="str">
        <f ca="1">IFERROR(__xludf.DUMMYFUNCTION("""COMPUTED_VALUE"""),"")</f>
        <v/>
      </c>
      <c r="D23718" s="12" t="str">
        <f ca="1">IFERROR(__xludf.DUMMYFUNCTION("""COMPUTED_VALUE"""),"")</f>
        <v/>
      </c>
    </row>
    <row r="23719" spans="2:4" ht="13">
      <c r="B23719" s="12" t="str">
        <f ca="1">IFERROR(__xludf.DUMMYFUNCTION("""COMPUTED_VALUE"""),"")</f>
        <v/>
      </c>
      <c r="C23719" s="12" t="str">
        <f ca="1">IFERROR(__xludf.DUMMYFUNCTION("""COMPUTED_VALUE"""),"")</f>
        <v/>
      </c>
      <c r="D23719" s="12" t="str">
        <f ca="1">IFERROR(__xludf.DUMMYFUNCTION("""COMPUTED_VALUE"""),"")</f>
        <v/>
      </c>
    </row>
    <row r="23720" spans="2:4" ht="13">
      <c r="B23720" s="12" t="str">
        <f ca="1">IFERROR(__xludf.DUMMYFUNCTION("""COMPUTED_VALUE"""),"")</f>
        <v/>
      </c>
      <c r="C23720" s="12" t="str">
        <f ca="1">IFERROR(__xludf.DUMMYFUNCTION("""COMPUTED_VALUE"""),"")</f>
        <v/>
      </c>
      <c r="D23720" s="12" t="str">
        <f ca="1">IFERROR(__xludf.DUMMYFUNCTION("""COMPUTED_VALUE"""),"")</f>
        <v/>
      </c>
    </row>
    <row r="23721" spans="2:4" ht="13">
      <c r="B23721" s="12" t="str">
        <f ca="1">IFERROR(__xludf.DUMMYFUNCTION("""COMPUTED_VALUE"""),"")</f>
        <v/>
      </c>
      <c r="C23721" s="12" t="str">
        <f ca="1">IFERROR(__xludf.DUMMYFUNCTION("""COMPUTED_VALUE"""),"")</f>
        <v/>
      </c>
      <c r="D23721" s="12" t="str">
        <f ca="1">IFERROR(__xludf.DUMMYFUNCTION("""COMPUTED_VALUE"""),"")</f>
        <v/>
      </c>
    </row>
    <row r="23722" spans="2:4" ht="13">
      <c r="B23722" s="12" t="str">
        <f ca="1">IFERROR(__xludf.DUMMYFUNCTION("""COMPUTED_VALUE"""),"")</f>
        <v/>
      </c>
      <c r="C23722" s="12" t="str">
        <f ca="1">IFERROR(__xludf.DUMMYFUNCTION("""COMPUTED_VALUE"""),"")</f>
        <v/>
      </c>
      <c r="D23722" s="12" t="str">
        <f ca="1">IFERROR(__xludf.DUMMYFUNCTION("""COMPUTED_VALUE"""),"")</f>
        <v/>
      </c>
    </row>
    <row r="23723" spans="2:4" ht="13">
      <c r="B23723" s="12" t="str">
        <f ca="1">IFERROR(__xludf.DUMMYFUNCTION("""COMPUTED_VALUE"""),"")</f>
        <v/>
      </c>
      <c r="C23723" s="12" t="str">
        <f ca="1">IFERROR(__xludf.DUMMYFUNCTION("""COMPUTED_VALUE"""),"")</f>
        <v/>
      </c>
      <c r="D23723" s="12" t="str">
        <f ca="1">IFERROR(__xludf.DUMMYFUNCTION("""COMPUTED_VALUE"""),"")</f>
        <v/>
      </c>
    </row>
    <row r="23724" spans="2:4" ht="13">
      <c r="B23724" s="12" t="str">
        <f ca="1">IFERROR(__xludf.DUMMYFUNCTION("""COMPUTED_VALUE"""),"")</f>
        <v/>
      </c>
      <c r="C23724" s="12" t="str">
        <f ca="1">IFERROR(__xludf.DUMMYFUNCTION("""COMPUTED_VALUE"""),"")</f>
        <v/>
      </c>
      <c r="D23724" s="12" t="str">
        <f ca="1">IFERROR(__xludf.DUMMYFUNCTION("""COMPUTED_VALUE"""),"")</f>
        <v/>
      </c>
    </row>
    <row r="23725" spans="2:4" ht="13">
      <c r="B23725" s="12" t="str">
        <f ca="1">IFERROR(__xludf.DUMMYFUNCTION("""COMPUTED_VALUE"""),"")</f>
        <v/>
      </c>
      <c r="C23725" s="12" t="str">
        <f ca="1">IFERROR(__xludf.DUMMYFUNCTION("""COMPUTED_VALUE"""),"")</f>
        <v/>
      </c>
      <c r="D23725" s="12" t="str">
        <f ca="1">IFERROR(__xludf.DUMMYFUNCTION("""COMPUTED_VALUE"""),"")</f>
        <v/>
      </c>
    </row>
    <row r="23726" spans="2:4" ht="13">
      <c r="B23726" s="12" t="str">
        <f ca="1">IFERROR(__xludf.DUMMYFUNCTION("""COMPUTED_VALUE"""),"")</f>
        <v/>
      </c>
      <c r="C23726" s="12" t="str">
        <f ca="1">IFERROR(__xludf.DUMMYFUNCTION("""COMPUTED_VALUE"""),"")</f>
        <v/>
      </c>
      <c r="D23726" s="12" t="str">
        <f ca="1">IFERROR(__xludf.DUMMYFUNCTION("""COMPUTED_VALUE"""),"")</f>
        <v/>
      </c>
    </row>
    <row r="23727" spans="2:4" ht="13">
      <c r="B23727" s="12" t="str">
        <f ca="1">IFERROR(__xludf.DUMMYFUNCTION("""COMPUTED_VALUE"""),"")</f>
        <v/>
      </c>
      <c r="C23727" s="12" t="str">
        <f ca="1">IFERROR(__xludf.DUMMYFUNCTION("""COMPUTED_VALUE"""),"")</f>
        <v/>
      </c>
      <c r="D23727" s="12" t="str">
        <f ca="1">IFERROR(__xludf.DUMMYFUNCTION("""COMPUTED_VALUE"""),"")</f>
        <v/>
      </c>
    </row>
    <row r="23728" spans="2:4" ht="13">
      <c r="B23728" s="12" t="str">
        <f ca="1">IFERROR(__xludf.DUMMYFUNCTION("""COMPUTED_VALUE"""),"")</f>
        <v/>
      </c>
      <c r="C23728" s="12" t="str">
        <f ca="1">IFERROR(__xludf.DUMMYFUNCTION("""COMPUTED_VALUE"""),"")</f>
        <v/>
      </c>
      <c r="D23728" s="12" t="str">
        <f ca="1">IFERROR(__xludf.DUMMYFUNCTION("""COMPUTED_VALUE"""),"")</f>
        <v/>
      </c>
    </row>
    <row r="23729" spans="2:4" ht="13">
      <c r="B23729" s="12" t="str">
        <f ca="1">IFERROR(__xludf.DUMMYFUNCTION("""COMPUTED_VALUE"""),"")</f>
        <v/>
      </c>
      <c r="C23729" s="12" t="str">
        <f ca="1">IFERROR(__xludf.DUMMYFUNCTION("""COMPUTED_VALUE"""),"")</f>
        <v/>
      </c>
      <c r="D23729" s="12" t="str">
        <f ca="1">IFERROR(__xludf.DUMMYFUNCTION("""COMPUTED_VALUE"""),"")</f>
        <v/>
      </c>
    </row>
    <row r="23730" spans="2:4" ht="13">
      <c r="B23730" s="12" t="str">
        <f ca="1">IFERROR(__xludf.DUMMYFUNCTION("""COMPUTED_VALUE"""),"")</f>
        <v/>
      </c>
      <c r="C23730" s="12" t="str">
        <f ca="1">IFERROR(__xludf.DUMMYFUNCTION("""COMPUTED_VALUE"""),"")</f>
        <v/>
      </c>
      <c r="D23730" s="12" t="str">
        <f ca="1">IFERROR(__xludf.DUMMYFUNCTION("""COMPUTED_VALUE"""),"")</f>
        <v/>
      </c>
    </row>
    <row r="23731" spans="2:4" ht="13">
      <c r="B23731" s="12" t="str">
        <f ca="1">IFERROR(__xludf.DUMMYFUNCTION("""COMPUTED_VALUE"""),"")</f>
        <v/>
      </c>
      <c r="C23731" s="12" t="str">
        <f ca="1">IFERROR(__xludf.DUMMYFUNCTION("""COMPUTED_VALUE"""),"")</f>
        <v/>
      </c>
      <c r="D23731" s="12" t="str">
        <f ca="1">IFERROR(__xludf.DUMMYFUNCTION("""COMPUTED_VALUE"""),"")</f>
        <v/>
      </c>
    </row>
    <row r="23732" spans="2:4" ht="13">
      <c r="B23732" s="12" t="str">
        <f ca="1">IFERROR(__xludf.DUMMYFUNCTION("""COMPUTED_VALUE"""),"")</f>
        <v/>
      </c>
      <c r="C23732" s="12" t="str">
        <f ca="1">IFERROR(__xludf.DUMMYFUNCTION("""COMPUTED_VALUE"""),"")</f>
        <v/>
      </c>
      <c r="D23732" s="12" t="str">
        <f ca="1">IFERROR(__xludf.DUMMYFUNCTION("""COMPUTED_VALUE"""),"")</f>
        <v/>
      </c>
    </row>
    <row r="23733" spans="2:4" ht="13">
      <c r="B23733" s="12" t="str">
        <f ca="1">IFERROR(__xludf.DUMMYFUNCTION("""COMPUTED_VALUE"""),"")</f>
        <v/>
      </c>
      <c r="C23733" s="12" t="str">
        <f ca="1">IFERROR(__xludf.DUMMYFUNCTION("""COMPUTED_VALUE"""),"")</f>
        <v/>
      </c>
      <c r="D23733" s="12" t="str">
        <f ca="1">IFERROR(__xludf.DUMMYFUNCTION("""COMPUTED_VALUE"""),"")</f>
        <v/>
      </c>
    </row>
    <row r="23734" spans="2:4" ht="13">
      <c r="B23734" s="12" t="str">
        <f ca="1">IFERROR(__xludf.DUMMYFUNCTION("""COMPUTED_VALUE"""),"")</f>
        <v/>
      </c>
      <c r="C23734" s="12" t="str">
        <f ca="1">IFERROR(__xludf.DUMMYFUNCTION("""COMPUTED_VALUE"""),"")</f>
        <v/>
      </c>
      <c r="D23734" s="12" t="str">
        <f ca="1">IFERROR(__xludf.DUMMYFUNCTION("""COMPUTED_VALUE"""),"")</f>
        <v/>
      </c>
    </row>
    <row r="23735" spans="2:4" ht="13">
      <c r="B23735" s="12" t="str">
        <f ca="1">IFERROR(__xludf.DUMMYFUNCTION("""COMPUTED_VALUE"""),"")</f>
        <v/>
      </c>
      <c r="C23735" s="12" t="str">
        <f ca="1">IFERROR(__xludf.DUMMYFUNCTION("""COMPUTED_VALUE"""),"")</f>
        <v/>
      </c>
      <c r="D23735" s="12" t="str">
        <f ca="1">IFERROR(__xludf.DUMMYFUNCTION("""COMPUTED_VALUE"""),"")</f>
        <v/>
      </c>
    </row>
    <row r="23736" spans="2:4" ht="13">
      <c r="B23736" s="12" t="str">
        <f ca="1">IFERROR(__xludf.DUMMYFUNCTION("""COMPUTED_VALUE"""),"")</f>
        <v/>
      </c>
      <c r="C23736" s="12" t="str">
        <f ca="1">IFERROR(__xludf.DUMMYFUNCTION("""COMPUTED_VALUE"""),"")</f>
        <v/>
      </c>
      <c r="D23736" s="12" t="str">
        <f ca="1">IFERROR(__xludf.DUMMYFUNCTION("""COMPUTED_VALUE"""),"")</f>
        <v/>
      </c>
    </row>
    <row r="23737" spans="2:4" ht="13">
      <c r="B23737" s="12" t="str">
        <f ca="1">IFERROR(__xludf.DUMMYFUNCTION("""COMPUTED_VALUE"""),"")</f>
        <v/>
      </c>
      <c r="C23737" s="12" t="str">
        <f ca="1">IFERROR(__xludf.DUMMYFUNCTION("""COMPUTED_VALUE"""),"")</f>
        <v/>
      </c>
      <c r="D23737" s="12" t="str">
        <f ca="1">IFERROR(__xludf.DUMMYFUNCTION("""COMPUTED_VALUE"""),"")</f>
        <v/>
      </c>
    </row>
    <row r="23738" spans="2:4" ht="13">
      <c r="B23738" s="12" t="str">
        <f ca="1">IFERROR(__xludf.DUMMYFUNCTION("""COMPUTED_VALUE"""),"")</f>
        <v/>
      </c>
      <c r="C23738" s="12" t="str">
        <f ca="1">IFERROR(__xludf.DUMMYFUNCTION("""COMPUTED_VALUE"""),"")</f>
        <v/>
      </c>
      <c r="D23738" s="12" t="str">
        <f ca="1">IFERROR(__xludf.DUMMYFUNCTION("""COMPUTED_VALUE"""),"")</f>
        <v/>
      </c>
    </row>
    <row r="23739" spans="2:4" ht="13">
      <c r="B23739" s="12" t="str">
        <f ca="1">IFERROR(__xludf.DUMMYFUNCTION("""COMPUTED_VALUE"""),"")</f>
        <v/>
      </c>
      <c r="C23739" s="12" t="str">
        <f ca="1">IFERROR(__xludf.DUMMYFUNCTION("""COMPUTED_VALUE"""),"")</f>
        <v/>
      </c>
      <c r="D23739" s="12" t="str">
        <f ca="1">IFERROR(__xludf.DUMMYFUNCTION("""COMPUTED_VALUE"""),"")</f>
        <v/>
      </c>
    </row>
    <row r="23740" spans="2:4" ht="13">
      <c r="B23740" s="12" t="str">
        <f ca="1">IFERROR(__xludf.DUMMYFUNCTION("""COMPUTED_VALUE"""),"")</f>
        <v/>
      </c>
      <c r="C23740" s="12" t="str">
        <f ca="1">IFERROR(__xludf.DUMMYFUNCTION("""COMPUTED_VALUE"""),"")</f>
        <v/>
      </c>
      <c r="D23740" s="12" t="str">
        <f ca="1">IFERROR(__xludf.DUMMYFUNCTION("""COMPUTED_VALUE"""),"")</f>
        <v/>
      </c>
    </row>
    <row r="23741" spans="2:4" ht="13">
      <c r="B23741" s="12" t="str">
        <f ca="1">IFERROR(__xludf.DUMMYFUNCTION("""COMPUTED_VALUE"""),"")</f>
        <v/>
      </c>
      <c r="C23741" s="12" t="str">
        <f ca="1">IFERROR(__xludf.DUMMYFUNCTION("""COMPUTED_VALUE"""),"")</f>
        <v/>
      </c>
      <c r="D23741" s="12" t="str">
        <f ca="1">IFERROR(__xludf.DUMMYFUNCTION("""COMPUTED_VALUE"""),"")</f>
        <v/>
      </c>
    </row>
    <row r="23742" spans="2:4" ht="13">
      <c r="B23742" s="12" t="str">
        <f ca="1">IFERROR(__xludf.DUMMYFUNCTION("""COMPUTED_VALUE"""),"")</f>
        <v/>
      </c>
      <c r="C23742" s="12" t="str">
        <f ca="1">IFERROR(__xludf.DUMMYFUNCTION("""COMPUTED_VALUE"""),"")</f>
        <v/>
      </c>
      <c r="D23742" s="12" t="str">
        <f ca="1">IFERROR(__xludf.DUMMYFUNCTION("""COMPUTED_VALUE"""),"")</f>
        <v/>
      </c>
    </row>
    <row r="23743" spans="2:4" ht="13">
      <c r="B23743" s="12" t="str">
        <f ca="1">IFERROR(__xludf.DUMMYFUNCTION("""COMPUTED_VALUE"""),"")</f>
        <v/>
      </c>
      <c r="C23743" s="12" t="str">
        <f ca="1">IFERROR(__xludf.DUMMYFUNCTION("""COMPUTED_VALUE"""),"")</f>
        <v/>
      </c>
      <c r="D23743" s="12" t="str">
        <f ca="1">IFERROR(__xludf.DUMMYFUNCTION("""COMPUTED_VALUE"""),"")</f>
        <v/>
      </c>
    </row>
    <row r="23744" spans="2:4" ht="13">
      <c r="B23744" s="12" t="str">
        <f ca="1">IFERROR(__xludf.DUMMYFUNCTION("""COMPUTED_VALUE"""),"")</f>
        <v/>
      </c>
      <c r="C23744" s="12" t="str">
        <f ca="1">IFERROR(__xludf.DUMMYFUNCTION("""COMPUTED_VALUE"""),"")</f>
        <v/>
      </c>
      <c r="D23744" s="12" t="str">
        <f ca="1">IFERROR(__xludf.DUMMYFUNCTION("""COMPUTED_VALUE"""),"")</f>
        <v/>
      </c>
    </row>
    <row r="23745" spans="2:4" ht="13">
      <c r="B23745" s="12" t="str">
        <f ca="1">IFERROR(__xludf.DUMMYFUNCTION("""COMPUTED_VALUE"""),"")</f>
        <v/>
      </c>
      <c r="C23745" s="12" t="str">
        <f ca="1">IFERROR(__xludf.DUMMYFUNCTION("""COMPUTED_VALUE"""),"")</f>
        <v/>
      </c>
      <c r="D23745" s="12" t="str">
        <f ca="1">IFERROR(__xludf.DUMMYFUNCTION("""COMPUTED_VALUE"""),"")</f>
        <v/>
      </c>
    </row>
    <row r="23746" spans="2:4" ht="13">
      <c r="B23746" s="12" t="str">
        <f ca="1">IFERROR(__xludf.DUMMYFUNCTION("""COMPUTED_VALUE"""),"")</f>
        <v/>
      </c>
      <c r="C23746" s="12" t="str">
        <f ca="1">IFERROR(__xludf.DUMMYFUNCTION("""COMPUTED_VALUE"""),"")</f>
        <v/>
      </c>
      <c r="D23746" s="12" t="str">
        <f ca="1">IFERROR(__xludf.DUMMYFUNCTION("""COMPUTED_VALUE"""),"")</f>
        <v/>
      </c>
    </row>
    <row r="23747" spans="2:4" ht="13">
      <c r="B23747" s="12" t="str">
        <f ca="1">IFERROR(__xludf.DUMMYFUNCTION("""COMPUTED_VALUE"""),"")</f>
        <v/>
      </c>
      <c r="C23747" s="12" t="str">
        <f ca="1">IFERROR(__xludf.DUMMYFUNCTION("""COMPUTED_VALUE"""),"")</f>
        <v/>
      </c>
      <c r="D23747" s="12" t="str">
        <f ca="1">IFERROR(__xludf.DUMMYFUNCTION("""COMPUTED_VALUE"""),"")</f>
        <v/>
      </c>
    </row>
    <row r="23748" spans="2:4" ht="13">
      <c r="B23748" s="12" t="str">
        <f ca="1">IFERROR(__xludf.DUMMYFUNCTION("""COMPUTED_VALUE"""),"")</f>
        <v/>
      </c>
      <c r="C23748" s="12" t="str">
        <f ca="1">IFERROR(__xludf.DUMMYFUNCTION("""COMPUTED_VALUE"""),"")</f>
        <v/>
      </c>
      <c r="D23748" s="12" t="str">
        <f ca="1">IFERROR(__xludf.DUMMYFUNCTION("""COMPUTED_VALUE"""),"")</f>
        <v/>
      </c>
    </row>
    <row r="23749" spans="2:4" ht="13">
      <c r="B23749" s="12" t="str">
        <f ca="1">IFERROR(__xludf.DUMMYFUNCTION("""COMPUTED_VALUE"""),"")</f>
        <v/>
      </c>
      <c r="C23749" s="12" t="str">
        <f ca="1">IFERROR(__xludf.DUMMYFUNCTION("""COMPUTED_VALUE"""),"")</f>
        <v/>
      </c>
      <c r="D23749" s="12" t="str">
        <f ca="1">IFERROR(__xludf.DUMMYFUNCTION("""COMPUTED_VALUE"""),"")</f>
        <v/>
      </c>
    </row>
    <row r="23750" spans="2:4" ht="13">
      <c r="B23750" s="12" t="str">
        <f ca="1">IFERROR(__xludf.DUMMYFUNCTION("""COMPUTED_VALUE"""),"")</f>
        <v/>
      </c>
      <c r="C23750" s="12" t="str">
        <f ca="1">IFERROR(__xludf.DUMMYFUNCTION("""COMPUTED_VALUE"""),"")</f>
        <v/>
      </c>
      <c r="D23750" s="12" t="str">
        <f ca="1">IFERROR(__xludf.DUMMYFUNCTION("""COMPUTED_VALUE"""),"")</f>
        <v/>
      </c>
    </row>
    <row r="23751" spans="2:4" ht="13">
      <c r="B23751" s="12" t="str">
        <f ca="1">IFERROR(__xludf.DUMMYFUNCTION("""COMPUTED_VALUE"""),"")</f>
        <v/>
      </c>
      <c r="C23751" s="12" t="str">
        <f ca="1">IFERROR(__xludf.DUMMYFUNCTION("""COMPUTED_VALUE"""),"")</f>
        <v/>
      </c>
      <c r="D23751" s="12" t="str">
        <f ca="1">IFERROR(__xludf.DUMMYFUNCTION("""COMPUTED_VALUE"""),"")</f>
        <v/>
      </c>
    </row>
    <row r="23752" spans="2:4" ht="13">
      <c r="B23752" s="12" t="str">
        <f ca="1">IFERROR(__xludf.DUMMYFUNCTION("""COMPUTED_VALUE"""),"")</f>
        <v/>
      </c>
      <c r="C23752" s="12" t="str">
        <f ca="1">IFERROR(__xludf.DUMMYFUNCTION("""COMPUTED_VALUE"""),"")</f>
        <v/>
      </c>
      <c r="D23752" s="12" t="str">
        <f ca="1">IFERROR(__xludf.DUMMYFUNCTION("""COMPUTED_VALUE"""),"")</f>
        <v/>
      </c>
    </row>
    <row r="23753" spans="2:4" ht="13">
      <c r="B23753" s="12" t="str">
        <f ca="1">IFERROR(__xludf.DUMMYFUNCTION("""COMPUTED_VALUE"""),"")</f>
        <v/>
      </c>
      <c r="C23753" s="12" t="str">
        <f ca="1">IFERROR(__xludf.DUMMYFUNCTION("""COMPUTED_VALUE"""),"")</f>
        <v/>
      </c>
      <c r="D23753" s="12" t="str">
        <f ca="1">IFERROR(__xludf.DUMMYFUNCTION("""COMPUTED_VALUE"""),"")</f>
        <v/>
      </c>
    </row>
    <row r="23754" spans="2:4" ht="13">
      <c r="B23754" s="12" t="str">
        <f ca="1">IFERROR(__xludf.DUMMYFUNCTION("""COMPUTED_VALUE"""),"")</f>
        <v/>
      </c>
      <c r="C23754" s="12" t="str">
        <f ca="1">IFERROR(__xludf.DUMMYFUNCTION("""COMPUTED_VALUE"""),"")</f>
        <v/>
      </c>
      <c r="D23754" s="12" t="str">
        <f ca="1">IFERROR(__xludf.DUMMYFUNCTION("""COMPUTED_VALUE"""),"")</f>
        <v/>
      </c>
    </row>
    <row r="23755" spans="2:4" ht="13">
      <c r="B23755" s="12" t="str">
        <f ca="1">IFERROR(__xludf.DUMMYFUNCTION("""COMPUTED_VALUE"""),"")</f>
        <v/>
      </c>
      <c r="C23755" s="12" t="str">
        <f ca="1">IFERROR(__xludf.DUMMYFUNCTION("""COMPUTED_VALUE"""),"")</f>
        <v/>
      </c>
      <c r="D23755" s="12" t="str">
        <f ca="1">IFERROR(__xludf.DUMMYFUNCTION("""COMPUTED_VALUE"""),"")</f>
        <v/>
      </c>
    </row>
    <row r="23756" spans="2:4" ht="13">
      <c r="B23756" s="12" t="str">
        <f ca="1">IFERROR(__xludf.DUMMYFUNCTION("""COMPUTED_VALUE"""),"")</f>
        <v/>
      </c>
      <c r="C23756" s="12" t="str">
        <f ca="1">IFERROR(__xludf.DUMMYFUNCTION("""COMPUTED_VALUE"""),"")</f>
        <v/>
      </c>
      <c r="D23756" s="12" t="str">
        <f ca="1">IFERROR(__xludf.DUMMYFUNCTION("""COMPUTED_VALUE"""),"")</f>
        <v/>
      </c>
    </row>
    <row r="23757" spans="2:4" ht="13">
      <c r="B23757" s="12" t="str">
        <f ca="1">IFERROR(__xludf.DUMMYFUNCTION("""COMPUTED_VALUE"""),"")</f>
        <v/>
      </c>
      <c r="C23757" s="12" t="str">
        <f ca="1">IFERROR(__xludf.DUMMYFUNCTION("""COMPUTED_VALUE"""),"")</f>
        <v/>
      </c>
      <c r="D23757" s="12" t="str">
        <f ca="1">IFERROR(__xludf.DUMMYFUNCTION("""COMPUTED_VALUE"""),"")</f>
        <v/>
      </c>
    </row>
    <row r="23758" spans="2:4" ht="13">
      <c r="B23758" s="12" t="str">
        <f ca="1">IFERROR(__xludf.DUMMYFUNCTION("""COMPUTED_VALUE"""),"")</f>
        <v/>
      </c>
      <c r="C23758" s="12" t="str">
        <f ca="1">IFERROR(__xludf.DUMMYFUNCTION("""COMPUTED_VALUE"""),"")</f>
        <v/>
      </c>
      <c r="D23758" s="12" t="str">
        <f ca="1">IFERROR(__xludf.DUMMYFUNCTION("""COMPUTED_VALUE"""),"")</f>
        <v/>
      </c>
    </row>
    <row r="23759" spans="2:4" ht="13">
      <c r="B23759" s="12" t="str">
        <f ca="1">IFERROR(__xludf.DUMMYFUNCTION("""COMPUTED_VALUE"""),"")</f>
        <v/>
      </c>
      <c r="C23759" s="12" t="str">
        <f ca="1">IFERROR(__xludf.DUMMYFUNCTION("""COMPUTED_VALUE"""),"")</f>
        <v/>
      </c>
      <c r="D23759" s="12" t="str">
        <f ca="1">IFERROR(__xludf.DUMMYFUNCTION("""COMPUTED_VALUE"""),"")</f>
        <v/>
      </c>
    </row>
    <row r="23760" spans="2:4" ht="13">
      <c r="B23760" s="12" t="str">
        <f ca="1">IFERROR(__xludf.DUMMYFUNCTION("""COMPUTED_VALUE"""),"")</f>
        <v/>
      </c>
      <c r="C23760" s="12" t="str">
        <f ca="1">IFERROR(__xludf.DUMMYFUNCTION("""COMPUTED_VALUE"""),"")</f>
        <v/>
      </c>
      <c r="D23760" s="12" t="str">
        <f ca="1">IFERROR(__xludf.DUMMYFUNCTION("""COMPUTED_VALUE"""),"")</f>
        <v/>
      </c>
    </row>
    <row r="23761" spans="2:4" ht="13">
      <c r="B23761" s="12" t="str">
        <f ca="1">IFERROR(__xludf.DUMMYFUNCTION("""COMPUTED_VALUE"""),"")</f>
        <v/>
      </c>
      <c r="C23761" s="12" t="str">
        <f ca="1">IFERROR(__xludf.DUMMYFUNCTION("""COMPUTED_VALUE"""),"")</f>
        <v/>
      </c>
      <c r="D23761" s="12" t="str">
        <f ca="1">IFERROR(__xludf.DUMMYFUNCTION("""COMPUTED_VALUE"""),"")</f>
        <v/>
      </c>
    </row>
    <row r="23762" spans="2:4" ht="13">
      <c r="B23762" s="12" t="str">
        <f ca="1">IFERROR(__xludf.DUMMYFUNCTION("""COMPUTED_VALUE"""),"")</f>
        <v/>
      </c>
      <c r="C23762" s="12" t="str">
        <f ca="1">IFERROR(__xludf.DUMMYFUNCTION("""COMPUTED_VALUE"""),"")</f>
        <v/>
      </c>
      <c r="D23762" s="12" t="str">
        <f ca="1">IFERROR(__xludf.DUMMYFUNCTION("""COMPUTED_VALUE"""),"")</f>
        <v/>
      </c>
    </row>
    <row r="23763" spans="2:4" ht="13">
      <c r="B23763" s="12" t="str">
        <f ca="1">IFERROR(__xludf.DUMMYFUNCTION("""COMPUTED_VALUE"""),"")</f>
        <v/>
      </c>
      <c r="C23763" s="12" t="str">
        <f ca="1">IFERROR(__xludf.DUMMYFUNCTION("""COMPUTED_VALUE"""),"")</f>
        <v/>
      </c>
      <c r="D23763" s="12" t="str">
        <f ca="1">IFERROR(__xludf.DUMMYFUNCTION("""COMPUTED_VALUE"""),"")</f>
        <v/>
      </c>
    </row>
    <row r="23764" spans="2:4" ht="13">
      <c r="B23764" s="12" t="str">
        <f ca="1">IFERROR(__xludf.DUMMYFUNCTION("""COMPUTED_VALUE"""),"")</f>
        <v/>
      </c>
      <c r="C23764" s="12" t="str">
        <f ca="1">IFERROR(__xludf.DUMMYFUNCTION("""COMPUTED_VALUE"""),"")</f>
        <v/>
      </c>
      <c r="D23764" s="12" t="str">
        <f ca="1">IFERROR(__xludf.DUMMYFUNCTION("""COMPUTED_VALUE"""),"")</f>
        <v/>
      </c>
    </row>
    <row r="23765" spans="2:4" ht="13">
      <c r="B23765" s="12" t="str">
        <f ca="1">IFERROR(__xludf.DUMMYFUNCTION("""COMPUTED_VALUE"""),"")</f>
        <v/>
      </c>
      <c r="C23765" s="12" t="str">
        <f ca="1">IFERROR(__xludf.DUMMYFUNCTION("""COMPUTED_VALUE"""),"")</f>
        <v/>
      </c>
      <c r="D23765" s="12" t="str">
        <f ca="1">IFERROR(__xludf.DUMMYFUNCTION("""COMPUTED_VALUE"""),"")</f>
        <v/>
      </c>
    </row>
    <row r="23766" spans="2:4" ht="13">
      <c r="B23766" s="12" t="str">
        <f ca="1">IFERROR(__xludf.DUMMYFUNCTION("""COMPUTED_VALUE"""),"")</f>
        <v/>
      </c>
      <c r="C23766" s="12" t="str">
        <f ca="1">IFERROR(__xludf.DUMMYFUNCTION("""COMPUTED_VALUE"""),"")</f>
        <v/>
      </c>
      <c r="D23766" s="12" t="str">
        <f ca="1">IFERROR(__xludf.DUMMYFUNCTION("""COMPUTED_VALUE"""),"")</f>
        <v/>
      </c>
    </row>
    <row r="23767" spans="2:4" ht="13">
      <c r="B23767" s="12" t="str">
        <f ca="1">IFERROR(__xludf.DUMMYFUNCTION("""COMPUTED_VALUE"""),"")</f>
        <v/>
      </c>
      <c r="C23767" s="12" t="str">
        <f ca="1">IFERROR(__xludf.DUMMYFUNCTION("""COMPUTED_VALUE"""),"")</f>
        <v/>
      </c>
      <c r="D23767" s="12" t="str">
        <f ca="1">IFERROR(__xludf.DUMMYFUNCTION("""COMPUTED_VALUE"""),"")</f>
        <v/>
      </c>
    </row>
    <row r="23768" spans="2:4" ht="13">
      <c r="B23768" s="12" t="str">
        <f ca="1">IFERROR(__xludf.DUMMYFUNCTION("""COMPUTED_VALUE"""),"")</f>
        <v/>
      </c>
      <c r="C23768" s="12" t="str">
        <f ca="1">IFERROR(__xludf.DUMMYFUNCTION("""COMPUTED_VALUE"""),"")</f>
        <v/>
      </c>
      <c r="D23768" s="12" t="str">
        <f ca="1">IFERROR(__xludf.DUMMYFUNCTION("""COMPUTED_VALUE"""),"")</f>
        <v/>
      </c>
    </row>
    <row r="23769" spans="2:4" ht="13">
      <c r="B23769" s="12" t="str">
        <f ca="1">IFERROR(__xludf.DUMMYFUNCTION("""COMPUTED_VALUE"""),"")</f>
        <v/>
      </c>
      <c r="C23769" s="12" t="str">
        <f ca="1">IFERROR(__xludf.DUMMYFUNCTION("""COMPUTED_VALUE"""),"")</f>
        <v/>
      </c>
      <c r="D23769" s="12" t="str">
        <f ca="1">IFERROR(__xludf.DUMMYFUNCTION("""COMPUTED_VALUE"""),"")</f>
        <v/>
      </c>
    </row>
    <row r="23770" spans="2:4" ht="13">
      <c r="B23770" s="12" t="str">
        <f ca="1">IFERROR(__xludf.DUMMYFUNCTION("""COMPUTED_VALUE"""),"")</f>
        <v/>
      </c>
      <c r="C23770" s="12" t="str">
        <f ca="1">IFERROR(__xludf.DUMMYFUNCTION("""COMPUTED_VALUE"""),"")</f>
        <v/>
      </c>
      <c r="D23770" s="12" t="str">
        <f ca="1">IFERROR(__xludf.DUMMYFUNCTION("""COMPUTED_VALUE"""),"")</f>
        <v/>
      </c>
    </row>
    <row r="23771" spans="2:4" ht="13">
      <c r="B23771" s="12" t="str">
        <f ca="1">IFERROR(__xludf.DUMMYFUNCTION("""COMPUTED_VALUE"""),"")</f>
        <v/>
      </c>
      <c r="C23771" s="12" t="str">
        <f ca="1">IFERROR(__xludf.DUMMYFUNCTION("""COMPUTED_VALUE"""),"")</f>
        <v/>
      </c>
      <c r="D23771" s="12" t="str">
        <f ca="1">IFERROR(__xludf.DUMMYFUNCTION("""COMPUTED_VALUE"""),"")</f>
        <v/>
      </c>
    </row>
    <row r="23772" spans="2:4" ht="13">
      <c r="B23772" s="12" t="str">
        <f ca="1">IFERROR(__xludf.DUMMYFUNCTION("""COMPUTED_VALUE"""),"")</f>
        <v/>
      </c>
      <c r="C23772" s="12" t="str">
        <f ca="1">IFERROR(__xludf.DUMMYFUNCTION("""COMPUTED_VALUE"""),"")</f>
        <v/>
      </c>
      <c r="D23772" s="12" t="str">
        <f ca="1">IFERROR(__xludf.DUMMYFUNCTION("""COMPUTED_VALUE"""),"")</f>
        <v/>
      </c>
    </row>
    <row r="23773" spans="2:4" ht="13">
      <c r="B23773" s="12" t="str">
        <f ca="1">IFERROR(__xludf.DUMMYFUNCTION("""COMPUTED_VALUE"""),"")</f>
        <v/>
      </c>
      <c r="C23773" s="12" t="str">
        <f ca="1">IFERROR(__xludf.DUMMYFUNCTION("""COMPUTED_VALUE"""),"")</f>
        <v/>
      </c>
      <c r="D23773" s="12" t="str">
        <f ca="1">IFERROR(__xludf.DUMMYFUNCTION("""COMPUTED_VALUE"""),"")</f>
        <v/>
      </c>
    </row>
    <row r="23774" spans="2:4" ht="13">
      <c r="B23774" s="12" t="str">
        <f ca="1">IFERROR(__xludf.DUMMYFUNCTION("""COMPUTED_VALUE"""),"")</f>
        <v/>
      </c>
      <c r="C23774" s="12" t="str">
        <f ca="1">IFERROR(__xludf.DUMMYFUNCTION("""COMPUTED_VALUE"""),"")</f>
        <v/>
      </c>
      <c r="D23774" s="12" t="str">
        <f ca="1">IFERROR(__xludf.DUMMYFUNCTION("""COMPUTED_VALUE"""),"")</f>
        <v/>
      </c>
    </row>
    <row r="23775" spans="2:4" ht="13">
      <c r="B23775" s="12" t="str">
        <f ca="1">IFERROR(__xludf.DUMMYFUNCTION("""COMPUTED_VALUE"""),"")</f>
        <v/>
      </c>
      <c r="C23775" s="12" t="str">
        <f ca="1">IFERROR(__xludf.DUMMYFUNCTION("""COMPUTED_VALUE"""),"")</f>
        <v/>
      </c>
      <c r="D23775" s="12" t="str">
        <f ca="1">IFERROR(__xludf.DUMMYFUNCTION("""COMPUTED_VALUE"""),"")</f>
        <v/>
      </c>
    </row>
    <row r="23776" spans="2:4" ht="13">
      <c r="B23776" s="12" t="str">
        <f ca="1">IFERROR(__xludf.DUMMYFUNCTION("""COMPUTED_VALUE"""),"")</f>
        <v/>
      </c>
      <c r="C23776" s="12" t="str">
        <f ca="1">IFERROR(__xludf.DUMMYFUNCTION("""COMPUTED_VALUE"""),"")</f>
        <v/>
      </c>
      <c r="D23776" s="12" t="str">
        <f ca="1">IFERROR(__xludf.DUMMYFUNCTION("""COMPUTED_VALUE"""),"")</f>
        <v/>
      </c>
    </row>
    <row r="23777" spans="2:4" ht="13">
      <c r="B23777" s="12" t="str">
        <f ca="1">IFERROR(__xludf.DUMMYFUNCTION("""COMPUTED_VALUE"""),"")</f>
        <v/>
      </c>
      <c r="C23777" s="12" t="str">
        <f ca="1">IFERROR(__xludf.DUMMYFUNCTION("""COMPUTED_VALUE"""),"")</f>
        <v/>
      </c>
      <c r="D23777" s="12" t="str">
        <f ca="1">IFERROR(__xludf.DUMMYFUNCTION("""COMPUTED_VALUE"""),"")</f>
        <v/>
      </c>
    </row>
    <row r="23778" spans="2:4" ht="13">
      <c r="B23778" s="12" t="str">
        <f ca="1">IFERROR(__xludf.DUMMYFUNCTION("""COMPUTED_VALUE"""),"")</f>
        <v/>
      </c>
      <c r="C23778" s="12" t="str">
        <f ca="1">IFERROR(__xludf.DUMMYFUNCTION("""COMPUTED_VALUE"""),"")</f>
        <v/>
      </c>
      <c r="D23778" s="12" t="str">
        <f ca="1">IFERROR(__xludf.DUMMYFUNCTION("""COMPUTED_VALUE"""),"")</f>
        <v/>
      </c>
    </row>
    <row r="23779" spans="2:4" ht="13">
      <c r="B23779" s="12" t="str">
        <f ca="1">IFERROR(__xludf.DUMMYFUNCTION("""COMPUTED_VALUE"""),"")</f>
        <v/>
      </c>
      <c r="C23779" s="12" t="str">
        <f ca="1">IFERROR(__xludf.DUMMYFUNCTION("""COMPUTED_VALUE"""),"")</f>
        <v/>
      </c>
      <c r="D23779" s="12" t="str">
        <f ca="1">IFERROR(__xludf.DUMMYFUNCTION("""COMPUTED_VALUE"""),"")</f>
        <v/>
      </c>
    </row>
    <row r="23780" spans="2:4" ht="13">
      <c r="B23780" s="12" t="str">
        <f ca="1">IFERROR(__xludf.DUMMYFUNCTION("""COMPUTED_VALUE"""),"")</f>
        <v/>
      </c>
      <c r="C23780" s="12" t="str">
        <f ca="1">IFERROR(__xludf.DUMMYFUNCTION("""COMPUTED_VALUE"""),"")</f>
        <v/>
      </c>
      <c r="D23780" s="12" t="str">
        <f ca="1">IFERROR(__xludf.DUMMYFUNCTION("""COMPUTED_VALUE"""),"")</f>
        <v/>
      </c>
    </row>
    <row r="23781" spans="2:4" ht="13">
      <c r="B23781" s="12" t="str">
        <f ca="1">IFERROR(__xludf.DUMMYFUNCTION("""COMPUTED_VALUE"""),"")</f>
        <v/>
      </c>
      <c r="C23781" s="12" t="str">
        <f ca="1">IFERROR(__xludf.DUMMYFUNCTION("""COMPUTED_VALUE"""),"")</f>
        <v/>
      </c>
      <c r="D23781" s="12" t="str">
        <f ca="1">IFERROR(__xludf.DUMMYFUNCTION("""COMPUTED_VALUE"""),"")</f>
        <v/>
      </c>
    </row>
    <row r="23782" spans="2:4" ht="13">
      <c r="B23782" s="12" t="str">
        <f ca="1">IFERROR(__xludf.DUMMYFUNCTION("""COMPUTED_VALUE"""),"")</f>
        <v/>
      </c>
      <c r="C23782" s="12" t="str">
        <f ca="1">IFERROR(__xludf.DUMMYFUNCTION("""COMPUTED_VALUE"""),"")</f>
        <v/>
      </c>
      <c r="D23782" s="12" t="str">
        <f ca="1">IFERROR(__xludf.DUMMYFUNCTION("""COMPUTED_VALUE"""),"")</f>
        <v/>
      </c>
    </row>
    <row r="23783" spans="2:4" ht="13">
      <c r="B23783" s="12" t="str">
        <f ca="1">IFERROR(__xludf.DUMMYFUNCTION("""COMPUTED_VALUE"""),"")</f>
        <v/>
      </c>
      <c r="C23783" s="12" t="str">
        <f ca="1">IFERROR(__xludf.DUMMYFUNCTION("""COMPUTED_VALUE"""),"")</f>
        <v/>
      </c>
      <c r="D23783" s="12" t="str">
        <f ca="1">IFERROR(__xludf.DUMMYFUNCTION("""COMPUTED_VALUE"""),"")</f>
        <v/>
      </c>
    </row>
    <row r="23784" spans="2:4" ht="13">
      <c r="B23784" s="12" t="str">
        <f ca="1">IFERROR(__xludf.DUMMYFUNCTION("""COMPUTED_VALUE"""),"")</f>
        <v/>
      </c>
      <c r="C23784" s="12" t="str">
        <f ca="1">IFERROR(__xludf.DUMMYFUNCTION("""COMPUTED_VALUE"""),"")</f>
        <v/>
      </c>
      <c r="D23784" s="12" t="str">
        <f ca="1">IFERROR(__xludf.DUMMYFUNCTION("""COMPUTED_VALUE"""),"")</f>
        <v/>
      </c>
    </row>
    <row r="23785" spans="2:4" ht="13">
      <c r="B23785" s="12" t="str">
        <f ca="1">IFERROR(__xludf.DUMMYFUNCTION("""COMPUTED_VALUE"""),"")</f>
        <v/>
      </c>
      <c r="C23785" s="12" t="str">
        <f ca="1">IFERROR(__xludf.DUMMYFUNCTION("""COMPUTED_VALUE"""),"")</f>
        <v/>
      </c>
      <c r="D23785" s="12" t="str">
        <f ca="1">IFERROR(__xludf.DUMMYFUNCTION("""COMPUTED_VALUE"""),"")</f>
        <v/>
      </c>
    </row>
    <row r="23786" spans="2:4" ht="13">
      <c r="B23786" s="12" t="str">
        <f ca="1">IFERROR(__xludf.DUMMYFUNCTION("""COMPUTED_VALUE"""),"")</f>
        <v/>
      </c>
      <c r="C23786" s="12" t="str">
        <f ca="1">IFERROR(__xludf.DUMMYFUNCTION("""COMPUTED_VALUE"""),"")</f>
        <v/>
      </c>
      <c r="D23786" s="12" t="str">
        <f ca="1">IFERROR(__xludf.DUMMYFUNCTION("""COMPUTED_VALUE"""),"")</f>
        <v/>
      </c>
    </row>
    <row r="23787" spans="2:4" ht="13">
      <c r="B23787" s="12" t="str">
        <f ca="1">IFERROR(__xludf.DUMMYFUNCTION("""COMPUTED_VALUE"""),"")</f>
        <v/>
      </c>
      <c r="C23787" s="12" t="str">
        <f ca="1">IFERROR(__xludf.DUMMYFUNCTION("""COMPUTED_VALUE"""),"")</f>
        <v/>
      </c>
      <c r="D23787" s="12" t="str">
        <f ca="1">IFERROR(__xludf.DUMMYFUNCTION("""COMPUTED_VALUE"""),"")</f>
        <v/>
      </c>
    </row>
    <row r="23788" spans="2:4" ht="13">
      <c r="B23788" s="12" t="str">
        <f ca="1">IFERROR(__xludf.DUMMYFUNCTION("""COMPUTED_VALUE"""),"")</f>
        <v/>
      </c>
      <c r="C23788" s="12" t="str">
        <f ca="1">IFERROR(__xludf.DUMMYFUNCTION("""COMPUTED_VALUE"""),"")</f>
        <v/>
      </c>
      <c r="D23788" s="12" t="str">
        <f ca="1">IFERROR(__xludf.DUMMYFUNCTION("""COMPUTED_VALUE"""),"")</f>
        <v/>
      </c>
    </row>
    <row r="23789" spans="2:4" ht="13">
      <c r="B23789" s="12" t="str">
        <f ca="1">IFERROR(__xludf.DUMMYFUNCTION("""COMPUTED_VALUE"""),"")</f>
        <v/>
      </c>
      <c r="C23789" s="12" t="str">
        <f ca="1">IFERROR(__xludf.DUMMYFUNCTION("""COMPUTED_VALUE"""),"")</f>
        <v/>
      </c>
      <c r="D23789" s="12" t="str">
        <f ca="1">IFERROR(__xludf.DUMMYFUNCTION("""COMPUTED_VALUE"""),"")</f>
        <v/>
      </c>
    </row>
    <row r="23790" spans="2:4" ht="13">
      <c r="B23790" s="12" t="str">
        <f ca="1">IFERROR(__xludf.DUMMYFUNCTION("""COMPUTED_VALUE"""),"")</f>
        <v/>
      </c>
      <c r="C23790" s="12" t="str">
        <f ca="1">IFERROR(__xludf.DUMMYFUNCTION("""COMPUTED_VALUE"""),"")</f>
        <v/>
      </c>
      <c r="D23790" s="12" t="str">
        <f ca="1">IFERROR(__xludf.DUMMYFUNCTION("""COMPUTED_VALUE"""),"")</f>
        <v/>
      </c>
    </row>
    <row r="23791" spans="2:4" ht="13">
      <c r="B23791" s="12" t="str">
        <f ca="1">IFERROR(__xludf.DUMMYFUNCTION("""COMPUTED_VALUE"""),"")</f>
        <v/>
      </c>
      <c r="C23791" s="12" t="str">
        <f ca="1">IFERROR(__xludf.DUMMYFUNCTION("""COMPUTED_VALUE"""),"")</f>
        <v/>
      </c>
      <c r="D23791" s="12" t="str">
        <f ca="1">IFERROR(__xludf.DUMMYFUNCTION("""COMPUTED_VALUE"""),"")</f>
        <v/>
      </c>
    </row>
    <row r="23792" spans="2:4" ht="13">
      <c r="B23792" s="12" t="str">
        <f ca="1">IFERROR(__xludf.DUMMYFUNCTION("""COMPUTED_VALUE"""),"")</f>
        <v/>
      </c>
      <c r="C23792" s="12" t="str">
        <f ca="1">IFERROR(__xludf.DUMMYFUNCTION("""COMPUTED_VALUE"""),"")</f>
        <v/>
      </c>
      <c r="D23792" s="12" t="str">
        <f ca="1">IFERROR(__xludf.DUMMYFUNCTION("""COMPUTED_VALUE"""),"")</f>
        <v/>
      </c>
    </row>
    <row r="23793" spans="2:4" ht="13">
      <c r="B23793" s="12" t="str">
        <f ca="1">IFERROR(__xludf.DUMMYFUNCTION("""COMPUTED_VALUE"""),"")</f>
        <v/>
      </c>
      <c r="C23793" s="12" t="str">
        <f ca="1">IFERROR(__xludf.DUMMYFUNCTION("""COMPUTED_VALUE"""),"")</f>
        <v/>
      </c>
      <c r="D23793" s="12" t="str">
        <f ca="1">IFERROR(__xludf.DUMMYFUNCTION("""COMPUTED_VALUE"""),"")</f>
        <v/>
      </c>
    </row>
    <row r="23794" spans="2:4" ht="13">
      <c r="B23794" s="12" t="str">
        <f ca="1">IFERROR(__xludf.DUMMYFUNCTION("""COMPUTED_VALUE"""),"")</f>
        <v/>
      </c>
      <c r="C23794" s="12" t="str">
        <f ca="1">IFERROR(__xludf.DUMMYFUNCTION("""COMPUTED_VALUE"""),"")</f>
        <v/>
      </c>
      <c r="D23794" s="12" t="str">
        <f ca="1">IFERROR(__xludf.DUMMYFUNCTION("""COMPUTED_VALUE"""),"")</f>
        <v/>
      </c>
    </row>
    <row r="23795" spans="2:4" ht="13">
      <c r="B23795" s="12" t="str">
        <f ca="1">IFERROR(__xludf.DUMMYFUNCTION("""COMPUTED_VALUE"""),"")</f>
        <v/>
      </c>
      <c r="C23795" s="12" t="str">
        <f ca="1">IFERROR(__xludf.DUMMYFUNCTION("""COMPUTED_VALUE"""),"")</f>
        <v/>
      </c>
      <c r="D23795" s="12" t="str">
        <f ca="1">IFERROR(__xludf.DUMMYFUNCTION("""COMPUTED_VALUE"""),"")</f>
        <v/>
      </c>
    </row>
    <row r="23796" spans="2:4" ht="13">
      <c r="B23796" s="12" t="str">
        <f ca="1">IFERROR(__xludf.DUMMYFUNCTION("""COMPUTED_VALUE"""),"")</f>
        <v/>
      </c>
      <c r="C23796" s="12" t="str">
        <f ca="1">IFERROR(__xludf.DUMMYFUNCTION("""COMPUTED_VALUE"""),"")</f>
        <v/>
      </c>
      <c r="D23796" s="12" t="str">
        <f ca="1">IFERROR(__xludf.DUMMYFUNCTION("""COMPUTED_VALUE"""),"")</f>
        <v/>
      </c>
    </row>
    <row r="23797" spans="2:4" ht="13">
      <c r="B23797" s="12" t="str">
        <f ca="1">IFERROR(__xludf.DUMMYFUNCTION("""COMPUTED_VALUE"""),"")</f>
        <v/>
      </c>
      <c r="C23797" s="12" t="str">
        <f ca="1">IFERROR(__xludf.DUMMYFUNCTION("""COMPUTED_VALUE"""),"")</f>
        <v/>
      </c>
      <c r="D23797" s="12" t="str">
        <f ca="1">IFERROR(__xludf.DUMMYFUNCTION("""COMPUTED_VALUE"""),"")</f>
        <v/>
      </c>
    </row>
    <row r="23798" spans="2:4" ht="13">
      <c r="B23798" s="12" t="str">
        <f ca="1">IFERROR(__xludf.DUMMYFUNCTION("""COMPUTED_VALUE"""),"")</f>
        <v/>
      </c>
      <c r="C23798" s="12" t="str">
        <f ca="1">IFERROR(__xludf.DUMMYFUNCTION("""COMPUTED_VALUE"""),"")</f>
        <v/>
      </c>
      <c r="D23798" s="12" t="str">
        <f ca="1">IFERROR(__xludf.DUMMYFUNCTION("""COMPUTED_VALUE"""),"")</f>
        <v/>
      </c>
    </row>
    <row r="23799" spans="2:4" ht="13">
      <c r="B23799" s="12" t="str">
        <f ca="1">IFERROR(__xludf.DUMMYFUNCTION("""COMPUTED_VALUE"""),"")</f>
        <v/>
      </c>
      <c r="C23799" s="12" t="str">
        <f ca="1">IFERROR(__xludf.DUMMYFUNCTION("""COMPUTED_VALUE"""),"")</f>
        <v/>
      </c>
      <c r="D23799" s="12" t="str">
        <f ca="1">IFERROR(__xludf.DUMMYFUNCTION("""COMPUTED_VALUE"""),"")</f>
        <v/>
      </c>
    </row>
    <row r="23800" spans="2:4" ht="13">
      <c r="B23800" s="12" t="str">
        <f ca="1">IFERROR(__xludf.DUMMYFUNCTION("""COMPUTED_VALUE"""),"")</f>
        <v/>
      </c>
      <c r="C23800" s="12" t="str">
        <f ca="1">IFERROR(__xludf.DUMMYFUNCTION("""COMPUTED_VALUE"""),"")</f>
        <v/>
      </c>
      <c r="D23800" s="12" t="str">
        <f ca="1">IFERROR(__xludf.DUMMYFUNCTION("""COMPUTED_VALUE"""),"")</f>
        <v/>
      </c>
    </row>
    <row r="23801" spans="2:4" ht="13">
      <c r="B23801" s="12" t="str">
        <f ca="1">IFERROR(__xludf.DUMMYFUNCTION("""COMPUTED_VALUE"""),"")</f>
        <v/>
      </c>
      <c r="C23801" s="12" t="str">
        <f ca="1">IFERROR(__xludf.DUMMYFUNCTION("""COMPUTED_VALUE"""),"")</f>
        <v/>
      </c>
      <c r="D23801" s="12" t="str">
        <f ca="1">IFERROR(__xludf.DUMMYFUNCTION("""COMPUTED_VALUE"""),"")</f>
        <v/>
      </c>
    </row>
    <row r="23802" spans="2:4" ht="13">
      <c r="B23802" s="12" t="str">
        <f ca="1">IFERROR(__xludf.DUMMYFUNCTION("""COMPUTED_VALUE"""),"")</f>
        <v/>
      </c>
      <c r="C23802" s="12" t="str">
        <f ca="1">IFERROR(__xludf.DUMMYFUNCTION("""COMPUTED_VALUE"""),"")</f>
        <v/>
      </c>
      <c r="D23802" s="12" t="str">
        <f ca="1">IFERROR(__xludf.DUMMYFUNCTION("""COMPUTED_VALUE"""),"")</f>
        <v/>
      </c>
    </row>
    <row r="23803" spans="2:4" ht="13">
      <c r="B23803" s="12" t="str">
        <f ca="1">IFERROR(__xludf.DUMMYFUNCTION("""COMPUTED_VALUE"""),"")</f>
        <v/>
      </c>
      <c r="C23803" s="12" t="str">
        <f ca="1">IFERROR(__xludf.DUMMYFUNCTION("""COMPUTED_VALUE"""),"")</f>
        <v/>
      </c>
      <c r="D23803" s="12" t="str">
        <f ca="1">IFERROR(__xludf.DUMMYFUNCTION("""COMPUTED_VALUE"""),"")</f>
        <v/>
      </c>
    </row>
    <row r="23804" spans="2:4" ht="13">
      <c r="B23804" s="12" t="str">
        <f ca="1">IFERROR(__xludf.DUMMYFUNCTION("""COMPUTED_VALUE"""),"")</f>
        <v/>
      </c>
      <c r="C23804" s="12" t="str">
        <f ca="1">IFERROR(__xludf.DUMMYFUNCTION("""COMPUTED_VALUE"""),"")</f>
        <v/>
      </c>
      <c r="D23804" s="12" t="str">
        <f ca="1">IFERROR(__xludf.DUMMYFUNCTION("""COMPUTED_VALUE"""),"")</f>
        <v/>
      </c>
    </row>
    <row r="23805" spans="2:4" ht="13">
      <c r="B23805" s="12" t="str">
        <f ca="1">IFERROR(__xludf.DUMMYFUNCTION("""COMPUTED_VALUE"""),"")</f>
        <v/>
      </c>
      <c r="C23805" s="12" t="str">
        <f ca="1">IFERROR(__xludf.DUMMYFUNCTION("""COMPUTED_VALUE"""),"")</f>
        <v/>
      </c>
      <c r="D23805" s="12" t="str">
        <f ca="1">IFERROR(__xludf.DUMMYFUNCTION("""COMPUTED_VALUE"""),"")</f>
        <v/>
      </c>
    </row>
    <row r="23806" spans="2:4" ht="13">
      <c r="B23806" s="12" t="str">
        <f ca="1">IFERROR(__xludf.DUMMYFUNCTION("""COMPUTED_VALUE"""),"")</f>
        <v/>
      </c>
      <c r="C23806" s="12" t="str">
        <f ca="1">IFERROR(__xludf.DUMMYFUNCTION("""COMPUTED_VALUE"""),"")</f>
        <v/>
      </c>
      <c r="D23806" s="12" t="str">
        <f ca="1">IFERROR(__xludf.DUMMYFUNCTION("""COMPUTED_VALUE"""),"")</f>
        <v/>
      </c>
    </row>
    <row r="23807" spans="2:4" ht="13">
      <c r="B23807" s="12" t="str">
        <f ca="1">IFERROR(__xludf.DUMMYFUNCTION("""COMPUTED_VALUE"""),"")</f>
        <v/>
      </c>
      <c r="C23807" s="12" t="str">
        <f ca="1">IFERROR(__xludf.DUMMYFUNCTION("""COMPUTED_VALUE"""),"")</f>
        <v/>
      </c>
      <c r="D23807" s="12" t="str">
        <f ca="1">IFERROR(__xludf.DUMMYFUNCTION("""COMPUTED_VALUE"""),"")</f>
        <v/>
      </c>
    </row>
    <row r="23808" spans="2:4" ht="13">
      <c r="B23808" s="12" t="str">
        <f ca="1">IFERROR(__xludf.DUMMYFUNCTION("""COMPUTED_VALUE"""),"")</f>
        <v/>
      </c>
      <c r="C23808" s="12" t="str">
        <f ca="1">IFERROR(__xludf.DUMMYFUNCTION("""COMPUTED_VALUE"""),"")</f>
        <v/>
      </c>
      <c r="D23808" s="12" t="str">
        <f ca="1">IFERROR(__xludf.DUMMYFUNCTION("""COMPUTED_VALUE"""),"")</f>
        <v/>
      </c>
    </row>
    <row r="23809" spans="2:4" ht="13">
      <c r="B23809" s="12" t="str">
        <f ca="1">IFERROR(__xludf.DUMMYFUNCTION("""COMPUTED_VALUE"""),"")</f>
        <v/>
      </c>
      <c r="C23809" s="12" t="str">
        <f ca="1">IFERROR(__xludf.DUMMYFUNCTION("""COMPUTED_VALUE"""),"")</f>
        <v/>
      </c>
      <c r="D23809" s="12" t="str">
        <f ca="1">IFERROR(__xludf.DUMMYFUNCTION("""COMPUTED_VALUE"""),"")</f>
        <v/>
      </c>
    </row>
    <row r="23810" spans="2:4" ht="13">
      <c r="B23810" s="12" t="str">
        <f ca="1">IFERROR(__xludf.DUMMYFUNCTION("""COMPUTED_VALUE"""),"")</f>
        <v/>
      </c>
      <c r="C23810" s="12" t="str">
        <f ca="1">IFERROR(__xludf.DUMMYFUNCTION("""COMPUTED_VALUE"""),"")</f>
        <v/>
      </c>
      <c r="D23810" s="12" t="str">
        <f ca="1">IFERROR(__xludf.DUMMYFUNCTION("""COMPUTED_VALUE"""),"")</f>
        <v/>
      </c>
    </row>
    <row r="23811" spans="2:4" ht="13">
      <c r="B23811" s="12" t="str">
        <f ca="1">IFERROR(__xludf.DUMMYFUNCTION("""COMPUTED_VALUE"""),"")</f>
        <v/>
      </c>
      <c r="C23811" s="12" t="str">
        <f ca="1">IFERROR(__xludf.DUMMYFUNCTION("""COMPUTED_VALUE"""),"")</f>
        <v/>
      </c>
      <c r="D23811" s="12" t="str">
        <f ca="1">IFERROR(__xludf.DUMMYFUNCTION("""COMPUTED_VALUE"""),"")</f>
        <v/>
      </c>
    </row>
    <row r="23812" spans="2:4" ht="13">
      <c r="B23812" s="12" t="str">
        <f ca="1">IFERROR(__xludf.DUMMYFUNCTION("""COMPUTED_VALUE"""),"")</f>
        <v/>
      </c>
      <c r="C23812" s="12" t="str">
        <f ca="1">IFERROR(__xludf.DUMMYFUNCTION("""COMPUTED_VALUE"""),"")</f>
        <v/>
      </c>
      <c r="D23812" s="12" t="str">
        <f ca="1">IFERROR(__xludf.DUMMYFUNCTION("""COMPUTED_VALUE"""),"")</f>
        <v/>
      </c>
    </row>
    <row r="23813" spans="2:4" ht="13">
      <c r="B23813" s="12" t="str">
        <f ca="1">IFERROR(__xludf.DUMMYFUNCTION("""COMPUTED_VALUE"""),"")</f>
        <v/>
      </c>
      <c r="C23813" s="12" t="str">
        <f ca="1">IFERROR(__xludf.DUMMYFUNCTION("""COMPUTED_VALUE"""),"")</f>
        <v/>
      </c>
      <c r="D23813" s="12" t="str">
        <f ca="1">IFERROR(__xludf.DUMMYFUNCTION("""COMPUTED_VALUE"""),"")</f>
        <v/>
      </c>
    </row>
    <row r="23814" spans="2:4" ht="13">
      <c r="B23814" s="12" t="str">
        <f ca="1">IFERROR(__xludf.DUMMYFUNCTION("""COMPUTED_VALUE"""),"")</f>
        <v/>
      </c>
      <c r="C23814" s="12" t="str">
        <f ca="1">IFERROR(__xludf.DUMMYFUNCTION("""COMPUTED_VALUE"""),"")</f>
        <v/>
      </c>
      <c r="D23814" s="12" t="str">
        <f ca="1">IFERROR(__xludf.DUMMYFUNCTION("""COMPUTED_VALUE"""),"")</f>
        <v/>
      </c>
    </row>
    <row r="23815" spans="2:4" ht="13">
      <c r="B23815" s="12" t="str">
        <f ca="1">IFERROR(__xludf.DUMMYFUNCTION("""COMPUTED_VALUE"""),"")</f>
        <v/>
      </c>
      <c r="C23815" s="12" t="str">
        <f ca="1">IFERROR(__xludf.DUMMYFUNCTION("""COMPUTED_VALUE"""),"")</f>
        <v/>
      </c>
      <c r="D23815" s="12" t="str">
        <f ca="1">IFERROR(__xludf.DUMMYFUNCTION("""COMPUTED_VALUE"""),"")</f>
        <v/>
      </c>
    </row>
    <row r="23816" spans="2:4" ht="13">
      <c r="B23816" s="12" t="str">
        <f ca="1">IFERROR(__xludf.DUMMYFUNCTION("""COMPUTED_VALUE"""),"")</f>
        <v/>
      </c>
      <c r="C23816" s="12" t="str">
        <f ca="1">IFERROR(__xludf.DUMMYFUNCTION("""COMPUTED_VALUE"""),"")</f>
        <v/>
      </c>
      <c r="D23816" s="12" t="str">
        <f ca="1">IFERROR(__xludf.DUMMYFUNCTION("""COMPUTED_VALUE"""),"")</f>
        <v/>
      </c>
    </row>
    <row r="23817" spans="2:4" ht="13">
      <c r="B23817" s="12" t="str">
        <f ca="1">IFERROR(__xludf.DUMMYFUNCTION("""COMPUTED_VALUE"""),"")</f>
        <v/>
      </c>
      <c r="C23817" s="12" t="str">
        <f ca="1">IFERROR(__xludf.DUMMYFUNCTION("""COMPUTED_VALUE"""),"")</f>
        <v/>
      </c>
      <c r="D23817" s="12" t="str">
        <f ca="1">IFERROR(__xludf.DUMMYFUNCTION("""COMPUTED_VALUE"""),"")</f>
        <v/>
      </c>
    </row>
    <row r="23818" spans="2:4" ht="13">
      <c r="B23818" s="12" t="str">
        <f ca="1">IFERROR(__xludf.DUMMYFUNCTION("""COMPUTED_VALUE"""),"")</f>
        <v/>
      </c>
      <c r="C23818" s="12" t="str">
        <f ca="1">IFERROR(__xludf.DUMMYFUNCTION("""COMPUTED_VALUE"""),"")</f>
        <v/>
      </c>
      <c r="D23818" s="12" t="str">
        <f ca="1">IFERROR(__xludf.DUMMYFUNCTION("""COMPUTED_VALUE"""),"")</f>
        <v/>
      </c>
    </row>
    <row r="23819" spans="2:4" ht="13">
      <c r="B23819" s="12" t="str">
        <f ca="1">IFERROR(__xludf.DUMMYFUNCTION("""COMPUTED_VALUE"""),"")</f>
        <v/>
      </c>
      <c r="C23819" s="12" t="str">
        <f ca="1">IFERROR(__xludf.DUMMYFUNCTION("""COMPUTED_VALUE"""),"")</f>
        <v/>
      </c>
      <c r="D23819" s="12" t="str">
        <f ca="1">IFERROR(__xludf.DUMMYFUNCTION("""COMPUTED_VALUE"""),"")</f>
        <v/>
      </c>
    </row>
    <row r="23820" spans="2:4" ht="13">
      <c r="B23820" s="12" t="str">
        <f ca="1">IFERROR(__xludf.DUMMYFUNCTION("""COMPUTED_VALUE"""),"")</f>
        <v/>
      </c>
      <c r="C23820" s="12" t="str">
        <f ca="1">IFERROR(__xludf.DUMMYFUNCTION("""COMPUTED_VALUE"""),"")</f>
        <v/>
      </c>
      <c r="D23820" s="12" t="str">
        <f ca="1">IFERROR(__xludf.DUMMYFUNCTION("""COMPUTED_VALUE"""),"")</f>
        <v/>
      </c>
    </row>
    <row r="23821" spans="2:4" ht="13">
      <c r="B23821" s="12" t="str">
        <f ca="1">IFERROR(__xludf.DUMMYFUNCTION("""COMPUTED_VALUE"""),"")</f>
        <v/>
      </c>
      <c r="C23821" s="12" t="str">
        <f ca="1">IFERROR(__xludf.DUMMYFUNCTION("""COMPUTED_VALUE"""),"")</f>
        <v/>
      </c>
      <c r="D23821" s="12" t="str">
        <f ca="1">IFERROR(__xludf.DUMMYFUNCTION("""COMPUTED_VALUE"""),"")</f>
        <v/>
      </c>
    </row>
    <row r="23822" spans="2:4" ht="13">
      <c r="B23822" s="12" t="str">
        <f ca="1">IFERROR(__xludf.DUMMYFUNCTION("""COMPUTED_VALUE"""),"")</f>
        <v/>
      </c>
      <c r="C23822" s="12" t="str">
        <f ca="1">IFERROR(__xludf.DUMMYFUNCTION("""COMPUTED_VALUE"""),"")</f>
        <v/>
      </c>
      <c r="D23822" s="12" t="str">
        <f ca="1">IFERROR(__xludf.DUMMYFUNCTION("""COMPUTED_VALUE"""),"")</f>
        <v/>
      </c>
    </row>
    <row r="23823" spans="2:4" ht="13">
      <c r="B23823" s="12" t="str">
        <f ca="1">IFERROR(__xludf.DUMMYFUNCTION("""COMPUTED_VALUE"""),"")</f>
        <v/>
      </c>
      <c r="C23823" s="12" t="str">
        <f ca="1">IFERROR(__xludf.DUMMYFUNCTION("""COMPUTED_VALUE"""),"")</f>
        <v/>
      </c>
      <c r="D23823" s="12" t="str">
        <f ca="1">IFERROR(__xludf.DUMMYFUNCTION("""COMPUTED_VALUE"""),"")</f>
        <v/>
      </c>
    </row>
    <row r="23824" spans="2:4" ht="13">
      <c r="B23824" s="12" t="str">
        <f ca="1">IFERROR(__xludf.DUMMYFUNCTION("""COMPUTED_VALUE"""),"")</f>
        <v/>
      </c>
      <c r="C23824" s="12" t="str">
        <f ca="1">IFERROR(__xludf.DUMMYFUNCTION("""COMPUTED_VALUE"""),"")</f>
        <v/>
      </c>
      <c r="D23824" s="12" t="str">
        <f ca="1">IFERROR(__xludf.DUMMYFUNCTION("""COMPUTED_VALUE"""),"")</f>
        <v/>
      </c>
    </row>
    <row r="23825" spans="2:4" ht="13">
      <c r="B23825" s="12" t="str">
        <f ca="1">IFERROR(__xludf.DUMMYFUNCTION("""COMPUTED_VALUE"""),"")</f>
        <v/>
      </c>
      <c r="C23825" s="12" t="str">
        <f ca="1">IFERROR(__xludf.DUMMYFUNCTION("""COMPUTED_VALUE"""),"")</f>
        <v/>
      </c>
      <c r="D23825" s="12" t="str">
        <f ca="1">IFERROR(__xludf.DUMMYFUNCTION("""COMPUTED_VALUE"""),"")</f>
        <v/>
      </c>
    </row>
    <row r="23826" spans="2:4" ht="13">
      <c r="B23826" s="12" t="str">
        <f ca="1">IFERROR(__xludf.DUMMYFUNCTION("""COMPUTED_VALUE"""),"")</f>
        <v/>
      </c>
      <c r="C23826" s="12" t="str">
        <f ca="1">IFERROR(__xludf.DUMMYFUNCTION("""COMPUTED_VALUE"""),"")</f>
        <v/>
      </c>
      <c r="D23826" s="12" t="str">
        <f ca="1">IFERROR(__xludf.DUMMYFUNCTION("""COMPUTED_VALUE"""),"")</f>
        <v/>
      </c>
    </row>
    <row r="23827" spans="2:4" ht="13">
      <c r="B23827" s="12" t="str">
        <f ca="1">IFERROR(__xludf.DUMMYFUNCTION("""COMPUTED_VALUE"""),"")</f>
        <v/>
      </c>
      <c r="C23827" s="12" t="str">
        <f ca="1">IFERROR(__xludf.DUMMYFUNCTION("""COMPUTED_VALUE"""),"")</f>
        <v/>
      </c>
      <c r="D23827" s="12" t="str">
        <f ca="1">IFERROR(__xludf.DUMMYFUNCTION("""COMPUTED_VALUE"""),"")</f>
        <v/>
      </c>
    </row>
    <row r="23828" spans="2:4" ht="13">
      <c r="B23828" s="12" t="str">
        <f ca="1">IFERROR(__xludf.DUMMYFUNCTION("""COMPUTED_VALUE"""),"")</f>
        <v/>
      </c>
      <c r="C23828" s="12" t="str">
        <f ca="1">IFERROR(__xludf.DUMMYFUNCTION("""COMPUTED_VALUE"""),"")</f>
        <v/>
      </c>
      <c r="D23828" s="12" t="str">
        <f ca="1">IFERROR(__xludf.DUMMYFUNCTION("""COMPUTED_VALUE"""),"")</f>
        <v/>
      </c>
    </row>
    <row r="23829" spans="2:4" ht="13">
      <c r="B23829" s="12" t="str">
        <f ca="1">IFERROR(__xludf.DUMMYFUNCTION("""COMPUTED_VALUE"""),"")</f>
        <v/>
      </c>
      <c r="C23829" s="12" t="str">
        <f ca="1">IFERROR(__xludf.DUMMYFUNCTION("""COMPUTED_VALUE"""),"")</f>
        <v/>
      </c>
      <c r="D23829" s="12" t="str">
        <f ca="1">IFERROR(__xludf.DUMMYFUNCTION("""COMPUTED_VALUE"""),"")</f>
        <v/>
      </c>
    </row>
    <row r="23830" spans="2:4" ht="13">
      <c r="B23830" s="12" t="str">
        <f ca="1">IFERROR(__xludf.DUMMYFUNCTION("""COMPUTED_VALUE"""),"")</f>
        <v/>
      </c>
      <c r="C23830" s="12" t="str">
        <f ca="1">IFERROR(__xludf.DUMMYFUNCTION("""COMPUTED_VALUE"""),"")</f>
        <v/>
      </c>
      <c r="D23830" s="12" t="str">
        <f ca="1">IFERROR(__xludf.DUMMYFUNCTION("""COMPUTED_VALUE"""),"")</f>
        <v/>
      </c>
    </row>
    <row r="23831" spans="2:4" ht="13">
      <c r="B23831" s="12" t="str">
        <f ca="1">IFERROR(__xludf.DUMMYFUNCTION("""COMPUTED_VALUE"""),"")</f>
        <v/>
      </c>
      <c r="C23831" s="12" t="str">
        <f ca="1">IFERROR(__xludf.DUMMYFUNCTION("""COMPUTED_VALUE"""),"")</f>
        <v/>
      </c>
      <c r="D23831" s="12" t="str">
        <f ca="1">IFERROR(__xludf.DUMMYFUNCTION("""COMPUTED_VALUE"""),"")</f>
        <v/>
      </c>
    </row>
    <row r="23832" spans="2:4" ht="13">
      <c r="B23832" s="12" t="str">
        <f ca="1">IFERROR(__xludf.DUMMYFUNCTION("""COMPUTED_VALUE"""),"")</f>
        <v/>
      </c>
      <c r="C23832" s="12" t="str">
        <f ca="1">IFERROR(__xludf.DUMMYFUNCTION("""COMPUTED_VALUE"""),"")</f>
        <v/>
      </c>
      <c r="D23832" s="12" t="str">
        <f ca="1">IFERROR(__xludf.DUMMYFUNCTION("""COMPUTED_VALUE"""),"")</f>
        <v/>
      </c>
    </row>
    <row r="23833" spans="2:4" ht="13">
      <c r="B23833" s="12" t="str">
        <f ca="1">IFERROR(__xludf.DUMMYFUNCTION("""COMPUTED_VALUE"""),"")</f>
        <v/>
      </c>
      <c r="C23833" s="12" t="str">
        <f ca="1">IFERROR(__xludf.DUMMYFUNCTION("""COMPUTED_VALUE"""),"")</f>
        <v/>
      </c>
      <c r="D23833" s="12" t="str">
        <f ca="1">IFERROR(__xludf.DUMMYFUNCTION("""COMPUTED_VALUE"""),"")</f>
        <v/>
      </c>
    </row>
    <row r="23834" spans="2:4" ht="13">
      <c r="B23834" s="12" t="str">
        <f ca="1">IFERROR(__xludf.DUMMYFUNCTION("""COMPUTED_VALUE"""),"")</f>
        <v/>
      </c>
      <c r="C23834" s="12" t="str">
        <f ca="1">IFERROR(__xludf.DUMMYFUNCTION("""COMPUTED_VALUE"""),"")</f>
        <v/>
      </c>
      <c r="D23834" s="12" t="str">
        <f ca="1">IFERROR(__xludf.DUMMYFUNCTION("""COMPUTED_VALUE"""),"")</f>
        <v/>
      </c>
    </row>
    <row r="23835" spans="2:4" ht="13">
      <c r="B23835" s="12" t="str">
        <f ca="1">IFERROR(__xludf.DUMMYFUNCTION("""COMPUTED_VALUE"""),"")</f>
        <v/>
      </c>
      <c r="C23835" s="12" t="str">
        <f ca="1">IFERROR(__xludf.DUMMYFUNCTION("""COMPUTED_VALUE"""),"")</f>
        <v/>
      </c>
      <c r="D23835" s="12" t="str">
        <f ca="1">IFERROR(__xludf.DUMMYFUNCTION("""COMPUTED_VALUE"""),"")</f>
        <v/>
      </c>
    </row>
    <row r="23836" spans="2:4" ht="13">
      <c r="B23836" s="12" t="str">
        <f ca="1">IFERROR(__xludf.DUMMYFUNCTION("""COMPUTED_VALUE"""),"")</f>
        <v/>
      </c>
      <c r="C23836" s="12" t="str">
        <f ca="1">IFERROR(__xludf.DUMMYFUNCTION("""COMPUTED_VALUE"""),"")</f>
        <v/>
      </c>
      <c r="D23836" s="12" t="str">
        <f ca="1">IFERROR(__xludf.DUMMYFUNCTION("""COMPUTED_VALUE"""),"")</f>
        <v/>
      </c>
    </row>
    <row r="23837" spans="2:4" ht="13">
      <c r="B23837" s="12" t="str">
        <f ca="1">IFERROR(__xludf.DUMMYFUNCTION("""COMPUTED_VALUE"""),"")</f>
        <v/>
      </c>
      <c r="C23837" s="12" t="str">
        <f ca="1">IFERROR(__xludf.DUMMYFUNCTION("""COMPUTED_VALUE"""),"")</f>
        <v/>
      </c>
      <c r="D23837" s="12" t="str">
        <f ca="1">IFERROR(__xludf.DUMMYFUNCTION("""COMPUTED_VALUE"""),"")</f>
        <v/>
      </c>
    </row>
    <row r="23838" spans="2:4" ht="13">
      <c r="B23838" s="12" t="str">
        <f ca="1">IFERROR(__xludf.DUMMYFUNCTION("""COMPUTED_VALUE"""),"")</f>
        <v/>
      </c>
      <c r="C23838" s="12" t="str">
        <f ca="1">IFERROR(__xludf.DUMMYFUNCTION("""COMPUTED_VALUE"""),"")</f>
        <v/>
      </c>
      <c r="D23838" s="12" t="str">
        <f ca="1">IFERROR(__xludf.DUMMYFUNCTION("""COMPUTED_VALUE"""),"")</f>
        <v/>
      </c>
    </row>
    <row r="23839" spans="2:4" ht="13">
      <c r="B23839" s="12" t="str">
        <f ca="1">IFERROR(__xludf.DUMMYFUNCTION("""COMPUTED_VALUE"""),"")</f>
        <v/>
      </c>
      <c r="C23839" s="12" t="str">
        <f ca="1">IFERROR(__xludf.DUMMYFUNCTION("""COMPUTED_VALUE"""),"")</f>
        <v/>
      </c>
      <c r="D23839" s="12" t="str">
        <f ca="1">IFERROR(__xludf.DUMMYFUNCTION("""COMPUTED_VALUE"""),"")</f>
        <v/>
      </c>
    </row>
    <row r="23840" spans="2:4" ht="13">
      <c r="B23840" s="12" t="str">
        <f ca="1">IFERROR(__xludf.DUMMYFUNCTION("""COMPUTED_VALUE"""),"")</f>
        <v/>
      </c>
      <c r="C23840" s="12" t="str">
        <f ca="1">IFERROR(__xludf.DUMMYFUNCTION("""COMPUTED_VALUE"""),"")</f>
        <v/>
      </c>
      <c r="D23840" s="12" t="str">
        <f ca="1">IFERROR(__xludf.DUMMYFUNCTION("""COMPUTED_VALUE"""),"")</f>
        <v/>
      </c>
    </row>
    <row r="23841" spans="2:4" ht="13">
      <c r="B23841" s="12" t="str">
        <f ca="1">IFERROR(__xludf.DUMMYFUNCTION("""COMPUTED_VALUE"""),"")</f>
        <v/>
      </c>
      <c r="C23841" s="12" t="str">
        <f ca="1">IFERROR(__xludf.DUMMYFUNCTION("""COMPUTED_VALUE"""),"")</f>
        <v/>
      </c>
      <c r="D23841" s="12" t="str">
        <f ca="1">IFERROR(__xludf.DUMMYFUNCTION("""COMPUTED_VALUE"""),"")</f>
        <v/>
      </c>
    </row>
    <row r="23842" spans="2:4" ht="13">
      <c r="B23842" s="12" t="str">
        <f ca="1">IFERROR(__xludf.DUMMYFUNCTION("""COMPUTED_VALUE"""),"")</f>
        <v/>
      </c>
      <c r="C23842" s="12" t="str">
        <f ca="1">IFERROR(__xludf.DUMMYFUNCTION("""COMPUTED_VALUE"""),"")</f>
        <v/>
      </c>
      <c r="D23842" s="12" t="str">
        <f ca="1">IFERROR(__xludf.DUMMYFUNCTION("""COMPUTED_VALUE"""),"")</f>
        <v/>
      </c>
    </row>
    <row r="23843" spans="2:4" ht="13">
      <c r="B23843" s="12" t="str">
        <f ca="1">IFERROR(__xludf.DUMMYFUNCTION("""COMPUTED_VALUE"""),"")</f>
        <v/>
      </c>
      <c r="C23843" s="12" t="str">
        <f ca="1">IFERROR(__xludf.DUMMYFUNCTION("""COMPUTED_VALUE"""),"")</f>
        <v/>
      </c>
      <c r="D23843" s="12" t="str">
        <f ca="1">IFERROR(__xludf.DUMMYFUNCTION("""COMPUTED_VALUE"""),"")</f>
        <v/>
      </c>
    </row>
    <row r="23844" spans="2:4" ht="13">
      <c r="B23844" s="12" t="str">
        <f ca="1">IFERROR(__xludf.DUMMYFUNCTION("""COMPUTED_VALUE"""),"")</f>
        <v/>
      </c>
      <c r="C23844" s="12" t="str">
        <f ca="1">IFERROR(__xludf.DUMMYFUNCTION("""COMPUTED_VALUE"""),"")</f>
        <v/>
      </c>
      <c r="D23844" s="12" t="str">
        <f ca="1">IFERROR(__xludf.DUMMYFUNCTION("""COMPUTED_VALUE"""),"")</f>
        <v/>
      </c>
    </row>
    <row r="23845" spans="2:4" ht="13">
      <c r="B23845" s="12" t="str">
        <f ca="1">IFERROR(__xludf.DUMMYFUNCTION("""COMPUTED_VALUE"""),"")</f>
        <v/>
      </c>
      <c r="C23845" s="12" t="str">
        <f ca="1">IFERROR(__xludf.DUMMYFUNCTION("""COMPUTED_VALUE"""),"")</f>
        <v/>
      </c>
      <c r="D23845" s="12" t="str">
        <f ca="1">IFERROR(__xludf.DUMMYFUNCTION("""COMPUTED_VALUE"""),"")</f>
        <v/>
      </c>
    </row>
    <row r="23846" spans="2:4" ht="13">
      <c r="B23846" s="12" t="str">
        <f ca="1">IFERROR(__xludf.DUMMYFUNCTION("""COMPUTED_VALUE"""),"")</f>
        <v/>
      </c>
      <c r="C23846" s="12" t="str">
        <f ca="1">IFERROR(__xludf.DUMMYFUNCTION("""COMPUTED_VALUE"""),"")</f>
        <v/>
      </c>
      <c r="D23846" s="12" t="str">
        <f ca="1">IFERROR(__xludf.DUMMYFUNCTION("""COMPUTED_VALUE"""),"")</f>
        <v/>
      </c>
    </row>
    <row r="23847" spans="2:4" ht="13">
      <c r="B23847" s="12" t="str">
        <f ca="1">IFERROR(__xludf.DUMMYFUNCTION("""COMPUTED_VALUE"""),"")</f>
        <v/>
      </c>
      <c r="C23847" s="12" t="str">
        <f ca="1">IFERROR(__xludf.DUMMYFUNCTION("""COMPUTED_VALUE"""),"")</f>
        <v/>
      </c>
      <c r="D23847" s="12" t="str">
        <f ca="1">IFERROR(__xludf.DUMMYFUNCTION("""COMPUTED_VALUE"""),"")</f>
        <v/>
      </c>
    </row>
    <row r="23848" spans="2:4" ht="13">
      <c r="B23848" s="12" t="str">
        <f ca="1">IFERROR(__xludf.DUMMYFUNCTION("""COMPUTED_VALUE"""),"")</f>
        <v/>
      </c>
      <c r="C23848" s="12" t="str">
        <f ca="1">IFERROR(__xludf.DUMMYFUNCTION("""COMPUTED_VALUE"""),"")</f>
        <v/>
      </c>
      <c r="D23848" s="12" t="str">
        <f ca="1">IFERROR(__xludf.DUMMYFUNCTION("""COMPUTED_VALUE"""),"")</f>
        <v/>
      </c>
    </row>
    <row r="23849" spans="2:4" ht="13">
      <c r="B23849" s="12" t="str">
        <f ca="1">IFERROR(__xludf.DUMMYFUNCTION("""COMPUTED_VALUE"""),"")</f>
        <v/>
      </c>
      <c r="C23849" s="12" t="str">
        <f ca="1">IFERROR(__xludf.DUMMYFUNCTION("""COMPUTED_VALUE"""),"")</f>
        <v/>
      </c>
      <c r="D23849" s="12" t="str">
        <f ca="1">IFERROR(__xludf.DUMMYFUNCTION("""COMPUTED_VALUE"""),"")</f>
        <v/>
      </c>
    </row>
    <row r="23850" spans="2:4" ht="13">
      <c r="B23850" s="12" t="str">
        <f ca="1">IFERROR(__xludf.DUMMYFUNCTION("""COMPUTED_VALUE"""),"")</f>
        <v/>
      </c>
      <c r="C23850" s="12" t="str">
        <f ca="1">IFERROR(__xludf.DUMMYFUNCTION("""COMPUTED_VALUE"""),"")</f>
        <v/>
      </c>
      <c r="D23850" s="12" t="str">
        <f ca="1">IFERROR(__xludf.DUMMYFUNCTION("""COMPUTED_VALUE"""),"")</f>
        <v/>
      </c>
    </row>
    <row r="23851" spans="2:4" ht="13">
      <c r="B23851" s="12" t="str">
        <f ca="1">IFERROR(__xludf.DUMMYFUNCTION("""COMPUTED_VALUE"""),"")</f>
        <v/>
      </c>
      <c r="C23851" s="12" t="str">
        <f ca="1">IFERROR(__xludf.DUMMYFUNCTION("""COMPUTED_VALUE"""),"")</f>
        <v/>
      </c>
      <c r="D23851" s="12" t="str">
        <f ca="1">IFERROR(__xludf.DUMMYFUNCTION("""COMPUTED_VALUE"""),"")</f>
        <v/>
      </c>
    </row>
    <row r="23852" spans="2:4" ht="13">
      <c r="B23852" s="12" t="str">
        <f ca="1">IFERROR(__xludf.DUMMYFUNCTION("""COMPUTED_VALUE"""),"")</f>
        <v/>
      </c>
      <c r="C23852" s="12" t="str">
        <f ca="1">IFERROR(__xludf.DUMMYFUNCTION("""COMPUTED_VALUE"""),"")</f>
        <v/>
      </c>
      <c r="D23852" s="12" t="str">
        <f ca="1">IFERROR(__xludf.DUMMYFUNCTION("""COMPUTED_VALUE"""),"")</f>
        <v/>
      </c>
    </row>
    <row r="23853" spans="2:4" ht="13">
      <c r="B23853" s="12" t="str">
        <f ca="1">IFERROR(__xludf.DUMMYFUNCTION("""COMPUTED_VALUE"""),"")</f>
        <v/>
      </c>
      <c r="C23853" s="12" t="str">
        <f ca="1">IFERROR(__xludf.DUMMYFUNCTION("""COMPUTED_VALUE"""),"")</f>
        <v/>
      </c>
      <c r="D23853" s="12" t="str">
        <f ca="1">IFERROR(__xludf.DUMMYFUNCTION("""COMPUTED_VALUE"""),"")</f>
        <v/>
      </c>
    </row>
    <row r="23854" spans="2:4" ht="13">
      <c r="B23854" s="12" t="str">
        <f ca="1">IFERROR(__xludf.DUMMYFUNCTION("""COMPUTED_VALUE"""),"")</f>
        <v/>
      </c>
      <c r="C23854" s="12" t="str">
        <f ca="1">IFERROR(__xludf.DUMMYFUNCTION("""COMPUTED_VALUE"""),"")</f>
        <v/>
      </c>
      <c r="D23854" s="12" t="str">
        <f ca="1">IFERROR(__xludf.DUMMYFUNCTION("""COMPUTED_VALUE"""),"")</f>
        <v/>
      </c>
    </row>
    <row r="23855" spans="2:4" ht="13">
      <c r="B23855" s="12" t="str">
        <f ca="1">IFERROR(__xludf.DUMMYFUNCTION("""COMPUTED_VALUE"""),"")</f>
        <v/>
      </c>
      <c r="C23855" s="12" t="str">
        <f ca="1">IFERROR(__xludf.DUMMYFUNCTION("""COMPUTED_VALUE"""),"")</f>
        <v/>
      </c>
      <c r="D23855" s="12" t="str">
        <f ca="1">IFERROR(__xludf.DUMMYFUNCTION("""COMPUTED_VALUE"""),"")</f>
        <v/>
      </c>
    </row>
    <row r="23856" spans="2:4" ht="13">
      <c r="B23856" s="12" t="str">
        <f ca="1">IFERROR(__xludf.DUMMYFUNCTION("""COMPUTED_VALUE"""),"")</f>
        <v/>
      </c>
      <c r="C23856" s="12" t="str">
        <f ca="1">IFERROR(__xludf.DUMMYFUNCTION("""COMPUTED_VALUE"""),"")</f>
        <v/>
      </c>
      <c r="D23856" s="12" t="str">
        <f ca="1">IFERROR(__xludf.DUMMYFUNCTION("""COMPUTED_VALUE"""),"")</f>
        <v/>
      </c>
    </row>
    <row r="23857" spans="2:4" ht="13">
      <c r="B23857" s="12" t="str">
        <f ca="1">IFERROR(__xludf.DUMMYFUNCTION("""COMPUTED_VALUE"""),"")</f>
        <v/>
      </c>
      <c r="C23857" s="12" t="str">
        <f ca="1">IFERROR(__xludf.DUMMYFUNCTION("""COMPUTED_VALUE"""),"")</f>
        <v/>
      </c>
      <c r="D23857" s="12" t="str">
        <f ca="1">IFERROR(__xludf.DUMMYFUNCTION("""COMPUTED_VALUE"""),"")</f>
        <v/>
      </c>
    </row>
    <row r="23858" spans="2:4" ht="13">
      <c r="B23858" s="12" t="str">
        <f ca="1">IFERROR(__xludf.DUMMYFUNCTION("""COMPUTED_VALUE"""),"")</f>
        <v/>
      </c>
      <c r="C23858" s="12" t="str">
        <f ca="1">IFERROR(__xludf.DUMMYFUNCTION("""COMPUTED_VALUE"""),"")</f>
        <v/>
      </c>
      <c r="D23858" s="12" t="str">
        <f ca="1">IFERROR(__xludf.DUMMYFUNCTION("""COMPUTED_VALUE"""),"")</f>
        <v/>
      </c>
    </row>
    <row r="23859" spans="2:4" ht="13">
      <c r="B23859" s="12" t="str">
        <f ca="1">IFERROR(__xludf.DUMMYFUNCTION("""COMPUTED_VALUE"""),"")</f>
        <v/>
      </c>
      <c r="C23859" s="12" t="str">
        <f ca="1">IFERROR(__xludf.DUMMYFUNCTION("""COMPUTED_VALUE"""),"")</f>
        <v/>
      </c>
      <c r="D23859" s="12" t="str">
        <f ca="1">IFERROR(__xludf.DUMMYFUNCTION("""COMPUTED_VALUE"""),"")</f>
        <v/>
      </c>
    </row>
    <row r="23860" spans="2:4" ht="13">
      <c r="B23860" s="12" t="str">
        <f ca="1">IFERROR(__xludf.DUMMYFUNCTION("""COMPUTED_VALUE"""),"")</f>
        <v/>
      </c>
      <c r="C23860" s="12" t="str">
        <f ca="1">IFERROR(__xludf.DUMMYFUNCTION("""COMPUTED_VALUE"""),"")</f>
        <v/>
      </c>
      <c r="D23860" s="12" t="str">
        <f ca="1">IFERROR(__xludf.DUMMYFUNCTION("""COMPUTED_VALUE"""),"")</f>
        <v/>
      </c>
    </row>
    <row r="23861" spans="2:4" ht="13">
      <c r="B23861" s="12" t="str">
        <f ca="1">IFERROR(__xludf.DUMMYFUNCTION("""COMPUTED_VALUE"""),"")</f>
        <v/>
      </c>
      <c r="C23861" s="12" t="str">
        <f ca="1">IFERROR(__xludf.DUMMYFUNCTION("""COMPUTED_VALUE"""),"")</f>
        <v/>
      </c>
      <c r="D23861" s="12" t="str">
        <f ca="1">IFERROR(__xludf.DUMMYFUNCTION("""COMPUTED_VALUE"""),"")</f>
        <v/>
      </c>
    </row>
    <row r="23862" spans="2:4" ht="13">
      <c r="B23862" s="12" t="str">
        <f ca="1">IFERROR(__xludf.DUMMYFUNCTION("""COMPUTED_VALUE"""),"")</f>
        <v/>
      </c>
      <c r="C23862" s="12" t="str">
        <f ca="1">IFERROR(__xludf.DUMMYFUNCTION("""COMPUTED_VALUE"""),"")</f>
        <v/>
      </c>
      <c r="D23862" s="12" t="str">
        <f ca="1">IFERROR(__xludf.DUMMYFUNCTION("""COMPUTED_VALUE"""),"")</f>
        <v/>
      </c>
    </row>
    <row r="23863" spans="2:4" ht="13">
      <c r="B23863" s="12" t="str">
        <f ca="1">IFERROR(__xludf.DUMMYFUNCTION("""COMPUTED_VALUE"""),"")</f>
        <v/>
      </c>
      <c r="C23863" s="12" t="str">
        <f ca="1">IFERROR(__xludf.DUMMYFUNCTION("""COMPUTED_VALUE"""),"")</f>
        <v/>
      </c>
      <c r="D23863" s="12" t="str">
        <f ca="1">IFERROR(__xludf.DUMMYFUNCTION("""COMPUTED_VALUE"""),"")</f>
        <v/>
      </c>
    </row>
    <row r="23864" spans="2:4" ht="13">
      <c r="B23864" s="12" t="str">
        <f ca="1">IFERROR(__xludf.DUMMYFUNCTION("""COMPUTED_VALUE"""),"")</f>
        <v/>
      </c>
      <c r="C23864" s="12" t="str">
        <f ca="1">IFERROR(__xludf.DUMMYFUNCTION("""COMPUTED_VALUE"""),"")</f>
        <v/>
      </c>
      <c r="D23864" s="12" t="str">
        <f ca="1">IFERROR(__xludf.DUMMYFUNCTION("""COMPUTED_VALUE"""),"")</f>
        <v/>
      </c>
    </row>
    <row r="23865" spans="2:4" ht="13">
      <c r="B23865" s="12" t="str">
        <f ca="1">IFERROR(__xludf.DUMMYFUNCTION("""COMPUTED_VALUE"""),"")</f>
        <v/>
      </c>
      <c r="C23865" s="12" t="str">
        <f ca="1">IFERROR(__xludf.DUMMYFUNCTION("""COMPUTED_VALUE"""),"")</f>
        <v/>
      </c>
      <c r="D23865" s="12" t="str">
        <f ca="1">IFERROR(__xludf.DUMMYFUNCTION("""COMPUTED_VALUE"""),"")</f>
        <v/>
      </c>
    </row>
    <row r="23866" spans="2:4" ht="13">
      <c r="B23866" s="12" t="str">
        <f ca="1">IFERROR(__xludf.DUMMYFUNCTION("""COMPUTED_VALUE"""),"")</f>
        <v/>
      </c>
      <c r="C23866" s="12" t="str">
        <f ca="1">IFERROR(__xludf.DUMMYFUNCTION("""COMPUTED_VALUE"""),"")</f>
        <v/>
      </c>
      <c r="D23866" s="12" t="str">
        <f ca="1">IFERROR(__xludf.DUMMYFUNCTION("""COMPUTED_VALUE"""),"")</f>
        <v/>
      </c>
    </row>
    <row r="23867" spans="2:4" ht="13">
      <c r="B23867" s="12" t="str">
        <f ca="1">IFERROR(__xludf.DUMMYFUNCTION("""COMPUTED_VALUE"""),"")</f>
        <v/>
      </c>
      <c r="C23867" s="12" t="str">
        <f ca="1">IFERROR(__xludf.DUMMYFUNCTION("""COMPUTED_VALUE"""),"")</f>
        <v/>
      </c>
      <c r="D23867" s="12" t="str">
        <f ca="1">IFERROR(__xludf.DUMMYFUNCTION("""COMPUTED_VALUE"""),"")</f>
        <v/>
      </c>
    </row>
    <row r="23868" spans="2:4" ht="13">
      <c r="B23868" s="12" t="str">
        <f ca="1">IFERROR(__xludf.DUMMYFUNCTION("""COMPUTED_VALUE"""),"")</f>
        <v/>
      </c>
      <c r="C23868" s="12" t="str">
        <f ca="1">IFERROR(__xludf.DUMMYFUNCTION("""COMPUTED_VALUE"""),"")</f>
        <v/>
      </c>
      <c r="D23868" s="12" t="str">
        <f ca="1">IFERROR(__xludf.DUMMYFUNCTION("""COMPUTED_VALUE"""),"")</f>
        <v/>
      </c>
    </row>
    <row r="23869" spans="2:4" ht="13">
      <c r="B23869" s="12" t="str">
        <f ca="1">IFERROR(__xludf.DUMMYFUNCTION("""COMPUTED_VALUE"""),"")</f>
        <v/>
      </c>
      <c r="C23869" s="12" t="str">
        <f ca="1">IFERROR(__xludf.DUMMYFUNCTION("""COMPUTED_VALUE"""),"")</f>
        <v/>
      </c>
      <c r="D23869" s="12" t="str">
        <f ca="1">IFERROR(__xludf.DUMMYFUNCTION("""COMPUTED_VALUE"""),"")</f>
        <v/>
      </c>
    </row>
    <row r="23870" spans="2:4" ht="13">
      <c r="B23870" s="12" t="str">
        <f ca="1">IFERROR(__xludf.DUMMYFUNCTION("""COMPUTED_VALUE"""),"")</f>
        <v/>
      </c>
      <c r="C23870" s="12" t="str">
        <f ca="1">IFERROR(__xludf.DUMMYFUNCTION("""COMPUTED_VALUE"""),"")</f>
        <v/>
      </c>
      <c r="D23870" s="12" t="str">
        <f ca="1">IFERROR(__xludf.DUMMYFUNCTION("""COMPUTED_VALUE"""),"")</f>
        <v/>
      </c>
    </row>
    <row r="23871" spans="2:4" ht="13">
      <c r="B23871" s="12" t="str">
        <f ca="1">IFERROR(__xludf.DUMMYFUNCTION("""COMPUTED_VALUE"""),"")</f>
        <v/>
      </c>
      <c r="C23871" s="12" t="str">
        <f ca="1">IFERROR(__xludf.DUMMYFUNCTION("""COMPUTED_VALUE"""),"")</f>
        <v/>
      </c>
      <c r="D23871" s="12" t="str">
        <f ca="1">IFERROR(__xludf.DUMMYFUNCTION("""COMPUTED_VALUE"""),"")</f>
        <v/>
      </c>
    </row>
    <row r="23872" spans="2:4" ht="13">
      <c r="B23872" s="12" t="str">
        <f ca="1">IFERROR(__xludf.DUMMYFUNCTION("""COMPUTED_VALUE"""),"")</f>
        <v/>
      </c>
      <c r="C23872" s="12" t="str">
        <f ca="1">IFERROR(__xludf.DUMMYFUNCTION("""COMPUTED_VALUE"""),"")</f>
        <v/>
      </c>
      <c r="D23872" s="12" t="str">
        <f ca="1">IFERROR(__xludf.DUMMYFUNCTION("""COMPUTED_VALUE"""),"")</f>
        <v/>
      </c>
    </row>
    <row r="23873" spans="2:4" ht="13">
      <c r="B23873" s="12" t="str">
        <f ca="1">IFERROR(__xludf.DUMMYFUNCTION("""COMPUTED_VALUE"""),"")</f>
        <v/>
      </c>
      <c r="C23873" s="12" t="str">
        <f ca="1">IFERROR(__xludf.DUMMYFUNCTION("""COMPUTED_VALUE"""),"")</f>
        <v/>
      </c>
      <c r="D23873" s="12" t="str">
        <f ca="1">IFERROR(__xludf.DUMMYFUNCTION("""COMPUTED_VALUE"""),"")</f>
        <v/>
      </c>
    </row>
    <row r="23874" spans="2:4" ht="13">
      <c r="B23874" s="12" t="str">
        <f ca="1">IFERROR(__xludf.DUMMYFUNCTION("""COMPUTED_VALUE"""),"")</f>
        <v/>
      </c>
      <c r="C23874" s="12" t="str">
        <f ca="1">IFERROR(__xludf.DUMMYFUNCTION("""COMPUTED_VALUE"""),"")</f>
        <v/>
      </c>
      <c r="D23874" s="12" t="str">
        <f ca="1">IFERROR(__xludf.DUMMYFUNCTION("""COMPUTED_VALUE"""),"")</f>
        <v/>
      </c>
    </row>
    <row r="23875" spans="2:4" ht="13">
      <c r="B23875" s="12" t="str">
        <f ca="1">IFERROR(__xludf.DUMMYFUNCTION("""COMPUTED_VALUE"""),"")</f>
        <v/>
      </c>
      <c r="C23875" s="12" t="str">
        <f ca="1">IFERROR(__xludf.DUMMYFUNCTION("""COMPUTED_VALUE"""),"")</f>
        <v/>
      </c>
      <c r="D23875" s="12" t="str">
        <f ca="1">IFERROR(__xludf.DUMMYFUNCTION("""COMPUTED_VALUE"""),"")</f>
        <v/>
      </c>
    </row>
    <row r="23876" spans="2:4" ht="13">
      <c r="B23876" s="12" t="str">
        <f ca="1">IFERROR(__xludf.DUMMYFUNCTION("""COMPUTED_VALUE"""),"")</f>
        <v/>
      </c>
      <c r="C23876" s="12" t="str">
        <f ca="1">IFERROR(__xludf.DUMMYFUNCTION("""COMPUTED_VALUE"""),"")</f>
        <v/>
      </c>
      <c r="D23876" s="12" t="str">
        <f ca="1">IFERROR(__xludf.DUMMYFUNCTION("""COMPUTED_VALUE"""),"")</f>
        <v/>
      </c>
    </row>
    <row r="23877" spans="2:4" ht="13">
      <c r="B23877" s="12" t="str">
        <f ca="1">IFERROR(__xludf.DUMMYFUNCTION("""COMPUTED_VALUE"""),"")</f>
        <v/>
      </c>
      <c r="C23877" s="12" t="str">
        <f ca="1">IFERROR(__xludf.DUMMYFUNCTION("""COMPUTED_VALUE"""),"")</f>
        <v/>
      </c>
      <c r="D23877" s="12" t="str">
        <f ca="1">IFERROR(__xludf.DUMMYFUNCTION("""COMPUTED_VALUE"""),"")</f>
        <v/>
      </c>
    </row>
    <row r="23878" spans="2:4" ht="13">
      <c r="B23878" s="12" t="str">
        <f ca="1">IFERROR(__xludf.DUMMYFUNCTION("""COMPUTED_VALUE"""),"")</f>
        <v/>
      </c>
      <c r="C23878" s="12" t="str">
        <f ca="1">IFERROR(__xludf.DUMMYFUNCTION("""COMPUTED_VALUE"""),"")</f>
        <v/>
      </c>
      <c r="D23878" s="12" t="str">
        <f ca="1">IFERROR(__xludf.DUMMYFUNCTION("""COMPUTED_VALUE"""),"")</f>
        <v/>
      </c>
    </row>
    <row r="23879" spans="2:4" ht="13">
      <c r="B23879" s="12" t="str">
        <f ca="1">IFERROR(__xludf.DUMMYFUNCTION("""COMPUTED_VALUE"""),"")</f>
        <v/>
      </c>
      <c r="C23879" s="12" t="str">
        <f ca="1">IFERROR(__xludf.DUMMYFUNCTION("""COMPUTED_VALUE"""),"")</f>
        <v/>
      </c>
      <c r="D23879" s="12" t="str">
        <f ca="1">IFERROR(__xludf.DUMMYFUNCTION("""COMPUTED_VALUE"""),"")</f>
        <v/>
      </c>
    </row>
    <row r="23880" spans="2:4" ht="13">
      <c r="B23880" s="12" t="str">
        <f ca="1">IFERROR(__xludf.DUMMYFUNCTION("""COMPUTED_VALUE"""),"")</f>
        <v/>
      </c>
      <c r="C23880" s="12" t="str">
        <f ca="1">IFERROR(__xludf.DUMMYFUNCTION("""COMPUTED_VALUE"""),"")</f>
        <v/>
      </c>
      <c r="D23880" s="12" t="str">
        <f ca="1">IFERROR(__xludf.DUMMYFUNCTION("""COMPUTED_VALUE"""),"")</f>
        <v/>
      </c>
    </row>
    <row r="23881" spans="2:4" ht="13">
      <c r="B23881" s="12" t="str">
        <f ca="1">IFERROR(__xludf.DUMMYFUNCTION("""COMPUTED_VALUE"""),"")</f>
        <v/>
      </c>
      <c r="C23881" s="12" t="str">
        <f ca="1">IFERROR(__xludf.DUMMYFUNCTION("""COMPUTED_VALUE"""),"")</f>
        <v/>
      </c>
      <c r="D23881" s="12" t="str">
        <f ca="1">IFERROR(__xludf.DUMMYFUNCTION("""COMPUTED_VALUE"""),"")</f>
        <v/>
      </c>
    </row>
    <row r="23882" spans="2:4" ht="13">
      <c r="B23882" s="12" t="str">
        <f ca="1">IFERROR(__xludf.DUMMYFUNCTION("""COMPUTED_VALUE"""),"")</f>
        <v/>
      </c>
      <c r="C23882" s="12" t="str">
        <f ca="1">IFERROR(__xludf.DUMMYFUNCTION("""COMPUTED_VALUE"""),"")</f>
        <v/>
      </c>
      <c r="D23882" s="12" t="str">
        <f ca="1">IFERROR(__xludf.DUMMYFUNCTION("""COMPUTED_VALUE"""),"")</f>
        <v/>
      </c>
    </row>
    <row r="23883" spans="2:4" ht="13">
      <c r="B23883" s="12" t="str">
        <f ca="1">IFERROR(__xludf.DUMMYFUNCTION("""COMPUTED_VALUE"""),"")</f>
        <v/>
      </c>
      <c r="C23883" s="12" t="str">
        <f ca="1">IFERROR(__xludf.DUMMYFUNCTION("""COMPUTED_VALUE"""),"")</f>
        <v/>
      </c>
      <c r="D23883" s="12" t="str">
        <f ca="1">IFERROR(__xludf.DUMMYFUNCTION("""COMPUTED_VALUE"""),"")</f>
        <v/>
      </c>
    </row>
    <row r="23884" spans="2:4" ht="13">
      <c r="B23884" s="12" t="str">
        <f ca="1">IFERROR(__xludf.DUMMYFUNCTION("""COMPUTED_VALUE"""),"")</f>
        <v/>
      </c>
      <c r="C23884" s="12" t="str">
        <f ca="1">IFERROR(__xludf.DUMMYFUNCTION("""COMPUTED_VALUE"""),"")</f>
        <v/>
      </c>
      <c r="D23884" s="12" t="str">
        <f ca="1">IFERROR(__xludf.DUMMYFUNCTION("""COMPUTED_VALUE"""),"")</f>
        <v/>
      </c>
    </row>
    <row r="23885" spans="2:4" ht="13">
      <c r="B23885" s="12" t="str">
        <f ca="1">IFERROR(__xludf.DUMMYFUNCTION("""COMPUTED_VALUE"""),"")</f>
        <v/>
      </c>
      <c r="C23885" s="12" t="str">
        <f ca="1">IFERROR(__xludf.DUMMYFUNCTION("""COMPUTED_VALUE"""),"")</f>
        <v/>
      </c>
      <c r="D23885" s="12" t="str">
        <f ca="1">IFERROR(__xludf.DUMMYFUNCTION("""COMPUTED_VALUE"""),"")</f>
        <v/>
      </c>
    </row>
    <row r="23886" spans="2:4" ht="13">
      <c r="B23886" s="12" t="str">
        <f ca="1">IFERROR(__xludf.DUMMYFUNCTION("""COMPUTED_VALUE"""),"")</f>
        <v/>
      </c>
      <c r="C23886" s="12" t="str">
        <f ca="1">IFERROR(__xludf.DUMMYFUNCTION("""COMPUTED_VALUE"""),"")</f>
        <v/>
      </c>
      <c r="D23886" s="12" t="str">
        <f ca="1">IFERROR(__xludf.DUMMYFUNCTION("""COMPUTED_VALUE"""),"")</f>
        <v/>
      </c>
    </row>
    <row r="23887" spans="2:4" ht="13">
      <c r="B23887" s="12" t="str">
        <f ca="1">IFERROR(__xludf.DUMMYFUNCTION("""COMPUTED_VALUE"""),"")</f>
        <v/>
      </c>
      <c r="C23887" s="12" t="str">
        <f ca="1">IFERROR(__xludf.DUMMYFUNCTION("""COMPUTED_VALUE"""),"")</f>
        <v/>
      </c>
      <c r="D23887" s="12" t="str">
        <f ca="1">IFERROR(__xludf.DUMMYFUNCTION("""COMPUTED_VALUE"""),"")</f>
        <v/>
      </c>
    </row>
    <row r="23888" spans="2:4" ht="13">
      <c r="B23888" s="12" t="str">
        <f ca="1">IFERROR(__xludf.DUMMYFUNCTION("""COMPUTED_VALUE"""),"")</f>
        <v/>
      </c>
      <c r="C23888" s="12" t="str">
        <f ca="1">IFERROR(__xludf.DUMMYFUNCTION("""COMPUTED_VALUE"""),"")</f>
        <v/>
      </c>
      <c r="D23888" s="12" t="str">
        <f ca="1">IFERROR(__xludf.DUMMYFUNCTION("""COMPUTED_VALUE"""),"")</f>
        <v/>
      </c>
    </row>
    <row r="23889" spans="2:4" ht="13">
      <c r="B23889" s="12" t="str">
        <f ca="1">IFERROR(__xludf.DUMMYFUNCTION("""COMPUTED_VALUE"""),"")</f>
        <v/>
      </c>
      <c r="C23889" s="12" t="str">
        <f ca="1">IFERROR(__xludf.DUMMYFUNCTION("""COMPUTED_VALUE"""),"")</f>
        <v/>
      </c>
      <c r="D23889" s="12" t="str">
        <f ca="1">IFERROR(__xludf.DUMMYFUNCTION("""COMPUTED_VALUE"""),"")</f>
        <v/>
      </c>
    </row>
    <row r="23890" spans="2:4" ht="13">
      <c r="B23890" s="12" t="str">
        <f ca="1">IFERROR(__xludf.DUMMYFUNCTION("""COMPUTED_VALUE"""),"")</f>
        <v/>
      </c>
      <c r="C23890" s="12" t="str">
        <f ca="1">IFERROR(__xludf.DUMMYFUNCTION("""COMPUTED_VALUE"""),"")</f>
        <v/>
      </c>
      <c r="D23890" s="12" t="str">
        <f ca="1">IFERROR(__xludf.DUMMYFUNCTION("""COMPUTED_VALUE"""),"")</f>
        <v/>
      </c>
    </row>
    <row r="23891" spans="2:4" ht="13">
      <c r="B23891" s="12" t="str">
        <f ca="1">IFERROR(__xludf.DUMMYFUNCTION("""COMPUTED_VALUE"""),"")</f>
        <v/>
      </c>
      <c r="C23891" s="12" t="str">
        <f ca="1">IFERROR(__xludf.DUMMYFUNCTION("""COMPUTED_VALUE"""),"")</f>
        <v/>
      </c>
      <c r="D23891" s="12" t="str">
        <f ca="1">IFERROR(__xludf.DUMMYFUNCTION("""COMPUTED_VALUE"""),"")</f>
        <v/>
      </c>
    </row>
    <row r="23892" spans="2:4" ht="13">
      <c r="B23892" s="12" t="str">
        <f ca="1">IFERROR(__xludf.DUMMYFUNCTION("""COMPUTED_VALUE"""),"")</f>
        <v/>
      </c>
      <c r="C23892" s="12" t="str">
        <f ca="1">IFERROR(__xludf.DUMMYFUNCTION("""COMPUTED_VALUE"""),"")</f>
        <v/>
      </c>
      <c r="D23892" s="12" t="str">
        <f ca="1">IFERROR(__xludf.DUMMYFUNCTION("""COMPUTED_VALUE"""),"")</f>
        <v/>
      </c>
    </row>
    <row r="23893" spans="2:4" ht="13">
      <c r="B23893" s="12" t="str">
        <f ca="1">IFERROR(__xludf.DUMMYFUNCTION("""COMPUTED_VALUE"""),"")</f>
        <v/>
      </c>
      <c r="C23893" s="12" t="str">
        <f ca="1">IFERROR(__xludf.DUMMYFUNCTION("""COMPUTED_VALUE"""),"")</f>
        <v/>
      </c>
      <c r="D23893" s="12" t="str">
        <f ca="1">IFERROR(__xludf.DUMMYFUNCTION("""COMPUTED_VALUE"""),"")</f>
        <v/>
      </c>
    </row>
    <row r="23894" spans="2:4" ht="13">
      <c r="B23894" s="12" t="str">
        <f ca="1">IFERROR(__xludf.DUMMYFUNCTION("""COMPUTED_VALUE"""),"")</f>
        <v/>
      </c>
      <c r="C23894" s="12" t="str">
        <f ca="1">IFERROR(__xludf.DUMMYFUNCTION("""COMPUTED_VALUE"""),"")</f>
        <v/>
      </c>
      <c r="D23894" s="12" t="str">
        <f ca="1">IFERROR(__xludf.DUMMYFUNCTION("""COMPUTED_VALUE"""),"")</f>
        <v/>
      </c>
    </row>
    <row r="23895" spans="2:4" ht="13">
      <c r="B23895" s="12" t="str">
        <f ca="1">IFERROR(__xludf.DUMMYFUNCTION("""COMPUTED_VALUE"""),"")</f>
        <v/>
      </c>
      <c r="C23895" s="12" t="str">
        <f ca="1">IFERROR(__xludf.DUMMYFUNCTION("""COMPUTED_VALUE"""),"")</f>
        <v/>
      </c>
      <c r="D23895" s="12" t="str">
        <f ca="1">IFERROR(__xludf.DUMMYFUNCTION("""COMPUTED_VALUE"""),"")</f>
        <v/>
      </c>
    </row>
    <row r="23896" spans="2:4" ht="13">
      <c r="B23896" s="12" t="str">
        <f ca="1">IFERROR(__xludf.DUMMYFUNCTION("""COMPUTED_VALUE"""),"")</f>
        <v/>
      </c>
      <c r="C23896" s="12" t="str">
        <f ca="1">IFERROR(__xludf.DUMMYFUNCTION("""COMPUTED_VALUE"""),"")</f>
        <v/>
      </c>
      <c r="D23896" s="12" t="str">
        <f ca="1">IFERROR(__xludf.DUMMYFUNCTION("""COMPUTED_VALUE"""),"")</f>
        <v/>
      </c>
    </row>
    <row r="23897" spans="2:4" ht="13">
      <c r="B23897" s="12" t="str">
        <f ca="1">IFERROR(__xludf.DUMMYFUNCTION("""COMPUTED_VALUE"""),"")</f>
        <v/>
      </c>
      <c r="C23897" s="12" t="str">
        <f ca="1">IFERROR(__xludf.DUMMYFUNCTION("""COMPUTED_VALUE"""),"")</f>
        <v/>
      </c>
      <c r="D23897" s="12" t="str">
        <f ca="1">IFERROR(__xludf.DUMMYFUNCTION("""COMPUTED_VALUE"""),"")</f>
        <v/>
      </c>
    </row>
    <row r="23898" spans="2:4" ht="13">
      <c r="B23898" s="12" t="str">
        <f ca="1">IFERROR(__xludf.DUMMYFUNCTION("""COMPUTED_VALUE"""),"")</f>
        <v/>
      </c>
      <c r="C23898" s="12" t="str">
        <f ca="1">IFERROR(__xludf.DUMMYFUNCTION("""COMPUTED_VALUE"""),"")</f>
        <v/>
      </c>
      <c r="D23898" s="12" t="str">
        <f ca="1">IFERROR(__xludf.DUMMYFUNCTION("""COMPUTED_VALUE"""),"")</f>
        <v/>
      </c>
    </row>
    <row r="23899" spans="2:4" ht="13">
      <c r="B23899" s="12" t="str">
        <f ca="1">IFERROR(__xludf.DUMMYFUNCTION("""COMPUTED_VALUE"""),"")</f>
        <v/>
      </c>
      <c r="C23899" s="12" t="str">
        <f ca="1">IFERROR(__xludf.DUMMYFUNCTION("""COMPUTED_VALUE"""),"")</f>
        <v/>
      </c>
      <c r="D23899" s="12" t="str">
        <f ca="1">IFERROR(__xludf.DUMMYFUNCTION("""COMPUTED_VALUE"""),"")</f>
        <v/>
      </c>
    </row>
    <row r="23900" spans="2:4" ht="13">
      <c r="B23900" s="12" t="str">
        <f ca="1">IFERROR(__xludf.DUMMYFUNCTION("""COMPUTED_VALUE"""),"")</f>
        <v/>
      </c>
      <c r="C23900" s="12" t="str">
        <f ca="1">IFERROR(__xludf.DUMMYFUNCTION("""COMPUTED_VALUE"""),"")</f>
        <v/>
      </c>
      <c r="D23900" s="12" t="str">
        <f ca="1">IFERROR(__xludf.DUMMYFUNCTION("""COMPUTED_VALUE"""),"")</f>
        <v/>
      </c>
    </row>
    <row r="23901" spans="2:4" ht="13">
      <c r="B23901" s="12" t="str">
        <f ca="1">IFERROR(__xludf.DUMMYFUNCTION("""COMPUTED_VALUE"""),"")</f>
        <v/>
      </c>
      <c r="C23901" s="12" t="str">
        <f ca="1">IFERROR(__xludf.DUMMYFUNCTION("""COMPUTED_VALUE"""),"")</f>
        <v/>
      </c>
      <c r="D23901" s="12" t="str">
        <f ca="1">IFERROR(__xludf.DUMMYFUNCTION("""COMPUTED_VALUE"""),"")</f>
        <v/>
      </c>
    </row>
    <row r="23902" spans="2:4" ht="13">
      <c r="B23902" s="12" t="str">
        <f ca="1">IFERROR(__xludf.DUMMYFUNCTION("""COMPUTED_VALUE"""),"")</f>
        <v/>
      </c>
      <c r="C23902" s="12" t="str">
        <f ca="1">IFERROR(__xludf.DUMMYFUNCTION("""COMPUTED_VALUE"""),"")</f>
        <v/>
      </c>
      <c r="D23902" s="12" t="str">
        <f ca="1">IFERROR(__xludf.DUMMYFUNCTION("""COMPUTED_VALUE"""),"")</f>
        <v/>
      </c>
    </row>
    <row r="23903" spans="2:4" ht="13">
      <c r="B23903" s="12" t="str">
        <f ca="1">IFERROR(__xludf.DUMMYFUNCTION("""COMPUTED_VALUE"""),"")</f>
        <v/>
      </c>
      <c r="C23903" s="12" t="str">
        <f ca="1">IFERROR(__xludf.DUMMYFUNCTION("""COMPUTED_VALUE"""),"")</f>
        <v/>
      </c>
      <c r="D23903" s="12" t="str">
        <f ca="1">IFERROR(__xludf.DUMMYFUNCTION("""COMPUTED_VALUE"""),"")</f>
        <v/>
      </c>
    </row>
    <row r="23904" spans="2:4" ht="13">
      <c r="B23904" s="12" t="str">
        <f ca="1">IFERROR(__xludf.DUMMYFUNCTION("""COMPUTED_VALUE"""),"")</f>
        <v/>
      </c>
      <c r="C23904" s="12" t="str">
        <f ca="1">IFERROR(__xludf.DUMMYFUNCTION("""COMPUTED_VALUE"""),"")</f>
        <v/>
      </c>
      <c r="D23904" s="12" t="str">
        <f ca="1">IFERROR(__xludf.DUMMYFUNCTION("""COMPUTED_VALUE"""),"")</f>
        <v/>
      </c>
    </row>
    <row r="23905" spans="2:4" ht="13">
      <c r="B23905" s="12" t="str">
        <f ca="1">IFERROR(__xludf.DUMMYFUNCTION("""COMPUTED_VALUE"""),"")</f>
        <v/>
      </c>
      <c r="C23905" s="12" t="str">
        <f ca="1">IFERROR(__xludf.DUMMYFUNCTION("""COMPUTED_VALUE"""),"")</f>
        <v/>
      </c>
      <c r="D23905" s="12" t="str">
        <f ca="1">IFERROR(__xludf.DUMMYFUNCTION("""COMPUTED_VALUE"""),"")</f>
        <v/>
      </c>
    </row>
    <row r="23906" spans="2:4" ht="13">
      <c r="B23906" s="12" t="str">
        <f ca="1">IFERROR(__xludf.DUMMYFUNCTION("""COMPUTED_VALUE"""),"")</f>
        <v/>
      </c>
      <c r="C23906" s="12" t="str">
        <f ca="1">IFERROR(__xludf.DUMMYFUNCTION("""COMPUTED_VALUE"""),"")</f>
        <v/>
      </c>
      <c r="D23906" s="12" t="str">
        <f ca="1">IFERROR(__xludf.DUMMYFUNCTION("""COMPUTED_VALUE"""),"")</f>
        <v/>
      </c>
    </row>
    <row r="23907" spans="2:4" ht="13">
      <c r="B23907" s="12" t="str">
        <f ca="1">IFERROR(__xludf.DUMMYFUNCTION("""COMPUTED_VALUE"""),"")</f>
        <v/>
      </c>
      <c r="C23907" s="12" t="str">
        <f ca="1">IFERROR(__xludf.DUMMYFUNCTION("""COMPUTED_VALUE"""),"")</f>
        <v/>
      </c>
      <c r="D23907" s="12" t="str">
        <f ca="1">IFERROR(__xludf.DUMMYFUNCTION("""COMPUTED_VALUE"""),"")</f>
        <v/>
      </c>
    </row>
    <row r="23908" spans="2:4" ht="13">
      <c r="B23908" s="12" t="str">
        <f ca="1">IFERROR(__xludf.DUMMYFUNCTION("""COMPUTED_VALUE"""),"")</f>
        <v/>
      </c>
      <c r="C23908" s="12" t="str">
        <f ca="1">IFERROR(__xludf.DUMMYFUNCTION("""COMPUTED_VALUE"""),"")</f>
        <v/>
      </c>
      <c r="D23908" s="12" t="str">
        <f ca="1">IFERROR(__xludf.DUMMYFUNCTION("""COMPUTED_VALUE"""),"")</f>
        <v/>
      </c>
    </row>
    <row r="23909" spans="2:4" ht="13">
      <c r="B23909" s="12" t="str">
        <f ca="1">IFERROR(__xludf.DUMMYFUNCTION("""COMPUTED_VALUE"""),"")</f>
        <v/>
      </c>
      <c r="C23909" s="12" t="str">
        <f ca="1">IFERROR(__xludf.DUMMYFUNCTION("""COMPUTED_VALUE"""),"")</f>
        <v/>
      </c>
      <c r="D23909" s="12" t="str">
        <f ca="1">IFERROR(__xludf.DUMMYFUNCTION("""COMPUTED_VALUE"""),"")</f>
        <v/>
      </c>
    </row>
    <row r="23910" spans="2:4" ht="13">
      <c r="B23910" s="12" t="str">
        <f ca="1">IFERROR(__xludf.DUMMYFUNCTION("""COMPUTED_VALUE"""),"")</f>
        <v/>
      </c>
      <c r="C23910" s="12" t="str">
        <f ca="1">IFERROR(__xludf.DUMMYFUNCTION("""COMPUTED_VALUE"""),"")</f>
        <v/>
      </c>
      <c r="D23910" s="12" t="str">
        <f ca="1">IFERROR(__xludf.DUMMYFUNCTION("""COMPUTED_VALUE"""),"")</f>
        <v/>
      </c>
    </row>
    <row r="23911" spans="2:4" ht="13">
      <c r="B23911" s="12" t="str">
        <f ca="1">IFERROR(__xludf.DUMMYFUNCTION("""COMPUTED_VALUE"""),"")</f>
        <v/>
      </c>
      <c r="C23911" s="12" t="str">
        <f ca="1">IFERROR(__xludf.DUMMYFUNCTION("""COMPUTED_VALUE"""),"")</f>
        <v/>
      </c>
      <c r="D23911" s="12" t="str">
        <f ca="1">IFERROR(__xludf.DUMMYFUNCTION("""COMPUTED_VALUE"""),"")</f>
        <v/>
      </c>
    </row>
    <row r="23912" spans="2:4" ht="13">
      <c r="B23912" s="12" t="str">
        <f ca="1">IFERROR(__xludf.DUMMYFUNCTION("""COMPUTED_VALUE"""),"")</f>
        <v/>
      </c>
      <c r="C23912" s="12" t="str">
        <f ca="1">IFERROR(__xludf.DUMMYFUNCTION("""COMPUTED_VALUE"""),"")</f>
        <v/>
      </c>
      <c r="D23912" s="12" t="str">
        <f ca="1">IFERROR(__xludf.DUMMYFUNCTION("""COMPUTED_VALUE"""),"")</f>
        <v/>
      </c>
    </row>
    <row r="23913" spans="2:4" ht="13">
      <c r="B23913" s="12" t="str">
        <f ca="1">IFERROR(__xludf.DUMMYFUNCTION("""COMPUTED_VALUE"""),"")</f>
        <v/>
      </c>
      <c r="C23913" s="12" t="str">
        <f ca="1">IFERROR(__xludf.DUMMYFUNCTION("""COMPUTED_VALUE"""),"")</f>
        <v/>
      </c>
      <c r="D23913" s="12" t="str">
        <f ca="1">IFERROR(__xludf.DUMMYFUNCTION("""COMPUTED_VALUE"""),"")</f>
        <v/>
      </c>
    </row>
    <row r="23914" spans="2:4" ht="13">
      <c r="B23914" s="12" t="str">
        <f ca="1">IFERROR(__xludf.DUMMYFUNCTION("""COMPUTED_VALUE"""),"")</f>
        <v/>
      </c>
      <c r="C23914" s="12" t="str">
        <f ca="1">IFERROR(__xludf.DUMMYFUNCTION("""COMPUTED_VALUE"""),"")</f>
        <v/>
      </c>
      <c r="D23914" s="12" t="str">
        <f ca="1">IFERROR(__xludf.DUMMYFUNCTION("""COMPUTED_VALUE"""),"")</f>
        <v/>
      </c>
    </row>
    <row r="23915" spans="2:4" ht="13">
      <c r="B23915" s="12" t="str">
        <f ca="1">IFERROR(__xludf.DUMMYFUNCTION("""COMPUTED_VALUE"""),"")</f>
        <v/>
      </c>
      <c r="C23915" s="12" t="str">
        <f ca="1">IFERROR(__xludf.DUMMYFUNCTION("""COMPUTED_VALUE"""),"")</f>
        <v/>
      </c>
      <c r="D23915" s="12" t="str">
        <f ca="1">IFERROR(__xludf.DUMMYFUNCTION("""COMPUTED_VALUE"""),"")</f>
        <v/>
      </c>
    </row>
    <row r="23916" spans="2:4" ht="13">
      <c r="B23916" s="12" t="str">
        <f ca="1">IFERROR(__xludf.DUMMYFUNCTION("""COMPUTED_VALUE"""),"")</f>
        <v/>
      </c>
      <c r="C23916" s="12" t="str">
        <f ca="1">IFERROR(__xludf.DUMMYFUNCTION("""COMPUTED_VALUE"""),"")</f>
        <v/>
      </c>
      <c r="D23916" s="12" t="str">
        <f ca="1">IFERROR(__xludf.DUMMYFUNCTION("""COMPUTED_VALUE"""),"")</f>
        <v/>
      </c>
    </row>
    <row r="23917" spans="2:4" ht="13">
      <c r="B23917" s="12" t="str">
        <f ca="1">IFERROR(__xludf.DUMMYFUNCTION("""COMPUTED_VALUE"""),"")</f>
        <v/>
      </c>
      <c r="C23917" s="12" t="str">
        <f ca="1">IFERROR(__xludf.DUMMYFUNCTION("""COMPUTED_VALUE"""),"")</f>
        <v/>
      </c>
      <c r="D23917" s="12" t="str">
        <f ca="1">IFERROR(__xludf.DUMMYFUNCTION("""COMPUTED_VALUE"""),"")</f>
        <v/>
      </c>
    </row>
    <row r="23918" spans="2:4" ht="13">
      <c r="B23918" s="12" t="str">
        <f ca="1">IFERROR(__xludf.DUMMYFUNCTION("""COMPUTED_VALUE"""),"")</f>
        <v/>
      </c>
      <c r="C23918" s="12" t="str">
        <f ca="1">IFERROR(__xludf.DUMMYFUNCTION("""COMPUTED_VALUE"""),"")</f>
        <v/>
      </c>
      <c r="D23918" s="12" t="str">
        <f ca="1">IFERROR(__xludf.DUMMYFUNCTION("""COMPUTED_VALUE"""),"")</f>
        <v/>
      </c>
    </row>
    <row r="23919" spans="2:4" ht="13">
      <c r="B23919" s="12" t="str">
        <f ca="1">IFERROR(__xludf.DUMMYFUNCTION("""COMPUTED_VALUE"""),"")</f>
        <v/>
      </c>
      <c r="C23919" s="12" t="str">
        <f ca="1">IFERROR(__xludf.DUMMYFUNCTION("""COMPUTED_VALUE"""),"")</f>
        <v/>
      </c>
      <c r="D23919" s="12" t="str">
        <f ca="1">IFERROR(__xludf.DUMMYFUNCTION("""COMPUTED_VALUE"""),"")</f>
        <v/>
      </c>
    </row>
    <row r="23920" spans="2:4" ht="13">
      <c r="B23920" s="12" t="str">
        <f ca="1">IFERROR(__xludf.DUMMYFUNCTION("""COMPUTED_VALUE"""),"")</f>
        <v/>
      </c>
      <c r="C23920" s="12" t="str">
        <f ca="1">IFERROR(__xludf.DUMMYFUNCTION("""COMPUTED_VALUE"""),"")</f>
        <v/>
      </c>
      <c r="D23920" s="12" t="str">
        <f ca="1">IFERROR(__xludf.DUMMYFUNCTION("""COMPUTED_VALUE"""),"")</f>
        <v/>
      </c>
    </row>
    <row r="23921" spans="2:4" ht="13">
      <c r="B23921" s="12" t="str">
        <f ca="1">IFERROR(__xludf.DUMMYFUNCTION("""COMPUTED_VALUE"""),"")</f>
        <v/>
      </c>
      <c r="C23921" s="12" t="str">
        <f ca="1">IFERROR(__xludf.DUMMYFUNCTION("""COMPUTED_VALUE"""),"")</f>
        <v/>
      </c>
      <c r="D23921" s="12" t="str">
        <f ca="1">IFERROR(__xludf.DUMMYFUNCTION("""COMPUTED_VALUE"""),"")</f>
        <v/>
      </c>
    </row>
    <row r="23922" spans="2:4" ht="13">
      <c r="B23922" s="12" t="str">
        <f ca="1">IFERROR(__xludf.DUMMYFUNCTION("""COMPUTED_VALUE"""),"")</f>
        <v/>
      </c>
      <c r="C23922" s="12" t="str">
        <f ca="1">IFERROR(__xludf.DUMMYFUNCTION("""COMPUTED_VALUE"""),"")</f>
        <v/>
      </c>
      <c r="D23922" s="12" t="str">
        <f ca="1">IFERROR(__xludf.DUMMYFUNCTION("""COMPUTED_VALUE"""),"")</f>
        <v/>
      </c>
    </row>
    <row r="23923" spans="2:4" ht="13">
      <c r="B23923" s="12" t="str">
        <f ca="1">IFERROR(__xludf.DUMMYFUNCTION("""COMPUTED_VALUE"""),"")</f>
        <v/>
      </c>
      <c r="C23923" s="12" t="str">
        <f ca="1">IFERROR(__xludf.DUMMYFUNCTION("""COMPUTED_VALUE"""),"")</f>
        <v/>
      </c>
      <c r="D23923" s="12" t="str">
        <f ca="1">IFERROR(__xludf.DUMMYFUNCTION("""COMPUTED_VALUE"""),"")</f>
        <v/>
      </c>
    </row>
    <row r="23924" spans="2:4" ht="13">
      <c r="B23924" s="12" t="str">
        <f ca="1">IFERROR(__xludf.DUMMYFUNCTION("""COMPUTED_VALUE"""),"")</f>
        <v/>
      </c>
      <c r="C23924" s="12" t="str">
        <f ca="1">IFERROR(__xludf.DUMMYFUNCTION("""COMPUTED_VALUE"""),"")</f>
        <v/>
      </c>
      <c r="D23924" s="12" t="str">
        <f ca="1">IFERROR(__xludf.DUMMYFUNCTION("""COMPUTED_VALUE"""),"")</f>
        <v/>
      </c>
    </row>
    <row r="23925" spans="2:4" ht="13">
      <c r="B23925" s="12" t="str">
        <f ca="1">IFERROR(__xludf.DUMMYFUNCTION("""COMPUTED_VALUE"""),"")</f>
        <v/>
      </c>
      <c r="C23925" s="12" t="str">
        <f ca="1">IFERROR(__xludf.DUMMYFUNCTION("""COMPUTED_VALUE"""),"")</f>
        <v/>
      </c>
      <c r="D23925" s="12" t="str">
        <f ca="1">IFERROR(__xludf.DUMMYFUNCTION("""COMPUTED_VALUE"""),"")</f>
        <v/>
      </c>
    </row>
    <row r="23926" spans="2:4" ht="13">
      <c r="B23926" s="12" t="str">
        <f ca="1">IFERROR(__xludf.DUMMYFUNCTION("""COMPUTED_VALUE"""),"")</f>
        <v/>
      </c>
      <c r="C23926" s="12" t="str">
        <f ca="1">IFERROR(__xludf.DUMMYFUNCTION("""COMPUTED_VALUE"""),"")</f>
        <v/>
      </c>
      <c r="D23926" s="12" t="str">
        <f ca="1">IFERROR(__xludf.DUMMYFUNCTION("""COMPUTED_VALUE"""),"")</f>
        <v/>
      </c>
    </row>
    <row r="23927" spans="2:4" ht="13">
      <c r="B23927" s="12" t="str">
        <f ca="1">IFERROR(__xludf.DUMMYFUNCTION("""COMPUTED_VALUE"""),"")</f>
        <v/>
      </c>
      <c r="C23927" s="12" t="str">
        <f ca="1">IFERROR(__xludf.DUMMYFUNCTION("""COMPUTED_VALUE"""),"")</f>
        <v/>
      </c>
      <c r="D23927" s="12" t="str">
        <f ca="1">IFERROR(__xludf.DUMMYFUNCTION("""COMPUTED_VALUE"""),"")</f>
        <v/>
      </c>
    </row>
    <row r="23928" spans="2:4" ht="13">
      <c r="B23928" s="12" t="str">
        <f ca="1">IFERROR(__xludf.DUMMYFUNCTION("""COMPUTED_VALUE"""),"")</f>
        <v/>
      </c>
      <c r="C23928" s="12" t="str">
        <f ca="1">IFERROR(__xludf.DUMMYFUNCTION("""COMPUTED_VALUE"""),"")</f>
        <v/>
      </c>
      <c r="D23928" s="12" t="str">
        <f ca="1">IFERROR(__xludf.DUMMYFUNCTION("""COMPUTED_VALUE"""),"")</f>
        <v/>
      </c>
    </row>
    <row r="23929" spans="2:4" ht="13">
      <c r="B23929" s="12" t="str">
        <f ca="1">IFERROR(__xludf.DUMMYFUNCTION("""COMPUTED_VALUE"""),"")</f>
        <v/>
      </c>
      <c r="C23929" s="12" t="str">
        <f ca="1">IFERROR(__xludf.DUMMYFUNCTION("""COMPUTED_VALUE"""),"")</f>
        <v/>
      </c>
      <c r="D23929" s="12" t="str">
        <f ca="1">IFERROR(__xludf.DUMMYFUNCTION("""COMPUTED_VALUE"""),"")</f>
        <v/>
      </c>
    </row>
    <row r="23930" spans="2:4" ht="13">
      <c r="B23930" s="12" t="str">
        <f ca="1">IFERROR(__xludf.DUMMYFUNCTION("""COMPUTED_VALUE"""),"")</f>
        <v/>
      </c>
      <c r="C23930" s="12" t="str">
        <f ca="1">IFERROR(__xludf.DUMMYFUNCTION("""COMPUTED_VALUE"""),"")</f>
        <v/>
      </c>
      <c r="D23930" s="12" t="str">
        <f ca="1">IFERROR(__xludf.DUMMYFUNCTION("""COMPUTED_VALUE"""),"")</f>
        <v/>
      </c>
    </row>
    <row r="23931" spans="2:4" ht="13">
      <c r="B23931" s="12" t="str">
        <f ca="1">IFERROR(__xludf.DUMMYFUNCTION("""COMPUTED_VALUE"""),"")</f>
        <v/>
      </c>
      <c r="C23931" s="12" t="str">
        <f ca="1">IFERROR(__xludf.DUMMYFUNCTION("""COMPUTED_VALUE"""),"")</f>
        <v/>
      </c>
      <c r="D23931" s="12" t="str">
        <f ca="1">IFERROR(__xludf.DUMMYFUNCTION("""COMPUTED_VALUE"""),"")</f>
        <v/>
      </c>
    </row>
    <row r="23932" spans="2:4" ht="13">
      <c r="B23932" s="12" t="str">
        <f ca="1">IFERROR(__xludf.DUMMYFUNCTION("""COMPUTED_VALUE"""),"")</f>
        <v/>
      </c>
      <c r="C23932" s="12" t="str">
        <f ca="1">IFERROR(__xludf.DUMMYFUNCTION("""COMPUTED_VALUE"""),"")</f>
        <v/>
      </c>
      <c r="D23932" s="12" t="str">
        <f ca="1">IFERROR(__xludf.DUMMYFUNCTION("""COMPUTED_VALUE"""),"")</f>
        <v/>
      </c>
    </row>
    <row r="23933" spans="2:4" ht="13">
      <c r="B23933" s="12" t="str">
        <f ca="1">IFERROR(__xludf.DUMMYFUNCTION("""COMPUTED_VALUE"""),"")</f>
        <v/>
      </c>
      <c r="C23933" s="12" t="str">
        <f ca="1">IFERROR(__xludf.DUMMYFUNCTION("""COMPUTED_VALUE"""),"")</f>
        <v/>
      </c>
      <c r="D23933" s="12" t="str">
        <f ca="1">IFERROR(__xludf.DUMMYFUNCTION("""COMPUTED_VALUE"""),"")</f>
        <v/>
      </c>
    </row>
    <row r="23934" spans="2:4" ht="13">
      <c r="B23934" s="12" t="str">
        <f ca="1">IFERROR(__xludf.DUMMYFUNCTION("""COMPUTED_VALUE"""),"")</f>
        <v/>
      </c>
      <c r="C23934" s="12" t="str">
        <f ca="1">IFERROR(__xludf.DUMMYFUNCTION("""COMPUTED_VALUE"""),"")</f>
        <v/>
      </c>
      <c r="D23934" s="12" t="str">
        <f ca="1">IFERROR(__xludf.DUMMYFUNCTION("""COMPUTED_VALUE"""),"")</f>
        <v/>
      </c>
    </row>
    <row r="23935" spans="2:4" ht="13">
      <c r="B23935" s="12" t="str">
        <f ca="1">IFERROR(__xludf.DUMMYFUNCTION("""COMPUTED_VALUE"""),"")</f>
        <v/>
      </c>
      <c r="C23935" s="12" t="str">
        <f ca="1">IFERROR(__xludf.DUMMYFUNCTION("""COMPUTED_VALUE"""),"")</f>
        <v/>
      </c>
      <c r="D23935" s="12" t="str">
        <f ca="1">IFERROR(__xludf.DUMMYFUNCTION("""COMPUTED_VALUE"""),"")</f>
        <v/>
      </c>
    </row>
    <row r="23936" spans="2:4" ht="13">
      <c r="B23936" s="12" t="str">
        <f ca="1">IFERROR(__xludf.DUMMYFUNCTION("""COMPUTED_VALUE"""),"")</f>
        <v/>
      </c>
      <c r="C23936" s="12" t="str">
        <f ca="1">IFERROR(__xludf.DUMMYFUNCTION("""COMPUTED_VALUE"""),"")</f>
        <v/>
      </c>
      <c r="D23936" s="12" t="str">
        <f ca="1">IFERROR(__xludf.DUMMYFUNCTION("""COMPUTED_VALUE"""),"")</f>
        <v/>
      </c>
    </row>
    <row r="23937" spans="2:4" ht="13">
      <c r="B23937" s="12" t="str">
        <f ca="1">IFERROR(__xludf.DUMMYFUNCTION("""COMPUTED_VALUE"""),"")</f>
        <v/>
      </c>
      <c r="C23937" s="12" t="str">
        <f ca="1">IFERROR(__xludf.DUMMYFUNCTION("""COMPUTED_VALUE"""),"")</f>
        <v/>
      </c>
      <c r="D23937" s="12" t="str">
        <f ca="1">IFERROR(__xludf.DUMMYFUNCTION("""COMPUTED_VALUE"""),"")</f>
        <v/>
      </c>
    </row>
    <row r="23938" spans="2:4" ht="13">
      <c r="B23938" s="12" t="str">
        <f ca="1">IFERROR(__xludf.DUMMYFUNCTION("""COMPUTED_VALUE"""),"")</f>
        <v/>
      </c>
      <c r="C23938" s="12" t="str">
        <f ca="1">IFERROR(__xludf.DUMMYFUNCTION("""COMPUTED_VALUE"""),"")</f>
        <v/>
      </c>
      <c r="D23938" s="12" t="str">
        <f ca="1">IFERROR(__xludf.DUMMYFUNCTION("""COMPUTED_VALUE"""),"")</f>
        <v/>
      </c>
    </row>
    <row r="23939" spans="2:4" ht="13">
      <c r="B23939" s="12" t="str">
        <f ca="1">IFERROR(__xludf.DUMMYFUNCTION("""COMPUTED_VALUE"""),"")</f>
        <v/>
      </c>
      <c r="C23939" s="12" t="str">
        <f ca="1">IFERROR(__xludf.DUMMYFUNCTION("""COMPUTED_VALUE"""),"")</f>
        <v/>
      </c>
      <c r="D23939" s="12" t="str">
        <f ca="1">IFERROR(__xludf.DUMMYFUNCTION("""COMPUTED_VALUE"""),"")</f>
        <v/>
      </c>
    </row>
    <row r="23940" spans="2:4" ht="13">
      <c r="B23940" s="12" t="str">
        <f ca="1">IFERROR(__xludf.DUMMYFUNCTION("""COMPUTED_VALUE"""),"")</f>
        <v/>
      </c>
      <c r="C23940" s="12" t="str">
        <f ca="1">IFERROR(__xludf.DUMMYFUNCTION("""COMPUTED_VALUE"""),"")</f>
        <v/>
      </c>
      <c r="D23940" s="12" t="str">
        <f ca="1">IFERROR(__xludf.DUMMYFUNCTION("""COMPUTED_VALUE"""),"")</f>
        <v/>
      </c>
    </row>
    <row r="23941" spans="2:4" ht="13">
      <c r="B23941" s="12" t="str">
        <f ca="1">IFERROR(__xludf.DUMMYFUNCTION("""COMPUTED_VALUE"""),"")</f>
        <v/>
      </c>
      <c r="C23941" s="12" t="str">
        <f ca="1">IFERROR(__xludf.DUMMYFUNCTION("""COMPUTED_VALUE"""),"")</f>
        <v/>
      </c>
      <c r="D23941" s="12" t="str">
        <f ca="1">IFERROR(__xludf.DUMMYFUNCTION("""COMPUTED_VALUE"""),"")</f>
        <v/>
      </c>
    </row>
    <row r="23942" spans="2:4" ht="13">
      <c r="B23942" s="12" t="str">
        <f ca="1">IFERROR(__xludf.DUMMYFUNCTION("""COMPUTED_VALUE"""),"")</f>
        <v/>
      </c>
      <c r="C23942" s="12" t="str">
        <f ca="1">IFERROR(__xludf.DUMMYFUNCTION("""COMPUTED_VALUE"""),"")</f>
        <v/>
      </c>
      <c r="D23942" s="12" t="str">
        <f ca="1">IFERROR(__xludf.DUMMYFUNCTION("""COMPUTED_VALUE"""),"")</f>
        <v/>
      </c>
    </row>
    <row r="23943" spans="2:4" ht="13">
      <c r="B23943" s="12" t="str">
        <f ca="1">IFERROR(__xludf.DUMMYFUNCTION("""COMPUTED_VALUE"""),"")</f>
        <v/>
      </c>
      <c r="C23943" s="12" t="str">
        <f ca="1">IFERROR(__xludf.DUMMYFUNCTION("""COMPUTED_VALUE"""),"")</f>
        <v/>
      </c>
      <c r="D23943" s="12" t="str">
        <f ca="1">IFERROR(__xludf.DUMMYFUNCTION("""COMPUTED_VALUE"""),"")</f>
        <v/>
      </c>
    </row>
    <row r="23944" spans="2:4" ht="13">
      <c r="B23944" s="12" t="str">
        <f ca="1">IFERROR(__xludf.DUMMYFUNCTION("""COMPUTED_VALUE"""),"")</f>
        <v/>
      </c>
      <c r="C23944" s="12" t="str">
        <f ca="1">IFERROR(__xludf.DUMMYFUNCTION("""COMPUTED_VALUE"""),"")</f>
        <v/>
      </c>
      <c r="D23944" s="12" t="str">
        <f ca="1">IFERROR(__xludf.DUMMYFUNCTION("""COMPUTED_VALUE"""),"")</f>
        <v/>
      </c>
    </row>
    <row r="23945" spans="2:4" ht="13">
      <c r="B23945" s="12" t="str">
        <f ca="1">IFERROR(__xludf.DUMMYFUNCTION("""COMPUTED_VALUE"""),"")</f>
        <v/>
      </c>
      <c r="C23945" s="12" t="str">
        <f ca="1">IFERROR(__xludf.DUMMYFUNCTION("""COMPUTED_VALUE"""),"")</f>
        <v/>
      </c>
      <c r="D23945" s="12" t="str">
        <f ca="1">IFERROR(__xludf.DUMMYFUNCTION("""COMPUTED_VALUE"""),"")</f>
        <v/>
      </c>
    </row>
    <row r="23946" spans="2:4" ht="13">
      <c r="B23946" s="12" t="str">
        <f ca="1">IFERROR(__xludf.DUMMYFUNCTION("""COMPUTED_VALUE"""),"")</f>
        <v/>
      </c>
      <c r="C23946" s="12" t="str">
        <f ca="1">IFERROR(__xludf.DUMMYFUNCTION("""COMPUTED_VALUE"""),"")</f>
        <v/>
      </c>
      <c r="D23946" s="12" t="str">
        <f ca="1">IFERROR(__xludf.DUMMYFUNCTION("""COMPUTED_VALUE"""),"")</f>
        <v/>
      </c>
    </row>
    <row r="23947" spans="2:4" ht="13">
      <c r="B23947" s="12" t="str">
        <f ca="1">IFERROR(__xludf.DUMMYFUNCTION("""COMPUTED_VALUE"""),"")</f>
        <v/>
      </c>
      <c r="C23947" s="12" t="str">
        <f ca="1">IFERROR(__xludf.DUMMYFUNCTION("""COMPUTED_VALUE"""),"")</f>
        <v/>
      </c>
      <c r="D23947" s="12" t="str">
        <f ca="1">IFERROR(__xludf.DUMMYFUNCTION("""COMPUTED_VALUE"""),"")</f>
        <v/>
      </c>
    </row>
    <row r="23948" spans="2:4" ht="13">
      <c r="B23948" s="12" t="str">
        <f ca="1">IFERROR(__xludf.DUMMYFUNCTION("""COMPUTED_VALUE"""),"")</f>
        <v/>
      </c>
      <c r="C23948" s="12" t="str">
        <f ca="1">IFERROR(__xludf.DUMMYFUNCTION("""COMPUTED_VALUE"""),"")</f>
        <v/>
      </c>
      <c r="D23948" s="12" t="str">
        <f ca="1">IFERROR(__xludf.DUMMYFUNCTION("""COMPUTED_VALUE"""),"")</f>
        <v/>
      </c>
    </row>
    <row r="23949" spans="2:4" ht="13">
      <c r="B23949" s="12" t="str">
        <f ca="1">IFERROR(__xludf.DUMMYFUNCTION("""COMPUTED_VALUE"""),"")</f>
        <v/>
      </c>
      <c r="C23949" s="12" t="str">
        <f ca="1">IFERROR(__xludf.DUMMYFUNCTION("""COMPUTED_VALUE"""),"")</f>
        <v/>
      </c>
      <c r="D23949" s="12" t="str">
        <f ca="1">IFERROR(__xludf.DUMMYFUNCTION("""COMPUTED_VALUE"""),"")</f>
        <v/>
      </c>
    </row>
    <row r="23950" spans="2:4" ht="13">
      <c r="B23950" s="12" t="str">
        <f ca="1">IFERROR(__xludf.DUMMYFUNCTION("""COMPUTED_VALUE"""),"")</f>
        <v/>
      </c>
      <c r="C23950" s="12" t="str">
        <f ca="1">IFERROR(__xludf.DUMMYFUNCTION("""COMPUTED_VALUE"""),"")</f>
        <v/>
      </c>
      <c r="D23950" s="12" t="str">
        <f ca="1">IFERROR(__xludf.DUMMYFUNCTION("""COMPUTED_VALUE"""),"")</f>
        <v/>
      </c>
    </row>
    <row r="23951" spans="2:4" ht="13">
      <c r="B23951" s="12" t="str">
        <f ca="1">IFERROR(__xludf.DUMMYFUNCTION("""COMPUTED_VALUE"""),"")</f>
        <v/>
      </c>
      <c r="C23951" s="12" t="str">
        <f ca="1">IFERROR(__xludf.DUMMYFUNCTION("""COMPUTED_VALUE"""),"")</f>
        <v/>
      </c>
      <c r="D23951" s="12" t="str">
        <f ca="1">IFERROR(__xludf.DUMMYFUNCTION("""COMPUTED_VALUE"""),"")</f>
        <v/>
      </c>
    </row>
    <row r="23952" spans="2:4" ht="13">
      <c r="B23952" s="12" t="str">
        <f ca="1">IFERROR(__xludf.DUMMYFUNCTION("""COMPUTED_VALUE"""),"")</f>
        <v/>
      </c>
      <c r="C23952" s="12" t="str">
        <f ca="1">IFERROR(__xludf.DUMMYFUNCTION("""COMPUTED_VALUE"""),"")</f>
        <v/>
      </c>
      <c r="D23952" s="12" t="str">
        <f ca="1">IFERROR(__xludf.DUMMYFUNCTION("""COMPUTED_VALUE"""),"")</f>
        <v/>
      </c>
    </row>
    <row r="23953" spans="2:4" ht="13">
      <c r="B23953" s="12" t="str">
        <f ca="1">IFERROR(__xludf.DUMMYFUNCTION("""COMPUTED_VALUE"""),"")</f>
        <v/>
      </c>
      <c r="C23953" s="12" t="str">
        <f ca="1">IFERROR(__xludf.DUMMYFUNCTION("""COMPUTED_VALUE"""),"")</f>
        <v/>
      </c>
      <c r="D23953" s="12" t="str">
        <f ca="1">IFERROR(__xludf.DUMMYFUNCTION("""COMPUTED_VALUE"""),"")</f>
        <v/>
      </c>
    </row>
    <row r="23954" spans="2:4" ht="13">
      <c r="B23954" s="12" t="str">
        <f ca="1">IFERROR(__xludf.DUMMYFUNCTION("""COMPUTED_VALUE"""),"")</f>
        <v/>
      </c>
      <c r="C23954" s="12" t="str">
        <f ca="1">IFERROR(__xludf.DUMMYFUNCTION("""COMPUTED_VALUE"""),"")</f>
        <v/>
      </c>
      <c r="D23954" s="12" t="str">
        <f ca="1">IFERROR(__xludf.DUMMYFUNCTION("""COMPUTED_VALUE"""),"")</f>
        <v/>
      </c>
    </row>
    <row r="23955" spans="2:4" ht="13">
      <c r="B23955" s="12" t="str">
        <f ca="1">IFERROR(__xludf.DUMMYFUNCTION("""COMPUTED_VALUE"""),"")</f>
        <v/>
      </c>
      <c r="C23955" s="12" t="str">
        <f ca="1">IFERROR(__xludf.DUMMYFUNCTION("""COMPUTED_VALUE"""),"")</f>
        <v/>
      </c>
      <c r="D23955" s="12" t="str">
        <f ca="1">IFERROR(__xludf.DUMMYFUNCTION("""COMPUTED_VALUE"""),"")</f>
        <v/>
      </c>
    </row>
    <row r="23956" spans="2:4" ht="13">
      <c r="B23956" s="12" t="str">
        <f ca="1">IFERROR(__xludf.DUMMYFUNCTION("""COMPUTED_VALUE"""),"")</f>
        <v/>
      </c>
      <c r="C23956" s="12" t="str">
        <f ca="1">IFERROR(__xludf.DUMMYFUNCTION("""COMPUTED_VALUE"""),"")</f>
        <v/>
      </c>
      <c r="D23956" s="12" t="str">
        <f ca="1">IFERROR(__xludf.DUMMYFUNCTION("""COMPUTED_VALUE"""),"")</f>
        <v/>
      </c>
    </row>
    <row r="23957" spans="2:4" ht="13">
      <c r="B23957" s="12" t="str">
        <f ca="1">IFERROR(__xludf.DUMMYFUNCTION("""COMPUTED_VALUE"""),"")</f>
        <v/>
      </c>
      <c r="C23957" s="12" t="str">
        <f ca="1">IFERROR(__xludf.DUMMYFUNCTION("""COMPUTED_VALUE"""),"")</f>
        <v/>
      </c>
      <c r="D23957" s="12" t="str">
        <f ca="1">IFERROR(__xludf.DUMMYFUNCTION("""COMPUTED_VALUE"""),"")</f>
        <v/>
      </c>
    </row>
    <row r="23958" spans="2:4" ht="13">
      <c r="B23958" s="12" t="str">
        <f ca="1">IFERROR(__xludf.DUMMYFUNCTION("""COMPUTED_VALUE"""),"")</f>
        <v/>
      </c>
      <c r="C23958" s="12" t="str">
        <f ca="1">IFERROR(__xludf.DUMMYFUNCTION("""COMPUTED_VALUE"""),"")</f>
        <v/>
      </c>
      <c r="D23958" s="12" t="str">
        <f ca="1">IFERROR(__xludf.DUMMYFUNCTION("""COMPUTED_VALUE"""),"")</f>
        <v/>
      </c>
    </row>
    <row r="23959" spans="2:4" ht="13">
      <c r="B23959" s="12" t="str">
        <f ca="1">IFERROR(__xludf.DUMMYFUNCTION("""COMPUTED_VALUE"""),"")</f>
        <v/>
      </c>
      <c r="C23959" s="12" t="str">
        <f ca="1">IFERROR(__xludf.DUMMYFUNCTION("""COMPUTED_VALUE"""),"")</f>
        <v/>
      </c>
      <c r="D23959" s="12" t="str">
        <f ca="1">IFERROR(__xludf.DUMMYFUNCTION("""COMPUTED_VALUE"""),"")</f>
        <v/>
      </c>
    </row>
    <row r="23960" spans="2:4" ht="13">
      <c r="B23960" s="12" t="str">
        <f ca="1">IFERROR(__xludf.DUMMYFUNCTION("""COMPUTED_VALUE"""),"")</f>
        <v/>
      </c>
      <c r="C23960" s="12" t="str">
        <f ca="1">IFERROR(__xludf.DUMMYFUNCTION("""COMPUTED_VALUE"""),"")</f>
        <v/>
      </c>
      <c r="D23960" s="12" t="str">
        <f ca="1">IFERROR(__xludf.DUMMYFUNCTION("""COMPUTED_VALUE"""),"")</f>
        <v/>
      </c>
    </row>
    <row r="23961" spans="2:4" ht="13">
      <c r="B23961" s="12" t="str">
        <f ca="1">IFERROR(__xludf.DUMMYFUNCTION("""COMPUTED_VALUE"""),"")</f>
        <v/>
      </c>
      <c r="C23961" s="12" t="str">
        <f ca="1">IFERROR(__xludf.DUMMYFUNCTION("""COMPUTED_VALUE"""),"")</f>
        <v/>
      </c>
      <c r="D23961" s="12" t="str">
        <f ca="1">IFERROR(__xludf.DUMMYFUNCTION("""COMPUTED_VALUE"""),"")</f>
        <v/>
      </c>
    </row>
    <row r="23962" spans="2:4" ht="13">
      <c r="B23962" s="12" t="str">
        <f ca="1">IFERROR(__xludf.DUMMYFUNCTION("""COMPUTED_VALUE"""),"")</f>
        <v/>
      </c>
      <c r="C23962" s="12" t="str">
        <f ca="1">IFERROR(__xludf.DUMMYFUNCTION("""COMPUTED_VALUE"""),"")</f>
        <v/>
      </c>
      <c r="D23962" s="12" t="str">
        <f ca="1">IFERROR(__xludf.DUMMYFUNCTION("""COMPUTED_VALUE"""),"")</f>
        <v/>
      </c>
    </row>
    <row r="23963" spans="2:4" ht="13">
      <c r="B23963" s="12" t="str">
        <f ca="1">IFERROR(__xludf.DUMMYFUNCTION("""COMPUTED_VALUE"""),"")</f>
        <v/>
      </c>
      <c r="C23963" s="12" t="str">
        <f ca="1">IFERROR(__xludf.DUMMYFUNCTION("""COMPUTED_VALUE"""),"")</f>
        <v/>
      </c>
      <c r="D23963" s="12" t="str">
        <f ca="1">IFERROR(__xludf.DUMMYFUNCTION("""COMPUTED_VALUE"""),"")</f>
        <v/>
      </c>
    </row>
    <row r="23964" spans="2:4" ht="13">
      <c r="B23964" s="12" t="str">
        <f ca="1">IFERROR(__xludf.DUMMYFUNCTION("""COMPUTED_VALUE"""),"")</f>
        <v/>
      </c>
      <c r="C23964" s="12" t="str">
        <f ca="1">IFERROR(__xludf.DUMMYFUNCTION("""COMPUTED_VALUE"""),"")</f>
        <v/>
      </c>
      <c r="D23964" s="12" t="str">
        <f ca="1">IFERROR(__xludf.DUMMYFUNCTION("""COMPUTED_VALUE"""),"")</f>
        <v/>
      </c>
    </row>
    <row r="23965" spans="2:4" ht="13">
      <c r="B23965" s="12" t="str">
        <f ca="1">IFERROR(__xludf.DUMMYFUNCTION("""COMPUTED_VALUE"""),"")</f>
        <v/>
      </c>
      <c r="C23965" s="12" t="str">
        <f ca="1">IFERROR(__xludf.DUMMYFUNCTION("""COMPUTED_VALUE"""),"")</f>
        <v/>
      </c>
      <c r="D23965" s="12" t="str">
        <f ca="1">IFERROR(__xludf.DUMMYFUNCTION("""COMPUTED_VALUE"""),"")</f>
        <v/>
      </c>
    </row>
    <row r="23966" spans="2:4" ht="13">
      <c r="B23966" s="12" t="str">
        <f ca="1">IFERROR(__xludf.DUMMYFUNCTION("""COMPUTED_VALUE"""),"")</f>
        <v/>
      </c>
      <c r="C23966" s="12" t="str">
        <f ca="1">IFERROR(__xludf.DUMMYFUNCTION("""COMPUTED_VALUE"""),"")</f>
        <v/>
      </c>
      <c r="D23966" s="12" t="str">
        <f ca="1">IFERROR(__xludf.DUMMYFUNCTION("""COMPUTED_VALUE"""),"")</f>
        <v/>
      </c>
    </row>
    <row r="23967" spans="2:4" ht="13">
      <c r="B23967" s="12" t="str">
        <f ca="1">IFERROR(__xludf.DUMMYFUNCTION("""COMPUTED_VALUE"""),"")</f>
        <v/>
      </c>
      <c r="C23967" s="12" t="str">
        <f ca="1">IFERROR(__xludf.DUMMYFUNCTION("""COMPUTED_VALUE"""),"")</f>
        <v/>
      </c>
      <c r="D23967" s="12" t="str">
        <f ca="1">IFERROR(__xludf.DUMMYFUNCTION("""COMPUTED_VALUE"""),"")</f>
        <v/>
      </c>
    </row>
    <row r="23968" spans="2:4" ht="13">
      <c r="B23968" s="12" t="str">
        <f ca="1">IFERROR(__xludf.DUMMYFUNCTION("""COMPUTED_VALUE"""),"")</f>
        <v/>
      </c>
      <c r="C23968" s="12" t="str">
        <f ca="1">IFERROR(__xludf.DUMMYFUNCTION("""COMPUTED_VALUE"""),"")</f>
        <v/>
      </c>
      <c r="D23968" s="12" t="str">
        <f ca="1">IFERROR(__xludf.DUMMYFUNCTION("""COMPUTED_VALUE"""),"")</f>
        <v/>
      </c>
    </row>
    <row r="23969" spans="2:4" ht="13">
      <c r="B23969" s="12" t="str">
        <f ca="1">IFERROR(__xludf.DUMMYFUNCTION("""COMPUTED_VALUE"""),"")</f>
        <v/>
      </c>
      <c r="C23969" s="12" t="str">
        <f ca="1">IFERROR(__xludf.DUMMYFUNCTION("""COMPUTED_VALUE"""),"")</f>
        <v/>
      </c>
      <c r="D23969" s="12" t="str">
        <f ca="1">IFERROR(__xludf.DUMMYFUNCTION("""COMPUTED_VALUE"""),"")</f>
        <v/>
      </c>
    </row>
    <row r="23970" spans="2:4" ht="13">
      <c r="B23970" s="12" t="str">
        <f ca="1">IFERROR(__xludf.DUMMYFUNCTION("""COMPUTED_VALUE"""),"")</f>
        <v/>
      </c>
      <c r="C23970" s="12" t="str">
        <f ca="1">IFERROR(__xludf.DUMMYFUNCTION("""COMPUTED_VALUE"""),"")</f>
        <v/>
      </c>
      <c r="D23970" s="12" t="str">
        <f ca="1">IFERROR(__xludf.DUMMYFUNCTION("""COMPUTED_VALUE"""),"")</f>
        <v/>
      </c>
    </row>
    <row r="23971" spans="2:4" ht="13">
      <c r="B23971" s="12" t="str">
        <f ca="1">IFERROR(__xludf.DUMMYFUNCTION("""COMPUTED_VALUE"""),"")</f>
        <v/>
      </c>
      <c r="C23971" s="12" t="str">
        <f ca="1">IFERROR(__xludf.DUMMYFUNCTION("""COMPUTED_VALUE"""),"")</f>
        <v/>
      </c>
      <c r="D23971" s="12" t="str">
        <f ca="1">IFERROR(__xludf.DUMMYFUNCTION("""COMPUTED_VALUE"""),"")</f>
        <v/>
      </c>
    </row>
    <row r="23972" spans="2:4" ht="13">
      <c r="B23972" s="12" t="str">
        <f ca="1">IFERROR(__xludf.DUMMYFUNCTION("""COMPUTED_VALUE"""),"")</f>
        <v/>
      </c>
      <c r="C23972" s="12" t="str">
        <f ca="1">IFERROR(__xludf.DUMMYFUNCTION("""COMPUTED_VALUE"""),"")</f>
        <v/>
      </c>
      <c r="D23972" s="12" t="str">
        <f ca="1">IFERROR(__xludf.DUMMYFUNCTION("""COMPUTED_VALUE"""),"")</f>
        <v/>
      </c>
    </row>
    <row r="23973" spans="2:4" ht="13">
      <c r="B23973" s="12" t="str">
        <f ca="1">IFERROR(__xludf.DUMMYFUNCTION("""COMPUTED_VALUE"""),"")</f>
        <v/>
      </c>
      <c r="C23973" s="12" t="str">
        <f ca="1">IFERROR(__xludf.DUMMYFUNCTION("""COMPUTED_VALUE"""),"")</f>
        <v/>
      </c>
      <c r="D23973" s="12" t="str">
        <f ca="1">IFERROR(__xludf.DUMMYFUNCTION("""COMPUTED_VALUE"""),"")</f>
        <v/>
      </c>
    </row>
    <row r="23974" spans="2:4" ht="13">
      <c r="B23974" s="12" t="str">
        <f ca="1">IFERROR(__xludf.DUMMYFUNCTION("""COMPUTED_VALUE"""),"")</f>
        <v/>
      </c>
      <c r="C23974" s="12" t="str">
        <f ca="1">IFERROR(__xludf.DUMMYFUNCTION("""COMPUTED_VALUE"""),"")</f>
        <v/>
      </c>
      <c r="D23974" s="12" t="str">
        <f ca="1">IFERROR(__xludf.DUMMYFUNCTION("""COMPUTED_VALUE"""),"")</f>
        <v/>
      </c>
    </row>
    <row r="23975" spans="2:4" ht="13">
      <c r="B23975" s="12" t="str">
        <f ca="1">IFERROR(__xludf.DUMMYFUNCTION("""COMPUTED_VALUE"""),"")</f>
        <v/>
      </c>
      <c r="C23975" s="12" t="str">
        <f ca="1">IFERROR(__xludf.DUMMYFUNCTION("""COMPUTED_VALUE"""),"")</f>
        <v/>
      </c>
      <c r="D23975" s="12" t="str">
        <f ca="1">IFERROR(__xludf.DUMMYFUNCTION("""COMPUTED_VALUE"""),"")</f>
        <v/>
      </c>
    </row>
    <row r="23976" spans="2:4" ht="13">
      <c r="B23976" s="12" t="str">
        <f ca="1">IFERROR(__xludf.DUMMYFUNCTION("""COMPUTED_VALUE"""),"")</f>
        <v/>
      </c>
      <c r="C23976" s="12" t="str">
        <f ca="1">IFERROR(__xludf.DUMMYFUNCTION("""COMPUTED_VALUE"""),"")</f>
        <v/>
      </c>
      <c r="D23976" s="12" t="str">
        <f ca="1">IFERROR(__xludf.DUMMYFUNCTION("""COMPUTED_VALUE"""),"")</f>
        <v/>
      </c>
    </row>
    <row r="23977" spans="2:4" ht="13">
      <c r="B23977" s="12" t="str">
        <f ca="1">IFERROR(__xludf.DUMMYFUNCTION("""COMPUTED_VALUE"""),"")</f>
        <v/>
      </c>
      <c r="C23977" s="12" t="str">
        <f ca="1">IFERROR(__xludf.DUMMYFUNCTION("""COMPUTED_VALUE"""),"")</f>
        <v/>
      </c>
      <c r="D23977" s="12" t="str">
        <f ca="1">IFERROR(__xludf.DUMMYFUNCTION("""COMPUTED_VALUE"""),"")</f>
        <v/>
      </c>
    </row>
    <row r="23978" spans="2:4" ht="13">
      <c r="B23978" s="12" t="str">
        <f ca="1">IFERROR(__xludf.DUMMYFUNCTION("""COMPUTED_VALUE"""),"")</f>
        <v/>
      </c>
      <c r="C23978" s="12" t="str">
        <f ca="1">IFERROR(__xludf.DUMMYFUNCTION("""COMPUTED_VALUE"""),"")</f>
        <v/>
      </c>
      <c r="D23978" s="12" t="str">
        <f ca="1">IFERROR(__xludf.DUMMYFUNCTION("""COMPUTED_VALUE"""),"")</f>
        <v/>
      </c>
    </row>
    <row r="23979" spans="2:4" ht="13">
      <c r="B23979" s="12" t="str">
        <f ca="1">IFERROR(__xludf.DUMMYFUNCTION("""COMPUTED_VALUE"""),"")</f>
        <v/>
      </c>
      <c r="C23979" s="12" t="str">
        <f ca="1">IFERROR(__xludf.DUMMYFUNCTION("""COMPUTED_VALUE"""),"")</f>
        <v/>
      </c>
      <c r="D23979" s="12" t="str">
        <f ca="1">IFERROR(__xludf.DUMMYFUNCTION("""COMPUTED_VALUE"""),"")</f>
        <v/>
      </c>
    </row>
    <row r="23980" spans="2:4" ht="13">
      <c r="B23980" s="12" t="str">
        <f ca="1">IFERROR(__xludf.DUMMYFUNCTION("""COMPUTED_VALUE"""),"")</f>
        <v/>
      </c>
      <c r="C23980" s="12" t="str">
        <f ca="1">IFERROR(__xludf.DUMMYFUNCTION("""COMPUTED_VALUE"""),"")</f>
        <v/>
      </c>
      <c r="D23980" s="12" t="str">
        <f ca="1">IFERROR(__xludf.DUMMYFUNCTION("""COMPUTED_VALUE"""),"")</f>
        <v/>
      </c>
    </row>
    <row r="23981" spans="2:4" ht="13">
      <c r="B23981" s="12" t="str">
        <f ca="1">IFERROR(__xludf.DUMMYFUNCTION("""COMPUTED_VALUE"""),"")</f>
        <v/>
      </c>
      <c r="C23981" s="12" t="str">
        <f ca="1">IFERROR(__xludf.DUMMYFUNCTION("""COMPUTED_VALUE"""),"")</f>
        <v/>
      </c>
      <c r="D23981" s="12" t="str">
        <f ca="1">IFERROR(__xludf.DUMMYFUNCTION("""COMPUTED_VALUE"""),"")</f>
        <v/>
      </c>
    </row>
    <row r="23982" spans="2:4" ht="13">
      <c r="B23982" s="12" t="str">
        <f ca="1">IFERROR(__xludf.DUMMYFUNCTION("""COMPUTED_VALUE"""),"")</f>
        <v/>
      </c>
      <c r="C23982" s="12" t="str">
        <f ca="1">IFERROR(__xludf.DUMMYFUNCTION("""COMPUTED_VALUE"""),"")</f>
        <v/>
      </c>
      <c r="D23982" s="12" t="str">
        <f ca="1">IFERROR(__xludf.DUMMYFUNCTION("""COMPUTED_VALUE"""),"")</f>
        <v/>
      </c>
    </row>
    <row r="23983" spans="2:4" ht="13">
      <c r="B23983" s="12" t="str">
        <f ca="1">IFERROR(__xludf.DUMMYFUNCTION("""COMPUTED_VALUE"""),"")</f>
        <v/>
      </c>
      <c r="C23983" s="12" t="str">
        <f ca="1">IFERROR(__xludf.DUMMYFUNCTION("""COMPUTED_VALUE"""),"")</f>
        <v/>
      </c>
      <c r="D23983" s="12" t="str">
        <f ca="1">IFERROR(__xludf.DUMMYFUNCTION("""COMPUTED_VALUE"""),"")</f>
        <v/>
      </c>
    </row>
    <row r="23984" spans="2:4" ht="13">
      <c r="B23984" s="12" t="str">
        <f ca="1">IFERROR(__xludf.DUMMYFUNCTION("""COMPUTED_VALUE"""),"")</f>
        <v/>
      </c>
      <c r="C23984" s="12" t="str">
        <f ca="1">IFERROR(__xludf.DUMMYFUNCTION("""COMPUTED_VALUE"""),"")</f>
        <v/>
      </c>
      <c r="D23984" s="12" t="str">
        <f ca="1">IFERROR(__xludf.DUMMYFUNCTION("""COMPUTED_VALUE"""),"")</f>
        <v/>
      </c>
    </row>
    <row r="23985" spans="2:4" ht="13">
      <c r="B23985" s="12" t="str">
        <f ca="1">IFERROR(__xludf.DUMMYFUNCTION("""COMPUTED_VALUE"""),"")</f>
        <v/>
      </c>
      <c r="C23985" s="12" t="str">
        <f ca="1">IFERROR(__xludf.DUMMYFUNCTION("""COMPUTED_VALUE"""),"")</f>
        <v/>
      </c>
      <c r="D23985" s="12" t="str">
        <f ca="1">IFERROR(__xludf.DUMMYFUNCTION("""COMPUTED_VALUE"""),"")</f>
        <v/>
      </c>
    </row>
    <row r="23986" spans="2:4" ht="13">
      <c r="B23986" s="12" t="str">
        <f ca="1">IFERROR(__xludf.DUMMYFUNCTION("""COMPUTED_VALUE"""),"")</f>
        <v/>
      </c>
      <c r="C23986" s="12" t="str">
        <f ca="1">IFERROR(__xludf.DUMMYFUNCTION("""COMPUTED_VALUE"""),"")</f>
        <v/>
      </c>
      <c r="D23986" s="12" t="str">
        <f ca="1">IFERROR(__xludf.DUMMYFUNCTION("""COMPUTED_VALUE"""),"")</f>
        <v/>
      </c>
    </row>
    <row r="23987" spans="2:4" ht="13">
      <c r="B23987" s="12" t="str">
        <f ca="1">IFERROR(__xludf.DUMMYFUNCTION("""COMPUTED_VALUE"""),"")</f>
        <v/>
      </c>
      <c r="C23987" s="12" t="str">
        <f ca="1">IFERROR(__xludf.DUMMYFUNCTION("""COMPUTED_VALUE"""),"")</f>
        <v/>
      </c>
      <c r="D23987" s="12" t="str">
        <f ca="1">IFERROR(__xludf.DUMMYFUNCTION("""COMPUTED_VALUE"""),"")</f>
        <v/>
      </c>
    </row>
    <row r="23988" spans="2:4" ht="13">
      <c r="B23988" s="12" t="str">
        <f ca="1">IFERROR(__xludf.DUMMYFUNCTION("""COMPUTED_VALUE"""),"")</f>
        <v/>
      </c>
      <c r="C23988" s="12" t="str">
        <f ca="1">IFERROR(__xludf.DUMMYFUNCTION("""COMPUTED_VALUE"""),"")</f>
        <v/>
      </c>
      <c r="D23988" s="12" t="str">
        <f ca="1">IFERROR(__xludf.DUMMYFUNCTION("""COMPUTED_VALUE"""),"")</f>
        <v/>
      </c>
    </row>
    <row r="23989" spans="2:4" ht="13">
      <c r="B23989" s="12" t="str">
        <f ca="1">IFERROR(__xludf.DUMMYFUNCTION("""COMPUTED_VALUE"""),"")</f>
        <v/>
      </c>
      <c r="C23989" s="12" t="str">
        <f ca="1">IFERROR(__xludf.DUMMYFUNCTION("""COMPUTED_VALUE"""),"")</f>
        <v/>
      </c>
      <c r="D23989" s="12" t="str">
        <f ca="1">IFERROR(__xludf.DUMMYFUNCTION("""COMPUTED_VALUE"""),"")</f>
        <v/>
      </c>
    </row>
    <row r="23990" spans="2:4" ht="13">
      <c r="B23990" s="12" t="str">
        <f ca="1">IFERROR(__xludf.DUMMYFUNCTION("""COMPUTED_VALUE"""),"")</f>
        <v/>
      </c>
      <c r="C23990" s="12" t="str">
        <f ca="1">IFERROR(__xludf.DUMMYFUNCTION("""COMPUTED_VALUE"""),"")</f>
        <v/>
      </c>
      <c r="D23990" s="12" t="str">
        <f ca="1">IFERROR(__xludf.DUMMYFUNCTION("""COMPUTED_VALUE"""),"")</f>
        <v/>
      </c>
    </row>
    <row r="23991" spans="2:4" ht="13">
      <c r="B23991" s="12" t="str">
        <f ca="1">IFERROR(__xludf.DUMMYFUNCTION("""COMPUTED_VALUE"""),"")</f>
        <v/>
      </c>
      <c r="C23991" s="12" t="str">
        <f ca="1">IFERROR(__xludf.DUMMYFUNCTION("""COMPUTED_VALUE"""),"")</f>
        <v/>
      </c>
      <c r="D23991" s="12" t="str">
        <f ca="1">IFERROR(__xludf.DUMMYFUNCTION("""COMPUTED_VALUE"""),"")</f>
        <v/>
      </c>
    </row>
    <row r="23992" spans="2:4" ht="13">
      <c r="B23992" s="12" t="str">
        <f ca="1">IFERROR(__xludf.DUMMYFUNCTION("""COMPUTED_VALUE"""),"")</f>
        <v/>
      </c>
      <c r="C23992" s="12" t="str">
        <f ca="1">IFERROR(__xludf.DUMMYFUNCTION("""COMPUTED_VALUE"""),"")</f>
        <v/>
      </c>
      <c r="D23992" s="12" t="str">
        <f ca="1">IFERROR(__xludf.DUMMYFUNCTION("""COMPUTED_VALUE"""),"")</f>
        <v/>
      </c>
    </row>
    <row r="23993" spans="2:4" ht="13">
      <c r="B23993" s="12" t="str">
        <f ca="1">IFERROR(__xludf.DUMMYFUNCTION("""COMPUTED_VALUE"""),"")</f>
        <v/>
      </c>
      <c r="C23993" s="12" t="str">
        <f ca="1">IFERROR(__xludf.DUMMYFUNCTION("""COMPUTED_VALUE"""),"")</f>
        <v/>
      </c>
      <c r="D23993" s="12" t="str">
        <f ca="1">IFERROR(__xludf.DUMMYFUNCTION("""COMPUTED_VALUE"""),"")</f>
        <v/>
      </c>
    </row>
    <row r="23994" spans="2:4" ht="13">
      <c r="B23994" s="12" t="str">
        <f ca="1">IFERROR(__xludf.DUMMYFUNCTION("""COMPUTED_VALUE"""),"")</f>
        <v/>
      </c>
      <c r="C23994" s="12" t="str">
        <f ca="1">IFERROR(__xludf.DUMMYFUNCTION("""COMPUTED_VALUE"""),"")</f>
        <v/>
      </c>
      <c r="D23994" s="12" t="str">
        <f ca="1">IFERROR(__xludf.DUMMYFUNCTION("""COMPUTED_VALUE"""),"")</f>
        <v/>
      </c>
    </row>
    <row r="23995" spans="2:4" ht="13">
      <c r="B23995" s="12" t="str">
        <f ca="1">IFERROR(__xludf.DUMMYFUNCTION("""COMPUTED_VALUE"""),"")</f>
        <v/>
      </c>
      <c r="C23995" s="12" t="str">
        <f ca="1">IFERROR(__xludf.DUMMYFUNCTION("""COMPUTED_VALUE"""),"")</f>
        <v/>
      </c>
      <c r="D23995" s="12" t="str">
        <f ca="1">IFERROR(__xludf.DUMMYFUNCTION("""COMPUTED_VALUE"""),"")</f>
        <v/>
      </c>
    </row>
    <row r="23996" spans="2:4" ht="13">
      <c r="B23996" s="12" t="str">
        <f ca="1">IFERROR(__xludf.DUMMYFUNCTION("""COMPUTED_VALUE"""),"")</f>
        <v/>
      </c>
      <c r="C23996" s="12" t="str">
        <f ca="1">IFERROR(__xludf.DUMMYFUNCTION("""COMPUTED_VALUE"""),"")</f>
        <v/>
      </c>
      <c r="D23996" s="12" t="str">
        <f ca="1">IFERROR(__xludf.DUMMYFUNCTION("""COMPUTED_VALUE"""),"")</f>
        <v/>
      </c>
    </row>
    <row r="23997" spans="2:4" ht="13">
      <c r="B23997" s="12" t="str">
        <f ca="1">IFERROR(__xludf.DUMMYFUNCTION("""COMPUTED_VALUE"""),"")</f>
        <v/>
      </c>
      <c r="C23997" s="12" t="str">
        <f ca="1">IFERROR(__xludf.DUMMYFUNCTION("""COMPUTED_VALUE"""),"")</f>
        <v/>
      </c>
      <c r="D23997" s="12" t="str">
        <f ca="1">IFERROR(__xludf.DUMMYFUNCTION("""COMPUTED_VALUE"""),"")</f>
        <v/>
      </c>
    </row>
    <row r="23998" spans="2:4" ht="13">
      <c r="B23998" s="12" t="str">
        <f ca="1">IFERROR(__xludf.DUMMYFUNCTION("""COMPUTED_VALUE"""),"")</f>
        <v/>
      </c>
      <c r="C23998" s="12" t="str">
        <f ca="1">IFERROR(__xludf.DUMMYFUNCTION("""COMPUTED_VALUE"""),"")</f>
        <v/>
      </c>
      <c r="D23998" s="12" t="str">
        <f ca="1">IFERROR(__xludf.DUMMYFUNCTION("""COMPUTED_VALUE"""),"")</f>
        <v/>
      </c>
    </row>
    <row r="23999" spans="2:4" ht="13">
      <c r="B23999" s="12" t="str">
        <f ca="1">IFERROR(__xludf.DUMMYFUNCTION("""COMPUTED_VALUE"""),"")</f>
        <v/>
      </c>
      <c r="C23999" s="12" t="str">
        <f ca="1">IFERROR(__xludf.DUMMYFUNCTION("""COMPUTED_VALUE"""),"")</f>
        <v/>
      </c>
      <c r="D23999" s="12" t="str">
        <f ca="1">IFERROR(__xludf.DUMMYFUNCTION("""COMPUTED_VALUE"""),"")</f>
        <v/>
      </c>
    </row>
    <row r="24000" spans="2:4" ht="13">
      <c r="B24000" s="12" t="str">
        <f ca="1">IFERROR(__xludf.DUMMYFUNCTION("""COMPUTED_VALUE"""),"")</f>
        <v/>
      </c>
      <c r="C24000" s="12" t="str">
        <f ca="1">IFERROR(__xludf.DUMMYFUNCTION("""COMPUTED_VALUE"""),"")</f>
        <v/>
      </c>
      <c r="D24000" s="12" t="str">
        <f ca="1">IFERROR(__xludf.DUMMYFUNCTION("""COMPUTED_VALUE"""),"")</f>
        <v/>
      </c>
    </row>
    <row r="24001" spans="2:4" ht="13">
      <c r="B24001" s="12" t="str">
        <f ca="1">IFERROR(__xludf.DUMMYFUNCTION("""COMPUTED_VALUE"""),"")</f>
        <v/>
      </c>
      <c r="C24001" s="12" t="str">
        <f ca="1">IFERROR(__xludf.DUMMYFUNCTION("""COMPUTED_VALUE"""),"")</f>
        <v/>
      </c>
      <c r="D24001" s="12" t="str">
        <f ca="1">IFERROR(__xludf.DUMMYFUNCTION("""COMPUTED_VALUE"""),"")</f>
        <v/>
      </c>
    </row>
    <row r="24002" spans="2:4" ht="13">
      <c r="B24002" s="12" t="str">
        <f ca="1">IFERROR(__xludf.DUMMYFUNCTION("""COMPUTED_VALUE"""),"")</f>
        <v/>
      </c>
      <c r="C24002" s="12" t="str">
        <f ca="1">IFERROR(__xludf.DUMMYFUNCTION("""COMPUTED_VALUE"""),"")</f>
        <v/>
      </c>
      <c r="D24002" s="12" t="str">
        <f ca="1">IFERROR(__xludf.DUMMYFUNCTION("""COMPUTED_VALUE"""),"")</f>
        <v/>
      </c>
    </row>
    <row r="24003" spans="2:4" ht="13">
      <c r="B24003" s="12" t="str">
        <f ca="1">IFERROR(__xludf.DUMMYFUNCTION("""COMPUTED_VALUE"""),"")</f>
        <v/>
      </c>
      <c r="C24003" s="12" t="str">
        <f ca="1">IFERROR(__xludf.DUMMYFUNCTION("""COMPUTED_VALUE"""),"")</f>
        <v/>
      </c>
      <c r="D24003" s="12" t="str">
        <f ca="1">IFERROR(__xludf.DUMMYFUNCTION("""COMPUTED_VALUE"""),"")</f>
        <v/>
      </c>
    </row>
    <row r="24004" spans="2:4" ht="13">
      <c r="B24004" s="12" t="str">
        <f ca="1">IFERROR(__xludf.DUMMYFUNCTION("""COMPUTED_VALUE"""),"")</f>
        <v/>
      </c>
      <c r="C24004" s="12" t="str">
        <f ca="1">IFERROR(__xludf.DUMMYFUNCTION("""COMPUTED_VALUE"""),"")</f>
        <v/>
      </c>
      <c r="D24004" s="12" t="str">
        <f ca="1">IFERROR(__xludf.DUMMYFUNCTION("""COMPUTED_VALUE"""),"")</f>
        <v/>
      </c>
    </row>
    <row r="24005" spans="2:4" ht="13">
      <c r="B24005" s="12" t="str">
        <f ca="1">IFERROR(__xludf.DUMMYFUNCTION("""COMPUTED_VALUE"""),"")</f>
        <v/>
      </c>
      <c r="C24005" s="12" t="str">
        <f ca="1">IFERROR(__xludf.DUMMYFUNCTION("""COMPUTED_VALUE"""),"")</f>
        <v/>
      </c>
      <c r="D24005" s="12" t="str">
        <f ca="1">IFERROR(__xludf.DUMMYFUNCTION("""COMPUTED_VALUE"""),"")</f>
        <v/>
      </c>
    </row>
    <row r="24006" spans="2:4" ht="13">
      <c r="B24006" s="12" t="str">
        <f ca="1">IFERROR(__xludf.DUMMYFUNCTION("""COMPUTED_VALUE"""),"")</f>
        <v/>
      </c>
      <c r="C24006" s="12" t="str">
        <f ca="1">IFERROR(__xludf.DUMMYFUNCTION("""COMPUTED_VALUE"""),"")</f>
        <v/>
      </c>
      <c r="D24006" s="12" t="str">
        <f ca="1">IFERROR(__xludf.DUMMYFUNCTION("""COMPUTED_VALUE"""),"")</f>
        <v/>
      </c>
    </row>
    <row r="24007" spans="2:4" ht="13">
      <c r="B24007" s="12" t="str">
        <f ca="1">IFERROR(__xludf.DUMMYFUNCTION("""COMPUTED_VALUE"""),"")</f>
        <v/>
      </c>
      <c r="C24007" s="12" t="str">
        <f ca="1">IFERROR(__xludf.DUMMYFUNCTION("""COMPUTED_VALUE"""),"")</f>
        <v/>
      </c>
      <c r="D24007" s="12" t="str">
        <f ca="1">IFERROR(__xludf.DUMMYFUNCTION("""COMPUTED_VALUE"""),"")</f>
        <v/>
      </c>
    </row>
    <row r="24008" spans="2:4" ht="13">
      <c r="B24008" s="12" t="str">
        <f ca="1">IFERROR(__xludf.DUMMYFUNCTION("""COMPUTED_VALUE"""),"")</f>
        <v/>
      </c>
      <c r="C24008" s="12" t="str">
        <f ca="1">IFERROR(__xludf.DUMMYFUNCTION("""COMPUTED_VALUE"""),"")</f>
        <v/>
      </c>
      <c r="D24008" s="12" t="str">
        <f ca="1">IFERROR(__xludf.DUMMYFUNCTION("""COMPUTED_VALUE"""),"")</f>
        <v/>
      </c>
    </row>
    <row r="24009" spans="2:4" ht="13">
      <c r="B24009" s="12" t="str">
        <f ca="1">IFERROR(__xludf.DUMMYFUNCTION("""COMPUTED_VALUE"""),"")</f>
        <v/>
      </c>
      <c r="C24009" s="12" t="str">
        <f ca="1">IFERROR(__xludf.DUMMYFUNCTION("""COMPUTED_VALUE"""),"")</f>
        <v/>
      </c>
      <c r="D24009" s="12" t="str">
        <f ca="1">IFERROR(__xludf.DUMMYFUNCTION("""COMPUTED_VALUE"""),"")</f>
        <v/>
      </c>
    </row>
    <row r="24010" spans="2:4" ht="13">
      <c r="B24010" s="12" t="str">
        <f ca="1">IFERROR(__xludf.DUMMYFUNCTION("""COMPUTED_VALUE"""),"")</f>
        <v/>
      </c>
      <c r="C24010" s="12" t="str">
        <f ca="1">IFERROR(__xludf.DUMMYFUNCTION("""COMPUTED_VALUE"""),"")</f>
        <v/>
      </c>
      <c r="D24010" s="12" t="str">
        <f ca="1">IFERROR(__xludf.DUMMYFUNCTION("""COMPUTED_VALUE"""),"")</f>
        <v/>
      </c>
    </row>
    <row r="24011" spans="2:4" ht="13">
      <c r="B24011" s="12" t="str">
        <f ca="1">IFERROR(__xludf.DUMMYFUNCTION("""COMPUTED_VALUE"""),"")</f>
        <v/>
      </c>
      <c r="C24011" s="12" t="str">
        <f ca="1">IFERROR(__xludf.DUMMYFUNCTION("""COMPUTED_VALUE"""),"")</f>
        <v/>
      </c>
      <c r="D24011" s="12" t="str">
        <f ca="1">IFERROR(__xludf.DUMMYFUNCTION("""COMPUTED_VALUE"""),"")</f>
        <v/>
      </c>
    </row>
    <row r="24012" spans="2:4" ht="13">
      <c r="B24012" s="12" t="str">
        <f ca="1">IFERROR(__xludf.DUMMYFUNCTION("""COMPUTED_VALUE"""),"")</f>
        <v/>
      </c>
      <c r="C24012" s="12" t="str">
        <f ca="1">IFERROR(__xludf.DUMMYFUNCTION("""COMPUTED_VALUE"""),"")</f>
        <v/>
      </c>
      <c r="D24012" s="12" t="str">
        <f ca="1">IFERROR(__xludf.DUMMYFUNCTION("""COMPUTED_VALUE"""),"")</f>
        <v/>
      </c>
    </row>
    <row r="24013" spans="2:4" ht="13">
      <c r="B24013" s="12" t="str">
        <f ca="1">IFERROR(__xludf.DUMMYFUNCTION("""COMPUTED_VALUE"""),"")</f>
        <v/>
      </c>
      <c r="C24013" s="12" t="str">
        <f ca="1">IFERROR(__xludf.DUMMYFUNCTION("""COMPUTED_VALUE"""),"")</f>
        <v/>
      </c>
      <c r="D24013" s="12" t="str">
        <f ca="1">IFERROR(__xludf.DUMMYFUNCTION("""COMPUTED_VALUE"""),"")</f>
        <v/>
      </c>
    </row>
    <row r="24014" spans="2:4" ht="13">
      <c r="B24014" s="12" t="str">
        <f ca="1">IFERROR(__xludf.DUMMYFUNCTION("""COMPUTED_VALUE"""),"")</f>
        <v/>
      </c>
      <c r="C24014" s="12" t="str">
        <f ca="1">IFERROR(__xludf.DUMMYFUNCTION("""COMPUTED_VALUE"""),"")</f>
        <v/>
      </c>
      <c r="D24014" s="12" t="str">
        <f ca="1">IFERROR(__xludf.DUMMYFUNCTION("""COMPUTED_VALUE"""),"")</f>
        <v/>
      </c>
    </row>
    <row r="24015" spans="2:4" ht="13">
      <c r="B24015" s="12" t="str">
        <f ca="1">IFERROR(__xludf.DUMMYFUNCTION("""COMPUTED_VALUE"""),"")</f>
        <v/>
      </c>
      <c r="C24015" s="12" t="str">
        <f ca="1">IFERROR(__xludf.DUMMYFUNCTION("""COMPUTED_VALUE"""),"")</f>
        <v/>
      </c>
      <c r="D24015" s="12" t="str">
        <f ca="1">IFERROR(__xludf.DUMMYFUNCTION("""COMPUTED_VALUE"""),"")</f>
        <v/>
      </c>
    </row>
    <row r="24016" spans="2:4" ht="13">
      <c r="B24016" s="12" t="str">
        <f ca="1">IFERROR(__xludf.DUMMYFUNCTION("""COMPUTED_VALUE"""),"")</f>
        <v/>
      </c>
      <c r="C24016" s="12" t="str">
        <f ca="1">IFERROR(__xludf.DUMMYFUNCTION("""COMPUTED_VALUE"""),"")</f>
        <v/>
      </c>
      <c r="D24016" s="12" t="str">
        <f ca="1">IFERROR(__xludf.DUMMYFUNCTION("""COMPUTED_VALUE"""),"")</f>
        <v/>
      </c>
    </row>
    <row r="24017" spans="2:4" ht="13">
      <c r="B24017" s="12" t="str">
        <f ca="1">IFERROR(__xludf.DUMMYFUNCTION("""COMPUTED_VALUE"""),"")</f>
        <v/>
      </c>
      <c r="C24017" s="12" t="str">
        <f ca="1">IFERROR(__xludf.DUMMYFUNCTION("""COMPUTED_VALUE"""),"")</f>
        <v/>
      </c>
      <c r="D24017" s="12" t="str">
        <f ca="1">IFERROR(__xludf.DUMMYFUNCTION("""COMPUTED_VALUE"""),"")</f>
        <v/>
      </c>
    </row>
    <row r="24018" spans="2:4" ht="13">
      <c r="B24018" s="12" t="str">
        <f ca="1">IFERROR(__xludf.DUMMYFUNCTION("""COMPUTED_VALUE"""),"")</f>
        <v/>
      </c>
      <c r="C24018" s="12" t="str">
        <f ca="1">IFERROR(__xludf.DUMMYFUNCTION("""COMPUTED_VALUE"""),"")</f>
        <v/>
      </c>
      <c r="D24018" s="12" t="str">
        <f ca="1">IFERROR(__xludf.DUMMYFUNCTION("""COMPUTED_VALUE"""),"")</f>
        <v/>
      </c>
    </row>
    <row r="24019" spans="2:4" ht="13">
      <c r="B24019" s="12" t="str">
        <f ca="1">IFERROR(__xludf.DUMMYFUNCTION("""COMPUTED_VALUE"""),"")</f>
        <v/>
      </c>
      <c r="C24019" s="12" t="str">
        <f ca="1">IFERROR(__xludf.DUMMYFUNCTION("""COMPUTED_VALUE"""),"")</f>
        <v/>
      </c>
      <c r="D24019" s="12" t="str">
        <f ca="1">IFERROR(__xludf.DUMMYFUNCTION("""COMPUTED_VALUE"""),"")</f>
        <v/>
      </c>
    </row>
    <row r="24020" spans="2:4" ht="13">
      <c r="B24020" s="12" t="str">
        <f ca="1">IFERROR(__xludf.DUMMYFUNCTION("""COMPUTED_VALUE"""),"")</f>
        <v/>
      </c>
      <c r="C24020" s="12" t="str">
        <f ca="1">IFERROR(__xludf.DUMMYFUNCTION("""COMPUTED_VALUE"""),"")</f>
        <v/>
      </c>
      <c r="D24020" s="12" t="str">
        <f ca="1">IFERROR(__xludf.DUMMYFUNCTION("""COMPUTED_VALUE"""),"")</f>
        <v/>
      </c>
    </row>
    <row r="24021" spans="2:4" ht="13">
      <c r="B24021" s="12" t="str">
        <f ca="1">IFERROR(__xludf.DUMMYFUNCTION("""COMPUTED_VALUE"""),"")</f>
        <v/>
      </c>
      <c r="C24021" s="12" t="str">
        <f ca="1">IFERROR(__xludf.DUMMYFUNCTION("""COMPUTED_VALUE"""),"")</f>
        <v/>
      </c>
      <c r="D24021" s="12" t="str">
        <f ca="1">IFERROR(__xludf.DUMMYFUNCTION("""COMPUTED_VALUE"""),"")</f>
        <v/>
      </c>
    </row>
    <row r="24022" spans="2:4" ht="13">
      <c r="B24022" s="12" t="str">
        <f ca="1">IFERROR(__xludf.DUMMYFUNCTION("""COMPUTED_VALUE"""),"")</f>
        <v/>
      </c>
      <c r="C24022" s="12" t="str">
        <f ca="1">IFERROR(__xludf.DUMMYFUNCTION("""COMPUTED_VALUE"""),"")</f>
        <v/>
      </c>
      <c r="D24022" s="12" t="str">
        <f ca="1">IFERROR(__xludf.DUMMYFUNCTION("""COMPUTED_VALUE"""),"")</f>
        <v/>
      </c>
    </row>
    <row r="24023" spans="2:4" ht="13">
      <c r="B24023" s="12" t="str">
        <f ca="1">IFERROR(__xludf.DUMMYFUNCTION("""COMPUTED_VALUE"""),"")</f>
        <v/>
      </c>
      <c r="C24023" s="12" t="str">
        <f ca="1">IFERROR(__xludf.DUMMYFUNCTION("""COMPUTED_VALUE"""),"")</f>
        <v/>
      </c>
      <c r="D24023" s="12" t="str">
        <f ca="1">IFERROR(__xludf.DUMMYFUNCTION("""COMPUTED_VALUE"""),"")</f>
        <v/>
      </c>
    </row>
    <row r="24024" spans="2:4" ht="13">
      <c r="B24024" s="12" t="str">
        <f ca="1">IFERROR(__xludf.DUMMYFUNCTION("""COMPUTED_VALUE"""),"")</f>
        <v/>
      </c>
      <c r="C24024" s="12" t="str">
        <f ca="1">IFERROR(__xludf.DUMMYFUNCTION("""COMPUTED_VALUE"""),"")</f>
        <v/>
      </c>
      <c r="D24024" s="12" t="str">
        <f ca="1">IFERROR(__xludf.DUMMYFUNCTION("""COMPUTED_VALUE"""),"")</f>
        <v/>
      </c>
    </row>
    <row r="24025" spans="2:4" ht="13">
      <c r="B24025" s="12" t="str">
        <f ca="1">IFERROR(__xludf.DUMMYFUNCTION("""COMPUTED_VALUE"""),"")</f>
        <v/>
      </c>
      <c r="C24025" s="12" t="str">
        <f ca="1">IFERROR(__xludf.DUMMYFUNCTION("""COMPUTED_VALUE"""),"")</f>
        <v/>
      </c>
      <c r="D24025" s="12" t="str">
        <f ca="1">IFERROR(__xludf.DUMMYFUNCTION("""COMPUTED_VALUE"""),"")</f>
        <v/>
      </c>
    </row>
    <row r="24026" spans="2:4" ht="13">
      <c r="B24026" s="12" t="str">
        <f ca="1">IFERROR(__xludf.DUMMYFUNCTION("""COMPUTED_VALUE"""),"")</f>
        <v/>
      </c>
      <c r="C24026" s="12" t="str">
        <f ca="1">IFERROR(__xludf.DUMMYFUNCTION("""COMPUTED_VALUE"""),"")</f>
        <v/>
      </c>
      <c r="D24026" s="12" t="str">
        <f ca="1">IFERROR(__xludf.DUMMYFUNCTION("""COMPUTED_VALUE"""),"")</f>
        <v/>
      </c>
    </row>
    <row r="24027" spans="2:4" ht="13">
      <c r="B24027" s="12" t="str">
        <f ca="1">IFERROR(__xludf.DUMMYFUNCTION("""COMPUTED_VALUE"""),"")</f>
        <v/>
      </c>
      <c r="C24027" s="12" t="str">
        <f ca="1">IFERROR(__xludf.DUMMYFUNCTION("""COMPUTED_VALUE"""),"")</f>
        <v/>
      </c>
      <c r="D24027" s="12" t="str">
        <f ca="1">IFERROR(__xludf.DUMMYFUNCTION("""COMPUTED_VALUE"""),"")</f>
        <v/>
      </c>
    </row>
    <row r="24028" spans="2:4" ht="13">
      <c r="B24028" s="12" t="str">
        <f ca="1">IFERROR(__xludf.DUMMYFUNCTION("""COMPUTED_VALUE"""),"")</f>
        <v/>
      </c>
      <c r="C24028" s="12" t="str">
        <f ca="1">IFERROR(__xludf.DUMMYFUNCTION("""COMPUTED_VALUE"""),"")</f>
        <v/>
      </c>
      <c r="D24028" s="12" t="str">
        <f ca="1">IFERROR(__xludf.DUMMYFUNCTION("""COMPUTED_VALUE"""),"")</f>
        <v/>
      </c>
    </row>
    <row r="24029" spans="2:4" ht="13">
      <c r="B24029" s="12" t="str">
        <f ca="1">IFERROR(__xludf.DUMMYFUNCTION("""COMPUTED_VALUE"""),"")</f>
        <v/>
      </c>
      <c r="C24029" s="12" t="str">
        <f ca="1">IFERROR(__xludf.DUMMYFUNCTION("""COMPUTED_VALUE"""),"")</f>
        <v/>
      </c>
      <c r="D24029" s="12" t="str">
        <f ca="1">IFERROR(__xludf.DUMMYFUNCTION("""COMPUTED_VALUE"""),"")</f>
        <v/>
      </c>
    </row>
    <row r="24030" spans="2:4" ht="13">
      <c r="B24030" s="12" t="str">
        <f ca="1">IFERROR(__xludf.DUMMYFUNCTION("""COMPUTED_VALUE"""),"")</f>
        <v/>
      </c>
      <c r="C24030" s="12" t="str">
        <f ca="1">IFERROR(__xludf.DUMMYFUNCTION("""COMPUTED_VALUE"""),"")</f>
        <v/>
      </c>
      <c r="D24030" s="12" t="str">
        <f ca="1">IFERROR(__xludf.DUMMYFUNCTION("""COMPUTED_VALUE"""),"")</f>
        <v/>
      </c>
    </row>
    <row r="24031" spans="2:4" ht="13">
      <c r="B24031" s="12" t="str">
        <f ca="1">IFERROR(__xludf.DUMMYFUNCTION("""COMPUTED_VALUE"""),"")</f>
        <v/>
      </c>
      <c r="C24031" s="12" t="str">
        <f ca="1">IFERROR(__xludf.DUMMYFUNCTION("""COMPUTED_VALUE"""),"")</f>
        <v/>
      </c>
      <c r="D24031" s="12" t="str">
        <f ca="1">IFERROR(__xludf.DUMMYFUNCTION("""COMPUTED_VALUE"""),"")</f>
        <v/>
      </c>
    </row>
    <row r="24032" spans="2:4" ht="13">
      <c r="B24032" s="12" t="str">
        <f ca="1">IFERROR(__xludf.DUMMYFUNCTION("""COMPUTED_VALUE"""),"")</f>
        <v/>
      </c>
      <c r="C24032" s="12" t="str">
        <f ca="1">IFERROR(__xludf.DUMMYFUNCTION("""COMPUTED_VALUE"""),"")</f>
        <v/>
      </c>
      <c r="D24032" s="12" t="str">
        <f ca="1">IFERROR(__xludf.DUMMYFUNCTION("""COMPUTED_VALUE"""),"")</f>
        <v/>
      </c>
    </row>
    <row r="24033" spans="2:4" ht="13">
      <c r="B24033" s="12" t="str">
        <f ca="1">IFERROR(__xludf.DUMMYFUNCTION("""COMPUTED_VALUE"""),"")</f>
        <v/>
      </c>
      <c r="C24033" s="12" t="str">
        <f ca="1">IFERROR(__xludf.DUMMYFUNCTION("""COMPUTED_VALUE"""),"")</f>
        <v/>
      </c>
      <c r="D24033" s="12" t="str">
        <f ca="1">IFERROR(__xludf.DUMMYFUNCTION("""COMPUTED_VALUE"""),"")</f>
        <v/>
      </c>
    </row>
    <row r="24034" spans="2:4" ht="13">
      <c r="B24034" s="12" t="str">
        <f ca="1">IFERROR(__xludf.DUMMYFUNCTION("""COMPUTED_VALUE"""),"")</f>
        <v/>
      </c>
      <c r="C24034" s="12" t="str">
        <f ca="1">IFERROR(__xludf.DUMMYFUNCTION("""COMPUTED_VALUE"""),"")</f>
        <v/>
      </c>
      <c r="D24034" s="12" t="str">
        <f ca="1">IFERROR(__xludf.DUMMYFUNCTION("""COMPUTED_VALUE"""),"")</f>
        <v/>
      </c>
    </row>
    <row r="24035" spans="2:4" ht="13">
      <c r="B24035" s="12" t="str">
        <f ca="1">IFERROR(__xludf.DUMMYFUNCTION("""COMPUTED_VALUE"""),"")</f>
        <v/>
      </c>
      <c r="C24035" s="12" t="str">
        <f ca="1">IFERROR(__xludf.DUMMYFUNCTION("""COMPUTED_VALUE"""),"")</f>
        <v/>
      </c>
      <c r="D24035" s="12" t="str">
        <f ca="1">IFERROR(__xludf.DUMMYFUNCTION("""COMPUTED_VALUE"""),"")</f>
        <v/>
      </c>
    </row>
    <row r="24036" spans="2:4" ht="13">
      <c r="B24036" s="12" t="str">
        <f ca="1">IFERROR(__xludf.DUMMYFUNCTION("""COMPUTED_VALUE"""),"")</f>
        <v/>
      </c>
      <c r="C24036" s="12" t="str">
        <f ca="1">IFERROR(__xludf.DUMMYFUNCTION("""COMPUTED_VALUE"""),"")</f>
        <v/>
      </c>
      <c r="D24036" s="12" t="str">
        <f ca="1">IFERROR(__xludf.DUMMYFUNCTION("""COMPUTED_VALUE"""),"")</f>
        <v/>
      </c>
    </row>
    <row r="24037" spans="2:4" ht="13">
      <c r="B24037" s="12" t="str">
        <f ca="1">IFERROR(__xludf.DUMMYFUNCTION("""COMPUTED_VALUE"""),"")</f>
        <v/>
      </c>
      <c r="C24037" s="12" t="str">
        <f ca="1">IFERROR(__xludf.DUMMYFUNCTION("""COMPUTED_VALUE"""),"")</f>
        <v/>
      </c>
      <c r="D24037" s="12" t="str">
        <f ca="1">IFERROR(__xludf.DUMMYFUNCTION("""COMPUTED_VALUE"""),"")</f>
        <v/>
      </c>
    </row>
    <row r="24038" spans="2:4" ht="13">
      <c r="B24038" s="12" t="str">
        <f ca="1">IFERROR(__xludf.DUMMYFUNCTION("""COMPUTED_VALUE"""),"")</f>
        <v/>
      </c>
      <c r="C24038" s="12" t="str">
        <f ca="1">IFERROR(__xludf.DUMMYFUNCTION("""COMPUTED_VALUE"""),"")</f>
        <v/>
      </c>
      <c r="D24038" s="12" t="str">
        <f ca="1">IFERROR(__xludf.DUMMYFUNCTION("""COMPUTED_VALUE"""),"")</f>
        <v/>
      </c>
    </row>
    <row r="24039" spans="2:4" ht="13">
      <c r="B24039" s="12" t="str">
        <f ca="1">IFERROR(__xludf.DUMMYFUNCTION("""COMPUTED_VALUE"""),"")</f>
        <v/>
      </c>
      <c r="C24039" s="12" t="str">
        <f ca="1">IFERROR(__xludf.DUMMYFUNCTION("""COMPUTED_VALUE"""),"")</f>
        <v/>
      </c>
      <c r="D24039" s="12" t="str">
        <f ca="1">IFERROR(__xludf.DUMMYFUNCTION("""COMPUTED_VALUE"""),"")</f>
        <v/>
      </c>
    </row>
    <row r="24040" spans="2:4" ht="13">
      <c r="B24040" s="12" t="str">
        <f ca="1">IFERROR(__xludf.DUMMYFUNCTION("""COMPUTED_VALUE"""),"")</f>
        <v/>
      </c>
      <c r="C24040" s="12" t="str">
        <f ca="1">IFERROR(__xludf.DUMMYFUNCTION("""COMPUTED_VALUE"""),"")</f>
        <v/>
      </c>
      <c r="D24040" s="12" t="str">
        <f ca="1">IFERROR(__xludf.DUMMYFUNCTION("""COMPUTED_VALUE"""),"")</f>
        <v/>
      </c>
    </row>
    <row r="24041" spans="2:4" ht="13">
      <c r="B24041" s="12" t="str">
        <f ca="1">IFERROR(__xludf.DUMMYFUNCTION("""COMPUTED_VALUE"""),"")</f>
        <v/>
      </c>
      <c r="C24041" s="12" t="str">
        <f ca="1">IFERROR(__xludf.DUMMYFUNCTION("""COMPUTED_VALUE"""),"")</f>
        <v/>
      </c>
      <c r="D24041" s="12" t="str">
        <f ca="1">IFERROR(__xludf.DUMMYFUNCTION("""COMPUTED_VALUE"""),"")</f>
        <v/>
      </c>
    </row>
    <row r="24042" spans="2:4" ht="13">
      <c r="B24042" s="12" t="str">
        <f ca="1">IFERROR(__xludf.DUMMYFUNCTION("""COMPUTED_VALUE"""),"")</f>
        <v/>
      </c>
      <c r="C24042" s="12" t="str">
        <f ca="1">IFERROR(__xludf.DUMMYFUNCTION("""COMPUTED_VALUE"""),"")</f>
        <v/>
      </c>
      <c r="D24042" s="12" t="str">
        <f ca="1">IFERROR(__xludf.DUMMYFUNCTION("""COMPUTED_VALUE"""),"")</f>
        <v/>
      </c>
    </row>
    <row r="24043" spans="2:4" ht="13">
      <c r="B24043" s="12" t="str">
        <f ca="1">IFERROR(__xludf.DUMMYFUNCTION("""COMPUTED_VALUE"""),"")</f>
        <v/>
      </c>
      <c r="C24043" s="12" t="str">
        <f ca="1">IFERROR(__xludf.DUMMYFUNCTION("""COMPUTED_VALUE"""),"")</f>
        <v/>
      </c>
      <c r="D24043" s="12" t="str">
        <f ca="1">IFERROR(__xludf.DUMMYFUNCTION("""COMPUTED_VALUE"""),"")</f>
        <v/>
      </c>
    </row>
    <row r="24044" spans="2:4" ht="13">
      <c r="B24044" s="12" t="str">
        <f ca="1">IFERROR(__xludf.DUMMYFUNCTION("""COMPUTED_VALUE"""),"")</f>
        <v/>
      </c>
      <c r="C24044" s="12" t="str">
        <f ca="1">IFERROR(__xludf.DUMMYFUNCTION("""COMPUTED_VALUE"""),"")</f>
        <v/>
      </c>
      <c r="D24044" s="12" t="str">
        <f ca="1">IFERROR(__xludf.DUMMYFUNCTION("""COMPUTED_VALUE"""),"")</f>
        <v/>
      </c>
    </row>
    <row r="24045" spans="2:4" ht="13">
      <c r="B24045" s="12" t="str">
        <f ca="1">IFERROR(__xludf.DUMMYFUNCTION("""COMPUTED_VALUE"""),"")</f>
        <v/>
      </c>
      <c r="C24045" s="12" t="str">
        <f ca="1">IFERROR(__xludf.DUMMYFUNCTION("""COMPUTED_VALUE"""),"")</f>
        <v/>
      </c>
      <c r="D24045" s="12" t="str">
        <f ca="1">IFERROR(__xludf.DUMMYFUNCTION("""COMPUTED_VALUE"""),"")</f>
        <v/>
      </c>
    </row>
    <row r="24046" spans="2:4" ht="13">
      <c r="B24046" s="12" t="str">
        <f ca="1">IFERROR(__xludf.DUMMYFUNCTION("""COMPUTED_VALUE"""),"")</f>
        <v/>
      </c>
      <c r="C24046" s="12" t="str">
        <f ca="1">IFERROR(__xludf.DUMMYFUNCTION("""COMPUTED_VALUE"""),"")</f>
        <v/>
      </c>
      <c r="D24046" s="12" t="str">
        <f ca="1">IFERROR(__xludf.DUMMYFUNCTION("""COMPUTED_VALUE"""),"")</f>
        <v/>
      </c>
    </row>
    <row r="24047" spans="2:4" ht="13">
      <c r="B24047" s="12" t="str">
        <f ca="1">IFERROR(__xludf.DUMMYFUNCTION("""COMPUTED_VALUE"""),"")</f>
        <v/>
      </c>
      <c r="C24047" s="12" t="str">
        <f ca="1">IFERROR(__xludf.DUMMYFUNCTION("""COMPUTED_VALUE"""),"")</f>
        <v/>
      </c>
      <c r="D24047" s="12" t="str">
        <f ca="1">IFERROR(__xludf.DUMMYFUNCTION("""COMPUTED_VALUE"""),"")</f>
        <v/>
      </c>
    </row>
    <row r="24048" spans="2:4" ht="13">
      <c r="B24048" s="12" t="str">
        <f ca="1">IFERROR(__xludf.DUMMYFUNCTION("""COMPUTED_VALUE"""),"")</f>
        <v/>
      </c>
      <c r="C24048" s="12" t="str">
        <f ca="1">IFERROR(__xludf.DUMMYFUNCTION("""COMPUTED_VALUE"""),"")</f>
        <v/>
      </c>
      <c r="D24048" s="12" t="str">
        <f ca="1">IFERROR(__xludf.DUMMYFUNCTION("""COMPUTED_VALUE"""),"")</f>
        <v/>
      </c>
    </row>
    <row r="24049" spans="2:4" ht="13">
      <c r="B24049" s="12" t="str">
        <f ca="1">IFERROR(__xludf.DUMMYFUNCTION("""COMPUTED_VALUE"""),"")</f>
        <v/>
      </c>
      <c r="C24049" s="12" t="str">
        <f ca="1">IFERROR(__xludf.DUMMYFUNCTION("""COMPUTED_VALUE"""),"")</f>
        <v/>
      </c>
      <c r="D24049" s="12" t="str">
        <f ca="1">IFERROR(__xludf.DUMMYFUNCTION("""COMPUTED_VALUE"""),"")</f>
        <v/>
      </c>
    </row>
    <row r="24050" spans="2:4" ht="13">
      <c r="B24050" s="12" t="str">
        <f ca="1">IFERROR(__xludf.DUMMYFUNCTION("""COMPUTED_VALUE"""),"")</f>
        <v/>
      </c>
      <c r="C24050" s="12" t="str">
        <f ca="1">IFERROR(__xludf.DUMMYFUNCTION("""COMPUTED_VALUE"""),"")</f>
        <v/>
      </c>
      <c r="D24050" s="12" t="str">
        <f ca="1">IFERROR(__xludf.DUMMYFUNCTION("""COMPUTED_VALUE"""),"")</f>
        <v/>
      </c>
    </row>
    <row r="24051" spans="2:4" ht="13">
      <c r="B24051" s="12" t="str">
        <f ca="1">IFERROR(__xludf.DUMMYFUNCTION("""COMPUTED_VALUE"""),"")</f>
        <v/>
      </c>
      <c r="C24051" s="12" t="str">
        <f ca="1">IFERROR(__xludf.DUMMYFUNCTION("""COMPUTED_VALUE"""),"")</f>
        <v/>
      </c>
      <c r="D24051" s="12" t="str">
        <f ca="1">IFERROR(__xludf.DUMMYFUNCTION("""COMPUTED_VALUE"""),"")</f>
        <v/>
      </c>
    </row>
    <row r="24052" spans="2:4" ht="13">
      <c r="B24052" s="12" t="str">
        <f ca="1">IFERROR(__xludf.DUMMYFUNCTION("""COMPUTED_VALUE"""),"")</f>
        <v/>
      </c>
      <c r="C24052" s="12" t="str">
        <f ca="1">IFERROR(__xludf.DUMMYFUNCTION("""COMPUTED_VALUE"""),"")</f>
        <v/>
      </c>
      <c r="D24052" s="12" t="str">
        <f ca="1">IFERROR(__xludf.DUMMYFUNCTION("""COMPUTED_VALUE"""),"")</f>
        <v/>
      </c>
    </row>
    <row r="24053" spans="2:4" ht="13">
      <c r="B24053" s="12" t="str">
        <f ca="1">IFERROR(__xludf.DUMMYFUNCTION("""COMPUTED_VALUE"""),"")</f>
        <v/>
      </c>
      <c r="C24053" s="12" t="str">
        <f ca="1">IFERROR(__xludf.DUMMYFUNCTION("""COMPUTED_VALUE"""),"")</f>
        <v/>
      </c>
      <c r="D24053" s="12" t="str">
        <f ca="1">IFERROR(__xludf.DUMMYFUNCTION("""COMPUTED_VALUE"""),"")</f>
        <v/>
      </c>
    </row>
    <row r="24054" spans="2:4" ht="13">
      <c r="B24054" s="12" t="str">
        <f ca="1">IFERROR(__xludf.DUMMYFUNCTION("""COMPUTED_VALUE"""),"")</f>
        <v/>
      </c>
      <c r="C24054" s="12" t="str">
        <f ca="1">IFERROR(__xludf.DUMMYFUNCTION("""COMPUTED_VALUE"""),"")</f>
        <v/>
      </c>
      <c r="D24054" s="12" t="str">
        <f ca="1">IFERROR(__xludf.DUMMYFUNCTION("""COMPUTED_VALUE"""),"")</f>
        <v/>
      </c>
    </row>
    <row r="24055" spans="2:4" ht="13">
      <c r="B24055" s="12" t="str">
        <f ca="1">IFERROR(__xludf.DUMMYFUNCTION("""COMPUTED_VALUE"""),"")</f>
        <v/>
      </c>
      <c r="C24055" s="12" t="str">
        <f ca="1">IFERROR(__xludf.DUMMYFUNCTION("""COMPUTED_VALUE"""),"")</f>
        <v/>
      </c>
      <c r="D24055" s="12" t="str">
        <f ca="1">IFERROR(__xludf.DUMMYFUNCTION("""COMPUTED_VALUE"""),"")</f>
        <v/>
      </c>
    </row>
    <row r="24056" spans="2:4" ht="13">
      <c r="B24056" s="12" t="str">
        <f ca="1">IFERROR(__xludf.DUMMYFUNCTION("""COMPUTED_VALUE"""),"")</f>
        <v/>
      </c>
      <c r="C24056" s="12" t="str">
        <f ca="1">IFERROR(__xludf.DUMMYFUNCTION("""COMPUTED_VALUE"""),"")</f>
        <v/>
      </c>
      <c r="D24056" s="12" t="str">
        <f ca="1">IFERROR(__xludf.DUMMYFUNCTION("""COMPUTED_VALUE"""),"")</f>
        <v/>
      </c>
    </row>
    <row r="24057" spans="2:4" ht="13">
      <c r="B24057" s="12" t="str">
        <f ca="1">IFERROR(__xludf.DUMMYFUNCTION("""COMPUTED_VALUE"""),"")</f>
        <v/>
      </c>
      <c r="C24057" s="12" t="str">
        <f ca="1">IFERROR(__xludf.DUMMYFUNCTION("""COMPUTED_VALUE"""),"")</f>
        <v/>
      </c>
      <c r="D24057" s="12" t="str">
        <f ca="1">IFERROR(__xludf.DUMMYFUNCTION("""COMPUTED_VALUE"""),"")</f>
        <v/>
      </c>
    </row>
    <row r="24058" spans="2:4" ht="13">
      <c r="B24058" s="12" t="str">
        <f ca="1">IFERROR(__xludf.DUMMYFUNCTION("""COMPUTED_VALUE"""),"")</f>
        <v/>
      </c>
      <c r="C24058" s="12" t="str">
        <f ca="1">IFERROR(__xludf.DUMMYFUNCTION("""COMPUTED_VALUE"""),"")</f>
        <v/>
      </c>
      <c r="D24058" s="12" t="str">
        <f ca="1">IFERROR(__xludf.DUMMYFUNCTION("""COMPUTED_VALUE"""),"")</f>
        <v/>
      </c>
    </row>
    <row r="24059" spans="2:4" ht="13">
      <c r="B24059" s="12" t="str">
        <f ca="1">IFERROR(__xludf.DUMMYFUNCTION("""COMPUTED_VALUE"""),"")</f>
        <v/>
      </c>
      <c r="C24059" s="12" t="str">
        <f ca="1">IFERROR(__xludf.DUMMYFUNCTION("""COMPUTED_VALUE"""),"")</f>
        <v/>
      </c>
      <c r="D24059" s="12" t="str">
        <f ca="1">IFERROR(__xludf.DUMMYFUNCTION("""COMPUTED_VALUE"""),"")</f>
        <v/>
      </c>
    </row>
    <row r="24060" spans="2:4" ht="13">
      <c r="B24060" s="12" t="str">
        <f ca="1">IFERROR(__xludf.DUMMYFUNCTION("""COMPUTED_VALUE"""),"")</f>
        <v/>
      </c>
      <c r="C24060" s="12" t="str">
        <f ca="1">IFERROR(__xludf.DUMMYFUNCTION("""COMPUTED_VALUE"""),"")</f>
        <v/>
      </c>
      <c r="D24060" s="12" t="str">
        <f ca="1">IFERROR(__xludf.DUMMYFUNCTION("""COMPUTED_VALUE"""),"")</f>
        <v/>
      </c>
    </row>
    <row r="24061" spans="2:4" ht="13">
      <c r="B24061" s="12" t="str">
        <f ca="1">IFERROR(__xludf.DUMMYFUNCTION("""COMPUTED_VALUE"""),"")</f>
        <v/>
      </c>
      <c r="C24061" s="12" t="str">
        <f ca="1">IFERROR(__xludf.DUMMYFUNCTION("""COMPUTED_VALUE"""),"")</f>
        <v/>
      </c>
      <c r="D24061" s="12" t="str">
        <f ca="1">IFERROR(__xludf.DUMMYFUNCTION("""COMPUTED_VALUE"""),"")</f>
        <v/>
      </c>
    </row>
    <row r="24062" spans="2:4" ht="13">
      <c r="B24062" s="12" t="str">
        <f ca="1">IFERROR(__xludf.DUMMYFUNCTION("""COMPUTED_VALUE"""),"")</f>
        <v/>
      </c>
      <c r="C24062" s="12" t="str">
        <f ca="1">IFERROR(__xludf.DUMMYFUNCTION("""COMPUTED_VALUE"""),"")</f>
        <v/>
      </c>
      <c r="D24062" s="12" t="str">
        <f ca="1">IFERROR(__xludf.DUMMYFUNCTION("""COMPUTED_VALUE"""),"")</f>
        <v/>
      </c>
    </row>
    <row r="24063" spans="2:4" ht="13">
      <c r="B24063" s="12" t="str">
        <f ca="1">IFERROR(__xludf.DUMMYFUNCTION("""COMPUTED_VALUE"""),"")</f>
        <v/>
      </c>
      <c r="C24063" s="12" t="str">
        <f ca="1">IFERROR(__xludf.DUMMYFUNCTION("""COMPUTED_VALUE"""),"")</f>
        <v/>
      </c>
      <c r="D24063" s="12" t="str">
        <f ca="1">IFERROR(__xludf.DUMMYFUNCTION("""COMPUTED_VALUE"""),"")</f>
        <v/>
      </c>
    </row>
    <row r="24064" spans="2:4" ht="13">
      <c r="B24064" s="12" t="str">
        <f ca="1">IFERROR(__xludf.DUMMYFUNCTION("""COMPUTED_VALUE"""),"")</f>
        <v/>
      </c>
      <c r="C24064" s="12" t="str">
        <f ca="1">IFERROR(__xludf.DUMMYFUNCTION("""COMPUTED_VALUE"""),"")</f>
        <v/>
      </c>
      <c r="D24064" s="12" t="str">
        <f ca="1">IFERROR(__xludf.DUMMYFUNCTION("""COMPUTED_VALUE"""),"")</f>
        <v/>
      </c>
    </row>
    <row r="24065" spans="2:4" ht="13">
      <c r="B24065" s="12" t="str">
        <f ca="1">IFERROR(__xludf.DUMMYFUNCTION("""COMPUTED_VALUE"""),"")</f>
        <v/>
      </c>
      <c r="C24065" s="12" t="str">
        <f ca="1">IFERROR(__xludf.DUMMYFUNCTION("""COMPUTED_VALUE"""),"")</f>
        <v/>
      </c>
      <c r="D24065" s="12" t="str">
        <f ca="1">IFERROR(__xludf.DUMMYFUNCTION("""COMPUTED_VALUE"""),"")</f>
        <v/>
      </c>
    </row>
    <row r="24066" spans="2:4" ht="13">
      <c r="B24066" s="12" t="str">
        <f ca="1">IFERROR(__xludf.DUMMYFUNCTION("""COMPUTED_VALUE"""),"")</f>
        <v/>
      </c>
      <c r="C24066" s="12" t="str">
        <f ca="1">IFERROR(__xludf.DUMMYFUNCTION("""COMPUTED_VALUE"""),"")</f>
        <v/>
      </c>
      <c r="D24066" s="12" t="str">
        <f ca="1">IFERROR(__xludf.DUMMYFUNCTION("""COMPUTED_VALUE"""),"")</f>
        <v/>
      </c>
    </row>
    <row r="24067" spans="2:4" ht="13">
      <c r="B24067" s="12" t="str">
        <f ca="1">IFERROR(__xludf.DUMMYFUNCTION("""COMPUTED_VALUE"""),"")</f>
        <v/>
      </c>
      <c r="C24067" s="12" t="str">
        <f ca="1">IFERROR(__xludf.DUMMYFUNCTION("""COMPUTED_VALUE"""),"")</f>
        <v/>
      </c>
      <c r="D24067" s="12" t="str">
        <f ca="1">IFERROR(__xludf.DUMMYFUNCTION("""COMPUTED_VALUE"""),"")</f>
        <v/>
      </c>
    </row>
    <row r="24068" spans="2:4" ht="13">
      <c r="B24068" s="12" t="str">
        <f ca="1">IFERROR(__xludf.DUMMYFUNCTION("""COMPUTED_VALUE"""),"")</f>
        <v/>
      </c>
      <c r="C24068" s="12" t="str">
        <f ca="1">IFERROR(__xludf.DUMMYFUNCTION("""COMPUTED_VALUE"""),"")</f>
        <v/>
      </c>
      <c r="D24068" s="12" t="str">
        <f ca="1">IFERROR(__xludf.DUMMYFUNCTION("""COMPUTED_VALUE"""),"")</f>
        <v/>
      </c>
    </row>
    <row r="24069" spans="2:4" ht="13">
      <c r="B24069" s="12" t="str">
        <f ca="1">IFERROR(__xludf.DUMMYFUNCTION("""COMPUTED_VALUE"""),"")</f>
        <v/>
      </c>
      <c r="C24069" s="12" t="str">
        <f ca="1">IFERROR(__xludf.DUMMYFUNCTION("""COMPUTED_VALUE"""),"")</f>
        <v/>
      </c>
      <c r="D24069" s="12" t="str">
        <f ca="1">IFERROR(__xludf.DUMMYFUNCTION("""COMPUTED_VALUE"""),"")</f>
        <v/>
      </c>
    </row>
    <row r="24070" spans="2:4" ht="13">
      <c r="B24070" s="12" t="str">
        <f ca="1">IFERROR(__xludf.DUMMYFUNCTION("""COMPUTED_VALUE"""),"")</f>
        <v/>
      </c>
      <c r="C24070" s="12" t="str">
        <f ca="1">IFERROR(__xludf.DUMMYFUNCTION("""COMPUTED_VALUE"""),"")</f>
        <v/>
      </c>
      <c r="D24070" s="12" t="str">
        <f ca="1">IFERROR(__xludf.DUMMYFUNCTION("""COMPUTED_VALUE"""),"")</f>
        <v/>
      </c>
    </row>
    <row r="24071" spans="2:4" ht="13">
      <c r="B24071" s="12" t="str">
        <f ca="1">IFERROR(__xludf.DUMMYFUNCTION("""COMPUTED_VALUE"""),"")</f>
        <v/>
      </c>
      <c r="C24071" s="12" t="str">
        <f ca="1">IFERROR(__xludf.DUMMYFUNCTION("""COMPUTED_VALUE"""),"")</f>
        <v/>
      </c>
      <c r="D24071" s="12" t="str">
        <f ca="1">IFERROR(__xludf.DUMMYFUNCTION("""COMPUTED_VALUE"""),"")</f>
        <v/>
      </c>
    </row>
    <row r="24072" spans="2:4" ht="13">
      <c r="B24072" s="12" t="str">
        <f ca="1">IFERROR(__xludf.DUMMYFUNCTION("""COMPUTED_VALUE"""),"")</f>
        <v/>
      </c>
      <c r="C24072" s="12" t="str">
        <f ca="1">IFERROR(__xludf.DUMMYFUNCTION("""COMPUTED_VALUE"""),"")</f>
        <v/>
      </c>
      <c r="D24072" s="12" t="str">
        <f ca="1">IFERROR(__xludf.DUMMYFUNCTION("""COMPUTED_VALUE"""),"")</f>
        <v/>
      </c>
    </row>
    <row r="24073" spans="2:4" ht="13">
      <c r="B24073" s="12" t="str">
        <f ca="1">IFERROR(__xludf.DUMMYFUNCTION("""COMPUTED_VALUE"""),"")</f>
        <v/>
      </c>
      <c r="C24073" s="12" t="str">
        <f ca="1">IFERROR(__xludf.DUMMYFUNCTION("""COMPUTED_VALUE"""),"")</f>
        <v/>
      </c>
      <c r="D24073" s="12" t="str">
        <f ca="1">IFERROR(__xludf.DUMMYFUNCTION("""COMPUTED_VALUE"""),"")</f>
        <v/>
      </c>
    </row>
    <row r="24074" spans="2:4" ht="13">
      <c r="B24074" s="12" t="str">
        <f ca="1">IFERROR(__xludf.DUMMYFUNCTION("""COMPUTED_VALUE"""),"")</f>
        <v/>
      </c>
      <c r="C24074" s="12" t="str">
        <f ca="1">IFERROR(__xludf.DUMMYFUNCTION("""COMPUTED_VALUE"""),"")</f>
        <v/>
      </c>
      <c r="D24074" s="12" t="str">
        <f ca="1">IFERROR(__xludf.DUMMYFUNCTION("""COMPUTED_VALUE"""),"")</f>
        <v/>
      </c>
    </row>
    <row r="24075" spans="2:4" ht="13">
      <c r="B24075" s="12" t="str">
        <f ca="1">IFERROR(__xludf.DUMMYFUNCTION("""COMPUTED_VALUE"""),"")</f>
        <v/>
      </c>
      <c r="C24075" s="12" t="str">
        <f ca="1">IFERROR(__xludf.DUMMYFUNCTION("""COMPUTED_VALUE"""),"")</f>
        <v/>
      </c>
      <c r="D24075" s="12" t="str">
        <f ca="1">IFERROR(__xludf.DUMMYFUNCTION("""COMPUTED_VALUE"""),"")</f>
        <v/>
      </c>
    </row>
    <row r="24076" spans="2:4" ht="13">
      <c r="B24076" s="12" t="str">
        <f ca="1">IFERROR(__xludf.DUMMYFUNCTION("""COMPUTED_VALUE"""),"")</f>
        <v/>
      </c>
      <c r="C24076" s="12" t="str">
        <f ca="1">IFERROR(__xludf.DUMMYFUNCTION("""COMPUTED_VALUE"""),"")</f>
        <v/>
      </c>
      <c r="D24076" s="12" t="str">
        <f ca="1">IFERROR(__xludf.DUMMYFUNCTION("""COMPUTED_VALUE"""),"")</f>
        <v/>
      </c>
    </row>
    <row r="24077" spans="2:4" ht="13">
      <c r="B24077" s="12" t="str">
        <f ca="1">IFERROR(__xludf.DUMMYFUNCTION("""COMPUTED_VALUE"""),"")</f>
        <v/>
      </c>
      <c r="C24077" s="12" t="str">
        <f ca="1">IFERROR(__xludf.DUMMYFUNCTION("""COMPUTED_VALUE"""),"")</f>
        <v/>
      </c>
      <c r="D24077" s="12" t="str">
        <f ca="1">IFERROR(__xludf.DUMMYFUNCTION("""COMPUTED_VALUE"""),"")</f>
        <v/>
      </c>
    </row>
    <row r="24078" spans="2:4" ht="13">
      <c r="B24078" s="12" t="str">
        <f ca="1">IFERROR(__xludf.DUMMYFUNCTION("""COMPUTED_VALUE"""),"")</f>
        <v/>
      </c>
      <c r="C24078" s="12" t="str">
        <f ca="1">IFERROR(__xludf.DUMMYFUNCTION("""COMPUTED_VALUE"""),"")</f>
        <v/>
      </c>
      <c r="D24078" s="12" t="str">
        <f ca="1">IFERROR(__xludf.DUMMYFUNCTION("""COMPUTED_VALUE"""),"")</f>
        <v/>
      </c>
    </row>
    <row r="24079" spans="2:4" ht="13">
      <c r="B24079" s="12" t="str">
        <f ca="1">IFERROR(__xludf.DUMMYFUNCTION("""COMPUTED_VALUE"""),"")</f>
        <v/>
      </c>
      <c r="C24079" s="12" t="str">
        <f ca="1">IFERROR(__xludf.DUMMYFUNCTION("""COMPUTED_VALUE"""),"")</f>
        <v/>
      </c>
      <c r="D24079" s="12" t="str">
        <f ca="1">IFERROR(__xludf.DUMMYFUNCTION("""COMPUTED_VALUE"""),"")</f>
        <v/>
      </c>
    </row>
    <row r="24080" spans="2:4" ht="13">
      <c r="B24080" s="12" t="str">
        <f ca="1">IFERROR(__xludf.DUMMYFUNCTION("""COMPUTED_VALUE"""),"")</f>
        <v/>
      </c>
      <c r="C24080" s="12" t="str">
        <f ca="1">IFERROR(__xludf.DUMMYFUNCTION("""COMPUTED_VALUE"""),"")</f>
        <v/>
      </c>
      <c r="D24080" s="12" t="str">
        <f ca="1">IFERROR(__xludf.DUMMYFUNCTION("""COMPUTED_VALUE"""),"")</f>
        <v/>
      </c>
    </row>
    <row r="24081" spans="2:4" ht="13">
      <c r="B24081" s="12" t="str">
        <f ca="1">IFERROR(__xludf.DUMMYFUNCTION("""COMPUTED_VALUE"""),"")</f>
        <v/>
      </c>
      <c r="C24081" s="12" t="str">
        <f ca="1">IFERROR(__xludf.DUMMYFUNCTION("""COMPUTED_VALUE"""),"")</f>
        <v/>
      </c>
      <c r="D24081" s="12" t="str">
        <f ca="1">IFERROR(__xludf.DUMMYFUNCTION("""COMPUTED_VALUE"""),"")</f>
        <v/>
      </c>
    </row>
    <row r="24082" spans="2:4" ht="13">
      <c r="B24082" s="12" t="str">
        <f ca="1">IFERROR(__xludf.DUMMYFUNCTION("""COMPUTED_VALUE"""),"")</f>
        <v/>
      </c>
      <c r="C24082" s="12" t="str">
        <f ca="1">IFERROR(__xludf.DUMMYFUNCTION("""COMPUTED_VALUE"""),"")</f>
        <v/>
      </c>
      <c r="D24082" s="12" t="str">
        <f ca="1">IFERROR(__xludf.DUMMYFUNCTION("""COMPUTED_VALUE"""),"")</f>
        <v/>
      </c>
    </row>
    <row r="24083" spans="2:4" ht="13">
      <c r="B24083" s="12" t="str">
        <f ca="1">IFERROR(__xludf.DUMMYFUNCTION("""COMPUTED_VALUE"""),"")</f>
        <v/>
      </c>
      <c r="C24083" s="12" t="str">
        <f ca="1">IFERROR(__xludf.DUMMYFUNCTION("""COMPUTED_VALUE"""),"")</f>
        <v/>
      </c>
      <c r="D24083" s="12" t="str">
        <f ca="1">IFERROR(__xludf.DUMMYFUNCTION("""COMPUTED_VALUE"""),"")</f>
        <v/>
      </c>
    </row>
    <row r="24084" spans="2:4" ht="13">
      <c r="B24084" s="12" t="str">
        <f ca="1">IFERROR(__xludf.DUMMYFUNCTION("""COMPUTED_VALUE"""),"")</f>
        <v/>
      </c>
      <c r="C24084" s="12" t="str">
        <f ca="1">IFERROR(__xludf.DUMMYFUNCTION("""COMPUTED_VALUE"""),"")</f>
        <v/>
      </c>
      <c r="D24084" s="12" t="str">
        <f ca="1">IFERROR(__xludf.DUMMYFUNCTION("""COMPUTED_VALUE"""),"")</f>
        <v/>
      </c>
    </row>
    <row r="24085" spans="2:4" ht="13">
      <c r="B24085" s="12" t="str">
        <f ca="1">IFERROR(__xludf.DUMMYFUNCTION("""COMPUTED_VALUE"""),"")</f>
        <v/>
      </c>
      <c r="C24085" s="12" t="str">
        <f ca="1">IFERROR(__xludf.DUMMYFUNCTION("""COMPUTED_VALUE"""),"")</f>
        <v/>
      </c>
      <c r="D24085" s="12" t="str">
        <f ca="1">IFERROR(__xludf.DUMMYFUNCTION("""COMPUTED_VALUE"""),"")</f>
        <v/>
      </c>
    </row>
    <row r="24086" spans="2:4" ht="13">
      <c r="B24086" s="12" t="str">
        <f ca="1">IFERROR(__xludf.DUMMYFUNCTION("""COMPUTED_VALUE"""),"")</f>
        <v/>
      </c>
      <c r="C24086" s="12" t="str">
        <f ca="1">IFERROR(__xludf.DUMMYFUNCTION("""COMPUTED_VALUE"""),"")</f>
        <v/>
      </c>
      <c r="D24086" s="12" t="str">
        <f ca="1">IFERROR(__xludf.DUMMYFUNCTION("""COMPUTED_VALUE"""),"")</f>
        <v/>
      </c>
    </row>
    <row r="24087" spans="2:4" ht="13">
      <c r="B24087" s="12" t="str">
        <f ca="1">IFERROR(__xludf.DUMMYFUNCTION("""COMPUTED_VALUE"""),"")</f>
        <v/>
      </c>
      <c r="C24087" s="12" t="str">
        <f ca="1">IFERROR(__xludf.DUMMYFUNCTION("""COMPUTED_VALUE"""),"")</f>
        <v/>
      </c>
      <c r="D24087" s="12" t="str">
        <f ca="1">IFERROR(__xludf.DUMMYFUNCTION("""COMPUTED_VALUE"""),"")</f>
        <v/>
      </c>
    </row>
    <row r="24088" spans="2:4" ht="13">
      <c r="B24088" s="12" t="str">
        <f ca="1">IFERROR(__xludf.DUMMYFUNCTION("""COMPUTED_VALUE"""),"")</f>
        <v/>
      </c>
      <c r="C24088" s="12" t="str">
        <f ca="1">IFERROR(__xludf.DUMMYFUNCTION("""COMPUTED_VALUE"""),"")</f>
        <v/>
      </c>
      <c r="D24088" s="12" t="str">
        <f ca="1">IFERROR(__xludf.DUMMYFUNCTION("""COMPUTED_VALUE"""),"")</f>
        <v/>
      </c>
    </row>
    <row r="24089" spans="2:4" ht="13">
      <c r="B24089" s="12" t="str">
        <f ca="1">IFERROR(__xludf.DUMMYFUNCTION("""COMPUTED_VALUE"""),"")</f>
        <v/>
      </c>
      <c r="C24089" s="12" t="str">
        <f ca="1">IFERROR(__xludf.DUMMYFUNCTION("""COMPUTED_VALUE"""),"")</f>
        <v/>
      </c>
      <c r="D24089" s="12" t="str">
        <f ca="1">IFERROR(__xludf.DUMMYFUNCTION("""COMPUTED_VALUE"""),"")</f>
        <v/>
      </c>
    </row>
    <row r="24090" spans="2:4" ht="13">
      <c r="B24090" s="12" t="str">
        <f ca="1">IFERROR(__xludf.DUMMYFUNCTION("""COMPUTED_VALUE"""),"")</f>
        <v/>
      </c>
      <c r="C24090" s="12" t="str">
        <f ca="1">IFERROR(__xludf.DUMMYFUNCTION("""COMPUTED_VALUE"""),"")</f>
        <v/>
      </c>
      <c r="D24090" s="12" t="str">
        <f ca="1">IFERROR(__xludf.DUMMYFUNCTION("""COMPUTED_VALUE"""),"")</f>
        <v/>
      </c>
    </row>
    <row r="24091" spans="2:4" ht="13">
      <c r="B24091" s="12" t="str">
        <f ca="1">IFERROR(__xludf.DUMMYFUNCTION("""COMPUTED_VALUE"""),"")</f>
        <v/>
      </c>
      <c r="C24091" s="12" t="str">
        <f ca="1">IFERROR(__xludf.DUMMYFUNCTION("""COMPUTED_VALUE"""),"")</f>
        <v/>
      </c>
      <c r="D24091" s="12" t="str">
        <f ca="1">IFERROR(__xludf.DUMMYFUNCTION("""COMPUTED_VALUE"""),"")</f>
        <v/>
      </c>
    </row>
    <row r="24092" spans="2:4" ht="13">
      <c r="B24092" s="12" t="str">
        <f ca="1">IFERROR(__xludf.DUMMYFUNCTION("""COMPUTED_VALUE"""),"")</f>
        <v/>
      </c>
      <c r="C24092" s="12" t="str">
        <f ca="1">IFERROR(__xludf.DUMMYFUNCTION("""COMPUTED_VALUE"""),"")</f>
        <v/>
      </c>
      <c r="D24092" s="12" t="str">
        <f ca="1">IFERROR(__xludf.DUMMYFUNCTION("""COMPUTED_VALUE"""),"")</f>
        <v/>
      </c>
    </row>
    <row r="24093" spans="2:4" ht="13">
      <c r="B24093" s="12" t="str">
        <f ca="1">IFERROR(__xludf.DUMMYFUNCTION("""COMPUTED_VALUE"""),"")</f>
        <v/>
      </c>
      <c r="C24093" s="12" t="str">
        <f ca="1">IFERROR(__xludf.DUMMYFUNCTION("""COMPUTED_VALUE"""),"")</f>
        <v/>
      </c>
      <c r="D24093" s="12" t="str">
        <f ca="1">IFERROR(__xludf.DUMMYFUNCTION("""COMPUTED_VALUE"""),"")</f>
        <v/>
      </c>
    </row>
    <row r="24094" spans="2:4" ht="13">
      <c r="B24094" s="12" t="str">
        <f ca="1">IFERROR(__xludf.DUMMYFUNCTION("""COMPUTED_VALUE"""),"")</f>
        <v/>
      </c>
      <c r="C24094" s="12" t="str">
        <f ca="1">IFERROR(__xludf.DUMMYFUNCTION("""COMPUTED_VALUE"""),"")</f>
        <v/>
      </c>
      <c r="D24094" s="12" t="str">
        <f ca="1">IFERROR(__xludf.DUMMYFUNCTION("""COMPUTED_VALUE"""),"")</f>
        <v/>
      </c>
    </row>
    <row r="24095" spans="2:4" ht="13">
      <c r="B24095" s="12" t="str">
        <f ca="1">IFERROR(__xludf.DUMMYFUNCTION("""COMPUTED_VALUE"""),"")</f>
        <v/>
      </c>
      <c r="C24095" s="12" t="str">
        <f ca="1">IFERROR(__xludf.DUMMYFUNCTION("""COMPUTED_VALUE"""),"")</f>
        <v/>
      </c>
      <c r="D24095" s="12" t="str">
        <f ca="1">IFERROR(__xludf.DUMMYFUNCTION("""COMPUTED_VALUE"""),"")</f>
        <v/>
      </c>
    </row>
    <row r="24096" spans="2:4" ht="13">
      <c r="B24096" s="12" t="str">
        <f ca="1">IFERROR(__xludf.DUMMYFUNCTION("""COMPUTED_VALUE"""),"")</f>
        <v/>
      </c>
      <c r="C24096" s="12" t="str">
        <f ca="1">IFERROR(__xludf.DUMMYFUNCTION("""COMPUTED_VALUE"""),"")</f>
        <v/>
      </c>
      <c r="D24096" s="12" t="str">
        <f ca="1">IFERROR(__xludf.DUMMYFUNCTION("""COMPUTED_VALUE"""),"")</f>
        <v/>
      </c>
    </row>
    <row r="24097" spans="2:4" ht="13">
      <c r="B24097" s="12" t="str">
        <f ca="1">IFERROR(__xludf.DUMMYFUNCTION("""COMPUTED_VALUE"""),"")</f>
        <v/>
      </c>
      <c r="C24097" s="12" t="str">
        <f ca="1">IFERROR(__xludf.DUMMYFUNCTION("""COMPUTED_VALUE"""),"")</f>
        <v/>
      </c>
      <c r="D24097" s="12" t="str">
        <f ca="1">IFERROR(__xludf.DUMMYFUNCTION("""COMPUTED_VALUE"""),"")</f>
        <v/>
      </c>
    </row>
    <row r="24098" spans="2:4" ht="13">
      <c r="B24098" s="12" t="str">
        <f ca="1">IFERROR(__xludf.DUMMYFUNCTION("""COMPUTED_VALUE"""),"")</f>
        <v/>
      </c>
      <c r="C24098" s="12" t="str">
        <f ca="1">IFERROR(__xludf.DUMMYFUNCTION("""COMPUTED_VALUE"""),"")</f>
        <v/>
      </c>
      <c r="D24098" s="12" t="str">
        <f ca="1">IFERROR(__xludf.DUMMYFUNCTION("""COMPUTED_VALUE"""),"")</f>
        <v/>
      </c>
    </row>
    <row r="24099" spans="2:4" ht="13">
      <c r="B24099" s="12" t="str">
        <f ca="1">IFERROR(__xludf.DUMMYFUNCTION("""COMPUTED_VALUE"""),"")</f>
        <v/>
      </c>
      <c r="C24099" s="12" t="str">
        <f ca="1">IFERROR(__xludf.DUMMYFUNCTION("""COMPUTED_VALUE"""),"")</f>
        <v/>
      </c>
      <c r="D24099" s="12" t="str">
        <f ca="1">IFERROR(__xludf.DUMMYFUNCTION("""COMPUTED_VALUE"""),"")</f>
        <v/>
      </c>
    </row>
    <row r="24100" spans="2:4" ht="13">
      <c r="B24100" s="12" t="str">
        <f ca="1">IFERROR(__xludf.DUMMYFUNCTION("""COMPUTED_VALUE"""),"")</f>
        <v/>
      </c>
      <c r="C24100" s="12" t="str">
        <f ca="1">IFERROR(__xludf.DUMMYFUNCTION("""COMPUTED_VALUE"""),"")</f>
        <v/>
      </c>
      <c r="D24100" s="12" t="str">
        <f ca="1">IFERROR(__xludf.DUMMYFUNCTION("""COMPUTED_VALUE"""),"")</f>
        <v/>
      </c>
    </row>
    <row r="24101" spans="2:4" ht="13">
      <c r="B24101" s="12" t="str">
        <f ca="1">IFERROR(__xludf.DUMMYFUNCTION("""COMPUTED_VALUE"""),"")</f>
        <v/>
      </c>
      <c r="C24101" s="12" t="str">
        <f ca="1">IFERROR(__xludf.DUMMYFUNCTION("""COMPUTED_VALUE"""),"")</f>
        <v/>
      </c>
      <c r="D24101" s="12" t="str">
        <f ca="1">IFERROR(__xludf.DUMMYFUNCTION("""COMPUTED_VALUE"""),"")</f>
        <v/>
      </c>
    </row>
    <row r="24102" spans="2:4" ht="13">
      <c r="B24102" s="12" t="str">
        <f ca="1">IFERROR(__xludf.DUMMYFUNCTION("""COMPUTED_VALUE"""),"")</f>
        <v/>
      </c>
      <c r="C24102" s="12" t="str">
        <f ca="1">IFERROR(__xludf.DUMMYFUNCTION("""COMPUTED_VALUE"""),"")</f>
        <v/>
      </c>
      <c r="D24102" s="12" t="str">
        <f ca="1">IFERROR(__xludf.DUMMYFUNCTION("""COMPUTED_VALUE"""),"")</f>
        <v/>
      </c>
    </row>
    <row r="24103" spans="2:4" ht="13">
      <c r="B24103" s="12" t="str">
        <f ca="1">IFERROR(__xludf.DUMMYFUNCTION("""COMPUTED_VALUE"""),"")</f>
        <v/>
      </c>
      <c r="C24103" s="12" t="str">
        <f ca="1">IFERROR(__xludf.DUMMYFUNCTION("""COMPUTED_VALUE"""),"")</f>
        <v/>
      </c>
      <c r="D24103" s="12" t="str">
        <f ca="1">IFERROR(__xludf.DUMMYFUNCTION("""COMPUTED_VALUE"""),"")</f>
        <v/>
      </c>
    </row>
    <row r="24104" spans="2:4" ht="13">
      <c r="B24104" s="12" t="str">
        <f ca="1">IFERROR(__xludf.DUMMYFUNCTION("""COMPUTED_VALUE"""),"")</f>
        <v/>
      </c>
      <c r="C24104" s="12" t="str">
        <f ca="1">IFERROR(__xludf.DUMMYFUNCTION("""COMPUTED_VALUE"""),"")</f>
        <v/>
      </c>
      <c r="D24104" s="12" t="str">
        <f ca="1">IFERROR(__xludf.DUMMYFUNCTION("""COMPUTED_VALUE"""),"")</f>
        <v/>
      </c>
    </row>
    <row r="24105" spans="2:4" ht="13">
      <c r="B24105" s="12" t="str">
        <f ca="1">IFERROR(__xludf.DUMMYFUNCTION("""COMPUTED_VALUE"""),"")</f>
        <v/>
      </c>
      <c r="C24105" s="12" t="str">
        <f ca="1">IFERROR(__xludf.DUMMYFUNCTION("""COMPUTED_VALUE"""),"")</f>
        <v/>
      </c>
      <c r="D24105" s="12" t="str">
        <f ca="1">IFERROR(__xludf.DUMMYFUNCTION("""COMPUTED_VALUE"""),"")</f>
        <v/>
      </c>
    </row>
    <row r="24106" spans="2:4" ht="13">
      <c r="B24106" s="12" t="str">
        <f ca="1">IFERROR(__xludf.DUMMYFUNCTION("""COMPUTED_VALUE"""),"")</f>
        <v/>
      </c>
      <c r="C24106" s="12" t="str">
        <f ca="1">IFERROR(__xludf.DUMMYFUNCTION("""COMPUTED_VALUE"""),"")</f>
        <v/>
      </c>
      <c r="D24106" s="12" t="str">
        <f ca="1">IFERROR(__xludf.DUMMYFUNCTION("""COMPUTED_VALUE"""),"")</f>
        <v/>
      </c>
    </row>
    <row r="24107" spans="2:4" ht="13">
      <c r="B24107" s="12" t="str">
        <f ca="1">IFERROR(__xludf.DUMMYFUNCTION("""COMPUTED_VALUE"""),"")</f>
        <v/>
      </c>
      <c r="C24107" s="12" t="str">
        <f ca="1">IFERROR(__xludf.DUMMYFUNCTION("""COMPUTED_VALUE"""),"")</f>
        <v/>
      </c>
      <c r="D24107" s="12" t="str">
        <f ca="1">IFERROR(__xludf.DUMMYFUNCTION("""COMPUTED_VALUE"""),"")</f>
        <v/>
      </c>
    </row>
    <row r="24108" spans="2:4" ht="13">
      <c r="B24108" s="12" t="str">
        <f ca="1">IFERROR(__xludf.DUMMYFUNCTION("""COMPUTED_VALUE"""),"")</f>
        <v/>
      </c>
      <c r="C24108" s="12" t="str">
        <f ca="1">IFERROR(__xludf.DUMMYFUNCTION("""COMPUTED_VALUE"""),"")</f>
        <v/>
      </c>
      <c r="D24108" s="12" t="str">
        <f ca="1">IFERROR(__xludf.DUMMYFUNCTION("""COMPUTED_VALUE"""),"")</f>
        <v/>
      </c>
    </row>
    <row r="24109" spans="2:4" ht="13">
      <c r="B24109" s="12" t="str">
        <f ca="1">IFERROR(__xludf.DUMMYFUNCTION("""COMPUTED_VALUE"""),"")</f>
        <v/>
      </c>
      <c r="C24109" s="12" t="str">
        <f ca="1">IFERROR(__xludf.DUMMYFUNCTION("""COMPUTED_VALUE"""),"")</f>
        <v/>
      </c>
      <c r="D24109" s="12" t="str">
        <f ca="1">IFERROR(__xludf.DUMMYFUNCTION("""COMPUTED_VALUE"""),"")</f>
        <v/>
      </c>
    </row>
    <row r="24110" spans="2:4" ht="13">
      <c r="B24110" s="12" t="str">
        <f ca="1">IFERROR(__xludf.DUMMYFUNCTION("""COMPUTED_VALUE"""),"")</f>
        <v/>
      </c>
      <c r="C24110" s="12" t="str">
        <f ca="1">IFERROR(__xludf.DUMMYFUNCTION("""COMPUTED_VALUE"""),"")</f>
        <v/>
      </c>
      <c r="D24110" s="12" t="str">
        <f ca="1">IFERROR(__xludf.DUMMYFUNCTION("""COMPUTED_VALUE"""),"")</f>
        <v/>
      </c>
    </row>
    <row r="24111" spans="2:4" ht="13">
      <c r="B24111" s="12" t="str">
        <f ca="1">IFERROR(__xludf.DUMMYFUNCTION("""COMPUTED_VALUE"""),"")</f>
        <v/>
      </c>
      <c r="C24111" s="12" t="str">
        <f ca="1">IFERROR(__xludf.DUMMYFUNCTION("""COMPUTED_VALUE"""),"")</f>
        <v/>
      </c>
      <c r="D24111" s="12" t="str">
        <f ca="1">IFERROR(__xludf.DUMMYFUNCTION("""COMPUTED_VALUE"""),"")</f>
        <v/>
      </c>
    </row>
    <row r="24112" spans="2:4" ht="13">
      <c r="B24112" s="12" t="str">
        <f ca="1">IFERROR(__xludf.DUMMYFUNCTION("""COMPUTED_VALUE"""),"")</f>
        <v/>
      </c>
      <c r="C24112" s="12" t="str">
        <f ca="1">IFERROR(__xludf.DUMMYFUNCTION("""COMPUTED_VALUE"""),"")</f>
        <v/>
      </c>
      <c r="D24112" s="12" t="str">
        <f ca="1">IFERROR(__xludf.DUMMYFUNCTION("""COMPUTED_VALUE"""),"")</f>
        <v/>
      </c>
    </row>
    <row r="24113" spans="2:4" ht="13">
      <c r="B24113" s="12" t="str">
        <f ca="1">IFERROR(__xludf.DUMMYFUNCTION("""COMPUTED_VALUE"""),"")</f>
        <v/>
      </c>
      <c r="C24113" s="12" t="str">
        <f ca="1">IFERROR(__xludf.DUMMYFUNCTION("""COMPUTED_VALUE"""),"")</f>
        <v/>
      </c>
      <c r="D24113" s="12" t="str">
        <f ca="1">IFERROR(__xludf.DUMMYFUNCTION("""COMPUTED_VALUE"""),"")</f>
        <v/>
      </c>
    </row>
    <row r="24114" spans="2:4" ht="13">
      <c r="B24114" s="12" t="str">
        <f ca="1">IFERROR(__xludf.DUMMYFUNCTION("""COMPUTED_VALUE"""),"")</f>
        <v/>
      </c>
      <c r="C24114" s="12" t="str">
        <f ca="1">IFERROR(__xludf.DUMMYFUNCTION("""COMPUTED_VALUE"""),"")</f>
        <v/>
      </c>
      <c r="D24114" s="12" t="str">
        <f ca="1">IFERROR(__xludf.DUMMYFUNCTION("""COMPUTED_VALUE"""),"")</f>
        <v/>
      </c>
    </row>
    <row r="24115" spans="2:4" ht="13">
      <c r="B24115" s="12" t="str">
        <f ca="1">IFERROR(__xludf.DUMMYFUNCTION("""COMPUTED_VALUE"""),"")</f>
        <v/>
      </c>
      <c r="C24115" s="12" t="str">
        <f ca="1">IFERROR(__xludf.DUMMYFUNCTION("""COMPUTED_VALUE"""),"")</f>
        <v/>
      </c>
      <c r="D24115" s="12" t="str">
        <f ca="1">IFERROR(__xludf.DUMMYFUNCTION("""COMPUTED_VALUE"""),"")</f>
        <v/>
      </c>
    </row>
    <row r="24116" spans="2:4" ht="13">
      <c r="B24116" s="12" t="str">
        <f ca="1">IFERROR(__xludf.DUMMYFUNCTION("""COMPUTED_VALUE"""),"")</f>
        <v/>
      </c>
      <c r="C24116" s="12" t="str">
        <f ca="1">IFERROR(__xludf.DUMMYFUNCTION("""COMPUTED_VALUE"""),"")</f>
        <v/>
      </c>
      <c r="D24116" s="12" t="str">
        <f ca="1">IFERROR(__xludf.DUMMYFUNCTION("""COMPUTED_VALUE"""),"")</f>
        <v/>
      </c>
    </row>
    <row r="24117" spans="2:4" ht="13">
      <c r="B24117" s="12" t="str">
        <f ca="1">IFERROR(__xludf.DUMMYFUNCTION("""COMPUTED_VALUE"""),"")</f>
        <v/>
      </c>
      <c r="C24117" s="12" t="str">
        <f ca="1">IFERROR(__xludf.DUMMYFUNCTION("""COMPUTED_VALUE"""),"")</f>
        <v/>
      </c>
      <c r="D24117" s="12" t="str">
        <f ca="1">IFERROR(__xludf.DUMMYFUNCTION("""COMPUTED_VALUE"""),"")</f>
        <v/>
      </c>
    </row>
    <row r="24118" spans="2:4" ht="13">
      <c r="B24118" s="12" t="str">
        <f ca="1">IFERROR(__xludf.DUMMYFUNCTION("""COMPUTED_VALUE"""),"")</f>
        <v/>
      </c>
      <c r="C24118" s="12" t="str">
        <f ca="1">IFERROR(__xludf.DUMMYFUNCTION("""COMPUTED_VALUE"""),"")</f>
        <v/>
      </c>
      <c r="D24118" s="12" t="str">
        <f ca="1">IFERROR(__xludf.DUMMYFUNCTION("""COMPUTED_VALUE"""),"")</f>
        <v/>
      </c>
    </row>
    <row r="24119" spans="2:4" ht="13">
      <c r="B24119" s="12" t="str">
        <f ca="1">IFERROR(__xludf.DUMMYFUNCTION("""COMPUTED_VALUE"""),"")</f>
        <v/>
      </c>
      <c r="C24119" s="12" t="str">
        <f ca="1">IFERROR(__xludf.DUMMYFUNCTION("""COMPUTED_VALUE"""),"")</f>
        <v/>
      </c>
      <c r="D24119" s="12" t="str">
        <f ca="1">IFERROR(__xludf.DUMMYFUNCTION("""COMPUTED_VALUE"""),"")</f>
        <v/>
      </c>
    </row>
    <row r="24120" spans="2:4" ht="13">
      <c r="B24120" s="12" t="str">
        <f ca="1">IFERROR(__xludf.DUMMYFUNCTION("""COMPUTED_VALUE"""),"")</f>
        <v/>
      </c>
      <c r="C24120" s="12" t="str">
        <f ca="1">IFERROR(__xludf.DUMMYFUNCTION("""COMPUTED_VALUE"""),"")</f>
        <v/>
      </c>
      <c r="D24120" s="12" t="str">
        <f ca="1">IFERROR(__xludf.DUMMYFUNCTION("""COMPUTED_VALUE"""),"")</f>
        <v/>
      </c>
    </row>
    <row r="24121" spans="2:4" ht="13">
      <c r="B24121" s="12" t="str">
        <f ca="1">IFERROR(__xludf.DUMMYFUNCTION("""COMPUTED_VALUE"""),"")</f>
        <v/>
      </c>
      <c r="C24121" s="12" t="str">
        <f ca="1">IFERROR(__xludf.DUMMYFUNCTION("""COMPUTED_VALUE"""),"")</f>
        <v/>
      </c>
      <c r="D24121" s="12" t="str">
        <f ca="1">IFERROR(__xludf.DUMMYFUNCTION("""COMPUTED_VALUE"""),"")</f>
        <v/>
      </c>
    </row>
    <row r="24122" spans="2:4" ht="13">
      <c r="B24122" s="12" t="str">
        <f ca="1">IFERROR(__xludf.DUMMYFUNCTION("""COMPUTED_VALUE"""),"")</f>
        <v/>
      </c>
      <c r="C24122" s="12" t="str">
        <f ca="1">IFERROR(__xludf.DUMMYFUNCTION("""COMPUTED_VALUE"""),"")</f>
        <v/>
      </c>
      <c r="D24122" s="12" t="str">
        <f ca="1">IFERROR(__xludf.DUMMYFUNCTION("""COMPUTED_VALUE"""),"")</f>
        <v/>
      </c>
    </row>
    <row r="24123" spans="2:4" ht="13">
      <c r="B24123" s="12" t="str">
        <f ca="1">IFERROR(__xludf.DUMMYFUNCTION("""COMPUTED_VALUE"""),"")</f>
        <v/>
      </c>
      <c r="C24123" s="12" t="str">
        <f ca="1">IFERROR(__xludf.DUMMYFUNCTION("""COMPUTED_VALUE"""),"")</f>
        <v/>
      </c>
      <c r="D24123" s="12" t="str">
        <f ca="1">IFERROR(__xludf.DUMMYFUNCTION("""COMPUTED_VALUE"""),"")</f>
        <v/>
      </c>
    </row>
    <row r="24124" spans="2:4" ht="13">
      <c r="B24124" s="12" t="str">
        <f ca="1">IFERROR(__xludf.DUMMYFUNCTION("""COMPUTED_VALUE"""),"")</f>
        <v/>
      </c>
      <c r="C24124" s="12" t="str">
        <f ca="1">IFERROR(__xludf.DUMMYFUNCTION("""COMPUTED_VALUE"""),"")</f>
        <v/>
      </c>
      <c r="D24124" s="12" t="str">
        <f ca="1">IFERROR(__xludf.DUMMYFUNCTION("""COMPUTED_VALUE"""),"")</f>
        <v/>
      </c>
    </row>
    <row r="24125" spans="2:4" ht="13">
      <c r="B24125" s="12" t="str">
        <f ca="1">IFERROR(__xludf.DUMMYFUNCTION("""COMPUTED_VALUE"""),"")</f>
        <v/>
      </c>
      <c r="C24125" s="12" t="str">
        <f ca="1">IFERROR(__xludf.DUMMYFUNCTION("""COMPUTED_VALUE"""),"")</f>
        <v/>
      </c>
      <c r="D24125" s="12" t="str">
        <f ca="1">IFERROR(__xludf.DUMMYFUNCTION("""COMPUTED_VALUE"""),"")</f>
        <v/>
      </c>
    </row>
    <row r="24126" spans="2:4" ht="13">
      <c r="B24126" s="12" t="str">
        <f ca="1">IFERROR(__xludf.DUMMYFUNCTION("""COMPUTED_VALUE"""),"")</f>
        <v/>
      </c>
      <c r="C24126" s="12" t="str">
        <f ca="1">IFERROR(__xludf.DUMMYFUNCTION("""COMPUTED_VALUE"""),"")</f>
        <v/>
      </c>
      <c r="D24126" s="12" t="str">
        <f ca="1">IFERROR(__xludf.DUMMYFUNCTION("""COMPUTED_VALUE"""),"")</f>
        <v/>
      </c>
    </row>
    <row r="24127" spans="2:4" ht="13">
      <c r="B24127" s="12" t="str">
        <f ca="1">IFERROR(__xludf.DUMMYFUNCTION("""COMPUTED_VALUE"""),"")</f>
        <v/>
      </c>
      <c r="C24127" s="12" t="str">
        <f ca="1">IFERROR(__xludf.DUMMYFUNCTION("""COMPUTED_VALUE"""),"")</f>
        <v/>
      </c>
      <c r="D24127" s="12" t="str">
        <f ca="1">IFERROR(__xludf.DUMMYFUNCTION("""COMPUTED_VALUE"""),"")</f>
        <v/>
      </c>
    </row>
    <row r="24128" spans="2:4" ht="13">
      <c r="B24128" s="12" t="str">
        <f ca="1">IFERROR(__xludf.DUMMYFUNCTION("""COMPUTED_VALUE"""),"")</f>
        <v/>
      </c>
      <c r="C24128" s="12" t="str">
        <f ca="1">IFERROR(__xludf.DUMMYFUNCTION("""COMPUTED_VALUE"""),"")</f>
        <v/>
      </c>
      <c r="D24128" s="12" t="str">
        <f ca="1">IFERROR(__xludf.DUMMYFUNCTION("""COMPUTED_VALUE"""),"")</f>
        <v/>
      </c>
    </row>
    <row r="24129" spans="2:4" ht="13">
      <c r="B24129" s="12" t="str">
        <f ca="1">IFERROR(__xludf.DUMMYFUNCTION("""COMPUTED_VALUE"""),"")</f>
        <v/>
      </c>
      <c r="C24129" s="12" t="str">
        <f ca="1">IFERROR(__xludf.DUMMYFUNCTION("""COMPUTED_VALUE"""),"")</f>
        <v/>
      </c>
      <c r="D24129" s="12" t="str">
        <f ca="1">IFERROR(__xludf.DUMMYFUNCTION("""COMPUTED_VALUE"""),"")</f>
        <v/>
      </c>
    </row>
    <row r="24130" spans="2:4" ht="13">
      <c r="B24130" s="12" t="str">
        <f ca="1">IFERROR(__xludf.DUMMYFUNCTION("""COMPUTED_VALUE"""),"")</f>
        <v/>
      </c>
      <c r="C24130" s="12" t="str">
        <f ca="1">IFERROR(__xludf.DUMMYFUNCTION("""COMPUTED_VALUE"""),"")</f>
        <v/>
      </c>
      <c r="D24130" s="12" t="str">
        <f ca="1">IFERROR(__xludf.DUMMYFUNCTION("""COMPUTED_VALUE"""),"")</f>
        <v/>
      </c>
    </row>
    <row r="24131" spans="2:4" ht="13">
      <c r="B24131" s="12" t="str">
        <f ca="1">IFERROR(__xludf.DUMMYFUNCTION("""COMPUTED_VALUE"""),"")</f>
        <v/>
      </c>
      <c r="C24131" s="12" t="str">
        <f ca="1">IFERROR(__xludf.DUMMYFUNCTION("""COMPUTED_VALUE"""),"")</f>
        <v/>
      </c>
      <c r="D24131" s="12" t="str">
        <f ca="1">IFERROR(__xludf.DUMMYFUNCTION("""COMPUTED_VALUE"""),"")</f>
        <v/>
      </c>
    </row>
    <row r="24132" spans="2:4" ht="13">
      <c r="B24132" s="12" t="str">
        <f ca="1">IFERROR(__xludf.DUMMYFUNCTION("""COMPUTED_VALUE"""),"")</f>
        <v/>
      </c>
      <c r="C24132" s="12" t="str">
        <f ca="1">IFERROR(__xludf.DUMMYFUNCTION("""COMPUTED_VALUE"""),"")</f>
        <v/>
      </c>
      <c r="D24132" s="12" t="str">
        <f ca="1">IFERROR(__xludf.DUMMYFUNCTION("""COMPUTED_VALUE"""),"")</f>
        <v/>
      </c>
    </row>
    <row r="24133" spans="2:4" ht="13">
      <c r="B24133" s="12" t="str">
        <f ca="1">IFERROR(__xludf.DUMMYFUNCTION("""COMPUTED_VALUE"""),"")</f>
        <v/>
      </c>
      <c r="C24133" s="12" t="str">
        <f ca="1">IFERROR(__xludf.DUMMYFUNCTION("""COMPUTED_VALUE"""),"")</f>
        <v/>
      </c>
      <c r="D24133" s="12" t="str">
        <f ca="1">IFERROR(__xludf.DUMMYFUNCTION("""COMPUTED_VALUE"""),"")</f>
        <v/>
      </c>
    </row>
    <row r="24134" spans="2:4" ht="13">
      <c r="B24134" s="12" t="str">
        <f ca="1">IFERROR(__xludf.DUMMYFUNCTION("""COMPUTED_VALUE"""),"")</f>
        <v/>
      </c>
      <c r="C24134" s="12" t="str">
        <f ca="1">IFERROR(__xludf.DUMMYFUNCTION("""COMPUTED_VALUE"""),"")</f>
        <v/>
      </c>
      <c r="D24134" s="12" t="str">
        <f ca="1">IFERROR(__xludf.DUMMYFUNCTION("""COMPUTED_VALUE"""),"")</f>
        <v/>
      </c>
    </row>
    <row r="24135" spans="2:4" ht="13">
      <c r="B24135" s="12" t="str">
        <f ca="1">IFERROR(__xludf.DUMMYFUNCTION("""COMPUTED_VALUE"""),"")</f>
        <v/>
      </c>
      <c r="C24135" s="12" t="str">
        <f ca="1">IFERROR(__xludf.DUMMYFUNCTION("""COMPUTED_VALUE"""),"")</f>
        <v/>
      </c>
      <c r="D24135" s="12" t="str">
        <f ca="1">IFERROR(__xludf.DUMMYFUNCTION("""COMPUTED_VALUE"""),"")</f>
        <v/>
      </c>
    </row>
    <row r="24136" spans="2:4" ht="13">
      <c r="B24136" s="12" t="str">
        <f ca="1">IFERROR(__xludf.DUMMYFUNCTION("""COMPUTED_VALUE"""),"")</f>
        <v/>
      </c>
      <c r="C24136" s="12" t="str">
        <f ca="1">IFERROR(__xludf.DUMMYFUNCTION("""COMPUTED_VALUE"""),"")</f>
        <v/>
      </c>
      <c r="D24136" s="12" t="str">
        <f ca="1">IFERROR(__xludf.DUMMYFUNCTION("""COMPUTED_VALUE"""),"")</f>
        <v/>
      </c>
    </row>
    <row r="24137" spans="2:4" ht="13">
      <c r="B24137" s="12" t="str">
        <f ca="1">IFERROR(__xludf.DUMMYFUNCTION("""COMPUTED_VALUE"""),"")</f>
        <v/>
      </c>
      <c r="C24137" s="12" t="str">
        <f ca="1">IFERROR(__xludf.DUMMYFUNCTION("""COMPUTED_VALUE"""),"")</f>
        <v/>
      </c>
      <c r="D24137" s="12" t="str">
        <f ca="1">IFERROR(__xludf.DUMMYFUNCTION("""COMPUTED_VALUE"""),"")</f>
        <v/>
      </c>
    </row>
    <row r="24138" spans="2:4" ht="13">
      <c r="B24138" s="12" t="str">
        <f ca="1">IFERROR(__xludf.DUMMYFUNCTION("""COMPUTED_VALUE"""),"")</f>
        <v/>
      </c>
      <c r="C24138" s="12" t="str">
        <f ca="1">IFERROR(__xludf.DUMMYFUNCTION("""COMPUTED_VALUE"""),"")</f>
        <v/>
      </c>
      <c r="D24138" s="12" t="str">
        <f ca="1">IFERROR(__xludf.DUMMYFUNCTION("""COMPUTED_VALUE"""),"")</f>
        <v/>
      </c>
    </row>
    <row r="24139" spans="2:4" ht="13">
      <c r="B24139" s="12" t="str">
        <f ca="1">IFERROR(__xludf.DUMMYFUNCTION("""COMPUTED_VALUE"""),"")</f>
        <v/>
      </c>
      <c r="C24139" s="12" t="str">
        <f ca="1">IFERROR(__xludf.DUMMYFUNCTION("""COMPUTED_VALUE"""),"")</f>
        <v/>
      </c>
      <c r="D24139" s="12" t="str">
        <f ca="1">IFERROR(__xludf.DUMMYFUNCTION("""COMPUTED_VALUE"""),"")</f>
        <v/>
      </c>
    </row>
    <row r="24140" spans="2:4" ht="13">
      <c r="B24140" s="12" t="str">
        <f ca="1">IFERROR(__xludf.DUMMYFUNCTION("""COMPUTED_VALUE"""),"")</f>
        <v/>
      </c>
      <c r="C24140" s="12" t="str">
        <f ca="1">IFERROR(__xludf.DUMMYFUNCTION("""COMPUTED_VALUE"""),"")</f>
        <v/>
      </c>
      <c r="D24140" s="12" t="str">
        <f ca="1">IFERROR(__xludf.DUMMYFUNCTION("""COMPUTED_VALUE"""),"")</f>
        <v/>
      </c>
    </row>
    <row r="24141" spans="2:4" ht="13">
      <c r="B24141" s="12" t="str">
        <f ca="1">IFERROR(__xludf.DUMMYFUNCTION("""COMPUTED_VALUE"""),"")</f>
        <v/>
      </c>
      <c r="C24141" s="12" t="str">
        <f ca="1">IFERROR(__xludf.DUMMYFUNCTION("""COMPUTED_VALUE"""),"")</f>
        <v/>
      </c>
      <c r="D24141" s="12" t="str">
        <f ca="1">IFERROR(__xludf.DUMMYFUNCTION("""COMPUTED_VALUE"""),"")</f>
        <v/>
      </c>
    </row>
    <row r="24142" spans="2:4" ht="13">
      <c r="B24142" s="12" t="str">
        <f ca="1">IFERROR(__xludf.DUMMYFUNCTION("""COMPUTED_VALUE"""),"")</f>
        <v/>
      </c>
      <c r="C24142" s="12" t="str">
        <f ca="1">IFERROR(__xludf.DUMMYFUNCTION("""COMPUTED_VALUE"""),"")</f>
        <v/>
      </c>
      <c r="D24142" s="12" t="str">
        <f ca="1">IFERROR(__xludf.DUMMYFUNCTION("""COMPUTED_VALUE"""),"")</f>
        <v/>
      </c>
    </row>
    <row r="24143" spans="2:4" ht="13">
      <c r="B24143" s="12" t="str">
        <f ca="1">IFERROR(__xludf.DUMMYFUNCTION("""COMPUTED_VALUE"""),"")</f>
        <v/>
      </c>
      <c r="C24143" s="12" t="str">
        <f ca="1">IFERROR(__xludf.DUMMYFUNCTION("""COMPUTED_VALUE"""),"")</f>
        <v/>
      </c>
      <c r="D24143" s="12" t="str">
        <f ca="1">IFERROR(__xludf.DUMMYFUNCTION("""COMPUTED_VALUE"""),"")</f>
        <v/>
      </c>
    </row>
    <row r="24144" spans="2:4" ht="13">
      <c r="B24144" s="12" t="str">
        <f ca="1">IFERROR(__xludf.DUMMYFUNCTION("""COMPUTED_VALUE"""),"")</f>
        <v/>
      </c>
      <c r="C24144" s="12" t="str">
        <f ca="1">IFERROR(__xludf.DUMMYFUNCTION("""COMPUTED_VALUE"""),"")</f>
        <v/>
      </c>
      <c r="D24144" s="12" t="str">
        <f ca="1">IFERROR(__xludf.DUMMYFUNCTION("""COMPUTED_VALUE"""),"")</f>
        <v/>
      </c>
    </row>
    <row r="24145" spans="2:4" ht="13">
      <c r="B24145" s="12" t="str">
        <f ca="1">IFERROR(__xludf.DUMMYFUNCTION("""COMPUTED_VALUE"""),"")</f>
        <v/>
      </c>
      <c r="C24145" s="12" t="str">
        <f ca="1">IFERROR(__xludf.DUMMYFUNCTION("""COMPUTED_VALUE"""),"")</f>
        <v/>
      </c>
      <c r="D24145" s="12" t="str">
        <f ca="1">IFERROR(__xludf.DUMMYFUNCTION("""COMPUTED_VALUE"""),"")</f>
        <v/>
      </c>
    </row>
    <row r="24146" spans="2:4" ht="13">
      <c r="B24146" s="12" t="str">
        <f ca="1">IFERROR(__xludf.DUMMYFUNCTION("""COMPUTED_VALUE"""),"")</f>
        <v/>
      </c>
      <c r="C24146" s="12" t="str">
        <f ca="1">IFERROR(__xludf.DUMMYFUNCTION("""COMPUTED_VALUE"""),"")</f>
        <v/>
      </c>
      <c r="D24146" s="12" t="str">
        <f ca="1">IFERROR(__xludf.DUMMYFUNCTION("""COMPUTED_VALUE"""),"")</f>
        <v/>
      </c>
    </row>
    <row r="24147" spans="2:4" ht="13">
      <c r="B24147" s="12" t="str">
        <f ca="1">IFERROR(__xludf.DUMMYFUNCTION("""COMPUTED_VALUE"""),"")</f>
        <v/>
      </c>
      <c r="C24147" s="12" t="str">
        <f ca="1">IFERROR(__xludf.DUMMYFUNCTION("""COMPUTED_VALUE"""),"")</f>
        <v/>
      </c>
      <c r="D24147" s="12" t="str">
        <f ca="1">IFERROR(__xludf.DUMMYFUNCTION("""COMPUTED_VALUE"""),"")</f>
        <v/>
      </c>
    </row>
    <row r="24148" spans="2:4" ht="13">
      <c r="B24148" s="12" t="str">
        <f ca="1">IFERROR(__xludf.DUMMYFUNCTION("""COMPUTED_VALUE"""),"")</f>
        <v/>
      </c>
      <c r="C24148" s="12" t="str">
        <f ca="1">IFERROR(__xludf.DUMMYFUNCTION("""COMPUTED_VALUE"""),"")</f>
        <v/>
      </c>
      <c r="D24148" s="12" t="str">
        <f ca="1">IFERROR(__xludf.DUMMYFUNCTION("""COMPUTED_VALUE"""),"")</f>
        <v/>
      </c>
    </row>
    <row r="24149" spans="2:4" ht="13">
      <c r="B24149" s="12" t="str">
        <f ca="1">IFERROR(__xludf.DUMMYFUNCTION("""COMPUTED_VALUE"""),"")</f>
        <v/>
      </c>
      <c r="C24149" s="12" t="str">
        <f ca="1">IFERROR(__xludf.DUMMYFUNCTION("""COMPUTED_VALUE"""),"")</f>
        <v/>
      </c>
      <c r="D24149" s="12" t="str">
        <f ca="1">IFERROR(__xludf.DUMMYFUNCTION("""COMPUTED_VALUE"""),"")</f>
        <v/>
      </c>
    </row>
    <row r="24150" spans="2:4" ht="13">
      <c r="B24150" s="12" t="str">
        <f ca="1">IFERROR(__xludf.DUMMYFUNCTION("""COMPUTED_VALUE"""),"")</f>
        <v/>
      </c>
      <c r="C24150" s="12" t="str">
        <f ca="1">IFERROR(__xludf.DUMMYFUNCTION("""COMPUTED_VALUE"""),"")</f>
        <v/>
      </c>
      <c r="D24150" s="12" t="str">
        <f ca="1">IFERROR(__xludf.DUMMYFUNCTION("""COMPUTED_VALUE"""),"")</f>
        <v/>
      </c>
    </row>
    <row r="24151" spans="2:4" ht="13">
      <c r="B24151" s="12" t="str">
        <f ca="1">IFERROR(__xludf.DUMMYFUNCTION("""COMPUTED_VALUE"""),"")</f>
        <v/>
      </c>
      <c r="C24151" s="12" t="str">
        <f ca="1">IFERROR(__xludf.DUMMYFUNCTION("""COMPUTED_VALUE"""),"")</f>
        <v/>
      </c>
      <c r="D24151" s="12" t="str">
        <f ca="1">IFERROR(__xludf.DUMMYFUNCTION("""COMPUTED_VALUE"""),"")</f>
        <v/>
      </c>
    </row>
    <row r="24152" spans="2:4" ht="13">
      <c r="B24152" s="12" t="str">
        <f ca="1">IFERROR(__xludf.DUMMYFUNCTION("""COMPUTED_VALUE"""),"")</f>
        <v/>
      </c>
      <c r="C24152" s="12" t="str">
        <f ca="1">IFERROR(__xludf.DUMMYFUNCTION("""COMPUTED_VALUE"""),"")</f>
        <v/>
      </c>
      <c r="D24152" s="12" t="str">
        <f ca="1">IFERROR(__xludf.DUMMYFUNCTION("""COMPUTED_VALUE"""),"")</f>
        <v/>
      </c>
    </row>
    <row r="24153" spans="2:4" ht="13">
      <c r="B24153" s="12" t="str">
        <f ca="1">IFERROR(__xludf.DUMMYFUNCTION("""COMPUTED_VALUE"""),"")</f>
        <v/>
      </c>
      <c r="C24153" s="12" t="str">
        <f ca="1">IFERROR(__xludf.DUMMYFUNCTION("""COMPUTED_VALUE"""),"")</f>
        <v/>
      </c>
      <c r="D24153" s="12" t="str">
        <f ca="1">IFERROR(__xludf.DUMMYFUNCTION("""COMPUTED_VALUE"""),"")</f>
        <v/>
      </c>
    </row>
    <row r="24154" spans="2:4" ht="13">
      <c r="B24154" s="12" t="str">
        <f ca="1">IFERROR(__xludf.DUMMYFUNCTION("""COMPUTED_VALUE"""),"")</f>
        <v/>
      </c>
      <c r="C24154" s="12" t="str">
        <f ca="1">IFERROR(__xludf.DUMMYFUNCTION("""COMPUTED_VALUE"""),"")</f>
        <v/>
      </c>
      <c r="D24154" s="12" t="str">
        <f ca="1">IFERROR(__xludf.DUMMYFUNCTION("""COMPUTED_VALUE"""),"")</f>
        <v/>
      </c>
    </row>
    <row r="24155" spans="2:4" ht="13">
      <c r="B24155" s="12" t="str">
        <f ca="1">IFERROR(__xludf.DUMMYFUNCTION("""COMPUTED_VALUE"""),"")</f>
        <v/>
      </c>
      <c r="C24155" s="12" t="str">
        <f ca="1">IFERROR(__xludf.DUMMYFUNCTION("""COMPUTED_VALUE"""),"")</f>
        <v/>
      </c>
      <c r="D24155" s="12" t="str">
        <f ca="1">IFERROR(__xludf.DUMMYFUNCTION("""COMPUTED_VALUE"""),"")</f>
        <v/>
      </c>
    </row>
    <row r="24156" spans="2:4" ht="13">
      <c r="B24156" s="12" t="str">
        <f ca="1">IFERROR(__xludf.DUMMYFUNCTION("""COMPUTED_VALUE"""),"")</f>
        <v/>
      </c>
      <c r="C24156" s="12" t="str">
        <f ca="1">IFERROR(__xludf.DUMMYFUNCTION("""COMPUTED_VALUE"""),"")</f>
        <v/>
      </c>
      <c r="D24156" s="12" t="str">
        <f ca="1">IFERROR(__xludf.DUMMYFUNCTION("""COMPUTED_VALUE"""),"")</f>
        <v/>
      </c>
    </row>
    <row r="24157" spans="2:4" ht="13">
      <c r="B24157" s="12" t="str">
        <f ca="1">IFERROR(__xludf.DUMMYFUNCTION("""COMPUTED_VALUE"""),"")</f>
        <v/>
      </c>
      <c r="C24157" s="12" t="str">
        <f ca="1">IFERROR(__xludf.DUMMYFUNCTION("""COMPUTED_VALUE"""),"")</f>
        <v/>
      </c>
      <c r="D24157" s="12" t="str">
        <f ca="1">IFERROR(__xludf.DUMMYFUNCTION("""COMPUTED_VALUE"""),"")</f>
        <v/>
      </c>
    </row>
    <row r="24158" spans="2:4" ht="13">
      <c r="B24158" s="12" t="str">
        <f ca="1">IFERROR(__xludf.DUMMYFUNCTION("""COMPUTED_VALUE"""),"")</f>
        <v/>
      </c>
      <c r="C24158" s="12" t="str">
        <f ca="1">IFERROR(__xludf.DUMMYFUNCTION("""COMPUTED_VALUE"""),"")</f>
        <v/>
      </c>
      <c r="D24158" s="12" t="str">
        <f ca="1">IFERROR(__xludf.DUMMYFUNCTION("""COMPUTED_VALUE"""),"")</f>
        <v/>
      </c>
    </row>
    <row r="24159" spans="2:4" ht="13">
      <c r="B24159" s="12" t="str">
        <f ca="1">IFERROR(__xludf.DUMMYFUNCTION("""COMPUTED_VALUE"""),"")</f>
        <v/>
      </c>
      <c r="C24159" s="12" t="str">
        <f ca="1">IFERROR(__xludf.DUMMYFUNCTION("""COMPUTED_VALUE"""),"")</f>
        <v/>
      </c>
      <c r="D24159" s="12" t="str">
        <f ca="1">IFERROR(__xludf.DUMMYFUNCTION("""COMPUTED_VALUE"""),"")</f>
        <v/>
      </c>
    </row>
    <row r="24160" spans="2:4" ht="13">
      <c r="B24160" s="12" t="str">
        <f ca="1">IFERROR(__xludf.DUMMYFUNCTION("""COMPUTED_VALUE"""),"")</f>
        <v/>
      </c>
      <c r="C24160" s="12" t="str">
        <f ca="1">IFERROR(__xludf.DUMMYFUNCTION("""COMPUTED_VALUE"""),"")</f>
        <v/>
      </c>
      <c r="D24160" s="12" t="str">
        <f ca="1">IFERROR(__xludf.DUMMYFUNCTION("""COMPUTED_VALUE"""),"")</f>
        <v/>
      </c>
    </row>
    <row r="24161" spans="2:4" ht="13">
      <c r="B24161" s="12" t="str">
        <f ca="1">IFERROR(__xludf.DUMMYFUNCTION("""COMPUTED_VALUE"""),"")</f>
        <v/>
      </c>
      <c r="C24161" s="12" t="str">
        <f ca="1">IFERROR(__xludf.DUMMYFUNCTION("""COMPUTED_VALUE"""),"")</f>
        <v/>
      </c>
      <c r="D24161" s="12" t="str">
        <f ca="1">IFERROR(__xludf.DUMMYFUNCTION("""COMPUTED_VALUE"""),"")</f>
        <v/>
      </c>
    </row>
    <row r="24162" spans="2:4" ht="13">
      <c r="B24162" s="12" t="str">
        <f ca="1">IFERROR(__xludf.DUMMYFUNCTION("""COMPUTED_VALUE"""),"")</f>
        <v/>
      </c>
      <c r="C24162" s="12" t="str">
        <f ca="1">IFERROR(__xludf.DUMMYFUNCTION("""COMPUTED_VALUE"""),"")</f>
        <v/>
      </c>
      <c r="D24162" s="12" t="str">
        <f ca="1">IFERROR(__xludf.DUMMYFUNCTION("""COMPUTED_VALUE"""),"")</f>
        <v/>
      </c>
    </row>
    <row r="24163" spans="2:4" ht="13">
      <c r="B24163" s="12" t="str">
        <f ca="1">IFERROR(__xludf.DUMMYFUNCTION("""COMPUTED_VALUE"""),"")</f>
        <v/>
      </c>
      <c r="C24163" s="12" t="str">
        <f ca="1">IFERROR(__xludf.DUMMYFUNCTION("""COMPUTED_VALUE"""),"")</f>
        <v/>
      </c>
      <c r="D24163" s="12" t="str">
        <f ca="1">IFERROR(__xludf.DUMMYFUNCTION("""COMPUTED_VALUE"""),"")</f>
        <v/>
      </c>
    </row>
    <row r="24164" spans="2:4" ht="13">
      <c r="B24164" s="12" t="str">
        <f ca="1">IFERROR(__xludf.DUMMYFUNCTION("""COMPUTED_VALUE"""),"")</f>
        <v/>
      </c>
      <c r="C24164" s="12" t="str">
        <f ca="1">IFERROR(__xludf.DUMMYFUNCTION("""COMPUTED_VALUE"""),"")</f>
        <v/>
      </c>
      <c r="D24164" s="12" t="str">
        <f ca="1">IFERROR(__xludf.DUMMYFUNCTION("""COMPUTED_VALUE"""),"")</f>
        <v/>
      </c>
    </row>
    <row r="24165" spans="2:4" ht="13">
      <c r="B24165" s="12" t="str">
        <f ca="1">IFERROR(__xludf.DUMMYFUNCTION("""COMPUTED_VALUE"""),"")</f>
        <v/>
      </c>
      <c r="C24165" s="12" t="str">
        <f ca="1">IFERROR(__xludf.DUMMYFUNCTION("""COMPUTED_VALUE"""),"")</f>
        <v/>
      </c>
      <c r="D24165" s="12" t="str">
        <f ca="1">IFERROR(__xludf.DUMMYFUNCTION("""COMPUTED_VALUE"""),"")</f>
        <v/>
      </c>
    </row>
    <row r="24166" spans="2:4" ht="13">
      <c r="B24166" s="12" t="str">
        <f ca="1">IFERROR(__xludf.DUMMYFUNCTION("""COMPUTED_VALUE"""),"")</f>
        <v/>
      </c>
      <c r="C24166" s="12" t="str">
        <f ca="1">IFERROR(__xludf.DUMMYFUNCTION("""COMPUTED_VALUE"""),"")</f>
        <v/>
      </c>
      <c r="D24166" s="12" t="str">
        <f ca="1">IFERROR(__xludf.DUMMYFUNCTION("""COMPUTED_VALUE"""),"")</f>
        <v/>
      </c>
    </row>
    <row r="24167" spans="2:4" ht="13">
      <c r="B24167" s="12" t="str">
        <f ca="1">IFERROR(__xludf.DUMMYFUNCTION("""COMPUTED_VALUE"""),"")</f>
        <v/>
      </c>
      <c r="C24167" s="12" t="str">
        <f ca="1">IFERROR(__xludf.DUMMYFUNCTION("""COMPUTED_VALUE"""),"")</f>
        <v/>
      </c>
      <c r="D24167" s="12" t="str">
        <f ca="1">IFERROR(__xludf.DUMMYFUNCTION("""COMPUTED_VALUE"""),"")</f>
        <v/>
      </c>
    </row>
    <row r="24168" spans="2:4" ht="13">
      <c r="B24168" s="12" t="str">
        <f ca="1">IFERROR(__xludf.DUMMYFUNCTION("""COMPUTED_VALUE"""),"")</f>
        <v/>
      </c>
      <c r="C24168" s="12" t="str">
        <f ca="1">IFERROR(__xludf.DUMMYFUNCTION("""COMPUTED_VALUE"""),"")</f>
        <v/>
      </c>
      <c r="D24168" s="12" t="str">
        <f ca="1">IFERROR(__xludf.DUMMYFUNCTION("""COMPUTED_VALUE"""),"")</f>
        <v/>
      </c>
    </row>
    <row r="24169" spans="2:4" ht="13">
      <c r="B24169" s="12" t="str">
        <f ca="1">IFERROR(__xludf.DUMMYFUNCTION("""COMPUTED_VALUE"""),"")</f>
        <v/>
      </c>
      <c r="C24169" s="12" t="str">
        <f ca="1">IFERROR(__xludf.DUMMYFUNCTION("""COMPUTED_VALUE"""),"")</f>
        <v/>
      </c>
      <c r="D24169" s="12" t="str">
        <f ca="1">IFERROR(__xludf.DUMMYFUNCTION("""COMPUTED_VALUE"""),"")</f>
        <v/>
      </c>
    </row>
    <row r="24170" spans="2:4" ht="13">
      <c r="B24170" s="12" t="str">
        <f ca="1">IFERROR(__xludf.DUMMYFUNCTION("""COMPUTED_VALUE"""),"")</f>
        <v/>
      </c>
      <c r="C24170" s="12" t="str">
        <f ca="1">IFERROR(__xludf.DUMMYFUNCTION("""COMPUTED_VALUE"""),"")</f>
        <v/>
      </c>
      <c r="D24170" s="12" t="str">
        <f ca="1">IFERROR(__xludf.DUMMYFUNCTION("""COMPUTED_VALUE"""),"")</f>
        <v/>
      </c>
    </row>
    <row r="24171" spans="2:4" ht="13">
      <c r="B24171" s="12" t="str">
        <f ca="1">IFERROR(__xludf.DUMMYFUNCTION("""COMPUTED_VALUE"""),"")</f>
        <v/>
      </c>
      <c r="C24171" s="12" t="str">
        <f ca="1">IFERROR(__xludf.DUMMYFUNCTION("""COMPUTED_VALUE"""),"")</f>
        <v/>
      </c>
      <c r="D24171" s="12" t="str">
        <f ca="1">IFERROR(__xludf.DUMMYFUNCTION("""COMPUTED_VALUE"""),"")</f>
        <v/>
      </c>
    </row>
    <row r="24172" spans="2:4" ht="13">
      <c r="B24172" s="12" t="str">
        <f ca="1">IFERROR(__xludf.DUMMYFUNCTION("""COMPUTED_VALUE"""),"")</f>
        <v/>
      </c>
      <c r="C24172" s="12" t="str">
        <f ca="1">IFERROR(__xludf.DUMMYFUNCTION("""COMPUTED_VALUE"""),"")</f>
        <v/>
      </c>
      <c r="D24172" s="12" t="str">
        <f ca="1">IFERROR(__xludf.DUMMYFUNCTION("""COMPUTED_VALUE"""),"")</f>
        <v/>
      </c>
    </row>
    <row r="24173" spans="2:4" ht="13">
      <c r="B24173" s="12" t="str">
        <f ca="1">IFERROR(__xludf.DUMMYFUNCTION("""COMPUTED_VALUE"""),"")</f>
        <v/>
      </c>
      <c r="C24173" s="12" t="str">
        <f ca="1">IFERROR(__xludf.DUMMYFUNCTION("""COMPUTED_VALUE"""),"")</f>
        <v/>
      </c>
      <c r="D24173" s="12" t="str">
        <f ca="1">IFERROR(__xludf.DUMMYFUNCTION("""COMPUTED_VALUE"""),"")</f>
        <v/>
      </c>
    </row>
    <row r="24174" spans="2:4" ht="13">
      <c r="B24174" s="12" t="str">
        <f ca="1">IFERROR(__xludf.DUMMYFUNCTION("""COMPUTED_VALUE"""),"")</f>
        <v/>
      </c>
      <c r="C24174" s="12" t="str">
        <f ca="1">IFERROR(__xludf.DUMMYFUNCTION("""COMPUTED_VALUE"""),"")</f>
        <v/>
      </c>
      <c r="D24174" s="12" t="str">
        <f ca="1">IFERROR(__xludf.DUMMYFUNCTION("""COMPUTED_VALUE"""),"")</f>
        <v/>
      </c>
    </row>
    <row r="24175" spans="2:4" ht="13">
      <c r="B24175" s="12" t="str">
        <f ca="1">IFERROR(__xludf.DUMMYFUNCTION("""COMPUTED_VALUE"""),"")</f>
        <v/>
      </c>
      <c r="C24175" s="12" t="str">
        <f ca="1">IFERROR(__xludf.DUMMYFUNCTION("""COMPUTED_VALUE"""),"")</f>
        <v/>
      </c>
      <c r="D24175" s="12" t="str">
        <f ca="1">IFERROR(__xludf.DUMMYFUNCTION("""COMPUTED_VALUE"""),"")</f>
        <v/>
      </c>
    </row>
    <row r="24176" spans="2:4" ht="13">
      <c r="B24176" s="12" t="str">
        <f ca="1">IFERROR(__xludf.DUMMYFUNCTION("""COMPUTED_VALUE"""),"")</f>
        <v/>
      </c>
      <c r="C24176" s="12" t="str">
        <f ca="1">IFERROR(__xludf.DUMMYFUNCTION("""COMPUTED_VALUE"""),"")</f>
        <v/>
      </c>
      <c r="D24176" s="12" t="str">
        <f ca="1">IFERROR(__xludf.DUMMYFUNCTION("""COMPUTED_VALUE"""),"")</f>
        <v/>
      </c>
    </row>
    <row r="24177" spans="2:4" ht="13">
      <c r="B24177" s="12" t="str">
        <f ca="1">IFERROR(__xludf.DUMMYFUNCTION("""COMPUTED_VALUE"""),"")</f>
        <v/>
      </c>
      <c r="C24177" s="12" t="str">
        <f ca="1">IFERROR(__xludf.DUMMYFUNCTION("""COMPUTED_VALUE"""),"")</f>
        <v/>
      </c>
      <c r="D24177" s="12" t="str">
        <f ca="1">IFERROR(__xludf.DUMMYFUNCTION("""COMPUTED_VALUE"""),"")</f>
        <v/>
      </c>
    </row>
    <row r="24178" spans="2:4" ht="13">
      <c r="B24178" s="12" t="str">
        <f ca="1">IFERROR(__xludf.DUMMYFUNCTION("""COMPUTED_VALUE"""),"")</f>
        <v/>
      </c>
      <c r="C24178" s="12" t="str">
        <f ca="1">IFERROR(__xludf.DUMMYFUNCTION("""COMPUTED_VALUE"""),"")</f>
        <v/>
      </c>
      <c r="D24178" s="12" t="str">
        <f ca="1">IFERROR(__xludf.DUMMYFUNCTION("""COMPUTED_VALUE"""),"")</f>
        <v/>
      </c>
    </row>
    <row r="24179" spans="2:4" ht="13">
      <c r="B24179" s="12" t="str">
        <f ca="1">IFERROR(__xludf.DUMMYFUNCTION("""COMPUTED_VALUE"""),"")</f>
        <v/>
      </c>
      <c r="C24179" s="12" t="str">
        <f ca="1">IFERROR(__xludf.DUMMYFUNCTION("""COMPUTED_VALUE"""),"")</f>
        <v/>
      </c>
      <c r="D24179" s="12" t="str">
        <f ca="1">IFERROR(__xludf.DUMMYFUNCTION("""COMPUTED_VALUE"""),"")</f>
        <v/>
      </c>
    </row>
    <row r="24180" spans="2:4" ht="13">
      <c r="B24180" s="12" t="str">
        <f ca="1">IFERROR(__xludf.DUMMYFUNCTION("""COMPUTED_VALUE"""),"")</f>
        <v/>
      </c>
      <c r="C24180" s="12" t="str">
        <f ca="1">IFERROR(__xludf.DUMMYFUNCTION("""COMPUTED_VALUE"""),"")</f>
        <v/>
      </c>
      <c r="D24180" s="12" t="str">
        <f ca="1">IFERROR(__xludf.DUMMYFUNCTION("""COMPUTED_VALUE"""),"")</f>
        <v/>
      </c>
    </row>
    <row r="24181" spans="2:4" ht="13">
      <c r="B24181" s="12" t="str">
        <f ca="1">IFERROR(__xludf.DUMMYFUNCTION("""COMPUTED_VALUE"""),"")</f>
        <v/>
      </c>
      <c r="C24181" s="12" t="str">
        <f ca="1">IFERROR(__xludf.DUMMYFUNCTION("""COMPUTED_VALUE"""),"")</f>
        <v/>
      </c>
      <c r="D24181" s="12" t="str">
        <f ca="1">IFERROR(__xludf.DUMMYFUNCTION("""COMPUTED_VALUE"""),"")</f>
        <v/>
      </c>
    </row>
    <row r="24182" spans="2:4" ht="13">
      <c r="B24182" s="12" t="str">
        <f ca="1">IFERROR(__xludf.DUMMYFUNCTION("""COMPUTED_VALUE"""),"")</f>
        <v/>
      </c>
      <c r="C24182" s="12" t="str">
        <f ca="1">IFERROR(__xludf.DUMMYFUNCTION("""COMPUTED_VALUE"""),"")</f>
        <v/>
      </c>
      <c r="D24182" s="12" t="str">
        <f ca="1">IFERROR(__xludf.DUMMYFUNCTION("""COMPUTED_VALUE"""),"")</f>
        <v/>
      </c>
    </row>
    <row r="24183" spans="2:4" ht="13">
      <c r="B24183" s="12" t="str">
        <f ca="1">IFERROR(__xludf.DUMMYFUNCTION("""COMPUTED_VALUE"""),"")</f>
        <v/>
      </c>
      <c r="C24183" s="12" t="str">
        <f ca="1">IFERROR(__xludf.DUMMYFUNCTION("""COMPUTED_VALUE"""),"")</f>
        <v/>
      </c>
      <c r="D24183" s="12" t="str">
        <f ca="1">IFERROR(__xludf.DUMMYFUNCTION("""COMPUTED_VALUE"""),"")</f>
        <v/>
      </c>
    </row>
    <row r="24184" spans="2:4" ht="13">
      <c r="B24184" s="12" t="str">
        <f ca="1">IFERROR(__xludf.DUMMYFUNCTION("""COMPUTED_VALUE"""),"")</f>
        <v/>
      </c>
      <c r="C24184" s="12" t="str">
        <f ca="1">IFERROR(__xludf.DUMMYFUNCTION("""COMPUTED_VALUE"""),"")</f>
        <v/>
      </c>
      <c r="D24184" s="12" t="str">
        <f ca="1">IFERROR(__xludf.DUMMYFUNCTION("""COMPUTED_VALUE"""),"")</f>
        <v/>
      </c>
    </row>
    <row r="24185" spans="2:4" ht="13">
      <c r="B24185" s="12" t="str">
        <f ca="1">IFERROR(__xludf.DUMMYFUNCTION("""COMPUTED_VALUE"""),"")</f>
        <v/>
      </c>
      <c r="C24185" s="12" t="str">
        <f ca="1">IFERROR(__xludf.DUMMYFUNCTION("""COMPUTED_VALUE"""),"")</f>
        <v/>
      </c>
      <c r="D24185" s="12" t="str">
        <f ca="1">IFERROR(__xludf.DUMMYFUNCTION("""COMPUTED_VALUE"""),"")</f>
        <v/>
      </c>
    </row>
    <row r="24186" spans="2:4" ht="13">
      <c r="B24186" s="12" t="str">
        <f ca="1">IFERROR(__xludf.DUMMYFUNCTION("""COMPUTED_VALUE"""),"")</f>
        <v/>
      </c>
      <c r="C24186" s="12" t="str">
        <f ca="1">IFERROR(__xludf.DUMMYFUNCTION("""COMPUTED_VALUE"""),"")</f>
        <v/>
      </c>
      <c r="D24186" s="12" t="str">
        <f ca="1">IFERROR(__xludf.DUMMYFUNCTION("""COMPUTED_VALUE"""),"")</f>
        <v/>
      </c>
    </row>
    <row r="24187" spans="2:4" ht="13">
      <c r="B24187" s="12" t="str">
        <f ca="1">IFERROR(__xludf.DUMMYFUNCTION("""COMPUTED_VALUE"""),"")</f>
        <v/>
      </c>
      <c r="C24187" s="12" t="str">
        <f ca="1">IFERROR(__xludf.DUMMYFUNCTION("""COMPUTED_VALUE"""),"")</f>
        <v/>
      </c>
      <c r="D24187" s="12" t="str">
        <f ca="1">IFERROR(__xludf.DUMMYFUNCTION("""COMPUTED_VALUE"""),"")</f>
        <v/>
      </c>
    </row>
    <row r="24188" spans="2:4" ht="13">
      <c r="B24188" s="12" t="str">
        <f ca="1">IFERROR(__xludf.DUMMYFUNCTION("""COMPUTED_VALUE"""),"")</f>
        <v/>
      </c>
      <c r="C24188" s="12" t="str">
        <f ca="1">IFERROR(__xludf.DUMMYFUNCTION("""COMPUTED_VALUE"""),"")</f>
        <v/>
      </c>
      <c r="D24188" s="12" t="str">
        <f ca="1">IFERROR(__xludf.DUMMYFUNCTION("""COMPUTED_VALUE"""),"")</f>
        <v/>
      </c>
    </row>
    <row r="24189" spans="2:4" ht="13">
      <c r="B24189" s="12" t="str">
        <f ca="1">IFERROR(__xludf.DUMMYFUNCTION("""COMPUTED_VALUE"""),"")</f>
        <v/>
      </c>
      <c r="C24189" s="12" t="str">
        <f ca="1">IFERROR(__xludf.DUMMYFUNCTION("""COMPUTED_VALUE"""),"")</f>
        <v/>
      </c>
      <c r="D24189" s="12" t="str">
        <f ca="1">IFERROR(__xludf.DUMMYFUNCTION("""COMPUTED_VALUE"""),"")</f>
        <v/>
      </c>
    </row>
    <row r="24190" spans="2:4" ht="13">
      <c r="B24190" s="12" t="str">
        <f ca="1">IFERROR(__xludf.DUMMYFUNCTION("""COMPUTED_VALUE"""),"")</f>
        <v/>
      </c>
      <c r="C24190" s="12" t="str">
        <f ca="1">IFERROR(__xludf.DUMMYFUNCTION("""COMPUTED_VALUE"""),"")</f>
        <v/>
      </c>
      <c r="D24190" s="12" t="str">
        <f ca="1">IFERROR(__xludf.DUMMYFUNCTION("""COMPUTED_VALUE"""),"")</f>
        <v/>
      </c>
    </row>
    <row r="24191" spans="2:4" ht="13">
      <c r="B24191" s="12" t="str">
        <f ca="1">IFERROR(__xludf.DUMMYFUNCTION("""COMPUTED_VALUE"""),"")</f>
        <v/>
      </c>
      <c r="C24191" s="12" t="str">
        <f ca="1">IFERROR(__xludf.DUMMYFUNCTION("""COMPUTED_VALUE"""),"")</f>
        <v/>
      </c>
      <c r="D24191" s="12" t="str">
        <f ca="1">IFERROR(__xludf.DUMMYFUNCTION("""COMPUTED_VALUE"""),"")</f>
        <v/>
      </c>
    </row>
    <row r="24192" spans="2:4" ht="13">
      <c r="B24192" s="12" t="str">
        <f ca="1">IFERROR(__xludf.DUMMYFUNCTION("""COMPUTED_VALUE"""),"")</f>
        <v/>
      </c>
      <c r="C24192" s="12" t="str">
        <f ca="1">IFERROR(__xludf.DUMMYFUNCTION("""COMPUTED_VALUE"""),"")</f>
        <v/>
      </c>
      <c r="D24192" s="12" t="str">
        <f ca="1">IFERROR(__xludf.DUMMYFUNCTION("""COMPUTED_VALUE"""),"")</f>
        <v/>
      </c>
    </row>
    <row r="24193" spans="2:4" ht="13">
      <c r="B24193" s="12" t="str">
        <f ca="1">IFERROR(__xludf.DUMMYFUNCTION("""COMPUTED_VALUE"""),"")</f>
        <v/>
      </c>
      <c r="C24193" s="12" t="str">
        <f ca="1">IFERROR(__xludf.DUMMYFUNCTION("""COMPUTED_VALUE"""),"")</f>
        <v/>
      </c>
      <c r="D24193" s="12" t="str">
        <f ca="1">IFERROR(__xludf.DUMMYFUNCTION("""COMPUTED_VALUE"""),"")</f>
        <v/>
      </c>
    </row>
    <row r="24194" spans="2:4" ht="13">
      <c r="B24194" s="12" t="str">
        <f ca="1">IFERROR(__xludf.DUMMYFUNCTION("""COMPUTED_VALUE"""),"")</f>
        <v/>
      </c>
      <c r="C24194" s="12" t="str">
        <f ca="1">IFERROR(__xludf.DUMMYFUNCTION("""COMPUTED_VALUE"""),"")</f>
        <v/>
      </c>
      <c r="D24194" s="12" t="str">
        <f ca="1">IFERROR(__xludf.DUMMYFUNCTION("""COMPUTED_VALUE"""),"")</f>
        <v/>
      </c>
    </row>
    <row r="24195" spans="2:4" ht="13">
      <c r="B24195" s="12" t="str">
        <f ca="1">IFERROR(__xludf.DUMMYFUNCTION("""COMPUTED_VALUE"""),"")</f>
        <v/>
      </c>
      <c r="C24195" s="12" t="str">
        <f ca="1">IFERROR(__xludf.DUMMYFUNCTION("""COMPUTED_VALUE"""),"")</f>
        <v/>
      </c>
      <c r="D24195" s="12" t="str">
        <f ca="1">IFERROR(__xludf.DUMMYFUNCTION("""COMPUTED_VALUE"""),"")</f>
        <v/>
      </c>
    </row>
    <row r="24196" spans="2:4" ht="13">
      <c r="B24196" s="12" t="str">
        <f ca="1">IFERROR(__xludf.DUMMYFUNCTION("""COMPUTED_VALUE"""),"")</f>
        <v/>
      </c>
      <c r="C24196" s="12" t="str">
        <f ca="1">IFERROR(__xludf.DUMMYFUNCTION("""COMPUTED_VALUE"""),"")</f>
        <v/>
      </c>
      <c r="D24196" s="12" t="str">
        <f ca="1">IFERROR(__xludf.DUMMYFUNCTION("""COMPUTED_VALUE"""),"")</f>
        <v/>
      </c>
    </row>
    <row r="24197" spans="2:4" ht="13">
      <c r="B24197" s="12" t="str">
        <f ca="1">IFERROR(__xludf.DUMMYFUNCTION("""COMPUTED_VALUE"""),"")</f>
        <v/>
      </c>
      <c r="C24197" s="12" t="str">
        <f ca="1">IFERROR(__xludf.DUMMYFUNCTION("""COMPUTED_VALUE"""),"")</f>
        <v/>
      </c>
      <c r="D24197" s="12" t="str">
        <f ca="1">IFERROR(__xludf.DUMMYFUNCTION("""COMPUTED_VALUE"""),"")</f>
        <v/>
      </c>
    </row>
    <row r="24198" spans="2:4" ht="13">
      <c r="B24198" s="12" t="str">
        <f ca="1">IFERROR(__xludf.DUMMYFUNCTION("""COMPUTED_VALUE"""),"")</f>
        <v/>
      </c>
      <c r="C24198" s="12" t="str">
        <f ca="1">IFERROR(__xludf.DUMMYFUNCTION("""COMPUTED_VALUE"""),"")</f>
        <v/>
      </c>
      <c r="D24198" s="12" t="str">
        <f ca="1">IFERROR(__xludf.DUMMYFUNCTION("""COMPUTED_VALUE"""),"")</f>
        <v/>
      </c>
    </row>
    <row r="24199" spans="2:4" ht="13">
      <c r="B24199" s="12" t="str">
        <f ca="1">IFERROR(__xludf.DUMMYFUNCTION("""COMPUTED_VALUE"""),"")</f>
        <v/>
      </c>
      <c r="C24199" s="12" t="str">
        <f ca="1">IFERROR(__xludf.DUMMYFUNCTION("""COMPUTED_VALUE"""),"")</f>
        <v/>
      </c>
      <c r="D24199" s="12" t="str">
        <f ca="1">IFERROR(__xludf.DUMMYFUNCTION("""COMPUTED_VALUE"""),"")</f>
        <v/>
      </c>
    </row>
    <row r="24200" spans="2:4" ht="13">
      <c r="B24200" s="12" t="str">
        <f ca="1">IFERROR(__xludf.DUMMYFUNCTION("""COMPUTED_VALUE"""),"")</f>
        <v/>
      </c>
      <c r="C24200" s="12" t="str">
        <f ca="1">IFERROR(__xludf.DUMMYFUNCTION("""COMPUTED_VALUE"""),"")</f>
        <v/>
      </c>
      <c r="D24200" s="12" t="str">
        <f ca="1">IFERROR(__xludf.DUMMYFUNCTION("""COMPUTED_VALUE"""),"")</f>
        <v/>
      </c>
    </row>
    <row r="24201" spans="2:4" ht="13">
      <c r="B24201" s="12" t="str">
        <f ca="1">IFERROR(__xludf.DUMMYFUNCTION("""COMPUTED_VALUE"""),"")</f>
        <v/>
      </c>
      <c r="C24201" s="12" t="str">
        <f ca="1">IFERROR(__xludf.DUMMYFUNCTION("""COMPUTED_VALUE"""),"")</f>
        <v/>
      </c>
      <c r="D24201" s="12" t="str">
        <f ca="1">IFERROR(__xludf.DUMMYFUNCTION("""COMPUTED_VALUE"""),"")</f>
        <v/>
      </c>
    </row>
    <row r="24202" spans="2:4" ht="13">
      <c r="B24202" s="12" t="str">
        <f ca="1">IFERROR(__xludf.DUMMYFUNCTION("""COMPUTED_VALUE"""),"")</f>
        <v/>
      </c>
      <c r="C24202" s="12" t="str">
        <f ca="1">IFERROR(__xludf.DUMMYFUNCTION("""COMPUTED_VALUE"""),"")</f>
        <v/>
      </c>
      <c r="D24202" s="12" t="str">
        <f ca="1">IFERROR(__xludf.DUMMYFUNCTION("""COMPUTED_VALUE"""),"")</f>
        <v/>
      </c>
    </row>
    <row r="24203" spans="2:4" ht="13">
      <c r="B24203" s="12" t="str">
        <f ca="1">IFERROR(__xludf.DUMMYFUNCTION("""COMPUTED_VALUE"""),"")</f>
        <v/>
      </c>
      <c r="C24203" s="12" t="str">
        <f ca="1">IFERROR(__xludf.DUMMYFUNCTION("""COMPUTED_VALUE"""),"")</f>
        <v/>
      </c>
      <c r="D24203" s="12" t="str">
        <f ca="1">IFERROR(__xludf.DUMMYFUNCTION("""COMPUTED_VALUE"""),"")</f>
        <v/>
      </c>
    </row>
    <row r="24204" spans="2:4" ht="13">
      <c r="B24204" s="12" t="str">
        <f ca="1">IFERROR(__xludf.DUMMYFUNCTION("""COMPUTED_VALUE"""),"")</f>
        <v/>
      </c>
      <c r="C24204" s="12" t="str">
        <f ca="1">IFERROR(__xludf.DUMMYFUNCTION("""COMPUTED_VALUE"""),"")</f>
        <v/>
      </c>
      <c r="D24204" s="12" t="str">
        <f ca="1">IFERROR(__xludf.DUMMYFUNCTION("""COMPUTED_VALUE"""),"")</f>
        <v/>
      </c>
    </row>
    <row r="24205" spans="2:4" ht="13">
      <c r="B24205" s="12" t="str">
        <f ca="1">IFERROR(__xludf.DUMMYFUNCTION("""COMPUTED_VALUE"""),"")</f>
        <v/>
      </c>
      <c r="C24205" s="12" t="str">
        <f ca="1">IFERROR(__xludf.DUMMYFUNCTION("""COMPUTED_VALUE"""),"")</f>
        <v/>
      </c>
      <c r="D24205" s="12" t="str">
        <f ca="1">IFERROR(__xludf.DUMMYFUNCTION("""COMPUTED_VALUE"""),"")</f>
        <v/>
      </c>
    </row>
    <row r="24206" spans="2:4" ht="13">
      <c r="B24206" s="12" t="str">
        <f ca="1">IFERROR(__xludf.DUMMYFUNCTION("""COMPUTED_VALUE"""),"")</f>
        <v/>
      </c>
      <c r="C24206" s="12" t="str">
        <f ca="1">IFERROR(__xludf.DUMMYFUNCTION("""COMPUTED_VALUE"""),"")</f>
        <v/>
      </c>
      <c r="D24206" s="12" t="str">
        <f ca="1">IFERROR(__xludf.DUMMYFUNCTION("""COMPUTED_VALUE"""),"")</f>
        <v/>
      </c>
    </row>
    <row r="24207" spans="2:4" ht="13">
      <c r="B24207" s="12" t="str">
        <f ca="1">IFERROR(__xludf.DUMMYFUNCTION("""COMPUTED_VALUE"""),"")</f>
        <v/>
      </c>
      <c r="C24207" s="12" t="str">
        <f ca="1">IFERROR(__xludf.DUMMYFUNCTION("""COMPUTED_VALUE"""),"")</f>
        <v/>
      </c>
      <c r="D24207" s="12" t="str">
        <f ca="1">IFERROR(__xludf.DUMMYFUNCTION("""COMPUTED_VALUE"""),"")</f>
        <v/>
      </c>
    </row>
    <row r="24208" spans="2:4" ht="13">
      <c r="B24208" s="12" t="str">
        <f ca="1">IFERROR(__xludf.DUMMYFUNCTION("""COMPUTED_VALUE"""),"")</f>
        <v/>
      </c>
      <c r="C24208" s="12" t="str">
        <f ca="1">IFERROR(__xludf.DUMMYFUNCTION("""COMPUTED_VALUE"""),"")</f>
        <v/>
      </c>
      <c r="D24208" s="12" t="str">
        <f ca="1">IFERROR(__xludf.DUMMYFUNCTION("""COMPUTED_VALUE"""),"")</f>
        <v/>
      </c>
    </row>
    <row r="24209" spans="2:4" ht="13">
      <c r="B24209" s="12" t="str">
        <f ca="1">IFERROR(__xludf.DUMMYFUNCTION("""COMPUTED_VALUE"""),"")</f>
        <v/>
      </c>
      <c r="C24209" s="12" t="str">
        <f ca="1">IFERROR(__xludf.DUMMYFUNCTION("""COMPUTED_VALUE"""),"")</f>
        <v/>
      </c>
      <c r="D24209" s="12" t="str">
        <f ca="1">IFERROR(__xludf.DUMMYFUNCTION("""COMPUTED_VALUE"""),"")</f>
        <v/>
      </c>
    </row>
    <row r="24210" spans="2:4" ht="13">
      <c r="B24210" s="12" t="str">
        <f ca="1">IFERROR(__xludf.DUMMYFUNCTION("""COMPUTED_VALUE"""),"")</f>
        <v/>
      </c>
      <c r="C24210" s="12" t="str">
        <f ca="1">IFERROR(__xludf.DUMMYFUNCTION("""COMPUTED_VALUE"""),"")</f>
        <v/>
      </c>
      <c r="D24210" s="12" t="str">
        <f ca="1">IFERROR(__xludf.DUMMYFUNCTION("""COMPUTED_VALUE"""),"")</f>
        <v/>
      </c>
    </row>
    <row r="24211" spans="2:4" ht="13">
      <c r="B24211" s="12" t="str">
        <f ca="1">IFERROR(__xludf.DUMMYFUNCTION("""COMPUTED_VALUE"""),"")</f>
        <v/>
      </c>
      <c r="C24211" s="12" t="str">
        <f ca="1">IFERROR(__xludf.DUMMYFUNCTION("""COMPUTED_VALUE"""),"")</f>
        <v/>
      </c>
      <c r="D24211" s="12" t="str">
        <f ca="1">IFERROR(__xludf.DUMMYFUNCTION("""COMPUTED_VALUE"""),"")</f>
        <v/>
      </c>
    </row>
    <row r="24212" spans="2:4" ht="13">
      <c r="B24212" s="12" t="str">
        <f ca="1">IFERROR(__xludf.DUMMYFUNCTION("""COMPUTED_VALUE"""),"")</f>
        <v/>
      </c>
      <c r="C24212" s="12" t="str">
        <f ca="1">IFERROR(__xludf.DUMMYFUNCTION("""COMPUTED_VALUE"""),"")</f>
        <v/>
      </c>
      <c r="D24212" s="12" t="str">
        <f ca="1">IFERROR(__xludf.DUMMYFUNCTION("""COMPUTED_VALUE"""),"")</f>
        <v/>
      </c>
    </row>
    <row r="24213" spans="2:4" ht="13">
      <c r="B24213" s="12" t="str">
        <f ca="1">IFERROR(__xludf.DUMMYFUNCTION("""COMPUTED_VALUE"""),"")</f>
        <v/>
      </c>
      <c r="C24213" s="12" t="str">
        <f ca="1">IFERROR(__xludf.DUMMYFUNCTION("""COMPUTED_VALUE"""),"")</f>
        <v/>
      </c>
      <c r="D24213" s="12" t="str">
        <f ca="1">IFERROR(__xludf.DUMMYFUNCTION("""COMPUTED_VALUE"""),"")</f>
        <v/>
      </c>
    </row>
    <row r="24214" spans="2:4" ht="13">
      <c r="B24214" s="12" t="str">
        <f ca="1">IFERROR(__xludf.DUMMYFUNCTION("""COMPUTED_VALUE"""),"")</f>
        <v/>
      </c>
      <c r="C24214" s="12" t="str">
        <f ca="1">IFERROR(__xludf.DUMMYFUNCTION("""COMPUTED_VALUE"""),"")</f>
        <v/>
      </c>
      <c r="D24214" s="12" t="str">
        <f ca="1">IFERROR(__xludf.DUMMYFUNCTION("""COMPUTED_VALUE"""),"")</f>
        <v/>
      </c>
    </row>
    <row r="24215" spans="2:4" ht="13">
      <c r="B24215" s="12" t="str">
        <f ca="1">IFERROR(__xludf.DUMMYFUNCTION("""COMPUTED_VALUE"""),"")</f>
        <v/>
      </c>
      <c r="C24215" s="12" t="str">
        <f ca="1">IFERROR(__xludf.DUMMYFUNCTION("""COMPUTED_VALUE"""),"")</f>
        <v/>
      </c>
      <c r="D24215" s="12" t="str">
        <f ca="1">IFERROR(__xludf.DUMMYFUNCTION("""COMPUTED_VALUE"""),"")</f>
        <v/>
      </c>
    </row>
    <row r="24216" spans="2:4" ht="13">
      <c r="B24216" s="12" t="str">
        <f ca="1">IFERROR(__xludf.DUMMYFUNCTION("""COMPUTED_VALUE"""),"")</f>
        <v/>
      </c>
      <c r="C24216" s="12" t="str">
        <f ca="1">IFERROR(__xludf.DUMMYFUNCTION("""COMPUTED_VALUE"""),"")</f>
        <v/>
      </c>
      <c r="D24216" s="12" t="str">
        <f ca="1">IFERROR(__xludf.DUMMYFUNCTION("""COMPUTED_VALUE"""),"")</f>
        <v/>
      </c>
    </row>
    <row r="24217" spans="2:4" ht="13">
      <c r="B24217" s="12" t="str">
        <f ca="1">IFERROR(__xludf.DUMMYFUNCTION("""COMPUTED_VALUE"""),"")</f>
        <v/>
      </c>
      <c r="C24217" s="12" t="str">
        <f ca="1">IFERROR(__xludf.DUMMYFUNCTION("""COMPUTED_VALUE"""),"")</f>
        <v/>
      </c>
      <c r="D24217" s="12" t="str">
        <f ca="1">IFERROR(__xludf.DUMMYFUNCTION("""COMPUTED_VALUE"""),"")</f>
        <v/>
      </c>
    </row>
    <row r="24218" spans="2:4" ht="13">
      <c r="B24218" s="12" t="str">
        <f ca="1">IFERROR(__xludf.DUMMYFUNCTION("""COMPUTED_VALUE"""),"")</f>
        <v/>
      </c>
      <c r="C24218" s="12" t="str">
        <f ca="1">IFERROR(__xludf.DUMMYFUNCTION("""COMPUTED_VALUE"""),"")</f>
        <v/>
      </c>
      <c r="D24218" s="12" t="str">
        <f ca="1">IFERROR(__xludf.DUMMYFUNCTION("""COMPUTED_VALUE"""),"")</f>
        <v/>
      </c>
    </row>
    <row r="24219" spans="2:4" ht="13">
      <c r="B24219" s="12" t="str">
        <f ca="1">IFERROR(__xludf.DUMMYFUNCTION("""COMPUTED_VALUE"""),"")</f>
        <v/>
      </c>
      <c r="C24219" s="12" t="str">
        <f ca="1">IFERROR(__xludf.DUMMYFUNCTION("""COMPUTED_VALUE"""),"")</f>
        <v/>
      </c>
      <c r="D24219" s="12" t="str">
        <f ca="1">IFERROR(__xludf.DUMMYFUNCTION("""COMPUTED_VALUE"""),"")</f>
        <v/>
      </c>
    </row>
    <row r="24220" spans="2:4" ht="13">
      <c r="B24220" s="12" t="str">
        <f ca="1">IFERROR(__xludf.DUMMYFUNCTION("""COMPUTED_VALUE"""),"")</f>
        <v/>
      </c>
      <c r="C24220" s="12" t="str">
        <f ca="1">IFERROR(__xludf.DUMMYFUNCTION("""COMPUTED_VALUE"""),"")</f>
        <v/>
      </c>
      <c r="D24220" s="12" t="str">
        <f ca="1">IFERROR(__xludf.DUMMYFUNCTION("""COMPUTED_VALUE"""),"")</f>
        <v/>
      </c>
    </row>
    <row r="24221" spans="2:4" ht="13">
      <c r="B24221" s="12" t="str">
        <f ca="1">IFERROR(__xludf.DUMMYFUNCTION("""COMPUTED_VALUE"""),"")</f>
        <v/>
      </c>
      <c r="C24221" s="12" t="str">
        <f ca="1">IFERROR(__xludf.DUMMYFUNCTION("""COMPUTED_VALUE"""),"")</f>
        <v/>
      </c>
      <c r="D24221" s="12" t="str">
        <f ca="1">IFERROR(__xludf.DUMMYFUNCTION("""COMPUTED_VALUE"""),"")</f>
        <v/>
      </c>
    </row>
    <row r="24222" spans="2:4" ht="13">
      <c r="B24222" s="12" t="str">
        <f ca="1">IFERROR(__xludf.DUMMYFUNCTION("""COMPUTED_VALUE"""),"")</f>
        <v/>
      </c>
      <c r="C24222" s="12" t="str">
        <f ca="1">IFERROR(__xludf.DUMMYFUNCTION("""COMPUTED_VALUE"""),"")</f>
        <v/>
      </c>
      <c r="D24222" s="12" t="str">
        <f ca="1">IFERROR(__xludf.DUMMYFUNCTION("""COMPUTED_VALUE"""),"")</f>
        <v/>
      </c>
    </row>
    <row r="24223" spans="2:4" ht="13">
      <c r="B24223" s="12" t="str">
        <f ca="1">IFERROR(__xludf.DUMMYFUNCTION("""COMPUTED_VALUE"""),"")</f>
        <v/>
      </c>
      <c r="C24223" s="12" t="str">
        <f ca="1">IFERROR(__xludf.DUMMYFUNCTION("""COMPUTED_VALUE"""),"")</f>
        <v/>
      </c>
      <c r="D24223" s="12" t="str">
        <f ca="1">IFERROR(__xludf.DUMMYFUNCTION("""COMPUTED_VALUE"""),"")</f>
        <v/>
      </c>
    </row>
    <row r="24224" spans="2:4" ht="13">
      <c r="B24224" s="12" t="str">
        <f ca="1">IFERROR(__xludf.DUMMYFUNCTION("""COMPUTED_VALUE"""),"")</f>
        <v/>
      </c>
      <c r="C24224" s="12" t="str">
        <f ca="1">IFERROR(__xludf.DUMMYFUNCTION("""COMPUTED_VALUE"""),"")</f>
        <v/>
      </c>
      <c r="D24224" s="12" t="str">
        <f ca="1">IFERROR(__xludf.DUMMYFUNCTION("""COMPUTED_VALUE"""),"")</f>
        <v/>
      </c>
    </row>
    <row r="24225" spans="2:4" ht="13">
      <c r="B24225" s="12" t="str">
        <f ca="1">IFERROR(__xludf.DUMMYFUNCTION("""COMPUTED_VALUE"""),"")</f>
        <v/>
      </c>
      <c r="C24225" s="12" t="str">
        <f ca="1">IFERROR(__xludf.DUMMYFUNCTION("""COMPUTED_VALUE"""),"")</f>
        <v/>
      </c>
      <c r="D24225" s="12" t="str">
        <f ca="1">IFERROR(__xludf.DUMMYFUNCTION("""COMPUTED_VALUE"""),"")</f>
        <v/>
      </c>
    </row>
    <row r="24226" spans="2:4" ht="13">
      <c r="B24226" s="12" t="str">
        <f ca="1">IFERROR(__xludf.DUMMYFUNCTION("""COMPUTED_VALUE"""),"")</f>
        <v/>
      </c>
      <c r="C24226" s="12" t="str">
        <f ca="1">IFERROR(__xludf.DUMMYFUNCTION("""COMPUTED_VALUE"""),"")</f>
        <v/>
      </c>
      <c r="D24226" s="12" t="str">
        <f ca="1">IFERROR(__xludf.DUMMYFUNCTION("""COMPUTED_VALUE"""),"")</f>
        <v/>
      </c>
    </row>
    <row r="24227" spans="2:4" ht="13">
      <c r="B24227" s="12" t="str">
        <f ca="1">IFERROR(__xludf.DUMMYFUNCTION("""COMPUTED_VALUE"""),"")</f>
        <v/>
      </c>
      <c r="C24227" s="12" t="str">
        <f ca="1">IFERROR(__xludf.DUMMYFUNCTION("""COMPUTED_VALUE"""),"")</f>
        <v/>
      </c>
      <c r="D24227" s="12" t="str">
        <f ca="1">IFERROR(__xludf.DUMMYFUNCTION("""COMPUTED_VALUE"""),"")</f>
        <v/>
      </c>
    </row>
    <row r="24228" spans="2:4" ht="13">
      <c r="B24228" s="12" t="str">
        <f ca="1">IFERROR(__xludf.DUMMYFUNCTION("""COMPUTED_VALUE"""),"")</f>
        <v/>
      </c>
      <c r="C24228" s="12" t="str">
        <f ca="1">IFERROR(__xludf.DUMMYFUNCTION("""COMPUTED_VALUE"""),"")</f>
        <v/>
      </c>
      <c r="D24228" s="12" t="str">
        <f ca="1">IFERROR(__xludf.DUMMYFUNCTION("""COMPUTED_VALUE"""),"")</f>
        <v/>
      </c>
    </row>
    <row r="24229" spans="2:4" ht="13">
      <c r="B24229" s="12" t="str">
        <f ca="1">IFERROR(__xludf.DUMMYFUNCTION("""COMPUTED_VALUE"""),"")</f>
        <v/>
      </c>
      <c r="C24229" s="12" t="str">
        <f ca="1">IFERROR(__xludf.DUMMYFUNCTION("""COMPUTED_VALUE"""),"")</f>
        <v/>
      </c>
      <c r="D24229" s="12" t="str">
        <f ca="1">IFERROR(__xludf.DUMMYFUNCTION("""COMPUTED_VALUE"""),"")</f>
        <v/>
      </c>
    </row>
    <row r="24230" spans="2:4" ht="13">
      <c r="B24230" s="12" t="str">
        <f ca="1">IFERROR(__xludf.DUMMYFUNCTION("""COMPUTED_VALUE"""),"")</f>
        <v/>
      </c>
      <c r="C24230" s="12" t="str">
        <f ca="1">IFERROR(__xludf.DUMMYFUNCTION("""COMPUTED_VALUE"""),"")</f>
        <v/>
      </c>
      <c r="D24230" s="12" t="str">
        <f ca="1">IFERROR(__xludf.DUMMYFUNCTION("""COMPUTED_VALUE"""),"")</f>
        <v/>
      </c>
    </row>
    <row r="24231" spans="2:4" ht="13">
      <c r="B24231" s="12" t="str">
        <f ca="1">IFERROR(__xludf.DUMMYFUNCTION("""COMPUTED_VALUE"""),"")</f>
        <v/>
      </c>
      <c r="C24231" s="12" t="str">
        <f ca="1">IFERROR(__xludf.DUMMYFUNCTION("""COMPUTED_VALUE"""),"")</f>
        <v/>
      </c>
      <c r="D24231" s="12" t="str">
        <f ca="1">IFERROR(__xludf.DUMMYFUNCTION("""COMPUTED_VALUE"""),"")</f>
        <v/>
      </c>
    </row>
    <row r="24232" spans="2:4" ht="13">
      <c r="B24232" s="12" t="str">
        <f ca="1">IFERROR(__xludf.DUMMYFUNCTION("""COMPUTED_VALUE"""),"")</f>
        <v/>
      </c>
      <c r="C24232" s="12" t="str">
        <f ca="1">IFERROR(__xludf.DUMMYFUNCTION("""COMPUTED_VALUE"""),"")</f>
        <v/>
      </c>
      <c r="D24232" s="12" t="str">
        <f ca="1">IFERROR(__xludf.DUMMYFUNCTION("""COMPUTED_VALUE"""),"")</f>
        <v/>
      </c>
    </row>
    <row r="24233" spans="2:4" ht="13">
      <c r="B24233" s="12" t="str">
        <f ca="1">IFERROR(__xludf.DUMMYFUNCTION("""COMPUTED_VALUE"""),"")</f>
        <v/>
      </c>
      <c r="C24233" s="12" t="str">
        <f ca="1">IFERROR(__xludf.DUMMYFUNCTION("""COMPUTED_VALUE"""),"")</f>
        <v/>
      </c>
      <c r="D24233" s="12" t="str">
        <f ca="1">IFERROR(__xludf.DUMMYFUNCTION("""COMPUTED_VALUE"""),"")</f>
        <v/>
      </c>
    </row>
    <row r="24234" spans="2:4" ht="13">
      <c r="B24234" s="12" t="str">
        <f ca="1">IFERROR(__xludf.DUMMYFUNCTION("""COMPUTED_VALUE"""),"")</f>
        <v/>
      </c>
      <c r="C24234" s="12" t="str">
        <f ca="1">IFERROR(__xludf.DUMMYFUNCTION("""COMPUTED_VALUE"""),"")</f>
        <v/>
      </c>
      <c r="D24234" s="12" t="str">
        <f ca="1">IFERROR(__xludf.DUMMYFUNCTION("""COMPUTED_VALUE"""),"")</f>
        <v/>
      </c>
    </row>
    <row r="24235" spans="2:4" ht="13">
      <c r="B24235" s="12" t="str">
        <f ca="1">IFERROR(__xludf.DUMMYFUNCTION("""COMPUTED_VALUE"""),"")</f>
        <v/>
      </c>
      <c r="C24235" s="12" t="str">
        <f ca="1">IFERROR(__xludf.DUMMYFUNCTION("""COMPUTED_VALUE"""),"")</f>
        <v/>
      </c>
      <c r="D24235" s="12" t="str">
        <f ca="1">IFERROR(__xludf.DUMMYFUNCTION("""COMPUTED_VALUE"""),"")</f>
        <v/>
      </c>
    </row>
    <row r="24236" spans="2:4" ht="13">
      <c r="B24236" s="12" t="str">
        <f ca="1">IFERROR(__xludf.DUMMYFUNCTION("""COMPUTED_VALUE"""),"")</f>
        <v/>
      </c>
      <c r="C24236" s="12" t="str">
        <f ca="1">IFERROR(__xludf.DUMMYFUNCTION("""COMPUTED_VALUE"""),"")</f>
        <v/>
      </c>
      <c r="D24236" s="12" t="str">
        <f ca="1">IFERROR(__xludf.DUMMYFUNCTION("""COMPUTED_VALUE"""),"")</f>
        <v/>
      </c>
    </row>
    <row r="24237" spans="2:4" ht="13">
      <c r="B24237" s="12" t="str">
        <f ca="1">IFERROR(__xludf.DUMMYFUNCTION("""COMPUTED_VALUE"""),"")</f>
        <v/>
      </c>
      <c r="C24237" s="12" t="str">
        <f ca="1">IFERROR(__xludf.DUMMYFUNCTION("""COMPUTED_VALUE"""),"")</f>
        <v/>
      </c>
      <c r="D24237" s="12" t="str">
        <f ca="1">IFERROR(__xludf.DUMMYFUNCTION("""COMPUTED_VALUE"""),"")</f>
        <v/>
      </c>
    </row>
    <row r="24238" spans="2:4" ht="13">
      <c r="B24238" s="12" t="str">
        <f ca="1">IFERROR(__xludf.DUMMYFUNCTION("""COMPUTED_VALUE"""),"")</f>
        <v/>
      </c>
      <c r="C24238" s="12" t="str">
        <f ca="1">IFERROR(__xludf.DUMMYFUNCTION("""COMPUTED_VALUE"""),"")</f>
        <v/>
      </c>
      <c r="D24238" s="12" t="str">
        <f ca="1">IFERROR(__xludf.DUMMYFUNCTION("""COMPUTED_VALUE"""),"")</f>
        <v/>
      </c>
    </row>
    <row r="24239" spans="2:4" ht="13">
      <c r="B24239" s="12" t="str">
        <f ca="1">IFERROR(__xludf.DUMMYFUNCTION("""COMPUTED_VALUE"""),"")</f>
        <v/>
      </c>
      <c r="C24239" s="12" t="str">
        <f ca="1">IFERROR(__xludf.DUMMYFUNCTION("""COMPUTED_VALUE"""),"")</f>
        <v/>
      </c>
      <c r="D24239" s="12" t="str">
        <f ca="1">IFERROR(__xludf.DUMMYFUNCTION("""COMPUTED_VALUE"""),"")</f>
        <v/>
      </c>
    </row>
    <row r="24240" spans="2:4" ht="13">
      <c r="B24240" s="12" t="str">
        <f ca="1">IFERROR(__xludf.DUMMYFUNCTION("""COMPUTED_VALUE"""),"")</f>
        <v/>
      </c>
      <c r="C24240" s="12" t="str">
        <f ca="1">IFERROR(__xludf.DUMMYFUNCTION("""COMPUTED_VALUE"""),"")</f>
        <v/>
      </c>
      <c r="D24240" s="12" t="str">
        <f ca="1">IFERROR(__xludf.DUMMYFUNCTION("""COMPUTED_VALUE"""),"")</f>
        <v/>
      </c>
    </row>
    <row r="24241" spans="2:4" ht="13">
      <c r="B24241" s="12" t="str">
        <f ca="1">IFERROR(__xludf.DUMMYFUNCTION("""COMPUTED_VALUE"""),"")</f>
        <v/>
      </c>
      <c r="C24241" s="12" t="str">
        <f ca="1">IFERROR(__xludf.DUMMYFUNCTION("""COMPUTED_VALUE"""),"")</f>
        <v/>
      </c>
      <c r="D24241" s="12" t="str">
        <f ca="1">IFERROR(__xludf.DUMMYFUNCTION("""COMPUTED_VALUE"""),"")</f>
        <v/>
      </c>
    </row>
    <row r="24242" spans="2:4" ht="13">
      <c r="B24242" s="12" t="str">
        <f ca="1">IFERROR(__xludf.DUMMYFUNCTION("""COMPUTED_VALUE"""),"")</f>
        <v/>
      </c>
      <c r="C24242" s="12" t="str">
        <f ca="1">IFERROR(__xludf.DUMMYFUNCTION("""COMPUTED_VALUE"""),"")</f>
        <v/>
      </c>
      <c r="D24242" s="12" t="str">
        <f ca="1">IFERROR(__xludf.DUMMYFUNCTION("""COMPUTED_VALUE"""),"")</f>
        <v/>
      </c>
    </row>
    <row r="24243" spans="2:4" ht="13">
      <c r="B24243" s="12" t="str">
        <f ca="1">IFERROR(__xludf.DUMMYFUNCTION("""COMPUTED_VALUE"""),"")</f>
        <v/>
      </c>
      <c r="C24243" s="12" t="str">
        <f ca="1">IFERROR(__xludf.DUMMYFUNCTION("""COMPUTED_VALUE"""),"")</f>
        <v/>
      </c>
      <c r="D24243" s="12" t="str">
        <f ca="1">IFERROR(__xludf.DUMMYFUNCTION("""COMPUTED_VALUE"""),"")</f>
        <v/>
      </c>
    </row>
    <row r="24244" spans="2:4" ht="13">
      <c r="B24244" s="12" t="str">
        <f ca="1">IFERROR(__xludf.DUMMYFUNCTION("""COMPUTED_VALUE"""),"")</f>
        <v/>
      </c>
      <c r="C24244" s="12" t="str">
        <f ca="1">IFERROR(__xludf.DUMMYFUNCTION("""COMPUTED_VALUE"""),"")</f>
        <v/>
      </c>
      <c r="D24244" s="12" t="str">
        <f ca="1">IFERROR(__xludf.DUMMYFUNCTION("""COMPUTED_VALUE"""),"")</f>
        <v/>
      </c>
    </row>
    <row r="24245" spans="2:4" ht="13">
      <c r="B24245" s="12" t="str">
        <f ca="1">IFERROR(__xludf.DUMMYFUNCTION("""COMPUTED_VALUE"""),"")</f>
        <v/>
      </c>
      <c r="C24245" s="12" t="str">
        <f ca="1">IFERROR(__xludf.DUMMYFUNCTION("""COMPUTED_VALUE"""),"")</f>
        <v/>
      </c>
      <c r="D24245" s="12" t="str">
        <f ca="1">IFERROR(__xludf.DUMMYFUNCTION("""COMPUTED_VALUE"""),"")</f>
        <v/>
      </c>
    </row>
    <row r="24246" spans="2:4" ht="13">
      <c r="B24246" s="12" t="str">
        <f ca="1">IFERROR(__xludf.DUMMYFUNCTION("""COMPUTED_VALUE"""),"")</f>
        <v/>
      </c>
      <c r="C24246" s="12" t="str">
        <f ca="1">IFERROR(__xludf.DUMMYFUNCTION("""COMPUTED_VALUE"""),"")</f>
        <v/>
      </c>
      <c r="D24246" s="12" t="str">
        <f ca="1">IFERROR(__xludf.DUMMYFUNCTION("""COMPUTED_VALUE"""),"")</f>
        <v/>
      </c>
    </row>
    <row r="24247" spans="2:4" ht="13">
      <c r="B24247" s="12" t="str">
        <f ca="1">IFERROR(__xludf.DUMMYFUNCTION("""COMPUTED_VALUE"""),"")</f>
        <v/>
      </c>
      <c r="C24247" s="12" t="str">
        <f ca="1">IFERROR(__xludf.DUMMYFUNCTION("""COMPUTED_VALUE"""),"")</f>
        <v/>
      </c>
      <c r="D24247" s="12" t="str">
        <f ca="1">IFERROR(__xludf.DUMMYFUNCTION("""COMPUTED_VALUE"""),"")</f>
        <v/>
      </c>
    </row>
    <row r="24248" spans="2:4" ht="13">
      <c r="B24248" s="12" t="str">
        <f ca="1">IFERROR(__xludf.DUMMYFUNCTION("""COMPUTED_VALUE"""),"")</f>
        <v/>
      </c>
      <c r="C24248" s="12" t="str">
        <f ca="1">IFERROR(__xludf.DUMMYFUNCTION("""COMPUTED_VALUE"""),"")</f>
        <v/>
      </c>
      <c r="D24248" s="12" t="str">
        <f ca="1">IFERROR(__xludf.DUMMYFUNCTION("""COMPUTED_VALUE"""),"")</f>
        <v/>
      </c>
    </row>
    <row r="24249" spans="2:4" ht="13">
      <c r="B24249" s="12" t="str">
        <f ca="1">IFERROR(__xludf.DUMMYFUNCTION("""COMPUTED_VALUE"""),"")</f>
        <v/>
      </c>
      <c r="C24249" s="12" t="str">
        <f ca="1">IFERROR(__xludf.DUMMYFUNCTION("""COMPUTED_VALUE"""),"")</f>
        <v/>
      </c>
      <c r="D24249" s="12" t="str">
        <f ca="1">IFERROR(__xludf.DUMMYFUNCTION("""COMPUTED_VALUE"""),"")</f>
        <v/>
      </c>
    </row>
    <row r="24250" spans="2:4" ht="13">
      <c r="B24250" s="12" t="str">
        <f ca="1">IFERROR(__xludf.DUMMYFUNCTION("""COMPUTED_VALUE"""),"")</f>
        <v/>
      </c>
      <c r="C24250" s="12" t="str">
        <f ca="1">IFERROR(__xludf.DUMMYFUNCTION("""COMPUTED_VALUE"""),"")</f>
        <v/>
      </c>
      <c r="D24250" s="12" t="str">
        <f ca="1">IFERROR(__xludf.DUMMYFUNCTION("""COMPUTED_VALUE"""),"")</f>
        <v/>
      </c>
    </row>
    <row r="24251" spans="2:4" ht="13">
      <c r="B24251" s="12" t="str">
        <f ca="1">IFERROR(__xludf.DUMMYFUNCTION("""COMPUTED_VALUE"""),"")</f>
        <v/>
      </c>
      <c r="C24251" s="12" t="str">
        <f ca="1">IFERROR(__xludf.DUMMYFUNCTION("""COMPUTED_VALUE"""),"")</f>
        <v/>
      </c>
      <c r="D24251" s="12" t="str">
        <f ca="1">IFERROR(__xludf.DUMMYFUNCTION("""COMPUTED_VALUE"""),"")</f>
        <v/>
      </c>
    </row>
    <row r="24252" spans="2:4" ht="13">
      <c r="B24252" s="12" t="str">
        <f ca="1">IFERROR(__xludf.DUMMYFUNCTION("""COMPUTED_VALUE"""),"")</f>
        <v/>
      </c>
      <c r="C24252" s="12" t="str">
        <f ca="1">IFERROR(__xludf.DUMMYFUNCTION("""COMPUTED_VALUE"""),"")</f>
        <v/>
      </c>
      <c r="D24252" s="12" t="str">
        <f ca="1">IFERROR(__xludf.DUMMYFUNCTION("""COMPUTED_VALUE"""),"")</f>
        <v/>
      </c>
    </row>
    <row r="24253" spans="2:4" ht="13">
      <c r="B24253" s="12" t="str">
        <f ca="1">IFERROR(__xludf.DUMMYFUNCTION("""COMPUTED_VALUE"""),"")</f>
        <v/>
      </c>
      <c r="C24253" s="12" t="str">
        <f ca="1">IFERROR(__xludf.DUMMYFUNCTION("""COMPUTED_VALUE"""),"")</f>
        <v/>
      </c>
      <c r="D24253" s="12" t="str">
        <f ca="1">IFERROR(__xludf.DUMMYFUNCTION("""COMPUTED_VALUE"""),"")</f>
        <v/>
      </c>
    </row>
    <row r="24254" spans="2:4" ht="13">
      <c r="B24254" s="12" t="str">
        <f ca="1">IFERROR(__xludf.DUMMYFUNCTION("""COMPUTED_VALUE"""),"")</f>
        <v/>
      </c>
      <c r="C24254" s="12" t="str">
        <f ca="1">IFERROR(__xludf.DUMMYFUNCTION("""COMPUTED_VALUE"""),"")</f>
        <v/>
      </c>
      <c r="D24254" s="12" t="str">
        <f ca="1">IFERROR(__xludf.DUMMYFUNCTION("""COMPUTED_VALUE"""),"")</f>
        <v/>
      </c>
    </row>
    <row r="24255" spans="2:4" ht="13">
      <c r="B24255" s="12" t="str">
        <f ca="1">IFERROR(__xludf.DUMMYFUNCTION("""COMPUTED_VALUE"""),"")</f>
        <v/>
      </c>
      <c r="C24255" s="12" t="str">
        <f ca="1">IFERROR(__xludf.DUMMYFUNCTION("""COMPUTED_VALUE"""),"")</f>
        <v/>
      </c>
      <c r="D24255" s="12" t="str">
        <f ca="1">IFERROR(__xludf.DUMMYFUNCTION("""COMPUTED_VALUE"""),"")</f>
        <v/>
      </c>
    </row>
    <row r="24256" spans="2:4" ht="13">
      <c r="B24256" s="12" t="str">
        <f ca="1">IFERROR(__xludf.DUMMYFUNCTION("""COMPUTED_VALUE"""),"")</f>
        <v/>
      </c>
      <c r="C24256" s="12" t="str">
        <f ca="1">IFERROR(__xludf.DUMMYFUNCTION("""COMPUTED_VALUE"""),"")</f>
        <v/>
      </c>
      <c r="D24256" s="12" t="str">
        <f ca="1">IFERROR(__xludf.DUMMYFUNCTION("""COMPUTED_VALUE"""),"")</f>
        <v/>
      </c>
    </row>
    <row r="24257" spans="2:4" ht="13">
      <c r="B24257" s="12" t="str">
        <f ca="1">IFERROR(__xludf.DUMMYFUNCTION("""COMPUTED_VALUE"""),"")</f>
        <v/>
      </c>
      <c r="C24257" s="12" t="str">
        <f ca="1">IFERROR(__xludf.DUMMYFUNCTION("""COMPUTED_VALUE"""),"")</f>
        <v/>
      </c>
      <c r="D24257" s="12" t="str">
        <f ca="1">IFERROR(__xludf.DUMMYFUNCTION("""COMPUTED_VALUE"""),"")</f>
        <v/>
      </c>
    </row>
    <row r="24258" spans="2:4" ht="13">
      <c r="B24258" s="12" t="str">
        <f ca="1">IFERROR(__xludf.DUMMYFUNCTION("""COMPUTED_VALUE"""),"")</f>
        <v/>
      </c>
      <c r="C24258" s="12" t="str">
        <f ca="1">IFERROR(__xludf.DUMMYFUNCTION("""COMPUTED_VALUE"""),"")</f>
        <v/>
      </c>
      <c r="D24258" s="12" t="str">
        <f ca="1">IFERROR(__xludf.DUMMYFUNCTION("""COMPUTED_VALUE"""),"")</f>
        <v/>
      </c>
    </row>
    <row r="24259" spans="2:4" ht="13">
      <c r="B24259" s="12" t="str">
        <f ca="1">IFERROR(__xludf.DUMMYFUNCTION("""COMPUTED_VALUE"""),"")</f>
        <v/>
      </c>
      <c r="C24259" s="12" t="str">
        <f ca="1">IFERROR(__xludf.DUMMYFUNCTION("""COMPUTED_VALUE"""),"")</f>
        <v/>
      </c>
      <c r="D24259" s="12" t="str">
        <f ca="1">IFERROR(__xludf.DUMMYFUNCTION("""COMPUTED_VALUE"""),"")</f>
        <v/>
      </c>
    </row>
    <row r="24260" spans="2:4" ht="13">
      <c r="B24260" s="12" t="str">
        <f ca="1">IFERROR(__xludf.DUMMYFUNCTION("""COMPUTED_VALUE"""),"")</f>
        <v/>
      </c>
      <c r="C24260" s="12" t="str">
        <f ca="1">IFERROR(__xludf.DUMMYFUNCTION("""COMPUTED_VALUE"""),"")</f>
        <v/>
      </c>
      <c r="D24260" s="12" t="str">
        <f ca="1">IFERROR(__xludf.DUMMYFUNCTION("""COMPUTED_VALUE"""),"")</f>
        <v/>
      </c>
    </row>
    <row r="24261" spans="2:4" ht="13">
      <c r="B24261" s="12" t="str">
        <f ca="1">IFERROR(__xludf.DUMMYFUNCTION("""COMPUTED_VALUE"""),"")</f>
        <v/>
      </c>
      <c r="C24261" s="12" t="str">
        <f ca="1">IFERROR(__xludf.DUMMYFUNCTION("""COMPUTED_VALUE"""),"")</f>
        <v/>
      </c>
      <c r="D24261" s="12" t="str">
        <f ca="1">IFERROR(__xludf.DUMMYFUNCTION("""COMPUTED_VALUE"""),"")</f>
        <v/>
      </c>
    </row>
    <row r="24262" spans="2:4" ht="13">
      <c r="B24262" s="12" t="str">
        <f ca="1">IFERROR(__xludf.DUMMYFUNCTION("""COMPUTED_VALUE"""),"")</f>
        <v/>
      </c>
      <c r="C24262" s="12" t="str">
        <f ca="1">IFERROR(__xludf.DUMMYFUNCTION("""COMPUTED_VALUE"""),"")</f>
        <v/>
      </c>
      <c r="D24262" s="12" t="str">
        <f ca="1">IFERROR(__xludf.DUMMYFUNCTION("""COMPUTED_VALUE"""),"")</f>
        <v/>
      </c>
    </row>
    <row r="24263" spans="2:4" ht="13">
      <c r="B24263" s="12" t="str">
        <f ca="1">IFERROR(__xludf.DUMMYFUNCTION("""COMPUTED_VALUE"""),"")</f>
        <v/>
      </c>
      <c r="C24263" s="12" t="str">
        <f ca="1">IFERROR(__xludf.DUMMYFUNCTION("""COMPUTED_VALUE"""),"")</f>
        <v/>
      </c>
      <c r="D24263" s="12" t="str">
        <f ca="1">IFERROR(__xludf.DUMMYFUNCTION("""COMPUTED_VALUE"""),"")</f>
        <v/>
      </c>
    </row>
    <row r="24264" spans="2:4" ht="13">
      <c r="B24264" s="12" t="str">
        <f ca="1">IFERROR(__xludf.DUMMYFUNCTION("""COMPUTED_VALUE"""),"")</f>
        <v/>
      </c>
      <c r="C24264" s="12" t="str">
        <f ca="1">IFERROR(__xludf.DUMMYFUNCTION("""COMPUTED_VALUE"""),"")</f>
        <v/>
      </c>
      <c r="D24264" s="12" t="str">
        <f ca="1">IFERROR(__xludf.DUMMYFUNCTION("""COMPUTED_VALUE"""),"")</f>
        <v/>
      </c>
    </row>
    <row r="24265" spans="2:4" ht="13">
      <c r="B24265" s="12" t="str">
        <f ca="1">IFERROR(__xludf.DUMMYFUNCTION("""COMPUTED_VALUE"""),"")</f>
        <v/>
      </c>
      <c r="C24265" s="12" t="str">
        <f ca="1">IFERROR(__xludf.DUMMYFUNCTION("""COMPUTED_VALUE"""),"")</f>
        <v/>
      </c>
      <c r="D24265" s="12" t="str">
        <f ca="1">IFERROR(__xludf.DUMMYFUNCTION("""COMPUTED_VALUE"""),"")</f>
        <v/>
      </c>
    </row>
    <row r="24266" spans="2:4" ht="13">
      <c r="B24266" s="12" t="str">
        <f ca="1">IFERROR(__xludf.DUMMYFUNCTION("""COMPUTED_VALUE"""),"")</f>
        <v/>
      </c>
      <c r="C24266" s="12" t="str">
        <f ca="1">IFERROR(__xludf.DUMMYFUNCTION("""COMPUTED_VALUE"""),"")</f>
        <v/>
      </c>
      <c r="D24266" s="12" t="str">
        <f ca="1">IFERROR(__xludf.DUMMYFUNCTION("""COMPUTED_VALUE"""),"")</f>
        <v/>
      </c>
    </row>
    <row r="24267" spans="2:4" ht="13">
      <c r="B24267" s="12" t="str">
        <f ca="1">IFERROR(__xludf.DUMMYFUNCTION("""COMPUTED_VALUE"""),"")</f>
        <v/>
      </c>
      <c r="C24267" s="12" t="str">
        <f ca="1">IFERROR(__xludf.DUMMYFUNCTION("""COMPUTED_VALUE"""),"")</f>
        <v/>
      </c>
      <c r="D24267" s="12" t="str">
        <f ca="1">IFERROR(__xludf.DUMMYFUNCTION("""COMPUTED_VALUE"""),"")</f>
        <v/>
      </c>
    </row>
    <row r="24268" spans="2:4" ht="13">
      <c r="B24268" s="12" t="str">
        <f ca="1">IFERROR(__xludf.DUMMYFUNCTION("""COMPUTED_VALUE"""),"")</f>
        <v/>
      </c>
      <c r="C24268" s="12" t="str">
        <f ca="1">IFERROR(__xludf.DUMMYFUNCTION("""COMPUTED_VALUE"""),"")</f>
        <v/>
      </c>
      <c r="D24268" s="12" t="str">
        <f ca="1">IFERROR(__xludf.DUMMYFUNCTION("""COMPUTED_VALUE"""),"")</f>
        <v/>
      </c>
    </row>
    <row r="24269" spans="2:4" ht="13">
      <c r="B24269" s="12" t="str">
        <f ca="1">IFERROR(__xludf.DUMMYFUNCTION("""COMPUTED_VALUE"""),"")</f>
        <v/>
      </c>
      <c r="C24269" s="12" t="str">
        <f ca="1">IFERROR(__xludf.DUMMYFUNCTION("""COMPUTED_VALUE"""),"")</f>
        <v/>
      </c>
      <c r="D24269" s="12" t="str">
        <f ca="1">IFERROR(__xludf.DUMMYFUNCTION("""COMPUTED_VALUE"""),"")</f>
        <v/>
      </c>
    </row>
    <row r="24270" spans="2:4" ht="13">
      <c r="B24270" s="12" t="str">
        <f ca="1">IFERROR(__xludf.DUMMYFUNCTION("""COMPUTED_VALUE"""),"")</f>
        <v/>
      </c>
      <c r="C24270" s="12" t="str">
        <f ca="1">IFERROR(__xludf.DUMMYFUNCTION("""COMPUTED_VALUE"""),"")</f>
        <v/>
      </c>
      <c r="D24270" s="12" t="str">
        <f ca="1">IFERROR(__xludf.DUMMYFUNCTION("""COMPUTED_VALUE"""),"")</f>
        <v/>
      </c>
    </row>
    <row r="24271" spans="2:4" ht="13">
      <c r="B24271" s="12" t="str">
        <f ca="1">IFERROR(__xludf.DUMMYFUNCTION("""COMPUTED_VALUE"""),"")</f>
        <v/>
      </c>
      <c r="C24271" s="12" t="str">
        <f ca="1">IFERROR(__xludf.DUMMYFUNCTION("""COMPUTED_VALUE"""),"")</f>
        <v/>
      </c>
      <c r="D24271" s="12" t="str">
        <f ca="1">IFERROR(__xludf.DUMMYFUNCTION("""COMPUTED_VALUE"""),"")</f>
        <v/>
      </c>
    </row>
    <row r="24272" spans="2:4" ht="13">
      <c r="B24272" s="12" t="str">
        <f ca="1">IFERROR(__xludf.DUMMYFUNCTION("""COMPUTED_VALUE"""),"")</f>
        <v/>
      </c>
      <c r="C24272" s="12" t="str">
        <f ca="1">IFERROR(__xludf.DUMMYFUNCTION("""COMPUTED_VALUE"""),"")</f>
        <v/>
      </c>
      <c r="D24272" s="12" t="str">
        <f ca="1">IFERROR(__xludf.DUMMYFUNCTION("""COMPUTED_VALUE"""),"")</f>
        <v/>
      </c>
    </row>
    <row r="24273" spans="2:4" ht="13">
      <c r="B24273" s="12" t="str">
        <f ca="1">IFERROR(__xludf.DUMMYFUNCTION("""COMPUTED_VALUE"""),"")</f>
        <v/>
      </c>
      <c r="C24273" s="12" t="str">
        <f ca="1">IFERROR(__xludf.DUMMYFUNCTION("""COMPUTED_VALUE"""),"")</f>
        <v/>
      </c>
      <c r="D24273" s="12" t="str">
        <f ca="1">IFERROR(__xludf.DUMMYFUNCTION("""COMPUTED_VALUE"""),"")</f>
        <v/>
      </c>
    </row>
    <row r="24274" spans="2:4" ht="13">
      <c r="B24274" s="12" t="str">
        <f ca="1">IFERROR(__xludf.DUMMYFUNCTION("""COMPUTED_VALUE"""),"")</f>
        <v/>
      </c>
      <c r="C24274" s="12" t="str">
        <f ca="1">IFERROR(__xludf.DUMMYFUNCTION("""COMPUTED_VALUE"""),"")</f>
        <v/>
      </c>
      <c r="D24274" s="12" t="str">
        <f ca="1">IFERROR(__xludf.DUMMYFUNCTION("""COMPUTED_VALUE"""),"")</f>
        <v/>
      </c>
    </row>
    <row r="24275" spans="2:4" ht="13">
      <c r="B24275" s="12" t="str">
        <f ca="1">IFERROR(__xludf.DUMMYFUNCTION("""COMPUTED_VALUE"""),"")</f>
        <v/>
      </c>
      <c r="C24275" s="12" t="str">
        <f ca="1">IFERROR(__xludf.DUMMYFUNCTION("""COMPUTED_VALUE"""),"")</f>
        <v/>
      </c>
      <c r="D24275" s="12" t="str">
        <f ca="1">IFERROR(__xludf.DUMMYFUNCTION("""COMPUTED_VALUE"""),"")</f>
        <v/>
      </c>
    </row>
    <row r="24276" spans="2:4" ht="13">
      <c r="B24276" s="12" t="str">
        <f ca="1">IFERROR(__xludf.DUMMYFUNCTION("""COMPUTED_VALUE"""),"")</f>
        <v/>
      </c>
      <c r="C24276" s="12" t="str">
        <f ca="1">IFERROR(__xludf.DUMMYFUNCTION("""COMPUTED_VALUE"""),"")</f>
        <v/>
      </c>
      <c r="D24276" s="12" t="str">
        <f ca="1">IFERROR(__xludf.DUMMYFUNCTION("""COMPUTED_VALUE"""),"")</f>
        <v/>
      </c>
    </row>
    <row r="24277" spans="2:4" ht="13">
      <c r="B24277" s="12" t="str">
        <f ca="1">IFERROR(__xludf.DUMMYFUNCTION("""COMPUTED_VALUE"""),"")</f>
        <v/>
      </c>
      <c r="C24277" s="12" t="str">
        <f ca="1">IFERROR(__xludf.DUMMYFUNCTION("""COMPUTED_VALUE"""),"")</f>
        <v/>
      </c>
      <c r="D24277" s="12" t="str">
        <f ca="1">IFERROR(__xludf.DUMMYFUNCTION("""COMPUTED_VALUE"""),"")</f>
        <v/>
      </c>
    </row>
    <row r="24278" spans="2:4" ht="13">
      <c r="B24278" s="12" t="str">
        <f ca="1">IFERROR(__xludf.DUMMYFUNCTION("""COMPUTED_VALUE"""),"")</f>
        <v/>
      </c>
      <c r="C24278" s="12" t="str">
        <f ca="1">IFERROR(__xludf.DUMMYFUNCTION("""COMPUTED_VALUE"""),"")</f>
        <v/>
      </c>
      <c r="D24278" s="12" t="str">
        <f ca="1">IFERROR(__xludf.DUMMYFUNCTION("""COMPUTED_VALUE"""),"")</f>
        <v/>
      </c>
    </row>
    <row r="24279" spans="2:4" ht="13">
      <c r="B24279" s="12" t="str">
        <f ca="1">IFERROR(__xludf.DUMMYFUNCTION("""COMPUTED_VALUE"""),"")</f>
        <v/>
      </c>
      <c r="C24279" s="12" t="str">
        <f ca="1">IFERROR(__xludf.DUMMYFUNCTION("""COMPUTED_VALUE"""),"")</f>
        <v/>
      </c>
      <c r="D24279" s="12" t="str">
        <f ca="1">IFERROR(__xludf.DUMMYFUNCTION("""COMPUTED_VALUE"""),"")</f>
        <v/>
      </c>
    </row>
    <row r="24280" spans="2:4" ht="13">
      <c r="B24280" s="12" t="str">
        <f ca="1">IFERROR(__xludf.DUMMYFUNCTION("""COMPUTED_VALUE"""),"")</f>
        <v/>
      </c>
      <c r="C24280" s="12" t="str">
        <f ca="1">IFERROR(__xludf.DUMMYFUNCTION("""COMPUTED_VALUE"""),"")</f>
        <v/>
      </c>
      <c r="D24280" s="12" t="str">
        <f ca="1">IFERROR(__xludf.DUMMYFUNCTION("""COMPUTED_VALUE"""),"")</f>
        <v/>
      </c>
    </row>
    <row r="24281" spans="2:4" ht="13">
      <c r="B24281" s="12" t="str">
        <f ca="1">IFERROR(__xludf.DUMMYFUNCTION("""COMPUTED_VALUE"""),"")</f>
        <v/>
      </c>
      <c r="C24281" s="12" t="str">
        <f ca="1">IFERROR(__xludf.DUMMYFUNCTION("""COMPUTED_VALUE"""),"")</f>
        <v/>
      </c>
      <c r="D24281" s="12" t="str">
        <f ca="1">IFERROR(__xludf.DUMMYFUNCTION("""COMPUTED_VALUE"""),"")</f>
        <v/>
      </c>
    </row>
    <row r="24282" spans="2:4" ht="13">
      <c r="B24282" s="12" t="str">
        <f ca="1">IFERROR(__xludf.DUMMYFUNCTION("""COMPUTED_VALUE"""),"")</f>
        <v/>
      </c>
      <c r="C24282" s="12" t="str">
        <f ca="1">IFERROR(__xludf.DUMMYFUNCTION("""COMPUTED_VALUE"""),"")</f>
        <v/>
      </c>
      <c r="D24282" s="12" t="str">
        <f ca="1">IFERROR(__xludf.DUMMYFUNCTION("""COMPUTED_VALUE"""),"")</f>
        <v/>
      </c>
    </row>
    <row r="24283" spans="2:4" ht="13">
      <c r="B24283" s="12" t="str">
        <f ca="1">IFERROR(__xludf.DUMMYFUNCTION("""COMPUTED_VALUE"""),"")</f>
        <v/>
      </c>
      <c r="C24283" s="12" t="str">
        <f ca="1">IFERROR(__xludf.DUMMYFUNCTION("""COMPUTED_VALUE"""),"")</f>
        <v/>
      </c>
      <c r="D24283" s="12" t="str">
        <f ca="1">IFERROR(__xludf.DUMMYFUNCTION("""COMPUTED_VALUE"""),"")</f>
        <v/>
      </c>
    </row>
    <row r="24284" spans="2:4" ht="13">
      <c r="B24284" s="12" t="str">
        <f ca="1">IFERROR(__xludf.DUMMYFUNCTION("""COMPUTED_VALUE"""),"")</f>
        <v/>
      </c>
      <c r="C24284" s="12" t="str">
        <f ca="1">IFERROR(__xludf.DUMMYFUNCTION("""COMPUTED_VALUE"""),"")</f>
        <v/>
      </c>
      <c r="D24284" s="12" t="str">
        <f ca="1">IFERROR(__xludf.DUMMYFUNCTION("""COMPUTED_VALUE"""),"")</f>
        <v/>
      </c>
    </row>
    <row r="24285" spans="2:4" ht="13">
      <c r="B24285" s="12" t="str">
        <f ca="1">IFERROR(__xludf.DUMMYFUNCTION("""COMPUTED_VALUE"""),"")</f>
        <v/>
      </c>
      <c r="C24285" s="12" t="str">
        <f ca="1">IFERROR(__xludf.DUMMYFUNCTION("""COMPUTED_VALUE"""),"")</f>
        <v/>
      </c>
      <c r="D24285" s="12" t="str">
        <f ca="1">IFERROR(__xludf.DUMMYFUNCTION("""COMPUTED_VALUE"""),"")</f>
        <v/>
      </c>
    </row>
    <row r="24286" spans="2:4" ht="13">
      <c r="B24286" s="12" t="str">
        <f ca="1">IFERROR(__xludf.DUMMYFUNCTION("""COMPUTED_VALUE"""),"")</f>
        <v/>
      </c>
      <c r="C24286" s="12" t="str">
        <f ca="1">IFERROR(__xludf.DUMMYFUNCTION("""COMPUTED_VALUE"""),"")</f>
        <v/>
      </c>
      <c r="D24286" s="12" t="str">
        <f ca="1">IFERROR(__xludf.DUMMYFUNCTION("""COMPUTED_VALUE"""),"")</f>
        <v/>
      </c>
    </row>
    <row r="24287" spans="2:4" ht="13">
      <c r="B24287" s="12" t="str">
        <f ca="1">IFERROR(__xludf.DUMMYFUNCTION("""COMPUTED_VALUE"""),"")</f>
        <v/>
      </c>
      <c r="C24287" s="12" t="str">
        <f ca="1">IFERROR(__xludf.DUMMYFUNCTION("""COMPUTED_VALUE"""),"")</f>
        <v/>
      </c>
      <c r="D24287" s="12" t="str">
        <f ca="1">IFERROR(__xludf.DUMMYFUNCTION("""COMPUTED_VALUE"""),"")</f>
        <v/>
      </c>
    </row>
    <row r="24288" spans="2:4" ht="13">
      <c r="B24288" s="12" t="str">
        <f ca="1">IFERROR(__xludf.DUMMYFUNCTION("""COMPUTED_VALUE"""),"")</f>
        <v/>
      </c>
      <c r="C24288" s="12" t="str">
        <f ca="1">IFERROR(__xludf.DUMMYFUNCTION("""COMPUTED_VALUE"""),"")</f>
        <v/>
      </c>
      <c r="D24288" s="12" t="str">
        <f ca="1">IFERROR(__xludf.DUMMYFUNCTION("""COMPUTED_VALUE"""),"")</f>
        <v/>
      </c>
    </row>
    <row r="24289" spans="2:4" ht="13">
      <c r="B24289" s="12" t="str">
        <f ca="1">IFERROR(__xludf.DUMMYFUNCTION("""COMPUTED_VALUE"""),"")</f>
        <v/>
      </c>
      <c r="C24289" s="12" t="str">
        <f ca="1">IFERROR(__xludf.DUMMYFUNCTION("""COMPUTED_VALUE"""),"")</f>
        <v/>
      </c>
      <c r="D24289" s="12" t="str">
        <f ca="1">IFERROR(__xludf.DUMMYFUNCTION("""COMPUTED_VALUE"""),"")</f>
        <v/>
      </c>
    </row>
    <row r="24290" spans="2:4" ht="13">
      <c r="B24290" s="12" t="str">
        <f ca="1">IFERROR(__xludf.DUMMYFUNCTION("""COMPUTED_VALUE"""),"")</f>
        <v/>
      </c>
      <c r="C24290" s="12" t="str">
        <f ca="1">IFERROR(__xludf.DUMMYFUNCTION("""COMPUTED_VALUE"""),"")</f>
        <v/>
      </c>
      <c r="D24290" s="12" t="str">
        <f ca="1">IFERROR(__xludf.DUMMYFUNCTION("""COMPUTED_VALUE"""),"")</f>
        <v/>
      </c>
    </row>
    <row r="24291" spans="2:4" ht="13">
      <c r="B24291" s="12" t="str">
        <f ca="1">IFERROR(__xludf.DUMMYFUNCTION("""COMPUTED_VALUE"""),"")</f>
        <v/>
      </c>
      <c r="C24291" s="12" t="str">
        <f ca="1">IFERROR(__xludf.DUMMYFUNCTION("""COMPUTED_VALUE"""),"")</f>
        <v/>
      </c>
      <c r="D24291" s="12" t="str">
        <f ca="1">IFERROR(__xludf.DUMMYFUNCTION("""COMPUTED_VALUE"""),"")</f>
        <v/>
      </c>
    </row>
    <row r="24292" spans="2:4" ht="13">
      <c r="B24292" s="12" t="str">
        <f ca="1">IFERROR(__xludf.DUMMYFUNCTION("""COMPUTED_VALUE"""),"")</f>
        <v/>
      </c>
      <c r="C24292" s="12" t="str">
        <f ca="1">IFERROR(__xludf.DUMMYFUNCTION("""COMPUTED_VALUE"""),"")</f>
        <v/>
      </c>
      <c r="D24292" s="12" t="str">
        <f ca="1">IFERROR(__xludf.DUMMYFUNCTION("""COMPUTED_VALUE"""),"")</f>
        <v/>
      </c>
    </row>
    <row r="24293" spans="2:4" ht="13">
      <c r="B24293" s="12" t="str">
        <f ca="1">IFERROR(__xludf.DUMMYFUNCTION("""COMPUTED_VALUE"""),"")</f>
        <v/>
      </c>
      <c r="C24293" s="12" t="str">
        <f ca="1">IFERROR(__xludf.DUMMYFUNCTION("""COMPUTED_VALUE"""),"")</f>
        <v/>
      </c>
      <c r="D24293" s="12" t="str">
        <f ca="1">IFERROR(__xludf.DUMMYFUNCTION("""COMPUTED_VALUE"""),"")</f>
        <v/>
      </c>
    </row>
    <row r="24294" spans="2:4" ht="13">
      <c r="B24294" s="12" t="str">
        <f ca="1">IFERROR(__xludf.DUMMYFUNCTION("""COMPUTED_VALUE"""),"")</f>
        <v/>
      </c>
      <c r="C24294" s="12" t="str">
        <f ca="1">IFERROR(__xludf.DUMMYFUNCTION("""COMPUTED_VALUE"""),"")</f>
        <v/>
      </c>
      <c r="D24294" s="12" t="str">
        <f ca="1">IFERROR(__xludf.DUMMYFUNCTION("""COMPUTED_VALUE"""),"")</f>
        <v/>
      </c>
    </row>
    <row r="24295" spans="2:4" ht="13">
      <c r="B24295" s="12" t="str">
        <f ca="1">IFERROR(__xludf.DUMMYFUNCTION("""COMPUTED_VALUE"""),"")</f>
        <v/>
      </c>
      <c r="C24295" s="12" t="str">
        <f ca="1">IFERROR(__xludf.DUMMYFUNCTION("""COMPUTED_VALUE"""),"")</f>
        <v/>
      </c>
      <c r="D24295" s="12" t="str">
        <f ca="1">IFERROR(__xludf.DUMMYFUNCTION("""COMPUTED_VALUE"""),"")</f>
        <v/>
      </c>
    </row>
    <row r="24296" spans="2:4" ht="13">
      <c r="B24296" s="12" t="str">
        <f ca="1">IFERROR(__xludf.DUMMYFUNCTION("""COMPUTED_VALUE"""),"")</f>
        <v/>
      </c>
      <c r="C24296" s="12" t="str">
        <f ca="1">IFERROR(__xludf.DUMMYFUNCTION("""COMPUTED_VALUE"""),"")</f>
        <v/>
      </c>
      <c r="D24296" s="12" t="str">
        <f ca="1">IFERROR(__xludf.DUMMYFUNCTION("""COMPUTED_VALUE"""),"")</f>
        <v/>
      </c>
    </row>
    <row r="24297" spans="2:4" ht="13">
      <c r="B24297" s="12" t="str">
        <f ca="1">IFERROR(__xludf.DUMMYFUNCTION("""COMPUTED_VALUE"""),"")</f>
        <v/>
      </c>
      <c r="C24297" s="12" t="str">
        <f ca="1">IFERROR(__xludf.DUMMYFUNCTION("""COMPUTED_VALUE"""),"")</f>
        <v/>
      </c>
      <c r="D24297" s="12" t="str">
        <f ca="1">IFERROR(__xludf.DUMMYFUNCTION("""COMPUTED_VALUE"""),"")</f>
        <v/>
      </c>
    </row>
    <row r="24298" spans="2:4" ht="13">
      <c r="B24298" s="12" t="str">
        <f ca="1">IFERROR(__xludf.DUMMYFUNCTION("""COMPUTED_VALUE"""),"")</f>
        <v/>
      </c>
      <c r="C24298" s="12" t="str">
        <f ca="1">IFERROR(__xludf.DUMMYFUNCTION("""COMPUTED_VALUE"""),"")</f>
        <v/>
      </c>
      <c r="D24298" s="12" t="str">
        <f ca="1">IFERROR(__xludf.DUMMYFUNCTION("""COMPUTED_VALUE"""),"")</f>
        <v/>
      </c>
    </row>
    <row r="24299" spans="2:4" ht="13">
      <c r="B24299" s="12" t="str">
        <f ca="1">IFERROR(__xludf.DUMMYFUNCTION("""COMPUTED_VALUE"""),"")</f>
        <v/>
      </c>
      <c r="C24299" s="12" t="str">
        <f ca="1">IFERROR(__xludf.DUMMYFUNCTION("""COMPUTED_VALUE"""),"")</f>
        <v/>
      </c>
      <c r="D24299" s="12" t="str">
        <f ca="1">IFERROR(__xludf.DUMMYFUNCTION("""COMPUTED_VALUE"""),"")</f>
        <v/>
      </c>
    </row>
    <row r="24300" spans="2:4" ht="13">
      <c r="B24300" s="12" t="str">
        <f ca="1">IFERROR(__xludf.DUMMYFUNCTION("""COMPUTED_VALUE"""),"")</f>
        <v/>
      </c>
      <c r="C24300" s="12" t="str">
        <f ca="1">IFERROR(__xludf.DUMMYFUNCTION("""COMPUTED_VALUE"""),"")</f>
        <v/>
      </c>
      <c r="D24300" s="12" t="str">
        <f ca="1">IFERROR(__xludf.DUMMYFUNCTION("""COMPUTED_VALUE"""),"")</f>
        <v/>
      </c>
    </row>
    <row r="24301" spans="2:4" ht="13">
      <c r="B24301" s="12" t="str">
        <f ca="1">IFERROR(__xludf.DUMMYFUNCTION("""COMPUTED_VALUE"""),"")</f>
        <v/>
      </c>
      <c r="C24301" s="12" t="str">
        <f ca="1">IFERROR(__xludf.DUMMYFUNCTION("""COMPUTED_VALUE"""),"")</f>
        <v/>
      </c>
      <c r="D24301" s="12" t="str">
        <f ca="1">IFERROR(__xludf.DUMMYFUNCTION("""COMPUTED_VALUE"""),"")</f>
        <v/>
      </c>
    </row>
    <row r="24302" spans="2:4" ht="13">
      <c r="B24302" s="12" t="str">
        <f ca="1">IFERROR(__xludf.DUMMYFUNCTION("""COMPUTED_VALUE"""),"")</f>
        <v/>
      </c>
      <c r="C24302" s="12" t="str">
        <f ca="1">IFERROR(__xludf.DUMMYFUNCTION("""COMPUTED_VALUE"""),"")</f>
        <v/>
      </c>
      <c r="D24302" s="12" t="str">
        <f ca="1">IFERROR(__xludf.DUMMYFUNCTION("""COMPUTED_VALUE"""),"")</f>
        <v/>
      </c>
    </row>
    <row r="24303" spans="2:4" ht="13">
      <c r="B24303" s="12" t="str">
        <f ca="1">IFERROR(__xludf.DUMMYFUNCTION("""COMPUTED_VALUE"""),"")</f>
        <v/>
      </c>
      <c r="C24303" s="12" t="str">
        <f ca="1">IFERROR(__xludf.DUMMYFUNCTION("""COMPUTED_VALUE"""),"")</f>
        <v/>
      </c>
      <c r="D24303" s="12" t="str">
        <f ca="1">IFERROR(__xludf.DUMMYFUNCTION("""COMPUTED_VALUE"""),"")</f>
        <v/>
      </c>
    </row>
    <row r="24304" spans="2:4" ht="13">
      <c r="B24304" s="12" t="str">
        <f ca="1">IFERROR(__xludf.DUMMYFUNCTION("""COMPUTED_VALUE"""),"")</f>
        <v/>
      </c>
      <c r="C24304" s="12" t="str">
        <f ca="1">IFERROR(__xludf.DUMMYFUNCTION("""COMPUTED_VALUE"""),"")</f>
        <v/>
      </c>
      <c r="D24304" s="12" t="str">
        <f ca="1">IFERROR(__xludf.DUMMYFUNCTION("""COMPUTED_VALUE"""),"")</f>
        <v/>
      </c>
    </row>
    <row r="24305" spans="2:4" ht="13">
      <c r="B24305" s="12" t="str">
        <f ca="1">IFERROR(__xludf.DUMMYFUNCTION("""COMPUTED_VALUE"""),"")</f>
        <v/>
      </c>
      <c r="C24305" s="12" t="str">
        <f ca="1">IFERROR(__xludf.DUMMYFUNCTION("""COMPUTED_VALUE"""),"")</f>
        <v/>
      </c>
      <c r="D24305" s="12" t="str">
        <f ca="1">IFERROR(__xludf.DUMMYFUNCTION("""COMPUTED_VALUE"""),"")</f>
        <v/>
      </c>
    </row>
    <row r="24306" spans="2:4" ht="13">
      <c r="B24306" s="12" t="str">
        <f ca="1">IFERROR(__xludf.DUMMYFUNCTION("""COMPUTED_VALUE"""),"")</f>
        <v/>
      </c>
      <c r="C24306" s="12" t="str">
        <f ca="1">IFERROR(__xludf.DUMMYFUNCTION("""COMPUTED_VALUE"""),"")</f>
        <v/>
      </c>
      <c r="D24306" s="12" t="str">
        <f ca="1">IFERROR(__xludf.DUMMYFUNCTION("""COMPUTED_VALUE"""),"")</f>
        <v/>
      </c>
    </row>
    <row r="24307" spans="2:4" ht="13">
      <c r="B24307" s="12" t="str">
        <f ca="1">IFERROR(__xludf.DUMMYFUNCTION("""COMPUTED_VALUE"""),"")</f>
        <v/>
      </c>
      <c r="C24307" s="12" t="str">
        <f ca="1">IFERROR(__xludf.DUMMYFUNCTION("""COMPUTED_VALUE"""),"")</f>
        <v/>
      </c>
      <c r="D24307" s="12" t="str">
        <f ca="1">IFERROR(__xludf.DUMMYFUNCTION("""COMPUTED_VALUE"""),"")</f>
        <v/>
      </c>
    </row>
    <row r="24308" spans="2:4" ht="13">
      <c r="B24308" s="12" t="str">
        <f ca="1">IFERROR(__xludf.DUMMYFUNCTION("""COMPUTED_VALUE"""),"")</f>
        <v/>
      </c>
      <c r="C24308" s="12" t="str">
        <f ca="1">IFERROR(__xludf.DUMMYFUNCTION("""COMPUTED_VALUE"""),"")</f>
        <v/>
      </c>
      <c r="D24308" s="12" t="str">
        <f ca="1">IFERROR(__xludf.DUMMYFUNCTION("""COMPUTED_VALUE"""),"")</f>
        <v/>
      </c>
    </row>
    <row r="24309" spans="2:4" ht="13">
      <c r="B24309" s="12" t="str">
        <f ca="1">IFERROR(__xludf.DUMMYFUNCTION("""COMPUTED_VALUE"""),"")</f>
        <v/>
      </c>
      <c r="C24309" s="12" t="str">
        <f ca="1">IFERROR(__xludf.DUMMYFUNCTION("""COMPUTED_VALUE"""),"")</f>
        <v/>
      </c>
      <c r="D24309" s="12" t="str">
        <f ca="1">IFERROR(__xludf.DUMMYFUNCTION("""COMPUTED_VALUE"""),"")</f>
        <v/>
      </c>
    </row>
    <row r="24310" spans="2:4" ht="13">
      <c r="B24310" s="12" t="str">
        <f ca="1">IFERROR(__xludf.DUMMYFUNCTION("""COMPUTED_VALUE"""),"")</f>
        <v/>
      </c>
      <c r="C24310" s="12" t="str">
        <f ca="1">IFERROR(__xludf.DUMMYFUNCTION("""COMPUTED_VALUE"""),"")</f>
        <v/>
      </c>
      <c r="D24310" s="12" t="str">
        <f ca="1">IFERROR(__xludf.DUMMYFUNCTION("""COMPUTED_VALUE"""),"")</f>
        <v/>
      </c>
    </row>
    <row r="24311" spans="2:4" ht="13">
      <c r="B24311" s="12" t="str">
        <f ca="1">IFERROR(__xludf.DUMMYFUNCTION("""COMPUTED_VALUE"""),"")</f>
        <v/>
      </c>
      <c r="C24311" s="12" t="str">
        <f ca="1">IFERROR(__xludf.DUMMYFUNCTION("""COMPUTED_VALUE"""),"")</f>
        <v/>
      </c>
      <c r="D24311" s="12" t="str">
        <f ca="1">IFERROR(__xludf.DUMMYFUNCTION("""COMPUTED_VALUE"""),"")</f>
        <v/>
      </c>
    </row>
    <row r="24312" spans="2:4" ht="13">
      <c r="B24312" s="12" t="str">
        <f ca="1">IFERROR(__xludf.DUMMYFUNCTION("""COMPUTED_VALUE"""),"")</f>
        <v/>
      </c>
      <c r="C24312" s="12" t="str">
        <f ca="1">IFERROR(__xludf.DUMMYFUNCTION("""COMPUTED_VALUE"""),"")</f>
        <v/>
      </c>
      <c r="D24312" s="12" t="str">
        <f ca="1">IFERROR(__xludf.DUMMYFUNCTION("""COMPUTED_VALUE"""),"")</f>
        <v/>
      </c>
    </row>
    <row r="24313" spans="2:4" ht="13">
      <c r="B24313" s="12" t="str">
        <f ca="1">IFERROR(__xludf.DUMMYFUNCTION("""COMPUTED_VALUE"""),"")</f>
        <v/>
      </c>
      <c r="C24313" s="12" t="str">
        <f ca="1">IFERROR(__xludf.DUMMYFUNCTION("""COMPUTED_VALUE"""),"")</f>
        <v/>
      </c>
      <c r="D24313" s="12" t="str">
        <f ca="1">IFERROR(__xludf.DUMMYFUNCTION("""COMPUTED_VALUE"""),"")</f>
        <v/>
      </c>
    </row>
    <row r="24314" spans="2:4" ht="13">
      <c r="B24314" s="12" t="str">
        <f ca="1">IFERROR(__xludf.DUMMYFUNCTION("""COMPUTED_VALUE"""),"")</f>
        <v/>
      </c>
      <c r="C24314" s="12" t="str">
        <f ca="1">IFERROR(__xludf.DUMMYFUNCTION("""COMPUTED_VALUE"""),"")</f>
        <v/>
      </c>
      <c r="D24314" s="12" t="str">
        <f ca="1">IFERROR(__xludf.DUMMYFUNCTION("""COMPUTED_VALUE"""),"")</f>
        <v/>
      </c>
    </row>
    <row r="24315" spans="2:4" ht="13">
      <c r="B24315" s="12" t="str">
        <f ca="1">IFERROR(__xludf.DUMMYFUNCTION("""COMPUTED_VALUE"""),"")</f>
        <v/>
      </c>
      <c r="C24315" s="12" t="str">
        <f ca="1">IFERROR(__xludf.DUMMYFUNCTION("""COMPUTED_VALUE"""),"")</f>
        <v/>
      </c>
      <c r="D24315" s="12" t="str">
        <f ca="1">IFERROR(__xludf.DUMMYFUNCTION("""COMPUTED_VALUE"""),"")</f>
        <v/>
      </c>
    </row>
    <row r="24316" spans="2:4" ht="13">
      <c r="B24316" s="12" t="str">
        <f ca="1">IFERROR(__xludf.DUMMYFUNCTION("""COMPUTED_VALUE"""),"")</f>
        <v/>
      </c>
      <c r="C24316" s="12" t="str">
        <f ca="1">IFERROR(__xludf.DUMMYFUNCTION("""COMPUTED_VALUE"""),"")</f>
        <v/>
      </c>
      <c r="D24316" s="12" t="str">
        <f ca="1">IFERROR(__xludf.DUMMYFUNCTION("""COMPUTED_VALUE"""),"")</f>
        <v/>
      </c>
    </row>
    <row r="24317" spans="2:4" ht="13">
      <c r="B24317" s="12" t="str">
        <f ca="1">IFERROR(__xludf.DUMMYFUNCTION("""COMPUTED_VALUE"""),"")</f>
        <v/>
      </c>
      <c r="C24317" s="12" t="str">
        <f ca="1">IFERROR(__xludf.DUMMYFUNCTION("""COMPUTED_VALUE"""),"")</f>
        <v/>
      </c>
      <c r="D24317" s="12" t="str">
        <f ca="1">IFERROR(__xludf.DUMMYFUNCTION("""COMPUTED_VALUE"""),"")</f>
        <v/>
      </c>
    </row>
    <row r="24318" spans="2:4" ht="13">
      <c r="B24318" s="12" t="str">
        <f ca="1">IFERROR(__xludf.DUMMYFUNCTION("""COMPUTED_VALUE"""),"")</f>
        <v/>
      </c>
      <c r="C24318" s="12" t="str">
        <f ca="1">IFERROR(__xludf.DUMMYFUNCTION("""COMPUTED_VALUE"""),"")</f>
        <v/>
      </c>
      <c r="D24318" s="12" t="str">
        <f ca="1">IFERROR(__xludf.DUMMYFUNCTION("""COMPUTED_VALUE"""),"")</f>
        <v/>
      </c>
    </row>
    <row r="24319" spans="2:4" ht="13">
      <c r="B24319" s="12" t="str">
        <f ca="1">IFERROR(__xludf.DUMMYFUNCTION("""COMPUTED_VALUE"""),"")</f>
        <v/>
      </c>
      <c r="C24319" s="12" t="str">
        <f ca="1">IFERROR(__xludf.DUMMYFUNCTION("""COMPUTED_VALUE"""),"")</f>
        <v/>
      </c>
      <c r="D24319" s="12" t="str">
        <f ca="1">IFERROR(__xludf.DUMMYFUNCTION("""COMPUTED_VALUE"""),"")</f>
        <v/>
      </c>
    </row>
    <row r="24320" spans="2:4" ht="13">
      <c r="B24320" s="12" t="str">
        <f ca="1">IFERROR(__xludf.DUMMYFUNCTION("""COMPUTED_VALUE"""),"")</f>
        <v/>
      </c>
      <c r="C24320" s="12" t="str">
        <f ca="1">IFERROR(__xludf.DUMMYFUNCTION("""COMPUTED_VALUE"""),"")</f>
        <v/>
      </c>
      <c r="D24320" s="12" t="str">
        <f ca="1">IFERROR(__xludf.DUMMYFUNCTION("""COMPUTED_VALUE"""),"")</f>
        <v/>
      </c>
    </row>
    <row r="24321" spans="2:4" ht="13">
      <c r="B24321" s="12" t="str">
        <f ca="1">IFERROR(__xludf.DUMMYFUNCTION("""COMPUTED_VALUE"""),"")</f>
        <v/>
      </c>
      <c r="C24321" s="12" t="str">
        <f ca="1">IFERROR(__xludf.DUMMYFUNCTION("""COMPUTED_VALUE"""),"")</f>
        <v/>
      </c>
      <c r="D24321" s="12" t="str">
        <f ca="1">IFERROR(__xludf.DUMMYFUNCTION("""COMPUTED_VALUE"""),"")</f>
        <v/>
      </c>
    </row>
    <row r="24322" spans="2:4" ht="13">
      <c r="B24322" s="12" t="str">
        <f ca="1">IFERROR(__xludf.DUMMYFUNCTION("""COMPUTED_VALUE"""),"")</f>
        <v/>
      </c>
      <c r="C24322" s="12" t="str">
        <f ca="1">IFERROR(__xludf.DUMMYFUNCTION("""COMPUTED_VALUE"""),"")</f>
        <v/>
      </c>
      <c r="D24322" s="12" t="str">
        <f ca="1">IFERROR(__xludf.DUMMYFUNCTION("""COMPUTED_VALUE"""),"")</f>
        <v/>
      </c>
    </row>
    <row r="24323" spans="2:4" ht="13">
      <c r="B24323" s="12" t="str">
        <f ca="1">IFERROR(__xludf.DUMMYFUNCTION("""COMPUTED_VALUE"""),"")</f>
        <v/>
      </c>
      <c r="C24323" s="12" t="str">
        <f ca="1">IFERROR(__xludf.DUMMYFUNCTION("""COMPUTED_VALUE"""),"")</f>
        <v/>
      </c>
      <c r="D24323" s="12" t="str">
        <f ca="1">IFERROR(__xludf.DUMMYFUNCTION("""COMPUTED_VALUE"""),"")</f>
        <v/>
      </c>
    </row>
    <row r="24324" spans="2:4" ht="13">
      <c r="B24324" s="12" t="str">
        <f ca="1">IFERROR(__xludf.DUMMYFUNCTION("""COMPUTED_VALUE"""),"")</f>
        <v/>
      </c>
      <c r="C24324" s="12" t="str">
        <f ca="1">IFERROR(__xludf.DUMMYFUNCTION("""COMPUTED_VALUE"""),"")</f>
        <v/>
      </c>
      <c r="D24324" s="12" t="str">
        <f ca="1">IFERROR(__xludf.DUMMYFUNCTION("""COMPUTED_VALUE"""),"")</f>
        <v/>
      </c>
    </row>
    <row r="24325" spans="2:4" ht="13">
      <c r="B24325" s="12" t="str">
        <f ca="1">IFERROR(__xludf.DUMMYFUNCTION("""COMPUTED_VALUE"""),"")</f>
        <v/>
      </c>
      <c r="C24325" s="12" t="str">
        <f ca="1">IFERROR(__xludf.DUMMYFUNCTION("""COMPUTED_VALUE"""),"")</f>
        <v/>
      </c>
      <c r="D24325" s="12" t="str">
        <f ca="1">IFERROR(__xludf.DUMMYFUNCTION("""COMPUTED_VALUE"""),"")</f>
        <v/>
      </c>
    </row>
    <row r="24326" spans="2:4" ht="13">
      <c r="B24326" s="12" t="str">
        <f ca="1">IFERROR(__xludf.DUMMYFUNCTION("""COMPUTED_VALUE"""),"")</f>
        <v/>
      </c>
      <c r="C24326" s="12" t="str">
        <f ca="1">IFERROR(__xludf.DUMMYFUNCTION("""COMPUTED_VALUE"""),"")</f>
        <v/>
      </c>
      <c r="D24326" s="12" t="str">
        <f ca="1">IFERROR(__xludf.DUMMYFUNCTION("""COMPUTED_VALUE"""),"")</f>
        <v/>
      </c>
    </row>
    <row r="24327" spans="2:4" ht="13">
      <c r="B24327" s="12" t="str">
        <f ca="1">IFERROR(__xludf.DUMMYFUNCTION("""COMPUTED_VALUE"""),"")</f>
        <v/>
      </c>
      <c r="C24327" s="12" t="str">
        <f ca="1">IFERROR(__xludf.DUMMYFUNCTION("""COMPUTED_VALUE"""),"")</f>
        <v/>
      </c>
      <c r="D24327" s="12" t="str">
        <f ca="1">IFERROR(__xludf.DUMMYFUNCTION("""COMPUTED_VALUE"""),"")</f>
        <v/>
      </c>
    </row>
    <row r="24328" spans="2:4" ht="13">
      <c r="B24328" s="12" t="str">
        <f ca="1">IFERROR(__xludf.DUMMYFUNCTION("""COMPUTED_VALUE"""),"")</f>
        <v/>
      </c>
      <c r="C24328" s="12" t="str">
        <f ca="1">IFERROR(__xludf.DUMMYFUNCTION("""COMPUTED_VALUE"""),"")</f>
        <v/>
      </c>
      <c r="D24328" s="12" t="str">
        <f ca="1">IFERROR(__xludf.DUMMYFUNCTION("""COMPUTED_VALUE"""),"")</f>
        <v/>
      </c>
    </row>
    <row r="24329" spans="2:4" ht="13">
      <c r="B24329" s="12" t="str">
        <f ca="1">IFERROR(__xludf.DUMMYFUNCTION("""COMPUTED_VALUE"""),"")</f>
        <v/>
      </c>
      <c r="C24329" s="12" t="str">
        <f ca="1">IFERROR(__xludf.DUMMYFUNCTION("""COMPUTED_VALUE"""),"")</f>
        <v/>
      </c>
      <c r="D24329" s="12" t="str">
        <f ca="1">IFERROR(__xludf.DUMMYFUNCTION("""COMPUTED_VALUE"""),"")</f>
        <v/>
      </c>
    </row>
    <row r="24330" spans="2:4" ht="13">
      <c r="B24330" s="12" t="str">
        <f ca="1">IFERROR(__xludf.DUMMYFUNCTION("""COMPUTED_VALUE"""),"")</f>
        <v/>
      </c>
      <c r="C24330" s="12" t="str">
        <f ca="1">IFERROR(__xludf.DUMMYFUNCTION("""COMPUTED_VALUE"""),"")</f>
        <v/>
      </c>
      <c r="D24330" s="12" t="str">
        <f ca="1">IFERROR(__xludf.DUMMYFUNCTION("""COMPUTED_VALUE"""),"")</f>
        <v/>
      </c>
    </row>
    <row r="24331" spans="2:4" ht="13">
      <c r="B24331" s="12" t="str">
        <f ca="1">IFERROR(__xludf.DUMMYFUNCTION("""COMPUTED_VALUE"""),"")</f>
        <v/>
      </c>
      <c r="C24331" s="12" t="str">
        <f ca="1">IFERROR(__xludf.DUMMYFUNCTION("""COMPUTED_VALUE"""),"")</f>
        <v/>
      </c>
      <c r="D24331" s="12" t="str">
        <f ca="1">IFERROR(__xludf.DUMMYFUNCTION("""COMPUTED_VALUE"""),"")</f>
        <v/>
      </c>
    </row>
    <row r="24332" spans="2:4" ht="13">
      <c r="B24332" s="12" t="str">
        <f ca="1">IFERROR(__xludf.DUMMYFUNCTION("""COMPUTED_VALUE"""),"")</f>
        <v/>
      </c>
      <c r="C24332" s="12" t="str">
        <f ca="1">IFERROR(__xludf.DUMMYFUNCTION("""COMPUTED_VALUE"""),"")</f>
        <v/>
      </c>
      <c r="D24332" s="12" t="str">
        <f ca="1">IFERROR(__xludf.DUMMYFUNCTION("""COMPUTED_VALUE"""),"")</f>
        <v/>
      </c>
    </row>
    <row r="24333" spans="2:4" ht="13">
      <c r="B24333" s="12" t="str">
        <f ca="1">IFERROR(__xludf.DUMMYFUNCTION("""COMPUTED_VALUE"""),"")</f>
        <v/>
      </c>
      <c r="C24333" s="12" t="str">
        <f ca="1">IFERROR(__xludf.DUMMYFUNCTION("""COMPUTED_VALUE"""),"")</f>
        <v/>
      </c>
      <c r="D24333" s="12" t="str">
        <f ca="1">IFERROR(__xludf.DUMMYFUNCTION("""COMPUTED_VALUE"""),"")</f>
        <v/>
      </c>
    </row>
    <row r="24334" spans="2:4" ht="13">
      <c r="B24334" s="12" t="str">
        <f ca="1">IFERROR(__xludf.DUMMYFUNCTION("""COMPUTED_VALUE"""),"")</f>
        <v/>
      </c>
      <c r="C24334" s="12" t="str">
        <f ca="1">IFERROR(__xludf.DUMMYFUNCTION("""COMPUTED_VALUE"""),"")</f>
        <v/>
      </c>
      <c r="D24334" s="12" t="str">
        <f ca="1">IFERROR(__xludf.DUMMYFUNCTION("""COMPUTED_VALUE"""),"")</f>
        <v/>
      </c>
    </row>
    <row r="24335" spans="2:4" ht="13">
      <c r="B24335" s="12" t="str">
        <f ca="1">IFERROR(__xludf.DUMMYFUNCTION("""COMPUTED_VALUE"""),"")</f>
        <v/>
      </c>
      <c r="C24335" s="12" t="str">
        <f ca="1">IFERROR(__xludf.DUMMYFUNCTION("""COMPUTED_VALUE"""),"")</f>
        <v/>
      </c>
      <c r="D24335" s="12" t="str">
        <f ca="1">IFERROR(__xludf.DUMMYFUNCTION("""COMPUTED_VALUE"""),"")</f>
        <v/>
      </c>
    </row>
    <row r="24336" spans="2:4" ht="13">
      <c r="B24336" s="12" t="str">
        <f ca="1">IFERROR(__xludf.DUMMYFUNCTION("""COMPUTED_VALUE"""),"")</f>
        <v/>
      </c>
      <c r="C24336" s="12" t="str">
        <f ca="1">IFERROR(__xludf.DUMMYFUNCTION("""COMPUTED_VALUE"""),"")</f>
        <v/>
      </c>
      <c r="D24336" s="12" t="str">
        <f ca="1">IFERROR(__xludf.DUMMYFUNCTION("""COMPUTED_VALUE"""),"")</f>
        <v/>
      </c>
    </row>
    <row r="24337" spans="2:4" ht="13">
      <c r="B24337" s="12" t="str">
        <f ca="1">IFERROR(__xludf.DUMMYFUNCTION("""COMPUTED_VALUE"""),"")</f>
        <v/>
      </c>
      <c r="C24337" s="12" t="str">
        <f ca="1">IFERROR(__xludf.DUMMYFUNCTION("""COMPUTED_VALUE"""),"")</f>
        <v/>
      </c>
      <c r="D24337" s="12" t="str">
        <f ca="1">IFERROR(__xludf.DUMMYFUNCTION("""COMPUTED_VALUE"""),"")</f>
        <v/>
      </c>
    </row>
    <row r="24338" spans="2:4" ht="13">
      <c r="B24338" s="12" t="str">
        <f ca="1">IFERROR(__xludf.DUMMYFUNCTION("""COMPUTED_VALUE"""),"")</f>
        <v/>
      </c>
      <c r="C24338" s="12" t="str">
        <f ca="1">IFERROR(__xludf.DUMMYFUNCTION("""COMPUTED_VALUE"""),"")</f>
        <v/>
      </c>
      <c r="D24338" s="12" t="str">
        <f ca="1">IFERROR(__xludf.DUMMYFUNCTION("""COMPUTED_VALUE"""),"")</f>
        <v/>
      </c>
    </row>
    <row r="24339" spans="2:4" ht="13">
      <c r="B24339" s="12" t="str">
        <f ca="1">IFERROR(__xludf.DUMMYFUNCTION("""COMPUTED_VALUE"""),"")</f>
        <v/>
      </c>
      <c r="C24339" s="12" t="str">
        <f ca="1">IFERROR(__xludf.DUMMYFUNCTION("""COMPUTED_VALUE"""),"")</f>
        <v/>
      </c>
      <c r="D24339" s="12" t="str">
        <f ca="1">IFERROR(__xludf.DUMMYFUNCTION("""COMPUTED_VALUE"""),"")</f>
        <v/>
      </c>
    </row>
    <row r="24340" spans="2:4" ht="13">
      <c r="B24340" s="12" t="str">
        <f ca="1">IFERROR(__xludf.DUMMYFUNCTION("""COMPUTED_VALUE"""),"")</f>
        <v/>
      </c>
      <c r="C24340" s="12" t="str">
        <f ca="1">IFERROR(__xludf.DUMMYFUNCTION("""COMPUTED_VALUE"""),"")</f>
        <v/>
      </c>
      <c r="D24340" s="12" t="str">
        <f ca="1">IFERROR(__xludf.DUMMYFUNCTION("""COMPUTED_VALUE"""),"")</f>
        <v/>
      </c>
    </row>
    <row r="24341" spans="2:4" ht="13">
      <c r="B24341" s="12" t="str">
        <f ca="1">IFERROR(__xludf.DUMMYFUNCTION("""COMPUTED_VALUE"""),"")</f>
        <v/>
      </c>
      <c r="C24341" s="12" t="str">
        <f ca="1">IFERROR(__xludf.DUMMYFUNCTION("""COMPUTED_VALUE"""),"")</f>
        <v/>
      </c>
      <c r="D24341" s="12" t="str">
        <f ca="1">IFERROR(__xludf.DUMMYFUNCTION("""COMPUTED_VALUE"""),"")</f>
        <v/>
      </c>
    </row>
    <row r="24342" spans="2:4" ht="13">
      <c r="B24342" s="12" t="str">
        <f ca="1">IFERROR(__xludf.DUMMYFUNCTION("""COMPUTED_VALUE"""),"")</f>
        <v/>
      </c>
      <c r="C24342" s="12" t="str">
        <f ca="1">IFERROR(__xludf.DUMMYFUNCTION("""COMPUTED_VALUE"""),"")</f>
        <v/>
      </c>
      <c r="D24342" s="12" t="str">
        <f ca="1">IFERROR(__xludf.DUMMYFUNCTION("""COMPUTED_VALUE"""),"")</f>
        <v/>
      </c>
    </row>
    <row r="24343" spans="2:4" ht="13">
      <c r="B24343" s="12" t="str">
        <f ca="1">IFERROR(__xludf.DUMMYFUNCTION("""COMPUTED_VALUE"""),"")</f>
        <v/>
      </c>
      <c r="C24343" s="12" t="str">
        <f ca="1">IFERROR(__xludf.DUMMYFUNCTION("""COMPUTED_VALUE"""),"")</f>
        <v/>
      </c>
      <c r="D24343" s="12" t="str">
        <f ca="1">IFERROR(__xludf.DUMMYFUNCTION("""COMPUTED_VALUE"""),"")</f>
        <v/>
      </c>
    </row>
    <row r="24344" spans="2:4" ht="13">
      <c r="B24344" s="12" t="str">
        <f ca="1">IFERROR(__xludf.DUMMYFUNCTION("""COMPUTED_VALUE"""),"")</f>
        <v/>
      </c>
      <c r="C24344" s="12" t="str">
        <f ca="1">IFERROR(__xludf.DUMMYFUNCTION("""COMPUTED_VALUE"""),"")</f>
        <v/>
      </c>
      <c r="D24344" s="12" t="str">
        <f ca="1">IFERROR(__xludf.DUMMYFUNCTION("""COMPUTED_VALUE"""),"")</f>
        <v/>
      </c>
    </row>
    <row r="24345" spans="2:4" ht="13">
      <c r="B24345" s="12" t="str">
        <f ca="1">IFERROR(__xludf.DUMMYFUNCTION("""COMPUTED_VALUE"""),"")</f>
        <v/>
      </c>
      <c r="C24345" s="12" t="str">
        <f ca="1">IFERROR(__xludf.DUMMYFUNCTION("""COMPUTED_VALUE"""),"")</f>
        <v/>
      </c>
      <c r="D24345" s="12" t="str">
        <f ca="1">IFERROR(__xludf.DUMMYFUNCTION("""COMPUTED_VALUE"""),"")</f>
        <v/>
      </c>
    </row>
    <row r="24346" spans="2:4" ht="13">
      <c r="B24346" s="12" t="str">
        <f ca="1">IFERROR(__xludf.DUMMYFUNCTION("""COMPUTED_VALUE"""),"")</f>
        <v/>
      </c>
      <c r="C24346" s="12" t="str">
        <f ca="1">IFERROR(__xludf.DUMMYFUNCTION("""COMPUTED_VALUE"""),"")</f>
        <v/>
      </c>
      <c r="D24346" s="12" t="str">
        <f ca="1">IFERROR(__xludf.DUMMYFUNCTION("""COMPUTED_VALUE"""),"")</f>
        <v/>
      </c>
    </row>
    <row r="24347" spans="2:4" ht="13">
      <c r="B24347" s="12" t="str">
        <f ca="1">IFERROR(__xludf.DUMMYFUNCTION("""COMPUTED_VALUE"""),"")</f>
        <v/>
      </c>
      <c r="C24347" s="12" t="str">
        <f ca="1">IFERROR(__xludf.DUMMYFUNCTION("""COMPUTED_VALUE"""),"")</f>
        <v/>
      </c>
      <c r="D24347" s="12" t="str">
        <f ca="1">IFERROR(__xludf.DUMMYFUNCTION("""COMPUTED_VALUE"""),"")</f>
        <v/>
      </c>
    </row>
    <row r="24348" spans="2:4" ht="13">
      <c r="B24348" s="12" t="str">
        <f ca="1">IFERROR(__xludf.DUMMYFUNCTION("""COMPUTED_VALUE"""),"")</f>
        <v/>
      </c>
      <c r="C24348" s="12" t="str">
        <f ca="1">IFERROR(__xludf.DUMMYFUNCTION("""COMPUTED_VALUE"""),"")</f>
        <v/>
      </c>
      <c r="D24348" s="12" t="str">
        <f ca="1">IFERROR(__xludf.DUMMYFUNCTION("""COMPUTED_VALUE"""),"")</f>
        <v/>
      </c>
    </row>
    <row r="24349" spans="2:4" ht="13">
      <c r="B24349" s="12" t="str">
        <f ca="1">IFERROR(__xludf.DUMMYFUNCTION("""COMPUTED_VALUE"""),"")</f>
        <v/>
      </c>
      <c r="C24349" s="12" t="str">
        <f ca="1">IFERROR(__xludf.DUMMYFUNCTION("""COMPUTED_VALUE"""),"")</f>
        <v/>
      </c>
      <c r="D24349" s="12" t="str">
        <f ca="1">IFERROR(__xludf.DUMMYFUNCTION("""COMPUTED_VALUE"""),"")</f>
        <v/>
      </c>
    </row>
    <row r="24350" spans="2:4" ht="13">
      <c r="B24350" s="12" t="str">
        <f ca="1">IFERROR(__xludf.DUMMYFUNCTION("""COMPUTED_VALUE"""),"")</f>
        <v/>
      </c>
      <c r="C24350" s="12" t="str">
        <f ca="1">IFERROR(__xludf.DUMMYFUNCTION("""COMPUTED_VALUE"""),"")</f>
        <v/>
      </c>
      <c r="D24350" s="12" t="str">
        <f ca="1">IFERROR(__xludf.DUMMYFUNCTION("""COMPUTED_VALUE"""),"")</f>
        <v/>
      </c>
    </row>
    <row r="24351" spans="2:4" ht="13">
      <c r="B24351" s="12" t="str">
        <f ca="1">IFERROR(__xludf.DUMMYFUNCTION("""COMPUTED_VALUE"""),"")</f>
        <v/>
      </c>
      <c r="C24351" s="12" t="str">
        <f ca="1">IFERROR(__xludf.DUMMYFUNCTION("""COMPUTED_VALUE"""),"")</f>
        <v/>
      </c>
      <c r="D24351" s="12" t="str">
        <f ca="1">IFERROR(__xludf.DUMMYFUNCTION("""COMPUTED_VALUE"""),"")</f>
        <v/>
      </c>
    </row>
    <row r="24352" spans="2:4" ht="13">
      <c r="B24352" s="12" t="str">
        <f ca="1">IFERROR(__xludf.DUMMYFUNCTION("""COMPUTED_VALUE"""),"")</f>
        <v/>
      </c>
      <c r="C24352" s="12" t="str">
        <f ca="1">IFERROR(__xludf.DUMMYFUNCTION("""COMPUTED_VALUE"""),"")</f>
        <v/>
      </c>
      <c r="D24352" s="12" t="str">
        <f ca="1">IFERROR(__xludf.DUMMYFUNCTION("""COMPUTED_VALUE"""),"")</f>
        <v/>
      </c>
    </row>
    <row r="24353" spans="2:4" ht="13">
      <c r="B24353" s="12" t="str">
        <f ca="1">IFERROR(__xludf.DUMMYFUNCTION("""COMPUTED_VALUE"""),"")</f>
        <v/>
      </c>
      <c r="C24353" s="12" t="str">
        <f ca="1">IFERROR(__xludf.DUMMYFUNCTION("""COMPUTED_VALUE"""),"")</f>
        <v/>
      </c>
      <c r="D24353" s="12" t="str">
        <f ca="1">IFERROR(__xludf.DUMMYFUNCTION("""COMPUTED_VALUE"""),"")</f>
        <v/>
      </c>
    </row>
    <row r="24354" spans="2:4" ht="13">
      <c r="B24354" s="12" t="str">
        <f ca="1">IFERROR(__xludf.DUMMYFUNCTION("""COMPUTED_VALUE"""),"")</f>
        <v/>
      </c>
      <c r="C24354" s="12" t="str">
        <f ca="1">IFERROR(__xludf.DUMMYFUNCTION("""COMPUTED_VALUE"""),"")</f>
        <v/>
      </c>
      <c r="D24354" s="12" t="str">
        <f ca="1">IFERROR(__xludf.DUMMYFUNCTION("""COMPUTED_VALUE"""),"")</f>
        <v/>
      </c>
    </row>
    <row r="24355" spans="2:4" ht="13">
      <c r="B24355" s="12" t="str">
        <f ca="1">IFERROR(__xludf.DUMMYFUNCTION("""COMPUTED_VALUE"""),"")</f>
        <v/>
      </c>
      <c r="C24355" s="12" t="str">
        <f ca="1">IFERROR(__xludf.DUMMYFUNCTION("""COMPUTED_VALUE"""),"")</f>
        <v/>
      </c>
      <c r="D24355" s="12" t="str">
        <f ca="1">IFERROR(__xludf.DUMMYFUNCTION("""COMPUTED_VALUE"""),"")</f>
        <v/>
      </c>
    </row>
    <row r="24356" spans="2:4" ht="13">
      <c r="B24356" s="12" t="str">
        <f ca="1">IFERROR(__xludf.DUMMYFUNCTION("""COMPUTED_VALUE"""),"")</f>
        <v/>
      </c>
      <c r="C24356" s="12" t="str">
        <f ca="1">IFERROR(__xludf.DUMMYFUNCTION("""COMPUTED_VALUE"""),"")</f>
        <v/>
      </c>
      <c r="D24356" s="12" t="str">
        <f ca="1">IFERROR(__xludf.DUMMYFUNCTION("""COMPUTED_VALUE"""),"")</f>
        <v/>
      </c>
    </row>
    <row r="24357" spans="2:4" ht="13">
      <c r="B24357" s="12" t="str">
        <f ca="1">IFERROR(__xludf.DUMMYFUNCTION("""COMPUTED_VALUE"""),"")</f>
        <v/>
      </c>
      <c r="C24357" s="12" t="str">
        <f ca="1">IFERROR(__xludf.DUMMYFUNCTION("""COMPUTED_VALUE"""),"")</f>
        <v/>
      </c>
      <c r="D24357" s="12" t="str">
        <f ca="1">IFERROR(__xludf.DUMMYFUNCTION("""COMPUTED_VALUE"""),"")</f>
        <v/>
      </c>
    </row>
    <row r="24358" spans="2:4" ht="13">
      <c r="B24358" s="12" t="str">
        <f ca="1">IFERROR(__xludf.DUMMYFUNCTION("""COMPUTED_VALUE"""),"")</f>
        <v/>
      </c>
      <c r="C24358" s="12" t="str">
        <f ca="1">IFERROR(__xludf.DUMMYFUNCTION("""COMPUTED_VALUE"""),"")</f>
        <v/>
      </c>
      <c r="D24358" s="12" t="str">
        <f ca="1">IFERROR(__xludf.DUMMYFUNCTION("""COMPUTED_VALUE"""),"")</f>
        <v/>
      </c>
    </row>
    <row r="24359" spans="2:4" ht="13">
      <c r="B24359" s="12" t="str">
        <f ca="1">IFERROR(__xludf.DUMMYFUNCTION("""COMPUTED_VALUE"""),"")</f>
        <v/>
      </c>
      <c r="C24359" s="12" t="str">
        <f ca="1">IFERROR(__xludf.DUMMYFUNCTION("""COMPUTED_VALUE"""),"")</f>
        <v/>
      </c>
      <c r="D24359" s="12" t="str">
        <f ca="1">IFERROR(__xludf.DUMMYFUNCTION("""COMPUTED_VALUE"""),"")</f>
        <v/>
      </c>
    </row>
    <row r="24360" spans="2:4" ht="13">
      <c r="B24360" s="12" t="str">
        <f ca="1">IFERROR(__xludf.DUMMYFUNCTION("""COMPUTED_VALUE"""),"")</f>
        <v/>
      </c>
      <c r="C24360" s="12" t="str">
        <f ca="1">IFERROR(__xludf.DUMMYFUNCTION("""COMPUTED_VALUE"""),"")</f>
        <v/>
      </c>
      <c r="D24360" s="12" t="str">
        <f ca="1">IFERROR(__xludf.DUMMYFUNCTION("""COMPUTED_VALUE"""),"")</f>
        <v/>
      </c>
    </row>
    <row r="24361" spans="2:4" ht="13">
      <c r="B24361" s="12" t="str">
        <f ca="1">IFERROR(__xludf.DUMMYFUNCTION("""COMPUTED_VALUE"""),"")</f>
        <v/>
      </c>
      <c r="C24361" s="12" t="str">
        <f ca="1">IFERROR(__xludf.DUMMYFUNCTION("""COMPUTED_VALUE"""),"")</f>
        <v/>
      </c>
      <c r="D24361" s="12" t="str">
        <f ca="1">IFERROR(__xludf.DUMMYFUNCTION("""COMPUTED_VALUE"""),"")</f>
        <v/>
      </c>
    </row>
    <row r="24362" spans="2:4" ht="13">
      <c r="B24362" s="12" t="str">
        <f ca="1">IFERROR(__xludf.DUMMYFUNCTION("""COMPUTED_VALUE"""),"")</f>
        <v/>
      </c>
      <c r="C24362" s="12" t="str">
        <f ca="1">IFERROR(__xludf.DUMMYFUNCTION("""COMPUTED_VALUE"""),"")</f>
        <v/>
      </c>
      <c r="D24362" s="12" t="str">
        <f ca="1">IFERROR(__xludf.DUMMYFUNCTION("""COMPUTED_VALUE"""),"")</f>
        <v/>
      </c>
    </row>
    <row r="24363" spans="2:4" ht="13">
      <c r="B24363" s="12" t="str">
        <f ca="1">IFERROR(__xludf.DUMMYFUNCTION("""COMPUTED_VALUE"""),"")</f>
        <v/>
      </c>
      <c r="C24363" s="12" t="str">
        <f ca="1">IFERROR(__xludf.DUMMYFUNCTION("""COMPUTED_VALUE"""),"")</f>
        <v/>
      </c>
      <c r="D24363" s="12" t="str">
        <f ca="1">IFERROR(__xludf.DUMMYFUNCTION("""COMPUTED_VALUE"""),"")</f>
        <v/>
      </c>
    </row>
    <row r="24364" spans="2:4" ht="13">
      <c r="B24364" s="12" t="str">
        <f ca="1">IFERROR(__xludf.DUMMYFUNCTION("""COMPUTED_VALUE"""),"")</f>
        <v/>
      </c>
      <c r="C24364" s="12" t="str">
        <f ca="1">IFERROR(__xludf.DUMMYFUNCTION("""COMPUTED_VALUE"""),"")</f>
        <v/>
      </c>
      <c r="D24364" s="12" t="str">
        <f ca="1">IFERROR(__xludf.DUMMYFUNCTION("""COMPUTED_VALUE"""),"")</f>
        <v/>
      </c>
    </row>
    <row r="24365" spans="2:4" ht="13">
      <c r="B24365" s="12" t="str">
        <f ca="1">IFERROR(__xludf.DUMMYFUNCTION("""COMPUTED_VALUE"""),"")</f>
        <v/>
      </c>
      <c r="C24365" s="12" t="str">
        <f ca="1">IFERROR(__xludf.DUMMYFUNCTION("""COMPUTED_VALUE"""),"")</f>
        <v/>
      </c>
      <c r="D24365" s="12" t="str">
        <f ca="1">IFERROR(__xludf.DUMMYFUNCTION("""COMPUTED_VALUE"""),"")</f>
        <v/>
      </c>
    </row>
    <row r="24366" spans="2:4" ht="13">
      <c r="B24366" s="12" t="str">
        <f ca="1">IFERROR(__xludf.DUMMYFUNCTION("""COMPUTED_VALUE"""),"")</f>
        <v/>
      </c>
      <c r="C24366" s="12" t="str">
        <f ca="1">IFERROR(__xludf.DUMMYFUNCTION("""COMPUTED_VALUE"""),"")</f>
        <v/>
      </c>
      <c r="D24366" s="12" t="str">
        <f ca="1">IFERROR(__xludf.DUMMYFUNCTION("""COMPUTED_VALUE"""),"")</f>
        <v/>
      </c>
    </row>
    <row r="24367" spans="2:4" ht="13">
      <c r="B24367" s="12" t="str">
        <f ca="1">IFERROR(__xludf.DUMMYFUNCTION("""COMPUTED_VALUE"""),"")</f>
        <v/>
      </c>
      <c r="C24367" s="12" t="str">
        <f ca="1">IFERROR(__xludf.DUMMYFUNCTION("""COMPUTED_VALUE"""),"")</f>
        <v/>
      </c>
      <c r="D24367" s="12" t="str">
        <f ca="1">IFERROR(__xludf.DUMMYFUNCTION("""COMPUTED_VALUE"""),"")</f>
        <v/>
      </c>
    </row>
    <row r="24368" spans="2:4" ht="13">
      <c r="B24368" s="12" t="str">
        <f ca="1">IFERROR(__xludf.DUMMYFUNCTION("""COMPUTED_VALUE"""),"")</f>
        <v/>
      </c>
      <c r="C24368" s="12" t="str">
        <f ca="1">IFERROR(__xludf.DUMMYFUNCTION("""COMPUTED_VALUE"""),"")</f>
        <v/>
      </c>
      <c r="D24368" s="12" t="str">
        <f ca="1">IFERROR(__xludf.DUMMYFUNCTION("""COMPUTED_VALUE"""),"")</f>
        <v/>
      </c>
    </row>
    <row r="24369" spans="2:4" ht="13">
      <c r="B24369" s="12" t="str">
        <f ca="1">IFERROR(__xludf.DUMMYFUNCTION("""COMPUTED_VALUE"""),"")</f>
        <v/>
      </c>
      <c r="C24369" s="12" t="str">
        <f ca="1">IFERROR(__xludf.DUMMYFUNCTION("""COMPUTED_VALUE"""),"")</f>
        <v/>
      </c>
      <c r="D24369" s="12" t="str">
        <f ca="1">IFERROR(__xludf.DUMMYFUNCTION("""COMPUTED_VALUE"""),"")</f>
        <v/>
      </c>
    </row>
    <row r="24370" spans="2:4" ht="13">
      <c r="B24370" s="12" t="str">
        <f ca="1">IFERROR(__xludf.DUMMYFUNCTION("""COMPUTED_VALUE"""),"")</f>
        <v/>
      </c>
      <c r="C24370" s="12" t="str">
        <f ca="1">IFERROR(__xludf.DUMMYFUNCTION("""COMPUTED_VALUE"""),"")</f>
        <v/>
      </c>
      <c r="D24370" s="12" t="str">
        <f ca="1">IFERROR(__xludf.DUMMYFUNCTION("""COMPUTED_VALUE"""),"")</f>
        <v/>
      </c>
    </row>
    <row r="24371" spans="2:4" ht="13">
      <c r="B24371" s="12" t="str">
        <f ca="1">IFERROR(__xludf.DUMMYFUNCTION("""COMPUTED_VALUE"""),"")</f>
        <v/>
      </c>
      <c r="C24371" s="12" t="str">
        <f ca="1">IFERROR(__xludf.DUMMYFUNCTION("""COMPUTED_VALUE"""),"")</f>
        <v/>
      </c>
      <c r="D24371" s="12" t="str">
        <f ca="1">IFERROR(__xludf.DUMMYFUNCTION("""COMPUTED_VALUE"""),"")</f>
        <v/>
      </c>
    </row>
    <row r="24372" spans="2:4" ht="13">
      <c r="B24372" s="12" t="str">
        <f ca="1">IFERROR(__xludf.DUMMYFUNCTION("""COMPUTED_VALUE"""),"")</f>
        <v/>
      </c>
      <c r="C24372" s="12" t="str">
        <f ca="1">IFERROR(__xludf.DUMMYFUNCTION("""COMPUTED_VALUE"""),"")</f>
        <v/>
      </c>
      <c r="D24372" s="12" t="str">
        <f ca="1">IFERROR(__xludf.DUMMYFUNCTION("""COMPUTED_VALUE"""),"")</f>
        <v/>
      </c>
    </row>
    <row r="24373" spans="2:4" ht="13">
      <c r="B24373" s="12" t="str">
        <f ca="1">IFERROR(__xludf.DUMMYFUNCTION("""COMPUTED_VALUE"""),"")</f>
        <v/>
      </c>
      <c r="C24373" s="12" t="str">
        <f ca="1">IFERROR(__xludf.DUMMYFUNCTION("""COMPUTED_VALUE"""),"")</f>
        <v/>
      </c>
      <c r="D24373" s="12" t="str">
        <f ca="1">IFERROR(__xludf.DUMMYFUNCTION("""COMPUTED_VALUE"""),"")</f>
        <v/>
      </c>
    </row>
    <row r="24374" spans="2:4" ht="13">
      <c r="B24374" s="12" t="str">
        <f ca="1">IFERROR(__xludf.DUMMYFUNCTION("""COMPUTED_VALUE"""),"")</f>
        <v/>
      </c>
      <c r="C24374" s="12" t="str">
        <f ca="1">IFERROR(__xludf.DUMMYFUNCTION("""COMPUTED_VALUE"""),"")</f>
        <v/>
      </c>
      <c r="D24374" s="12" t="str">
        <f ca="1">IFERROR(__xludf.DUMMYFUNCTION("""COMPUTED_VALUE"""),"")</f>
        <v/>
      </c>
    </row>
    <row r="24375" spans="2:4" ht="13">
      <c r="B24375" s="12" t="str">
        <f ca="1">IFERROR(__xludf.DUMMYFUNCTION("""COMPUTED_VALUE"""),"")</f>
        <v/>
      </c>
      <c r="C24375" s="12" t="str">
        <f ca="1">IFERROR(__xludf.DUMMYFUNCTION("""COMPUTED_VALUE"""),"")</f>
        <v/>
      </c>
      <c r="D24375" s="12" t="str">
        <f ca="1">IFERROR(__xludf.DUMMYFUNCTION("""COMPUTED_VALUE"""),"")</f>
        <v/>
      </c>
    </row>
    <row r="24376" spans="2:4" ht="13">
      <c r="B24376" s="12" t="str">
        <f ca="1">IFERROR(__xludf.DUMMYFUNCTION("""COMPUTED_VALUE"""),"")</f>
        <v/>
      </c>
      <c r="C24376" s="12" t="str">
        <f ca="1">IFERROR(__xludf.DUMMYFUNCTION("""COMPUTED_VALUE"""),"")</f>
        <v/>
      </c>
      <c r="D24376" s="12" t="str">
        <f ca="1">IFERROR(__xludf.DUMMYFUNCTION("""COMPUTED_VALUE"""),"")</f>
        <v/>
      </c>
    </row>
    <row r="24377" spans="2:4" ht="13">
      <c r="B24377" s="12" t="str">
        <f ca="1">IFERROR(__xludf.DUMMYFUNCTION("""COMPUTED_VALUE"""),"")</f>
        <v/>
      </c>
      <c r="C24377" s="12" t="str">
        <f ca="1">IFERROR(__xludf.DUMMYFUNCTION("""COMPUTED_VALUE"""),"")</f>
        <v/>
      </c>
      <c r="D24377" s="12" t="str">
        <f ca="1">IFERROR(__xludf.DUMMYFUNCTION("""COMPUTED_VALUE"""),"")</f>
        <v/>
      </c>
    </row>
    <row r="24378" spans="2:4" ht="13">
      <c r="B24378" s="12" t="str">
        <f ca="1">IFERROR(__xludf.DUMMYFUNCTION("""COMPUTED_VALUE"""),"")</f>
        <v/>
      </c>
      <c r="C24378" s="12" t="str">
        <f ca="1">IFERROR(__xludf.DUMMYFUNCTION("""COMPUTED_VALUE"""),"")</f>
        <v/>
      </c>
      <c r="D24378" s="12" t="str">
        <f ca="1">IFERROR(__xludf.DUMMYFUNCTION("""COMPUTED_VALUE"""),"")</f>
        <v/>
      </c>
    </row>
    <row r="24379" spans="2:4" ht="13">
      <c r="B24379" s="12" t="str">
        <f ca="1">IFERROR(__xludf.DUMMYFUNCTION("""COMPUTED_VALUE"""),"")</f>
        <v/>
      </c>
      <c r="C24379" s="12" t="str">
        <f ca="1">IFERROR(__xludf.DUMMYFUNCTION("""COMPUTED_VALUE"""),"")</f>
        <v/>
      </c>
      <c r="D24379" s="12" t="str">
        <f ca="1">IFERROR(__xludf.DUMMYFUNCTION("""COMPUTED_VALUE"""),"")</f>
        <v/>
      </c>
    </row>
    <row r="24380" spans="2:4" ht="13">
      <c r="B24380" s="12" t="str">
        <f ca="1">IFERROR(__xludf.DUMMYFUNCTION("""COMPUTED_VALUE"""),"")</f>
        <v/>
      </c>
      <c r="C24380" s="12" t="str">
        <f ca="1">IFERROR(__xludf.DUMMYFUNCTION("""COMPUTED_VALUE"""),"")</f>
        <v/>
      </c>
      <c r="D24380" s="12" t="str">
        <f ca="1">IFERROR(__xludf.DUMMYFUNCTION("""COMPUTED_VALUE"""),"")</f>
        <v/>
      </c>
    </row>
    <row r="24381" spans="2:4" ht="13">
      <c r="B24381" s="12" t="str">
        <f ca="1">IFERROR(__xludf.DUMMYFUNCTION("""COMPUTED_VALUE"""),"")</f>
        <v/>
      </c>
      <c r="C24381" s="12" t="str">
        <f ca="1">IFERROR(__xludf.DUMMYFUNCTION("""COMPUTED_VALUE"""),"")</f>
        <v/>
      </c>
      <c r="D24381" s="12" t="str">
        <f ca="1">IFERROR(__xludf.DUMMYFUNCTION("""COMPUTED_VALUE"""),"")</f>
        <v/>
      </c>
    </row>
    <row r="24382" spans="2:4" ht="13">
      <c r="B24382" s="12" t="str">
        <f ca="1">IFERROR(__xludf.DUMMYFUNCTION("""COMPUTED_VALUE"""),"")</f>
        <v/>
      </c>
      <c r="C24382" s="12" t="str">
        <f ca="1">IFERROR(__xludf.DUMMYFUNCTION("""COMPUTED_VALUE"""),"")</f>
        <v/>
      </c>
      <c r="D24382" s="12" t="str">
        <f ca="1">IFERROR(__xludf.DUMMYFUNCTION("""COMPUTED_VALUE"""),"")</f>
        <v/>
      </c>
    </row>
    <row r="24383" spans="2:4" ht="13">
      <c r="B24383" s="12" t="str">
        <f ca="1">IFERROR(__xludf.DUMMYFUNCTION("""COMPUTED_VALUE"""),"")</f>
        <v/>
      </c>
      <c r="C24383" s="12" t="str">
        <f ca="1">IFERROR(__xludf.DUMMYFUNCTION("""COMPUTED_VALUE"""),"")</f>
        <v/>
      </c>
      <c r="D24383" s="12" t="str">
        <f ca="1">IFERROR(__xludf.DUMMYFUNCTION("""COMPUTED_VALUE"""),"")</f>
        <v/>
      </c>
    </row>
    <row r="24384" spans="2:4" ht="13">
      <c r="B24384" s="12" t="str">
        <f ca="1">IFERROR(__xludf.DUMMYFUNCTION("""COMPUTED_VALUE"""),"")</f>
        <v/>
      </c>
      <c r="C24384" s="12" t="str">
        <f ca="1">IFERROR(__xludf.DUMMYFUNCTION("""COMPUTED_VALUE"""),"")</f>
        <v/>
      </c>
      <c r="D24384" s="12" t="str">
        <f ca="1">IFERROR(__xludf.DUMMYFUNCTION("""COMPUTED_VALUE"""),"")</f>
        <v/>
      </c>
    </row>
    <row r="24385" spans="2:4" ht="13">
      <c r="B24385" s="12" t="str">
        <f ca="1">IFERROR(__xludf.DUMMYFUNCTION("""COMPUTED_VALUE"""),"")</f>
        <v/>
      </c>
      <c r="C24385" s="12" t="str">
        <f ca="1">IFERROR(__xludf.DUMMYFUNCTION("""COMPUTED_VALUE"""),"")</f>
        <v/>
      </c>
      <c r="D24385" s="12" t="str">
        <f ca="1">IFERROR(__xludf.DUMMYFUNCTION("""COMPUTED_VALUE"""),"")</f>
        <v/>
      </c>
    </row>
    <row r="24386" spans="2:4" ht="13">
      <c r="B24386" s="12" t="str">
        <f ca="1">IFERROR(__xludf.DUMMYFUNCTION("""COMPUTED_VALUE"""),"")</f>
        <v/>
      </c>
      <c r="C24386" s="12" t="str">
        <f ca="1">IFERROR(__xludf.DUMMYFUNCTION("""COMPUTED_VALUE"""),"")</f>
        <v/>
      </c>
      <c r="D24386" s="12" t="str">
        <f ca="1">IFERROR(__xludf.DUMMYFUNCTION("""COMPUTED_VALUE"""),"")</f>
        <v/>
      </c>
    </row>
    <row r="24387" spans="2:4" ht="13">
      <c r="B24387" s="12" t="str">
        <f ca="1">IFERROR(__xludf.DUMMYFUNCTION("""COMPUTED_VALUE"""),"")</f>
        <v/>
      </c>
      <c r="C24387" s="12" t="str">
        <f ca="1">IFERROR(__xludf.DUMMYFUNCTION("""COMPUTED_VALUE"""),"")</f>
        <v/>
      </c>
      <c r="D24387" s="12" t="str">
        <f ca="1">IFERROR(__xludf.DUMMYFUNCTION("""COMPUTED_VALUE"""),"")</f>
        <v/>
      </c>
    </row>
    <row r="24388" spans="2:4" ht="13">
      <c r="B24388" s="12" t="str">
        <f ca="1">IFERROR(__xludf.DUMMYFUNCTION("""COMPUTED_VALUE"""),"")</f>
        <v/>
      </c>
      <c r="C24388" s="12" t="str">
        <f ca="1">IFERROR(__xludf.DUMMYFUNCTION("""COMPUTED_VALUE"""),"")</f>
        <v/>
      </c>
      <c r="D24388" s="12" t="str">
        <f ca="1">IFERROR(__xludf.DUMMYFUNCTION("""COMPUTED_VALUE"""),"")</f>
        <v/>
      </c>
    </row>
    <row r="24389" spans="2:4" ht="13">
      <c r="B24389" s="12" t="str">
        <f ca="1">IFERROR(__xludf.DUMMYFUNCTION("""COMPUTED_VALUE"""),"")</f>
        <v/>
      </c>
      <c r="C24389" s="12" t="str">
        <f ca="1">IFERROR(__xludf.DUMMYFUNCTION("""COMPUTED_VALUE"""),"")</f>
        <v/>
      </c>
      <c r="D24389" s="12" t="str">
        <f ca="1">IFERROR(__xludf.DUMMYFUNCTION("""COMPUTED_VALUE"""),"")</f>
        <v/>
      </c>
    </row>
    <row r="24390" spans="2:4" ht="13">
      <c r="B24390" s="12" t="str">
        <f ca="1">IFERROR(__xludf.DUMMYFUNCTION("""COMPUTED_VALUE"""),"")</f>
        <v/>
      </c>
      <c r="C24390" s="12" t="str">
        <f ca="1">IFERROR(__xludf.DUMMYFUNCTION("""COMPUTED_VALUE"""),"")</f>
        <v/>
      </c>
      <c r="D24390" s="12" t="str">
        <f ca="1">IFERROR(__xludf.DUMMYFUNCTION("""COMPUTED_VALUE"""),"")</f>
        <v/>
      </c>
    </row>
    <row r="24391" spans="2:4" ht="13">
      <c r="B24391" s="12" t="str">
        <f ca="1">IFERROR(__xludf.DUMMYFUNCTION("""COMPUTED_VALUE"""),"")</f>
        <v/>
      </c>
      <c r="C24391" s="12" t="str">
        <f ca="1">IFERROR(__xludf.DUMMYFUNCTION("""COMPUTED_VALUE"""),"")</f>
        <v/>
      </c>
      <c r="D24391" s="12" t="str">
        <f ca="1">IFERROR(__xludf.DUMMYFUNCTION("""COMPUTED_VALUE"""),"")</f>
        <v/>
      </c>
    </row>
    <row r="24392" spans="2:4" ht="13">
      <c r="B24392" s="12" t="str">
        <f ca="1">IFERROR(__xludf.DUMMYFUNCTION("""COMPUTED_VALUE"""),"")</f>
        <v/>
      </c>
      <c r="C24392" s="12" t="str">
        <f ca="1">IFERROR(__xludf.DUMMYFUNCTION("""COMPUTED_VALUE"""),"")</f>
        <v/>
      </c>
      <c r="D24392" s="12" t="str">
        <f ca="1">IFERROR(__xludf.DUMMYFUNCTION("""COMPUTED_VALUE"""),"")</f>
        <v/>
      </c>
    </row>
    <row r="24393" spans="2:4" ht="13">
      <c r="B24393" s="12" t="str">
        <f ca="1">IFERROR(__xludf.DUMMYFUNCTION("""COMPUTED_VALUE"""),"")</f>
        <v/>
      </c>
      <c r="C24393" s="12" t="str">
        <f ca="1">IFERROR(__xludf.DUMMYFUNCTION("""COMPUTED_VALUE"""),"")</f>
        <v/>
      </c>
      <c r="D24393" s="12" t="str">
        <f ca="1">IFERROR(__xludf.DUMMYFUNCTION("""COMPUTED_VALUE"""),"")</f>
        <v/>
      </c>
    </row>
    <row r="24394" spans="2:4" ht="13">
      <c r="B24394" s="12" t="str">
        <f ca="1">IFERROR(__xludf.DUMMYFUNCTION("""COMPUTED_VALUE"""),"")</f>
        <v/>
      </c>
      <c r="C24394" s="12" t="str">
        <f ca="1">IFERROR(__xludf.DUMMYFUNCTION("""COMPUTED_VALUE"""),"")</f>
        <v/>
      </c>
      <c r="D24394" s="12" t="str">
        <f ca="1">IFERROR(__xludf.DUMMYFUNCTION("""COMPUTED_VALUE"""),"")</f>
        <v/>
      </c>
    </row>
    <row r="24395" spans="2:4" ht="13">
      <c r="B24395" s="12" t="str">
        <f ca="1">IFERROR(__xludf.DUMMYFUNCTION("""COMPUTED_VALUE"""),"")</f>
        <v/>
      </c>
      <c r="C24395" s="12" t="str">
        <f ca="1">IFERROR(__xludf.DUMMYFUNCTION("""COMPUTED_VALUE"""),"")</f>
        <v/>
      </c>
      <c r="D24395" s="12" t="str">
        <f ca="1">IFERROR(__xludf.DUMMYFUNCTION("""COMPUTED_VALUE"""),"")</f>
        <v/>
      </c>
    </row>
    <row r="24396" spans="2:4" ht="13">
      <c r="B24396" s="12" t="str">
        <f ca="1">IFERROR(__xludf.DUMMYFUNCTION("""COMPUTED_VALUE"""),"")</f>
        <v/>
      </c>
      <c r="C24396" s="12" t="str">
        <f ca="1">IFERROR(__xludf.DUMMYFUNCTION("""COMPUTED_VALUE"""),"")</f>
        <v/>
      </c>
      <c r="D24396" s="12" t="str">
        <f ca="1">IFERROR(__xludf.DUMMYFUNCTION("""COMPUTED_VALUE"""),"")</f>
        <v/>
      </c>
    </row>
    <row r="24397" spans="2:4" ht="13">
      <c r="B24397" s="12" t="str">
        <f ca="1">IFERROR(__xludf.DUMMYFUNCTION("""COMPUTED_VALUE"""),"")</f>
        <v/>
      </c>
      <c r="C24397" s="12" t="str">
        <f ca="1">IFERROR(__xludf.DUMMYFUNCTION("""COMPUTED_VALUE"""),"")</f>
        <v/>
      </c>
      <c r="D24397" s="12" t="str">
        <f ca="1">IFERROR(__xludf.DUMMYFUNCTION("""COMPUTED_VALUE"""),"")</f>
        <v/>
      </c>
    </row>
    <row r="24398" spans="2:4" ht="13">
      <c r="B24398" s="12" t="str">
        <f ca="1">IFERROR(__xludf.DUMMYFUNCTION("""COMPUTED_VALUE"""),"")</f>
        <v/>
      </c>
      <c r="C24398" s="12" t="str">
        <f ca="1">IFERROR(__xludf.DUMMYFUNCTION("""COMPUTED_VALUE"""),"")</f>
        <v/>
      </c>
      <c r="D24398" s="12" t="str">
        <f ca="1">IFERROR(__xludf.DUMMYFUNCTION("""COMPUTED_VALUE"""),"")</f>
        <v/>
      </c>
    </row>
    <row r="24399" spans="2:4" ht="13">
      <c r="B24399" s="12" t="str">
        <f ca="1">IFERROR(__xludf.DUMMYFUNCTION("""COMPUTED_VALUE"""),"")</f>
        <v/>
      </c>
      <c r="C24399" s="12" t="str">
        <f ca="1">IFERROR(__xludf.DUMMYFUNCTION("""COMPUTED_VALUE"""),"")</f>
        <v/>
      </c>
      <c r="D24399" s="12" t="str">
        <f ca="1">IFERROR(__xludf.DUMMYFUNCTION("""COMPUTED_VALUE"""),"")</f>
        <v/>
      </c>
    </row>
    <row r="24400" spans="2:4" ht="13">
      <c r="B24400" s="12" t="str">
        <f ca="1">IFERROR(__xludf.DUMMYFUNCTION("""COMPUTED_VALUE"""),"")</f>
        <v/>
      </c>
      <c r="C24400" s="12" t="str">
        <f ca="1">IFERROR(__xludf.DUMMYFUNCTION("""COMPUTED_VALUE"""),"")</f>
        <v/>
      </c>
      <c r="D24400" s="12" t="str">
        <f ca="1">IFERROR(__xludf.DUMMYFUNCTION("""COMPUTED_VALUE"""),"")</f>
        <v/>
      </c>
    </row>
    <row r="24401" spans="2:4" ht="13">
      <c r="B24401" s="12" t="str">
        <f ca="1">IFERROR(__xludf.DUMMYFUNCTION("""COMPUTED_VALUE"""),"")</f>
        <v/>
      </c>
      <c r="C24401" s="12" t="str">
        <f ca="1">IFERROR(__xludf.DUMMYFUNCTION("""COMPUTED_VALUE"""),"")</f>
        <v/>
      </c>
      <c r="D24401" s="12" t="str">
        <f ca="1">IFERROR(__xludf.DUMMYFUNCTION("""COMPUTED_VALUE"""),"")</f>
        <v/>
      </c>
    </row>
    <row r="24402" spans="2:4" ht="13">
      <c r="B24402" s="12" t="str">
        <f ca="1">IFERROR(__xludf.DUMMYFUNCTION("""COMPUTED_VALUE"""),"")</f>
        <v/>
      </c>
      <c r="C24402" s="12" t="str">
        <f ca="1">IFERROR(__xludf.DUMMYFUNCTION("""COMPUTED_VALUE"""),"")</f>
        <v/>
      </c>
      <c r="D24402" s="12" t="str">
        <f ca="1">IFERROR(__xludf.DUMMYFUNCTION("""COMPUTED_VALUE"""),"")</f>
        <v/>
      </c>
    </row>
    <row r="24403" spans="2:4" ht="13">
      <c r="B24403" s="12" t="str">
        <f ca="1">IFERROR(__xludf.DUMMYFUNCTION("""COMPUTED_VALUE"""),"")</f>
        <v/>
      </c>
      <c r="C24403" s="12" t="str">
        <f ca="1">IFERROR(__xludf.DUMMYFUNCTION("""COMPUTED_VALUE"""),"")</f>
        <v/>
      </c>
      <c r="D24403" s="12" t="str">
        <f ca="1">IFERROR(__xludf.DUMMYFUNCTION("""COMPUTED_VALUE"""),"")</f>
        <v/>
      </c>
    </row>
    <row r="24404" spans="2:4" ht="13">
      <c r="B24404" s="12" t="str">
        <f ca="1">IFERROR(__xludf.DUMMYFUNCTION("""COMPUTED_VALUE"""),"")</f>
        <v/>
      </c>
      <c r="C24404" s="12" t="str">
        <f ca="1">IFERROR(__xludf.DUMMYFUNCTION("""COMPUTED_VALUE"""),"")</f>
        <v/>
      </c>
      <c r="D24404" s="12" t="str">
        <f ca="1">IFERROR(__xludf.DUMMYFUNCTION("""COMPUTED_VALUE"""),"")</f>
        <v/>
      </c>
    </row>
    <row r="24405" spans="2:4" ht="13">
      <c r="B24405" s="12" t="str">
        <f ca="1">IFERROR(__xludf.DUMMYFUNCTION("""COMPUTED_VALUE"""),"")</f>
        <v/>
      </c>
      <c r="C24405" s="12" t="str">
        <f ca="1">IFERROR(__xludf.DUMMYFUNCTION("""COMPUTED_VALUE"""),"")</f>
        <v/>
      </c>
      <c r="D24405" s="12" t="str">
        <f ca="1">IFERROR(__xludf.DUMMYFUNCTION("""COMPUTED_VALUE"""),"")</f>
        <v/>
      </c>
    </row>
    <row r="24406" spans="2:4" ht="13">
      <c r="B24406" s="12" t="str">
        <f ca="1">IFERROR(__xludf.DUMMYFUNCTION("""COMPUTED_VALUE"""),"")</f>
        <v/>
      </c>
      <c r="C24406" s="12" t="str">
        <f ca="1">IFERROR(__xludf.DUMMYFUNCTION("""COMPUTED_VALUE"""),"")</f>
        <v/>
      </c>
      <c r="D24406" s="12" t="str">
        <f ca="1">IFERROR(__xludf.DUMMYFUNCTION("""COMPUTED_VALUE"""),"")</f>
        <v/>
      </c>
    </row>
    <row r="24407" spans="2:4" ht="13">
      <c r="B24407" s="12" t="str">
        <f ca="1">IFERROR(__xludf.DUMMYFUNCTION("""COMPUTED_VALUE"""),"")</f>
        <v/>
      </c>
      <c r="C24407" s="12" t="str">
        <f ca="1">IFERROR(__xludf.DUMMYFUNCTION("""COMPUTED_VALUE"""),"")</f>
        <v/>
      </c>
      <c r="D24407" s="12" t="str">
        <f ca="1">IFERROR(__xludf.DUMMYFUNCTION("""COMPUTED_VALUE"""),"")</f>
        <v/>
      </c>
    </row>
    <row r="24408" spans="2:4" ht="13">
      <c r="B24408" s="12" t="str">
        <f ca="1">IFERROR(__xludf.DUMMYFUNCTION("""COMPUTED_VALUE"""),"")</f>
        <v/>
      </c>
      <c r="C24408" s="12" t="str">
        <f ca="1">IFERROR(__xludf.DUMMYFUNCTION("""COMPUTED_VALUE"""),"")</f>
        <v/>
      </c>
      <c r="D24408" s="12" t="str">
        <f ca="1">IFERROR(__xludf.DUMMYFUNCTION("""COMPUTED_VALUE"""),"")</f>
        <v/>
      </c>
    </row>
    <row r="24409" spans="2:4" ht="13">
      <c r="B24409" s="12" t="str">
        <f ca="1">IFERROR(__xludf.DUMMYFUNCTION("""COMPUTED_VALUE"""),"")</f>
        <v/>
      </c>
      <c r="C24409" s="12" t="str">
        <f ca="1">IFERROR(__xludf.DUMMYFUNCTION("""COMPUTED_VALUE"""),"")</f>
        <v/>
      </c>
      <c r="D24409" s="12" t="str">
        <f ca="1">IFERROR(__xludf.DUMMYFUNCTION("""COMPUTED_VALUE"""),"")</f>
        <v/>
      </c>
    </row>
    <row r="24410" spans="2:4" ht="13">
      <c r="B24410" s="12" t="str">
        <f ca="1">IFERROR(__xludf.DUMMYFUNCTION("""COMPUTED_VALUE"""),"")</f>
        <v/>
      </c>
      <c r="C24410" s="12" t="str">
        <f ca="1">IFERROR(__xludf.DUMMYFUNCTION("""COMPUTED_VALUE"""),"")</f>
        <v/>
      </c>
      <c r="D24410" s="12" t="str">
        <f ca="1">IFERROR(__xludf.DUMMYFUNCTION("""COMPUTED_VALUE"""),"")</f>
        <v/>
      </c>
    </row>
    <row r="24411" spans="2:4" ht="13">
      <c r="B24411" s="12" t="str">
        <f ca="1">IFERROR(__xludf.DUMMYFUNCTION("""COMPUTED_VALUE"""),"")</f>
        <v/>
      </c>
      <c r="C24411" s="12" t="str">
        <f ca="1">IFERROR(__xludf.DUMMYFUNCTION("""COMPUTED_VALUE"""),"")</f>
        <v/>
      </c>
      <c r="D24411" s="12" t="str">
        <f ca="1">IFERROR(__xludf.DUMMYFUNCTION("""COMPUTED_VALUE"""),"")</f>
        <v/>
      </c>
    </row>
    <row r="24412" spans="2:4" ht="13">
      <c r="B24412" s="12" t="str">
        <f ca="1">IFERROR(__xludf.DUMMYFUNCTION("""COMPUTED_VALUE"""),"")</f>
        <v/>
      </c>
      <c r="C24412" s="12" t="str">
        <f ca="1">IFERROR(__xludf.DUMMYFUNCTION("""COMPUTED_VALUE"""),"")</f>
        <v/>
      </c>
      <c r="D24412" s="12" t="str">
        <f ca="1">IFERROR(__xludf.DUMMYFUNCTION("""COMPUTED_VALUE"""),"")</f>
        <v/>
      </c>
    </row>
    <row r="24413" spans="2:4" ht="13">
      <c r="B24413" s="12" t="str">
        <f ca="1">IFERROR(__xludf.DUMMYFUNCTION("""COMPUTED_VALUE"""),"")</f>
        <v/>
      </c>
      <c r="C24413" s="12" t="str">
        <f ca="1">IFERROR(__xludf.DUMMYFUNCTION("""COMPUTED_VALUE"""),"")</f>
        <v/>
      </c>
      <c r="D24413" s="12" t="str">
        <f ca="1">IFERROR(__xludf.DUMMYFUNCTION("""COMPUTED_VALUE"""),"")</f>
        <v/>
      </c>
    </row>
    <row r="24414" spans="2:4" ht="13">
      <c r="B24414" s="12" t="str">
        <f ca="1">IFERROR(__xludf.DUMMYFUNCTION("""COMPUTED_VALUE"""),"")</f>
        <v/>
      </c>
      <c r="C24414" s="12" t="str">
        <f ca="1">IFERROR(__xludf.DUMMYFUNCTION("""COMPUTED_VALUE"""),"")</f>
        <v/>
      </c>
      <c r="D24414" s="12" t="str">
        <f ca="1">IFERROR(__xludf.DUMMYFUNCTION("""COMPUTED_VALUE"""),"")</f>
        <v/>
      </c>
    </row>
    <row r="24415" spans="2:4" ht="13">
      <c r="B24415" s="12" t="str">
        <f ca="1">IFERROR(__xludf.DUMMYFUNCTION("""COMPUTED_VALUE"""),"")</f>
        <v/>
      </c>
      <c r="C24415" s="12" t="str">
        <f ca="1">IFERROR(__xludf.DUMMYFUNCTION("""COMPUTED_VALUE"""),"")</f>
        <v/>
      </c>
      <c r="D24415" s="12" t="str">
        <f ca="1">IFERROR(__xludf.DUMMYFUNCTION("""COMPUTED_VALUE"""),"")</f>
        <v/>
      </c>
    </row>
    <row r="24416" spans="2:4" ht="13">
      <c r="B24416" s="12" t="str">
        <f ca="1">IFERROR(__xludf.DUMMYFUNCTION("""COMPUTED_VALUE"""),"")</f>
        <v/>
      </c>
      <c r="C24416" s="12" t="str">
        <f ca="1">IFERROR(__xludf.DUMMYFUNCTION("""COMPUTED_VALUE"""),"")</f>
        <v/>
      </c>
      <c r="D24416" s="12" t="str">
        <f ca="1">IFERROR(__xludf.DUMMYFUNCTION("""COMPUTED_VALUE"""),"")</f>
        <v/>
      </c>
    </row>
    <row r="24417" spans="2:4" ht="13">
      <c r="B24417" s="12" t="str">
        <f ca="1">IFERROR(__xludf.DUMMYFUNCTION("""COMPUTED_VALUE"""),"")</f>
        <v/>
      </c>
      <c r="C24417" s="12" t="str">
        <f ca="1">IFERROR(__xludf.DUMMYFUNCTION("""COMPUTED_VALUE"""),"")</f>
        <v/>
      </c>
      <c r="D24417" s="12" t="str">
        <f ca="1">IFERROR(__xludf.DUMMYFUNCTION("""COMPUTED_VALUE"""),"")</f>
        <v/>
      </c>
    </row>
    <row r="24418" spans="2:4" ht="13">
      <c r="B24418" s="12" t="str">
        <f ca="1">IFERROR(__xludf.DUMMYFUNCTION("""COMPUTED_VALUE"""),"")</f>
        <v/>
      </c>
      <c r="C24418" s="12" t="str">
        <f ca="1">IFERROR(__xludf.DUMMYFUNCTION("""COMPUTED_VALUE"""),"")</f>
        <v/>
      </c>
      <c r="D24418" s="12" t="str">
        <f ca="1">IFERROR(__xludf.DUMMYFUNCTION("""COMPUTED_VALUE"""),"")</f>
        <v/>
      </c>
    </row>
    <row r="24419" spans="2:4" ht="13">
      <c r="B24419" s="12" t="str">
        <f ca="1">IFERROR(__xludf.DUMMYFUNCTION("""COMPUTED_VALUE"""),"")</f>
        <v/>
      </c>
      <c r="C24419" s="12" t="str">
        <f ca="1">IFERROR(__xludf.DUMMYFUNCTION("""COMPUTED_VALUE"""),"")</f>
        <v/>
      </c>
      <c r="D24419" s="12" t="str">
        <f ca="1">IFERROR(__xludf.DUMMYFUNCTION("""COMPUTED_VALUE"""),"")</f>
        <v/>
      </c>
    </row>
    <row r="24420" spans="2:4" ht="13">
      <c r="B24420" s="12" t="str">
        <f ca="1">IFERROR(__xludf.DUMMYFUNCTION("""COMPUTED_VALUE"""),"")</f>
        <v/>
      </c>
      <c r="C24420" s="12" t="str">
        <f ca="1">IFERROR(__xludf.DUMMYFUNCTION("""COMPUTED_VALUE"""),"")</f>
        <v/>
      </c>
      <c r="D24420" s="12" t="str">
        <f ca="1">IFERROR(__xludf.DUMMYFUNCTION("""COMPUTED_VALUE"""),"")</f>
        <v/>
      </c>
    </row>
    <row r="24421" spans="2:4" ht="13">
      <c r="B24421" s="12" t="str">
        <f ca="1">IFERROR(__xludf.DUMMYFUNCTION("""COMPUTED_VALUE"""),"")</f>
        <v/>
      </c>
      <c r="C24421" s="12" t="str">
        <f ca="1">IFERROR(__xludf.DUMMYFUNCTION("""COMPUTED_VALUE"""),"")</f>
        <v/>
      </c>
      <c r="D24421" s="12" t="str">
        <f ca="1">IFERROR(__xludf.DUMMYFUNCTION("""COMPUTED_VALUE"""),"")</f>
        <v/>
      </c>
    </row>
    <row r="24422" spans="2:4" ht="13">
      <c r="B24422" s="12" t="str">
        <f ca="1">IFERROR(__xludf.DUMMYFUNCTION("""COMPUTED_VALUE"""),"")</f>
        <v/>
      </c>
      <c r="C24422" s="12" t="str">
        <f ca="1">IFERROR(__xludf.DUMMYFUNCTION("""COMPUTED_VALUE"""),"")</f>
        <v/>
      </c>
      <c r="D24422" s="12" t="str">
        <f ca="1">IFERROR(__xludf.DUMMYFUNCTION("""COMPUTED_VALUE"""),"")</f>
        <v/>
      </c>
    </row>
    <row r="24423" spans="2:4" ht="13">
      <c r="B24423" s="12" t="str">
        <f ca="1">IFERROR(__xludf.DUMMYFUNCTION("""COMPUTED_VALUE"""),"")</f>
        <v/>
      </c>
      <c r="C24423" s="12" t="str">
        <f ca="1">IFERROR(__xludf.DUMMYFUNCTION("""COMPUTED_VALUE"""),"")</f>
        <v/>
      </c>
      <c r="D24423" s="12" t="str">
        <f ca="1">IFERROR(__xludf.DUMMYFUNCTION("""COMPUTED_VALUE"""),"")</f>
        <v/>
      </c>
    </row>
    <row r="24424" spans="2:4" ht="13">
      <c r="B24424" s="12" t="str">
        <f ca="1">IFERROR(__xludf.DUMMYFUNCTION("""COMPUTED_VALUE"""),"")</f>
        <v/>
      </c>
      <c r="C24424" s="12" t="str">
        <f ca="1">IFERROR(__xludf.DUMMYFUNCTION("""COMPUTED_VALUE"""),"")</f>
        <v/>
      </c>
      <c r="D24424" s="12" t="str">
        <f ca="1">IFERROR(__xludf.DUMMYFUNCTION("""COMPUTED_VALUE"""),"")</f>
        <v/>
      </c>
    </row>
    <row r="24425" spans="2:4" ht="13">
      <c r="B24425" s="12" t="str">
        <f ca="1">IFERROR(__xludf.DUMMYFUNCTION("""COMPUTED_VALUE"""),"")</f>
        <v/>
      </c>
      <c r="C24425" s="12" t="str">
        <f ca="1">IFERROR(__xludf.DUMMYFUNCTION("""COMPUTED_VALUE"""),"")</f>
        <v/>
      </c>
      <c r="D24425" s="12" t="str">
        <f ca="1">IFERROR(__xludf.DUMMYFUNCTION("""COMPUTED_VALUE"""),"")</f>
        <v/>
      </c>
    </row>
    <row r="24426" spans="2:4" ht="13">
      <c r="B24426" s="12" t="str">
        <f ca="1">IFERROR(__xludf.DUMMYFUNCTION("""COMPUTED_VALUE"""),"")</f>
        <v/>
      </c>
      <c r="C24426" s="12" t="str">
        <f ca="1">IFERROR(__xludf.DUMMYFUNCTION("""COMPUTED_VALUE"""),"")</f>
        <v/>
      </c>
      <c r="D24426" s="12" t="str">
        <f ca="1">IFERROR(__xludf.DUMMYFUNCTION("""COMPUTED_VALUE"""),"")</f>
        <v/>
      </c>
    </row>
    <row r="24427" spans="2:4" ht="13">
      <c r="B24427" s="12" t="str">
        <f ca="1">IFERROR(__xludf.DUMMYFUNCTION("""COMPUTED_VALUE"""),"")</f>
        <v/>
      </c>
      <c r="C24427" s="12" t="str">
        <f ca="1">IFERROR(__xludf.DUMMYFUNCTION("""COMPUTED_VALUE"""),"")</f>
        <v/>
      </c>
      <c r="D24427" s="12" t="str">
        <f ca="1">IFERROR(__xludf.DUMMYFUNCTION("""COMPUTED_VALUE"""),"")</f>
        <v/>
      </c>
    </row>
    <row r="24428" spans="2:4" ht="13">
      <c r="B24428" s="12" t="str">
        <f ca="1">IFERROR(__xludf.DUMMYFUNCTION("""COMPUTED_VALUE"""),"")</f>
        <v/>
      </c>
      <c r="C24428" s="12" t="str">
        <f ca="1">IFERROR(__xludf.DUMMYFUNCTION("""COMPUTED_VALUE"""),"")</f>
        <v/>
      </c>
      <c r="D24428" s="12" t="str">
        <f ca="1">IFERROR(__xludf.DUMMYFUNCTION("""COMPUTED_VALUE"""),"")</f>
        <v/>
      </c>
    </row>
    <row r="24429" spans="2:4" ht="13">
      <c r="B24429" s="12" t="str">
        <f ca="1">IFERROR(__xludf.DUMMYFUNCTION("""COMPUTED_VALUE"""),"")</f>
        <v/>
      </c>
      <c r="C24429" s="12" t="str">
        <f ca="1">IFERROR(__xludf.DUMMYFUNCTION("""COMPUTED_VALUE"""),"")</f>
        <v/>
      </c>
      <c r="D24429" s="12" t="str">
        <f ca="1">IFERROR(__xludf.DUMMYFUNCTION("""COMPUTED_VALUE"""),"")</f>
        <v/>
      </c>
    </row>
    <row r="24430" spans="2:4" ht="13">
      <c r="B24430" s="12" t="str">
        <f ca="1">IFERROR(__xludf.DUMMYFUNCTION("""COMPUTED_VALUE"""),"")</f>
        <v/>
      </c>
      <c r="C24430" s="12" t="str">
        <f ca="1">IFERROR(__xludf.DUMMYFUNCTION("""COMPUTED_VALUE"""),"")</f>
        <v/>
      </c>
      <c r="D24430" s="12" t="str">
        <f ca="1">IFERROR(__xludf.DUMMYFUNCTION("""COMPUTED_VALUE"""),"")</f>
        <v/>
      </c>
    </row>
    <row r="24431" spans="2:4" ht="13">
      <c r="B24431" s="12" t="str">
        <f ca="1">IFERROR(__xludf.DUMMYFUNCTION("""COMPUTED_VALUE"""),"")</f>
        <v/>
      </c>
      <c r="C24431" s="12" t="str">
        <f ca="1">IFERROR(__xludf.DUMMYFUNCTION("""COMPUTED_VALUE"""),"")</f>
        <v/>
      </c>
      <c r="D24431" s="12" t="str">
        <f ca="1">IFERROR(__xludf.DUMMYFUNCTION("""COMPUTED_VALUE"""),"")</f>
        <v/>
      </c>
    </row>
    <row r="24432" spans="2:4" ht="13">
      <c r="B24432" s="12" t="str">
        <f ca="1">IFERROR(__xludf.DUMMYFUNCTION("""COMPUTED_VALUE"""),"")</f>
        <v/>
      </c>
      <c r="C24432" s="12" t="str">
        <f ca="1">IFERROR(__xludf.DUMMYFUNCTION("""COMPUTED_VALUE"""),"")</f>
        <v/>
      </c>
      <c r="D24432" s="12" t="str">
        <f ca="1">IFERROR(__xludf.DUMMYFUNCTION("""COMPUTED_VALUE"""),"")</f>
        <v/>
      </c>
    </row>
    <row r="24433" spans="2:4" ht="13">
      <c r="B24433" s="12" t="str">
        <f ca="1">IFERROR(__xludf.DUMMYFUNCTION("""COMPUTED_VALUE"""),"")</f>
        <v/>
      </c>
      <c r="C24433" s="12" t="str">
        <f ca="1">IFERROR(__xludf.DUMMYFUNCTION("""COMPUTED_VALUE"""),"")</f>
        <v/>
      </c>
      <c r="D24433" s="12" t="str">
        <f ca="1">IFERROR(__xludf.DUMMYFUNCTION("""COMPUTED_VALUE"""),"")</f>
        <v/>
      </c>
    </row>
    <row r="24434" spans="2:4" ht="13">
      <c r="B24434" s="12" t="str">
        <f ca="1">IFERROR(__xludf.DUMMYFUNCTION("""COMPUTED_VALUE"""),"")</f>
        <v/>
      </c>
      <c r="C24434" s="12" t="str">
        <f ca="1">IFERROR(__xludf.DUMMYFUNCTION("""COMPUTED_VALUE"""),"")</f>
        <v/>
      </c>
      <c r="D24434" s="12" t="str">
        <f ca="1">IFERROR(__xludf.DUMMYFUNCTION("""COMPUTED_VALUE"""),"")</f>
        <v/>
      </c>
    </row>
    <row r="24435" spans="2:4" ht="13">
      <c r="B24435" s="12" t="str">
        <f ca="1">IFERROR(__xludf.DUMMYFUNCTION("""COMPUTED_VALUE"""),"")</f>
        <v/>
      </c>
      <c r="C24435" s="12" t="str">
        <f ca="1">IFERROR(__xludf.DUMMYFUNCTION("""COMPUTED_VALUE"""),"")</f>
        <v/>
      </c>
      <c r="D24435" s="12" t="str">
        <f ca="1">IFERROR(__xludf.DUMMYFUNCTION("""COMPUTED_VALUE"""),"")</f>
        <v/>
      </c>
    </row>
    <row r="24436" spans="2:4" ht="13">
      <c r="B24436" s="12" t="str">
        <f ca="1">IFERROR(__xludf.DUMMYFUNCTION("""COMPUTED_VALUE"""),"")</f>
        <v/>
      </c>
      <c r="C24436" s="12" t="str">
        <f ca="1">IFERROR(__xludf.DUMMYFUNCTION("""COMPUTED_VALUE"""),"")</f>
        <v/>
      </c>
      <c r="D24436" s="12" t="str">
        <f ca="1">IFERROR(__xludf.DUMMYFUNCTION("""COMPUTED_VALUE"""),"")</f>
        <v/>
      </c>
    </row>
    <row r="24437" spans="2:4" ht="13">
      <c r="B24437" s="12" t="str">
        <f ca="1">IFERROR(__xludf.DUMMYFUNCTION("""COMPUTED_VALUE"""),"")</f>
        <v/>
      </c>
      <c r="C24437" s="12" t="str">
        <f ca="1">IFERROR(__xludf.DUMMYFUNCTION("""COMPUTED_VALUE"""),"")</f>
        <v/>
      </c>
      <c r="D24437" s="12" t="str">
        <f ca="1">IFERROR(__xludf.DUMMYFUNCTION("""COMPUTED_VALUE"""),"")</f>
        <v/>
      </c>
    </row>
    <row r="24438" spans="2:4" ht="13">
      <c r="B24438" s="12" t="str">
        <f ca="1">IFERROR(__xludf.DUMMYFUNCTION("""COMPUTED_VALUE"""),"")</f>
        <v/>
      </c>
      <c r="C24438" s="12" t="str">
        <f ca="1">IFERROR(__xludf.DUMMYFUNCTION("""COMPUTED_VALUE"""),"")</f>
        <v/>
      </c>
      <c r="D24438" s="12" t="str">
        <f ca="1">IFERROR(__xludf.DUMMYFUNCTION("""COMPUTED_VALUE"""),"")</f>
        <v/>
      </c>
    </row>
    <row r="24439" spans="2:4" ht="13">
      <c r="B24439" s="12" t="str">
        <f ca="1">IFERROR(__xludf.DUMMYFUNCTION("""COMPUTED_VALUE"""),"")</f>
        <v/>
      </c>
      <c r="C24439" s="12" t="str">
        <f ca="1">IFERROR(__xludf.DUMMYFUNCTION("""COMPUTED_VALUE"""),"")</f>
        <v/>
      </c>
      <c r="D24439" s="12" t="str">
        <f ca="1">IFERROR(__xludf.DUMMYFUNCTION("""COMPUTED_VALUE"""),"")</f>
        <v/>
      </c>
    </row>
    <row r="24440" spans="2:4" ht="13">
      <c r="B24440" s="12" t="str">
        <f ca="1">IFERROR(__xludf.DUMMYFUNCTION("""COMPUTED_VALUE"""),"")</f>
        <v/>
      </c>
      <c r="C24440" s="12" t="str">
        <f ca="1">IFERROR(__xludf.DUMMYFUNCTION("""COMPUTED_VALUE"""),"")</f>
        <v/>
      </c>
      <c r="D24440" s="12" t="str">
        <f ca="1">IFERROR(__xludf.DUMMYFUNCTION("""COMPUTED_VALUE"""),"")</f>
        <v/>
      </c>
    </row>
    <row r="24441" spans="2:4" ht="13">
      <c r="B24441" s="12" t="str">
        <f ca="1">IFERROR(__xludf.DUMMYFUNCTION("""COMPUTED_VALUE"""),"")</f>
        <v/>
      </c>
      <c r="C24441" s="12" t="str">
        <f ca="1">IFERROR(__xludf.DUMMYFUNCTION("""COMPUTED_VALUE"""),"")</f>
        <v/>
      </c>
      <c r="D24441" s="12" t="str">
        <f ca="1">IFERROR(__xludf.DUMMYFUNCTION("""COMPUTED_VALUE"""),"")</f>
        <v/>
      </c>
    </row>
    <row r="24442" spans="2:4" ht="13">
      <c r="B24442" s="12" t="str">
        <f ca="1">IFERROR(__xludf.DUMMYFUNCTION("""COMPUTED_VALUE"""),"")</f>
        <v/>
      </c>
      <c r="C24442" s="12" t="str">
        <f ca="1">IFERROR(__xludf.DUMMYFUNCTION("""COMPUTED_VALUE"""),"")</f>
        <v/>
      </c>
      <c r="D24442" s="12" t="str">
        <f ca="1">IFERROR(__xludf.DUMMYFUNCTION("""COMPUTED_VALUE"""),"")</f>
        <v/>
      </c>
    </row>
    <row r="24443" spans="2:4" ht="13">
      <c r="B24443" s="12" t="str">
        <f ca="1">IFERROR(__xludf.DUMMYFUNCTION("""COMPUTED_VALUE"""),"")</f>
        <v/>
      </c>
      <c r="C24443" s="12" t="str">
        <f ca="1">IFERROR(__xludf.DUMMYFUNCTION("""COMPUTED_VALUE"""),"")</f>
        <v/>
      </c>
      <c r="D24443" s="12" t="str">
        <f ca="1">IFERROR(__xludf.DUMMYFUNCTION("""COMPUTED_VALUE"""),"")</f>
        <v/>
      </c>
    </row>
    <row r="24444" spans="2:4" ht="13">
      <c r="B24444" s="12" t="str">
        <f ca="1">IFERROR(__xludf.DUMMYFUNCTION("""COMPUTED_VALUE"""),"")</f>
        <v/>
      </c>
      <c r="C24444" s="12" t="str">
        <f ca="1">IFERROR(__xludf.DUMMYFUNCTION("""COMPUTED_VALUE"""),"")</f>
        <v/>
      </c>
      <c r="D24444" s="12" t="str">
        <f ca="1">IFERROR(__xludf.DUMMYFUNCTION("""COMPUTED_VALUE"""),"")</f>
        <v/>
      </c>
    </row>
    <row r="24445" spans="2:4" ht="13">
      <c r="B24445" s="12" t="str">
        <f ca="1">IFERROR(__xludf.DUMMYFUNCTION("""COMPUTED_VALUE"""),"")</f>
        <v/>
      </c>
      <c r="C24445" s="12" t="str">
        <f ca="1">IFERROR(__xludf.DUMMYFUNCTION("""COMPUTED_VALUE"""),"")</f>
        <v/>
      </c>
      <c r="D24445" s="12" t="str">
        <f ca="1">IFERROR(__xludf.DUMMYFUNCTION("""COMPUTED_VALUE"""),"")</f>
        <v/>
      </c>
    </row>
    <row r="24446" spans="2:4" ht="13">
      <c r="B24446" s="12" t="str">
        <f ca="1">IFERROR(__xludf.DUMMYFUNCTION("""COMPUTED_VALUE"""),"")</f>
        <v/>
      </c>
      <c r="C24446" s="12" t="str">
        <f ca="1">IFERROR(__xludf.DUMMYFUNCTION("""COMPUTED_VALUE"""),"")</f>
        <v/>
      </c>
      <c r="D24446" s="12" t="str">
        <f ca="1">IFERROR(__xludf.DUMMYFUNCTION("""COMPUTED_VALUE"""),"")</f>
        <v/>
      </c>
    </row>
    <row r="24447" spans="2:4" ht="13">
      <c r="B24447" s="12" t="str">
        <f ca="1">IFERROR(__xludf.DUMMYFUNCTION("""COMPUTED_VALUE"""),"")</f>
        <v/>
      </c>
      <c r="C24447" s="12" t="str">
        <f ca="1">IFERROR(__xludf.DUMMYFUNCTION("""COMPUTED_VALUE"""),"")</f>
        <v/>
      </c>
      <c r="D24447" s="12" t="str">
        <f ca="1">IFERROR(__xludf.DUMMYFUNCTION("""COMPUTED_VALUE"""),"")</f>
        <v/>
      </c>
    </row>
    <row r="24448" spans="2:4" ht="13">
      <c r="B24448" s="12" t="str">
        <f ca="1">IFERROR(__xludf.DUMMYFUNCTION("""COMPUTED_VALUE"""),"")</f>
        <v/>
      </c>
      <c r="C24448" s="12" t="str">
        <f ca="1">IFERROR(__xludf.DUMMYFUNCTION("""COMPUTED_VALUE"""),"")</f>
        <v/>
      </c>
      <c r="D24448" s="12" t="str">
        <f ca="1">IFERROR(__xludf.DUMMYFUNCTION("""COMPUTED_VALUE"""),"")</f>
        <v/>
      </c>
    </row>
    <row r="24449" spans="2:4" ht="13">
      <c r="B24449" s="12" t="str">
        <f ca="1">IFERROR(__xludf.DUMMYFUNCTION("""COMPUTED_VALUE"""),"")</f>
        <v/>
      </c>
      <c r="C24449" s="12" t="str">
        <f ca="1">IFERROR(__xludf.DUMMYFUNCTION("""COMPUTED_VALUE"""),"")</f>
        <v/>
      </c>
      <c r="D24449" s="12" t="str">
        <f ca="1">IFERROR(__xludf.DUMMYFUNCTION("""COMPUTED_VALUE"""),"")</f>
        <v/>
      </c>
    </row>
    <row r="24450" spans="2:4" ht="13">
      <c r="B24450" s="12" t="str">
        <f ca="1">IFERROR(__xludf.DUMMYFUNCTION("""COMPUTED_VALUE"""),"")</f>
        <v/>
      </c>
      <c r="C24450" s="12" t="str">
        <f ca="1">IFERROR(__xludf.DUMMYFUNCTION("""COMPUTED_VALUE"""),"")</f>
        <v/>
      </c>
      <c r="D24450" s="12" t="str">
        <f ca="1">IFERROR(__xludf.DUMMYFUNCTION("""COMPUTED_VALUE"""),"")</f>
        <v/>
      </c>
    </row>
    <row r="24451" spans="2:4" ht="13">
      <c r="B24451" s="12" t="str">
        <f ca="1">IFERROR(__xludf.DUMMYFUNCTION("""COMPUTED_VALUE"""),"")</f>
        <v/>
      </c>
      <c r="C24451" s="12" t="str">
        <f ca="1">IFERROR(__xludf.DUMMYFUNCTION("""COMPUTED_VALUE"""),"")</f>
        <v/>
      </c>
      <c r="D24451" s="12" t="str">
        <f ca="1">IFERROR(__xludf.DUMMYFUNCTION("""COMPUTED_VALUE"""),"")</f>
        <v/>
      </c>
    </row>
    <row r="24452" spans="2:4" ht="13">
      <c r="B24452" s="12" t="str">
        <f ca="1">IFERROR(__xludf.DUMMYFUNCTION("""COMPUTED_VALUE"""),"")</f>
        <v/>
      </c>
      <c r="C24452" s="12" t="str">
        <f ca="1">IFERROR(__xludf.DUMMYFUNCTION("""COMPUTED_VALUE"""),"")</f>
        <v/>
      </c>
      <c r="D24452" s="12" t="str">
        <f ca="1">IFERROR(__xludf.DUMMYFUNCTION("""COMPUTED_VALUE"""),"")</f>
        <v/>
      </c>
    </row>
    <row r="24453" spans="2:4" ht="13">
      <c r="B24453" s="12" t="str">
        <f ca="1">IFERROR(__xludf.DUMMYFUNCTION("""COMPUTED_VALUE"""),"")</f>
        <v/>
      </c>
      <c r="C24453" s="12" t="str">
        <f ca="1">IFERROR(__xludf.DUMMYFUNCTION("""COMPUTED_VALUE"""),"")</f>
        <v/>
      </c>
      <c r="D24453" s="12" t="str">
        <f ca="1">IFERROR(__xludf.DUMMYFUNCTION("""COMPUTED_VALUE"""),"")</f>
        <v/>
      </c>
    </row>
    <row r="24454" spans="2:4" ht="13">
      <c r="B24454" s="12" t="str">
        <f ca="1">IFERROR(__xludf.DUMMYFUNCTION("""COMPUTED_VALUE"""),"")</f>
        <v/>
      </c>
      <c r="C24454" s="12" t="str">
        <f ca="1">IFERROR(__xludf.DUMMYFUNCTION("""COMPUTED_VALUE"""),"")</f>
        <v/>
      </c>
      <c r="D24454" s="12" t="str">
        <f ca="1">IFERROR(__xludf.DUMMYFUNCTION("""COMPUTED_VALUE"""),"")</f>
        <v/>
      </c>
    </row>
    <row r="24455" spans="2:4" ht="13">
      <c r="B24455" s="12" t="str">
        <f ca="1">IFERROR(__xludf.DUMMYFUNCTION("""COMPUTED_VALUE"""),"")</f>
        <v/>
      </c>
      <c r="C24455" s="12" t="str">
        <f ca="1">IFERROR(__xludf.DUMMYFUNCTION("""COMPUTED_VALUE"""),"")</f>
        <v/>
      </c>
      <c r="D24455" s="12" t="str">
        <f ca="1">IFERROR(__xludf.DUMMYFUNCTION("""COMPUTED_VALUE"""),"")</f>
        <v/>
      </c>
    </row>
    <row r="24456" spans="2:4" ht="13">
      <c r="B24456" s="12" t="str">
        <f ca="1">IFERROR(__xludf.DUMMYFUNCTION("""COMPUTED_VALUE"""),"")</f>
        <v/>
      </c>
      <c r="C24456" s="12" t="str">
        <f ca="1">IFERROR(__xludf.DUMMYFUNCTION("""COMPUTED_VALUE"""),"")</f>
        <v/>
      </c>
      <c r="D24456" s="12" t="str">
        <f ca="1">IFERROR(__xludf.DUMMYFUNCTION("""COMPUTED_VALUE"""),"")</f>
        <v/>
      </c>
    </row>
    <row r="24457" spans="2:4" ht="13">
      <c r="B24457" s="12" t="str">
        <f ca="1">IFERROR(__xludf.DUMMYFUNCTION("""COMPUTED_VALUE"""),"")</f>
        <v/>
      </c>
      <c r="C24457" s="12" t="str">
        <f ca="1">IFERROR(__xludf.DUMMYFUNCTION("""COMPUTED_VALUE"""),"")</f>
        <v/>
      </c>
      <c r="D24457" s="12" t="str">
        <f ca="1">IFERROR(__xludf.DUMMYFUNCTION("""COMPUTED_VALUE"""),"")</f>
        <v/>
      </c>
    </row>
    <row r="24458" spans="2:4" ht="13">
      <c r="B24458" s="12" t="str">
        <f ca="1">IFERROR(__xludf.DUMMYFUNCTION("""COMPUTED_VALUE"""),"")</f>
        <v/>
      </c>
      <c r="C24458" s="12" t="str">
        <f ca="1">IFERROR(__xludf.DUMMYFUNCTION("""COMPUTED_VALUE"""),"")</f>
        <v/>
      </c>
      <c r="D24458" s="12" t="str">
        <f ca="1">IFERROR(__xludf.DUMMYFUNCTION("""COMPUTED_VALUE"""),"")</f>
        <v/>
      </c>
    </row>
    <row r="24459" spans="2:4" ht="13">
      <c r="B24459" s="12" t="str">
        <f ca="1">IFERROR(__xludf.DUMMYFUNCTION("""COMPUTED_VALUE"""),"")</f>
        <v/>
      </c>
      <c r="C24459" s="12" t="str">
        <f ca="1">IFERROR(__xludf.DUMMYFUNCTION("""COMPUTED_VALUE"""),"")</f>
        <v/>
      </c>
      <c r="D24459" s="12" t="str">
        <f ca="1">IFERROR(__xludf.DUMMYFUNCTION("""COMPUTED_VALUE"""),"")</f>
        <v/>
      </c>
    </row>
    <row r="24460" spans="2:4" ht="13">
      <c r="B24460" s="12" t="str">
        <f ca="1">IFERROR(__xludf.DUMMYFUNCTION("""COMPUTED_VALUE"""),"")</f>
        <v/>
      </c>
      <c r="C24460" s="12" t="str">
        <f ca="1">IFERROR(__xludf.DUMMYFUNCTION("""COMPUTED_VALUE"""),"")</f>
        <v/>
      </c>
      <c r="D24460" s="12" t="str">
        <f ca="1">IFERROR(__xludf.DUMMYFUNCTION("""COMPUTED_VALUE"""),"")</f>
        <v/>
      </c>
    </row>
    <row r="24461" spans="2:4" ht="13">
      <c r="B24461" s="12" t="str">
        <f ca="1">IFERROR(__xludf.DUMMYFUNCTION("""COMPUTED_VALUE"""),"")</f>
        <v/>
      </c>
      <c r="C24461" s="12" t="str">
        <f ca="1">IFERROR(__xludf.DUMMYFUNCTION("""COMPUTED_VALUE"""),"")</f>
        <v/>
      </c>
      <c r="D24461" s="12" t="str">
        <f ca="1">IFERROR(__xludf.DUMMYFUNCTION("""COMPUTED_VALUE"""),"")</f>
        <v/>
      </c>
    </row>
    <row r="24462" spans="2:4" ht="13">
      <c r="B24462" s="12" t="str">
        <f ca="1">IFERROR(__xludf.DUMMYFUNCTION("""COMPUTED_VALUE"""),"")</f>
        <v/>
      </c>
      <c r="C24462" s="12" t="str">
        <f ca="1">IFERROR(__xludf.DUMMYFUNCTION("""COMPUTED_VALUE"""),"")</f>
        <v/>
      </c>
      <c r="D24462" s="12" t="str">
        <f ca="1">IFERROR(__xludf.DUMMYFUNCTION("""COMPUTED_VALUE"""),"")</f>
        <v/>
      </c>
    </row>
    <row r="24463" spans="2:4" ht="13">
      <c r="B24463" s="12" t="str">
        <f ca="1">IFERROR(__xludf.DUMMYFUNCTION("""COMPUTED_VALUE"""),"")</f>
        <v/>
      </c>
      <c r="C24463" s="12" t="str">
        <f ca="1">IFERROR(__xludf.DUMMYFUNCTION("""COMPUTED_VALUE"""),"")</f>
        <v/>
      </c>
      <c r="D24463" s="12" t="str">
        <f ca="1">IFERROR(__xludf.DUMMYFUNCTION("""COMPUTED_VALUE"""),"")</f>
        <v/>
      </c>
    </row>
    <row r="24464" spans="2:4" ht="13">
      <c r="B24464" s="12" t="str">
        <f ca="1">IFERROR(__xludf.DUMMYFUNCTION("""COMPUTED_VALUE"""),"")</f>
        <v/>
      </c>
      <c r="C24464" s="12" t="str">
        <f ca="1">IFERROR(__xludf.DUMMYFUNCTION("""COMPUTED_VALUE"""),"")</f>
        <v/>
      </c>
      <c r="D24464" s="12" t="str">
        <f ca="1">IFERROR(__xludf.DUMMYFUNCTION("""COMPUTED_VALUE"""),"")</f>
        <v/>
      </c>
    </row>
    <row r="24465" spans="2:4" ht="13">
      <c r="B24465" s="12" t="str">
        <f ca="1">IFERROR(__xludf.DUMMYFUNCTION("""COMPUTED_VALUE"""),"")</f>
        <v/>
      </c>
      <c r="C24465" s="12" t="str">
        <f ca="1">IFERROR(__xludf.DUMMYFUNCTION("""COMPUTED_VALUE"""),"")</f>
        <v/>
      </c>
      <c r="D24465" s="12" t="str">
        <f ca="1">IFERROR(__xludf.DUMMYFUNCTION("""COMPUTED_VALUE"""),"")</f>
        <v/>
      </c>
    </row>
    <row r="24466" spans="2:4" ht="13">
      <c r="B24466" s="12" t="str">
        <f ca="1">IFERROR(__xludf.DUMMYFUNCTION("""COMPUTED_VALUE"""),"")</f>
        <v/>
      </c>
      <c r="C24466" s="12" t="str">
        <f ca="1">IFERROR(__xludf.DUMMYFUNCTION("""COMPUTED_VALUE"""),"")</f>
        <v/>
      </c>
      <c r="D24466" s="12" t="str">
        <f ca="1">IFERROR(__xludf.DUMMYFUNCTION("""COMPUTED_VALUE"""),"")</f>
        <v/>
      </c>
    </row>
    <row r="24467" spans="2:4" ht="13">
      <c r="B24467" s="12" t="str">
        <f ca="1">IFERROR(__xludf.DUMMYFUNCTION("""COMPUTED_VALUE"""),"")</f>
        <v/>
      </c>
      <c r="C24467" s="12" t="str">
        <f ca="1">IFERROR(__xludf.DUMMYFUNCTION("""COMPUTED_VALUE"""),"")</f>
        <v/>
      </c>
      <c r="D24467" s="12" t="str">
        <f ca="1">IFERROR(__xludf.DUMMYFUNCTION("""COMPUTED_VALUE"""),"")</f>
        <v/>
      </c>
    </row>
    <row r="24468" spans="2:4" ht="13">
      <c r="B24468" s="12" t="str">
        <f ca="1">IFERROR(__xludf.DUMMYFUNCTION("""COMPUTED_VALUE"""),"")</f>
        <v/>
      </c>
      <c r="C24468" s="12" t="str">
        <f ca="1">IFERROR(__xludf.DUMMYFUNCTION("""COMPUTED_VALUE"""),"")</f>
        <v/>
      </c>
      <c r="D24468" s="12" t="str">
        <f ca="1">IFERROR(__xludf.DUMMYFUNCTION("""COMPUTED_VALUE"""),"")</f>
        <v/>
      </c>
    </row>
    <row r="24469" spans="2:4" ht="13">
      <c r="B24469" s="12" t="str">
        <f ca="1">IFERROR(__xludf.DUMMYFUNCTION("""COMPUTED_VALUE"""),"")</f>
        <v/>
      </c>
      <c r="C24469" s="12" t="str">
        <f ca="1">IFERROR(__xludf.DUMMYFUNCTION("""COMPUTED_VALUE"""),"")</f>
        <v/>
      </c>
      <c r="D24469" s="12" t="str">
        <f ca="1">IFERROR(__xludf.DUMMYFUNCTION("""COMPUTED_VALUE"""),"")</f>
        <v/>
      </c>
    </row>
    <row r="24470" spans="2:4" ht="13">
      <c r="B24470" s="12" t="str">
        <f ca="1">IFERROR(__xludf.DUMMYFUNCTION("""COMPUTED_VALUE"""),"")</f>
        <v/>
      </c>
      <c r="C24470" s="12" t="str">
        <f ca="1">IFERROR(__xludf.DUMMYFUNCTION("""COMPUTED_VALUE"""),"")</f>
        <v/>
      </c>
      <c r="D24470" s="12" t="str">
        <f ca="1">IFERROR(__xludf.DUMMYFUNCTION("""COMPUTED_VALUE"""),"")</f>
        <v/>
      </c>
    </row>
    <row r="24471" spans="2:4" ht="13">
      <c r="B24471" s="12" t="str">
        <f ca="1">IFERROR(__xludf.DUMMYFUNCTION("""COMPUTED_VALUE"""),"")</f>
        <v/>
      </c>
      <c r="C24471" s="12" t="str">
        <f ca="1">IFERROR(__xludf.DUMMYFUNCTION("""COMPUTED_VALUE"""),"")</f>
        <v/>
      </c>
      <c r="D24471" s="12" t="str">
        <f ca="1">IFERROR(__xludf.DUMMYFUNCTION("""COMPUTED_VALUE"""),"")</f>
        <v/>
      </c>
    </row>
    <row r="24472" spans="2:4" ht="13">
      <c r="B24472" s="12" t="str">
        <f ca="1">IFERROR(__xludf.DUMMYFUNCTION("""COMPUTED_VALUE"""),"")</f>
        <v/>
      </c>
      <c r="C24472" s="12" t="str">
        <f ca="1">IFERROR(__xludf.DUMMYFUNCTION("""COMPUTED_VALUE"""),"")</f>
        <v/>
      </c>
      <c r="D24472" s="12" t="str">
        <f ca="1">IFERROR(__xludf.DUMMYFUNCTION("""COMPUTED_VALUE"""),"")</f>
        <v/>
      </c>
    </row>
    <row r="24473" spans="2:4" ht="13">
      <c r="B24473" s="12" t="str">
        <f ca="1">IFERROR(__xludf.DUMMYFUNCTION("""COMPUTED_VALUE"""),"")</f>
        <v/>
      </c>
      <c r="C24473" s="12" t="str">
        <f ca="1">IFERROR(__xludf.DUMMYFUNCTION("""COMPUTED_VALUE"""),"")</f>
        <v/>
      </c>
      <c r="D24473" s="12" t="str">
        <f ca="1">IFERROR(__xludf.DUMMYFUNCTION("""COMPUTED_VALUE"""),"")</f>
        <v/>
      </c>
    </row>
    <row r="24474" spans="2:4" ht="13">
      <c r="B24474" s="12" t="str">
        <f ca="1">IFERROR(__xludf.DUMMYFUNCTION("""COMPUTED_VALUE"""),"")</f>
        <v/>
      </c>
      <c r="C24474" s="12" t="str">
        <f ca="1">IFERROR(__xludf.DUMMYFUNCTION("""COMPUTED_VALUE"""),"")</f>
        <v/>
      </c>
      <c r="D24474" s="12" t="str">
        <f ca="1">IFERROR(__xludf.DUMMYFUNCTION("""COMPUTED_VALUE"""),"")</f>
        <v/>
      </c>
    </row>
    <row r="24475" spans="2:4" ht="13">
      <c r="B24475" s="12" t="str">
        <f ca="1">IFERROR(__xludf.DUMMYFUNCTION("""COMPUTED_VALUE"""),"")</f>
        <v/>
      </c>
      <c r="C24475" s="12" t="str">
        <f ca="1">IFERROR(__xludf.DUMMYFUNCTION("""COMPUTED_VALUE"""),"")</f>
        <v/>
      </c>
      <c r="D24475" s="12" t="str">
        <f ca="1">IFERROR(__xludf.DUMMYFUNCTION("""COMPUTED_VALUE"""),"")</f>
        <v/>
      </c>
    </row>
    <row r="24476" spans="2:4" ht="13">
      <c r="B24476" s="12" t="str">
        <f ca="1">IFERROR(__xludf.DUMMYFUNCTION("""COMPUTED_VALUE"""),"")</f>
        <v/>
      </c>
      <c r="C24476" s="12" t="str">
        <f ca="1">IFERROR(__xludf.DUMMYFUNCTION("""COMPUTED_VALUE"""),"")</f>
        <v/>
      </c>
      <c r="D24476" s="12" t="str">
        <f ca="1">IFERROR(__xludf.DUMMYFUNCTION("""COMPUTED_VALUE"""),"")</f>
        <v/>
      </c>
    </row>
    <row r="24477" spans="2:4" ht="13">
      <c r="B24477" s="12" t="str">
        <f ca="1">IFERROR(__xludf.DUMMYFUNCTION("""COMPUTED_VALUE"""),"")</f>
        <v/>
      </c>
      <c r="C24477" s="12" t="str">
        <f ca="1">IFERROR(__xludf.DUMMYFUNCTION("""COMPUTED_VALUE"""),"")</f>
        <v/>
      </c>
      <c r="D24477" s="12" t="str">
        <f ca="1">IFERROR(__xludf.DUMMYFUNCTION("""COMPUTED_VALUE"""),"")</f>
        <v/>
      </c>
    </row>
    <row r="24478" spans="2:4" ht="13">
      <c r="B24478" s="12" t="str">
        <f ca="1">IFERROR(__xludf.DUMMYFUNCTION("""COMPUTED_VALUE"""),"")</f>
        <v/>
      </c>
      <c r="C24478" s="12" t="str">
        <f ca="1">IFERROR(__xludf.DUMMYFUNCTION("""COMPUTED_VALUE"""),"")</f>
        <v/>
      </c>
      <c r="D24478" s="12" t="str">
        <f ca="1">IFERROR(__xludf.DUMMYFUNCTION("""COMPUTED_VALUE"""),"")</f>
        <v/>
      </c>
    </row>
    <row r="24479" spans="2:4" ht="13">
      <c r="B24479" s="12" t="str">
        <f ca="1">IFERROR(__xludf.DUMMYFUNCTION("""COMPUTED_VALUE"""),"")</f>
        <v/>
      </c>
      <c r="C24479" s="12" t="str">
        <f ca="1">IFERROR(__xludf.DUMMYFUNCTION("""COMPUTED_VALUE"""),"")</f>
        <v/>
      </c>
      <c r="D24479" s="12" t="str">
        <f ca="1">IFERROR(__xludf.DUMMYFUNCTION("""COMPUTED_VALUE"""),"")</f>
        <v/>
      </c>
    </row>
    <row r="24480" spans="2:4" ht="13">
      <c r="B24480" s="12" t="str">
        <f ca="1">IFERROR(__xludf.DUMMYFUNCTION("""COMPUTED_VALUE"""),"")</f>
        <v/>
      </c>
      <c r="C24480" s="12" t="str">
        <f ca="1">IFERROR(__xludf.DUMMYFUNCTION("""COMPUTED_VALUE"""),"")</f>
        <v/>
      </c>
      <c r="D24480" s="12" t="str">
        <f ca="1">IFERROR(__xludf.DUMMYFUNCTION("""COMPUTED_VALUE"""),"")</f>
        <v/>
      </c>
    </row>
    <row r="24481" spans="2:4" ht="13">
      <c r="B24481" s="12" t="str">
        <f ca="1">IFERROR(__xludf.DUMMYFUNCTION("""COMPUTED_VALUE"""),"")</f>
        <v/>
      </c>
      <c r="C24481" s="12" t="str">
        <f ca="1">IFERROR(__xludf.DUMMYFUNCTION("""COMPUTED_VALUE"""),"")</f>
        <v/>
      </c>
      <c r="D24481" s="12" t="str">
        <f ca="1">IFERROR(__xludf.DUMMYFUNCTION("""COMPUTED_VALUE"""),"")</f>
        <v/>
      </c>
    </row>
    <row r="24482" spans="2:4" ht="13">
      <c r="B24482" s="12" t="str">
        <f ca="1">IFERROR(__xludf.DUMMYFUNCTION("""COMPUTED_VALUE"""),"")</f>
        <v/>
      </c>
      <c r="C24482" s="12" t="str">
        <f ca="1">IFERROR(__xludf.DUMMYFUNCTION("""COMPUTED_VALUE"""),"")</f>
        <v/>
      </c>
      <c r="D24482" s="12" t="str">
        <f ca="1">IFERROR(__xludf.DUMMYFUNCTION("""COMPUTED_VALUE"""),"")</f>
        <v/>
      </c>
    </row>
    <row r="24483" spans="2:4" ht="13">
      <c r="B24483" s="12" t="str">
        <f ca="1">IFERROR(__xludf.DUMMYFUNCTION("""COMPUTED_VALUE"""),"")</f>
        <v/>
      </c>
      <c r="C24483" s="12" t="str">
        <f ca="1">IFERROR(__xludf.DUMMYFUNCTION("""COMPUTED_VALUE"""),"")</f>
        <v/>
      </c>
      <c r="D24483" s="12" t="str">
        <f ca="1">IFERROR(__xludf.DUMMYFUNCTION("""COMPUTED_VALUE"""),"")</f>
        <v/>
      </c>
    </row>
    <row r="24484" spans="2:4" ht="13">
      <c r="B24484" s="12" t="str">
        <f ca="1">IFERROR(__xludf.DUMMYFUNCTION("""COMPUTED_VALUE"""),"")</f>
        <v/>
      </c>
      <c r="C24484" s="12" t="str">
        <f ca="1">IFERROR(__xludf.DUMMYFUNCTION("""COMPUTED_VALUE"""),"")</f>
        <v/>
      </c>
      <c r="D24484" s="12" t="str">
        <f ca="1">IFERROR(__xludf.DUMMYFUNCTION("""COMPUTED_VALUE"""),"")</f>
        <v/>
      </c>
    </row>
    <row r="24485" spans="2:4" ht="13">
      <c r="B24485" s="12" t="str">
        <f ca="1">IFERROR(__xludf.DUMMYFUNCTION("""COMPUTED_VALUE"""),"")</f>
        <v/>
      </c>
      <c r="C24485" s="12" t="str">
        <f ca="1">IFERROR(__xludf.DUMMYFUNCTION("""COMPUTED_VALUE"""),"")</f>
        <v/>
      </c>
      <c r="D24485" s="12" t="str">
        <f ca="1">IFERROR(__xludf.DUMMYFUNCTION("""COMPUTED_VALUE"""),"")</f>
        <v/>
      </c>
    </row>
    <row r="24486" spans="2:4" ht="13">
      <c r="B24486" s="12" t="str">
        <f ca="1">IFERROR(__xludf.DUMMYFUNCTION("""COMPUTED_VALUE"""),"")</f>
        <v/>
      </c>
      <c r="C24486" s="12" t="str">
        <f ca="1">IFERROR(__xludf.DUMMYFUNCTION("""COMPUTED_VALUE"""),"")</f>
        <v/>
      </c>
      <c r="D24486" s="12" t="str">
        <f ca="1">IFERROR(__xludf.DUMMYFUNCTION("""COMPUTED_VALUE"""),"")</f>
        <v/>
      </c>
    </row>
    <row r="24487" spans="2:4" ht="13">
      <c r="B24487" s="12" t="str">
        <f ca="1">IFERROR(__xludf.DUMMYFUNCTION("""COMPUTED_VALUE"""),"")</f>
        <v/>
      </c>
      <c r="C24487" s="12" t="str">
        <f ca="1">IFERROR(__xludf.DUMMYFUNCTION("""COMPUTED_VALUE"""),"")</f>
        <v/>
      </c>
      <c r="D24487" s="12" t="str">
        <f ca="1">IFERROR(__xludf.DUMMYFUNCTION("""COMPUTED_VALUE"""),"")</f>
        <v/>
      </c>
    </row>
    <row r="24488" spans="2:4" ht="13">
      <c r="B24488" s="12" t="str">
        <f ca="1">IFERROR(__xludf.DUMMYFUNCTION("""COMPUTED_VALUE"""),"")</f>
        <v/>
      </c>
      <c r="C24488" s="12" t="str">
        <f ca="1">IFERROR(__xludf.DUMMYFUNCTION("""COMPUTED_VALUE"""),"")</f>
        <v/>
      </c>
      <c r="D24488" s="12" t="str">
        <f ca="1">IFERROR(__xludf.DUMMYFUNCTION("""COMPUTED_VALUE"""),"")</f>
        <v/>
      </c>
    </row>
    <row r="24489" spans="2:4" ht="13">
      <c r="B24489" s="12" t="str">
        <f ca="1">IFERROR(__xludf.DUMMYFUNCTION("""COMPUTED_VALUE"""),"")</f>
        <v/>
      </c>
      <c r="C24489" s="12" t="str">
        <f ca="1">IFERROR(__xludf.DUMMYFUNCTION("""COMPUTED_VALUE"""),"")</f>
        <v/>
      </c>
      <c r="D24489" s="12" t="str">
        <f ca="1">IFERROR(__xludf.DUMMYFUNCTION("""COMPUTED_VALUE"""),"")</f>
        <v/>
      </c>
    </row>
    <row r="24490" spans="2:4" ht="13">
      <c r="B24490" s="12" t="str">
        <f ca="1">IFERROR(__xludf.DUMMYFUNCTION("""COMPUTED_VALUE"""),"")</f>
        <v/>
      </c>
      <c r="C24490" s="12" t="str">
        <f ca="1">IFERROR(__xludf.DUMMYFUNCTION("""COMPUTED_VALUE"""),"")</f>
        <v/>
      </c>
      <c r="D24490" s="12" t="str">
        <f ca="1">IFERROR(__xludf.DUMMYFUNCTION("""COMPUTED_VALUE"""),"")</f>
        <v/>
      </c>
    </row>
    <row r="24491" spans="2:4" ht="13">
      <c r="B24491" s="12" t="str">
        <f ca="1">IFERROR(__xludf.DUMMYFUNCTION("""COMPUTED_VALUE"""),"")</f>
        <v/>
      </c>
      <c r="C24491" s="12" t="str">
        <f ca="1">IFERROR(__xludf.DUMMYFUNCTION("""COMPUTED_VALUE"""),"")</f>
        <v/>
      </c>
      <c r="D24491" s="12" t="str">
        <f ca="1">IFERROR(__xludf.DUMMYFUNCTION("""COMPUTED_VALUE"""),"")</f>
        <v/>
      </c>
    </row>
    <row r="24492" spans="2:4" ht="13">
      <c r="B24492" s="12" t="str">
        <f ca="1">IFERROR(__xludf.DUMMYFUNCTION("""COMPUTED_VALUE"""),"")</f>
        <v/>
      </c>
      <c r="C24492" s="12" t="str">
        <f ca="1">IFERROR(__xludf.DUMMYFUNCTION("""COMPUTED_VALUE"""),"")</f>
        <v/>
      </c>
      <c r="D24492" s="12" t="str">
        <f ca="1">IFERROR(__xludf.DUMMYFUNCTION("""COMPUTED_VALUE"""),"")</f>
        <v/>
      </c>
    </row>
    <row r="24493" spans="2:4" ht="13">
      <c r="B24493" s="12" t="str">
        <f ca="1">IFERROR(__xludf.DUMMYFUNCTION("""COMPUTED_VALUE"""),"")</f>
        <v/>
      </c>
      <c r="C24493" s="12" t="str">
        <f ca="1">IFERROR(__xludf.DUMMYFUNCTION("""COMPUTED_VALUE"""),"")</f>
        <v/>
      </c>
      <c r="D24493" s="12" t="str">
        <f ca="1">IFERROR(__xludf.DUMMYFUNCTION("""COMPUTED_VALUE"""),"")</f>
        <v/>
      </c>
    </row>
    <row r="24494" spans="2:4" ht="13">
      <c r="B24494" s="12" t="str">
        <f ca="1">IFERROR(__xludf.DUMMYFUNCTION("""COMPUTED_VALUE"""),"")</f>
        <v/>
      </c>
      <c r="C24494" s="12" t="str">
        <f ca="1">IFERROR(__xludf.DUMMYFUNCTION("""COMPUTED_VALUE"""),"")</f>
        <v/>
      </c>
      <c r="D24494" s="12" t="str">
        <f ca="1">IFERROR(__xludf.DUMMYFUNCTION("""COMPUTED_VALUE"""),"")</f>
        <v/>
      </c>
    </row>
    <row r="24495" spans="2:4" ht="13">
      <c r="B24495" s="12" t="str">
        <f ca="1">IFERROR(__xludf.DUMMYFUNCTION("""COMPUTED_VALUE"""),"")</f>
        <v/>
      </c>
      <c r="C24495" s="12" t="str">
        <f ca="1">IFERROR(__xludf.DUMMYFUNCTION("""COMPUTED_VALUE"""),"")</f>
        <v/>
      </c>
      <c r="D24495" s="12" t="str">
        <f ca="1">IFERROR(__xludf.DUMMYFUNCTION("""COMPUTED_VALUE"""),"")</f>
        <v/>
      </c>
    </row>
    <row r="24496" spans="2:4" ht="13">
      <c r="B24496" s="12" t="str">
        <f ca="1">IFERROR(__xludf.DUMMYFUNCTION("""COMPUTED_VALUE"""),"")</f>
        <v/>
      </c>
      <c r="C24496" s="12" t="str">
        <f ca="1">IFERROR(__xludf.DUMMYFUNCTION("""COMPUTED_VALUE"""),"")</f>
        <v/>
      </c>
      <c r="D24496" s="12" t="str">
        <f ca="1">IFERROR(__xludf.DUMMYFUNCTION("""COMPUTED_VALUE"""),"")</f>
        <v/>
      </c>
    </row>
    <row r="24497" spans="2:4" ht="13">
      <c r="B24497" s="12" t="str">
        <f ca="1">IFERROR(__xludf.DUMMYFUNCTION("""COMPUTED_VALUE"""),"")</f>
        <v/>
      </c>
      <c r="C24497" s="12" t="str">
        <f ca="1">IFERROR(__xludf.DUMMYFUNCTION("""COMPUTED_VALUE"""),"")</f>
        <v/>
      </c>
      <c r="D24497" s="12" t="str">
        <f ca="1">IFERROR(__xludf.DUMMYFUNCTION("""COMPUTED_VALUE"""),"")</f>
        <v/>
      </c>
    </row>
    <row r="24498" spans="2:4" ht="13">
      <c r="B24498" s="12" t="str">
        <f ca="1">IFERROR(__xludf.DUMMYFUNCTION("""COMPUTED_VALUE"""),"")</f>
        <v/>
      </c>
      <c r="C24498" s="12" t="str">
        <f ca="1">IFERROR(__xludf.DUMMYFUNCTION("""COMPUTED_VALUE"""),"")</f>
        <v/>
      </c>
      <c r="D24498" s="12" t="str">
        <f ca="1">IFERROR(__xludf.DUMMYFUNCTION("""COMPUTED_VALUE"""),"")</f>
        <v/>
      </c>
    </row>
    <row r="24499" spans="2:4" ht="13">
      <c r="B24499" s="12" t="str">
        <f ca="1">IFERROR(__xludf.DUMMYFUNCTION("""COMPUTED_VALUE"""),"")</f>
        <v/>
      </c>
      <c r="C24499" s="12" t="str">
        <f ca="1">IFERROR(__xludf.DUMMYFUNCTION("""COMPUTED_VALUE"""),"")</f>
        <v/>
      </c>
      <c r="D24499" s="12" t="str">
        <f ca="1">IFERROR(__xludf.DUMMYFUNCTION("""COMPUTED_VALUE"""),"")</f>
        <v/>
      </c>
    </row>
    <row r="24500" spans="2:4" ht="13">
      <c r="B24500" s="12" t="str">
        <f ca="1">IFERROR(__xludf.DUMMYFUNCTION("""COMPUTED_VALUE"""),"")</f>
        <v/>
      </c>
      <c r="C24500" s="12" t="str">
        <f ca="1">IFERROR(__xludf.DUMMYFUNCTION("""COMPUTED_VALUE"""),"")</f>
        <v/>
      </c>
      <c r="D24500" s="12" t="str">
        <f ca="1">IFERROR(__xludf.DUMMYFUNCTION("""COMPUTED_VALUE"""),"")</f>
        <v/>
      </c>
    </row>
    <row r="24501" spans="2:4" ht="13">
      <c r="B24501" s="12" t="str">
        <f ca="1">IFERROR(__xludf.DUMMYFUNCTION("""COMPUTED_VALUE"""),"")</f>
        <v/>
      </c>
      <c r="C24501" s="12" t="str">
        <f ca="1">IFERROR(__xludf.DUMMYFUNCTION("""COMPUTED_VALUE"""),"")</f>
        <v/>
      </c>
      <c r="D24501" s="12" t="str">
        <f ca="1">IFERROR(__xludf.DUMMYFUNCTION("""COMPUTED_VALUE"""),"")</f>
        <v/>
      </c>
    </row>
    <row r="24502" spans="2:4" ht="13">
      <c r="B24502" s="12" t="str">
        <f ca="1">IFERROR(__xludf.DUMMYFUNCTION("""COMPUTED_VALUE"""),"")</f>
        <v/>
      </c>
      <c r="C24502" s="12" t="str">
        <f ca="1">IFERROR(__xludf.DUMMYFUNCTION("""COMPUTED_VALUE"""),"")</f>
        <v/>
      </c>
      <c r="D24502" s="12" t="str">
        <f ca="1">IFERROR(__xludf.DUMMYFUNCTION("""COMPUTED_VALUE"""),"")</f>
        <v/>
      </c>
    </row>
    <row r="24503" spans="2:4" ht="13">
      <c r="B24503" s="12" t="str">
        <f ca="1">IFERROR(__xludf.DUMMYFUNCTION("""COMPUTED_VALUE"""),"")</f>
        <v/>
      </c>
      <c r="C24503" s="12" t="str">
        <f ca="1">IFERROR(__xludf.DUMMYFUNCTION("""COMPUTED_VALUE"""),"")</f>
        <v/>
      </c>
      <c r="D24503" s="12" t="str">
        <f ca="1">IFERROR(__xludf.DUMMYFUNCTION("""COMPUTED_VALUE"""),"")</f>
        <v/>
      </c>
    </row>
    <row r="24504" spans="2:4" ht="13">
      <c r="B24504" s="12" t="str">
        <f ca="1">IFERROR(__xludf.DUMMYFUNCTION("""COMPUTED_VALUE"""),"")</f>
        <v/>
      </c>
      <c r="C24504" s="12" t="str">
        <f ca="1">IFERROR(__xludf.DUMMYFUNCTION("""COMPUTED_VALUE"""),"")</f>
        <v/>
      </c>
      <c r="D24504" s="12" t="str">
        <f ca="1">IFERROR(__xludf.DUMMYFUNCTION("""COMPUTED_VALUE"""),"")</f>
        <v/>
      </c>
    </row>
    <row r="24505" spans="2:4" ht="13">
      <c r="B24505" s="12" t="str">
        <f ca="1">IFERROR(__xludf.DUMMYFUNCTION("""COMPUTED_VALUE"""),"")</f>
        <v/>
      </c>
      <c r="C24505" s="12" t="str">
        <f ca="1">IFERROR(__xludf.DUMMYFUNCTION("""COMPUTED_VALUE"""),"")</f>
        <v/>
      </c>
      <c r="D24505" s="12" t="str">
        <f ca="1">IFERROR(__xludf.DUMMYFUNCTION("""COMPUTED_VALUE"""),"")</f>
        <v/>
      </c>
    </row>
    <row r="24506" spans="2:4" ht="13">
      <c r="B24506" s="12" t="str">
        <f ca="1">IFERROR(__xludf.DUMMYFUNCTION("""COMPUTED_VALUE"""),"")</f>
        <v/>
      </c>
      <c r="C24506" s="12" t="str">
        <f ca="1">IFERROR(__xludf.DUMMYFUNCTION("""COMPUTED_VALUE"""),"")</f>
        <v/>
      </c>
      <c r="D24506" s="12" t="str">
        <f ca="1">IFERROR(__xludf.DUMMYFUNCTION("""COMPUTED_VALUE"""),"")</f>
        <v/>
      </c>
    </row>
    <row r="24507" spans="2:4" ht="13">
      <c r="B24507" s="12" t="str">
        <f ca="1">IFERROR(__xludf.DUMMYFUNCTION("""COMPUTED_VALUE"""),"")</f>
        <v/>
      </c>
      <c r="C24507" s="12" t="str">
        <f ca="1">IFERROR(__xludf.DUMMYFUNCTION("""COMPUTED_VALUE"""),"")</f>
        <v/>
      </c>
      <c r="D24507" s="12" t="str">
        <f ca="1">IFERROR(__xludf.DUMMYFUNCTION("""COMPUTED_VALUE"""),"")</f>
        <v/>
      </c>
    </row>
    <row r="24508" spans="2:4" ht="13">
      <c r="B24508" s="12" t="str">
        <f ca="1">IFERROR(__xludf.DUMMYFUNCTION("""COMPUTED_VALUE"""),"")</f>
        <v/>
      </c>
      <c r="C24508" s="12" t="str">
        <f ca="1">IFERROR(__xludf.DUMMYFUNCTION("""COMPUTED_VALUE"""),"")</f>
        <v/>
      </c>
      <c r="D24508" s="12" t="str">
        <f ca="1">IFERROR(__xludf.DUMMYFUNCTION("""COMPUTED_VALUE"""),"")</f>
        <v/>
      </c>
    </row>
    <row r="24509" spans="2:4" ht="13">
      <c r="B24509" s="12" t="str">
        <f ca="1">IFERROR(__xludf.DUMMYFUNCTION("""COMPUTED_VALUE"""),"")</f>
        <v/>
      </c>
      <c r="C24509" s="12" t="str">
        <f ca="1">IFERROR(__xludf.DUMMYFUNCTION("""COMPUTED_VALUE"""),"")</f>
        <v/>
      </c>
      <c r="D24509" s="12" t="str">
        <f ca="1">IFERROR(__xludf.DUMMYFUNCTION("""COMPUTED_VALUE"""),"")</f>
        <v/>
      </c>
    </row>
    <row r="24510" spans="2:4" ht="13">
      <c r="B24510" s="12" t="str">
        <f ca="1">IFERROR(__xludf.DUMMYFUNCTION("""COMPUTED_VALUE"""),"")</f>
        <v/>
      </c>
      <c r="C24510" s="12" t="str">
        <f ca="1">IFERROR(__xludf.DUMMYFUNCTION("""COMPUTED_VALUE"""),"")</f>
        <v/>
      </c>
      <c r="D24510" s="12" t="str">
        <f ca="1">IFERROR(__xludf.DUMMYFUNCTION("""COMPUTED_VALUE"""),"")</f>
        <v/>
      </c>
    </row>
    <row r="24511" spans="2:4" ht="13">
      <c r="B24511" s="12" t="str">
        <f ca="1">IFERROR(__xludf.DUMMYFUNCTION("""COMPUTED_VALUE"""),"")</f>
        <v/>
      </c>
      <c r="C24511" s="12" t="str">
        <f ca="1">IFERROR(__xludf.DUMMYFUNCTION("""COMPUTED_VALUE"""),"")</f>
        <v/>
      </c>
      <c r="D24511" s="12" t="str">
        <f ca="1">IFERROR(__xludf.DUMMYFUNCTION("""COMPUTED_VALUE"""),"")</f>
        <v/>
      </c>
    </row>
    <row r="24512" spans="2:4" ht="13">
      <c r="B24512" s="12" t="str">
        <f ca="1">IFERROR(__xludf.DUMMYFUNCTION("""COMPUTED_VALUE"""),"")</f>
        <v/>
      </c>
      <c r="C24512" s="12" t="str">
        <f ca="1">IFERROR(__xludf.DUMMYFUNCTION("""COMPUTED_VALUE"""),"")</f>
        <v/>
      </c>
      <c r="D24512" s="12" t="str">
        <f ca="1">IFERROR(__xludf.DUMMYFUNCTION("""COMPUTED_VALUE"""),"")</f>
        <v/>
      </c>
    </row>
    <row r="24513" spans="2:4" ht="13">
      <c r="B24513" s="12" t="str">
        <f ca="1">IFERROR(__xludf.DUMMYFUNCTION("""COMPUTED_VALUE"""),"")</f>
        <v/>
      </c>
      <c r="C24513" s="12" t="str">
        <f ca="1">IFERROR(__xludf.DUMMYFUNCTION("""COMPUTED_VALUE"""),"")</f>
        <v/>
      </c>
      <c r="D24513" s="12" t="str">
        <f ca="1">IFERROR(__xludf.DUMMYFUNCTION("""COMPUTED_VALUE"""),"")</f>
        <v/>
      </c>
    </row>
    <row r="24514" spans="2:4" ht="13">
      <c r="B24514" s="12" t="str">
        <f ca="1">IFERROR(__xludf.DUMMYFUNCTION("""COMPUTED_VALUE"""),"")</f>
        <v/>
      </c>
      <c r="C24514" s="12" t="str">
        <f ca="1">IFERROR(__xludf.DUMMYFUNCTION("""COMPUTED_VALUE"""),"")</f>
        <v/>
      </c>
      <c r="D24514" s="12" t="str">
        <f ca="1">IFERROR(__xludf.DUMMYFUNCTION("""COMPUTED_VALUE"""),"")</f>
        <v/>
      </c>
    </row>
    <row r="24515" spans="2:4" ht="13">
      <c r="B24515" s="12" t="str">
        <f ca="1">IFERROR(__xludf.DUMMYFUNCTION("""COMPUTED_VALUE"""),"")</f>
        <v/>
      </c>
      <c r="C24515" s="12" t="str">
        <f ca="1">IFERROR(__xludf.DUMMYFUNCTION("""COMPUTED_VALUE"""),"")</f>
        <v/>
      </c>
      <c r="D24515" s="12" t="str">
        <f ca="1">IFERROR(__xludf.DUMMYFUNCTION("""COMPUTED_VALUE"""),"")</f>
        <v/>
      </c>
    </row>
    <row r="24516" spans="2:4" ht="13">
      <c r="B24516" s="12" t="str">
        <f ca="1">IFERROR(__xludf.DUMMYFUNCTION("""COMPUTED_VALUE"""),"")</f>
        <v/>
      </c>
      <c r="C24516" s="12" t="str">
        <f ca="1">IFERROR(__xludf.DUMMYFUNCTION("""COMPUTED_VALUE"""),"")</f>
        <v/>
      </c>
      <c r="D24516" s="12" t="str">
        <f ca="1">IFERROR(__xludf.DUMMYFUNCTION("""COMPUTED_VALUE"""),"")</f>
        <v/>
      </c>
    </row>
    <row r="24517" spans="2:4" ht="13">
      <c r="B24517" s="12" t="str">
        <f ca="1">IFERROR(__xludf.DUMMYFUNCTION("""COMPUTED_VALUE"""),"")</f>
        <v/>
      </c>
      <c r="C24517" s="12" t="str">
        <f ca="1">IFERROR(__xludf.DUMMYFUNCTION("""COMPUTED_VALUE"""),"")</f>
        <v/>
      </c>
      <c r="D24517" s="12" t="str">
        <f ca="1">IFERROR(__xludf.DUMMYFUNCTION("""COMPUTED_VALUE"""),"")</f>
        <v/>
      </c>
    </row>
    <row r="24518" spans="2:4" ht="13">
      <c r="B24518" s="12" t="str">
        <f ca="1">IFERROR(__xludf.DUMMYFUNCTION("""COMPUTED_VALUE"""),"")</f>
        <v/>
      </c>
      <c r="C24518" s="12" t="str">
        <f ca="1">IFERROR(__xludf.DUMMYFUNCTION("""COMPUTED_VALUE"""),"")</f>
        <v/>
      </c>
      <c r="D24518" s="12" t="str">
        <f ca="1">IFERROR(__xludf.DUMMYFUNCTION("""COMPUTED_VALUE"""),"")</f>
        <v/>
      </c>
    </row>
    <row r="24519" spans="2:4" ht="13">
      <c r="B24519" s="12" t="str">
        <f ca="1">IFERROR(__xludf.DUMMYFUNCTION("""COMPUTED_VALUE"""),"")</f>
        <v/>
      </c>
      <c r="C24519" s="12" t="str">
        <f ca="1">IFERROR(__xludf.DUMMYFUNCTION("""COMPUTED_VALUE"""),"")</f>
        <v/>
      </c>
      <c r="D24519" s="12" t="str">
        <f ca="1">IFERROR(__xludf.DUMMYFUNCTION("""COMPUTED_VALUE"""),"")</f>
        <v/>
      </c>
    </row>
    <row r="24520" spans="2:4" ht="13">
      <c r="B24520" s="12" t="str">
        <f ca="1">IFERROR(__xludf.DUMMYFUNCTION("""COMPUTED_VALUE"""),"")</f>
        <v/>
      </c>
      <c r="C24520" s="12" t="str">
        <f ca="1">IFERROR(__xludf.DUMMYFUNCTION("""COMPUTED_VALUE"""),"")</f>
        <v/>
      </c>
      <c r="D24520" s="12" t="str">
        <f ca="1">IFERROR(__xludf.DUMMYFUNCTION("""COMPUTED_VALUE"""),"")</f>
        <v/>
      </c>
    </row>
    <row r="24521" spans="2:4" ht="13">
      <c r="B24521" s="12" t="str">
        <f ca="1">IFERROR(__xludf.DUMMYFUNCTION("""COMPUTED_VALUE"""),"")</f>
        <v/>
      </c>
      <c r="C24521" s="12" t="str">
        <f ca="1">IFERROR(__xludf.DUMMYFUNCTION("""COMPUTED_VALUE"""),"")</f>
        <v/>
      </c>
      <c r="D24521" s="12" t="str">
        <f ca="1">IFERROR(__xludf.DUMMYFUNCTION("""COMPUTED_VALUE"""),"")</f>
        <v/>
      </c>
    </row>
    <row r="24522" spans="2:4" ht="13">
      <c r="B24522" s="12" t="str">
        <f ca="1">IFERROR(__xludf.DUMMYFUNCTION("""COMPUTED_VALUE"""),"")</f>
        <v/>
      </c>
      <c r="C24522" s="12" t="str">
        <f ca="1">IFERROR(__xludf.DUMMYFUNCTION("""COMPUTED_VALUE"""),"")</f>
        <v/>
      </c>
      <c r="D24522" s="12" t="str">
        <f ca="1">IFERROR(__xludf.DUMMYFUNCTION("""COMPUTED_VALUE"""),"")</f>
        <v/>
      </c>
    </row>
    <row r="24523" spans="2:4" ht="13">
      <c r="B24523" s="12" t="str">
        <f ca="1">IFERROR(__xludf.DUMMYFUNCTION("""COMPUTED_VALUE"""),"")</f>
        <v/>
      </c>
      <c r="C24523" s="12" t="str">
        <f ca="1">IFERROR(__xludf.DUMMYFUNCTION("""COMPUTED_VALUE"""),"")</f>
        <v/>
      </c>
      <c r="D24523" s="12" t="str">
        <f ca="1">IFERROR(__xludf.DUMMYFUNCTION("""COMPUTED_VALUE"""),"")</f>
        <v/>
      </c>
    </row>
    <row r="24524" spans="2:4" ht="13">
      <c r="B24524" s="12" t="str">
        <f ca="1">IFERROR(__xludf.DUMMYFUNCTION("""COMPUTED_VALUE"""),"")</f>
        <v/>
      </c>
      <c r="C24524" s="12" t="str">
        <f ca="1">IFERROR(__xludf.DUMMYFUNCTION("""COMPUTED_VALUE"""),"")</f>
        <v/>
      </c>
      <c r="D24524" s="12" t="str">
        <f ca="1">IFERROR(__xludf.DUMMYFUNCTION("""COMPUTED_VALUE"""),"")</f>
        <v/>
      </c>
    </row>
    <row r="24525" spans="2:4" ht="13">
      <c r="B24525" s="12" t="str">
        <f ca="1">IFERROR(__xludf.DUMMYFUNCTION("""COMPUTED_VALUE"""),"")</f>
        <v/>
      </c>
      <c r="C24525" s="12" t="str">
        <f ca="1">IFERROR(__xludf.DUMMYFUNCTION("""COMPUTED_VALUE"""),"")</f>
        <v/>
      </c>
      <c r="D24525" s="12" t="str">
        <f ca="1">IFERROR(__xludf.DUMMYFUNCTION("""COMPUTED_VALUE"""),"")</f>
        <v/>
      </c>
    </row>
    <row r="24526" spans="2:4" ht="13">
      <c r="B24526" s="12" t="str">
        <f ca="1">IFERROR(__xludf.DUMMYFUNCTION("""COMPUTED_VALUE"""),"")</f>
        <v/>
      </c>
      <c r="C24526" s="12" t="str">
        <f ca="1">IFERROR(__xludf.DUMMYFUNCTION("""COMPUTED_VALUE"""),"")</f>
        <v/>
      </c>
      <c r="D24526" s="12" t="str">
        <f ca="1">IFERROR(__xludf.DUMMYFUNCTION("""COMPUTED_VALUE"""),"")</f>
        <v/>
      </c>
    </row>
    <row r="24527" spans="2:4" ht="13">
      <c r="B24527" s="12" t="str">
        <f ca="1">IFERROR(__xludf.DUMMYFUNCTION("""COMPUTED_VALUE"""),"")</f>
        <v/>
      </c>
      <c r="C24527" s="12" t="str">
        <f ca="1">IFERROR(__xludf.DUMMYFUNCTION("""COMPUTED_VALUE"""),"")</f>
        <v/>
      </c>
      <c r="D24527" s="12" t="str">
        <f ca="1">IFERROR(__xludf.DUMMYFUNCTION("""COMPUTED_VALUE"""),"")</f>
        <v/>
      </c>
    </row>
    <row r="24528" spans="2:4" ht="13">
      <c r="B24528" s="12" t="str">
        <f ca="1">IFERROR(__xludf.DUMMYFUNCTION("""COMPUTED_VALUE"""),"")</f>
        <v/>
      </c>
      <c r="C24528" s="12" t="str">
        <f ca="1">IFERROR(__xludf.DUMMYFUNCTION("""COMPUTED_VALUE"""),"")</f>
        <v/>
      </c>
      <c r="D24528" s="12" t="str">
        <f ca="1">IFERROR(__xludf.DUMMYFUNCTION("""COMPUTED_VALUE"""),"")</f>
        <v/>
      </c>
    </row>
    <row r="24529" spans="2:4" ht="13">
      <c r="B24529" s="12" t="str">
        <f ca="1">IFERROR(__xludf.DUMMYFUNCTION("""COMPUTED_VALUE"""),"")</f>
        <v/>
      </c>
      <c r="C24529" s="12" t="str">
        <f ca="1">IFERROR(__xludf.DUMMYFUNCTION("""COMPUTED_VALUE"""),"")</f>
        <v/>
      </c>
      <c r="D24529" s="12" t="str">
        <f ca="1">IFERROR(__xludf.DUMMYFUNCTION("""COMPUTED_VALUE"""),"")</f>
        <v/>
      </c>
    </row>
    <row r="24530" spans="2:4" ht="13">
      <c r="B24530" s="12" t="str">
        <f ca="1">IFERROR(__xludf.DUMMYFUNCTION("""COMPUTED_VALUE"""),"")</f>
        <v/>
      </c>
      <c r="C24530" s="12" t="str">
        <f ca="1">IFERROR(__xludf.DUMMYFUNCTION("""COMPUTED_VALUE"""),"")</f>
        <v/>
      </c>
      <c r="D24530" s="12" t="str">
        <f ca="1">IFERROR(__xludf.DUMMYFUNCTION("""COMPUTED_VALUE"""),"")</f>
        <v/>
      </c>
    </row>
    <row r="24531" spans="2:4" ht="13">
      <c r="B24531" s="12" t="str">
        <f ca="1">IFERROR(__xludf.DUMMYFUNCTION("""COMPUTED_VALUE"""),"")</f>
        <v/>
      </c>
      <c r="C24531" s="12" t="str">
        <f ca="1">IFERROR(__xludf.DUMMYFUNCTION("""COMPUTED_VALUE"""),"")</f>
        <v/>
      </c>
      <c r="D24531" s="12" t="str">
        <f ca="1">IFERROR(__xludf.DUMMYFUNCTION("""COMPUTED_VALUE"""),"")</f>
        <v/>
      </c>
    </row>
    <row r="24532" spans="2:4" ht="13">
      <c r="B24532" s="12" t="str">
        <f ca="1">IFERROR(__xludf.DUMMYFUNCTION("""COMPUTED_VALUE"""),"")</f>
        <v/>
      </c>
      <c r="C24532" s="12" t="str">
        <f ca="1">IFERROR(__xludf.DUMMYFUNCTION("""COMPUTED_VALUE"""),"")</f>
        <v/>
      </c>
      <c r="D24532" s="12" t="str">
        <f ca="1">IFERROR(__xludf.DUMMYFUNCTION("""COMPUTED_VALUE"""),"")</f>
        <v/>
      </c>
    </row>
    <row r="24533" spans="2:4" ht="13">
      <c r="B24533" s="12" t="str">
        <f ca="1">IFERROR(__xludf.DUMMYFUNCTION("""COMPUTED_VALUE"""),"")</f>
        <v/>
      </c>
      <c r="C24533" s="12" t="str">
        <f ca="1">IFERROR(__xludf.DUMMYFUNCTION("""COMPUTED_VALUE"""),"")</f>
        <v/>
      </c>
      <c r="D24533" s="12" t="str">
        <f ca="1">IFERROR(__xludf.DUMMYFUNCTION("""COMPUTED_VALUE"""),"")</f>
        <v/>
      </c>
    </row>
    <row r="24534" spans="2:4" ht="13">
      <c r="B24534" s="12" t="str">
        <f ca="1">IFERROR(__xludf.DUMMYFUNCTION("""COMPUTED_VALUE"""),"")</f>
        <v/>
      </c>
      <c r="C24534" s="12" t="str">
        <f ca="1">IFERROR(__xludf.DUMMYFUNCTION("""COMPUTED_VALUE"""),"")</f>
        <v/>
      </c>
      <c r="D24534" s="12" t="str">
        <f ca="1">IFERROR(__xludf.DUMMYFUNCTION("""COMPUTED_VALUE"""),"")</f>
        <v/>
      </c>
    </row>
    <row r="24535" spans="2:4" ht="13">
      <c r="B24535" s="12" t="str">
        <f ca="1">IFERROR(__xludf.DUMMYFUNCTION("""COMPUTED_VALUE"""),"")</f>
        <v/>
      </c>
      <c r="C24535" s="12" t="str">
        <f ca="1">IFERROR(__xludf.DUMMYFUNCTION("""COMPUTED_VALUE"""),"")</f>
        <v/>
      </c>
      <c r="D24535" s="12" t="str">
        <f ca="1">IFERROR(__xludf.DUMMYFUNCTION("""COMPUTED_VALUE"""),"")</f>
        <v/>
      </c>
    </row>
    <row r="24536" spans="2:4" ht="13">
      <c r="B24536" s="12" t="str">
        <f ca="1">IFERROR(__xludf.DUMMYFUNCTION("""COMPUTED_VALUE"""),"")</f>
        <v/>
      </c>
      <c r="C24536" s="12" t="str">
        <f ca="1">IFERROR(__xludf.DUMMYFUNCTION("""COMPUTED_VALUE"""),"")</f>
        <v/>
      </c>
      <c r="D24536" s="12" t="str">
        <f ca="1">IFERROR(__xludf.DUMMYFUNCTION("""COMPUTED_VALUE"""),"")</f>
        <v/>
      </c>
    </row>
    <row r="24537" spans="2:4" ht="13">
      <c r="B24537" s="12" t="str">
        <f ca="1">IFERROR(__xludf.DUMMYFUNCTION("""COMPUTED_VALUE"""),"")</f>
        <v/>
      </c>
      <c r="C24537" s="12" t="str">
        <f ca="1">IFERROR(__xludf.DUMMYFUNCTION("""COMPUTED_VALUE"""),"")</f>
        <v/>
      </c>
      <c r="D24537" s="12" t="str">
        <f ca="1">IFERROR(__xludf.DUMMYFUNCTION("""COMPUTED_VALUE"""),"")</f>
        <v/>
      </c>
    </row>
    <row r="24538" spans="2:4" ht="13">
      <c r="B24538" s="12" t="str">
        <f ca="1">IFERROR(__xludf.DUMMYFUNCTION("""COMPUTED_VALUE"""),"")</f>
        <v/>
      </c>
      <c r="C24538" s="12" t="str">
        <f ca="1">IFERROR(__xludf.DUMMYFUNCTION("""COMPUTED_VALUE"""),"")</f>
        <v/>
      </c>
      <c r="D24538" s="12" t="str">
        <f ca="1">IFERROR(__xludf.DUMMYFUNCTION("""COMPUTED_VALUE"""),"")</f>
        <v/>
      </c>
    </row>
    <row r="24539" spans="2:4" ht="13">
      <c r="B24539" s="12" t="str">
        <f ca="1">IFERROR(__xludf.DUMMYFUNCTION("""COMPUTED_VALUE"""),"")</f>
        <v/>
      </c>
      <c r="C24539" s="12" t="str">
        <f ca="1">IFERROR(__xludf.DUMMYFUNCTION("""COMPUTED_VALUE"""),"")</f>
        <v/>
      </c>
      <c r="D24539" s="12" t="str">
        <f ca="1">IFERROR(__xludf.DUMMYFUNCTION("""COMPUTED_VALUE"""),"")</f>
        <v/>
      </c>
    </row>
    <row r="24540" spans="2:4" ht="13">
      <c r="B24540" s="12" t="str">
        <f ca="1">IFERROR(__xludf.DUMMYFUNCTION("""COMPUTED_VALUE"""),"")</f>
        <v/>
      </c>
      <c r="C24540" s="12" t="str">
        <f ca="1">IFERROR(__xludf.DUMMYFUNCTION("""COMPUTED_VALUE"""),"")</f>
        <v/>
      </c>
      <c r="D24540" s="12" t="str">
        <f ca="1">IFERROR(__xludf.DUMMYFUNCTION("""COMPUTED_VALUE"""),"")</f>
        <v/>
      </c>
    </row>
    <row r="24541" spans="2:4" ht="13">
      <c r="B24541" s="12" t="str">
        <f ca="1">IFERROR(__xludf.DUMMYFUNCTION("""COMPUTED_VALUE"""),"")</f>
        <v/>
      </c>
      <c r="C24541" s="12" t="str">
        <f ca="1">IFERROR(__xludf.DUMMYFUNCTION("""COMPUTED_VALUE"""),"")</f>
        <v/>
      </c>
      <c r="D24541" s="12" t="str">
        <f ca="1">IFERROR(__xludf.DUMMYFUNCTION("""COMPUTED_VALUE"""),"")</f>
        <v/>
      </c>
    </row>
    <row r="24542" spans="2:4" ht="13">
      <c r="B24542" s="12" t="str">
        <f ca="1">IFERROR(__xludf.DUMMYFUNCTION("""COMPUTED_VALUE"""),"")</f>
        <v/>
      </c>
      <c r="C24542" s="12" t="str">
        <f ca="1">IFERROR(__xludf.DUMMYFUNCTION("""COMPUTED_VALUE"""),"")</f>
        <v/>
      </c>
      <c r="D24542" s="12" t="str">
        <f ca="1">IFERROR(__xludf.DUMMYFUNCTION("""COMPUTED_VALUE"""),"")</f>
        <v/>
      </c>
    </row>
    <row r="24543" spans="2:4" ht="13">
      <c r="B24543" s="12" t="str">
        <f ca="1">IFERROR(__xludf.DUMMYFUNCTION("""COMPUTED_VALUE"""),"")</f>
        <v/>
      </c>
      <c r="C24543" s="12" t="str">
        <f ca="1">IFERROR(__xludf.DUMMYFUNCTION("""COMPUTED_VALUE"""),"")</f>
        <v/>
      </c>
      <c r="D24543" s="12" t="str">
        <f ca="1">IFERROR(__xludf.DUMMYFUNCTION("""COMPUTED_VALUE"""),"")</f>
        <v/>
      </c>
    </row>
    <row r="24544" spans="2:4" ht="13">
      <c r="B24544" s="12" t="str">
        <f ca="1">IFERROR(__xludf.DUMMYFUNCTION("""COMPUTED_VALUE"""),"")</f>
        <v/>
      </c>
      <c r="C24544" s="12" t="str">
        <f ca="1">IFERROR(__xludf.DUMMYFUNCTION("""COMPUTED_VALUE"""),"")</f>
        <v/>
      </c>
      <c r="D24544" s="12" t="str">
        <f ca="1">IFERROR(__xludf.DUMMYFUNCTION("""COMPUTED_VALUE"""),"")</f>
        <v/>
      </c>
    </row>
    <row r="24545" spans="2:4" ht="13">
      <c r="B24545" s="12" t="str">
        <f ca="1">IFERROR(__xludf.DUMMYFUNCTION("""COMPUTED_VALUE"""),"")</f>
        <v/>
      </c>
      <c r="C24545" s="12" t="str">
        <f ca="1">IFERROR(__xludf.DUMMYFUNCTION("""COMPUTED_VALUE"""),"")</f>
        <v/>
      </c>
      <c r="D24545" s="12" t="str">
        <f ca="1">IFERROR(__xludf.DUMMYFUNCTION("""COMPUTED_VALUE"""),"")</f>
        <v/>
      </c>
    </row>
    <row r="24546" spans="2:4" ht="13">
      <c r="B24546" s="12" t="str">
        <f ca="1">IFERROR(__xludf.DUMMYFUNCTION("""COMPUTED_VALUE"""),"")</f>
        <v/>
      </c>
      <c r="C24546" s="12" t="str">
        <f ca="1">IFERROR(__xludf.DUMMYFUNCTION("""COMPUTED_VALUE"""),"")</f>
        <v/>
      </c>
      <c r="D24546" s="12" t="str">
        <f ca="1">IFERROR(__xludf.DUMMYFUNCTION("""COMPUTED_VALUE"""),"")</f>
        <v/>
      </c>
    </row>
  </sheetData>
  <phoneticPr fontId="6"/>
  <hyperlinks>
    <hyperlink ref="A1" r:id="rId1" location="gid=844763542"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受注報告シート</vt:lpstr>
      <vt:lpstr>失注報告シート</vt:lpstr>
      <vt:lpstr>Sのみ物件数_Data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Akira Takezawa [LIFULL]</cp:lastModifiedBy>
  <dcterms:modified xsi:type="dcterms:W3CDTF">2020-05-15T03:50:16Z</dcterms:modified>
</cp:coreProperties>
</file>